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RECOMMENDED PRICES" sheetId="2" r:id="rId6"/>
    <sheet name="PnL 2026 Plan-Forecast" sheetId="3" r:id="rId7"/>
    <sheet name="FCF 2025-2026 Forecast" sheetId="4" r:id="rId8"/>
    <sheet name="Private Boats 2026 Target" sheetId="5" r:id="rId9"/>
    <sheet name="Shared Boats 2026 Target" sheetId="6" r:id="rId10"/>
    <sheet name="Premium Shared 2026 Target" sheetId="7" r:id="rId11"/>
    <sheet name="Premium for Couples 2026 Target" sheetId="8" r:id="rId12"/>
    <sheet name="Standard Diving Tour 2026" sheetId="9" r:id="rId13"/>
    <sheet name="Premium Diving Tour 2026" sheetId="10" r:id="rId14"/>
    <sheet name="Fishing Tour 2026 Target " sheetId="11" r:id="rId15"/>
    <sheet name="Project Eldorado ROI in IDR" sheetId="12" r:id="rId16"/>
    <sheet name="Project Eldorado ROI in USD" sheetId="13" r:id="rId17"/>
    <sheet name="Project Eldorado IRR 50-50" sheetId="14" r:id="rId18"/>
    <sheet name="Project Eldorado IRR 80-20" sheetId="15" r:id="rId19"/>
    <sheet name="Direct Costs 2026" sheetId="16" r:id="rId20"/>
    <sheet name="Trasnfers, Extras, Alco 2026" sheetId="17" r:id="rId21"/>
    <sheet name="Boats Data Sheet 2026" sheetId="18" r:id="rId22"/>
    <sheet name="Allocation OH and Target 2026" sheetId="19" r:id="rId23"/>
    <sheet name="Boats Data Sheet 2025" sheetId="20" r:id="rId24"/>
    <sheet name="Allocation OH and Target 2025" sheetId="21" r:id="rId25"/>
    <sheet name="Admin Expenses 2026" sheetId="22" r:id="rId26"/>
    <sheet name="Admin Expenses 2025" sheetId="23" r:id="rId27"/>
    <sheet name="Admin Expenses 2024" sheetId="24" r:id="rId28"/>
    <sheet name="Payroll 2026" sheetId="25" r:id="rId29"/>
    <sheet name="Payroll 2025" sheetId="26" r:id="rId30"/>
    <sheet name="Actual Sales 2025" sheetId="27" r:id="rId31"/>
    <sheet name="NEW Actual Sales Jan-Nov 2024" sheetId="28" r:id="rId32"/>
    <sheet name="OLD Actual Sales Jan-Mar 2024" sheetId="29" r:id="rId33"/>
    <sheet name="Cash Flow Statement 6M 2025" sheetId="30" r:id="rId34"/>
    <sheet name="Cash Flow Statement 2024" sheetId="31" r:id="rId35"/>
    <sheet name="BS 6M 2025" sheetId="32" r:id="rId36"/>
    <sheet name="BS 2024" sheetId="33" r:id="rId37"/>
    <sheet name="PnL 6M 2025" sheetId="34" r:id="rId38"/>
    <sheet name="PnL 2025" sheetId="35" r:id="rId39"/>
    <sheet name="PnL 2024" sheetId="36" r:id="rId40"/>
    <sheet name="PnL 2023" sheetId="37" r:id="rId41"/>
    <sheet name="Monthly PnL 2024" sheetId="38" r:id="rId42"/>
    <sheet name="PnL 2024 (Old)" sheetId="39" r:id="rId43"/>
    <sheet name="MOD - Discount Options" sheetId="40" r:id="rId44"/>
    <sheet name="MBT Private Tours" sheetId="41" r:id="rId45"/>
    <sheet name="ANC and JA20 Pricing" sheetId="42" r:id="rId46"/>
    <sheet name="Klook - Land Tour Only" sheetId="43" r:id="rId47"/>
    <sheet name="Restaurants" sheetId="44" r:id="rId48"/>
    <sheet name="Old NP.one and Odoo Boat Prices" sheetId="45" r:id="rId49"/>
  </sheets>
</workbook>
</file>

<file path=xl/comments1.xml><?xml version="1.0" encoding="utf-8"?>
<comments xmlns="http://schemas.openxmlformats.org/spreadsheetml/2006/main">
  <authors>
    <author>Karim Toleutayev</author>
  </authors>
  <commentList>
    <comment ref="K7" authorId="0">
      <text>
        <r>
          <rPr>
            <sz val="11"/>
            <color indexed="8"/>
            <rFont val="Helvetica Neue"/>
          </rPr>
          <t>Karim Toleutayev:
Note this month includes -458 jt. of Dedean share paid for 2023 and 2024</t>
        </r>
      </text>
    </comment>
  </commentList>
</comments>
</file>

<file path=xl/comments2.xml><?xml version="1.0" encoding="utf-8"?>
<comments xmlns="http://schemas.openxmlformats.org/spreadsheetml/2006/main">
  <authors>
    <author>Karim Toleutayev</author>
  </authors>
  <commentList>
    <comment ref="Z535" authorId="0">
      <text>
        <r>
          <rPr>
            <sz val="11"/>
            <color indexed="8"/>
            <rFont val="Helvetica Neue"/>
          </rPr>
          <t>Karim Toleutayev:
For Blue Marlin Class we also get 10% comission from the listed price and hence target rpice accomodates this income</t>
        </r>
      </text>
    </comment>
    <comment ref="Z558" authorId="0">
      <text>
        <r>
          <rPr>
            <sz val="11"/>
            <color indexed="8"/>
            <rFont val="Helvetica Neue"/>
          </rPr>
          <t>Karim Toleutayev:
For Blue Marlin Class we also get 10% comission from the listed price and hence target rpice accomodates this income</t>
        </r>
      </text>
    </comment>
    <comment ref="Z581" authorId="0">
      <text>
        <r>
          <rPr>
            <sz val="11"/>
            <color indexed="8"/>
            <rFont val="Helvetica Neue"/>
          </rPr>
          <t>Karim Toleutayev:
For Blue Marlin Class we also get 10% comission from the listed price and hence target rpice accomodates this income</t>
        </r>
      </text>
    </comment>
    <comment ref="Z604" authorId="0">
      <text>
        <r>
          <rPr>
            <sz val="11"/>
            <color indexed="8"/>
            <rFont val="Helvetica Neue"/>
          </rPr>
          <t>Karim Toleutayev:
For Blue Marlin Class we also get 10% comission from the listed price and hence target rpice accomodates this income</t>
        </r>
      </text>
    </comment>
    <comment ref="Z719" authorId="0">
      <text>
        <r>
          <rPr>
            <sz val="11"/>
            <color indexed="8"/>
            <rFont val="Helvetica Neue"/>
          </rPr>
          <t>Karim Toleutayev:
For Blue Marlin Class we also get 10% comission from the listed price and hence target rpice accomodates this income</t>
        </r>
      </text>
    </comment>
    <comment ref="Z742" authorId="0">
      <text>
        <r>
          <rPr>
            <sz val="11"/>
            <color indexed="8"/>
            <rFont val="Helvetica Neue"/>
          </rPr>
          <t>Karim Toleutayev:
For Blue Marlin Class we also get 10% comission from the listed price and hence target rpice accomodates this income</t>
        </r>
      </text>
    </comment>
    <comment ref="Z765" authorId="0">
      <text>
        <r>
          <rPr>
            <sz val="11"/>
            <color indexed="8"/>
            <rFont val="Helvetica Neue"/>
          </rPr>
          <t>Karim Toleutayev:
For Blue Marlin Class we also get 10% comission from the listed price and hence target rpice accomodates this income</t>
        </r>
      </text>
    </comment>
    <comment ref="Z841" authorId="0">
      <text>
        <r>
          <rPr>
            <sz val="11"/>
            <color indexed="8"/>
            <rFont val="Helvetica Neue"/>
          </rPr>
          <t>Karim Toleutayev:
For Blue Marlin Class we also get 10% comission from the listed price and hence target rpice accomodates this income</t>
        </r>
      </text>
    </comment>
    <comment ref="Z892" authorId="0">
      <text>
        <r>
          <rPr>
            <sz val="11"/>
            <color indexed="8"/>
            <rFont val="Helvetica Neue"/>
          </rPr>
          <t>Karim Toleutayev:
For Blue Marlin Class we also get 10% comission from the listed price and hence target rpice accomodates this income</t>
        </r>
      </text>
    </comment>
    <comment ref="Z938" authorId="0">
      <text>
        <r>
          <rPr>
            <sz val="11"/>
            <color indexed="8"/>
            <rFont val="Helvetica Neue"/>
          </rPr>
          <t>Karim Toleutayev:
For Blue Marlin Class we also get 10% comission from the listed price and hence target rpice accomodates this income</t>
        </r>
      </text>
    </comment>
  </commentList>
</comments>
</file>

<file path=xl/comments3.xml><?xml version="1.0" encoding="utf-8"?>
<comments xmlns="http://schemas.openxmlformats.org/spreadsheetml/2006/main">
  <authors>
    <author>Karim Toleutayev</author>
  </authors>
  <commentList>
    <comment ref="J51" authorId="0">
      <text>
        <r>
          <rPr>
            <sz val="11"/>
            <color indexed="8"/>
            <rFont val="Helvetica Neue"/>
          </rPr>
          <t xml:space="preserve">Karim Toleutayev:
Extra for Manta Point </t>
        </r>
      </text>
    </comment>
  </commentList>
</comments>
</file>

<file path=xl/comments4.xml><?xml version="1.0" encoding="utf-8"?>
<comments xmlns="http://schemas.openxmlformats.org/spreadsheetml/2006/main">
  <authors>
    <author>Karim Toleutayev</author>
  </authors>
  <commentList>
    <comment ref="E55" authorId="0">
      <text>
        <r>
          <rPr>
            <sz val="11"/>
            <color indexed="8"/>
            <rFont val="Helvetica Neue"/>
          </rPr>
          <t>Karim Toleutayev:
Delisted</t>
        </r>
      </text>
    </comment>
    <comment ref="E56" authorId="0">
      <text>
        <r>
          <rPr>
            <sz val="11"/>
            <color indexed="8"/>
            <rFont val="Helvetica Neue"/>
          </rPr>
          <t>Karim Toleutayev:
Delisted</t>
        </r>
      </text>
    </comment>
    <comment ref="E66" authorId="0">
      <text>
        <r>
          <rPr>
            <sz val="11"/>
            <color indexed="8"/>
            <rFont val="Helvetica Neue"/>
          </rPr>
          <t>Karim Toleutayev:
Delisted</t>
        </r>
      </text>
    </comment>
    <comment ref="E68" authorId="0">
      <text>
        <r>
          <rPr>
            <sz val="11"/>
            <color indexed="8"/>
            <rFont val="Helvetica Neue"/>
          </rPr>
          <t>Karim Toleutayev:
Delisted</t>
        </r>
      </text>
    </comment>
    <comment ref="E69" authorId="0">
      <text>
        <r>
          <rPr>
            <sz val="11"/>
            <color indexed="8"/>
            <rFont val="Helvetica Neue"/>
          </rPr>
          <t>Karim Toleutayev:
Delisted</t>
        </r>
      </text>
    </comment>
    <comment ref="E81" authorId="0">
      <text>
        <r>
          <rPr>
            <sz val="11"/>
            <color indexed="8"/>
            <rFont val="Helvetica Neue"/>
          </rPr>
          <t>Karim Toleutayev:
Delisted</t>
        </r>
      </text>
    </comment>
    <comment ref="E82" authorId="0">
      <text>
        <r>
          <rPr>
            <sz val="11"/>
            <color indexed="8"/>
            <rFont val="Helvetica Neue"/>
          </rPr>
          <t>Karim Toleutayev:
Delisted</t>
        </r>
      </text>
    </comment>
    <comment ref="E83" authorId="0">
      <text>
        <r>
          <rPr>
            <sz val="11"/>
            <color indexed="8"/>
            <rFont val="Helvetica Neue"/>
          </rPr>
          <t>Karim Toleutayev:
Delisted</t>
        </r>
      </text>
    </comment>
    <comment ref="E84" authorId="0">
      <text>
        <r>
          <rPr>
            <sz val="11"/>
            <color indexed="8"/>
            <rFont val="Helvetica Neue"/>
          </rPr>
          <t>Karim Toleutayev:
Delisted</t>
        </r>
      </text>
    </comment>
    <comment ref="E88" authorId="0">
      <text>
        <r>
          <rPr>
            <sz val="11"/>
            <color indexed="8"/>
            <rFont val="Helvetica Neue"/>
          </rPr>
          <t>Karim Toleutayev:
Delisted</t>
        </r>
      </text>
    </comment>
    <comment ref="E91" authorId="0">
      <text>
        <r>
          <rPr>
            <sz val="11"/>
            <color indexed="8"/>
            <rFont val="Helvetica Neue"/>
          </rPr>
          <t>Karim Toleutayev:
Delisted</t>
        </r>
      </text>
    </comment>
  </commentList>
</comments>
</file>

<file path=xl/comments5.xml><?xml version="1.0" encoding="utf-8"?>
<comments xmlns="http://schemas.openxmlformats.org/spreadsheetml/2006/main">
  <authors>
    <author>Karim Toleutayev</author>
  </authors>
  <commentList>
    <comment ref="J47" authorId="0">
      <text>
        <r>
          <rPr>
            <sz val="11"/>
            <color indexed="8"/>
            <rFont val="Helvetica Neue"/>
          </rPr>
          <t xml:space="preserve">Karim Toleutayev:
Extra for Manta Point </t>
        </r>
      </text>
    </comment>
  </commentList>
</comments>
</file>

<file path=xl/comments6.xml><?xml version="1.0" encoding="utf-8"?>
<comments xmlns="http://schemas.openxmlformats.org/spreadsheetml/2006/main">
  <authors>
    <author>Karim Toleutayev</author>
    <author>Карим Толеутаев</author>
  </authors>
  <commentList>
    <comment ref="L13" authorId="0">
      <text>
        <r>
          <rPr>
            <sz val="11"/>
            <color indexed="8"/>
            <rFont val="Helvetica Neue"/>
          </rPr>
          <t>Karim Toleutayev:
New boat, 7 months of 2024</t>
        </r>
      </text>
    </comment>
    <comment ref="L22" authorId="1">
      <text>
        <r>
          <rPr>
            <sz val="11"/>
            <color indexed="8"/>
            <rFont val="Helvetica Neue"/>
          </rPr>
          <t>Карим Толеутаев:
Joined in July 2025</t>
        </r>
      </text>
    </comment>
    <comment ref="E51" authorId="0">
      <text>
        <r>
          <rPr>
            <sz val="11"/>
            <color indexed="8"/>
            <rFont val="Helvetica Neue"/>
          </rPr>
          <t>Karim Toleutayev:
Delisted</t>
        </r>
      </text>
    </comment>
    <comment ref="E52" authorId="0">
      <text>
        <r>
          <rPr>
            <sz val="11"/>
            <color indexed="8"/>
            <rFont val="Helvetica Neue"/>
          </rPr>
          <t>Karim Toleutayev:
Delisted</t>
        </r>
      </text>
    </comment>
    <comment ref="E62" authorId="0">
      <text>
        <r>
          <rPr>
            <sz val="11"/>
            <color indexed="8"/>
            <rFont val="Helvetica Neue"/>
          </rPr>
          <t>Karim Toleutayev:
Delisted</t>
        </r>
      </text>
    </comment>
    <comment ref="E64" authorId="0">
      <text>
        <r>
          <rPr>
            <sz val="11"/>
            <color indexed="8"/>
            <rFont val="Helvetica Neue"/>
          </rPr>
          <t>Karim Toleutayev:
Delisted</t>
        </r>
      </text>
    </comment>
    <comment ref="E65" authorId="0">
      <text>
        <r>
          <rPr>
            <sz val="11"/>
            <color indexed="8"/>
            <rFont val="Helvetica Neue"/>
          </rPr>
          <t>Karim Toleutayev:
Delisted</t>
        </r>
      </text>
    </comment>
    <comment ref="E73" authorId="0">
      <text>
        <r>
          <rPr>
            <sz val="11"/>
            <color indexed="8"/>
            <rFont val="Helvetica Neue"/>
          </rPr>
          <t>Karim Toleutayev:
Delisted</t>
        </r>
      </text>
    </comment>
    <comment ref="E74" authorId="0">
      <text>
        <r>
          <rPr>
            <sz val="11"/>
            <color indexed="8"/>
            <rFont val="Helvetica Neue"/>
          </rPr>
          <t>Karim Toleutayev:
Delisted</t>
        </r>
      </text>
    </comment>
    <comment ref="E75" authorId="0">
      <text>
        <r>
          <rPr>
            <sz val="11"/>
            <color indexed="8"/>
            <rFont val="Helvetica Neue"/>
          </rPr>
          <t>Karim Toleutayev:
Delisted</t>
        </r>
      </text>
    </comment>
    <comment ref="E76" authorId="0">
      <text>
        <r>
          <rPr>
            <sz val="11"/>
            <color indexed="8"/>
            <rFont val="Helvetica Neue"/>
          </rPr>
          <t>Karim Toleutayev:
Delisted</t>
        </r>
      </text>
    </comment>
    <comment ref="E80" authorId="0">
      <text>
        <r>
          <rPr>
            <sz val="11"/>
            <color indexed="8"/>
            <rFont val="Helvetica Neue"/>
          </rPr>
          <t>Karim Toleutayev:
Delisted</t>
        </r>
      </text>
    </comment>
    <comment ref="E87" authorId="0">
      <text>
        <r>
          <rPr>
            <sz val="11"/>
            <color indexed="8"/>
            <rFont val="Helvetica Neue"/>
          </rPr>
          <t>Karim Toleutayev:
Delisted</t>
        </r>
      </text>
    </comment>
  </commentList>
</comments>
</file>

<file path=xl/comments7.xml><?xml version="1.0" encoding="utf-8"?>
<comments xmlns="http://schemas.openxmlformats.org/spreadsheetml/2006/main">
  <authors>
    <author>Karim Toleutayev</author>
  </authors>
  <commentList>
    <comment ref="G19" authorId="0">
      <text>
        <r>
          <rPr>
            <sz val="11"/>
            <color indexed="8"/>
            <rFont val="Helvetica Neue"/>
          </rPr>
          <t xml:space="preserve">Karim Toleutayev:
See bewlow under "Wages and Salaries" </t>
        </r>
      </text>
    </comment>
  </commentList>
</comments>
</file>

<file path=xl/comments8.xml><?xml version="1.0" encoding="utf-8"?>
<comments xmlns="http://schemas.openxmlformats.org/spreadsheetml/2006/main">
  <authors>
    <author>Karim Toleutayev</author>
  </authors>
  <commentList>
    <comment ref="G19" authorId="0">
      <text>
        <r>
          <rPr>
            <sz val="11"/>
            <color indexed="8"/>
            <rFont val="Helvetica Neue"/>
          </rPr>
          <t xml:space="preserve">Karim Toleutayev:
See bewlow under "Wages and Salaries" </t>
        </r>
      </text>
    </comment>
  </commentList>
</comments>
</file>

<file path=xl/comments9.xml><?xml version="1.0" encoding="utf-8"?>
<comments xmlns="http://schemas.openxmlformats.org/spreadsheetml/2006/main">
  <authors>
    <author>Kassy</author>
    <author>Sheny Chiang</author>
  </authors>
  <commentList>
    <comment ref="G6" authorId="0">
      <text>
        <r>
          <rPr>
            <sz val="11"/>
            <color indexed="8"/>
            <rFont val="Helvetica Neue"/>
          </rPr>
          <t>Kassy:
Nominee 3 PT
PT Bahari
PT Riki Boat Charter
PT Serangan Boat Charter</t>
        </r>
      </text>
    </comment>
    <comment ref="C7" authorId="1">
      <text>
        <r>
          <rPr>
            <sz val="11"/>
            <color indexed="8"/>
            <rFont val="Helvetica Neue"/>
          </rPr>
          <t>Sheny Chiang:
Head of Boat Manager 
start : 22 Jan 2024
Salary 30jt ( 10jt transfer + 20 jj cash + bonus ) 
1-21 Jan = 10jt 
22-31 = 30jt</t>
        </r>
      </text>
    </comment>
    <comment ref="G7" authorId="0">
      <text>
        <r>
          <rPr>
            <sz val="11"/>
            <color indexed="8"/>
            <rFont val="Helvetica Neue"/>
          </rPr>
          <t>Kassy:
Nominee 4 PT
Nominee 3 PT
PT Bahari
PT Riki Boat Charter
PT Madu Susu
PT Jetski</t>
        </r>
      </text>
    </comment>
    <comment ref="F11" authorId="1">
      <text>
        <r>
          <rPr>
            <sz val="11"/>
            <color indexed="8"/>
            <rFont val="Helvetica Neue"/>
          </rPr>
          <t>Sheny Chiang:
Bonus Review + Editing Photo</t>
        </r>
      </text>
    </comment>
    <comment ref="F17" authorId="0">
      <text>
        <r>
          <rPr>
            <sz val="11"/>
            <color indexed="8"/>
            <rFont val="Helvetica Neue"/>
          </rPr>
          <t>Kassy:
Purchasing</t>
        </r>
      </text>
    </comment>
    <comment ref="F18" authorId="0">
      <text>
        <r>
          <rPr>
            <sz val="11"/>
            <color indexed="8"/>
            <rFont val="Helvetica Neue"/>
          </rPr>
          <t>Kassy:
Fruit preparation</t>
        </r>
      </text>
    </comment>
    <comment ref="F19" authorId="0">
      <text>
        <r>
          <rPr>
            <sz val="11"/>
            <color indexed="8"/>
            <rFont val="Helvetica Neue"/>
          </rPr>
          <t>Kassy:
Afternoon Cleaner</t>
        </r>
      </text>
    </comment>
    <comment ref="F21" authorId="0">
      <text>
        <r>
          <rPr>
            <sz val="11"/>
            <color indexed="8"/>
            <rFont val="Helvetica Neue"/>
          </rPr>
          <t>Kassy:
Photo Editor</t>
        </r>
      </text>
    </comment>
    <comment ref="D24" authorId="1">
      <text>
        <r>
          <rPr>
            <sz val="11"/>
            <color indexed="8"/>
            <rFont val="Helvetica Neue"/>
          </rPr>
          <t>Sheny Chiang:
Salary 7jt</t>
        </r>
      </text>
    </comment>
    <comment ref="F25" authorId="0">
      <text>
        <r>
          <rPr>
            <sz val="11"/>
            <color indexed="8"/>
            <rFont val="Helvetica Neue"/>
          </rPr>
          <t>Kassy:
Tax Admin PT Bluuu, Cv Bahari, PT Bahari</t>
        </r>
      </text>
    </comment>
    <comment ref="G37" authorId="0">
      <text>
        <r>
          <rPr>
            <sz val="11"/>
            <color indexed="8"/>
            <rFont val="Helvetica Neue"/>
          </rPr>
          <t>Kassy:
Handling incoming call</t>
        </r>
      </text>
    </comment>
  </commentList>
</comments>
</file>

<file path=xl/comments10.xml><?xml version="1.0" encoding="utf-8"?>
<comments xmlns="http://schemas.openxmlformats.org/spreadsheetml/2006/main">
  <authors>
    <author>Sheny Chiang</author>
  </authors>
  <commentList>
    <comment ref="C7" authorId="0">
      <text>
        <r>
          <rPr>
            <sz val="11"/>
            <color indexed="8"/>
            <rFont val="Helvetica Neue"/>
          </rPr>
          <t>Sheny Chiang:
Head of Boat Manager 
start : 22 Jan 2024
Salary 30jt ( 10jt transfer + 20 jj cash + bonus ) 
1-21 Jan = 10jt 
22-31 = 30jt</t>
        </r>
      </text>
    </comment>
    <comment ref="F11" authorId="0">
      <text>
        <r>
          <rPr>
            <sz val="11"/>
            <color indexed="8"/>
            <rFont val="Helvetica Neue"/>
          </rPr>
          <t xml:space="preserve">Sheny Chiang:
Bonus Review - Sept </t>
        </r>
      </text>
    </comment>
    <comment ref="D25" authorId="0">
      <text>
        <r>
          <rPr>
            <sz val="11"/>
            <color indexed="8"/>
            <rFont val="Helvetica Neue"/>
          </rPr>
          <t>Sheny Chiang:
Salary 7jt</t>
        </r>
      </text>
    </comment>
    <comment ref="C26" authorId="0">
      <text>
        <r>
          <rPr>
            <sz val="11"/>
            <color indexed="8"/>
            <rFont val="Helvetica Neue"/>
          </rPr>
          <t>Sheny Chiang:
Start 15 April , basic 4.5jt</t>
        </r>
      </text>
    </comment>
    <comment ref="C28" authorId="0">
      <text>
        <r>
          <rPr>
            <sz val="11"/>
            <color indexed="8"/>
            <rFont val="Helvetica Neue"/>
          </rPr>
          <t>Sheny Chiang:
Salary 3.5jt</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<sst xmlns="http://schemas.openxmlformats.org/spreadsheetml/2006/main" uniqueCount="4273">
  <si>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</si>
  <si>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</si>
  <si>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</si>
  <si>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</si>
  <si>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RECOMMENDED PRICES</t>
  </si>
  <si>
    <t>Table 1</t>
  </si>
  <si>
    <t>Hidden comments</t>
  </si>
  <si>
    <t>TOUR</t>
  </si>
  <si>
    <t>BOAT CLASS</t>
  </si>
  <si>
    <t>AVERAGE TARGET TRIP RATE</t>
  </si>
  <si>
    <t>AVERAGE TARGET BOAT OCCUPANCY</t>
  </si>
  <si>
    <t>Shared</t>
  </si>
  <si>
    <t>Primary</t>
  </si>
  <si>
    <t>Private</t>
  </si>
  <si>
    <t>N/A</t>
  </si>
  <si>
    <t>Secondary</t>
  </si>
  <si>
    <t>STANDARD SHARED TOURS</t>
  </si>
  <si>
    <t>RECOMMENDED</t>
  </si>
  <si>
    <t>Actual Updated Prices</t>
  </si>
  <si>
    <t>TOTAL BASE for TripAdvisor (25%)</t>
  </si>
  <si>
    <t>TOTAL BASE for Klook (25%)</t>
  </si>
  <si>
    <t>TOTAL BASE for AirBnB (20%)</t>
  </si>
  <si>
    <t>PRICE PER PASSENGER</t>
  </si>
  <si>
    <t>PRICES FOR HIGH SEASON +10%</t>
  </si>
  <si>
    <t>PREMIUM SHARED TOURS</t>
  </si>
  <si>
    <t>PRIVATE TOURS</t>
  </si>
  <si>
    <t>Recommended</t>
  </si>
  <si>
    <t>Actual Price at Bluuu.tours</t>
  </si>
  <si>
    <t>TO INCREASE/ TO DECREASE</t>
  </si>
  <si>
    <t>DTB10 Code NP.ONE Price</t>
  </si>
  <si>
    <t>PUBLISHED PRICE</t>
  </si>
  <si>
    <t>NET PROFIT</t>
  </si>
  <si>
    <t>NPM</t>
  </si>
  <si>
    <t>AGENT FEE %</t>
  </si>
  <si>
    <t xml:space="preserve">AGENT FEE </t>
  </si>
  <si>
    <t>PRICES FOR GETMYBOAT</t>
  </si>
  <si>
    <t>ABSOLUTE MINIMUM</t>
  </si>
  <si>
    <t>PRICES FOR BALICOPTER</t>
  </si>
  <si>
    <t>Recommended Base Price:</t>
  </si>
  <si>
    <t>RECOMMENED BASE PRICE PER TOUR</t>
  </si>
  <si>
    <t>Recommended Boat Upgrade Price:</t>
  </si>
  <si>
    <t>O</t>
  </si>
  <si>
    <r>
      <rPr>
        <sz val="11"/>
        <color indexed="14"/>
        <rFont val="Amasis MT Pro"/>
      </rPr>
      <t>Sweetheart 4</t>
    </r>
  </si>
  <si>
    <r>
      <rPr>
        <sz val="11"/>
        <color indexed="14"/>
        <rFont val="Amasis MT Pro"/>
      </rPr>
      <t>Riki J</t>
    </r>
  </si>
  <si>
    <r>
      <rPr>
        <sz val="11"/>
        <color indexed="14"/>
        <rFont val="Amasis MT Pro"/>
      </rPr>
      <t>Sanjaya</t>
    </r>
  </si>
  <si>
    <r>
      <rPr>
        <sz val="11"/>
        <color indexed="14"/>
        <rFont val="Amasis MT Pro"/>
      </rPr>
      <t>Lady Manta</t>
    </r>
  </si>
  <si>
    <r>
      <rPr>
        <sz val="11"/>
        <color indexed="14"/>
        <rFont val="Amasis MT Pro"/>
      </rPr>
      <t>Jayanadi</t>
    </r>
  </si>
  <si>
    <r>
      <rPr>
        <sz val="11"/>
        <color indexed="14"/>
        <rFont val="Amasis MT Pro"/>
      </rPr>
      <t>Sea Dragon</t>
    </r>
  </si>
  <si>
    <t>Sanjaya O4</t>
  </si>
  <si>
    <t>Sanjaya O5</t>
  </si>
  <si>
    <t>Almond Milk</t>
  </si>
  <si>
    <t>Honey Milk</t>
  </si>
  <si>
    <t>Eldorado 1</t>
  </si>
  <si>
    <t>Eldorado 2 - Arya</t>
  </si>
  <si>
    <t>Eldorado 3 - Evgenii</t>
  </si>
  <si>
    <t>Eldorado 4 - Vadim</t>
  </si>
  <si>
    <t>Eldorado 5 - Robert</t>
  </si>
  <si>
    <t>Eldorado 6 - Vadim</t>
  </si>
  <si>
    <t>Boat Angels</t>
  </si>
  <si>
    <t>D</t>
  </si>
  <si>
    <r>
      <rPr>
        <sz val="11"/>
        <color indexed="14"/>
        <rFont val="Amasis MT Pro"/>
      </rPr>
      <t>Seven Heaven</t>
    </r>
  </si>
  <si>
    <t>Delisted</t>
  </si>
  <si>
    <r>
      <rPr>
        <sz val="11"/>
        <color indexed="14"/>
        <rFont val="Amasis MT Pro"/>
      </rPr>
      <t>Mironia</t>
    </r>
  </si>
  <si>
    <r>
      <rPr>
        <sz val="11"/>
        <color indexed="14"/>
        <rFont val="Amasis MT Pro"/>
      </rPr>
      <t>Little Star</t>
    </r>
  </si>
  <si>
    <t>No fee</t>
  </si>
  <si>
    <t>Notes KT:</t>
  </si>
  <si>
    <t>P</t>
  </si>
  <si>
    <r>
      <rPr>
        <sz val="11"/>
        <color indexed="14"/>
        <rFont val="Amasis MT Pro"/>
      </rPr>
      <t>Rara</t>
    </r>
  </si>
  <si>
    <t>Rara was decreased by 1.3 jt. as recommended (old boat with too many complains) -&gt; confirmed with Viod and Rozen</t>
  </si>
  <si>
    <r>
      <rPr>
        <sz val="11"/>
        <color indexed="14"/>
        <rFont val="Amasis MT Pro"/>
      </rPr>
      <t>Small Sweetheart</t>
    </r>
  </si>
  <si>
    <r>
      <rPr>
        <sz val="11"/>
        <color indexed="14"/>
        <rFont val="Amasis MT Pro"/>
      </rPr>
      <t>Dedean</t>
    </r>
  </si>
  <si>
    <r>
      <rPr>
        <sz val="11"/>
        <color indexed="14"/>
        <rFont val="Amasis MT Pro"/>
      </rPr>
      <t>King Fish</t>
    </r>
  </si>
  <si>
    <t>Increased by 1.5 jt. tho we still accept it's a lower margin boat -&gt; to follow up bookings stats in May -&gt; confirmed with Void</t>
  </si>
  <si>
    <r>
      <rPr>
        <sz val="11"/>
        <color indexed="14"/>
        <rFont val="Amasis MT Pro"/>
      </rPr>
      <t>Big Little Star</t>
    </r>
  </si>
  <si>
    <r>
      <rPr>
        <sz val="11"/>
        <color indexed="14"/>
        <rFont val="Amasis MT Pro"/>
      </rPr>
      <t>Dhea</t>
    </r>
  </si>
  <si>
    <t>Decrease by 1.5 jt. On website</t>
  </si>
  <si>
    <r>
      <rPr>
        <sz val="11"/>
        <color indexed="14"/>
        <rFont val="Amasis MT Pro"/>
      </rPr>
      <t>Big Blue</t>
    </r>
  </si>
  <si>
    <r>
      <rPr>
        <sz val="11"/>
        <color indexed="14"/>
        <rFont val="Amasis MT Pro"/>
      </rPr>
      <t>Seahorse</t>
    </r>
  </si>
  <si>
    <r>
      <rPr>
        <sz val="11"/>
        <color indexed="14"/>
        <rFont val="Amasis MT Pro"/>
      </rPr>
      <t>Paradise Catamaran 4h</t>
    </r>
  </si>
  <si>
    <r>
      <rPr>
        <sz val="11"/>
        <color indexed="14"/>
        <rFont val="Amasis MT Pro"/>
      </rPr>
      <t>Paradise Catamaran 8h</t>
    </r>
  </si>
  <si>
    <r>
      <rPr>
        <sz val="11"/>
        <color indexed="14"/>
        <rFont val="Amasis MT Pro"/>
      </rPr>
      <t>Rising</t>
    </r>
  </si>
  <si>
    <t>No bookings for this boat</t>
  </si>
  <si>
    <r>
      <rPr>
        <sz val="11"/>
        <color indexed="14"/>
        <rFont val="Amasis MT Pro"/>
      </rPr>
      <t>Wahoo</t>
    </r>
  </si>
  <si>
    <t>Decrease by 1.3 jt. On website</t>
  </si>
  <si>
    <r>
      <rPr>
        <sz val="11"/>
        <color indexed="14"/>
        <rFont val="Amasis MT Pro"/>
      </rPr>
      <t>Queen Ruizi 18</t>
    </r>
  </si>
  <si>
    <t>Boat was delisted, inadequate boat owner -&gt; confirmed with Rozen and Void</t>
  </si>
  <si>
    <r>
      <rPr>
        <sz val="11"/>
        <color indexed="14"/>
        <rFont val="Amasis MT Pro"/>
      </rPr>
      <t>Yacht F-13 meters</t>
    </r>
  </si>
  <si>
    <t>Yacht F-13 deacreased by 1.0 jt. And another 1.0 jt. And another 2.5 jt.</t>
  </si>
  <si>
    <t>Decrease by 2.0 jt. On website</t>
  </si>
  <si>
    <r>
      <rPr>
        <sz val="11"/>
        <color indexed="14"/>
        <rFont val="Amasis MT Pro"/>
      </rPr>
      <t>My Darling</t>
    </r>
  </si>
  <si>
    <t xml:space="preserve">Boat to be listed on nusapenida.one separately from Jayanadi -&gt; TO DO: ask Geebran to make photo and list with 2.6 jt. upgrade price </t>
  </si>
  <si>
    <r>
      <rPr>
        <sz val="11"/>
        <color indexed="14"/>
        <rFont val="Amasis MT Pro"/>
      </rPr>
      <t>Yacht R42</t>
    </r>
  </si>
  <si>
    <t>This boat is listed at nusapenida.one for a variety -&gt; don't change</t>
  </si>
  <si>
    <r>
      <rPr>
        <sz val="11"/>
        <color indexed="14"/>
        <rFont val="Amasis MT Pro"/>
      </rPr>
      <t>Yacht S49</t>
    </r>
  </si>
  <si>
    <r>
      <rPr>
        <sz val="11"/>
        <color indexed="14"/>
        <rFont val="Amasis MT Pro"/>
      </rPr>
      <t>Yacht Lux O17</t>
    </r>
  </si>
  <si>
    <t>Yacht T13 decreased by 1.2 jt. -&gt; Confirmed by Void and Rozen</t>
  </si>
  <si>
    <t>Yacht Lux O17 increased by 3.8 jt. -&gt; confirmed with Void</t>
  </si>
  <si>
    <r>
      <rPr>
        <sz val="11"/>
        <color indexed="14"/>
        <rFont val="Amasis MT Pro"/>
      </rPr>
      <t>Yacht T13</t>
    </r>
  </si>
  <si>
    <t>Decrease by 1.1 jt. On website</t>
  </si>
  <si>
    <t>Yacht Lux WL 14</t>
  </si>
  <si>
    <t>Ok, we go with a lower margin here</t>
  </si>
  <si>
    <t>Aneecha Catamaran</t>
  </si>
  <si>
    <t>Pula Catamaran (small)</t>
  </si>
  <si>
    <t>Queen Ruizi 10</t>
  </si>
  <si>
    <t>Queen Ruizi 12</t>
  </si>
  <si>
    <t>Jet Asia Yacht</t>
  </si>
  <si>
    <t>Lux Yacht AR55</t>
  </si>
  <si>
    <t>Yacht AM37</t>
  </si>
  <si>
    <t>Boat BD99</t>
  </si>
  <si>
    <t>Yacht RZ50</t>
  </si>
  <si>
    <t>Premium Yacht AZ50</t>
  </si>
  <si>
    <t>Boat MW40</t>
  </si>
  <si>
    <t>Boat KR-13</t>
  </si>
  <si>
    <t>Blue Marlin Class:</t>
  </si>
  <si>
    <r>
      <rPr>
        <sz val="11"/>
        <color indexed="14"/>
        <rFont val="Amasis MT Pro"/>
      </rPr>
      <t>Lux Yacht BM55</t>
    </r>
  </si>
  <si>
    <t>We accept that Blue Marlin Class is a lower margin product with only 7% gross and 4% nett margin</t>
  </si>
  <si>
    <r>
      <rPr>
        <sz val="11"/>
        <color indexed="14"/>
        <rFont val="Amasis MT Pro"/>
      </rPr>
      <t>Yacht BM49</t>
    </r>
  </si>
  <si>
    <r>
      <rPr>
        <sz val="11"/>
        <color indexed="14"/>
        <rFont val="Amasis MT Pro"/>
      </rPr>
      <t>Yacht Lux M13</t>
    </r>
  </si>
  <si>
    <r>
      <rPr>
        <sz val="11"/>
        <color indexed="14"/>
        <rFont val="Amasis MT Pro"/>
      </rPr>
      <t>Premium Yacht BM42</t>
    </r>
  </si>
  <si>
    <t>PRIVATE BOAT CASSES</t>
  </si>
  <si>
    <t>Net Prices Agents</t>
  </si>
  <si>
    <t>Extra Pax Charge</t>
  </si>
  <si>
    <t>In IDR</t>
  </si>
  <si>
    <t>Small Boats</t>
  </si>
  <si>
    <t>No Guide</t>
  </si>
  <si>
    <t>Standard Boats</t>
  </si>
  <si>
    <t>With Guide</t>
  </si>
  <si>
    <t>Premium Boats</t>
  </si>
  <si>
    <t>Global Target</t>
  </si>
  <si>
    <t>Bluuu.tours</t>
  </si>
  <si>
    <t>WhatsApp 
Web and other</t>
  </si>
  <si>
    <t>TripAdvisor</t>
  </si>
  <si>
    <t>Klook</t>
  </si>
  <si>
    <t>AirBnb</t>
  </si>
  <si>
    <t>TARGET NET PROFIT MARGIN</t>
  </si>
  <si>
    <t>NO LAND TOUR - BASE SEASON</t>
  </si>
  <si>
    <t>Per person base price NO Land Tour</t>
  </si>
  <si>
    <t>Per tour base price NO Land Tour</t>
  </si>
  <si>
    <t>Recommended Base Prices:</t>
  </si>
  <si>
    <t>Recommended Extra Pax +10%</t>
  </si>
  <si>
    <t>Actual Extra Pax +10%</t>
  </si>
  <si>
    <t>Total Base for bluuu.tours</t>
  </si>
  <si>
    <t xml:space="preserve">Total Base for WhatAspp, Web </t>
  </si>
  <si>
    <t>Per Person Base for TripAdvisor (25%)</t>
  </si>
  <si>
    <t>Per Person Base for Klook (20%)</t>
  </si>
  <si>
    <t>Per Person Base for AirBnB (20%)</t>
  </si>
  <si>
    <t>TOTAL BASE for Klook (20%)</t>
  </si>
  <si>
    <t>NP.one Low Season</t>
  </si>
  <si>
    <t>NP.one High or Mid Season</t>
  </si>
  <si>
    <t>TA Standard</t>
  </si>
  <si>
    <t>TA Premium</t>
  </si>
  <si>
    <t>0-6</t>
  </si>
  <si>
    <t>20+</t>
  </si>
  <si>
    <t>NO LAND TOUR - HIGH SEASON PRICES +10% (temporary September-October -500K)</t>
  </si>
  <si>
    <t>WITH LAND TOUR - BASE SEASON</t>
  </si>
  <si>
    <t>Per person base price WITH Land Tour</t>
  </si>
  <si>
    <t>Per tour price WITH Land Tour</t>
  </si>
  <si>
    <t>WITH LAND TOUR - HIGH SEASON PRICES +10% (temporary September-October -500K)</t>
  </si>
  <si>
    <t>PnL 2026 Plan-Forecast</t>
  </si>
  <si>
    <t>PROFIT AND LOSS STATEMENT</t>
  </si>
  <si>
    <t>2026 FORECAST
AND PLAN</t>
  </si>
  <si>
    <t>%</t>
  </si>
  <si>
    <t>Delivered Quantity</t>
  </si>
  <si>
    <t>SALES REVENUE | INCOME</t>
  </si>
  <si>
    <t xml:space="preserve">               Private Tour - Base Price (AirBnb)</t>
  </si>
  <si>
    <t>Less: AirBnB servive comission (20%)</t>
  </si>
  <si>
    <t xml:space="preserve">               Private Tour - Base Price (WhatsApp)</t>
  </si>
  <si>
    <t xml:space="preserve">               Private Tour - Base Price (Nusapenida.one)</t>
  </si>
  <si>
    <t xml:space="preserve">               Private Tour - Base Price (GetMyBoat)</t>
  </si>
  <si>
    <t xml:space="preserve">               Private Tour - Base Price (Bluuu.tours)</t>
  </si>
  <si>
    <t>Less: discount (10%)</t>
  </si>
  <si>
    <t xml:space="preserve">               Private Tour - Base Price (Klook)</t>
  </si>
  <si>
    <t>Less: Klook servive comission (20%)</t>
  </si>
  <si>
    <t xml:space="preserve">               Private Tour - Base Price (TripAdvisor (pv))</t>
  </si>
  <si>
    <t>Less: TripAdvisor servive comission (25%)</t>
  </si>
  <si>
    <t xml:space="preserve">               Private Tour - Base Price (Instagram)</t>
  </si>
  <si>
    <t xml:space="preserve">               Private Tour - Base Price (MyBaliTrips)</t>
  </si>
  <si>
    <t xml:space="preserve">               Private Tour - Base Price (ClickAndBoat)</t>
  </si>
  <si>
    <t xml:space="preserve">               Private Tour - Base Price (LuxEscapes)</t>
  </si>
  <si>
    <t xml:space="preserve">               Private Tour - Base Price (Vio)</t>
  </si>
  <si>
    <t xml:space="preserve">               Private Tour - Base Price (GetYourGuide)</t>
  </si>
  <si>
    <t>Less: GYG servive comission (30%)</t>
  </si>
  <si>
    <t>Private Tour Base Price Total</t>
  </si>
  <si>
    <t>Sweetheart 4</t>
  </si>
  <si>
    <t>Riki J</t>
  </si>
  <si>
    <t>Sanjaya</t>
  </si>
  <si>
    <t>Jayanadi</t>
  </si>
  <si>
    <t>Sea Dragon</t>
  </si>
  <si>
    <t>Big Sweetheart</t>
  </si>
  <si>
    <t>Seven Heaven</t>
  </si>
  <si>
    <t>Mironia</t>
  </si>
  <si>
    <t>Little Star</t>
  </si>
  <si>
    <t>Rara</t>
  </si>
  <si>
    <t>Small Sweetheart</t>
  </si>
  <si>
    <t>Dedean</t>
  </si>
  <si>
    <t>King Fish</t>
  </si>
  <si>
    <t>Big Little Star</t>
  </si>
  <si>
    <t>Dhea</t>
  </si>
  <si>
    <t>Big Blue</t>
  </si>
  <si>
    <t>Seahorse</t>
  </si>
  <si>
    <t>Paradise Catamaran 4h</t>
  </si>
  <si>
    <t>Paradise Catamaran 8h</t>
  </si>
  <si>
    <t>Rising</t>
  </si>
  <si>
    <t>Wahoo</t>
  </si>
  <si>
    <t>Queen Ruizi 18</t>
  </si>
  <si>
    <t>Yacht Lux M13</t>
  </si>
  <si>
    <t>Yacht F-13 meters</t>
  </si>
  <si>
    <t>My Darling</t>
  </si>
  <si>
    <t>Lux Yacht BM55</t>
  </si>
  <si>
    <t>Yacht BM49</t>
  </si>
  <si>
    <t>Yacht R42</t>
  </si>
  <si>
    <t>Yacht S49</t>
  </si>
  <si>
    <t>Premium Yacht BM42</t>
  </si>
  <si>
    <t>Yacht Lux O17</t>
  </si>
  <si>
    <t>Yacht T13</t>
  </si>
  <si>
    <t>Private Boat Upgrade Total</t>
  </si>
  <si>
    <t xml:space="preserve">     Extra Pax (0-6)</t>
  </si>
  <si>
    <t xml:space="preserve">     Extra Pax (7)</t>
  </si>
  <si>
    <t xml:space="preserve">     Extra Pax (8)</t>
  </si>
  <si>
    <t xml:space="preserve">     Extra Pax (9)</t>
  </si>
  <si>
    <t xml:space="preserve">     Extra Pax (10)</t>
  </si>
  <si>
    <t xml:space="preserve">     Extra Pax (11)</t>
  </si>
  <si>
    <t xml:space="preserve">     Extra Pax (12)</t>
  </si>
  <si>
    <t xml:space="preserve">     Extra Pax (13)</t>
  </si>
  <si>
    <t xml:space="preserve">     Extra Pax (14)</t>
  </si>
  <si>
    <t xml:space="preserve">     Extra Pax (15)</t>
  </si>
  <si>
    <t xml:space="preserve">     Extra Pax (20+)</t>
  </si>
  <si>
    <t>Extra Pax Charge Total</t>
  </si>
  <si>
    <t>Shared Tour (AirBnb)</t>
  </si>
  <si>
    <t>Shared Tour (GetMyBoat)</t>
  </si>
  <si>
    <t>Shared Tour (Nusapenida.one)</t>
  </si>
  <si>
    <t>Shared Tour (balibooking.tours)</t>
  </si>
  <si>
    <t>Shared Tour (Klook)</t>
  </si>
  <si>
    <t>Shared Tour (GetYourGuide)</t>
  </si>
  <si>
    <t>Shared Tour (TripAdvisor (sh))</t>
  </si>
  <si>
    <t>Shared Tour (Trip.com)</t>
  </si>
  <si>
    <t>Shared Tour (Headout.com)</t>
  </si>
  <si>
    <t>Shared Tour (Triping)</t>
  </si>
  <si>
    <t>Shared Tour (Luxury Escapes)</t>
  </si>
  <si>
    <t>Shared Tour (MyBaliTrips)</t>
  </si>
  <si>
    <t>Shared Tour (Bluuu.tours)</t>
  </si>
  <si>
    <t>Shared Tour Total</t>
  </si>
  <si>
    <t xml:space="preserve">     Transfer (Pick Up + Drop Off)</t>
  </si>
  <si>
    <t xml:space="preserve">     Transfer (Pick Up)</t>
  </si>
  <si>
    <t xml:space="preserve">     Transfer (No Transfer)</t>
  </si>
  <si>
    <t xml:space="preserve">     Transfer (Drop Off)</t>
  </si>
  <si>
    <t xml:space="preserve">     Transfer (Transfer 600K Pick Up + Drop Off)</t>
  </si>
  <si>
    <t xml:space="preserve">     Transfer (Transfer 300K Pick Up)</t>
  </si>
  <si>
    <t xml:space="preserve">     Transfer (Transfer 300K Drop Off)</t>
  </si>
  <si>
    <t>Transfer Services Total</t>
  </si>
  <si>
    <t>[LTR] Land Tour</t>
  </si>
  <si>
    <t>POS Sales + Extras (Alco and Food)</t>
  </si>
  <si>
    <t>-</t>
  </si>
  <si>
    <t>Extra Services (GoPro10)</t>
  </si>
  <si>
    <t>Extra Services (Full Face Snorkel Mask)</t>
  </si>
  <si>
    <t>Extra Services (Fishing Rods)</t>
  </si>
  <si>
    <t>Extra Services (Kids Full Face Snorkel Mask)</t>
  </si>
  <si>
    <t>Extra Services (Kids Life Jacket (15-20 kg))</t>
  </si>
  <si>
    <t>Extra Services (Kid Life Jacket (20-40 kg))</t>
  </si>
  <si>
    <t>Extra Services (Party Decoration)</t>
  </si>
  <si>
    <t>Extra Services (Pro Photographer + Drone Pilot)</t>
  </si>
  <si>
    <t>Extra Services (Pro Photographer)</t>
  </si>
  <si>
    <t>Extra Services (Drone Pilot)</t>
  </si>
  <si>
    <t>Extra Services (Wetsuit)</t>
  </si>
  <si>
    <t>Extra Services (Advanced Divers)</t>
  </si>
  <si>
    <t>Extra Services (Beginner Divers)</t>
  </si>
  <si>
    <t>Extra Services (Extended Tour)</t>
  </si>
  <si>
    <t>Extra Services (Fully Flexible Ticket)</t>
  </si>
  <si>
    <t>Extra Services (Party Decoration (Size M))</t>
  </si>
  <si>
    <t>Extra Services (Fully Flexible Private Booking)</t>
  </si>
  <si>
    <t>Extra Services (90 min Sports &amp; Stretch Massage)</t>
  </si>
  <si>
    <t>Advanced Divers (Advanced 1-Pax Pack)</t>
  </si>
  <si>
    <t>Beginner Divers (Beginner 1-Pax Pack)</t>
  </si>
  <si>
    <t>Extra Services (Massage Table)</t>
  </si>
  <si>
    <t>Extra Services Total</t>
  </si>
  <si>
    <t>COST OF GOODS SOLD | DIRECT COSTS</t>
  </si>
  <si>
    <t>Cost of Goods Sold - Private Boats Total</t>
  </si>
  <si>
    <t>Cost of Goods Sold - Extra Pax Total</t>
  </si>
  <si>
    <t>Cost of Goods Sold - Shared Tours Total</t>
  </si>
  <si>
    <r>
      <rPr>
        <sz val="9"/>
        <color indexed="14"/>
        <rFont val="Amasis MT Pro"/>
      </rPr>
      <t>Extra Services (GoPro10)</t>
    </r>
  </si>
  <si>
    <r>
      <rPr>
        <sz val="9"/>
        <color indexed="14"/>
        <rFont val="Amasis MT Pro"/>
      </rPr>
      <t>Extra Services (Full Face Snorkel Mask)</t>
    </r>
  </si>
  <si>
    <r>
      <rPr>
        <sz val="9"/>
        <color indexed="14"/>
        <rFont val="Amasis MT Pro"/>
      </rPr>
      <t>Extra Services (Fishing Rods)</t>
    </r>
  </si>
  <si>
    <r>
      <rPr>
        <sz val="9"/>
        <color indexed="14"/>
        <rFont val="Amasis MT Pro"/>
      </rPr>
      <t>Extra Services (Kids Full Face Snorkel Mask)</t>
    </r>
  </si>
  <si>
    <r>
      <rPr>
        <sz val="9"/>
        <color indexed="14"/>
        <rFont val="Amasis MT Pro"/>
      </rPr>
      <t>Extra Services (Kids Life Jacket (15-20 kg))</t>
    </r>
  </si>
  <si>
    <r>
      <rPr>
        <sz val="9"/>
        <color indexed="14"/>
        <rFont val="Amasis MT Pro"/>
      </rPr>
      <t>Extra Services (Kid Life Jacket (20-40 kg))</t>
    </r>
  </si>
  <si>
    <r>
      <rPr>
        <sz val="9"/>
        <color indexed="14"/>
        <rFont val="Amasis MT Pro"/>
      </rPr>
      <t>Extra Services (Party Decoration)</t>
    </r>
  </si>
  <si>
    <r>
      <rPr>
        <sz val="9"/>
        <color indexed="14"/>
        <rFont val="Amasis MT Pro"/>
      </rPr>
      <t>Extra Services (Pro Photographer + Drone Pilot)</t>
    </r>
  </si>
  <si>
    <r>
      <rPr>
        <sz val="9"/>
        <color indexed="14"/>
        <rFont val="Amasis MT Pro"/>
      </rPr>
      <t>Extra Services (Pro Photographer)</t>
    </r>
  </si>
  <si>
    <r>
      <rPr>
        <sz val="9"/>
        <color indexed="14"/>
        <rFont val="Amasis MT Pro"/>
      </rPr>
      <t>Extra Services (Drone Pilot)</t>
    </r>
  </si>
  <si>
    <r>
      <rPr>
        <sz val="9"/>
        <color indexed="14"/>
        <rFont val="Amasis MT Pro"/>
      </rPr>
      <t>Extra Services (Wetsuit)</t>
    </r>
  </si>
  <si>
    <r>
      <rPr>
        <sz val="9"/>
        <color indexed="14"/>
        <rFont val="Amasis MT Pro"/>
      </rPr>
      <t>Extra Services (Advanced Divers)</t>
    </r>
  </si>
  <si>
    <r>
      <rPr>
        <sz val="9"/>
        <color indexed="14"/>
        <rFont val="Amasis MT Pro"/>
      </rPr>
      <t>Extra Services (Beginner Divers)</t>
    </r>
  </si>
  <si>
    <r>
      <rPr>
        <sz val="9"/>
        <color indexed="14"/>
        <rFont val="Amasis MT Pro"/>
      </rPr>
      <t>Extra Services (Extended Tour)</t>
    </r>
  </si>
  <si>
    <r>
      <rPr>
        <sz val="9"/>
        <color indexed="14"/>
        <rFont val="Amasis MT Pro"/>
      </rPr>
      <t>Extra Services (Fully Flexible Ticket)</t>
    </r>
  </si>
  <si>
    <r>
      <rPr>
        <sz val="9"/>
        <color indexed="14"/>
        <rFont val="Amasis MT Pro"/>
      </rPr>
      <t>Extra Services (Party Decoration (Size M))</t>
    </r>
  </si>
  <si>
    <r>
      <rPr>
        <sz val="9"/>
        <color indexed="14"/>
        <rFont val="Amasis MT Pro"/>
      </rPr>
      <t>Extra Services (Fully Flexible Private Booking)</t>
    </r>
  </si>
  <si>
    <r>
      <rPr>
        <sz val="9"/>
        <color indexed="14"/>
        <rFont val="Amasis MT Pro"/>
      </rPr>
      <t>Extra Services (90 min Sports &amp; Stretch Massage)</t>
    </r>
  </si>
  <si>
    <r>
      <rPr>
        <sz val="9"/>
        <color indexed="14"/>
        <rFont val="Amasis MT Pro"/>
      </rPr>
      <t>Advanced Divers (Advanced 1-Pax Pack)</t>
    </r>
  </si>
  <si>
    <r>
      <rPr>
        <sz val="9"/>
        <color indexed="14"/>
        <rFont val="Amasis MT Pro"/>
      </rPr>
      <t>Beginner Divers (Beginner 1-Pax Pack)</t>
    </r>
  </si>
  <si>
    <r>
      <rPr>
        <sz val="9"/>
        <color indexed="14"/>
        <rFont val="Amasis MT Pro"/>
      </rPr>
      <t>Extra Services (Massage Table)</t>
    </r>
  </si>
  <si>
    <t>Cost of Goods Sold - Extra Services Total</t>
  </si>
  <si>
    <t>Toll and parking fees</t>
  </si>
  <si>
    <t>Cost of Goods Sold - Transfer Services Total</t>
  </si>
  <si>
    <t>Cost of Goods Sold - [LTR] Land Tour</t>
  </si>
  <si>
    <t>Cost of Goods Sold - Alcoholic Beverages Total</t>
  </si>
  <si>
    <t>Cost of Goods Sold - Routing</t>
  </si>
  <si>
    <t>Cost of Goods Sold - 1500H Overhaul 2026</t>
  </si>
  <si>
    <t>OPERATING INCOME</t>
  </si>
  <si>
    <t>ADMINISTRATIVE | INDIRECT COSTS</t>
  </si>
  <si>
    <r>
      <rPr>
        <sz val="9"/>
        <color indexed="14"/>
        <rFont val="Amasis MT Pro"/>
      </rPr>
      <t>Wages and Salary</t>
    </r>
  </si>
  <si>
    <r>
      <rPr>
        <sz val="9"/>
        <color indexed="14"/>
        <rFont val="Amasis MT Pro"/>
      </rPr>
      <t>Advertising &amp; Marketing</t>
    </r>
  </si>
  <si>
    <r>
      <rPr>
        <sz val="9"/>
        <color indexed="14"/>
        <rFont val="Amasis MT Pro"/>
      </rPr>
      <t>Xendit Fee</t>
    </r>
  </si>
  <si>
    <r>
      <rPr>
        <sz val="9"/>
        <color indexed="14"/>
        <rFont val="Amasis MT Pro"/>
      </rPr>
      <t>Office Expenses</t>
    </r>
  </si>
  <si>
    <r>
      <rPr>
        <sz val="9"/>
        <color indexed="14"/>
        <rFont val="Amasis MT Pro"/>
      </rPr>
      <t>Office Expenses Consumable</t>
    </r>
  </si>
  <si>
    <r>
      <rPr>
        <sz val="9"/>
        <color indexed="14"/>
        <rFont val="Amasis MT Pro"/>
      </rPr>
      <t>Employee Insurance - BPJS Kesehatan dan Tenaga Kerja</t>
    </r>
  </si>
  <si>
    <r>
      <rPr>
        <sz val="9"/>
        <color indexed="14"/>
        <rFont val="Amasis MT Pro"/>
      </rPr>
      <t>Employee Bonus / Benefits</t>
    </r>
  </si>
  <si>
    <r>
      <rPr>
        <sz val="9"/>
        <color indexed="14"/>
        <rFont val="Amasis MT Pro"/>
      </rPr>
      <t>Employee Overtime Pay</t>
    </r>
  </si>
  <si>
    <r>
      <rPr>
        <sz val="9"/>
        <color indexed="14"/>
        <rFont val="Amasis MT Pro"/>
      </rPr>
      <t>Employee Salary Freelance (Daily Worker)</t>
    </r>
  </si>
  <si>
    <r>
      <rPr>
        <sz val="9"/>
        <color indexed="14"/>
        <rFont val="Amasis MT Pro"/>
      </rPr>
      <t>Consulting and Accounting Fees</t>
    </r>
  </si>
  <si>
    <r>
      <rPr>
        <sz val="9"/>
        <color indexed="14"/>
        <rFont val="Amasis MT Pro"/>
      </rPr>
      <t>Entertainment</t>
    </r>
  </si>
  <si>
    <r>
      <rPr>
        <sz val="9"/>
        <color indexed="14"/>
        <rFont val="Amasis MT Pro"/>
      </rPr>
      <t>Software Expenses</t>
    </r>
  </si>
  <si>
    <r>
      <rPr>
        <sz val="9"/>
        <color indexed="14"/>
        <rFont val="Amasis MT Pro"/>
      </rPr>
      <t>Legal Expenses</t>
    </r>
  </si>
  <si>
    <r>
      <rPr>
        <sz val="9"/>
        <color indexed="14"/>
        <rFont val="Amasis MT Pro"/>
      </rPr>
      <t>Income Tax Art 21</t>
    </r>
  </si>
  <si>
    <r>
      <rPr>
        <sz val="9"/>
        <color indexed="14"/>
        <rFont val="Amasis MT Pro"/>
      </rPr>
      <t>Income Tax Art 23 - Services</t>
    </r>
  </si>
  <si>
    <r>
      <rPr>
        <sz val="9"/>
        <color indexed="14"/>
        <rFont val="Amasis MT Pro"/>
      </rPr>
      <t>Final income Tax 4 (2)</t>
    </r>
  </si>
  <si>
    <r>
      <rPr>
        <sz val="9"/>
        <color indexed="14"/>
        <rFont val="Amasis MT Pro"/>
      </rPr>
      <t>Office Repairs</t>
    </r>
  </si>
  <si>
    <r>
      <rPr>
        <sz val="9"/>
        <color indexed="14"/>
        <rFont val="Amasis MT Pro"/>
      </rPr>
      <t>Boat Tools and Supplies</t>
    </r>
  </si>
  <si>
    <r>
      <rPr>
        <sz val="9"/>
        <color indexed="14"/>
        <rFont val="Amasis MT Pro"/>
      </rPr>
      <t>Electricity</t>
    </r>
  </si>
  <si>
    <r>
      <rPr>
        <sz val="9"/>
        <color indexed="14"/>
        <rFont val="Amasis MT Pro"/>
      </rPr>
      <t>R&amp;D Expenses (Research and Development)</t>
    </r>
  </si>
  <si>
    <r>
      <rPr>
        <sz val="9"/>
        <color indexed="14"/>
        <rFont val="Amasis MT Pro"/>
      </rPr>
      <t>PDAM Water</t>
    </r>
  </si>
  <si>
    <r>
      <rPr>
        <sz val="9"/>
        <color indexed="14"/>
        <rFont val="Amasis MT Pro"/>
      </rPr>
      <t>Office Equipment</t>
    </r>
  </si>
  <si>
    <r>
      <rPr>
        <sz val="9"/>
        <color indexed="14"/>
        <rFont val="Amasis MT Pro"/>
      </rPr>
      <t>Accounting Office Expenses</t>
    </r>
  </si>
  <si>
    <r>
      <rPr>
        <sz val="9"/>
        <color indexed="14"/>
        <rFont val="Amasis MT Pro"/>
      </rPr>
      <t>Bank Administration Fees</t>
    </r>
  </si>
  <si>
    <r>
      <rPr>
        <sz val="9"/>
        <color indexed="14"/>
        <rFont val="Amasis MT Pro"/>
      </rPr>
      <t>Cashlez Fees</t>
    </r>
  </si>
  <si>
    <r>
      <rPr>
        <sz val="9"/>
        <color indexed="14"/>
        <rFont val="Amasis MT Pro"/>
      </rPr>
      <t>Insurance Costs</t>
    </r>
  </si>
  <si>
    <r>
      <rPr>
        <sz val="9"/>
        <color indexed="14"/>
        <rFont val="Amasis MT Pro"/>
      </rPr>
      <t>Telephone and Internet</t>
    </r>
  </si>
  <si>
    <r>
      <rPr>
        <sz val="9"/>
        <color indexed="14"/>
        <rFont val="Amasis MT Pro"/>
      </rPr>
      <t>Diving and Snorkeling Equipment</t>
    </r>
  </si>
  <si>
    <r>
      <rPr>
        <sz val="9"/>
        <color indexed="14"/>
        <rFont val="Amasis MT Pro"/>
      </rPr>
      <t>Training Expense</t>
    </r>
  </si>
  <si>
    <r>
      <rPr>
        <sz val="9"/>
        <color indexed="14"/>
        <rFont val="Amasis MT Pro"/>
      </rPr>
      <t>Ceremonies Expenses</t>
    </r>
  </si>
  <si>
    <r>
      <rPr>
        <sz val="9"/>
        <color indexed="14"/>
        <rFont val="Amasis MT Pro"/>
      </rPr>
      <t>Donation and Contribution Expenses</t>
    </r>
  </si>
  <si>
    <r>
      <rPr>
        <sz val="9"/>
        <color indexed="14"/>
        <rFont val="Amasis MT Pro"/>
      </rPr>
      <t>Freight and Courier Expenses</t>
    </r>
  </si>
  <si>
    <r>
      <rPr>
        <sz val="9"/>
        <color indexed="14"/>
        <rFont val="Amasis MT Pro"/>
      </rPr>
      <t>Medical Expenses</t>
    </r>
  </si>
  <si>
    <r>
      <rPr>
        <sz val="9"/>
        <color indexed="14"/>
        <rFont val="Amasis MT Pro"/>
      </rPr>
      <t>Printing and Stationery</t>
    </r>
  </si>
  <si>
    <r>
      <rPr>
        <sz val="9"/>
        <color indexed="14"/>
        <rFont val="Amasis MT Pro"/>
      </rPr>
      <t>Bluuu.tour improvements + API development</t>
    </r>
  </si>
  <si>
    <r>
      <rPr>
        <sz val="9"/>
        <color indexed="14"/>
        <rFont val="Amasis MT Pro"/>
      </rPr>
      <t>Travel Expenses</t>
    </r>
  </si>
  <si>
    <r>
      <rPr>
        <sz val="9"/>
        <color indexed="14"/>
        <rFont val="Amasis MT Pro"/>
      </rPr>
      <t>Uniform Expenses</t>
    </r>
  </si>
  <si>
    <r>
      <rPr>
        <sz val="9"/>
        <color indexed="14"/>
        <rFont val="Amasis MT Pro"/>
      </rPr>
      <t>Repair and Maintenance</t>
    </r>
  </si>
  <si>
    <r>
      <rPr>
        <sz val="9"/>
        <color indexed="14"/>
        <rFont val="Amasis MT Pro"/>
      </rPr>
      <t>Commission</t>
    </r>
  </si>
  <si>
    <r>
      <rPr>
        <sz val="9"/>
        <color indexed="14"/>
        <rFont val="Amasis MT Pro"/>
      </rPr>
      <t>Staff Expenses</t>
    </r>
  </si>
  <si>
    <r>
      <rPr>
        <sz val="9"/>
        <color indexed="14"/>
        <rFont val="Amasis MT Pro"/>
      </rPr>
      <t>Profit Sharing</t>
    </r>
  </si>
  <si>
    <r>
      <rPr>
        <sz val="9"/>
        <color indexed="14"/>
        <rFont val="Amasis MT Pro"/>
      </rPr>
      <t>Gifts and Donations</t>
    </r>
  </si>
  <si>
    <r>
      <rPr>
        <sz val="9"/>
        <color indexed="14"/>
        <rFont val="Amasis MT Pro"/>
      </rPr>
      <t>Management Fee</t>
    </r>
  </si>
  <si>
    <r>
      <rPr>
        <sz val="9"/>
        <color indexed="14"/>
        <rFont val="Amasis MT Pro"/>
      </rPr>
      <t>Agent Fee</t>
    </r>
  </si>
  <si>
    <r>
      <rPr>
        <sz val="9"/>
        <color indexed="14"/>
        <rFont val="Amasis MT Pro"/>
      </rPr>
      <t>Scuba Diving Course</t>
    </r>
  </si>
  <si>
    <r>
      <rPr>
        <sz val="9"/>
        <color indexed="14"/>
        <rFont val="Amasis MT Pro"/>
      </rPr>
      <t>General Admin Correction Opening Entri</t>
    </r>
  </si>
  <si>
    <r>
      <rPr>
        <sz val="9"/>
        <color indexed="14"/>
        <rFont val="Amasis MT Pro"/>
      </rPr>
      <t>Boat Angel Improvement - Nyoman Nener Exp</t>
    </r>
  </si>
  <si>
    <r>
      <rPr>
        <sz val="9"/>
        <color indexed="14"/>
        <rFont val="Amasis MT Pro"/>
      </rPr>
      <t>Other Expenses</t>
    </r>
  </si>
  <si>
    <r>
      <rPr>
        <sz val="9"/>
        <color indexed="14"/>
        <rFont val="Amasis MT Pro"/>
      </rPr>
      <t>Materials</t>
    </r>
  </si>
  <si>
    <r>
      <rPr>
        <sz val="9"/>
        <color indexed="14"/>
        <rFont val="Amasis MT Pro"/>
      </rPr>
      <t>Interest Expense</t>
    </r>
  </si>
  <si>
    <r>
      <rPr>
        <sz val="9"/>
        <color indexed="14"/>
        <rFont val="Amasis MT Pro"/>
      </rPr>
      <t>Loss on Sale of Fixed Assets</t>
    </r>
  </si>
  <si>
    <r>
      <rPr>
        <sz val="9"/>
        <color indexed="14"/>
        <rFont val="Amasis MT Pro"/>
      </rPr>
      <t>Cash Difference Loss</t>
    </r>
  </si>
  <si>
    <r>
      <rPr>
        <sz val="9"/>
        <color indexed="14"/>
        <rFont val="Amasis MT Pro"/>
      </rPr>
      <t>Tax PPh 21</t>
    </r>
  </si>
  <si>
    <r>
      <rPr>
        <sz val="9"/>
        <color indexed="14"/>
        <rFont val="Amasis MT Pro"/>
      </rPr>
      <t>Tax Final 4(2)</t>
    </r>
  </si>
  <si>
    <r>
      <rPr>
        <sz val="9"/>
        <color indexed="14"/>
        <rFont val="Amasis MT Pro"/>
      </rPr>
      <t>Tax PPh 25</t>
    </r>
  </si>
  <si>
    <r>
      <rPr>
        <sz val="9"/>
        <color indexed="14"/>
        <rFont val="Amasis MT Pro"/>
      </rPr>
      <t>Tax PPh 23</t>
    </r>
  </si>
  <si>
    <r>
      <rPr>
        <sz val="9"/>
        <color indexed="14"/>
        <rFont val="Amasis MT Pro"/>
      </rPr>
      <t>Tax VAT/PPN</t>
    </r>
  </si>
  <si>
    <r>
      <rPr>
        <sz val="9"/>
        <color indexed="14"/>
        <rFont val="Amasis MT Pro"/>
      </rPr>
      <t>Dividend Tax</t>
    </r>
  </si>
  <si>
    <r>
      <rPr>
        <sz val="9"/>
        <color indexed="14"/>
        <rFont val="Amasis MT Pro"/>
      </rPr>
      <t>CIT Corporate Income Tax (11%-22%)</t>
    </r>
  </si>
  <si>
    <r>
      <rPr>
        <sz val="9"/>
        <color indexed="14"/>
        <rFont val="Amasis MT Pro"/>
      </rPr>
      <t>Tax PPh 26</t>
    </r>
  </si>
  <si>
    <r>
      <rPr>
        <sz val="9"/>
        <color indexed="14"/>
        <rFont val="Amasis MT Pro"/>
      </rPr>
      <t>Reservation Fee Exp</t>
    </r>
  </si>
  <si>
    <t>Depreciation &amp; Amortisation:</t>
  </si>
  <si>
    <r>
      <rPr>
        <sz val="9"/>
        <color indexed="14"/>
        <rFont val="Amasis MT Pro"/>
      </rPr>
      <t>Rental Costs</t>
    </r>
  </si>
  <si>
    <r>
      <rPr>
        <sz val="9"/>
        <color indexed="14"/>
        <rFont val="Amasis MT Pro"/>
      </rPr>
      <t>Office Building</t>
    </r>
  </si>
  <si>
    <r>
      <rPr>
        <sz val="9"/>
        <color indexed="14"/>
        <rFont val="Amasis MT Pro"/>
      </rPr>
      <t>Boats</t>
    </r>
  </si>
  <si>
    <r>
      <rPr>
        <sz val="9"/>
        <color indexed="14"/>
        <rFont val="Amasis MT Pro"/>
      </rPr>
      <t>Equipment and office supplies</t>
    </r>
  </si>
  <si>
    <t>New E01-E06 Boats</t>
  </si>
  <si>
    <t>Administrative Expenses Total</t>
  </si>
  <si>
    <t>David's Shares Total - Boat AM</t>
  </si>
  <si>
    <t>Sheny's Shares Total - Boat HM</t>
  </si>
  <si>
    <t>Arya's Shares Total - Boat LM + E02</t>
  </si>
  <si>
    <t>Rusy's Share Total - Q10 + Q12</t>
  </si>
  <si>
    <t>Evgenii's Share Total - E03</t>
  </si>
  <si>
    <t>Vadim's Share Total - E04</t>
  </si>
  <si>
    <t>Nener's Share Total - Boat Angels</t>
  </si>
  <si>
    <t>INCOME BEFORE TAX</t>
  </si>
  <si>
    <t>Income taxes</t>
  </si>
  <si>
    <t>NET INCOME</t>
  </si>
  <si>
    <t>FCF 2025-2026 Forecast</t>
  </si>
  <si>
    <t>Actual</t>
  </si>
  <si>
    <t>Forecast</t>
  </si>
  <si>
    <t>in thousands IDR</t>
  </si>
  <si>
    <t>Cash flows from operating activities:</t>
  </si>
  <si>
    <t>Net Inflows:</t>
  </si>
  <si>
    <t>Forecasted Sales</t>
  </si>
  <si>
    <t>Net Income</t>
  </si>
  <si>
    <t>Current month outflows:</t>
  </si>
  <si>
    <t>Current Month Payroll</t>
  </si>
  <si>
    <t>LM Overhaul</t>
  </si>
  <si>
    <t>RJ Overhaul</t>
  </si>
  <si>
    <t>SH4 Overhaul</t>
  </si>
  <si>
    <t>AM Overhaul</t>
  </si>
  <si>
    <t>HM Overhaul</t>
  </si>
  <si>
    <t>Unplanned expenses</t>
  </si>
  <si>
    <t>Cash flows from investing activities:</t>
  </si>
  <si>
    <t>Project Serangan:</t>
  </si>
  <si>
    <t>Total project cost</t>
  </si>
  <si>
    <t>Pergola payment #2</t>
  </si>
  <si>
    <t>Plants and gardening</t>
  </si>
  <si>
    <t>Furniture and other equipment</t>
  </si>
  <si>
    <t>Construction and other Arif's payments</t>
  </si>
  <si>
    <t>Second rent payment</t>
  </si>
  <si>
    <t>Project Bali Boat Builders:</t>
  </si>
  <si>
    <t>Advance from Arya</t>
  </si>
  <si>
    <t>Advance from Eugene</t>
  </si>
  <si>
    <t>Advance from Vadim Boat 4</t>
  </si>
  <si>
    <t>Advance from Robert Boat 5</t>
  </si>
  <si>
    <t>Advance from Osamah Boat 6</t>
  </si>
  <si>
    <t>Loan to PT Fortune Yachts Bali</t>
  </si>
  <si>
    <t>Order Boat 1</t>
  </si>
  <si>
    <t>Order Boat 2</t>
  </si>
  <si>
    <t>Order Boat 3</t>
  </si>
  <si>
    <t>Order Boat 4</t>
  </si>
  <si>
    <t>Order Boat 5</t>
  </si>
  <si>
    <t>Order Boat 6</t>
  </si>
  <si>
    <t>Order Boat 7</t>
  </si>
  <si>
    <t>Order Boat 8</t>
  </si>
  <si>
    <t>Engines x2 Yamaha 250hp (Boat 1)</t>
  </si>
  <si>
    <t>Documentation and other (Boat 1)</t>
  </si>
  <si>
    <t>Engines x2 Yamaha 250hp (Boat 2)</t>
  </si>
  <si>
    <t>Documentation and other (Boat 2)</t>
  </si>
  <si>
    <t>Engines x2 Yamaha 250hp (Boat 3)</t>
  </si>
  <si>
    <t>Documentation and other (Boat 3)</t>
  </si>
  <si>
    <t>Engines x2 Yamaha 250hp (Boat 4)</t>
  </si>
  <si>
    <t>Documentation and other (Boat 4)</t>
  </si>
  <si>
    <t>Engines x2 Yamaha 250hp (Boat 5)</t>
  </si>
  <si>
    <t>Documentation and other (Boat 5)</t>
  </si>
  <si>
    <t>Engines x2 Yamaha 250hp (Boat 6)</t>
  </si>
  <si>
    <t>Documentation and other (Boat 6)</t>
  </si>
  <si>
    <t>Engines x2 Yamaha 250hp (Boat 7)</t>
  </si>
  <si>
    <t>Documentation and other (Boat 7)</t>
  </si>
  <si>
    <t>Engines x2 Yamaha 250hp (Boat 8)</t>
  </si>
  <si>
    <t>Documentation and other (Boat 8)</t>
  </si>
  <si>
    <t>Project AM &amp; HM - COMPLETED:</t>
  </si>
  <si>
    <t>Boat 1 Construction (Almond Milk)</t>
  </si>
  <si>
    <t>Boat 2 Construction (Oat Milk)</t>
  </si>
  <si>
    <t>Equiipment replenishment :</t>
  </si>
  <si>
    <t>Diving Sets</t>
  </si>
  <si>
    <t>Serangan Office - Part 2 Rent</t>
  </si>
  <si>
    <t>Serangan Office - Leasehold Improvements</t>
  </si>
  <si>
    <t>Fixed assets and equipment replenishment</t>
  </si>
  <si>
    <t>Cash flows from financing activities:</t>
  </si>
  <si>
    <t>Advance from Klook</t>
  </si>
  <si>
    <t>Divindends/Loan to Alex (villa rent)</t>
  </si>
  <si>
    <t>Dima's KITAS</t>
  </si>
  <si>
    <t>Karim's KITAS</t>
  </si>
  <si>
    <t>Divindends/Loan to Alex (salary)</t>
  </si>
  <si>
    <t>Annual dividends and payroll bonus reserve</t>
  </si>
  <si>
    <t>Net cash inflows/ourflows:</t>
  </si>
  <si>
    <t>Openning cash and cash equivalents</t>
  </si>
  <si>
    <t>Net cash inflows/outflows</t>
  </si>
  <si>
    <t>Ending cash and cash equivalents</t>
  </si>
  <si>
    <t xml:space="preserve">Free cash flows: </t>
  </si>
  <si>
    <t xml:space="preserve">Reserve held for working capital </t>
  </si>
  <si>
    <t>CASH PROFICIT/DEFICIT (FCF)</t>
  </si>
  <si>
    <t>Current Date Cash</t>
  </si>
  <si>
    <t>Cash at Banks - DTB</t>
  </si>
  <si>
    <t>Cash at Banks - EBC</t>
  </si>
  <si>
    <t>Cash at Banks - E01</t>
  </si>
  <si>
    <t>Cash at Banks - E02</t>
  </si>
  <si>
    <t>Cash at Banks - E03</t>
  </si>
  <si>
    <t>Cash at Banks - FYB</t>
  </si>
  <si>
    <t>Cash at Reserve</t>
  </si>
  <si>
    <t>Cash at PayPal</t>
  </si>
  <si>
    <t>Cash at Viator</t>
  </si>
  <si>
    <t>Cash at Klook</t>
  </si>
  <si>
    <t>Cash at GYG</t>
  </si>
  <si>
    <t>Cash at Headout.com</t>
  </si>
  <si>
    <t>Cash at Airbnb</t>
  </si>
  <si>
    <t>Cash at Trip.com</t>
  </si>
  <si>
    <t>Cash at Triping</t>
  </si>
  <si>
    <t>Cash at Lux Escapes</t>
  </si>
  <si>
    <t>Cash at C&amp;B/GmB</t>
  </si>
  <si>
    <t>Reserve for Arya E02</t>
  </si>
  <si>
    <t>Reserve for Evgenii E03</t>
  </si>
  <si>
    <t>Reserve for Vadim E04</t>
  </si>
  <si>
    <t>Reserve for Robert E05</t>
  </si>
  <si>
    <t>Reserve for Klook AP3</t>
  </si>
  <si>
    <t>Total Cash</t>
  </si>
  <si>
    <t>2024</t>
  </si>
  <si>
    <t>PT Fortune Yachts Bali</t>
  </si>
  <si>
    <t>Est Net Income</t>
  </si>
  <si>
    <t>Equity</t>
  </si>
  <si>
    <t>Equity 1</t>
  </si>
  <si>
    <t>15% Bonus Karim</t>
  </si>
  <si>
    <t>Void</t>
  </si>
  <si>
    <t>25% Bonus Karim (?)</t>
  </si>
  <si>
    <t>Karim</t>
  </si>
  <si>
    <t>Alex</t>
  </si>
  <si>
    <t>Less: Equity</t>
  </si>
  <si>
    <t>Dima</t>
  </si>
  <si>
    <t>Net bonus</t>
  </si>
  <si>
    <t>KLOOK ADVANCE</t>
  </si>
  <si>
    <t>Total Utilised</t>
  </si>
  <si>
    <t>Paid in Advance</t>
  </si>
  <si>
    <t>Remaining Balance</t>
  </si>
  <si>
    <t>Private Boats 2026 Target</t>
  </si>
  <si>
    <t>Boat:</t>
  </si>
  <si>
    <t>SWEETHEART 4</t>
  </si>
  <si>
    <t>Average direct cost</t>
  </si>
  <si>
    <t>Extra pax cost</t>
  </si>
  <si>
    <t>Average profit margin</t>
  </si>
  <si>
    <t>Average total cost</t>
  </si>
  <si>
    <t>1-Pax cost</t>
  </si>
  <si>
    <t>DIRECT COSTS</t>
  </si>
  <si>
    <t>INDIRECT COST</t>
  </si>
  <si>
    <t>TARGER PRICING</t>
  </si>
  <si>
    <t>Წ</t>
  </si>
  <si>
    <r>
      <rPr>
        <b val="1"/>
        <sz val="11"/>
        <color indexed="14"/>
        <rFont val="Amasis MT Pro"/>
      </rPr>
      <t xml:space="preserve">Guests </t>
    </r>
    <r>
      <rPr>
        <b val="1"/>
        <vertAlign val="superscript"/>
        <sz val="11"/>
        <color indexed="14"/>
        <rFont val="Amasis MT Pro"/>
      </rPr>
      <t>u</t>
    </r>
  </si>
  <si>
    <r>
      <rPr>
        <b val="1"/>
        <sz val="11"/>
        <color indexed="14"/>
        <rFont val="Amasis MT Pro"/>
      </rPr>
      <t xml:space="preserve">Boat Rent </t>
    </r>
    <r>
      <rPr>
        <b val="1"/>
        <vertAlign val="superscript"/>
        <sz val="11"/>
        <color indexed="14"/>
        <rFont val="Amasis MT Pro"/>
      </rPr>
      <t>u</t>
    </r>
  </si>
  <si>
    <t>Guides</t>
  </si>
  <si>
    <t>Guides Salary &amp; Tax</t>
  </si>
  <si>
    <t>Towels</t>
  </si>
  <si>
    <t>Ice &amp; Water</t>
  </si>
  <si>
    <t>NP + Bali Clearance + Parking</t>
  </si>
  <si>
    <t>Seran Retribution</t>
  </si>
  <si>
    <t>Seran Parking and Mooring</t>
  </si>
  <si>
    <t>Offering</t>
  </si>
  <si>
    <t>Fruits</t>
  </si>
  <si>
    <t>Lunch</t>
  </si>
  <si>
    <t>Fuel Pertamax</t>
  </si>
  <si>
    <r>
      <rPr>
        <b val="1"/>
        <sz val="11"/>
        <color indexed="14"/>
        <rFont val="Amasis MT Pro"/>
      </rPr>
      <t xml:space="preserve">Crew Salary &amp; Tax </t>
    </r>
    <r>
      <rPr>
        <b val="1"/>
        <vertAlign val="superscript"/>
        <sz val="11"/>
        <color indexed="14"/>
        <rFont val="Amasis MT Pro"/>
      </rPr>
      <t>u</t>
    </r>
  </si>
  <si>
    <t>Boat Tax</t>
  </si>
  <si>
    <t>TOTAL DIRECT</t>
  </si>
  <si>
    <t>Indirect and Admin Cost per tour</t>
  </si>
  <si>
    <r>
      <rPr>
        <b val="1"/>
        <sz val="11"/>
        <color indexed="14"/>
        <rFont val="Amasis MT Pro"/>
      </rPr>
      <t xml:space="preserve">3D (Depretiation, Docking, Doc) fees per tour </t>
    </r>
    <r>
      <rPr>
        <b val="1"/>
        <vertAlign val="superscript"/>
        <sz val="11"/>
        <color indexed="14"/>
        <rFont val="Amasis MT Pro"/>
      </rPr>
      <t>u</t>
    </r>
  </si>
  <si>
    <t>TOTAL INDIRECT</t>
  </si>
  <si>
    <t>TOTAL COST</t>
  </si>
  <si>
    <t>Tax Markup 0.5%</t>
  </si>
  <si>
    <t>Targer Net Profit Margin 25%</t>
  </si>
  <si>
    <t>TARGET PRICE PER TOUR</t>
  </si>
  <si>
    <t>NP + Bali Clearance</t>
  </si>
  <si>
    <t>Serangan Extra Fee</t>
  </si>
  <si>
    <t>DELISTED</t>
  </si>
  <si>
    <t>Seven Heaven Share</t>
  </si>
  <si>
    <t>Amount</t>
  </si>
  <si>
    <t>2024 Target Trips</t>
  </si>
  <si>
    <t>Income</t>
  </si>
  <si>
    <t>Base Price Income</t>
  </si>
  <si>
    <t>Boat Upgrade Income</t>
  </si>
  <si>
    <t>Extra Pax Upgrade</t>
  </si>
  <si>
    <t>Expenses</t>
  </si>
  <si>
    <t>Direct costs</t>
  </si>
  <si>
    <t>Extra Pax Cost</t>
  </si>
  <si>
    <t>NP Clearance</t>
  </si>
  <si>
    <t>Dedean Share</t>
  </si>
  <si>
    <t>2025 Target Trips</t>
  </si>
  <si>
    <t>Seran Extra Fee</t>
  </si>
  <si>
    <t>Class: Blue Marlin</t>
  </si>
  <si>
    <r>
      <rPr>
        <b val="1"/>
        <sz val="11"/>
        <color indexed="14"/>
        <rFont val="Amasis MT Pro"/>
      </rPr>
      <t>N/A</t>
    </r>
  </si>
  <si>
    <t>Extra Pax from Aneecha</t>
  </si>
  <si>
    <t>QR10 Share</t>
  </si>
  <si>
    <t>Extra Pax from Jet Asia</t>
  </si>
  <si>
    <t>David Share</t>
  </si>
  <si>
    <t>2026 Target Trips</t>
  </si>
  <si>
    <t>Sheny Share</t>
  </si>
  <si>
    <t>Arya Share</t>
  </si>
  <si>
    <t>Evgenii Share</t>
  </si>
  <si>
    <t>Vadim Share</t>
  </si>
  <si>
    <t>QR12 Share</t>
  </si>
  <si>
    <t>Nener's Share</t>
  </si>
  <si>
    <t>Nener Share</t>
  </si>
  <si>
    <t>Shared Boats 2026 Target</t>
  </si>
  <si>
    <t>Land Tours</t>
  </si>
  <si>
    <t>Indirect and Admin Cost per passenger</t>
  </si>
  <si>
    <r>
      <rPr>
        <b val="1"/>
        <sz val="11"/>
        <color indexed="14"/>
        <rFont val="Amasis MT Pro"/>
      </rPr>
      <t xml:space="preserve">3D (Depreciation, Docking, Doc) fees per passenger </t>
    </r>
    <r>
      <rPr>
        <b val="1"/>
        <vertAlign val="superscript"/>
        <sz val="11"/>
        <color indexed="14"/>
        <rFont val="Amasis MT Pro"/>
      </rPr>
      <t>u</t>
    </r>
  </si>
  <si>
    <t>TOTAL TARGET PRICE</t>
  </si>
  <si>
    <t>RECOMMENED BASE PRICE PER TOUR AT TARGET OCCUPANCY</t>
  </si>
  <si>
    <t>AVERAGE DIRECT COST AT TARGET OCCUPANCY</t>
  </si>
  <si>
    <r>
      <rPr>
        <b val="1"/>
        <sz val="11"/>
        <color indexed="42"/>
        <rFont val="Amasis MT Pro"/>
      </rPr>
      <t>GO</t>
    </r>
    <r>
      <rPr>
        <b val="1"/>
        <sz val="11"/>
        <color indexed="14"/>
        <rFont val="Amasis MT Pro"/>
      </rPr>
      <t>/</t>
    </r>
    <r>
      <rPr>
        <b val="1"/>
        <sz val="11"/>
        <color indexed="32"/>
        <rFont val="Amasis MT Pro"/>
      </rPr>
      <t>NO GO</t>
    </r>
    <r>
      <rPr>
        <b val="1"/>
        <sz val="11"/>
        <color indexed="14"/>
        <rFont val="Amasis MT Pro"/>
      </rPr>
      <t xml:space="preserve"> DECISION</t>
    </r>
  </si>
  <si>
    <t>NO GO</t>
  </si>
  <si>
    <t>GO</t>
  </si>
  <si>
    <t>RIKI J</t>
  </si>
  <si>
    <t>SANJAYA</t>
  </si>
  <si>
    <t>JAYANADI</t>
  </si>
  <si>
    <t>SEA DRAGON</t>
  </si>
  <si>
    <t>BIG SWEETHEART</t>
  </si>
  <si>
    <t>LADY MANTA</t>
  </si>
  <si>
    <t>NP + Serangan Clearance</t>
  </si>
  <si>
    <t>LM Share</t>
  </si>
  <si>
    <t>2026 Target Passengers</t>
  </si>
  <si>
    <t>Arya's Share</t>
  </si>
  <si>
    <t>QUEEN RUIZI 10</t>
  </si>
  <si>
    <t>SANJAYA O4</t>
  </si>
  <si>
    <t>&amp; O5</t>
  </si>
  <si>
    <t>AM Share</t>
  </si>
  <si>
    <t>David's Share</t>
  </si>
  <si>
    <t>HM Share</t>
  </si>
  <si>
    <t>Sheny's Share</t>
  </si>
  <si>
    <t>Fuel (Pertamax)</t>
  </si>
  <si>
    <t>QUEEN RUIZI 12</t>
  </si>
  <si>
    <t>2025 Target Passengers</t>
  </si>
  <si>
    <t>Premium Shared 2026 Target</t>
  </si>
  <si>
    <t>Photographer (Bluuu team)</t>
  </si>
  <si>
    <t>Prosecco x3</t>
  </si>
  <si>
    <t>Welcome Drinks &amp; Juices</t>
  </si>
  <si>
    <t>Evgenii's Share</t>
  </si>
  <si>
    <t>Vadim's Share</t>
  </si>
  <si>
    <t>Premium for Couples 2026 Target</t>
  </si>
  <si>
    <t>Photographer</t>
  </si>
  <si>
    <t>Prosecco x1</t>
  </si>
  <si>
    <t>Instax &amp; Flowers</t>
  </si>
  <si>
    <t>&amp; HM</t>
  </si>
  <si>
    <t>Standard Diving Tour 2026</t>
  </si>
  <si>
    <t>Boats:</t>
  </si>
  <si>
    <t>Sanjaya, Sea Dragon, Little Star, Rara, Big Little Star, Sea Horse or Small SH</t>
  </si>
  <si>
    <t xml:space="preserve">6H DIVING TOUR </t>
  </si>
  <si>
    <t>TARGER PRICING (ADVANCED LEVEL)</t>
  </si>
  <si>
    <t>TARGER PRICING (BEGINNER LEVEL)</t>
  </si>
  <si>
    <t>TARGER PRICING (DIVING COURSE + TOUR BEGINNER LEVEL)</t>
  </si>
  <si>
    <t>TARGER PRICING (BASE GUEST - NO DIVING)</t>
  </si>
  <si>
    <t>Diving Guides</t>
  </si>
  <si>
    <t>Diving Guides Salary &amp; Tax</t>
  </si>
  <si>
    <t>Extra Seran and NP Clearance</t>
  </si>
  <si>
    <t>Land Tour</t>
  </si>
  <si>
    <t>Extra Diving Guides Salary &amp; Tax</t>
  </si>
  <si>
    <t>Diving porter + sekoci</t>
  </si>
  <si>
    <t>Extra BCD + Reg + Suit Rent</t>
  </si>
  <si>
    <t>PRICE PER PAX</t>
  </si>
  <si>
    <t>ADVANCED DIVER ADD-ON PRICE</t>
  </si>
  <si>
    <t>ODOO EXTRA DIVERS PRICE</t>
  </si>
  <si>
    <t>BEGINNER DIVER ADD-ON PRICE</t>
  </si>
  <si>
    <t>PADI Certification Course</t>
  </si>
  <si>
    <t>Swimming pool + Extra Rent</t>
  </si>
  <si>
    <t>Viator Shared</t>
  </si>
  <si>
    <t>NP.one</t>
  </si>
  <si>
    <t>Premium Diving Tour 2026</t>
  </si>
  <si>
    <t>Prosecco</t>
  </si>
  <si>
    <t xml:space="preserve">Fishing Tour 2026 Target </t>
  </si>
  <si>
    <t>Dhea, Wahoo, Sanjaya O4-5, QR10</t>
  </si>
  <si>
    <t xml:space="preserve">8H PROFESSIONAL FISHING TOUR </t>
  </si>
  <si>
    <t>TARGER PRICING (UMUM ITINERARY)</t>
  </si>
  <si>
    <t>TARGER PRICING (BATU ABAH ITINERARY)</t>
  </si>
  <si>
    <t>Botton and Jigging Rent</t>
  </si>
  <si>
    <t>Trolling Rent</t>
  </si>
  <si>
    <t>Fishing porter + sekoci</t>
  </si>
  <si>
    <t>Extra fuel for Baru Abah itinerary</t>
  </si>
  <si>
    <t>BATU ABAH ITINERARY ADD-ON PRICE</t>
  </si>
  <si>
    <t>Promo Price</t>
  </si>
  <si>
    <t>Project Eldorado ROI in IDR</t>
  </si>
  <si>
    <t>ELDORADO BOAT - 50/50 PSA
ESTIMATED PROFIT PER YEAR</t>
  </si>
  <si>
    <t>BASE CASE</t>
  </si>
  <si>
    <t>BEST CASE</t>
  </si>
  <si>
    <t>WORST CASE</t>
  </si>
  <si>
    <t>ELDORADO BOAT - 60/40 PSA DAVID
ESTIMATED PROFIT PER YEAR</t>
  </si>
  <si>
    <t>ELDORADO BOAT - 70/30 PSA FANDY
ESTIMATED PROFIT PER YEAR</t>
  </si>
  <si>
    <t>ELDORADO BOAT - 80/20 PSA
ESTIMATED PROFIT PER YEAR</t>
  </si>
  <si>
    <t>Target Trip Rate</t>
  </si>
  <si>
    <t>Target Boat Occupancy</t>
  </si>
  <si>
    <t>Capacity</t>
  </si>
  <si>
    <t xml:space="preserve">Q-ty of Sailable Days </t>
  </si>
  <si>
    <t>2025 Targer Tours</t>
  </si>
  <si>
    <t>Target price at average capacity</t>
  </si>
  <si>
    <t>Total Revenue</t>
  </si>
  <si>
    <t>Less: Direct Costs</t>
  </si>
  <si>
    <r>
      <rPr>
        <i val="1"/>
        <sz val="9"/>
        <color indexed="14"/>
        <rFont val="Amasis MT Pro"/>
      </rPr>
      <t>Guides Salary &amp; Tax</t>
    </r>
  </si>
  <si>
    <r>
      <rPr>
        <i val="1"/>
        <sz val="9"/>
        <color indexed="14"/>
        <rFont val="Amasis MT Pro"/>
      </rPr>
      <t>Towels</t>
    </r>
  </si>
  <si>
    <r>
      <rPr>
        <i val="1"/>
        <sz val="9"/>
        <color indexed="14"/>
        <rFont val="Amasis MT Pro"/>
      </rPr>
      <t>Ice &amp; Water</t>
    </r>
  </si>
  <si>
    <r>
      <rPr>
        <i val="1"/>
        <sz val="9"/>
        <color indexed="14"/>
        <rFont val="Amasis MT Pro"/>
      </rPr>
      <t>Seran Retribution</t>
    </r>
  </si>
  <si>
    <r>
      <rPr>
        <i val="1"/>
        <sz val="9"/>
        <color indexed="14"/>
        <rFont val="Amasis MT Pro"/>
      </rPr>
      <t>Seran Parking and Mooring</t>
    </r>
  </si>
  <si>
    <r>
      <rPr>
        <i val="1"/>
        <sz val="9"/>
        <color indexed="14"/>
        <rFont val="Amasis MT Pro"/>
      </rPr>
      <t>NP + Serangan Clearance</t>
    </r>
  </si>
  <si>
    <r>
      <rPr>
        <i val="1"/>
        <sz val="9"/>
        <color indexed="14"/>
        <rFont val="Amasis MT Pro"/>
      </rPr>
      <t>Offering</t>
    </r>
  </si>
  <si>
    <r>
      <rPr>
        <i val="1"/>
        <sz val="9"/>
        <color indexed="14"/>
        <rFont val="Amasis MT Pro"/>
      </rPr>
      <t>Fruits</t>
    </r>
  </si>
  <si>
    <r>
      <rPr>
        <i val="1"/>
        <sz val="9"/>
        <color indexed="14"/>
        <rFont val="Amasis MT Pro"/>
      </rPr>
      <t>Lunch</t>
    </r>
  </si>
  <si>
    <r>
      <rPr>
        <i val="1"/>
        <sz val="9"/>
        <color indexed="14"/>
        <rFont val="Amasis MT Pro"/>
      </rPr>
      <t>Fuel (Pertamax)</t>
    </r>
  </si>
  <si>
    <r>
      <rPr>
        <i val="1"/>
        <sz val="9"/>
        <color indexed="14"/>
        <rFont val="Amasis MT Pro"/>
      </rPr>
      <t>Crew Salary &amp; Tax u</t>
    </r>
  </si>
  <si>
    <r>
      <rPr>
        <i val="1"/>
        <sz val="9"/>
        <color indexed="14"/>
        <rFont val="Amasis MT Pro"/>
      </rPr>
      <t>Land Tours</t>
    </r>
  </si>
  <si>
    <t>Extra fruits - Premium</t>
  </si>
  <si>
    <t>Extra photographer - Premium</t>
  </si>
  <si>
    <t>Extra welcome drinks - Premium</t>
  </si>
  <si>
    <t>Extra prosecco - Premium</t>
  </si>
  <si>
    <t>Total Direct Costs</t>
  </si>
  <si>
    <t>Less: Indirect Costs</t>
  </si>
  <si>
    <t>Depreciation</t>
  </si>
  <si>
    <t>100H service + routine maintenance</t>
  </si>
  <si>
    <t>Odoo subscription + accounting</t>
  </si>
  <si>
    <t>Total Inirect Costs</t>
  </si>
  <si>
    <t>Net Income for sharing</t>
  </si>
  <si>
    <t>50% share/cash payment</t>
  </si>
  <si>
    <t>40% share/cash payment</t>
  </si>
  <si>
    <t>30% share/cash payment</t>
  </si>
  <si>
    <t>20% share/cash payment</t>
  </si>
  <si>
    <t>Less: DTB Management Fee</t>
  </si>
  <si>
    <t>Net Proceeds to Investor</t>
  </si>
  <si>
    <t>BASIC FINANCIAL METRICS</t>
  </si>
  <si>
    <t>Initial Investment</t>
  </si>
  <si>
    <t>Boat Hull Eldorado 01 Variant</t>
  </si>
  <si>
    <t>Engines x2 Yamaha 250HP</t>
  </si>
  <si>
    <t>Engines x2 Suzuki 300HP</t>
  </si>
  <si>
    <t>Upholsery, PT PMDN, Pas Besar</t>
  </si>
  <si>
    <t>Upholsery, PT PMDN, Pas Kecil</t>
  </si>
  <si>
    <t>Less: 20% discount</t>
  </si>
  <si>
    <t>Total Investment</t>
  </si>
  <si>
    <t>Basic Financial Metrics</t>
  </si>
  <si>
    <t>PAYBACK PERIOD</t>
  </si>
  <si>
    <t>25 months</t>
  </si>
  <si>
    <t>20 months</t>
  </si>
  <si>
    <t>32 months</t>
  </si>
  <si>
    <t>8 months</t>
  </si>
  <si>
    <t>6 months</t>
  </si>
  <si>
    <t>11 months</t>
  </si>
  <si>
    <t>13 months</t>
  </si>
  <si>
    <t>10 months</t>
  </si>
  <si>
    <t>17 months</t>
  </si>
  <si>
    <t>15 months</t>
  </si>
  <si>
    <t>21 months</t>
  </si>
  <si>
    <t>ROI PER YEAR</t>
  </si>
  <si>
    <t>PER TRIP ESTIMATE</t>
  </si>
  <si>
    <t>Total guests</t>
  </si>
  <si>
    <t>13 pax</t>
  </si>
  <si>
    <t>Price per passenger</t>
  </si>
  <si>
    <t>Total in IDR</t>
  </si>
  <si>
    <t xml:space="preserve">Less: Direct Costs </t>
  </si>
  <si>
    <r>
      <rPr>
        <i val="1"/>
        <sz val="9"/>
        <color indexed="14"/>
        <rFont val="Amasis MT Pro"/>
      </rPr>
      <t>Extra fruits - Premium</t>
    </r>
  </si>
  <si>
    <r>
      <rPr>
        <i val="1"/>
        <sz val="9"/>
        <color indexed="14"/>
        <rFont val="Amasis MT Pro"/>
      </rPr>
      <t>Extra photographer - Premium</t>
    </r>
  </si>
  <si>
    <r>
      <rPr>
        <i val="1"/>
        <sz val="9"/>
        <color indexed="14"/>
        <rFont val="Amasis MT Pro"/>
      </rPr>
      <t>Extra welcome drinks - Premium</t>
    </r>
  </si>
  <si>
    <r>
      <rPr>
        <i val="1"/>
        <sz val="9"/>
        <color indexed="14"/>
        <rFont val="Amasis MT Pro"/>
      </rPr>
      <t>Extra prosecco - Premium</t>
    </r>
  </si>
  <si>
    <t>Profit for sharing</t>
  </si>
  <si>
    <t>Project Eldorado ROI in USD</t>
  </si>
  <si>
    <r>
      <rPr>
        <b val="1"/>
        <sz val="9"/>
        <color indexed="14"/>
        <rFont val="Amasis MT Pro"/>
      </rPr>
      <t>25 months</t>
    </r>
  </si>
  <si>
    <r>
      <rPr>
        <b val="1"/>
        <sz val="9"/>
        <color indexed="14"/>
        <rFont val="Amasis MT Pro"/>
      </rPr>
      <t>20 months</t>
    </r>
  </si>
  <si>
    <r>
      <rPr>
        <b val="1"/>
        <sz val="9"/>
        <color indexed="14"/>
        <rFont val="Amasis MT Pro"/>
      </rPr>
      <t>32 months</t>
    </r>
  </si>
  <si>
    <t>5 months</t>
  </si>
  <si>
    <t>9 months</t>
  </si>
  <si>
    <t>12 months</t>
  </si>
  <si>
    <t>14 months</t>
  </si>
  <si>
    <t>18 months</t>
  </si>
  <si>
    <t>Project Eldorado IRR 50-50</t>
  </si>
  <si>
    <t>M-2</t>
  </si>
  <si>
    <t>M-1</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</si>
  <si>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</si>
  <si>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</si>
  <si>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</si>
  <si>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</si>
  <si>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</si>
  <si>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</si>
  <si>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</si>
  <si>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</si>
  <si>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</si>
  <si>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</si>
  <si>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</si>
  <si>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</si>
  <si>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</si>
  <si>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</si>
  <si>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</si>
  <si>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</si>
  <si>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</si>
  <si>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</si>
  <si>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</si>
  <si>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</si>
  <si>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</si>
  <si>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</si>
  <si>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</si>
  <si>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</si>
  <si>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</si>
  <si>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</si>
  <si>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</si>
  <si>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</si>
  <si>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</si>
  <si>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</si>
  <si>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</si>
  <si>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</si>
  <si>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</si>
  <si>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</si>
  <si>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</si>
  <si>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</si>
  <si>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</si>
  <si>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</si>
  <si>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boat production</t>
  </si>
  <si>
    <t>Average Sailable Days</t>
  </si>
  <si>
    <t>Number of Passengers</t>
  </si>
  <si>
    <t>Price at average capacity in IDR '000</t>
  </si>
  <si>
    <r>
      <rPr>
        <sz val="11"/>
        <color indexed="14"/>
        <rFont val="Amasis MT Pro"/>
      </rPr>
      <t>Guides Salary &amp; Tax</t>
    </r>
  </si>
  <si>
    <r>
      <rPr>
        <sz val="11"/>
        <color indexed="14"/>
        <rFont val="Amasis MT Pro"/>
      </rPr>
      <t>Towels</t>
    </r>
  </si>
  <si>
    <r>
      <rPr>
        <sz val="11"/>
        <color indexed="14"/>
        <rFont val="Amasis MT Pro"/>
      </rPr>
      <t>Ice &amp; Water</t>
    </r>
  </si>
  <si>
    <r>
      <rPr>
        <sz val="11"/>
        <color indexed="14"/>
        <rFont val="Amasis MT Pro"/>
      </rPr>
      <t>Seran Retribution</t>
    </r>
  </si>
  <si>
    <r>
      <rPr>
        <sz val="11"/>
        <color indexed="14"/>
        <rFont val="Amasis MT Pro"/>
      </rPr>
      <t>Seran Parking and Mooring</t>
    </r>
  </si>
  <si>
    <r>
      <rPr>
        <sz val="11"/>
        <color indexed="14"/>
        <rFont val="Amasis MT Pro"/>
      </rPr>
      <t>NP + Serangan Clearance</t>
    </r>
  </si>
  <si>
    <r>
      <rPr>
        <sz val="11"/>
        <color indexed="14"/>
        <rFont val="Amasis MT Pro"/>
      </rPr>
      <t>Offering</t>
    </r>
  </si>
  <si>
    <r>
      <rPr>
        <sz val="11"/>
        <color indexed="14"/>
        <rFont val="Amasis MT Pro"/>
      </rPr>
      <t>Fruits</t>
    </r>
  </si>
  <si>
    <r>
      <rPr>
        <sz val="11"/>
        <color indexed="14"/>
        <rFont val="Amasis MT Pro"/>
      </rPr>
      <t>Lunch</t>
    </r>
  </si>
  <si>
    <r>
      <rPr>
        <sz val="11"/>
        <color indexed="14"/>
        <rFont val="Amasis MT Pro"/>
      </rPr>
      <t>Fuel (Pertamax)</t>
    </r>
  </si>
  <si>
    <r>
      <rPr>
        <sz val="11"/>
        <color indexed="14"/>
        <rFont val="Amasis MT Pro"/>
      </rPr>
      <t>Crew Salary &amp; Tax u</t>
    </r>
  </si>
  <si>
    <r>
      <rPr>
        <sz val="11"/>
        <color indexed="14"/>
        <rFont val="Amasis MT Pro"/>
      </rPr>
      <t>Land Tours</t>
    </r>
  </si>
  <si>
    <r>
      <rPr>
        <sz val="11"/>
        <color indexed="14"/>
        <rFont val="Amasis MT Pro"/>
      </rPr>
      <t>Extra fruits - Premium</t>
    </r>
  </si>
  <si>
    <r>
      <rPr>
        <sz val="11"/>
        <color indexed="14"/>
        <rFont val="Amasis MT Pro"/>
      </rPr>
      <t>Extra photographer - Premium</t>
    </r>
  </si>
  <si>
    <r>
      <rPr>
        <sz val="11"/>
        <color indexed="14"/>
        <rFont val="Amasis MT Pro"/>
      </rPr>
      <t>Extra welcome drinks - Premium</t>
    </r>
  </si>
  <si>
    <r>
      <rPr>
        <sz val="11"/>
        <color indexed="14"/>
        <rFont val="Amasis MT Pro"/>
      </rPr>
      <t>Extra prosecco - Premium</t>
    </r>
  </si>
  <si>
    <r>
      <rPr>
        <sz val="11"/>
        <color indexed="14"/>
        <rFont val="Amasis MT Pro"/>
      </rPr>
      <t>100H service + routine maintenance</t>
    </r>
  </si>
  <si>
    <r>
      <rPr>
        <sz val="11"/>
        <color indexed="14"/>
        <rFont val="Amasis MT Pro"/>
      </rPr>
      <t>Odoo subscription + accounting</t>
    </r>
  </si>
  <si>
    <r>
      <rPr>
        <sz val="11"/>
        <color indexed="14"/>
        <rFont val="Amasis MT Pro"/>
      </rPr>
      <t>Income taxes</t>
    </r>
  </si>
  <si>
    <t>Net Operating Profit</t>
  </si>
  <si>
    <t>50% PSA Share</t>
  </si>
  <si>
    <t>Less: 40% discount</t>
  </si>
  <si>
    <t>Terminal Value of the Boat</t>
  </si>
  <si>
    <t>Share Capital</t>
  </si>
  <si>
    <t>Loans</t>
  </si>
  <si>
    <t>Dividends</t>
  </si>
  <si>
    <t>Investor's Net cash inflows/ourflows:</t>
  </si>
  <si>
    <t>Net cash flows from operating activities</t>
  </si>
  <si>
    <t>Net cash flows from investing activities</t>
  </si>
  <si>
    <t>Net cash flows from financing activities</t>
  </si>
  <si>
    <t>FREE CASH FLOWS TO INVESTOR</t>
  </si>
  <si>
    <t>ADVANCED FINANCIAL METRICS</t>
  </si>
  <si>
    <t>19 months</t>
  </si>
  <si>
    <t>INTERNAL RATE OF RETURN (IRR)</t>
  </si>
  <si>
    <t>NET PRESENT VALUE (NPV) @30%</t>
  </si>
  <si>
    <t>in IDR thousands</t>
  </si>
  <si>
    <t>Project Eldorado IRR 80-20</t>
  </si>
  <si>
    <t>20% PSA Share</t>
  </si>
  <si>
    <t>16 months</t>
  </si>
  <si>
    <t>Direct Costs 2026</t>
  </si>
  <si>
    <t>PER TOUR DIRECT COST 2026</t>
  </si>
  <si>
    <t>in IDR</t>
  </si>
  <si>
    <t>in USD</t>
  </si>
  <si>
    <t>Direct cost</t>
  </si>
  <si>
    <t>Amount|Rate</t>
  </si>
  <si>
    <t>Guide salary</t>
  </si>
  <si>
    <t>Guide taxes</t>
  </si>
  <si>
    <t>Guide extra on Premium Shared</t>
  </si>
  <si>
    <t>Diving guide salary</t>
  </si>
  <si>
    <t>Diving guide taxes</t>
  </si>
  <si>
    <t>Fishing guide salary</t>
  </si>
  <si>
    <t>Extra Fuel for Batu Abah Itinerary</t>
  </si>
  <si>
    <t>Parking</t>
  </si>
  <si>
    <t>NP Clearance - small boats</t>
  </si>
  <si>
    <t>NP Clearance - big boats</t>
  </si>
  <si>
    <t>Bali Clearance - big boats</t>
  </si>
  <si>
    <t>Serangan + NP Retribution per pax</t>
  </si>
  <si>
    <t>Serangan Retribution per boat</t>
  </si>
  <si>
    <t>Serangan Moring per boat</t>
  </si>
  <si>
    <t>Serangan Parking per boat</t>
  </si>
  <si>
    <t>Extra Serangan Departure (standard shared)</t>
  </si>
  <si>
    <t>Fruits extra on Premium Shared</t>
  </si>
  <si>
    <t>Ice and water</t>
  </si>
  <si>
    <t>Offerings</t>
  </si>
  <si>
    <t>Boat tax</t>
  </si>
  <si>
    <t>Photographer on Standard Private (Agus)</t>
  </si>
  <si>
    <t>Photographer on Premium Shared (Agus)</t>
  </si>
  <si>
    <t xml:space="preserve">Photographer on Premium Shared (Bluuu team) </t>
  </si>
  <si>
    <t>Prosecco on Premium Shared x3</t>
  </si>
  <si>
    <t>Drone</t>
  </si>
  <si>
    <t>Lunch at Virgin Beach</t>
  </si>
  <si>
    <t>Instax and Flowers</t>
  </si>
  <si>
    <t>Own boats:</t>
  </si>
  <si>
    <t>Price of Pertamax per liter</t>
  </si>
  <si>
    <t>Crew salary</t>
  </si>
  <si>
    <t>Premium crew extra</t>
  </si>
  <si>
    <t>Crew tax</t>
  </si>
  <si>
    <t>PER GUEST DIRECT COST</t>
  </si>
  <si>
    <t xml:space="preserve">Lunch GK </t>
  </si>
  <si>
    <t>Lunch GK &amp; KHM (average)</t>
  </si>
  <si>
    <t>Lunch LB</t>
  </si>
  <si>
    <t>Lunch LR</t>
  </si>
  <si>
    <t>Lunch VB</t>
  </si>
  <si>
    <t>Lunch Acropora</t>
  </si>
  <si>
    <t>Serangan + NP Retribution</t>
  </si>
  <si>
    <t>Two tanks and weights rent</t>
  </si>
  <si>
    <t>Extra BCD + Reg + suit rent</t>
  </si>
  <si>
    <t>PADI Certification Course with pak Rai</t>
  </si>
  <si>
    <t>Diving equipment depreciation</t>
  </si>
  <si>
    <t>Fishing equipment depreciation</t>
  </si>
  <si>
    <t>Bottom and Jigging Fishing Rent per Set</t>
  </si>
  <si>
    <t>Trolling Fishin Set</t>
  </si>
  <si>
    <t>Premium Shared welcome drink and juices</t>
  </si>
  <si>
    <t>PER CAR DIRECT COST</t>
  </si>
  <si>
    <t>Transfer (one-way)</t>
  </si>
  <si>
    <t>Transfer (round trip)</t>
  </si>
  <si>
    <t>Transfer (toll and parking)</t>
  </si>
  <si>
    <t xml:space="preserve">Land tour </t>
  </si>
  <si>
    <t>Land tour tax</t>
  </si>
  <si>
    <t>Trasnfers, Extras, Alco 2026</t>
  </si>
  <si>
    <t>TRANSFERS</t>
  </si>
  <si>
    <t>Trasnfer Services</t>
  </si>
  <si>
    <t>Prices 2026</t>
  </si>
  <si>
    <t>Expected # of cars 2026</t>
  </si>
  <si>
    <t>Transfer Income 2026</t>
  </si>
  <si>
    <t>Reccomendation</t>
  </si>
  <si>
    <t xml:space="preserve">     Transfer (Transfer Long Pick Up + Drop Off)</t>
  </si>
  <si>
    <t xml:space="preserve">     Transfer (Transfer Long Pick Up)</t>
  </si>
  <si>
    <t xml:space="preserve">     Transfer (Transfer Long Drop Off)</t>
  </si>
  <si>
    <t>TOTAL</t>
  </si>
  <si>
    <t>Trasnfer Cost</t>
  </si>
  <si>
    <t>Cost 2026</t>
  </si>
  <si>
    <t>Net Profit Margin</t>
  </si>
  <si>
    <t>Net Profit</t>
  </si>
  <si>
    <t>EXTRA SERVICES</t>
  </si>
  <si>
    <t>Extra Services</t>
  </si>
  <si>
    <t>Expected # of bokings 2026</t>
  </si>
  <si>
    <t>Extra Services Income 2026</t>
  </si>
  <si>
    <t>Extra Services Cost</t>
  </si>
  <si>
    <r>
      <rPr>
        <sz val="11"/>
        <color indexed="14"/>
        <rFont val="Amasis MT Pro"/>
      </rPr>
      <t>Extra Services (GoPro10)</t>
    </r>
  </si>
  <si>
    <r>
      <rPr>
        <sz val="11"/>
        <color indexed="14"/>
        <rFont val="Amasis MT Pro"/>
      </rPr>
      <t>Extra Services (Full Face Snorkel Mask)</t>
    </r>
  </si>
  <si>
    <r>
      <rPr>
        <sz val="11"/>
        <color indexed="14"/>
        <rFont val="Amasis MT Pro"/>
      </rPr>
      <t>Extra Services (Fishing Rods)</t>
    </r>
  </si>
  <si>
    <r>
      <rPr>
        <sz val="11"/>
        <color indexed="14"/>
        <rFont val="Amasis MT Pro"/>
      </rPr>
      <t>Extra Services (Kids Full Face Snorkel Mask)</t>
    </r>
  </si>
  <si>
    <r>
      <rPr>
        <sz val="11"/>
        <color indexed="14"/>
        <rFont val="Amasis MT Pro"/>
      </rPr>
      <t>Extra Services (Kids Life Jacket (15-20 kg))</t>
    </r>
  </si>
  <si>
    <r>
      <rPr>
        <sz val="11"/>
        <color indexed="14"/>
        <rFont val="Amasis MT Pro"/>
      </rPr>
      <t>Extra Services (Kid Life Jacket (20-40 kg))</t>
    </r>
  </si>
  <si>
    <r>
      <rPr>
        <sz val="11"/>
        <color indexed="14"/>
        <rFont val="Amasis MT Pro"/>
      </rPr>
      <t>Extra Services (Party Decoration)</t>
    </r>
  </si>
  <si>
    <r>
      <rPr>
        <sz val="11"/>
        <color indexed="14"/>
        <rFont val="Amasis MT Pro"/>
      </rPr>
      <t>Extra Services (Pro Photographer + Drone Pilot)</t>
    </r>
  </si>
  <si>
    <r>
      <rPr>
        <sz val="11"/>
        <color indexed="14"/>
        <rFont val="Amasis MT Pro"/>
      </rPr>
      <t>Extra Services (Pro Photographer)</t>
    </r>
  </si>
  <si>
    <r>
      <rPr>
        <sz val="11"/>
        <color indexed="14"/>
        <rFont val="Amasis MT Pro"/>
      </rPr>
      <t>Extra Services (Drone Pilot)</t>
    </r>
  </si>
  <si>
    <r>
      <rPr>
        <sz val="11"/>
        <color indexed="14"/>
        <rFont val="Amasis MT Pro"/>
      </rPr>
      <t>Extra Services (Wetsuit)</t>
    </r>
  </si>
  <si>
    <r>
      <rPr>
        <sz val="11"/>
        <color indexed="14"/>
        <rFont val="Amasis MT Pro"/>
      </rPr>
      <t>Extra Services (Advanced Divers)</t>
    </r>
  </si>
  <si>
    <r>
      <rPr>
        <sz val="11"/>
        <color indexed="14"/>
        <rFont val="Amasis MT Pro"/>
      </rPr>
      <t>Extra Services (Beginner Divers)</t>
    </r>
  </si>
  <si>
    <r>
      <rPr>
        <sz val="11"/>
        <color indexed="14"/>
        <rFont val="Amasis MT Pro"/>
      </rPr>
      <t>Extra Services (Extended Tour)</t>
    </r>
  </si>
  <si>
    <r>
      <rPr>
        <sz val="11"/>
        <color indexed="14"/>
        <rFont val="Amasis MT Pro"/>
      </rPr>
      <t>Extra Services (Fully Flexible Ticket)</t>
    </r>
  </si>
  <si>
    <r>
      <rPr>
        <sz val="11"/>
        <color indexed="14"/>
        <rFont val="Amasis MT Pro"/>
      </rPr>
      <t>Extra Services (Party Decoration (Size M))</t>
    </r>
  </si>
  <si>
    <r>
      <rPr>
        <sz val="11"/>
        <color indexed="14"/>
        <rFont val="Amasis MT Pro"/>
      </rPr>
      <t>Extra Services (Fully Flexible Private Booking)</t>
    </r>
  </si>
  <si>
    <r>
      <rPr>
        <sz val="11"/>
        <color indexed="14"/>
        <rFont val="Amasis MT Pro"/>
      </rPr>
      <t>Extra Services (90 min Sports &amp; Stretch Massage)</t>
    </r>
  </si>
  <si>
    <r>
      <rPr>
        <sz val="11"/>
        <color indexed="14"/>
        <rFont val="Amasis MT Pro"/>
      </rPr>
      <t>Advanced Divers (Advanced 1-Pax Pack)</t>
    </r>
  </si>
  <si>
    <r>
      <rPr>
        <sz val="11"/>
        <color indexed="14"/>
        <rFont val="Amasis MT Pro"/>
      </rPr>
      <t>Beginner Divers (Beginner 1-Pax Pack)</t>
    </r>
  </si>
  <si>
    <r>
      <rPr>
        <sz val="11"/>
        <color indexed="14"/>
        <rFont val="Amasis MT Pro"/>
      </rPr>
      <t>Extra Services (Massage Table)</t>
    </r>
  </si>
  <si>
    <t>Actual NPM</t>
  </si>
  <si>
    <t>Actual 10M2025</t>
  </si>
  <si>
    <t>Alcohilic Bevs Sales 2026</t>
  </si>
  <si>
    <t xml:space="preserve">     POS + Extras (Alco and Food) - Sales</t>
  </si>
  <si>
    <t xml:space="preserve">     POS + Extras (Alco and Food) - COGS</t>
  </si>
  <si>
    <t>LAND TOURS</t>
  </si>
  <si>
    <t>Land Tour Income 2026</t>
  </si>
  <si>
    <t xml:space="preserve">     Land Tour Sales</t>
  </si>
  <si>
    <t xml:space="preserve">     Land Tour - Cost of Goods Sold</t>
  </si>
  <si>
    <t>Boats Data Sheet 2026</t>
  </si>
  <si>
    <t>BOAT</t>
  </si>
  <si>
    <t>Percentage of Shared Tours</t>
  </si>
  <si>
    <t>TYPE</t>
  </si>
  <si>
    <t>CLASS</t>
  </si>
  <si>
    <t>NETT CAPACITY</t>
  </si>
  <si>
    <t>FUEL (in L) CONSUMPTION</t>
  </si>
  <si>
    <t>2025 BOAT BASE COST PER TOUR</t>
  </si>
  <si>
    <t>COMPANY</t>
  </si>
  <si>
    <t>Comments</t>
  </si>
  <si>
    <t>Shared/Private</t>
  </si>
  <si>
    <t>Own</t>
  </si>
  <si>
    <t>Mega - Sweetheart 4</t>
  </si>
  <si>
    <t>PT Bali Boat Tour - Riki J</t>
  </si>
  <si>
    <t>PT Serangan Boat Charters</t>
  </si>
  <si>
    <t>37% less DTB manangement fee to David</t>
  </si>
  <si>
    <t>PT Madu Susu Charters</t>
  </si>
  <si>
    <t>37% less DTB manangement fee to Sheny</t>
  </si>
  <si>
    <t>PT Eldorado Satu Charters</t>
  </si>
  <si>
    <t>Management</t>
  </si>
  <si>
    <t>PT Eldorado Dua Charters</t>
  </si>
  <si>
    <t>50/50 PSA - less DTB management fee</t>
  </si>
  <si>
    <t>PT Eldorado Tiga Charters</t>
  </si>
  <si>
    <t>PT Eldorado Empat Charters</t>
  </si>
  <si>
    <t>Rent</t>
  </si>
  <si>
    <t>PT Eldorado Lima Charters</t>
  </si>
  <si>
    <t>PT Eldorado Enam Charters</t>
  </si>
  <si>
    <t>Lady Manta</t>
  </si>
  <si>
    <t>250</t>
  </si>
  <si>
    <t>Weda Dharma</t>
  </si>
  <si>
    <t>36% less DTB manangement fee to Arya</t>
  </si>
  <si>
    <t>Nyoman Nener</t>
  </si>
  <si>
    <t>Sweetheart Nyoman</t>
  </si>
  <si>
    <t xml:space="preserve">Tour </t>
  </si>
  <si>
    <t>Queen Ruizi</t>
  </si>
  <si>
    <t>50/50 PSA</t>
  </si>
  <si>
    <t>275</t>
  </si>
  <si>
    <t>500</t>
  </si>
  <si>
    <t>40/60 PSA</t>
  </si>
  <si>
    <t>Small Little Star</t>
  </si>
  <si>
    <t>Debil Luxury</t>
  </si>
  <si>
    <t>350</t>
  </si>
  <si>
    <t>35/65 PSA</t>
  </si>
  <si>
    <t>400</t>
  </si>
  <si>
    <t>PT Bali Boat Tour - Dedean</t>
  </si>
  <si>
    <t>Base 7.5 jt. + 0.3 jt. for each beyond 5 pax + 2.0 jt. for MP</t>
  </si>
  <si>
    <t>+ 1 jt. if MP</t>
  </si>
  <si>
    <t>Comission</t>
  </si>
  <si>
    <t>DTB Profit = 15% from the listed rent price + extra upscale</t>
  </si>
  <si>
    <t>Tour</t>
  </si>
  <si>
    <t>810K extra per pax above 20 guest</t>
  </si>
  <si>
    <t>400K extra per pax above 25 guest, to be increased to 31.2 jt from Jan to Jun 2025, later to be revised again</t>
  </si>
  <si>
    <t xml:space="preserve">36 jt. prior to 6 June, decreased to 34.5 jt. onwards </t>
  </si>
  <si>
    <t>Price net of our comission</t>
  </si>
  <si>
    <t>Fixed 8.6 jt. + 0.5 jt. for Sanur and Serangan departures</t>
  </si>
  <si>
    <t xml:space="preserve">Note: own boats and boats under management require approx. IDR 50 mil. per annum documentation and docking fees </t>
  </si>
  <si>
    <t>Allocation OH and Target 2026</t>
  </si>
  <si>
    <t>SHARED TOUR BOAT</t>
  </si>
  <si>
    <t>Percentrage of Shared Tours</t>
  </si>
  <si>
    <t>CAPACITY</t>
  </si>
  <si>
    <t>TARGET TRIP RATE</t>
  </si>
  <si>
    <t>TARGET BOAT OCCUPANCY</t>
  </si>
  <si>
    <t>2026 Targer Trips</t>
  </si>
  <si>
    <t>2026 Targer Passengers</t>
  </si>
  <si>
    <t>2026 Depreciation</t>
  </si>
  <si>
    <t>2026 Docking and 100H Service</t>
  </si>
  <si>
    <t>2026 Overhaul Service</t>
  </si>
  <si>
    <t>TOTAL 2026 3D BUDGET</t>
  </si>
  <si>
    <t>2026 3D per shared trip</t>
  </si>
  <si>
    <t>2026 3D per shared tour passenger</t>
  </si>
  <si>
    <r>
      <rPr>
        <sz val="11"/>
        <color indexed="14"/>
        <rFont val="Amasis MT Pro"/>
      </rPr>
      <t>Shared/Private</t>
    </r>
  </si>
  <si>
    <r>
      <rPr>
        <sz val="11"/>
        <color indexed="14"/>
        <rFont val="Amasis MT Pro"/>
      </rPr>
      <t>Own</t>
    </r>
  </si>
  <si>
    <r>
      <rPr>
        <sz val="11"/>
        <color indexed="14"/>
        <rFont val="Amasis MT Pro"/>
      </rPr>
      <t>Primary</t>
    </r>
  </si>
  <si>
    <r>
      <rPr>
        <sz val="11"/>
        <color indexed="14"/>
        <rFont val="Amasis MT Pro"/>
      </rPr>
      <t>Rent</t>
    </r>
  </si>
  <si>
    <r>
      <rPr>
        <sz val="11"/>
        <color indexed="14"/>
        <rFont val="Amasis MT Pro"/>
      </rPr>
      <t xml:space="preserve">Tour </t>
    </r>
  </si>
  <si>
    <r>
      <rPr>
        <sz val="11"/>
        <color indexed="14"/>
        <rFont val="Amasis MT Pro"/>
      </rPr>
      <t>Sanjaya O4</t>
    </r>
  </si>
  <si>
    <r>
      <rPr>
        <sz val="11"/>
        <color indexed="14"/>
        <rFont val="Amasis MT Pro"/>
      </rPr>
      <t>Sanjaya O5</t>
    </r>
  </si>
  <si>
    <r>
      <rPr>
        <sz val="11"/>
        <color indexed="14"/>
        <rFont val="Amasis MT Pro"/>
      </rPr>
      <t>Big Sweetheart</t>
    </r>
  </si>
  <si>
    <r>
      <rPr>
        <sz val="11"/>
        <color indexed="14"/>
        <rFont val="Amasis MT Pro"/>
      </rPr>
      <t>Shared</t>
    </r>
  </si>
  <si>
    <r>
      <rPr>
        <sz val="11"/>
        <color indexed="14"/>
        <rFont val="Amasis MT Pro"/>
      </rPr>
      <t>Boat Angels</t>
    </r>
  </si>
  <si>
    <r>
      <rPr>
        <sz val="11"/>
        <color indexed="14"/>
        <rFont val="Amasis MT Pro"/>
      </rPr>
      <t>Management</t>
    </r>
  </si>
  <si>
    <r>
      <rPr>
        <sz val="11"/>
        <color indexed="14"/>
        <rFont val="Amasis MT Pro"/>
      </rPr>
      <t>Almond Milk</t>
    </r>
  </si>
  <si>
    <r>
      <rPr>
        <sz val="11"/>
        <color indexed="14"/>
        <rFont val="Amasis MT Pro"/>
      </rPr>
      <t>Honey Milk</t>
    </r>
  </si>
  <si>
    <r>
      <rPr>
        <sz val="11"/>
        <color indexed="14"/>
        <rFont val="Amasis MT Pro"/>
      </rPr>
      <t>Eldorado 1</t>
    </r>
  </si>
  <si>
    <r>
      <rPr>
        <sz val="11"/>
        <color indexed="14"/>
        <rFont val="Amasis MT Pro"/>
      </rPr>
      <t>Eldorado 2 - Arya</t>
    </r>
  </si>
  <si>
    <r>
      <rPr>
        <sz val="11"/>
        <color indexed="14"/>
        <rFont val="Amasis MT Pro"/>
      </rPr>
      <t>Eldorado 3 - Evgenii</t>
    </r>
  </si>
  <si>
    <r>
      <rPr>
        <sz val="11"/>
        <color indexed="14"/>
        <rFont val="Amasis MT Pro"/>
      </rPr>
      <t>Eldorado 4 - Vadim</t>
    </r>
  </si>
  <si>
    <r>
      <rPr>
        <sz val="11"/>
        <color indexed="14"/>
        <rFont val="Amasis MT Pro"/>
      </rPr>
      <t>Eldorado 5 - Robert</t>
    </r>
  </si>
  <si>
    <r>
      <rPr>
        <sz val="11"/>
        <color indexed="14"/>
        <rFont val="Amasis MT Pro"/>
      </rPr>
      <t>Eldorado 6 - Vadim</t>
    </r>
  </si>
  <si>
    <r>
      <rPr>
        <sz val="11"/>
        <color indexed="14"/>
        <rFont val="Amasis MT Pro"/>
      </rPr>
      <t>Queen Ruizi 12</t>
    </r>
  </si>
  <si>
    <r>
      <rPr>
        <sz val="11"/>
        <color indexed="14"/>
        <rFont val="Amasis MT Pro"/>
      </rPr>
      <t>Private</t>
    </r>
  </si>
  <si>
    <r>
      <rPr>
        <sz val="11"/>
        <color indexed="14"/>
        <rFont val="Amasis MT Pro"/>
      </rPr>
      <t>Boat MW40</t>
    </r>
  </si>
  <si>
    <r>
      <rPr>
        <sz val="11"/>
        <color indexed="14"/>
        <rFont val="Amasis MT Pro"/>
      </rPr>
      <t>Queen Ruizi 10</t>
    </r>
  </si>
  <si>
    <t>2026 Indirect and Admin Cost Allocation - Shared Tours</t>
  </si>
  <si>
    <t>Indirect cost per shared trip</t>
  </si>
  <si>
    <t>Indirect cost per shared tour passenger</t>
  </si>
  <si>
    <t>2026 Indirect and Admin Cost Allocation - Private Tours</t>
  </si>
  <si>
    <t>Indirect cost per private trip</t>
  </si>
  <si>
    <t>Indirect cost per private tour passenger</t>
  </si>
  <si>
    <t>PRIVATE TOUR BOAT</t>
  </si>
  <si>
    <t>Percentrage of Private Tours</t>
  </si>
  <si>
    <t>2025 Targer Trips</t>
  </si>
  <si>
    <r>
      <rPr>
        <sz val="11"/>
        <color indexed="14"/>
        <rFont val="Amasis MT Pro"/>
      </rPr>
      <t>Delisted</t>
    </r>
  </si>
  <si>
    <r>
      <rPr>
        <sz val="11"/>
        <color indexed="14"/>
        <rFont val="Amasis MT Pro"/>
      </rPr>
      <t>Debil Luxury</t>
    </r>
  </si>
  <si>
    <r>
      <rPr>
        <sz val="11"/>
        <color indexed="14"/>
        <rFont val="Amasis MT Pro"/>
      </rPr>
      <t>Secondary</t>
    </r>
  </si>
  <si>
    <r>
      <rPr>
        <sz val="11"/>
        <color indexed="14"/>
        <rFont val="Amasis MT Pro"/>
      </rPr>
      <t>Comission</t>
    </r>
  </si>
  <si>
    <r>
      <rPr>
        <sz val="11"/>
        <color indexed="14"/>
        <rFont val="Amasis MT Pro"/>
      </rPr>
      <t>Yacht Lux WL 14</t>
    </r>
  </si>
  <si>
    <r>
      <rPr>
        <sz val="11"/>
        <color indexed="14"/>
        <rFont val="Amasis MT Pro"/>
      </rPr>
      <t>Pula Catamaran (small)</t>
    </r>
  </si>
  <si>
    <r>
      <rPr>
        <sz val="11"/>
        <color indexed="14"/>
        <rFont val="Amasis MT Pro"/>
      </rPr>
      <t>Aneecha Catamaran</t>
    </r>
  </si>
  <si>
    <r>
      <rPr>
        <sz val="11"/>
        <color indexed="14"/>
        <rFont val="Amasis MT Pro"/>
      </rPr>
      <t>Tour</t>
    </r>
  </si>
  <si>
    <r>
      <rPr>
        <sz val="11"/>
        <color indexed="14"/>
        <rFont val="Amasis MT Pro"/>
      </rPr>
      <t>Jet Asia Yacht</t>
    </r>
  </si>
  <si>
    <r>
      <rPr>
        <sz val="11"/>
        <color indexed="14"/>
        <rFont val="Amasis MT Pro"/>
      </rPr>
      <t>Lux Yacht AR55</t>
    </r>
  </si>
  <si>
    <r>
      <rPr>
        <sz val="11"/>
        <color indexed="14"/>
        <rFont val="Amasis MT Pro"/>
      </rPr>
      <t>Yacht RZ50</t>
    </r>
  </si>
  <si>
    <r>
      <rPr>
        <sz val="11"/>
        <color indexed="14"/>
        <rFont val="Amasis MT Pro"/>
      </rPr>
      <t>Yacht AM37</t>
    </r>
  </si>
  <si>
    <r>
      <rPr>
        <sz val="11"/>
        <color indexed="14"/>
        <rFont val="Amasis MT Pro"/>
      </rPr>
      <t>Boat BD99</t>
    </r>
  </si>
  <si>
    <r>
      <rPr>
        <sz val="11"/>
        <color indexed="14"/>
        <rFont val="Amasis MT Pro"/>
      </rPr>
      <t>Boat KR-13</t>
    </r>
  </si>
  <si>
    <r>
      <rPr>
        <sz val="11"/>
        <color indexed="14"/>
        <rFont val="Amasis MT Pro"/>
      </rPr>
      <t>Premium Yacht AZ50</t>
    </r>
  </si>
  <si>
    <t>Boats Data Sheet 2025</t>
  </si>
  <si>
    <t>PT PMDN 1</t>
  </si>
  <si>
    <t>PT PMDN 2</t>
  </si>
  <si>
    <t>PT PMDN 3</t>
  </si>
  <si>
    <t>PT PMDN 4</t>
  </si>
  <si>
    <t>PT PMDN 5</t>
  </si>
  <si>
    <t>PT PMDN 6</t>
  </si>
  <si>
    <t>Allocation OH and Target 2025</t>
  </si>
  <si>
    <t>2025 Targer Passengers</t>
  </si>
  <si>
    <t>2025 Depreciation</t>
  </si>
  <si>
    <t>2025 Routine and 100H Service</t>
  </si>
  <si>
    <t>2025 Overhaul Service</t>
  </si>
  <si>
    <t>TOTAL 2024 3D BUDGET</t>
  </si>
  <si>
    <t>2024 3D per shared trip</t>
  </si>
  <si>
    <t>2024 3D per shared tour passenger</t>
  </si>
  <si>
    <t>2025 Indirect and Admin Cost Allocation - Shared Tours</t>
  </si>
  <si>
    <t>2024 Indirect and Admin Cost Allocation - Private Tours</t>
  </si>
  <si>
    <t>Medium</t>
  </si>
  <si>
    <t>Lux Yacht AR56</t>
  </si>
  <si>
    <t>Admin Expenses 2026</t>
  </si>
  <si>
    <t>INDIRECT AND ADMIN COSTS / OVERHEADS BUDGET</t>
  </si>
  <si>
    <t>Cost</t>
  </si>
  <si>
    <t>2026 Budget</t>
  </si>
  <si>
    <t>Allocation</t>
  </si>
  <si>
    <t>Total 2026 Budget</t>
  </si>
  <si>
    <t>Allocation:</t>
  </si>
  <si>
    <t>Shared Tours</t>
  </si>
  <si>
    <t>Private Tours</t>
  </si>
  <si>
    <t>10 MONTH 2025</t>
  </si>
  <si>
    <t>Actuals</t>
  </si>
  <si>
    <t>Estimate</t>
  </si>
  <si>
    <t>Account Code</t>
  </si>
  <si>
    <t>Balance</t>
  </si>
  <si>
    <t>RECURRING
NON_RECURRING</t>
  </si>
  <si>
    <t>NOTE</t>
  </si>
  <si>
    <t>2026 ESTIMATE</t>
  </si>
  <si>
    <r>
      <rPr>
        <sz val="12"/>
        <color indexed="14"/>
        <rFont val="Amasis MT Pro"/>
      </rPr>
      <t>Employee Salary (Tour Guides)</t>
    </r>
  </si>
  <si>
    <r>
      <rPr>
        <sz val="12"/>
        <color indexed="14"/>
        <rFont val="Amasis MT Pro"/>
      </rPr>
      <t>61100011</t>
    </r>
  </si>
  <si>
    <t>YES</t>
  </si>
  <si>
    <t>Employee Salary (Boat Crew)</t>
  </si>
  <si>
    <t>Other Income</t>
  </si>
  <si>
    <t>Interest and other income</t>
  </si>
  <si>
    <t>NOTE 
(what's included)</t>
  </si>
  <si>
    <t>Employee Bonus / Benefits</t>
  </si>
  <si>
    <t>Booking Manager sales bonus, Boat Crew Bonus, All Staff bonus monthly bonus, borthday bonus</t>
  </si>
  <si>
    <t>Employee Insurance - BPJS Kesehatan dan Tenaga Kerja</t>
  </si>
  <si>
    <t>BPJS Kesehatan dan Tenaga Kerja</t>
  </si>
  <si>
    <t>Employee Overtime Pay</t>
  </si>
  <si>
    <t>Office Staff Overtime</t>
  </si>
  <si>
    <t>Employee Salary Freelance (Daily Worker)</t>
  </si>
  <si>
    <t>NO</t>
  </si>
  <si>
    <t>Daily worker type job related to the boat trip</t>
  </si>
  <si>
    <t>Income Tax Art 21</t>
  </si>
  <si>
    <t>Income Tax Art 23 - Services</t>
  </si>
  <si>
    <t>Final income Tax 4 (2)</t>
  </si>
  <si>
    <t>Office Repairs</t>
  </si>
  <si>
    <t xml:space="preserve">Sanur Office, Serangan Office, Accounting Office repair </t>
  </si>
  <si>
    <t>Boat Tools and Supplies</t>
  </si>
  <si>
    <t xml:space="preserve">Boat tools </t>
  </si>
  <si>
    <t>Electricity</t>
  </si>
  <si>
    <t>Sanur Office, Serangan Office, Accounting Office Electricity</t>
  </si>
  <si>
    <t>R&amp;D Expenses (Research and Development)</t>
  </si>
  <si>
    <t>Test bookings for OTAs</t>
  </si>
  <si>
    <t>PDAM Water</t>
  </si>
  <si>
    <t>63110083</t>
  </si>
  <si>
    <t>Utilities</t>
  </si>
  <si>
    <t>Office Equipment</t>
  </si>
  <si>
    <t>Serangan Office equipment</t>
  </si>
  <si>
    <t>Accounting Office Expenses</t>
  </si>
  <si>
    <t>Advertising &amp; Marketing</t>
  </si>
  <si>
    <t>Google and Meta Ads + product placement + other SEO</t>
  </si>
  <si>
    <t>Bank Administration Fees</t>
  </si>
  <si>
    <t>Cashlez Fees</t>
  </si>
  <si>
    <t>Consulting and Accounting Fees</t>
  </si>
  <si>
    <t>Tax consulting fee</t>
  </si>
  <si>
    <t>Insurance Costs</t>
  </si>
  <si>
    <t>Snorkeling and diving insurane</t>
  </si>
  <si>
    <t>Telephone and Internet</t>
  </si>
  <si>
    <t xml:space="preserve">All office phone pulsa and Sanur Office, Serangan Office, Accounting Office electricity </t>
  </si>
  <si>
    <t>Diving and Snorkeling Equipment</t>
  </si>
  <si>
    <t>Training Expense</t>
  </si>
  <si>
    <t>Guide training expenses</t>
  </si>
  <si>
    <t>Ceremonies Expenses</t>
  </si>
  <si>
    <t>66110010</t>
  </si>
  <si>
    <t>Ceremonies</t>
  </si>
  <si>
    <t>Donation and Contribution Expenses</t>
  </si>
  <si>
    <t>Entertainment</t>
  </si>
  <si>
    <t>Staff party, bussiness meeting expenses</t>
  </si>
  <si>
    <t>Freight and Courier Expenses</t>
  </si>
  <si>
    <t>All deliveries fee expenses</t>
  </si>
  <si>
    <t>Medical Expenses</t>
  </si>
  <si>
    <t xml:space="preserve">Guest and medical medical expenses </t>
  </si>
  <si>
    <t>Legal Expenses</t>
  </si>
  <si>
    <t>Boat paperwork, company legality, employee Visa and Kitas</t>
  </si>
  <si>
    <t>Office Expenses</t>
  </si>
  <si>
    <t>Serangan Office daily operation expenses</t>
  </si>
  <si>
    <t>Office Expenses Consumable</t>
  </si>
  <si>
    <t>66110071</t>
  </si>
  <si>
    <t>Printing and Stationery</t>
  </si>
  <si>
    <t>Sanur Office, Serangan Office Printing and Stationery</t>
  </si>
  <si>
    <t>Software Expenses</t>
  </si>
  <si>
    <t>Kommo, Odoo, company website</t>
  </si>
  <si>
    <t>Bluuu.tour improvements + API development</t>
  </si>
  <si>
    <t>Xendit Fee</t>
  </si>
  <si>
    <t>Travel Expenses</t>
  </si>
  <si>
    <t>Bussiness Xendit Travel Expenses</t>
  </si>
  <si>
    <t>Uniform Expenses</t>
  </si>
  <si>
    <t>Staff Uniform Expenses</t>
  </si>
  <si>
    <t>Repair and Maintenance</t>
  </si>
  <si>
    <t>Car fleet repainting and stickers</t>
  </si>
  <si>
    <t>Commission</t>
  </si>
  <si>
    <t>Travel Agent, guide commission</t>
  </si>
  <si>
    <t>Staff Expenses</t>
  </si>
  <si>
    <t xml:space="preserve">Employee lunch, </t>
  </si>
  <si>
    <t>Wages and Salary</t>
  </si>
  <si>
    <t>Profit Sharing</t>
  </si>
  <si>
    <t>N/A - estimated separately</t>
  </si>
  <si>
    <t>Gifts and Donations</t>
  </si>
  <si>
    <t>66110135</t>
  </si>
  <si>
    <t>Gifts and parcels</t>
  </si>
  <si>
    <t>Management Fee</t>
  </si>
  <si>
    <t>N/A - estimates separately</t>
  </si>
  <si>
    <t>Agent Fee</t>
  </si>
  <si>
    <t>66110137</t>
  </si>
  <si>
    <t>Refer above</t>
  </si>
  <si>
    <t>Scuba Diving Course</t>
  </si>
  <si>
    <t>Scuba Diving Course for guide</t>
  </si>
  <si>
    <t>General Admin Correction Opening Entri</t>
  </si>
  <si>
    <t>66110142</t>
  </si>
  <si>
    <t>Boat Angel Improvement - Nyoman Nener Exp</t>
  </si>
  <si>
    <t>66110143</t>
  </si>
  <si>
    <t>Recharged to Nener</t>
  </si>
  <si>
    <t>Other Expenses</t>
  </si>
  <si>
    <t>Materials</t>
  </si>
  <si>
    <t>69000002</t>
  </si>
  <si>
    <t>Interest Expense</t>
  </si>
  <si>
    <t>ATM charges fee</t>
  </si>
  <si>
    <t>Loss on Sale of Fixed Assets</t>
  </si>
  <si>
    <t>Cash Difference Loss</t>
  </si>
  <si>
    <t>Tax PPh 21</t>
  </si>
  <si>
    <t>Tax Final 4(2)</t>
  </si>
  <si>
    <t>Tax PPh 25</t>
  </si>
  <si>
    <t>Tax PPh 23</t>
  </si>
  <si>
    <t>Tax VAT/PPN</t>
  </si>
  <si>
    <t>Dividend Tax</t>
  </si>
  <si>
    <t>99900032</t>
  </si>
  <si>
    <t>Dividend WHT</t>
  </si>
  <si>
    <t>CIT Corporate Income Tax (11%-22%)</t>
  </si>
  <si>
    <t>Tax PPh 26</t>
  </si>
  <si>
    <t>99900060</t>
  </si>
  <si>
    <t>Reservation Fee Exp</t>
  </si>
  <si>
    <t>99900061</t>
  </si>
  <si>
    <t>Total Expenses</t>
  </si>
  <si>
    <t>Rental Costs</t>
  </si>
  <si>
    <t>65110040</t>
  </si>
  <si>
    <t>Rent of Bluuu Tours other premises</t>
  </si>
  <si>
    <t>Office Building</t>
  </si>
  <si>
    <t>67100010</t>
  </si>
  <si>
    <t>Rent of Bluuu Tours Serangan premises</t>
  </si>
  <si>
    <t>Boats</t>
  </si>
  <si>
    <t>67100020</t>
  </si>
  <si>
    <t>Equipment and office supplies</t>
  </si>
  <si>
    <t>67100030</t>
  </si>
  <si>
    <t>Diving and Snorkeling Equipment, office equipment Depreciation</t>
  </si>
  <si>
    <t>2026 Overbudget Reserve</t>
  </si>
  <si>
    <t>Total Depreciation</t>
  </si>
  <si>
    <t>Admin Expenses 2025</t>
  </si>
  <si>
    <t>2025 Budget</t>
  </si>
  <si>
    <t>Total 2025 Budget</t>
  </si>
  <si>
    <t>From 01/01/2024
to  10/31/2024</t>
  </si>
  <si>
    <t>2025 ESTIMATE</t>
  </si>
  <si>
    <t>All online platform test booking</t>
  </si>
  <si>
    <t>Facebook ads, Google Ads</t>
  </si>
  <si>
    <t xml:space="preserve">Depreciation Rent Serangan Office </t>
  </si>
  <si>
    <t>snorkling and diving insurane</t>
  </si>
  <si>
    <t>Sanur Office, Serangan Office daily operation expenses</t>
  </si>
  <si>
    <t>CRM NP.one development and Odoo API</t>
  </si>
  <si>
    <t>it used to be jetski repair and maintenace Coa</t>
  </si>
  <si>
    <t>Refund</t>
  </si>
  <si>
    <t>Guest refund paid from bank transfer</t>
  </si>
  <si>
    <t>lady manta and sekoci depreciation</t>
  </si>
  <si>
    <t>2025 ESTIMATED OVERBUDGET</t>
  </si>
  <si>
    <t>Admin Expenses 2024</t>
  </si>
  <si>
    <t>2024 Budget</t>
  </si>
  <si>
    <t>Total 2024 Budget</t>
  </si>
  <si>
    <t>Actual 2023</t>
  </si>
  <si>
    <t>Type</t>
  </si>
  <si>
    <t>Budget forecast</t>
  </si>
  <si>
    <t>Budget 2024</t>
  </si>
  <si>
    <r>
      <rPr>
        <sz val="11"/>
        <color indexed="14"/>
        <rFont val="Amasis MT Pro"/>
      </rPr>
      <t>Advertising</t>
    </r>
  </si>
  <si>
    <t>Recurring</t>
  </si>
  <si>
    <r>
      <rPr>
        <sz val="11"/>
        <color indexed="14"/>
        <rFont val="Amasis MT Pro"/>
      </rPr>
      <t>2c2p fee</t>
    </r>
  </si>
  <si>
    <r>
      <rPr>
        <sz val="11"/>
        <color indexed="14"/>
        <rFont val="Amasis MT Pro"/>
      </rPr>
      <t>Bank Fees</t>
    </r>
  </si>
  <si>
    <r>
      <rPr>
        <sz val="11"/>
        <color indexed="14"/>
        <rFont val="Amasis MT Pro"/>
      </rPr>
      <t>Bonus</t>
    </r>
  </si>
  <si>
    <r>
      <rPr>
        <sz val="11"/>
        <color indexed="14"/>
        <rFont val="Amasis MT Pro"/>
      </rPr>
      <t>Boat Tour and Supplies</t>
    </r>
  </si>
  <si>
    <r>
      <rPr>
        <sz val="11"/>
        <color indexed="14"/>
        <rFont val="Amasis MT Pro"/>
      </rPr>
      <t>Cashlez Fee</t>
    </r>
  </si>
  <si>
    <r>
      <rPr>
        <sz val="11"/>
        <color indexed="14"/>
        <rFont val="Amasis MT Pro"/>
      </rPr>
      <t>Commision</t>
    </r>
  </si>
  <si>
    <t>Seven Heaven and Dedean share is estimated separately in 2024 forecasts</t>
  </si>
  <si>
    <r>
      <rPr>
        <sz val="11"/>
        <color indexed="14"/>
        <rFont val="Amasis MT Pro"/>
      </rPr>
      <t>Refund to Guest</t>
    </r>
  </si>
  <si>
    <t>One-off</t>
  </si>
  <si>
    <t>Zero (direct)</t>
  </si>
  <si>
    <r>
      <rPr>
        <sz val="11"/>
        <color indexed="14"/>
        <rFont val="Amasis MT Pro"/>
      </rPr>
      <t>Consulting &amp; Accounting</t>
    </r>
  </si>
  <si>
    <r>
      <rPr>
        <sz val="11"/>
        <color indexed="14"/>
        <rFont val="Amasis MT Pro"/>
      </rPr>
      <t>Ceremony</t>
    </r>
  </si>
  <si>
    <r>
      <rPr>
        <sz val="11"/>
        <color indexed="14"/>
        <rFont val="Amasis MT Pro"/>
      </rPr>
      <t>Diving &amp; Snorkling Gear</t>
    </r>
  </si>
  <si>
    <r>
      <rPr>
        <sz val="11"/>
        <color indexed="14"/>
        <rFont val="Amasis MT Pro"/>
      </rPr>
      <t>Donation and Contribution ( CSR )</t>
    </r>
  </si>
  <si>
    <r>
      <rPr>
        <sz val="11"/>
        <color indexed="14"/>
        <rFont val="Amasis MT Pro"/>
      </rPr>
      <t>Entertainment</t>
    </r>
  </si>
  <si>
    <r>
      <rPr>
        <sz val="11"/>
        <color indexed="14"/>
        <rFont val="Amasis MT Pro"/>
      </rPr>
      <t>Ipay88 Fee</t>
    </r>
  </si>
  <si>
    <r>
      <rPr>
        <sz val="11"/>
        <color indexed="14"/>
        <rFont val="Amasis MT Pro"/>
      </rPr>
      <t>Insurance</t>
    </r>
  </si>
  <si>
    <r>
      <rPr>
        <sz val="11"/>
        <color indexed="14"/>
        <rFont val="Amasis MT Pro"/>
      </rPr>
      <t>Office Supplies</t>
    </r>
  </si>
  <si>
    <r>
      <rPr>
        <sz val="11"/>
        <color indexed="14"/>
        <rFont val="Amasis MT Pro"/>
      </rPr>
      <t>Office Expenses</t>
    </r>
  </si>
  <si>
    <r>
      <rPr>
        <sz val="11"/>
        <color indexed="14"/>
        <rFont val="Amasis MT Pro"/>
      </rPr>
      <t>Go Pro and Electronic Supplies</t>
    </r>
  </si>
  <si>
    <t>Fixed</t>
  </si>
  <si>
    <r>
      <rPr>
        <sz val="11"/>
        <color indexed="14"/>
        <rFont val="Amasis MT Pro"/>
      </rPr>
      <t>Legal expenses</t>
    </r>
  </si>
  <si>
    <r>
      <rPr>
        <sz val="11"/>
        <color indexed="14"/>
        <rFont val="Amasis MT Pro"/>
      </rPr>
      <t>Seagrass Office Expenses</t>
    </r>
  </si>
  <si>
    <r>
      <rPr>
        <sz val="11"/>
        <color indexed="14"/>
        <rFont val="Amasis MT Pro"/>
      </rPr>
      <t>Pontoon Expenses</t>
    </r>
  </si>
  <si>
    <r>
      <rPr>
        <sz val="11"/>
        <color indexed="14"/>
        <rFont val="Amasis MT Pro"/>
      </rPr>
      <t>Jetski Expenses</t>
    </r>
  </si>
  <si>
    <r>
      <rPr>
        <sz val="11"/>
        <color indexed="14"/>
        <rFont val="Amasis MT Pro"/>
      </rPr>
      <t>Accounting office expenses</t>
    </r>
  </si>
  <si>
    <r>
      <rPr>
        <sz val="11"/>
        <color indexed="14"/>
        <rFont val="Amasis MT Pro"/>
      </rPr>
      <t>Sekoci 8 Metre</t>
    </r>
  </si>
  <si>
    <t>Zero (one-off)</t>
  </si>
  <si>
    <r>
      <rPr>
        <sz val="11"/>
        <color indexed="14"/>
        <rFont val="Amasis MT Pro"/>
      </rPr>
      <t>Medical Expenses</t>
    </r>
  </si>
  <si>
    <r>
      <rPr>
        <sz val="11"/>
        <color indexed="14"/>
        <rFont val="Amasis MT Pro"/>
      </rPr>
      <t>Mooring Making - Construction Expenses</t>
    </r>
  </si>
  <si>
    <r>
      <rPr>
        <sz val="11"/>
        <color indexed="14"/>
        <rFont val="Amasis MT Pro"/>
      </rPr>
      <t>Shirkage , Spoilage and Loss</t>
    </r>
  </si>
  <si>
    <r>
      <rPr>
        <sz val="11"/>
        <color indexed="14"/>
        <rFont val="Amasis MT Pro"/>
      </rPr>
      <t>Software Expenses</t>
    </r>
  </si>
  <si>
    <r>
      <rPr>
        <sz val="11"/>
        <color indexed="14"/>
        <rFont val="Amasis MT Pro"/>
      </rPr>
      <t>Telephone &amp; Internet</t>
    </r>
  </si>
  <si>
    <r>
      <rPr>
        <sz val="11"/>
        <color indexed="14"/>
        <rFont val="Amasis MT Pro"/>
      </rPr>
      <t>Training Expense</t>
    </r>
  </si>
  <si>
    <r>
      <rPr>
        <sz val="11"/>
        <color indexed="14"/>
        <rFont val="Amasis MT Pro"/>
      </rPr>
      <t>Travel Expense</t>
    </r>
  </si>
  <si>
    <r>
      <rPr>
        <sz val="11"/>
        <color indexed="14"/>
        <rFont val="Amasis MT Pro"/>
      </rPr>
      <t xml:space="preserve">Monthly Tax </t>
    </r>
  </si>
  <si>
    <r>
      <rPr>
        <sz val="11"/>
        <color indexed="14"/>
        <rFont val="Amasis MT Pro"/>
      </rPr>
      <t xml:space="preserve">Annual Tax </t>
    </r>
  </si>
  <si>
    <r>
      <rPr>
        <sz val="11"/>
        <color indexed="14"/>
        <rFont val="Amasis MT Pro"/>
      </rPr>
      <t>Tour Supplies</t>
    </r>
  </si>
  <si>
    <r>
      <rPr>
        <sz val="11"/>
        <color indexed="14"/>
        <rFont val="Amasis MT Pro"/>
      </rPr>
      <t>Travel - International</t>
    </r>
  </si>
  <si>
    <r>
      <rPr>
        <sz val="11"/>
        <color indexed="14"/>
        <rFont val="Amasis MT Pro"/>
      </rPr>
      <t>Travel - National</t>
    </r>
  </si>
  <si>
    <r>
      <rPr>
        <sz val="11"/>
        <color indexed="14"/>
        <rFont val="Amasis MT Pro"/>
      </rPr>
      <t xml:space="preserve">Tools and Equipment </t>
    </r>
  </si>
  <si>
    <r>
      <rPr>
        <sz val="11"/>
        <color indexed="14"/>
        <rFont val="Amasis MT Pro"/>
      </rPr>
      <t>Employee Meal &amp; Trip Allowance</t>
    </r>
  </si>
  <si>
    <r>
      <rPr>
        <sz val="11"/>
        <color indexed="14"/>
        <rFont val="Amasis MT Pro"/>
      </rPr>
      <t>Wages and Salaries</t>
    </r>
  </si>
  <si>
    <r>
      <rPr>
        <sz val="11"/>
        <color indexed="14"/>
        <rFont val="Amasis MT Pro"/>
      </rPr>
      <t>Alex Expenses</t>
    </r>
  </si>
  <si>
    <r>
      <rPr>
        <sz val="11"/>
        <color indexed="14"/>
        <rFont val="Amasis MT Pro"/>
      </rPr>
      <t>BPJS Kesehatan</t>
    </r>
  </si>
  <si>
    <r>
      <rPr>
        <sz val="11"/>
        <color indexed="14"/>
        <rFont val="Amasis MT Pro"/>
      </rPr>
      <t xml:space="preserve">Uniform </t>
    </r>
  </si>
  <si>
    <r>
      <rPr>
        <sz val="11"/>
        <color indexed="14"/>
        <rFont val="Amasis MT Pro"/>
      </rPr>
      <t xml:space="preserve">Printing &amp; Stationery </t>
    </r>
  </si>
  <si>
    <r>
      <rPr>
        <sz val="11"/>
        <color indexed="14"/>
        <rFont val="Amasis MT Pro"/>
      </rPr>
      <t>Staff Expenses</t>
    </r>
  </si>
  <si>
    <r>
      <rPr>
        <sz val="11"/>
        <color indexed="14"/>
        <rFont val="Amasis MT Pro"/>
      </rPr>
      <t>Freight And Courier</t>
    </r>
  </si>
  <si>
    <r>
      <rPr>
        <sz val="11"/>
        <color indexed="14"/>
        <rFont val="Amasis MT Pro"/>
      </rPr>
      <t>Getyourguide Fee</t>
    </r>
  </si>
  <si>
    <r>
      <rPr>
        <sz val="11"/>
        <color indexed="14"/>
        <rFont val="Amasis MT Pro"/>
      </rPr>
      <t>Tour Expenses</t>
    </r>
  </si>
  <si>
    <t>Lady Manta  Docking and Documentation Budget</t>
  </si>
  <si>
    <r>
      <rPr>
        <sz val="11"/>
        <color indexed="14"/>
        <rFont val="Amasis MT Pro"/>
      </rPr>
      <t>Website</t>
    </r>
  </si>
  <si>
    <r>
      <rPr>
        <sz val="11"/>
        <color indexed="14"/>
        <rFont val="Amasis MT Pro"/>
      </rPr>
      <t>Xendit fee</t>
    </r>
  </si>
  <si>
    <t>Total</t>
  </si>
  <si>
    <t>Payroll 2026</t>
  </si>
  <si>
    <t xml:space="preserve">OFFICE SALARY </t>
  </si>
  <si>
    <t xml:space="preserve">MONTHLY </t>
  </si>
  <si>
    <t xml:space="preserve">No </t>
  </si>
  <si>
    <t xml:space="preserve">Name </t>
  </si>
  <si>
    <t>Position</t>
  </si>
  <si>
    <t xml:space="preserve">Salary </t>
  </si>
  <si>
    <t xml:space="preserve">Bonus </t>
  </si>
  <si>
    <t>Nominee Fee</t>
  </si>
  <si>
    <t xml:space="preserve">Meal &amp; Trip Allowance </t>
  </si>
  <si>
    <t xml:space="preserve">BPJS </t>
  </si>
  <si>
    <t xml:space="preserve">Total </t>
  </si>
  <si>
    <t xml:space="preserve">Dmitrii Arutiunov </t>
  </si>
  <si>
    <t xml:space="preserve">Director </t>
  </si>
  <si>
    <t>Karim T</t>
  </si>
  <si>
    <t>Sheny Subiakto</t>
  </si>
  <si>
    <t xml:space="preserve">Commissioner + head Accounting </t>
  </si>
  <si>
    <t xml:space="preserve">David </t>
  </si>
  <si>
    <t xml:space="preserve">Head of Boat Department </t>
  </si>
  <si>
    <t>Andreas</t>
  </si>
  <si>
    <t xml:space="preserve">Boat Operational Staff - Serangan </t>
  </si>
  <si>
    <t xml:space="preserve">I Nyoman Tara </t>
  </si>
  <si>
    <t xml:space="preserve">Boat Crew Coordinator - Serangan </t>
  </si>
  <si>
    <t xml:space="preserve">I Wayan Rio Surdiana ( Rio ) </t>
  </si>
  <si>
    <t xml:space="preserve">Porter - Serangan </t>
  </si>
  <si>
    <t>I Made Weda Dharma Bhusana ( Weda)</t>
  </si>
  <si>
    <t xml:space="preserve">OfficeManager Serangan  + Bonus Review 1.5jt </t>
  </si>
  <si>
    <t xml:space="preserve">I Wayan Sutana </t>
  </si>
  <si>
    <t xml:space="preserve">Boat Night Security  </t>
  </si>
  <si>
    <t xml:space="preserve">I Nyoman Swita </t>
  </si>
  <si>
    <t>Gardener - Serangan</t>
  </si>
  <si>
    <t xml:space="preserve">Rifqi Hasan Al Musthofa </t>
  </si>
  <si>
    <t xml:space="preserve">Porter ( ex - sanur ) </t>
  </si>
  <si>
    <t xml:space="preserve">Ni Wayan Risnawati </t>
  </si>
  <si>
    <t xml:space="preserve">Cleaner 1 - Serangan </t>
  </si>
  <si>
    <t xml:space="preserve">Destio Prasastyo Put </t>
  </si>
  <si>
    <t xml:space="preserve">Cleaner 2 - Serangan </t>
  </si>
  <si>
    <t>Ida Ayu Nindi Widya Shanti</t>
  </si>
  <si>
    <t xml:space="preserve">Serangan Admin Manager + GRO </t>
  </si>
  <si>
    <t xml:space="preserve">Maria </t>
  </si>
  <si>
    <t xml:space="preserve">Waitess 1 - Serangan </t>
  </si>
  <si>
    <t>Feny</t>
  </si>
  <si>
    <t xml:space="preserve">Waitess 2  - Serangan </t>
  </si>
  <si>
    <t xml:space="preserve">Geebran El Malumin </t>
  </si>
  <si>
    <t xml:space="preserve">Head of Guide Department </t>
  </si>
  <si>
    <t xml:space="preserve">Ryan Teddy Rismawan ( Komang Ryan ) </t>
  </si>
  <si>
    <t>Office Manager Sanur</t>
  </si>
  <si>
    <t xml:space="preserve">Jeline Rivani Song </t>
  </si>
  <si>
    <t xml:space="preserve">Receptionist </t>
  </si>
  <si>
    <t xml:space="preserve">I Wayan Rai ( Pak Rai ) </t>
  </si>
  <si>
    <t xml:space="preserve">Head of Diving Department </t>
  </si>
  <si>
    <t xml:space="preserve">Jumina ( Aline ) </t>
  </si>
  <si>
    <t xml:space="preserve">COO Assistant - Start 15 July 2024 </t>
  </si>
  <si>
    <t>Kasmawaty Sirait ( Kassy )</t>
  </si>
  <si>
    <t xml:space="preserve">Accounting </t>
  </si>
  <si>
    <t xml:space="preserve">Jilly Walone </t>
  </si>
  <si>
    <t xml:space="preserve">Vita Dewi </t>
  </si>
  <si>
    <t>Accounting</t>
  </si>
  <si>
    <t>Lydia De Vega</t>
  </si>
  <si>
    <t>Ni Kadek Dwi Hartini</t>
  </si>
  <si>
    <t>Accounting Admin</t>
  </si>
  <si>
    <t xml:space="preserve">I Made Wardika </t>
  </si>
  <si>
    <t xml:space="preserve">Porter </t>
  </si>
  <si>
    <t xml:space="preserve">I Ketut Mardika ( Didik )  </t>
  </si>
  <si>
    <t>Porter + Sekoci Sanur - Start 1 Sept 2024</t>
  </si>
  <si>
    <t xml:space="preserve">Dhena Anggraini </t>
  </si>
  <si>
    <t>Waitres 3</t>
  </si>
  <si>
    <t>Chida Selviana</t>
  </si>
  <si>
    <t>Admin Serangan</t>
  </si>
  <si>
    <t xml:space="preserve">Gede Megayudha ( Yuda ) </t>
  </si>
  <si>
    <t xml:space="preserve">Booking Manager </t>
  </si>
  <si>
    <t>Hardi Sapriandi</t>
  </si>
  <si>
    <t xml:space="preserve">Mario Reitiwael </t>
  </si>
  <si>
    <t xml:space="preserve">Edward Loviyandhi </t>
  </si>
  <si>
    <t xml:space="preserve">Valiant </t>
  </si>
  <si>
    <t xml:space="preserve">Mika </t>
  </si>
  <si>
    <t>Intan</t>
  </si>
  <si>
    <t>Platter Maker</t>
  </si>
  <si>
    <t>Semyon Babushkin</t>
  </si>
  <si>
    <t xml:space="preserve">Kommo support </t>
  </si>
  <si>
    <t>Marketing Director</t>
  </si>
  <si>
    <t>SMM Manager</t>
  </si>
  <si>
    <t>Accounting &amp; Admin</t>
  </si>
  <si>
    <t xml:space="preserve">New Cost for Acct Eldo 1 Approx </t>
  </si>
  <si>
    <t xml:space="preserve">New Cost for Acct Eldo 2 Approx </t>
  </si>
  <si>
    <t xml:space="preserve">New Cost for Acct Eldo 3 Approx </t>
  </si>
  <si>
    <t xml:space="preserve">New Cost for Acct Eldo 4 Approx </t>
  </si>
  <si>
    <t xml:space="preserve">New Cost for Acct Eldo 5 Approx </t>
  </si>
  <si>
    <t>Nominee Fee Eldorado 1</t>
  </si>
  <si>
    <t>Director &amp; Commissioner</t>
  </si>
  <si>
    <t>Nominee Fee Eldorado 2</t>
  </si>
  <si>
    <t>Director Only</t>
  </si>
  <si>
    <t>Nominee Fee Eldorado 3</t>
  </si>
  <si>
    <t>Nominee Fee Eldorado 4</t>
  </si>
  <si>
    <t>Nominee Fee Eldorado 5</t>
  </si>
  <si>
    <t>TOTAL FOR OFFICE CREW</t>
  </si>
  <si>
    <t xml:space="preserve">BOAT CREW SALARY </t>
  </si>
  <si>
    <t>Andy Luckman</t>
  </si>
  <si>
    <t xml:space="preserve">Captain EX- Dedean </t>
  </si>
  <si>
    <t xml:space="preserve">Baharudin Ibrahim </t>
  </si>
  <si>
    <t xml:space="preserve">Crew EX-Dedean </t>
  </si>
  <si>
    <t xml:space="preserve">I Wayan Budi Yasa </t>
  </si>
  <si>
    <t>Crew Sweetheart 4 - Start 6 May 2025</t>
  </si>
  <si>
    <t>I Wayan Arjana</t>
  </si>
  <si>
    <t xml:space="preserve">Captain Riki Boat </t>
  </si>
  <si>
    <t xml:space="preserve">I Wayan Padol </t>
  </si>
  <si>
    <t xml:space="preserve">Crew Riki J </t>
  </si>
  <si>
    <t xml:space="preserve">I Gusti Agung Putu Andika Pramana ( Ajung ) </t>
  </si>
  <si>
    <t>Captain Sweetheart 4</t>
  </si>
  <si>
    <t xml:space="preserve">Ketut Badung Arya Wijaya </t>
  </si>
  <si>
    <t xml:space="preserve">Share Holder </t>
  </si>
  <si>
    <t xml:space="preserve">Atas Sujanarko </t>
  </si>
  <si>
    <t xml:space="preserve">Crew EX- Dedean </t>
  </si>
  <si>
    <t xml:space="preserve">Syahrul Nazaruddin </t>
  </si>
  <si>
    <t xml:space="preserve">Captain Lady Manta </t>
  </si>
  <si>
    <t xml:space="preserve">Riana Asebut </t>
  </si>
  <si>
    <t xml:space="preserve">Crew Lady Manta </t>
  </si>
  <si>
    <t xml:space="preserve">I Made Parwata </t>
  </si>
  <si>
    <t xml:space="preserve">Captain Almond Milk </t>
  </si>
  <si>
    <t xml:space="preserve">Risman </t>
  </si>
  <si>
    <t xml:space="preserve">Crew Almond Milk </t>
  </si>
  <si>
    <t xml:space="preserve">I Putu Suwendra </t>
  </si>
  <si>
    <t xml:space="preserve">Captain Honey Milk </t>
  </si>
  <si>
    <t xml:space="preserve">I Made Suwantana </t>
  </si>
  <si>
    <t xml:space="preserve">Crew Honey Milk </t>
  </si>
  <si>
    <t>Surapin</t>
  </si>
  <si>
    <t>Captain Boat Angel</t>
  </si>
  <si>
    <t xml:space="preserve"> I Made Andi</t>
  </si>
  <si>
    <t xml:space="preserve">Crew Boat Angel </t>
  </si>
  <si>
    <t>Captain Boat Eldo - 1</t>
  </si>
  <si>
    <t xml:space="preserve">New  Cost - Approx </t>
  </si>
  <si>
    <t>Crew Boat Eldo - 1</t>
  </si>
  <si>
    <t>Captain Boat Eldo - 2</t>
  </si>
  <si>
    <t>Crew Boat Eldo - 2</t>
  </si>
  <si>
    <t>Captain Boat Eldo - 3</t>
  </si>
  <si>
    <t>Crew Boat Eldo - 3</t>
  </si>
  <si>
    <t>Captain Boat Eldo - 4</t>
  </si>
  <si>
    <t>Crew Boat Eldo - 4</t>
  </si>
  <si>
    <t>Captain Boat Eldo - 5</t>
  </si>
  <si>
    <t>Crew Boat Eldo - 5</t>
  </si>
  <si>
    <t>TOTAL FOR BOAT CREW</t>
  </si>
  <si>
    <t xml:space="preserve">PT FORTUNE YACHT BALI </t>
  </si>
  <si>
    <t xml:space="preserve">Director + Operational Manager </t>
  </si>
  <si>
    <t xml:space="preserve">Sheny Subiakto </t>
  </si>
  <si>
    <t xml:space="preserve">Commissioner + Finance Manager </t>
  </si>
  <si>
    <t xml:space="preserve">Glory Polak </t>
  </si>
  <si>
    <t>Accounting - Start 2 Sept 2024</t>
  </si>
  <si>
    <t xml:space="preserve">Andreas </t>
  </si>
  <si>
    <t xml:space="preserve">Nominee OCBC </t>
  </si>
  <si>
    <t>Yemima Tafuli</t>
  </si>
  <si>
    <t>Cleaner - Start 18 August 2025</t>
  </si>
  <si>
    <t>I Made Kris Darmadi</t>
  </si>
  <si>
    <t>Security - Start 23 March 2025</t>
  </si>
  <si>
    <t>Aleksandr Muravitksi</t>
  </si>
  <si>
    <t xml:space="preserve">Manager </t>
  </si>
  <si>
    <t>Vashira Nayanagith Fernando Gallage</t>
  </si>
  <si>
    <t>Chief Engineer</t>
  </si>
  <si>
    <t>Ikhsanto (Eko)</t>
  </si>
  <si>
    <t>Carpenter - Start 21 April</t>
  </si>
  <si>
    <t>David Saputro</t>
  </si>
  <si>
    <t>Boat Builder - Start 2 June</t>
  </si>
  <si>
    <t>Soleh Maulana</t>
  </si>
  <si>
    <t>Rofiul Mukhlisin</t>
  </si>
  <si>
    <t>Boat Builder - Start 1 July</t>
  </si>
  <si>
    <t>Rihaz Fahmi</t>
  </si>
  <si>
    <t>Boat Builder - Start 14 July</t>
  </si>
  <si>
    <t>Arifin Djaka</t>
  </si>
  <si>
    <t xml:space="preserve">Ahmad Nur Afianto </t>
  </si>
  <si>
    <t>Khusni Mubarok</t>
  </si>
  <si>
    <t>Boat Builder - Rejoin 8 Sept</t>
  </si>
  <si>
    <t xml:space="preserve">New Boat Builder </t>
  </si>
  <si>
    <t>Indian worker</t>
  </si>
  <si>
    <t>New HR Specialist</t>
  </si>
  <si>
    <t xml:space="preserve">TOTAL FOR PT FORTUNE YACHT BALI </t>
  </si>
  <si>
    <t>GRAND TOTAL</t>
  </si>
  <si>
    <t>Payroll 2025</t>
  </si>
  <si>
    <t xml:space="preserve">Ni Made Sri Mega Yanthi </t>
  </si>
  <si>
    <t>Office Assistant Serangan</t>
  </si>
  <si>
    <t xml:space="preserve">Boat Night Security </t>
  </si>
  <si>
    <t xml:space="preserve">Serangan </t>
  </si>
  <si>
    <t xml:space="preserve">Gardener </t>
  </si>
  <si>
    <t xml:space="preserve">Porter 2 </t>
  </si>
  <si>
    <t xml:space="preserve">Cleaner 1 </t>
  </si>
  <si>
    <t>Cleaner 2</t>
  </si>
  <si>
    <t xml:space="preserve">GRO </t>
  </si>
  <si>
    <t xml:space="preserve">Waitress </t>
  </si>
  <si>
    <t xml:space="preserve">David Assistant </t>
  </si>
  <si>
    <t xml:space="preserve">Ni Kadek Linda Apsari ( Linda ) </t>
  </si>
  <si>
    <t xml:space="preserve">Office Manager sanur  </t>
  </si>
  <si>
    <t>Sherly Fani</t>
  </si>
  <si>
    <t xml:space="preserve">New Cost for Acct crew with  new Boat 1- Approx </t>
  </si>
  <si>
    <t xml:space="preserve">New Cost for Acct crew with  new Boat 2- Approx </t>
  </si>
  <si>
    <t xml:space="preserve">Adrianus Syukur </t>
  </si>
  <si>
    <t>Head of Warehouse Sanur - Start 1 Sept 2024</t>
  </si>
  <si>
    <t xml:space="preserve">Muhamad Varian Rahman </t>
  </si>
  <si>
    <t>Warehouse Officer - Sanur</t>
  </si>
  <si>
    <t xml:space="preserve">Nyoman Parwati </t>
  </si>
  <si>
    <t xml:space="preserve">Cleaner </t>
  </si>
  <si>
    <t xml:space="preserve">I Made Partha Wisada Yoga ( Yoga ) </t>
  </si>
  <si>
    <t>New Booking Manager 1</t>
  </si>
  <si>
    <t>New Booking Manager 2</t>
  </si>
  <si>
    <t xml:space="preserve">Rhiry </t>
  </si>
  <si>
    <t xml:space="preserve">F&amp;B Staff </t>
  </si>
  <si>
    <t xml:space="preserve">Captain Dedean </t>
  </si>
  <si>
    <t xml:space="preserve">Crew Dedean </t>
  </si>
  <si>
    <t xml:space="preserve">Captain Riki J </t>
  </si>
  <si>
    <t xml:space="preserve">I Gusti Agung Putu Andika Pramana </t>
  </si>
  <si>
    <t xml:space="preserve">Crew Sweetheart 4 </t>
  </si>
  <si>
    <t xml:space="preserve">Captain </t>
  </si>
  <si>
    <t xml:space="preserve">New Boat 1 </t>
  </si>
  <si>
    <t>Crew</t>
  </si>
  <si>
    <t>New Boat 2</t>
  </si>
  <si>
    <t>Actual Sales 2025</t>
  </si>
  <si>
    <t>Odoo Product</t>
  </si>
  <si>
    <t>Actual Sales 
Jan-Oct 2025</t>
  </si>
  <si>
    <t>Quantity</t>
  </si>
  <si>
    <t xml:space="preserve">          Private Tour - Base Price</t>
  </si>
  <si>
    <t xml:space="preserve">          Shared Tour</t>
  </si>
  <si>
    <t xml:space="preserve">               Shared Tour (AirBnb)</t>
  </si>
  <si>
    <t xml:space="preserve">               Shared Tour (GetMyBoat)</t>
  </si>
  <si>
    <t xml:space="preserve">               Shared Tour (Nusapenida.one)</t>
  </si>
  <si>
    <t xml:space="preserve">               Shared Tour (balibooking.tours)</t>
  </si>
  <si>
    <t xml:space="preserve">               Shared Tour (Klook)</t>
  </si>
  <si>
    <t xml:space="preserve">               Shared Tour (GetYourGuide)</t>
  </si>
  <si>
    <t xml:space="preserve">               Shared Tour (TripAdvisor (sh))</t>
  </si>
  <si>
    <t xml:space="preserve">               Shared Tour (Trip.com)</t>
  </si>
  <si>
    <t xml:space="preserve">               Shared Tour (Headout.com)</t>
  </si>
  <si>
    <t xml:space="preserve">               Shared Tour (Triping)</t>
  </si>
  <si>
    <t xml:space="preserve">               Shared Tour (Luxury Escapes)</t>
  </si>
  <si>
    <t xml:space="preserve">               Shared Tour (MyBaliTrips)</t>
  </si>
  <si>
    <t xml:space="preserve">               Shared Tour (Bluuu.tours)</t>
  </si>
  <si>
    <t xml:space="preserve">          Premium Shared Tour </t>
  </si>
  <si>
    <t xml:space="preserve">               Premium Shared Tour  (Nusapenida.one)</t>
  </si>
  <si>
    <t xml:space="preserve">               Premium Shared Tour  (TripAdvisor (sh))</t>
  </si>
  <si>
    <t xml:space="preserve">               Premium Shared Tour  (Klook)</t>
  </si>
  <si>
    <t xml:space="preserve">               Premium Shared Tour  (GetYourGuide)</t>
  </si>
  <si>
    <t xml:space="preserve">               Premium Shared Tour  (Trip.com)</t>
  </si>
  <si>
    <t xml:space="preserve">               Premium Shared Tour  (Headout.com)</t>
  </si>
  <si>
    <t xml:space="preserve">               Premium Shared Tour  (AirBnb)</t>
  </si>
  <si>
    <t xml:space="preserve">               Premium Shared Tour  (Triping)</t>
  </si>
  <si>
    <t xml:space="preserve">               Premium Shared Tour  (Luxury Escapes)</t>
  </si>
  <si>
    <t xml:space="preserve">               Premium Shared Tour  (MyBaliTrips)</t>
  </si>
  <si>
    <t xml:space="preserve">               Premium Shared Tour  (Bluuu.tours)</t>
  </si>
  <si>
    <t xml:space="preserve">          Transfer</t>
  </si>
  <si>
    <t xml:space="preserve">               Transfer (Pick Up + Drop Off)</t>
  </si>
  <si>
    <t xml:space="preserve">               Transfer (Pick Up)</t>
  </si>
  <si>
    <t xml:space="preserve">               Transfer (No Transfer)</t>
  </si>
  <si>
    <t xml:space="preserve">               Transfer (Drop Off)</t>
  </si>
  <si>
    <t xml:space="preserve">               Transfer (Transfer 600K Pick Up + Drop Off)</t>
  </si>
  <si>
    <t xml:space="preserve">               Transfer (Transfer 300K Pick Up)</t>
  </si>
  <si>
    <t xml:space="preserve">               Transfer (Transfer 300K Drop Off)</t>
  </si>
  <si>
    <t xml:space="preserve">               Transfer (Pick Up Long Distance)</t>
  </si>
  <si>
    <t xml:space="preserve">               Transfer (Drop Off Long Distance)</t>
  </si>
  <si>
    <t xml:space="preserve">               Transfer (Pick Up + Drop Off Long Distance)</t>
  </si>
  <si>
    <t xml:space="preserve">               Transfer (Free Pick Up + Drop Off)</t>
  </si>
  <si>
    <t xml:space="preserve">               Transfer (Free Pick Up)</t>
  </si>
  <si>
    <t xml:space="preserve">               Transfer (Free Drop Off)</t>
  </si>
  <si>
    <t xml:space="preserve">               Transfer (S Pick/Drop + L Drop/Pick)</t>
  </si>
  <si>
    <t xml:space="preserve">          Land Tour</t>
  </si>
  <si>
    <t xml:space="preserve">               [LTR] Land Tour</t>
  </si>
  <si>
    <t xml:space="preserve">               Land Tour (West)</t>
  </si>
  <si>
    <t xml:space="preserve">               Land Tour (Kelingkin)</t>
  </si>
  <si>
    <t xml:space="preserve">               Land Tour (East)</t>
  </si>
  <si>
    <t xml:space="preserve">               Land Tour (All NP)</t>
  </si>
  <si>
    <t xml:space="preserve">          Extras</t>
  </si>
  <si>
    <t xml:space="preserve">               Extras (Jack Daniel's 750ml)</t>
  </si>
  <si>
    <t xml:space="preserve">               Extras (Jameson Irish Whiskey 750ml)</t>
  </si>
  <si>
    <t xml:space="preserve">               Extras (Absolut Vodka)</t>
  </si>
  <si>
    <t xml:space="preserve">               Extras (Gordon's Gin)</t>
  </si>
  <si>
    <t xml:space="preserve">               Extras (Somersby Apple Cider 12 cans)</t>
  </si>
  <si>
    <t xml:space="preserve">               Extras (Bali Sip - Manggo 330ml)</t>
  </si>
  <si>
    <t xml:space="preserve">               Extras (Bali Sip - Pineapple 330ml)</t>
  </si>
  <si>
    <t xml:space="preserve">               Extras (Alba Luna Prosecco)</t>
  </si>
  <si>
    <t xml:space="preserve">               Extras (Bombay Saphire 750ML)</t>
  </si>
  <si>
    <t xml:space="preserve">               Extras (Albens Apple Ori 12 cans)</t>
  </si>
  <si>
    <t xml:space="preserve">               Extras (San Miguel Light Can 320ml 12 cans)</t>
  </si>
  <si>
    <t xml:space="preserve">               Extras (Beer Bintang Crystal)</t>
  </si>
  <si>
    <t xml:space="preserve">               Extras (Bintang Crystal 12 cans new)</t>
  </si>
  <si>
    <t xml:space="preserve">               Extras (Bintang 12 cans)</t>
  </si>
  <si>
    <t xml:space="preserve">               Extras (Cheese Board)</t>
  </si>
  <si>
    <t xml:space="preserve">               Extras (Imported Wine)</t>
  </si>
  <si>
    <t xml:space="preserve">               Extras (Breakfast Platter 1 person)</t>
  </si>
  <si>
    <t xml:space="preserve">               Extras (Mix Platter)</t>
  </si>
  <si>
    <t xml:space="preserve">               Extras (Mix Platter BIG)</t>
  </si>
  <si>
    <t xml:space="preserve">               Extras (Cheese Platter)</t>
  </si>
  <si>
    <t xml:space="preserve">               Extras (Hummus &amp; Veggie Platter)</t>
  </si>
  <si>
    <t xml:space="preserve">               Extras (Birthday/Party Decoration)</t>
  </si>
  <si>
    <t xml:space="preserve">               Extras (Bombay Sphire)</t>
  </si>
  <si>
    <t xml:space="preserve">               Extras (Margarita 100ML)</t>
  </si>
  <si>
    <t xml:space="preserve">               Extras (Espresso Martini 100ML)</t>
  </si>
  <si>
    <t xml:space="preserve">               Extras (Amaretto Sour 100ML)</t>
  </si>
  <si>
    <t xml:space="preserve">               Extras (Negroni 100ML)</t>
  </si>
  <si>
    <t xml:space="preserve">               Extras (Margarita 240ML)</t>
  </si>
  <si>
    <t xml:space="preserve">               Extras (Espresso Martini 240ML)</t>
  </si>
  <si>
    <t xml:space="preserve">               Extras (Negroni 240ML)</t>
  </si>
  <si>
    <t xml:space="preserve">               Extras (Amaretto Sour 240ML)</t>
  </si>
  <si>
    <t xml:space="preserve">               Extras (Cake (Size M))</t>
  </si>
  <si>
    <t xml:space="preserve">               Extras (Cake (Size L))</t>
  </si>
  <si>
    <t xml:space="preserve">               Extras (Cake Size (XL))</t>
  </si>
  <si>
    <t xml:space="preserve">               Extras (Premium Cake)</t>
  </si>
  <si>
    <t xml:space="preserve">               Extras (Premium Birthday Cake)</t>
  </si>
  <si>
    <t xml:space="preserve">               Extras (Coral Restoration Pack)</t>
  </si>
  <si>
    <t xml:space="preserve">          Extra Services</t>
  </si>
  <si>
    <t xml:space="preserve">               Extra Services (GoPro10)</t>
  </si>
  <si>
    <t xml:space="preserve">               Extra Services (Full Face Snorkel Mask)</t>
  </si>
  <si>
    <t xml:space="preserve">               Extra Services (Fishing Rods)</t>
  </si>
  <si>
    <t xml:space="preserve">               Extra Services (Kids Full Face Snorkel Mask)</t>
  </si>
  <si>
    <t xml:space="preserve">               Extra Services (Kids Life Jacket (15-20 kg))</t>
  </si>
  <si>
    <t xml:space="preserve">               Extra Services (Kid Life Jacket (20-40 kg))</t>
  </si>
  <si>
    <t xml:space="preserve">               Extra Services (Party Decoration)</t>
  </si>
  <si>
    <t xml:space="preserve">               Extra Services (Pro Photographer + Drone Pilot)</t>
  </si>
  <si>
    <t xml:space="preserve">               Extra Services (Pro Photographer)</t>
  </si>
  <si>
    <t xml:space="preserve">               Extra Services (Drone Pilot)</t>
  </si>
  <si>
    <t xml:space="preserve">               Extra Services (Wetsuit)</t>
  </si>
  <si>
    <t xml:space="preserve">               Extra Services (Advanced Divers)</t>
  </si>
  <si>
    <t xml:space="preserve">               Extra Services (Beginner Divers)</t>
  </si>
  <si>
    <t xml:space="preserve">               Extra Services (Extended Tour)</t>
  </si>
  <si>
    <t xml:space="preserve">               Extra Services (Fully Flexible Ticket)</t>
  </si>
  <si>
    <t xml:space="preserve">               Extra Services (Party Decoration (Size M))</t>
  </si>
  <si>
    <t xml:space="preserve">               Extra Services (Fully Flexible Private Booking)</t>
  </si>
  <si>
    <t xml:space="preserve">               Extra Services (90 min Sports &amp; Stretch Massage)</t>
  </si>
  <si>
    <t xml:space="preserve">               Extra Services (Massage Table)</t>
  </si>
  <si>
    <t xml:space="preserve">          Advanced Divers</t>
  </si>
  <si>
    <t xml:space="preserve">               Advanced Divers (Advanced 1-Pax Pack)</t>
  </si>
  <si>
    <t xml:space="preserve">          Beginner Divers</t>
  </si>
  <si>
    <t xml:space="preserve">               Beginner Divers (Beginner 1-Pax Pack)</t>
  </si>
  <si>
    <t xml:space="preserve">          Extra Pax</t>
  </si>
  <si>
    <t xml:space="preserve">          Lunch</t>
  </si>
  <si>
    <t xml:space="preserve">          Mask Strap</t>
  </si>
  <si>
    <t xml:space="preserve">          Masker</t>
  </si>
  <si>
    <t xml:space="preserve">          Masker  (2)</t>
  </si>
  <si>
    <t xml:space="preserve">          Poncho Towel Inventory</t>
  </si>
  <si>
    <t xml:space="preserve">          Private Boat</t>
  </si>
  <si>
    <t xml:space="preserve">               Private Boat (Riki J)</t>
  </si>
  <si>
    <t xml:space="preserve">               Private Boat (Dedean)</t>
  </si>
  <si>
    <t xml:space="preserve">               Private Boat (Big Sweetheart)</t>
  </si>
  <si>
    <t xml:space="preserve">               Private Boat (Small Sweetheart)</t>
  </si>
  <si>
    <t xml:space="preserve">               Private Boat (Little Star)</t>
  </si>
  <si>
    <t xml:space="preserve">               Private Boat (Seahorse)</t>
  </si>
  <si>
    <t xml:space="preserve">               Private Boat (King Fish)</t>
  </si>
  <si>
    <t xml:space="preserve">               Private Boat (Sea Dragon)</t>
  </si>
  <si>
    <t xml:space="preserve">               Private Boat (Dhea)</t>
  </si>
  <si>
    <t xml:space="preserve">               Private Boat (Jayanadi)</t>
  </si>
  <si>
    <t xml:space="preserve">               Private Boat (Queen Ruizi 18)</t>
  </si>
  <si>
    <t xml:space="preserve">               Private Boat (Sweetheart 4)</t>
  </si>
  <si>
    <t xml:space="preserve">               Private Boat (Standard Boat)</t>
  </si>
  <si>
    <t xml:space="preserve">               Private Boat (Sanjaya)</t>
  </si>
  <si>
    <t xml:space="preserve">               Private Boat (Yacht Lux M13)</t>
  </si>
  <si>
    <t xml:space="preserve">               Private Boat (Yacht KF-13,5m)</t>
  </si>
  <si>
    <t xml:space="preserve">               Private Boat (Premium Yacht BM42)</t>
  </si>
  <si>
    <t xml:space="preserve">               Private Boat (Lux Yacht O17)</t>
  </si>
  <si>
    <t xml:space="preserve">               Private Boat (Lux Yacht BM55)</t>
  </si>
  <si>
    <t xml:space="preserve">               Private Boat (Big Little Star)</t>
  </si>
  <si>
    <t xml:space="preserve">               Private Boat (Rara)</t>
  </si>
  <si>
    <t xml:space="preserve">               Private Boat (My Darling)</t>
  </si>
  <si>
    <t xml:space="preserve">               Private Boat (Aneecha Catamaran)</t>
  </si>
  <si>
    <t xml:space="preserve">               Private Boat (Aneecha Catamaran (Nusa Dua Cruise))</t>
  </si>
  <si>
    <t xml:space="preserve">               Private Boat (Lady Manta)</t>
  </si>
  <si>
    <t xml:space="preserve">               Private Boat (Debil Luxury)</t>
  </si>
  <si>
    <t xml:space="preserve">               Private Boat (Lux Yacht AR55)</t>
  </si>
  <si>
    <t xml:space="preserve">               Private Boat (Queen Ruizi 10)</t>
  </si>
  <si>
    <t xml:space="preserve">               Private Boat (Jet Asia Yacht)</t>
  </si>
  <si>
    <t xml:space="preserve">               Private Boat (Jet Asia Yacht (4hrs Nusa Dua))</t>
  </si>
  <si>
    <t xml:space="preserve">               Private Boat (Sanjaya O4)</t>
  </si>
  <si>
    <t xml:space="preserve">               Private Boat (Yacht RZ50)</t>
  </si>
  <si>
    <t xml:space="preserve">               Private Boat (Sanjaya O5)</t>
  </si>
  <si>
    <t xml:space="preserve">               Private Boat (Yacht AM37)</t>
  </si>
  <si>
    <t xml:space="preserve">               Private Boat (Standard Diving Boat)</t>
  </si>
  <si>
    <t xml:space="preserve">               Private Boat (Queen Ruizi 12)</t>
  </si>
  <si>
    <t xml:space="preserve">               Private Boat (Boat BD99)</t>
  </si>
  <si>
    <t xml:space="preserve">               Private Boat (Almond Milk)</t>
  </si>
  <si>
    <t xml:space="preserve">               Private Boat (Premium Private Boat (S04,SO5,Q12))</t>
  </si>
  <si>
    <t xml:space="preserve">               Private Boat (Honey Milk)</t>
  </si>
  <si>
    <t xml:space="preserve">               Private Boat (Premium for Couples Boat)</t>
  </si>
  <si>
    <t xml:space="preserve">               Private Boat (Boat MW40)</t>
  </si>
  <si>
    <t xml:space="preserve">               Private Boat (Boat Angels)</t>
  </si>
  <si>
    <t xml:space="preserve">          Shared Boat</t>
  </si>
  <si>
    <t xml:space="preserve">               Shared Boat (Riki J)</t>
  </si>
  <si>
    <t xml:space="preserve">               Shared Boat (Big Sweetheart)</t>
  </si>
  <si>
    <t xml:space="preserve">               Shared Boat (Rising)</t>
  </si>
  <si>
    <t xml:space="preserve">               Shared Boat (Sea Dragon)</t>
  </si>
  <si>
    <t xml:space="preserve">               Shared Boat (Jayanadi)</t>
  </si>
  <si>
    <t xml:space="preserve">               Shared Boat (Sweetheart 4)</t>
  </si>
  <si>
    <t xml:space="preserve">               Shared Boat (Sweetheart 5)</t>
  </si>
  <si>
    <t xml:space="preserve">               Shared Boat (Standard Boat)</t>
  </si>
  <si>
    <t xml:space="preserve">               Shared Boat (Sanjaya)</t>
  </si>
  <si>
    <t xml:space="preserve">               Shared Boat (My Darling)</t>
  </si>
  <si>
    <t xml:space="preserve">               Shared Boat (Lady Manta)</t>
  </si>
  <si>
    <t xml:space="preserve">               Shared Boat (Debil Luxury)</t>
  </si>
  <si>
    <t xml:space="preserve">               Shared Boat (Sanjaya O4)</t>
  </si>
  <si>
    <t xml:space="preserve">               Shared Boat (Sanjaya O5)</t>
  </si>
  <si>
    <t xml:space="preserve">               Shared Boat (Premium Boat)</t>
  </si>
  <si>
    <t xml:space="preserve">               Shared Boat (Big Little Star)</t>
  </si>
  <si>
    <t xml:space="preserve">               Shared Boat (Queen Ruizi 12)</t>
  </si>
  <si>
    <t xml:space="preserve">               Shared Boat (Almond Milk)</t>
  </si>
  <si>
    <t xml:space="preserve">               Shared Boat (Honey Milk)</t>
  </si>
  <si>
    <t xml:space="preserve">               Shared Boat (Boat MW40)</t>
  </si>
  <si>
    <t xml:space="preserve">               Shared Boat (Boat Angels)</t>
  </si>
  <si>
    <t>OTHER SALES AND POS</t>
  </si>
  <si>
    <t xml:space="preserve">          Surf Hoodie Towel</t>
  </si>
  <si>
    <t xml:space="preserve">          TUSA Finn</t>
  </si>
  <si>
    <t xml:space="preserve">          TUSA SNORKEL</t>
  </si>
  <si>
    <t xml:space="preserve">          TUSA SNORKEL  (2)</t>
  </si>
  <si>
    <t xml:space="preserve">          Towel</t>
  </si>
  <si>
    <t xml:space="preserve">          Tusa Mask</t>
  </si>
  <si>
    <t xml:space="preserve">          Tusa Snorkle Kids</t>
  </si>
  <si>
    <t xml:space="preserve">          Zeepro Full Mask</t>
  </si>
  <si>
    <t xml:space="preserve">     None</t>
  </si>
  <si>
    <t xml:space="preserve">          Chocolatine </t>
  </si>
  <si>
    <t xml:space="preserve">          Ham &amp; Cheese Croissant </t>
  </si>
  <si>
    <t xml:space="preserve">          Absolute Vodka</t>
  </si>
  <si>
    <t xml:space="preserve">          Alba Luna Prosecco</t>
  </si>
  <si>
    <t xml:space="preserve">          Albens Apple Cider</t>
  </si>
  <si>
    <t xml:space="preserve">          Almond Croissant</t>
  </si>
  <si>
    <t xml:space="preserve">          Apple Pie</t>
  </si>
  <si>
    <t xml:space="preserve">          Aqua Reflection</t>
  </si>
  <si>
    <t xml:space="preserve">          Aussie Meat Pie</t>
  </si>
  <si>
    <t xml:space="preserve">          Aussie Pie Butter Chicken</t>
  </si>
  <si>
    <t xml:space="preserve">          Bali Sip Black Cherry 330 ML </t>
  </si>
  <si>
    <t xml:space="preserve">          Bali Sip Grapefruit 330 ML </t>
  </si>
  <si>
    <t xml:space="preserve">          Bali Sip Ice Tea</t>
  </si>
  <si>
    <t xml:space="preserve">          Bali Sip Mango 330 ML</t>
  </si>
  <si>
    <t xml:space="preserve">          Bali Sip Pineapple 330 ML </t>
  </si>
  <si>
    <t xml:space="preserve">          Bali Sip Spritzer Lemonade</t>
  </si>
  <si>
    <t xml:space="preserve">          Bali Sip Spritzer Mojito</t>
  </si>
  <si>
    <t xml:space="preserve">          Bali Sip Watermelon</t>
  </si>
  <si>
    <t xml:space="preserve">          Balian 330ML Mineral Water</t>
  </si>
  <si>
    <t xml:space="preserve">          Banana Boat  Sunblock Ultramist Sport Coolzone SPF 50</t>
  </si>
  <si>
    <t xml:space="preserve">          Banana Boat Aloe Vera 230g</t>
  </si>
  <si>
    <t xml:space="preserve">          Banana Boat Aloe Vera Gel After Sun Moisturizer 90 ml</t>
  </si>
  <si>
    <t xml:space="preserve">          Banana Boat Deep Tanning Oil SPF 4</t>
  </si>
  <si>
    <t xml:space="preserve">          Banana Boat Kids Sensitive Sunscreen SPF 50</t>
  </si>
  <si>
    <t xml:space="preserve">          Banana Boat Simply Protect Aqua SPF 50</t>
  </si>
  <si>
    <t xml:space="preserve">          Banana Boat Sport Ultra Suncreen SPF 50</t>
  </si>
  <si>
    <t xml:space="preserve">          Banana Boat Ultra Protect Sunscreen Face SPF 50 </t>
  </si>
  <si>
    <t xml:space="preserve">          Banana Boat Ultra Protect Sunscreen Faces Lotion SPF 50 60 ml</t>
  </si>
  <si>
    <t xml:space="preserve">          Banana Boat Ultra Protect Sunscreen SPF 50 </t>
  </si>
  <si>
    <t xml:space="preserve">          Banana Boat Ultra Protect Ultramist Sunscreen SPF 50+ 170gr</t>
  </si>
  <si>
    <t xml:space="preserve">          Beer Bintang Crystal</t>
  </si>
  <si>
    <t xml:space="preserve">          Bintang Bottle 330 ML</t>
  </si>
  <si>
    <t xml:space="preserve">          Bintang Can 330 ML</t>
  </si>
  <si>
    <t xml:space="preserve">          Bintang Radler Bottle 330 ML</t>
  </si>
  <si>
    <t xml:space="preserve">          Bintang Radler Can 330 ML</t>
  </si>
  <si>
    <t xml:space="preserve">          Bombay Sapphire</t>
  </si>
  <si>
    <t xml:space="preserve">          Bracelets</t>
  </si>
  <si>
    <t xml:space="preserve">          Bucket Hat</t>
  </si>
  <si>
    <t xml:space="preserve">          Chicken &amp; Mushroom Pie</t>
  </si>
  <si>
    <t xml:space="preserve">          Coca Cola Can 330 ML</t>
  </si>
  <si>
    <t xml:space="preserve">          Coca Cola Zero Can 330 ML </t>
  </si>
  <si>
    <t xml:space="preserve">          Cocktail Amaretto Sour 100ML </t>
  </si>
  <si>
    <t xml:space="preserve">          Cocktail Amaretto Sour 240ML </t>
  </si>
  <si>
    <t xml:space="preserve">          Cocktail Espresso Martini 100ML</t>
  </si>
  <si>
    <t xml:space="preserve">          Cocktail Espresso Martini 240ML</t>
  </si>
  <si>
    <t xml:space="preserve">          Cocktail Margarita 100ML</t>
  </si>
  <si>
    <t xml:space="preserve">          Cocktail Margarita 240ML</t>
  </si>
  <si>
    <t xml:space="preserve">          Cocktail Negroni 100ML </t>
  </si>
  <si>
    <t xml:space="preserve">          Cocktail Negroni 240ML</t>
  </si>
  <si>
    <t xml:space="preserve">          Croissant + EV Butter + StDalfour Spread</t>
  </si>
  <si>
    <t xml:space="preserve">          Dolls</t>
  </si>
  <si>
    <t xml:space="preserve">          Elle &amp; Vire Butter 10GR</t>
  </si>
  <si>
    <t xml:space="preserve">          Equil Mineral Water </t>
  </si>
  <si>
    <t xml:space="preserve">          Equil Sparkling Water</t>
  </si>
  <si>
    <t xml:space="preserve">          Faith Fade Keychain</t>
  </si>
  <si>
    <t xml:space="preserve">          Faith Fade Pendant Cord</t>
  </si>
  <si>
    <t xml:space="preserve">          Fanta Can 330 ML </t>
  </si>
  <si>
    <t xml:space="preserve">          FlexCurrent Rashguard</t>
  </si>
  <si>
    <t xml:space="preserve">          Flip Flop</t>
  </si>
  <si>
    <t xml:space="preserve">          Fruit</t>
  </si>
  <si>
    <t xml:space="preserve">          Gelato 2 Scoops</t>
  </si>
  <si>
    <t xml:space="preserve">          Gelato 3 Scoops</t>
  </si>
  <si>
    <t xml:space="preserve">          Granola Bites Chocolate Vanilla</t>
  </si>
  <si>
    <t xml:space="preserve">          Granola Bites Coconut Banana</t>
  </si>
  <si>
    <t xml:space="preserve">          Granola Bites Tropical Fruit</t>
  </si>
  <si>
    <t xml:space="preserve">          Granola Puffs Chocolate Vanilla</t>
  </si>
  <si>
    <t xml:space="preserve">          Heineken Bottle 330 ML</t>
  </si>
  <si>
    <t xml:space="preserve">          Imported Wine</t>
  </si>
  <si>
    <t xml:space="preserve">          Island Brewing Light Lager 330ML Can </t>
  </si>
  <si>
    <t xml:space="preserve">          Island Pilsener 330 ML Can</t>
  </si>
  <si>
    <t xml:space="preserve">          Jack Daniel</t>
  </si>
  <si>
    <t xml:space="preserve">          Jameson Irish Whiskey</t>
  </si>
  <si>
    <t xml:space="preserve">          Jim Beam</t>
  </si>
  <si>
    <t xml:space="preserve">          Keychain Small</t>
  </si>
  <si>
    <t xml:space="preserve">          Kura Kura Easy Ale 330 ML</t>
  </si>
  <si>
    <t xml:space="preserve">          Kura Kura Island Ale 330 ML  </t>
  </si>
  <si>
    <t xml:space="preserve">          Kura Kura Lager 330 ML </t>
  </si>
  <si>
    <t xml:space="preserve">          Moveflex Legging Long Pants Unisex</t>
  </si>
  <si>
    <t xml:space="preserve">          Moveflex Legging Short Pants Unisex</t>
  </si>
  <si>
    <t xml:space="preserve">          Orange Juice</t>
  </si>
  <si>
    <t xml:space="preserve">          Pearl Earrings </t>
  </si>
  <si>
    <t xml:space="preserve">          Plain Croissant</t>
  </si>
  <si>
    <t xml:space="preserve">          Portable Fan</t>
  </si>
  <si>
    <t xml:space="preserve">          Postcards + Envelopes Large</t>
  </si>
  <si>
    <t xml:space="preserve">          Postcards + Envelopes Medium</t>
  </si>
  <si>
    <t xml:space="preserve">          Raisin Roll</t>
  </si>
  <si>
    <t xml:space="preserve">          Rash  Guard</t>
  </si>
  <si>
    <t xml:space="preserve">          Red Wine</t>
  </si>
  <si>
    <t xml:space="preserve">          San Miguel</t>
  </si>
  <si>
    <t xml:space="preserve">          Schweppes Tonic Water Can 250 ML</t>
  </si>
  <si>
    <t xml:space="preserve">          Sea Salt Cashew</t>
  </si>
  <si>
    <t xml:space="preserve">          Somersby Apple Cider</t>
  </si>
  <si>
    <t xml:space="preserve">          Sprite Can 330 ML</t>
  </si>
  <si>
    <t xml:space="preserve">          St Dalfour Fruit Spread 28GR</t>
  </si>
  <si>
    <t xml:space="preserve">          Summer Pale Ale 330 ML Can</t>
  </si>
  <si>
    <t xml:space="preserve">          Sun Glasses</t>
  </si>
  <si>
    <t xml:space="preserve">          Sun Glasses </t>
  </si>
  <si>
    <t xml:space="preserve">          Sunglasses (EB132)</t>
  </si>
  <si>
    <t xml:space="preserve">          Sunglasses (EB167)</t>
  </si>
  <si>
    <t xml:space="preserve">          Sunglasses (EB170)</t>
  </si>
  <si>
    <t xml:space="preserve">          Sunglasses (EB214)</t>
  </si>
  <si>
    <t xml:space="preserve">          Sunglasses (EB277)</t>
  </si>
  <si>
    <t xml:space="preserve">          Sunglasses (EB322)</t>
  </si>
  <si>
    <t xml:space="preserve">          Sunglasses (EB348)</t>
  </si>
  <si>
    <t xml:space="preserve">          Sweet &amp; Spicy Cashew</t>
  </si>
  <si>
    <t xml:space="preserve">          Swimflex Ladies</t>
  </si>
  <si>
    <t xml:space="preserve">          Tas Serut Taslan Navy</t>
  </si>
  <si>
    <t xml:space="preserve">          Tenplus (12 Sachet)</t>
  </si>
  <si>
    <t xml:space="preserve">          Tenplus Super Hydration Bottle</t>
  </si>
  <si>
    <t xml:space="preserve">          Totebag Kanvas Natural (Large)</t>
  </si>
  <si>
    <t xml:space="preserve">          Totebag Kanvas Natural (Medium)</t>
  </si>
  <si>
    <t xml:space="preserve">          Totebag Kanvas Natural (Small)</t>
  </si>
  <si>
    <t xml:space="preserve">          Turtle Collection</t>
  </si>
  <si>
    <t xml:space="preserve">          Veggie &amp; Tempeh Pie</t>
  </si>
  <si>
    <t xml:space="preserve">          Wave Bracelet</t>
  </si>
  <si>
    <t xml:space="preserve">          Wave Ring  </t>
  </si>
  <si>
    <t xml:space="preserve">          White Wine</t>
  </si>
  <si>
    <t xml:space="preserve">          Whole Coconut</t>
  </si>
  <si>
    <t xml:space="preserve">          Wooden Ashtray</t>
  </si>
  <si>
    <t xml:space="preserve">          Wooden Souvenirs</t>
  </si>
  <si>
    <t>NEW Actual Sales Jan-Nov 2024</t>
  </si>
  <si>
    <t>Actual Sales 
Jan-Nov 2024</t>
  </si>
  <si>
    <t xml:space="preserve">     Private Tour - Base Price</t>
  </si>
  <si>
    <t xml:space="preserve">          Private Tour - Base Price (Nusapenida.one)</t>
  </si>
  <si>
    <t xml:space="preserve">          Private Tour - Base Price (TripAdvisor (pv))</t>
  </si>
  <si>
    <t xml:space="preserve">          Private Tour - Base Price (WhatsApp)</t>
  </si>
  <si>
    <t xml:space="preserve">          Private Tour - Base Price (Web)</t>
  </si>
  <si>
    <t xml:space="preserve">          Private Tour - Base Price (Baliboat.tours)</t>
  </si>
  <si>
    <t xml:space="preserve">          Private Tour - Base Price (Klook)</t>
  </si>
  <si>
    <t xml:space="preserve">          Private Tour - Base Price (GetMyBoat)</t>
  </si>
  <si>
    <t xml:space="preserve">          Private Tour - Base Price (AirBnb)</t>
  </si>
  <si>
    <t xml:space="preserve">          Private Tour - Base Price (GetYourGuide)</t>
  </si>
  <si>
    <t xml:space="preserve">          Private Tour - Base Price (balibooking.tours)</t>
  </si>
  <si>
    <t xml:space="preserve">          Private Tour - Base Price (Trip Advisor (old))</t>
  </si>
  <si>
    <t xml:space="preserve">     Shared Tour</t>
  </si>
  <si>
    <t xml:space="preserve">          Shared Tour (TripAdvisor (sh))</t>
  </si>
  <si>
    <t xml:space="preserve">          Shared Tour (Nusapenida.one)</t>
  </si>
  <si>
    <t xml:space="preserve">          Shared Tour (Klook)</t>
  </si>
  <si>
    <t xml:space="preserve">          Shared Tour (GetYourGuide)</t>
  </si>
  <si>
    <t xml:space="preserve">          Shared Tour (AirBnb)</t>
  </si>
  <si>
    <t xml:space="preserve">          Shared Tour (WhatsApp)</t>
  </si>
  <si>
    <t xml:space="preserve">          Shared Tour (Baliboat.tours)</t>
  </si>
  <si>
    <t xml:space="preserve">          Shared Tour (Web)</t>
  </si>
  <si>
    <t xml:space="preserve">          Shared Tour (Trip.com)</t>
  </si>
  <si>
    <t xml:space="preserve">          Shared Tour (GetMyBoat)</t>
  </si>
  <si>
    <t xml:space="preserve">          Shared Tour (Trip Advisor (old))</t>
  </si>
  <si>
    <t xml:space="preserve">          Shared Tour (Headout.com)</t>
  </si>
  <si>
    <t xml:space="preserve">     Premium Shared Tour </t>
  </si>
  <si>
    <t xml:space="preserve">          Premium Shared Tour  (TripAdvisor (sh))</t>
  </si>
  <si>
    <t xml:space="preserve">          Premium Shared Tour  (Nusapenida.one)</t>
  </si>
  <si>
    <t xml:space="preserve">          Premium Shared Tour  (Klook)</t>
  </si>
  <si>
    <t xml:space="preserve">          Premium Shared Tour  (GetYourGuide)</t>
  </si>
  <si>
    <t xml:space="preserve">          Premium Shared Tour  (Headout.com)</t>
  </si>
  <si>
    <t xml:space="preserve">          Premium Shared Tour  (Trip.com)</t>
  </si>
  <si>
    <t xml:space="preserve">          Premium Shared Tour  (AirBnb)</t>
  </si>
  <si>
    <t xml:space="preserve">     Transfer</t>
  </si>
  <si>
    <t xml:space="preserve">          Transfer (Pick Up + Drop Off)</t>
  </si>
  <si>
    <t xml:space="preserve">          Transfer (Transfer 600K Pick Up + Drop Off)</t>
  </si>
  <si>
    <t xml:space="preserve">          Transfer (Pick Up + Drop Off Long Distance)</t>
  </si>
  <si>
    <t xml:space="preserve">          Transfer (Pick Up)</t>
  </si>
  <si>
    <t xml:space="preserve">          Transfer (Pick Up Long Distance)</t>
  </si>
  <si>
    <t xml:space="preserve">          Transfer (Drop Off)</t>
  </si>
  <si>
    <t xml:space="preserve">          Transfer (Transfer 300K Pick Up)</t>
  </si>
  <si>
    <t xml:space="preserve">          Transfer (S Pick/Drop + L Drop/Pick)</t>
  </si>
  <si>
    <t xml:space="preserve">          Transfer (Drop Off Long Distance)</t>
  </si>
  <si>
    <t xml:space="preserve">          Transfer (Transfer 300K Drop Off)</t>
  </si>
  <si>
    <t xml:space="preserve">          Transfer (No Transfer)</t>
  </si>
  <si>
    <t xml:space="preserve">          Transfer (Free Airport Pick Up)</t>
  </si>
  <si>
    <t xml:space="preserve">          Transfer (Free Airport Drop Off)</t>
  </si>
  <si>
    <t xml:space="preserve">          Transfer (Free Pick Up + Drop Off)</t>
  </si>
  <si>
    <t xml:space="preserve">          Transfer (Free Pick Up)</t>
  </si>
  <si>
    <t xml:space="preserve">          Transfer (Free Drop Off)</t>
  </si>
  <si>
    <t xml:space="preserve">     Land Tour</t>
  </si>
  <si>
    <t xml:space="preserve">          Land Tour (West)</t>
  </si>
  <si>
    <t xml:space="preserve">          Land Tour (Kelingkin)</t>
  </si>
  <si>
    <t xml:space="preserve">          [LTR] Land Tour</t>
  </si>
  <si>
    <t xml:space="preserve">          Land Tour (East)</t>
  </si>
  <si>
    <t xml:space="preserve">          Land Tour (All NP)</t>
  </si>
  <si>
    <t xml:space="preserve">     Extras</t>
  </si>
  <si>
    <t xml:space="preserve">          Extras (Bintang 12 cans)</t>
  </si>
  <si>
    <t xml:space="preserve">          Extras (Alba Luna Prosecco)</t>
  </si>
  <si>
    <t xml:space="preserve">          Extras (Mix Platter BIG)</t>
  </si>
  <si>
    <t xml:space="preserve">          Extras (Mix Platter)</t>
  </si>
  <si>
    <t xml:space="preserve">          Extras (Breakfast Platter 1 person)</t>
  </si>
  <si>
    <t xml:space="preserve">          Extras (Cheese Platter)</t>
  </si>
  <si>
    <t xml:space="preserve">          Extras (Hummus &amp; Veggie Platter)</t>
  </si>
  <si>
    <t xml:space="preserve">          Extras (Imported Wine)</t>
  </si>
  <si>
    <t xml:space="preserve">          Extras (Absolut Vodka)</t>
  </si>
  <si>
    <t xml:space="preserve">          Extras (Bali Sip - Manggo 330ml)</t>
  </si>
  <si>
    <t xml:space="preserve">          Extras (Somersby Apple Cider 12 cans)</t>
  </si>
  <si>
    <t xml:space="preserve">          Extras (Bintang Crystal 12 cans new)</t>
  </si>
  <si>
    <t xml:space="preserve">          Extras (San Miguel Light Can 320ml 12 cans)</t>
  </si>
  <si>
    <t xml:space="preserve">          Extras (Bombay Saphire 750ML)</t>
  </si>
  <si>
    <t xml:space="preserve">          Extras (Cheese Board)</t>
  </si>
  <si>
    <t xml:space="preserve">          Extras (The Charcuteire Board Small)</t>
  </si>
  <si>
    <t xml:space="preserve">          Extras (Beer Bintang Crystal)</t>
  </si>
  <si>
    <t xml:space="preserve">          Extras (Sweet Board)</t>
  </si>
  <si>
    <t xml:space="preserve">          Extras (Erica Prosecco)</t>
  </si>
  <si>
    <t xml:space="preserve">          Extras (Jameson Irish Whiskey 750ml)</t>
  </si>
  <si>
    <t xml:space="preserve">          Extras (Birthday/Party Decoration)</t>
  </si>
  <si>
    <t xml:space="preserve">          Extras (Albens Apple Ori 12 cans)</t>
  </si>
  <si>
    <t xml:space="preserve">          Extras (Jack Daniel's 750ml)</t>
  </si>
  <si>
    <t xml:space="preserve">          Extras (The Graze Board)</t>
  </si>
  <si>
    <t xml:space="preserve">          Extras (The dipping board)</t>
  </si>
  <si>
    <t xml:space="preserve">          Extras (Bintang 12 Crate)</t>
  </si>
  <si>
    <t xml:space="preserve">          Extras (Bali Sip - Grapefruit 330ml 12 cans)</t>
  </si>
  <si>
    <t xml:space="preserve">          Extras (Bombay Sphire)</t>
  </si>
  <si>
    <t xml:space="preserve">     Extra Services</t>
  </si>
  <si>
    <t xml:space="preserve">          Extra Services (Pro Photographer + Drone Pilot)</t>
  </si>
  <si>
    <t xml:space="preserve">          Extra Services (Pro Photographer)</t>
  </si>
  <si>
    <t xml:space="preserve">          Extra Services (Drone (old))</t>
  </si>
  <si>
    <t xml:space="preserve">          Extra Services (Drone Pilot)</t>
  </si>
  <si>
    <t xml:space="preserve">          Extra Services (Photographer (old))</t>
  </si>
  <si>
    <t xml:space="preserve">          Extra Services (Party Decoration)</t>
  </si>
  <si>
    <t xml:space="preserve">          Extra Services (Wetsuit)</t>
  </si>
  <si>
    <t xml:space="preserve">          Extra Services (GoPro10)</t>
  </si>
  <si>
    <t xml:space="preserve">          Extra Services (Fishing Rods)</t>
  </si>
  <si>
    <t xml:space="preserve">          Extra Services (Full Face Snorkel Mask)</t>
  </si>
  <si>
    <t xml:space="preserve">          Extra Services (Kids Full Face Snorkel Mask)</t>
  </si>
  <si>
    <t xml:space="preserve">          Extra Services (Kids Life Jacket (15-20 kg))</t>
  </si>
  <si>
    <t xml:space="preserve">          Extra Services (Kid Life Jacket (20-40 kg))</t>
  </si>
  <si>
    <t xml:space="preserve">          Extra Services (Advanced Divers)</t>
  </si>
  <si>
    <t xml:space="preserve">          Extra Services (Beginner Divers)</t>
  </si>
  <si>
    <t xml:space="preserve">          Extra Services (Shared Divers)</t>
  </si>
  <si>
    <t xml:space="preserve">          Extra Services (Premium Shared Divers)</t>
  </si>
  <si>
    <t xml:space="preserve">     JetSki </t>
  </si>
  <si>
    <t xml:space="preserve">          JetSki  (1 hour)</t>
  </si>
  <si>
    <t xml:space="preserve">          JetSki  (2 hour)</t>
  </si>
  <si>
    <t xml:space="preserve">          JetSki  (30min)</t>
  </si>
  <si>
    <t xml:space="preserve">     Private Boat</t>
  </si>
  <si>
    <t xml:space="preserve">          Private Boat (Yacht Lux M13)</t>
  </si>
  <si>
    <t xml:space="preserve">          Private Boat (Lux Yacht AR55)</t>
  </si>
  <si>
    <t xml:space="preserve">          Private Boat (Dhea)</t>
  </si>
  <si>
    <t xml:space="preserve">          Private Boat (Yacht KF-13,5m)</t>
  </si>
  <si>
    <t xml:space="preserve">          Private Boat (Yacht T13)</t>
  </si>
  <si>
    <t xml:space="preserve">          Private Boat (Mironia)</t>
  </si>
  <si>
    <t xml:space="preserve">          Private Boat (Jayanadi)</t>
  </si>
  <si>
    <t xml:space="preserve">          Private Boat (Seahorse)</t>
  </si>
  <si>
    <t xml:space="preserve">          Private Boat (Sea Dragon)</t>
  </si>
  <si>
    <t xml:space="preserve">          Private Boat (Small Sweetheart)</t>
  </si>
  <si>
    <t xml:space="preserve">          Private Boat (Riki J)</t>
  </si>
  <si>
    <t xml:space="preserve">          Private Boat (Dedean)</t>
  </si>
  <si>
    <t xml:space="preserve">          Private Boat (Big Sweetheart)</t>
  </si>
  <si>
    <t xml:space="preserve">          Private Boat (Little Star)</t>
  </si>
  <si>
    <t xml:space="preserve">          Private Boat (Seven Heaven)</t>
  </si>
  <si>
    <t xml:space="preserve">          Private Boat (Big Blue)</t>
  </si>
  <si>
    <t xml:space="preserve">          Private Boat (Rising)</t>
  </si>
  <si>
    <t xml:space="preserve">          Private Boat (Wahoo)</t>
  </si>
  <si>
    <t xml:space="preserve">          Private Boat (King Fish)</t>
  </si>
  <si>
    <t xml:space="preserve">          Private Boat (Queen Ruizi 18)</t>
  </si>
  <si>
    <t xml:space="preserve">          Private Boat (Sweetheart 4)</t>
  </si>
  <si>
    <t xml:space="preserve">          Private Boat (Dedean + Riki J)</t>
  </si>
  <si>
    <t xml:space="preserve">          Private Boat (Sanjaya)</t>
  </si>
  <si>
    <t xml:space="preserve">          Private Boat (Yacht F-13 meters)</t>
  </si>
  <si>
    <t xml:space="preserve">          Private Boat (Premium Yacht BM42)</t>
  </si>
  <si>
    <t xml:space="preserve">          Private Boat (Lux Yacht O17)</t>
  </si>
  <si>
    <t xml:space="preserve">          Private Boat (Lux Yacht BM55)</t>
  </si>
  <si>
    <t xml:space="preserve">          Private Boat (Big Little Star)</t>
  </si>
  <si>
    <t xml:space="preserve">          Private Boat (Rara)</t>
  </si>
  <si>
    <t xml:space="preserve">          Private Boat (My Darling)</t>
  </si>
  <si>
    <t xml:space="preserve">          Private Boat (Aneecha Catamaran)</t>
  </si>
  <si>
    <t xml:space="preserve">          Private Boat (Aneecha Catamaran (Nusa Dua Cruise))</t>
  </si>
  <si>
    <t xml:space="preserve">          Private Boat (Lux Yacht WL 14)</t>
  </si>
  <si>
    <t xml:space="preserve">          Private Boat (Lady Manta)</t>
  </si>
  <si>
    <t xml:space="preserve">          Private Boat (Debil Luxury)</t>
  </si>
  <si>
    <t xml:space="preserve">          Private Boat (Queen Ruizi 10)</t>
  </si>
  <si>
    <t xml:space="preserve">          Private Boat (Jet Asia Yacht)</t>
  </si>
  <si>
    <t xml:space="preserve">          Private Boat (Jet Asia Yacht (4hrs Nusa Dua))</t>
  </si>
  <si>
    <t xml:space="preserve">          Private Boat (Sanjaya O4)</t>
  </si>
  <si>
    <t xml:space="preserve">          Private Boat (Yacht RZ50)</t>
  </si>
  <si>
    <t xml:space="preserve">          Private Boat (Sanjaya O5)</t>
  </si>
  <si>
    <t xml:space="preserve">          Private Boat (Yacht AM37)</t>
  </si>
  <si>
    <t xml:space="preserve">          Private Boat (Standard Diving Boat)</t>
  </si>
  <si>
    <t xml:space="preserve">     Attractions and tour agent</t>
  </si>
  <si>
    <t xml:space="preserve">     Shared Boat</t>
  </si>
  <si>
    <t xml:space="preserve">          Shared Boat (Sea Dragon)</t>
  </si>
  <si>
    <t xml:space="preserve">          Shared Boat (Lady Manta)</t>
  </si>
  <si>
    <t xml:space="preserve">          Shared Boat (Debil Luxury)</t>
  </si>
  <si>
    <t xml:space="preserve">          Shared Boat (Sweetheart 4)</t>
  </si>
  <si>
    <t xml:space="preserve">          Shared Boat (Riki J)</t>
  </si>
  <si>
    <t xml:space="preserve">          Shared Boat (Dedean)</t>
  </si>
  <si>
    <t xml:space="preserve">          Shared Boat (Big Sweetheart)</t>
  </si>
  <si>
    <t xml:space="preserve">          Shared Boat (Small Sweetheart)</t>
  </si>
  <si>
    <t xml:space="preserve">          Shared Boat (Dhea)</t>
  </si>
  <si>
    <t xml:space="preserve">          Shared Boat (Jayanadi)</t>
  </si>
  <si>
    <t xml:space="preserve">          Shared Boat (Standard Boat)</t>
  </si>
  <si>
    <t xml:space="preserve">          Shared Boat (Sanjaya)</t>
  </si>
  <si>
    <t xml:space="preserve">          Shared Boat (My Darling)</t>
  </si>
  <si>
    <t xml:space="preserve">          Shared Boat (Queen Ruizi 10)</t>
  </si>
  <si>
    <t xml:space="preserve">          Shared Boat (Sanjaya O4)</t>
  </si>
  <si>
    <t xml:space="preserve">          Shared Boat (Mironia)</t>
  </si>
  <si>
    <t xml:space="preserve">          Shared Boat (Sanjaya O5)</t>
  </si>
  <si>
    <t xml:space="preserve">          Shared Boat (Premium Boat)</t>
  </si>
  <si>
    <t xml:space="preserve">          Shared Boat (Big Little Star)</t>
  </si>
  <si>
    <t xml:space="preserve">          Shared Boat (Queen Ruizi 12)</t>
  </si>
  <si>
    <t xml:space="preserve">     Boat Jayanadi </t>
  </si>
  <si>
    <t>WELCOME DRINKS</t>
  </si>
  <si>
    <t xml:space="preserve">     Orange Juice</t>
  </si>
  <si>
    <t xml:space="preserve">     Whole Coconut</t>
  </si>
  <si>
    <t xml:space="preserve">     Extra Pax</t>
  </si>
  <si>
    <t xml:space="preserve">     Beginner Divers</t>
  </si>
  <si>
    <t xml:space="preserve">     GoPro Hero 12</t>
  </si>
  <si>
    <t xml:space="preserve">     GoPro Hero 12  (2)</t>
  </si>
  <si>
    <t xml:space="preserve">     Tusa Snorkle</t>
  </si>
  <si>
    <t xml:space="preserve">     Tusa Mask</t>
  </si>
  <si>
    <t xml:space="preserve">     Boat Big Blue</t>
  </si>
  <si>
    <t xml:space="preserve">     Lunch</t>
  </si>
  <si>
    <t xml:space="preserve">     Advanced Divers</t>
  </si>
  <si>
    <t xml:space="preserve">     Bintang Can 330 ML</t>
  </si>
  <si>
    <t>PoS</t>
  </si>
  <si>
    <t xml:space="preserve">     TUSA Finn</t>
  </si>
  <si>
    <t xml:space="preserve">     TUSA Snorkel Hyperdry USP250</t>
  </si>
  <si>
    <t xml:space="preserve">     Plain Croissant</t>
  </si>
  <si>
    <t xml:space="preserve">     [EXP] Transfer Services Arya</t>
  </si>
  <si>
    <t xml:space="preserve">     Chocolatine </t>
  </si>
  <si>
    <t xml:space="preserve">     GoPro Accessories</t>
  </si>
  <si>
    <t xml:space="preserve">     transfer rental</t>
  </si>
  <si>
    <t xml:space="preserve">     Balian 330ML Mineral Water</t>
  </si>
  <si>
    <t xml:space="preserve">     Bali Sip Pineapple 330 ML </t>
  </si>
  <si>
    <t xml:space="preserve">     Bintang Bottle 330 ML</t>
  </si>
  <si>
    <t xml:space="preserve">     Coca Cola Zero Can 330 ML </t>
  </si>
  <si>
    <t xml:space="preserve">     Ham &amp; Cheese Croissant </t>
  </si>
  <si>
    <t xml:space="preserve">     Heineken Bottle 330 ML</t>
  </si>
  <si>
    <t xml:space="preserve">     Island Pilsener 330 ML Can</t>
  </si>
  <si>
    <t xml:space="preserve">     Bali Sip Mango 330 ML</t>
  </si>
  <si>
    <t xml:space="preserve">     Poncho Towel Inventory</t>
  </si>
  <si>
    <t xml:space="preserve">     Surf Hoodie Towel</t>
  </si>
  <si>
    <t xml:space="preserve">     TUSA Finn (Kid Size) </t>
  </si>
  <si>
    <t xml:space="preserve">     Bali Sip Black Cherry 330 ML </t>
  </si>
  <si>
    <t xml:space="preserve">     Bali Sip Grapefruit 330 ML </t>
  </si>
  <si>
    <t xml:space="preserve">     Sprite Can 330 ML</t>
  </si>
  <si>
    <t xml:space="preserve">     Coca Cola Can 330 ML</t>
  </si>
  <si>
    <t xml:space="preserve">     Summer Pale Ale 330 ML Can</t>
  </si>
  <si>
    <t xml:space="preserve">     Raisin Roll</t>
  </si>
  <si>
    <t xml:space="preserve">     Towel</t>
  </si>
  <si>
    <t xml:space="preserve">     Granola Puffs Chocolate Vanilla</t>
  </si>
  <si>
    <t xml:space="preserve">     St Dalfour Fruit Spread 28GR</t>
  </si>
  <si>
    <t xml:space="preserve">     Elle &amp; Vire Butter 10GR</t>
  </si>
  <si>
    <t xml:space="preserve">     Schweppes Tonic Water Can 250 ML</t>
  </si>
  <si>
    <t xml:space="preserve">     my darling</t>
  </si>
  <si>
    <t xml:space="preserve">     Almond Croissant</t>
  </si>
  <si>
    <t xml:space="preserve">     Boat Big Sweetheart</t>
  </si>
  <si>
    <t xml:space="preserve">     Boat Dedean</t>
  </si>
  <si>
    <t xml:space="preserve">     Boat Dhea</t>
  </si>
  <si>
    <t xml:space="preserve">     Boat King Fish</t>
  </si>
  <si>
    <t xml:space="preserve">     Boat Little Star</t>
  </si>
  <si>
    <t xml:space="preserve">     Boat Mironia</t>
  </si>
  <si>
    <t xml:space="preserve">     Boat My Darling</t>
  </si>
  <si>
    <t xml:space="preserve">     Boat Paradise Catamaran</t>
  </si>
  <si>
    <t xml:space="preserve">     Boat Rara</t>
  </si>
  <si>
    <t xml:space="preserve">     Boat Riki J</t>
  </si>
  <si>
    <t xml:space="preserve">     Boat Sanjaya</t>
  </si>
  <si>
    <t xml:space="preserve">     Boat Sea Dragon</t>
  </si>
  <si>
    <t xml:space="preserve">     Boat Seahorse</t>
  </si>
  <si>
    <t xml:space="preserve">     Boat Seven Heaven</t>
  </si>
  <si>
    <t xml:space="preserve">     Boat Small Sweetheart </t>
  </si>
  <si>
    <t xml:space="preserve">     Boat Sweetheart 4</t>
  </si>
  <si>
    <t xml:space="preserve">     Boat Yacht F-13 Meters</t>
  </si>
  <si>
    <t xml:space="preserve">     Free Extras</t>
  </si>
  <si>
    <t xml:space="preserve">     GoPro Hero Waterproof Case</t>
  </si>
  <si>
    <t xml:space="preserve">     JBL, SPEAKER,THE SMAL ONE</t>
  </si>
  <si>
    <t xml:space="preserve">     Lux Yacht O17</t>
  </si>
  <si>
    <t xml:space="preserve">     [RBT] Rent Boat - Big Little Star</t>
  </si>
  <si>
    <t xml:space="preserve">     Test Trransfer</t>
  </si>
  <si>
    <t xml:space="preserve">     Yacht Lux M13</t>
  </si>
  <si>
    <t>Total PoS Sales</t>
  </si>
  <si>
    <t>OLD Actual Sales Jan-Mar 2024</t>
  </si>
  <si>
    <t>Actual Sales 
Jan-Mar 2024</t>
  </si>
  <si>
    <t xml:space="preserve">     Private Tour - Base Price (AirBnb)</t>
  </si>
  <si>
    <t xml:space="preserve">     Private Tour - Base Price (WhatsApp)</t>
  </si>
  <si>
    <t xml:space="preserve">     Private Tour - Base Price (Trip Adivisor (sh))</t>
  </si>
  <si>
    <t xml:space="preserve">     Private Tour - Base Price (GetMyBoat)</t>
  </si>
  <si>
    <t xml:space="preserve">     Private Tour - Base Price (Baliboat.tours)</t>
  </si>
  <si>
    <t xml:space="preserve">     Private Tour - Base Price (Nusapenida.one)</t>
  </si>
  <si>
    <t xml:space="preserve">     Private Tour - Base Price (Klook)</t>
  </si>
  <si>
    <t xml:space="preserve">     Private Tour - Base Price (TripAdvisor (pv))</t>
  </si>
  <si>
    <t xml:space="preserve">     Private Tour - Base Price (balibooking.tours)</t>
  </si>
  <si>
    <t xml:space="preserve">     Private Tour - Base Price (Web)</t>
  </si>
  <si>
    <t xml:space="preserve">     Private Tour - Base Price (GetYourGuide)</t>
  </si>
  <si>
    <t>Private Tour Total</t>
  </si>
  <si>
    <t xml:space="preserve">     Shared Tour (AirBnb)</t>
  </si>
  <si>
    <t xml:space="preserve">     Shared Tour (WhatsApp)</t>
  </si>
  <si>
    <t xml:space="preserve">     Shared Tour (Baliboat.tours)</t>
  </si>
  <si>
    <t xml:space="preserve">     Shared Tour (Trip Advisor (old))</t>
  </si>
  <si>
    <t xml:space="preserve">     Shared Tour (Nusapenida.one)</t>
  </si>
  <si>
    <t xml:space="preserve">     Shared Tour (balibooking.tours)</t>
  </si>
  <si>
    <t xml:space="preserve">     Shared Tour (Web)</t>
  </si>
  <si>
    <t xml:space="preserve">     Shared Tour (Klook)</t>
  </si>
  <si>
    <t xml:space="preserve">     Shared Tour (TripAdvisor (sh))</t>
  </si>
  <si>
    <t xml:space="preserve">     JetSki  (1 hour)</t>
  </si>
  <si>
    <t xml:space="preserve">     JetSki  (2 hour)</t>
  </si>
  <si>
    <t xml:space="preserve">     JetSki  (30min)</t>
  </si>
  <si>
    <t>JetSki Total</t>
  </si>
  <si>
    <t xml:space="preserve">     Private Boat (Riki J)</t>
  </si>
  <si>
    <t xml:space="preserve">     Private Boat (Dedean)</t>
  </si>
  <si>
    <t xml:space="preserve">     Private Boat (Big Sweetheart)</t>
  </si>
  <si>
    <t xml:space="preserve">     Private Boat (Small Sweetheart)</t>
  </si>
  <si>
    <t xml:space="preserve">     Private Boat (Little Star)</t>
  </si>
  <si>
    <t xml:space="preserve">     Private Boat (Seven Heaven)</t>
  </si>
  <si>
    <t xml:space="preserve">     Private Boat (Big Blue)</t>
  </si>
  <si>
    <t xml:space="preserve">     Private Boat (King Fish)</t>
  </si>
  <si>
    <t xml:space="preserve">     Private Boat (Sea Dragon)</t>
  </si>
  <si>
    <t xml:space="preserve">     Private Boat (Dhea)</t>
  </si>
  <si>
    <t xml:space="preserve">     Private Boat (Jayanadi)</t>
  </si>
  <si>
    <t xml:space="preserve">     Private Boat (Sweetheart 4)</t>
  </si>
  <si>
    <t xml:space="preserve">     Private Boat (Dedean + Riki J)</t>
  </si>
  <si>
    <t xml:space="preserve">     Private Boat (Sanjaya)</t>
  </si>
  <si>
    <t xml:space="preserve">     Private Boat (Yacht T13)</t>
  </si>
  <si>
    <t xml:space="preserve">     Private Boat (Yacht Lux M13)</t>
  </si>
  <si>
    <t xml:space="preserve">     Private Boat (Yacht KF-13,5m)</t>
  </si>
  <si>
    <t xml:space="preserve">     Private Boat (Big Little Star)</t>
  </si>
  <si>
    <t xml:space="preserve">     Private Boat (My Darling)</t>
  </si>
  <si>
    <t xml:space="preserve">     Alcoholic Beverages (Bintang 12 Crate)</t>
  </si>
  <si>
    <t xml:space="preserve">     Alcoholic Beverages (Hendrick's Gin)</t>
  </si>
  <si>
    <t xml:space="preserve">     Alcoholic Beverages (Absolut Vodka)</t>
  </si>
  <si>
    <t xml:space="preserve">     Alcoholic Beverages (Somersby Apple Cider 12 cans)</t>
  </si>
  <si>
    <t xml:space="preserve">     Alcoholic Beverages (Bali Sip - Manggo 330ml)</t>
  </si>
  <si>
    <t xml:space="preserve">     Alcoholic Beverages (Coca Cola Can)</t>
  </si>
  <si>
    <t xml:space="preserve">     Alcoholic Beverages (Alba Luna Prosecco)</t>
  </si>
  <si>
    <t xml:space="preserve">     Alcoholic Beverages (Bombay Saphire 750ML)</t>
  </si>
  <si>
    <t xml:space="preserve">     Alcoholic Beverages (Albens Apple Ori 12 cans)</t>
  </si>
  <si>
    <t xml:space="preserve">     Alcoholic Beverages (San Miguel Light Can 320ml 12 cans)</t>
  </si>
  <si>
    <t xml:space="preserve">     Alcoholic Beverages (Beer Bintang Crystal)</t>
  </si>
  <si>
    <t xml:space="preserve">     Alcoholic Beverages (Bintang Crystal 12 cans new)</t>
  </si>
  <si>
    <t xml:space="preserve">     Alcoholic Beverages (Bintang 12 cans)</t>
  </si>
  <si>
    <t xml:space="preserve">     Alcoholic Beverages (Cheese Board)</t>
  </si>
  <si>
    <t xml:space="preserve">     Alcoholic Beverages (Imported Wine)</t>
  </si>
  <si>
    <t xml:space="preserve">     Alcoholic Beverages (The dipping board)</t>
  </si>
  <si>
    <t xml:space="preserve">     Alcoholic Beverages (Sweet Board)</t>
  </si>
  <si>
    <t xml:space="preserve">     Alcoholic Beverages (The Graze Board)</t>
  </si>
  <si>
    <t xml:space="preserve">     Alcoholic Beverages (The Charcuteire Board Small)</t>
  </si>
  <si>
    <t xml:space="preserve">     Alcoholic Beverages (Breakfast Platter 1 person)</t>
  </si>
  <si>
    <t xml:space="preserve">     Alcoholic Beverages (Cheese Platter)</t>
  </si>
  <si>
    <t xml:space="preserve">     Alcoholic Beverages (Bombay Sphire)</t>
  </si>
  <si>
    <t>Alcoholic Beverages Total</t>
  </si>
  <si>
    <t xml:space="preserve">     Extra Services (Drone)</t>
  </si>
  <si>
    <t xml:space="preserve">     Extra Services (Photographer)</t>
  </si>
  <si>
    <t xml:space="preserve">     Extra Services (GoPro10)</t>
  </si>
  <si>
    <t xml:space="preserve">     Extra Services (GoPro40)</t>
  </si>
  <si>
    <t xml:space="preserve">     Extra Services (Full Face Snorkel Mask)</t>
  </si>
  <si>
    <t xml:space="preserve">     Extra Services (Fishing Rods)</t>
  </si>
  <si>
    <t>Extra Pax Total</t>
  </si>
  <si>
    <t>Other</t>
  </si>
  <si>
    <t xml:space="preserve">     Lunch (Greenkubu)</t>
  </si>
  <si>
    <t xml:space="preserve">     Lunch (Semabu Hills)</t>
  </si>
  <si>
    <t xml:space="preserve">     Lunch (Lago Pontoon)</t>
  </si>
  <si>
    <t xml:space="preserve">     Lunch (Khamara)</t>
  </si>
  <si>
    <t xml:space="preserve">     Lunch (No Lunch)</t>
  </si>
  <si>
    <t xml:space="preserve">     Shared Boat (Riki J)</t>
  </si>
  <si>
    <t xml:space="preserve">     Shared Boat (Dedean)</t>
  </si>
  <si>
    <t xml:space="preserve">     Shared Boat (Big Sweetheart)</t>
  </si>
  <si>
    <t xml:space="preserve">     Shared Boat (Sea Dragon)</t>
  </si>
  <si>
    <t xml:space="preserve">     Shared Boat (Jayanadi)</t>
  </si>
  <si>
    <t xml:space="preserve">     Shared Boat (Sweetheart 4)</t>
  </si>
  <si>
    <t xml:space="preserve">     Shared Boat (Sanjaya)</t>
  </si>
  <si>
    <t xml:space="preserve">     Shared Boat (My Darling)</t>
  </si>
  <si>
    <t>Cash Flow Statement 6M 2025</t>
  </si>
  <si>
    <t>Changes in</t>
  </si>
  <si>
    <t>Adj #1</t>
  </si>
  <si>
    <t>Adj #2</t>
  </si>
  <si>
    <t>Adj #3</t>
  </si>
  <si>
    <t>Adj #4</t>
  </si>
  <si>
    <t>Adj #5</t>
  </si>
  <si>
    <t>Adj #6</t>
  </si>
  <si>
    <t>Adj #7</t>
  </si>
  <si>
    <t>Adj #8</t>
  </si>
  <si>
    <t>Adj #9</t>
  </si>
  <si>
    <t>Adj #10</t>
  </si>
  <si>
    <t>Adj #11</t>
  </si>
  <si>
    <t>Adj #12</t>
  </si>
  <si>
    <t>Adj #13</t>
  </si>
  <si>
    <t>Adj #14</t>
  </si>
  <si>
    <t>FINAL</t>
  </si>
  <si>
    <t>PnL and BS</t>
  </si>
  <si>
    <t>IG AP-AR</t>
  </si>
  <si>
    <t>Interim Stock</t>
  </si>
  <si>
    <t>BB cash at banks</t>
  </si>
  <si>
    <t>Cashbons</t>
  </si>
  <si>
    <t>Other FA</t>
  </si>
  <si>
    <t>FYB</t>
  </si>
  <si>
    <t>Netting AP-AR</t>
  </si>
  <si>
    <r>
      <rPr>
        <sz val="11"/>
        <color indexed="14"/>
        <rFont val="Aptos Narrow"/>
      </rPr>
      <t>Δ</t>
    </r>
    <r>
      <rPr>
        <sz val="11"/>
        <color indexed="14"/>
        <rFont val="Amasis MT Pro"/>
      </rPr>
      <t xml:space="preserve"> OTA Funds</t>
    </r>
  </si>
  <si>
    <t>Klook's advance</t>
  </si>
  <si>
    <t>Advances</t>
  </si>
  <si>
    <t>Bank Suspense</t>
  </si>
  <si>
    <t>CFS</t>
  </si>
  <si>
    <t>Sales and Revenue</t>
  </si>
  <si>
    <t>Net outflows:</t>
  </si>
  <si>
    <t>Operating Expenses</t>
  </si>
  <si>
    <t>Administrative Expenses</t>
  </si>
  <si>
    <t>Expenses of FYB</t>
  </si>
  <si>
    <t>Depreciation and Amortisation</t>
  </si>
  <si>
    <t xml:space="preserve"> </t>
  </si>
  <si>
    <t>Change in Current Assets:</t>
  </si>
  <si>
    <t>OTAs</t>
  </si>
  <si>
    <t>Accounts Receivable and Other Nett</t>
  </si>
  <si>
    <t>EB</t>
  </si>
  <si>
    <t>Bank Suspense and Other</t>
  </si>
  <si>
    <t>BB</t>
  </si>
  <si>
    <t>Inventory</t>
  </si>
  <si>
    <t>Change</t>
  </si>
  <si>
    <t>FYB's Inventory</t>
  </si>
  <si>
    <t>Prepayments</t>
  </si>
  <si>
    <t>Change in Fixed Assets:</t>
  </si>
  <si>
    <t xml:space="preserve"> Other Fixed Assets</t>
  </si>
  <si>
    <t>Investment in New Fixed Assets:</t>
  </si>
  <si>
    <t xml:space="preserve">Boat Almond Milk </t>
  </si>
  <si>
    <t>Boat Honey Milk</t>
  </si>
  <si>
    <t>Electronic Equipment</t>
  </si>
  <si>
    <t>Vehicles and Motorbikes</t>
  </si>
  <si>
    <t>Office Equipment and Furniture</t>
  </si>
  <si>
    <t>Sekoci Boat - Serangan</t>
  </si>
  <si>
    <t>Odoo Software</t>
  </si>
  <si>
    <t>Rent Office Serangan</t>
  </si>
  <si>
    <t>Serangan Leasehold Improvements</t>
  </si>
  <si>
    <t>Bluu.tours Website</t>
  </si>
  <si>
    <t>Investment in FYB's Assets:</t>
  </si>
  <si>
    <t>FYB's Inventory and Finished Goods</t>
  </si>
  <si>
    <t>FYB's Leasehold Improvements</t>
  </si>
  <si>
    <t>FYB's electronic and office equipment</t>
  </si>
  <si>
    <t>Change in Current Liabilities</t>
  </si>
  <si>
    <t>Prepayments and Current Liabilities</t>
  </si>
  <si>
    <t>Accounts Payable</t>
  </si>
  <si>
    <t>Cashbon - Budi</t>
  </si>
  <si>
    <t>Cashbon - Dima</t>
  </si>
  <si>
    <t>Cashbon - Gede Darmawan</t>
  </si>
  <si>
    <t>Cashbon - Staff</t>
  </si>
  <si>
    <t>Cashbon - Alex</t>
  </si>
  <si>
    <t>Cashbon - Hardi</t>
  </si>
  <si>
    <t>Cashbon - Mario</t>
  </si>
  <si>
    <t>Klook's Advance</t>
  </si>
  <si>
    <t>Additional Financing to FYB</t>
  </si>
  <si>
    <t>Advance from Arya - FYB E02</t>
  </si>
  <si>
    <t>Advance fromEvgenii - FYB E02</t>
  </si>
  <si>
    <t>Check</t>
  </si>
  <si>
    <t>Cash Flow Statement 2024</t>
  </si>
  <si>
    <t>Nett LM</t>
  </si>
  <si>
    <t>Alex Loan</t>
  </si>
  <si>
    <t>JetSki</t>
  </si>
  <si>
    <t>OTA Funds</t>
  </si>
  <si>
    <t>Boat Diving 2 (Lady Manta) Building</t>
  </si>
  <si>
    <t>WIP - New Boat 1 - Almond Milk</t>
  </si>
  <si>
    <t>WIP - New Boat 2</t>
  </si>
  <si>
    <t>Accesories for JetSki</t>
  </si>
  <si>
    <t>JetSki Parking</t>
  </si>
  <si>
    <t>Crane and Trolley - FYB</t>
  </si>
  <si>
    <t>Rent Office FYB</t>
  </si>
  <si>
    <t>Other FYB's equipment</t>
  </si>
  <si>
    <t>Alex additional capital</t>
  </si>
  <si>
    <t>Cashbon - Alina</t>
  </si>
  <si>
    <t>Cashbon - Simon</t>
  </si>
  <si>
    <t>Cashbon - Victor</t>
  </si>
  <si>
    <t>Cashbon - Diana</t>
  </si>
  <si>
    <t>Cashbon - Ajung</t>
  </si>
  <si>
    <t>Cashbon - Alex Grabchilev</t>
  </si>
  <si>
    <t>David Advance</t>
  </si>
  <si>
    <t>Arya Advance</t>
  </si>
  <si>
    <t>Cashbon - Karim</t>
  </si>
  <si>
    <t>Trip.com Deposit</t>
  </si>
  <si>
    <t>Cashbon - Dmitrii</t>
  </si>
  <si>
    <t>Loan to FYB</t>
  </si>
  <si>
    <t>BS 6M 2025</t>
  </si>
  <si>
    <t>As of 06/30/2025</t>
  </si>
  <si>
    <t>As of 12/31/2024</t>
  </si>
  <si>
    <t>Code</t>
  </si>
  <si>
    <t>Account Name</t>
  </si>
  <si>
    <t>ASSETS</t>
  </si>
  <si>
    <t>Class</t>
  </si>
  <si>
    <t>Intragroup</t>
  </si>
  <si>
    <t>Current Assets</t>
  </si>
  <si>
    <t>IG AR Change</t>
  </si>
  <si>
    <t>IG AP Change</t>
  </si>
  <si>
    <t>Bank and Cash Accounts</t>
  </si>
  <si>
    <t>11110001</t>
  </si>
  <si>
    <t>Cash</t>
  </si>
  <si>
    <t>11110002</t>
  </si>
  <si>
    <t>Interim Big Little Star - due from Riki J</t>
  </si>
  <si>
    <t>AR</t>
  </si>
  <si>
    <t>Cash change Asset</t>
  </si>
  <si>
    <t>Cash change Liability</t>
  </si>
  <si>
    <t>11110010</t>
  </si>
  <si>
    <t>Petty Cash - Alex</t>
  </si>
  <si>
    <t>111200011</t>
  </si>
  <si>
    <t>Petty Cash Weda- Lady Manta</t>
  </si>
  <si>
    <t>111200012</t>
  </si>
  <si>
    <t>Interim Cash Queen Ruizi - due from Weda</t>
  </si>
  <si>
    <t>PayPal- Dedean</t>
  </si>
  <si>
    <t>111200013</t>
  </si>
  <si>
    <t>PayPal - Lady Manta</t>
  </si>
  <si>
    <t>11120004</t>
  </si>
  <si>
    <t>BCA Bank Account - DTB</t>
  </si>
  <si>
    <t>11120005</t>
  </si>
  <si>
    <t>Interim Debil- Due From Riki J</t>
  </si>
  <si>
    <t>Paypal Account - BBT</t>
  </si>
  <si>
    <t>Interim Cash Dedean - due from BBT</t>
  </si>
  <si>
    <t>PayPal- Little Star</t>
  </si>
  <si>
    <t>11120009</t>
  </si>
  <si>
    <t>Xendit Account</t>
  </si>
  <si>
    <t>11120010</t>
  </si>
  <si>
    <t>Petty Cash Weda</t>
  </si>
  <si>
    <t>CIMB Niaga Arya Bank Account - BBT</t>
  </si>
  <si>
    <t>Petty Cash Weda- DTB</t>
  </si>
  <si>
    <t>11120011</t>
  </si>
  <si>
    <t>OCBC Bank Account - BBT</t>
  </si>
  <si>
    <t>11120012</t>
  </si>
  <si>
    <t>OCBC Bank Account - JetSki</t>
  </si>
  <si>
    <t>11120013</t>
  </si>
  <si>
    <t>Paypal Account - Weda</t>
  </si>
  <si>
    <t>11120014</t>
  </si>
  <si>
    <t>OCBC Bank Account - SH4</t>
  </si>
  <si>
    <t>KLOOK USAGE</t>
  </si>
  <si>
    <t>11120015</t>
  </si>
  <si>
    <t>Paypal Account - Mega</t>
  </si>
  <si>
    <t>11120016</t>
  </si>
  <si>
    <t>OCBC Bank Account - Nyoman Nuada</t>
  </si>
  <si>
    <t>Remaining Advance</t>
  </si>
  <si>
    <t>11120017</t>
  </si>
  <si>
    <t>OCBC Bank Account - Lucky Ruchian - Seven Heaven</t>
  </si>
  <si>
    <t>11120018</t>
  </si>
  <si>
    <t>OCBC Bank Account - Ketut Niti Asriani</t>
  </si>
  <si>
    <t>11120019</t>
  </si>
  <si>
    <t>OCBC Bank Account - Putu Ayu Dian Puspasari</t>
  </si>
  <si>
    <t>11120020</t>
  </si>
  <si>
    <t>CIMB Bank Account - Nyoman Sunartha</t>
  </si>
  <si>
    <t>11120021</t>
  </si>
  <si>
    <t>Paypal Account - Sweetheart Nyoman</t>
  </si>
  <si>
    <t>11120022</t>
  </si>
  <si>
    <t>OCBC Bank Account Weda</t>
  </si>
  <si>
    <t>11120023</t>
  </si>
  <si>
    <t>OCBC of Jayanadi - Nuada</t>
  </si>
  <si>
    <t>11120024</t>
  </si>
  <si>
    <t>OCBC of Seven Heaven  (Lucky Ruchian)</t>
  </si>
  <si>
    <t>11120025</t>
  </si>
  <si>
    <t>OCBC of Sanjaya - Niti Asriani</t>
  </si>
  <si>
    <t>11120026</t>
  </si>
  <si>
    <t>OCBC of Little Star - Ayu Dian</t>
  </si>
  <si>
    <t>11120027</t>
  </si>
  <si>
    <t>11120028</t>
  </si>
  <si>
    <t>11120030</t>
  </si>
  <si>
    <t>Interim Cash Riki J - due from BBT</t>
  </si>
  <si>
    <t>11120031</t>
  </si>
  <si>
    <t>Interim Cash Weda - due from all company</t>
  </si>
  <si>
    <t>11120032</t>
  </si>
  <si>
    <t>11120033</t>
  </si>
  <si>
    <t>Interim Cash Big Little - due from Small Little</t>
  </si>
  <si>
    <t>11120034</t>
  </si>
  <si>
    <t>OCBC Bank Account - DTB</t>
  </si>
  <si>
    <t>11120037</t>
  </si>
  <si>
    <t>Paypal- Big Little Star</t>
  </si>
  <si>
    <t>11120038</t>
  </si>
  <si>
    <t>11120039</t>
  </si>
  <si>
    <t>OCBC Bank Account - Debil - 167810109139 (IDR)</t>
  </si>
  <si>
    <t>11120040</t>
  </si>
  <si>
    <t>Bank OCBC Riki J 4696</t>
  </si>
  <si>
    <t>11120041</t>
  </si>
  <si>
    <t>Bank OCBC Dedean 1261</t>
  </si>
  <si>
    <t>11120042</t>
  </si>
  <si>
    <t>Bank OCBC Queen Ruinzi 9818</t>
  </si>
  <si>
    <t>11120043</t>
  </si>
  <si>
    <t>Bank OCBC BBT 4869</t>
  </si>
  <si>
    <t>PayPal- Sanjaya</t>
  </si>
  <si>
    <t>11120044</t>
  </si>
  <si>
    <t>Interim Little Star- From All Company</t>
  </si>
  <si>
    <t>11120045</t>
  </si>
  <si>
    <t>Bank OCBC PT FYB - 5239</t>
  </si>
  <si>
    <t>11120046</t>
  </si>
  <si>
    <t>Bank OCBC Andreas - 2157</t>
  </si>
  <si>
    <t>11120047</t>
  </si>
  <si>
    <t>Interim Riki J From All Company</t>
  </si>
  <si>
    <t>11120048</t>
  </si>
  <si>
    <t>Bank OCBC Riki Boat Charters - 7045</t>
  </si>
  <si>
    <t>11120060</t>
  </si>
  <si>
    <t>Interim BBT</t>
  </si>
  <si>
    <t>11120062</t>
  </si>
  <si>
    <t>11120064</t>
  </si>
  <si>
    <t>Petty Cash - Weda</t>
  </si>
  <si>
    <t>1112009</t>
  </si>
  <si>
    <t>PayPal- Debil Luxury</t>
  </si>
  <si>
    <t>11120092</t>
  </si>
  <si>
    <t>Welcome Drinks Interim Account</t>
  </si>
  <si>
    <t>11120093</t>
  </si>
  <si>
    <t>Interim Cash Mega - due from All Company</t>
  </si>
  <si>
    <t>11120094</t>
  </si>
  <si>
    <t>Interim Cash Debil - due from Sunartha</t>
  </si>
  <si>
    <t>11120096</t>
  </si>
  <si>
    <t>Interim Cash Fortune - due from BBT</t>
  </si>
  <si>
    <t>11120097</t>
  </si>
  <si>
    <t>Interim Sweetheart Nyoman - From All Company</t>
  </si>
  <si>
    <t>11120098</t>
  </si>
  <si>
    <t>Interim Sanjaya - From all Company</t>
  </si>
  <si>
    <t>11120099</t>
  </si>
  <si>
    <t>Interim Jayanadi - From All Company</t>
  </si>
  <si>
    <t>11120100</t>
  </si>
  <si>
    <t>Interim Debil - From All Company</t>
  </si>
  <si>
    <t>11120101</t>
  </si>
  <si>
    <t>Interim Queen Ruizi - From All Company</t>
  </si>
  <si>
    <t>11120102</t>
  </si>
  <si>
    <t>Interim Lady Manta - From All Company</t>
  </si>
  <si>
    <t>11120103</t>
  </si>
  <si>
    <t>Paypal - FYB</t>
  </si>
  <si>
    <t>11120104</t>
  </si>
  <si>
    <t>Interm Day Trip Bali from All Company</t>
  </si>
  <si>
    <t>11120105</t>
  </si>
  <si>
    <t>Bank OCBC Reserve Account - 3382</t>
  </si>
  <si>
    <t>11120106</t>
  </si>
  <si>
    <t>Bank OCBC - 2429</t>
  </si>
  <si>
    <t>11120107</t>
  </si>
  <si>
    <t>Interim Dedean- From All Company</t>
  </si>
  <si>
    <t>11120108</t>
  </si>
  <si>
    <t>Bank David</t>
  </si>
  <si>
    <t>11120109</t>
  </si>
  <si>
    <t>Interim Serangan Boat Charter</t>
  </si>
  <si>
    <t>11120110</t>
  </si>
  <si>
    <t>Bank OCBC Serangan Boat  Charter - 7680</t>
  </si>
  <si>
    <t>11120111</t>
  </si>
  <si>
    <t>Petty Cash Riki J</t>
  </si>
  <si>
    <t>Petty Cash Almond Milk</t>
  </si>
  <si>
    <t>11120112</t>
  </si>
  <si>
    <t>Interim Serangan From All Company</t>
  </si>
  <si>
    <t>11120113</t>
  </si>
  <si>
    <t>Interim Riki Boat Charter - All company</t>
  </si>
  <si>
    <t>11120114</t>
  </si>
  <si>
    <t>Bank OCBC Honey Milk</t>
  </si>
  <si>
    <t>11120115</t>
  </si>
  <si>
    <t>Petty Cash Honey Milk</t>
  </si>
  <si>
    <t>11120116</t>
  </si>
  <si>
    <t>Bank OCBC Bahari - 9157</t>
  </si>
  <si>
    <t>11120117</t>
  </si>
  <si>
    <t>Petty Cash Bahari</t>
  </si>
  <si>
    <t>11120118</t>
  </si>
  <si>
    <t>Bank OCBC Jetski - 9082</t>
  </si>
  <si>
    <t>11120119</t>
  </si>
  <si>
    <t>Bank OCBC Bahari - 9256</t>
  </si>
  <si>
    <t>11120120</t>
  </si>
  <si>
    <t>Interim Honey Milk From All Company</t>
  </si>
  <si>
    <t>11120121</t>
  </si>
  <si>
    <t>Bank Seny Subiakto</t>
  </si>
  <si>
    <t>Total Bank and Cash Accounts</t>
  </si>
  <si>
    <t>Receivables</t>
  </si>
  <si>
    <t>11120029</t>
  </si>
  <si>
    <t>Petty Cash - Komang Ryan</t>
  </si>
  <si>
    <t>11120065</t>
  </si>
  <si>
    <t>Petty Cash - Kassy</t>
  </si>
  <si>
    <t>11120090</t>
  </si>
  <si>
    <t>Cash Advance</t>
  </si>
  <si>
    <t>11120091</t>
  </si>
  <si>
    <t>Geebran Advance</t>
  </si>
  <si>
    <t>11210010</t>
  </si>
  <si>
    <t>Account Receivable (General)</t>
  </si>
  <si>
    <t>11210011</t>
  </si>
  <si>
    <t>Account Receivable of DTB (Bali Boat Tour)</t>
  </si>
  <si>
    <t>IG</t>
  </si>
  <si>
    <t>11210012</t>
  </si>
  <si>
    <t>Account Receivable of BBT (Day Trip Bali)</t>
  </si>
  <si>
    <t>11210013</t>
  </si>
  <si>
    <t>Account Receivable of JetSki (Day Trip Bali)</t>
  </si>
  <si>
    <t>11210014</t>
  </si>
  <si>
    <t>Account Receivable of DTB (SH4)</t>
  </si>
  <si>
    <t>11210015</t>
  </si>
  <si>
    <t>Account Receivable of DTB (Weda)</t>
  </si>
  <si>
    <t>11210016</t>
  </si>
  <si>
    <t>Account Receivable of DTB (JetSki)</t>
  </si>
  <si>
    <t>11210017</t>
  </si>
  <si>
    <t>Account Receivable of DTB (Sweetheart- CIMB)</t>
  </si>
  <si>
    <t>11210019</t>
  </si>
  <si>
    <t>Account Receivable of DTB (Sanjaya)</t>
  </si>
  <si>
    <t>11210020</t>
  </si>
  <si>
    <t>CB</t>
  </si>
  <si>
    <t>11210021</t>
  </si>
  <si>
    <t>Account Receivable of DTB (Jayanadi - Nuada)</t>
  </si>
  <si>
    <t>11210022</t>
  </si>
  <si>
    <t>Account Receivable of DTB (Little Star - Ayu Dian)</t>
  </si>
  <si>
    <t>11210023</t>
  </si>
  <si>
    <t>Account Receivable (Other)</t>
  </si>
  <si>
    <t>11210024</t>
  </si>
  <si>
    <t>11210025</t>
  </si>
  <si>
    <t>11210026</t>
  </si>
  <si>
    <t>11210027</t>
  </si>
  <si>
    <t>11210028</t>
  </si>
  <si>
    <t>Account Receivable of BBT (Jetski)</t>
  </si>
  <si>
    <t>11210029</t>
  </si>
  <si>
    <t>Account Receivable of BBT (SH4)</t>
  </si>
  <si>
    <t>11210030</t>
  </si>
  <si>
    <t>Account Receivable of BBT (Jayanadi - Nuada)</t>
  </si>
  <si>
    <t>11210031</t>
  </si>
  <si>
    <t>Account Receivable of BBT (Weda)</t>
  </si>
  <si>
    <t>11210032</t>
  </si>
  <si>
    <t>11210033</t>
  </si>
  <si>
    <t>11210034</t>
  </si>
  <si>
    <t>Account Receivable of Weda (SH4)</t>
  </si>
  <si>
    <t>11210035</t>
  </si>
  <si>
    <t>Account Receivable of Weda (Sweetheart - CIMB)</t>
  </si>
  <si>
    <t>11210036</t>
  </si>
  <si>
    <t>11210037</t>
  </si>
  <si>
    <t>11210038</t>
  </si>
  <si>
    <t>Account Receivable of SH4 (Bali Boat Tour)</t>
  </si>
  <si>
    <t>11210039</t>
  </si>
  <si>
    <t>11210041</t>
  </si>
  <si>
    <t>Account Receivable of Sweetheart Nyoman - CIMB (SH4)</t>
  </si>
  <si>
    <t>11210042</t>
  </si>
  <si>
    <t>Account Receivable of SN (Bali Boat Tour)</t>
  </si>
  <si>
    <t>11210043</t>
  </si>
  <si>
    <t>Account Receivable of SN (Weda)</t>
  </si>
  <si>
    <t>11210044</t>
  </si>
  <si>
    <t>Cashbon - Arya</t>
  </si>
  <si>
    <t>11210045</t>
  </si>
  <si>
    <t>Account Receivable of SH4 (Weda)</t>
  </si>
  <si>
    <t>11210046</t>
  </si>
  <si>
    <t>Account Receivable of BBT ( Sweetheart- CIMB)</t>
  </si>
  <si>
    <t>11210047</t>
  </si>
  <si>
    <t>Account Receivable of Sanjaya (SH4)</t>
  </si>
  <si>
    <t>11210048</t>
  </si>
  <si>
    <t>Account Receivable of BBT (Sanjaya)</t>
  </si>
  <si>
    <t>11210049</t>
  </si>
  <si>
    <t>Account Receivable of BBT (Little Star)</t>
  </si>
  <si>
    <t>11210050</t>
  </si>
  <si>
    <t>Account Receivable of BBT (Dedean)</t>
  </si>
  <si>
    <t>11210051</t>
  </si>
  <si>
    <t>Account Receivable of BBT (Riki J)</t>
  </si>
  <si>
    <t>11210052</t>
  </si>
  <si>
    <t>Account Receivable of Dedean (BBT)</t>
  </si>
  <si>
    <t>11210053</t>
  </si>
  <si>
    <t>Account Receivable of Riki (BBT)</t>
  </si>
  <si>
    <t>11210054</t>
  </si>
  <si>
    <t>Account Receivable of Weda (Sanjaya)</t>
  </si>
  <si>
    <t>11210055</t>
  </si>
  <si>
    <t>Klook Testing</t>
  </si>
  <si>
    <t>11210056</t>
  </si>
  <si>
    <t>Transit Bank Account - Internal Movement</t>
  </si>
  <si>
    <t>11210057</t>
  </si>
  <si>
    <t>Account Receivable of Seven Heaven ( Weda)</t>
  </si>
  <si>
    <t>11210058</t>
  </si>
  <si>
    <t>Account Receivable of Seven Heaven (Sweetheart)</t>
  </si>
  <si>
    <t>11210059</t>
  </si>
  <si>
    <t>Account Receivable of Seven Heaven (Sanjaya)</t>
  </si>
  <si>
    <t>11210060</t>
  </si>
  <si>
    <t>Account Receivable of Jetski (Seven Heaven)</t>
  </si>
  <si>
    <t>11210061</t>
  </si>
  <si>
    <t>Account Receivable of Weda (Seven Heaven)</t>
  </si>
  <si>
    <t>11210062</t>
  </si>
  <si>
    <t>Account Receivable of BBT (Seven Heaven)</t>
  </si>
  <si>
    <t>11210063</t>
  </si>
  <si>
    <t>Account Receivable of Jetski (SH4)</t>
  </si>
  <si>
    <t>11210064</t>
  </si>
  <si>
    <t>Account Receivable of Jetski (Riki J)</t>
  </si>
  <si>
    <t>11210065</t>
  </si>
  <si>
    <t>Account Receivable of Weda (Dedean)</t>
  </si>
  <si>
    <t>11210066</t>
  </si>
  <si>
    <t>Account Receivable of Weda (Riki J)</t>
  </si>
  <si>
    <t>11210067</t>
  </si>
  <si>
    <t>Account Receivable of Weda (Big LS) DON'T USE!!!</t>
  </si>
  <si>
    <t>11210068</t>
  </si>
  <si>
    <t>Account Receivable of Small Little (Big Little Star)</t>
  </si>
  <si>
    <t>11210069</t>
  </si>
  <si>
    <t>Account Receivable of Jayanadi (BBT)</t>
  </si>
  <si>
    <t>11210070</t>
  </si>
  <si>
    <t>Account Receivable of Jayanadi (Sweetheart Nyoman)</t>
  </si>
  <si>
    <t>11210072</t>
  </si>
  <si>
    <t>Account Receivable of Jetski (Jayanadi)</t>
  </si>
  <si>
    <t>11210073</t>
  </si>
  <si>
    <t>Account Receivable of Jetski (Sanjaya)</t>
  </si>
  <si>
    <t>11210074</t>
  </si>
  <si>
    <t>Account Receivable of Small LS (SH4)</t>
  </si>
  <si>
    <t>11210075</t>
  </si>
  <si>
    <t>Account Receivable of Small LS (Weda)</t>
  </si>
  <si>
    <t>11210076</t>
  </si>
  <si>
    <t>Account Receivable of Weda (Little Star)</t>
  </si>
  <si>
    <t>11210077</t>
  </si>
  <si>
    <t>Account Receivable of Jetski (Small Little)</t>
  </si>
  <si>
    <t>11210079</t>
  </si>
  <si>
    <t>Cashbon - Andi</t>
  </si>
  <si>
    <t>11210080</t>
  </si>
  <si>
    <t>Account Receivable Sanjaya ( Sweetheart)</t>
  </si>
  <si>
    <t>11210081</t>
  </si>
  <si>
    <t>Account Receivable of Jetski (Dedean)</t>
  </si>
  <si>
    <t>11210082</t>
  </si>
  <si>
    <t>Account Receivable of Jetski (CIMB Sunartha)</t>
  </si>
  <si>
    <t>11210083</t>
  </si>
  <si>
    <t>11210084</t>
  </si>
  <si>
    <t>Account Receivable of SH4 (Sanjaya)</t>
  </si>
  <si>
    <t>11210085</t>
  </si>
  <si>
    <t>Account Receivable of Weda ( DTB)</t>
  </si>
  <si>
    <t>11210086</t>
  </si>
  <si>
    <t>Account Receivable of Jayanadi (Seven Heaven)</t>
  </si>
  <si>
    <t>11210087</t>
  </si>
  <si>
    <t>Account Receivable of Jayanadi (Weda)</t>
  </si>
  <si>
    <t>11210088</t>
  </si>
  <si>
    <t>Account Receivable of Weda (Jayanadi)</t>
  </si>
  <si>
    <t>11210089</t>
  </si>
  <si>
    <t>Account Receivable of SH4 (Sweetheart - CIMB)</t>
  </si>
  <si>
    <t>11210090</t>
  </si>
  <si>
    <t>Account Receivable of SH4 (Little Star - Ayu Dian)</t>
  </si>
  <si>
    <t>11210091</t>
  </si>
  <si>
    <t>Account Receivable of Little Star (SN)</t>
  </si>
  <si>
    <t>Account Receivable of Sanjaya (Seven Heaven)</t>
  </si>
  <si>
    <t>11210092</t>
  </si>
  <si>
    <t>Account Receivable of Jayanadi (SN)</t>
  </si>
  <si>
    <t>Account Receivable of Sanjaya (DTB)</t>
  </si>
  <si>
    <t>11210093</t>
  </si>
  <si>
    <t>Account Receivable  of Seven Heaven (Little Star)</t>
  </si>
  <si>
    <t>11210094</t>
  </si>
  <si>
    <t>Account Receivable of Seven Heaven (Jayanadi)</t>
  </si>
  <si>
    <t>11210095</t>
  </si>
  <si>
    <t>Account Receivable of Seven Heaven (Sweetheart CIMB)</t>
  </si>
  <si>
    <t>11210096</t>
  </si>
  <si>
    <t>Account Receivable of SN (DTB)</t>
  </si>
  <si>
    <t>11210099</t>
  </si>
  <si>
    <t>Account Receivable of CIMB (Debil)</t>
  </si>
  <si>
    <t>11210100</t>
  </si>
  <si>
    <t>Account Receivable of CIMB (Jetski)</t>
  </si>
  <si>
    <t>11210101</t>
  </si>
  <si>
    <t>Account Receivable of CIMB (SH4)</t>
  </si>
  <si>
    <t>11210102</t>
  </si>
  <si>
    <t>11210103</t>
  </si>
  <si>
    <t>Account Receivable of CIMB (DTB)</t>
  </si>
  <si>
    <t>11210104</t>
  </si>
  <si>
    <t>Account Receivable of Jayanadi ( DTB)</t>
  </si>
  <si>
    <t>Account Receivable of CIMB (Weda)</t>
  </si>
  <si>
    <t>11210105</t>
  </si>
  <si>
    <t>Account Receivable of Debil (DTB)</t>
  </si>
  <si>
    <t>Account Receivable of CIMB (Sanjaya)</t>
  </si>
  <si>
    <t>11210106</t>
  </si>
  <si>
    <t>Account Receivable of Big Little Star ( BBT)</t>
  </si>
  <si>
    <t>Account Receivable of CIMB (Jayanadi)</t>
  </si>
  <si>
    <t>11210107</t>
  </si>
  <si>
    <t>Account Receivable of SLS ( BBT)</t>
  </si>
  <si>
    <t>Account Receivable of CIMB (Little Star)</t>
  </si>
  <si>
    <t>11210108</t>
  </si>
  <si>
    <t>Account Receivable of Weda ( BBT)</t>
  </si>
  <si>
    <t>Account Receivable of CIMB (BBT - Dedean)</t>
  </si>
  <si>
    <t>11210109</t>
  </si>
  <si>
    <t>Account Receivable of Weda  (Debil)</t>
  </si>
  <si>
    <t>AccountReceivable of CIMB (Queen Ruizi)</t>
  </si>
  <si>
    <t>11210110</t>
  </si>
  <si>
    <t>11210111</t>
  </si>
  <si>
    <t>Account Receivable of Jayanadi (Debil Luxury)</t>
  </si>
  <si>
    <t>11210112</t>
  </si>
  <si>
    <t>Account Receivable of Sanjaya (Debil Luxury)</t>
  </si>
  <si>
    <t>11210113</t>
  </si>
  <si>
    <t>Account Receivable of Riki J (Debil Luxury)</t>
  </si>
  <si>
    <t>11210114</t>
  </si>
  <si>
    <t>Account Receivable of Riki J (Sanjaya)</t>
  </si>
  <si>
    <t>11210115</t>
  </si>
  <si>
    <t>Account Receivable of Riki J (Jayanadi)</t>
  </si>
  <si>
    <t>11210116</t>
  </si>
  <si>
    <t>Account Receivable of Riki J (SH4)</t>
  </si>
  <si>
    <t>11210117</t>
  </si>
  <si>
    <t>Account Receivable Sanjaya (Weda)</t>
  </si>
  <si>
    <t>11210118</t>
  </si>
  <si>
    <t>Account Receivable of Sanjaya (Jetski)</t>
  </si>
  <si>
    <t>11210119</t>
  </si>
  <si>
    <t>Account Receivable of DTB (Debil Luxury)</t>
  </si>
  <si>
    <t>11210120</t>
  </si>
  <si>
    <t>Account Receivable of Small LS (Debil)</t>
  </si>
  <si>
    <t>11210121</t>
  </si>
  <si>
    <t>Account Receivable of Weda (Jetski)</t>
  </si>
  <si>
    <t>11210122</t>
  </si>
  <si>
    <t>Account Receivable of Dedean (Jayanadi)</t>
  </si>
  <si>
    <t>11210123</t>
  </si>
  <si>
    <t>Account Receivable of Sanjaya (Jayanadi)</t>
  </si>
  <si>
    <t>11210125</t>
  </si>
  <si>
    <t>Account Receivable of Little Star ( Riki J)</t>
  </si>
  <si>
    <t>11210126</t>
  </si>
  <si>
    <t>Account Receivable of Riki J (Weda)</t>
  </si>
  <si>
    <t>11210127</t>
  </si>
  <si>
    <t>Account Receivable of Riki J (Dedean)</t>
  </si>
  <si>
    <t>11210128</t>
  </si>
  <si>
    <t>Account Receivable of DTB (Riki J)</t>
  </si>
  <si>
    <t>11210129</t>
  </si>
  <si>
    <t>Account Receivable of Riki J (Little Star)</t>
  </si>
  <si>
    <t>11210130</t>
  </si>
  <si>
    <t>Account Receivable of SH4 (Jayanadi)</t>
  </si>
  <si>
    <t>11210131</t>
  </si>
  <si>
    <t>Account Receivable of BBT (Debil Luxury)</t>
  </si>
  <si>
    <t>11210132</t>
  </si>
  <si>
    <t>Account Receivable of Jayanadi (BBT-Dedean)</t>
  </si>
  <si>
    <t>11210134</t>
  </si>
  <si>
    <t>11210135</t>
  </si>
  <si>
    <t>Account Receivable of Debil ( Riki J)</t>
  </si>
  <si>
    <t>11210136</t>
  </si>
  <si>
    <t>Cashbon - Kannan Murugan</t>
  </si>
  <si>
    <t>11210137</t>
  </si>
  <si>
    <t>Account Receivable of Riki J (DTB)</t>
  </si>
  <si>
    <t>11210138</t>
  </si>
  <si>
    <t>Account Receivable of Riki J (Jetski)</t>
  </si>
  <si>
    <t>11210139</t>
  </si>
  <si>
    <t>Account Receivable Riki ( CIMB)</t>
  </si>
  <si>
    <t>11210140</t>
  </si>
  <si>
    <t>Account Receivable DTB</t>
  </si>
  <si>
    <t>11210141</t>
  </si>
  <si>
    <t>Account Receivable Queen Ruizi ( Riki J)</t>
  </si>
  <si>
    <t>11210150</t>
  </si>
  <si>
    <t>Account Receivable PayPal</t>
  </si>
  <si>
    <t>11210151</t>
  </si>
  <si>
    <t>Account Receivable Xendit</t>
  </si>
  <si>
    <t>11210152</t>
  </si>
  <si>
    <t>Account Receivable Airbnb</t>
  </si>
  <si>
    <t>11210153</t>
  </si>
  <si>
    <t>Account Receivable Klook</t>
  </si>
  <si>
    <t>11210154</t>
  </si>
  <si>
    <t>Account Receivable of Debil ( Cimb)</t>
  </si>
  <si>
    <t>11210155</t>
  </si>
  <si>
    <t>Account Receivable of Debil ( Seven Heaven)</t>
  </si>
  <si>
    <t>11210181</t>
  </si>
  <si>
    <t>Account Receivable of Debil ( Sanjaya)</t>
  </si>
  <si>
    <t>11210185</t>
  </si>
  <si>
    <t>Account Receivable of Weda (Queen Ruizi)</t>
  </si>
  <si>
    <t>11210186</t>
  </si>
  <si>
    <t>Account Receivable of Riki J (Queen Ruizi)</t>
  </si>
  <si>
    <t>11210187</t>
  </si>
  <si>
    <t>Account Receivable of Sanjaya (Riki J)</t>
  </si>
  <si>
    <t>11210188</t>
  </si>
  <si>
    <t>Account Receivable of Sanjaya (Dedean)</t>
  </si>
  <si>
    <t>11210189</t>
  </si>
  <si>
    <t>Account Receivable of SH4 (DTB)</t>
  </si>
  <si>
    <t>11210190</t>
  </si>
  <si>
    <t>Quality Guarantee Deposit at Trip.com</t>
  </si>
  <si>
    <t>11210192</t>
  </si>
  <si>
    <t>Account Receivable of Queen Ruizi (Weda)</t>
  </si>
  <si>
    <t>11210193</t>
  </si>
  <si>
    <t>Account Receivable of Little Star (CIMB)</t>
  </si>
  <si>
    <t>11210194</t>
  </si>
  <si>
    <t>Account Receivable of  Debil (Jetski)</t>
  </si>
  <si>
    <t>11210195</t>
  </si>
  <si>
    <t>Account Receivable of Dedean (Little Star)</t>
  </si>
  <si>
    <t>11210196</t>
  </si>
  <si>
    <t>Account Receivable of Dedean (Weda)</t>
  </si>
  <si>
    <t>11210197</t>
  </si>
  <si>
    <t>Account Receivable of DTB (Dedean)</t>
  </si>
  <si>
    <t>11210198</t>
  </si>
  <si>
    <t>Account Receivable of DTB (Queen Ruizi)</t>
  </si>
  <si>
    <t>11210200</t>
  </si>
  <si>
    <t>Account Receivable of BBT (FYB)</t>
  </si>
  <si>
    <t>11210201</t>
  </si>
  <si>
    <t>Account Receivable of Jetski (Queen Ruizi)</t>
  </si>
  <si>
    <t>11210202</t>
  </si>
  <si>
    <t>Account Receivable of Jetski (Weda)</t>
  </si>
  <si>
    <t>11210203</t>
  </si>
  <si>
    <t>Account Receivable of Little Star (BBT)</t>
  </si>
  <si>
    <t>11210204</t>
  </si>
  <si>
    <t>Account Receivable of Little Star (DTB)</t>
  </si>
  <si>
    <t>11210205</t>
  </si>
  <si>
    <t>Account Receivable of SH4 (Seven Heaven)</t>
  </si>
  <si>
    <t>11210206</t>
  </si>
  <si>
    <t>Account Receivable of Small Little Star (Riki J)</t>
  </si>
  <si>
    <t>11210207</t>
  </si>
  <si>
    <t>Account Receivable of SH4 to (Debil)</t>
  </si>
  <si>
    <t>11210208</t>
  </si>
  <si>
    <t>Account Receivable of Almond Milk (Jayanadi - Nuada)</t>
  </si>
  <si>
    <t>11210209</t>
  </si>
  <si>
    <t>Account Receivable of Almond Milk (BBT)</t>
  </si>
  <si>
    <t>11210210</t>
  </si>
  <si>
    <t>Account Receivable of Queen Ruizi (DTB)</t>
  </si>
  <si>
    <t>11210211</t>
  </si>
  <si>
    <t>Account Receivable of Queen Ruizi (Little Star)</t>
  </si>
  <si>
    <t>11210212</t>
  </si>
  <si>
    <t>Account Receivable of Cimb (BBT- Riki J)</t>
  </si>
  <si>
    <t>11210213</t>
  </si>
  <si>
    <t>Account Receivable of Jetski ( BBT)</t>
  </si>
  <si>
    <t>Account Receivable of Sanjaya (BBT)</t>
  </si>
  <si>
    <t>11210221</t>
  </si>
  <si>
    <t>Account Receivable of DTB (FYB)</t>
  </si>
  <si>
    <t>11210222</t>
  </si>
  <si>
    <t>Account Receivable of Queen Ruizi (Sanjaya)</t>
  </si>
  <si>
    <t>11210223</t>
  </si>
  <si>
    <t>Account Receivable of FYB ( Sanjaya)</t>
  </si>
  <si>
    <t>11210224</t>
  </si>
  <si>
    <t>Account Receivable of Sanjaya (Queen Ruizi)</t>
  </si>
  <si>
    <t>11210225</t>
  </si>
  <si>
    <t>Account Receivable of Jayanadi (BBT Riki)</t>
  </si>
  <si>
    <t>11210227</t>
  </si>
  <si>
    <t>Account Receivable of Dedean (Riki)</t>
  </si>
  <si>
    <t>11210228</t>
  </si>
  <si>
    <t>Cashbon - Aleksandr Muravitkii</t>
  </si>
  <si>
    <t>11210229</t>
  </si>
  <si>
    <t>11210230</t>
  </si>
  <si>
    <t>11210231</t>
  </si>
  <si>
    <t>Account Receivable of Debil (BBT)</t>
  </si>
  <si>
    <t>11210232</t>
  </si>
  <si>
    <t>Account Receivable of Debil (BBT- Dedean)</t>
  </si>
  <si>
    <t>11210233</t>
  </si>
  <si>
    <t>11210234</t>
  </si>
  <si>
    <t>Cashbon - Andreas</t>
  </si>
  <si>
    <t>11210235</t>
  </si>
  <si>
    <t>Account Receivable of Queen Ruizi (Sweetheart)</t>
  </si>
  <si>
    <t>11210236</t>
  </si>
  <si>
    <t>Cashbon - Arjana</t>
  </si>
  <si>
    <t>11210237</t>
  </si>
  <si>
    <t>Cashbon - Baharuddin</t>
  </si>
  <si>
    <t>11210238</t>
  </si>
  <si>
    <t>Cashbon -  I Made Parwata</t>
  </si>
  <si>
    <t>11210239</t>
  </si>
  <si>
    <t>Account Receivable of Sanjaya ( FYB)</t>
  </si>
  <si>
    <t>11210240</t>
  </si>
  <si>
    <t>Account Receivable of Jayanadi (SH4)</t>
  </si>
  <si>
    <t>Account Receivable - TripAdvisor</t>
  </si>
  <si>
    <t>11210241</t>
  </si>
  <si>
    <t>Account Receivable of Dedean (DTB)</t>
  </si>
  <si>
    <t>11210242</t>
  </si>
  <si>
    <t>Account Receivable of Little Star (Jayanadi)</t>
  </si>
  <si>
    <t>11210243</t>
  </si>
  <si>
    <t>Account Receivable of BBT (Queen Ruizi)</t>
  </si>
  <si>
    <t>11210244</t>
  </si>
  <si>
    <t>Cashbon - Vashira</t>
  </si>
  <si>
    <t>11210245</t>
  </si>
  <si>
    <t>Cashbon - Jude</t>
  </si>
  <si>
    <t>11210246</t>
  </si>
  <si>
    <t>Cashbon - Riana</t>
  </si>
  <si>
    <t>11210247</t>
  </si>
  <si>
    <t>Cashbon - Atas</t>
  </si>
  <si>
    <t>11210248</t>
  </si>
  <si>
    <t>Account Receivable of Little Star (QR)</t>
  </si>
  <si>
    <t>11210249</t>
  </si>
  <si>
    <t>Account Receivable of Little Star (BBT - Dedean)</t>
  </si>
  <si>
    <t>11210251</t>
  </si>
  <si>
    <t>Account Receivable of Dedean (Sanjaya)</t>
  </si>
  <si>
    <t>11210252</t>
  </si>
  <si>
    <t>Cashbon - Padol</t>
  </si>
  <si>
    <t>11210253</t>
  </si>
  <si>
    <t>Casbhon - Mei Risman</t>
  </si>
  <si>
    <t>11210254</t>
  </si>
  <si>
    <t>Account Receivable of Queen Ruizi (Jayanadi)</t>
  </si>
  <si>
    <t>11210255</t>
  </si>
  <si>
    <t>Account Receivable of BBT (Riki Boat Chartes)</t>
  </si>
  <si>
    <t>11210256</t>
  </si>
  <si>
    <t>Account Receivable of Jayanadi (Queen Ruizi)</t>
  </si>
  <si>
    <t>11210257</t>
  </si>
  <si>
    <t>Account Receivable of Queen Ruizi (BBT)</t>
  </si>
  <si>
    <t>11210259</t>
  </si>
  <si>
    <t>Account Receivable of Queen Ruizi (SH4)</t>
  </si>
  <si>
    <t>11210260</t>
  </si>
  <si>
    <t>Account Receivable of Jayanadi (Jetski)</t>
  </si>
  <si>
    <t>Account Receivable of Queen Ruizi (Jetski)</t>
  </si>
  <si>
    <t>11210261</t>
  </si>
  <si>
    <t>Account Receivable of Jayanadi (Sanjaya)</t>
  </si>
  <si>
    <t>Account Receivable of Queen Ruizi ( Dedean)</t>
  </si>
  <si>
    <t>11210262</t>
  </si>
  <si>
    <t>Account Receivable of Dedean (SH4)</t>
  </si>
  <si>
    <t>11210263</t>
  </si>
  <si>
    <t>Account Receivable of Debil (QR)</t>
  </si>
  <si>
    <t>11210264</t>
  </si>
  <si>
    <t>Cashbon - I Komang Subagiawan</t>
  </si>
  <si>
    <t>11210266</t>
  </si>
  <si>
    <t>Account Receivable of SH4 (Dedean)</t>
  </si>
  <si>
    <t>11210267</t>
  </si>
  <si>
    <t>Account Receivable of SH4 (Riki J)</t>
  </si>
  <si>
    <t>11210268</t>
  </si>
  <si>
    <t>Account Receivable of Jetski (Debil)</t>
  </si>
  <si>
    <t>11210269</t>
  </si>
  <si>
    <t>Alex Loan to Reserve Account</t>
  </si>
  <si>
    <t>11210270</t>
  </si>
  <si>
    <t>Account Receivable of BBT (Almond Milk)</t>
  </si>
  <si>
    <t>11210271</t>
  </si>
  <si>
    <t>Account Receivable of SN ( Queen Ruizi )</t>
  </si>
  <si>
    <t>11210272</t>
  </si>
  <si>
    <t>Account Receivable of SN ( Jetski)</t>
  </si>
  <si>
    <t>11210273</t>
  </si>
  <si>
    <t>Account Receivable of SN ( Sanjaya )</t>
  </si>
  <si>
    <t>11210275</t>
  </si>
  <si>
    <t>Cashbon - I Nyoman Tara</t>
  </si>
  <si>
    <t>11210276</t>
  </si>
  <si>
    <t>Cashbon - Dani</t>
  </si>
  <si>
    <t>11210277</t>
  </si>
  <si>
    <t>Cashbon - Syahrul Nazaruddin</t>
  </si>
  <si>
    <t>11210278</t>
  </si>
  <si>
    <t>Cashbon - Didik</t>
  </si>
  <si>
    <t>11210279</t>
  </si>
  <si>
    <t>Cashbon - Feny</t>
  </si>
  <si>
    <t>11210280</t>
  </si>
  <si>
    <t>Account Receivable of Dedean ( Seven Heaven)</t>
  </si>
  <si>
    <t>11210281</t>
  </si>
  <si>
    <t>Account Receivable of Almond Milk (Sanjaya)</t>
  </si>
  <si>
    <t>11210282</t>
  </si>
  <si>
    <t>Account Receivable of Sanjaya (Almond Milk)</t>
  </si>
  <si>
    <t>11210283</t>
  </si>
  <si>
    <t>Cashbon - Destio</t>
  </si>
  <si>
    <t>11210284</t>
  </si>
  <si>
    <t>Account Receivable of Jayanadi (Almond Milk)</t>
  </si>
  <si>
    <t>11210285</t>
  </si>
  <si>
    <t>Account Receivable of Dedean ( Niti)</t>
  </si>
  <si>
    <t>11210287</t>
  </si>
  <si>
    <t>Account Receivable of Weda (Almond Milk)</t>
  </si>
  <si>
    <t>11210288</t>
  </si>
  <si>
    <t>Account Receivable of QR (Almond Milk)</t>
  </si>
  <si>
    <t>11210289</t>
  </si>
  <si>
    <t>Account Receivable of Little Star (Almond Milk)</t>
  </si>
  <si>
    <t>11210290</t>
  </si>
  <si>
    <t>Account Receivable of SH4 (Jetski)</t>
  </si>
  <si>
    <t>11210301</t>
  </si>
  <si>
    <t>Rai Advance</t>
  </si>
  <si>
    <t>11210302</t>
  </si>
  <si>
    <t>Account Receivable of Seven Heaven (Almond Milk)</t>
  </si>
  <si>
    <t>11210303</t>
  </si>
  <si>
    <t>Account Receivable of DTB (Almond Milk)</t>
  </si>
  <si>
    <t>11210304</t>
  </si>
  <si>
    <t>Account Receivable of Dedean (Queen Ruizi)</t>
  </si>
  <si>
    <t>11210305</t>
  </si>
  <si>
    <t>Account Receivable of BBT (HM)</t>
  </si>
  <si>
    <t>11210306</t>
  </si>
  <si>
    <t>Account Receivable of Weda (AM)</t>
  </si>
  <si>
    <t>11210307</t>
  </si>
  <si>
    <t>Account Receivable of Dedean (AM)</t>
  </si>
  <si>
    <t>11210308</t>
  </si>
  <si>
    <t>Account Receivable of Debil (AM)</t>
  </si>
  <si>
    <t>11210309</t>
  </si>
  <si>
    <t>Account Receivable of Debil (Little Star)</t>
  </si>
  <si>
    <t>11210310</t>
  </si>
  <si>
    <t>Account Receivable of BBT (Bahari)</t>
  </si>
  <si>
    <t>11210311</t>
  </si>
  <si>
    <t>Account Receivable of Almond Milk (Riki Boat Charters)</t>
  </si>
  <si>
    <t>11210312</t>
  </si>
  <si>
    <t>Account Receivable of Almond Milk (DTB)</t>
  </si>
  <si>
    <t>11210313</t>
  </si>
  <si>
    <t>Account Receivable of Almond Milk (Dedean)</t>
  </si>
  <si>
    <t>11210314</t>
  </si>
  <si>
    <t>Account Receivable of Almond Milk (Jetski)</t>
  </si>
  <si>
    <t>11210315</t>
  </si>
  <si>
    <t>Account Receivable of Almond Milk (Weda)</t>
  </si>
  <si>
    <t>11210316</t>
  </si>
  <si>
    <t>Account Receivable of Almond Milk (Debil)</t>
  </si>
  <si>
    <t>11210317</t>
  </si>
  <si>
    <t>Account Receivable of Sanjaya (Little Star)</t>
  </si>
  <si>
    <t>11210318</t>
  </si>
  <si>
    <t>Account Receivable of Little Star (Sanjaya)</t>
  </si>
  <si>
    <t>11210319</t>
  </si>
  <si>
    <t>Account Receivable of Little Star (Jetski)</t>
  </si>
  <si>
    <t>11210321</t>
  </si>
  <si>
    <t>Account Receivable of FYB (Bali Boat Tour)</t>
  </si>
  <si>
    <t>11210322</t>
  </si>
  <si>
    <t>Account Receivable of Sanjaya (HM)</t>
  </si>
  <si>
    <t>11210323</t>
  </si>
  <si>
    <t>Account Receivable of Weda (Bahari)</t>
  </si>
  <si>
    <t>11210324</t>
  </si>
  <si>
    <t>Account Receivable of Riki (Bahari)</t>
  </si>
  <si>
    <t>11210325</t>
  </si>
  <si>
    <t>Account Receivable of HM (BBT)</t>
  </si>
  <si>
    <t>11210326</t>
  </si>
  <si>
    <t>Account Receivable of Cimb (BBT)</t>
  </si>
  <si>
    <t>11210327</t>
  </si>
  <si>
    <t>Account Receivable of Jetski 9082 (Cimb)</t>
  </si>
  <si>
    <t>11210328</t>
  </si>
  <si>
    <t>Cashbon Suwendra</t>
  </si>
  <si>
    <t>11210329</t>
  </si>
  <si>
    <t>Account Receivable of HM (DTB)</t>
  </si>
  <si>
    <t>11210330</t>
  </si>
  <si>
    <t>Account Receivable of SH4 (Bahari)</t>
  </si>
  <si>
    <t>11210331</t>
  </si>
  <si>
    <t>Account Receivable of HM (Almond Milk)</t>
  </si>
  <si>
    <t>11210332</t>
  </si>
  <si>
    <t>Account Receivable of HM (Bahari)</t>
  </si>
  <si>
    <t>11210333</t>
  </si>
  <si>
    <t>Account Receivable of HM ((Riki Boat Charter)</t>
  </si>
  <si>
    <t>11210334</t>
  </si>
  <si>
    <t>Account Receivable of AM (SH 4)</t>
  </si>
  <si>
    <t>11210335</t>
  </si>
  <si>
    <t>Account Receivable of AM (Riki)</t>
  </si>
  <si>
    <t>11210336</t>
  </si>
  <si>
    <t>Account Receivable of BBT (Elena)</t>
  </si>
  <si>
    <t>11210337</t>
  </si>
  <si>
    <t>Account Receivable of Weda (HM)</t>
  </si>
  <si>
    <t>11210338</t>
  </si>
  <si>
    <t>Account Receivable of Almond Milk (CIMB)</t>
  </si>
  <si>
    <t>11210340</t>
  </si>
  <si>
    <t>Account Receivable of CIMB (AM)</t>
  </si>
  <si>
    <t>11210341</t>
  </si>
  <si>
    <t>11210342</t>
  </si>
  <si>
    <t>Account Receivable of Bahari (AM)</t>
  </si>
  <si>
    <t>11210343</t>
  </si>
  <si>
    <t>Account Receivable of Bahari (DTB)</t>
  </si>
  <si>
    <t>11210344</t>
  </si>
  <si>
    <t>Account Receivable of Riki (HM)</t>
  </si>
  <si>
    <t>11210345</t>
  </si>
  <si>
    <t>Account Receivable of SH4 (HM)</t>
  </si>
  <si>
    <t>11210346</t>
  </si>
  <si>
    <t>Account Receivable of Debil (SH4)</t>
  </si>
  <si>
    <t>11210347</t>
  </si>
  <si>
    <t>Account Receivable of HM (Sanjaya)</t>
  </si>
  <si>
    <t>11210348</t>
  </si>
  <si>
    <t>Account Receivable of SH4 (Elena)</t>
  </si>
  <si>
    <t>11210349</t>
  </si>
  <si>
    <t>Account Receivable of DTB (HM)</t>
  </si>
  <si>
    <t>11210351</t>
  </si>
  <si>
    <t>11210352</t>
  </si>
  <si>
    <t>Account Receivable of BBT (Eldorado Dua)</t>
  </si>
  <si>
    <t>21100110</t>
  </si>
  <si>
    <t>Loan to DTB Reserve Account</t>
  </si>
  <si>
    <t>Total Receivables</t>
  </si>
  <si>
    <t>11120006</t>
  </si>
  <si>
    <t>Bank Suspense Account</t>
  </si>
  <si>
    <t>11120007</t>
  </si>
  <si>
    <t>Outstanding Receipts</t>
  </si>
  <si>
    <t>11210199</t>
  </si>
  <si>
    <t>Security Deposit Cashlez</t>
  </si>
  <si>
    <t>11210258</t>
  </si>
  <si>
    <t>Petrol Arya - Advance</t>
  </si>
  <si>
    <t>11210299</t>
  </si>
  <si>
    <t>Meta Advance</t>
  </si>
  <si>
    <t>11300180</t>
  </si>
  <si>
    <t>Other Inventory</t>
  </si>
  <si>
    <t>11300181</t>
  </si>
  <si>
    <t>Inventory - Snorkeling Equipment</t>
  </si>
  <si>
    <t>11300182</t>
  </si>
  <si>
    <t>Inventory - Bean Bags for Boats</t>
  </si>
  <si>
    <t>11300183</t>
  </si>
  <si>
    <t>Inventory - Diving Equipment</t>
  </si>
  <si>
    <t>11300184</t>
  </si>
  <si>
    <t>Inventory - GoPro</t>
  </si>
  <si>
    <t>11300185</t>
  </si>
  <si>
    <t>Inventory - Beverages PoS</t>
  </si>
  <si>
    <t>11300186</t>
  </si>
  <si>
    <t>Inventory and Raw Materials - FYB</t>
  </si>
  <si>
    <t>11300187</t>
  </si>
  <si>
    <t>Inventory - FYB Finished Products</t>
  </si>
  <si>
    <t>11300188</t>
  </si>
  <si>
    <t>Inventory - WIP FYB Valuation Account</t>
  </si>
  <si>
    <t>12281108</t>
  </si>
  <si>
    <t>Software</t>
  </si>
  <si>
    <t>Total Current Assets</t>
  </si>
  <si>
    <t>11800000</t>
  </si>
  <si>
    <t>Down Payment</t>
  </si>
  <si>
    <t>Total Prepayments</t>
  </si>
  <si>
    <t>Plus Fixed Assets</t>
  </si>
  <si>
    <t>12210010</t>
  </si>
  <si>
    <t>Computer Equipment</t>
  </si>
  <si>
    <t>12210020</t>
  </si>
  <si>
    <t>12210030</t>
  </si>
  <si>
    <t>12210040</t>
  </si>
  <si>
    <t>12210050</t>
  </si>
  <si>
    <t>12210060</t>
  </si>
  <si>
    <t>Sekoci Boat - Day Trip Bali</t>
  </si>
  <si>
    <t>Asset FYB</t>
  </si>
  <si>
    <t>12210061</t>
  </si>
  <si>
    <t>2210030 Electronic Equipment</t>
  </si>
  <si>
    <t>12210070</t>
  </si>
  <si>
    <t>Tour Equipment</t>
  </si>
  <si>
    <t>12210040 Vehicles and Motorbikes</t>
  </si>
  <si>
    <t>12210071</t>
  </si>
  <si>
    <t>12210050 Office Equipment and Furniture</t>
  </si>
  <si>
    <t>12210073</t>
  </si>
  <si>
    <t>12210102 WIP - FYB Leasehold Improvements</t>
  </si>
  <si>
    <t>12210080</t>
  </si>
  <si>
    <t>12210106 Crane and Trolley - FYB</t>
  </si>
  <si>
    <t>12210090</t>
  </si>
  <si>
    <t>12210107 Rent Office FYB</t>
  </si>
  <si>
    <t>12210100</t>
  </si>
  <si>
    <t>12281030 Accumulated Depreciation - Electronic Equipment</t>
  </si>
  <si>
    <t>12210101</t>
  </si>
  <si>
    <t>12281040 Accumulated Depreciation - Vehicles and Motorbikes</t>
  </si>
  <si>
    <t>12210102</t>
  </si>
  <si>
    <t>WIP - FYB Leasehold Improvements</t>
  </si>
  <si>
    <t>12281050 Accumulated Depreciation - Office Equipment and Furniture</t>
  </si>
  <si>
    <t>12210103</t>
  </si>
  <si>
    <t>WIP - Lady Manta Boat</t>
  </si>
  <si>
    <t>12281103 Accumulated Depreciation - Crane and Trolley FYB</t>
  </si>
  <si>
    <t>12210104</t>
  </si>
  <si>
    <t>Boat Almond Milk</t>
  </si>
  <si>
    <t>12281107 Accumulated Depreciation - FYB Warehouse and Leasehold Improvements</t>
  </si>
  <si>
    <t>12210105</t>
  </si>
  <si>
    <t>12210106</t>
  </si>
  <si>
    <t>12210107</t>
  </si>
  <si>
    <t>12210108</t>
  </si>
  <si>
    <t>Boat Riki J</t>
  </si>
  <si>
    <t>12281010</t>
  </si>
  <si>
    <t>Accumulated Depreciation - Computer Equipment</t>
  </si>
  <si>
    <t>12281020</t>
  </si>
  <si>
    <t>Accumulated Depreciation - Diving and Snorkeling Equipment</t>
  </si>
  <si>
    <t>12281030</t>
  </si>
  <si>
    <t>Accumulated Depreciation - Electronic Equipment</t>
  </si>
  <si>
    <t>12281040</t>
  </si>
  <si>
    <t>Accumulated Depreciation - Vehicles and Motorbikes</t>
  </si>
  <si>
    <t>12281050</t>
  </si>
  <si>
    <t>Accumulated Depreciation - Office Equipment and Furniture</t>
  </si>
  <si>
    <t>12281060</t>
  </si>
  <si>
    <t>Accumulated Depreciation - Sekoci Boat - Daytrip Bali</t>
  </si>
  <si>
    <t>12281070</t>
  </si>
  <si>
    <t>Accumulated Depreciation - Tour Equipment</t>
  </si>
  <si>
    <t>12281071</t>
  </si>
  <si>
    <t>Accumulated Depreciation - Odoo Software</t>
  </si>
  <si>
    <t>12281073</t>
  </si>
  <si>
    <t>Accumulated Depreciation - Rent Office Serangan</t>
  </si>
  <si>
    <t>12281080</t>
  </si>
  <si>
    <t>Accumulated Depreciation - JetSki</t>
  </si>
  <si>
    <t>12281090</t>
  </si>
  <si>
    <t>Accumulated Depreciation - Accesories for JetSki</t>
  </si>
  <si>
    <t>12281100</t>
  </si>
  <si>
    <t>Accumulated Depreciation - JetSki Parking</t>
  </si>
  <si>
    <t>12281102</t>
  </si>
  <si>
    <t>Accumulated Depreciation - Serangan Office and Leasehold Improvements</t>
  </si>
  <si>
    <t>12281103</t>
  </si>
  <si>
    <t>Accumulated Depreciation - Crane and Trolley FYB</t>
  </si>
  <si>
    <t>Accumulated Depreciation - Lady Manta Boat</t>
  </si>
  <si>
    <t>12281104</t>
  </si>
  <si>
    <t>Accumulated Depreciation - Almond Milk</t>
  </si>
  <si>
    <t>12281105</t>
  </si>
  <si>
    <t>Accumulated Depreciation - Riki J</t>
  </si>
  <si>
    <t>12281106</t>
  </si>
  <si>
    <t>Accumulated Depreciation - Honey Milk</t>
  </si>
  <si>
    <t>12281107</t>
  </si>
  <si>
    <t>Accumulated Depreciation - FYB Warehouse and Leasehold Improvements</t>
  </si>
  <si>
    <t>Total Plus Fixed Assets</t>
  </si>
  <si>
    <t>Plus Non-current Assets</t>
  </si>
  <si>
    <t>13000010</t>
  </si>
  <si>
    <t>WIP - Boat Riki J</t>
  </si>
  <si>
    <t>13000020</t>
  </si>
  <si>
    <t>WIP - Diving Boat 1</t>
  </si>
  <si>
    <t>Total Plus Non-current Assets</t>
  </si>
  <si>
    <t>Total ASSETS</t>
  </si>
  <si>
    <t>LIABILITIES</t>
  </si>
  <si>
    <t>Current Liabilities</t>
  </si>
  <si>
    <t>21100030</t>
  </si>
  <si>
    <t>Petty Cash - Kadek</t>
  </si>
  <si>
    <t>21100031</t>
  </si>
  <si>
    <t>TIP</t>
  </si>
  <si>
    <t>21100040</t>
  </si>
  <si>
    <t>Salary Deposit</t>
  </si>
  <si>
    <t>21100050</t>
  </si>
  <si>
    <t>21221020</t>
  </si>
  <si>
    <t>VAT Sales</t>
  </si>
  <si>
    <t>25110080</t>
  </si>
  <si>
    <t>Accrued Payable Business License</t>
  </si>
  <si>
    <t>25110115</t>
  </si>
  <si>
    <t>Guest Deposit</t>
  </si>
  <si>
    <t>25110117</t>
  </si>
  <si>
    <t>Serangan Transport</t>
  </si>
  <si>
    <t>29000000</t>
  </si>
  <si>
    <t>Total Current Liabilities</t>
  </si>
  <si>
    <t>Payables</t>
  </si>
  <si>
    <t>21100010</t>
  </si>
  <si>
    <t>Account Payable (General)</t>
  </si>
  <si>
    <t>211000104</t>
  </si>
  <si>
    <t>Account Payable of Jetski (CIMB Sunartha)</t>
  </si>
  <si>
    <t>211000105</t>
  </si>
  <si>
    <t>Account Payable of Riki J ( Queen Ruizi)</t>
  </si>
  <si>
    <t>21100011</t>
  </si>
  <si>
    <t>Account Payable of DTB (Bali Boat Tour)</t>
  </si>
  <si>
    <t>21100012</t>
  </si>
  <si>
    <t>Account Payable of BBT (Day Trip Bali)</t>
  </si>
  <si>
    <t>21100013</t>
  </si>
  <si>
    <t>Account Payable of JetSki (Day Trip Bali)</t>
  </si>
  <si>
    <t>21100014</t>
  </si>
  <si>
    <t>Account Payable of DTB (SH4)</t>
  </si>
  <si>
    <t>21100015</t>
  </si>
  <si>
    <t>Account Payable of DTB (Weda)</t>
  </si>
  <si>
    <t>21100016</t>
  </si>
  <si>
    <t>Account Payable of DTB (Sweetheart - CIMB)</t>
  </si>
  <si>
    <t>21100017</t>
  </si>
  <si>
    <t>Account Payable of DTB (Seven Heaven - Lucky)</t>
  </si>
  <si>
    <t>21100018</t>
  </si>
  <si>
    <t>Account Payable of DTB (Sanjaya - Niti)</t>
  </si>
  <si>
    <t>21100019</t>
  </si>
  <si>
    <t>Account Payable of DTB (Jayanadi - Nuada)</t>
  </si>
  <si>
    <t>21100020</t>
  </si>
  <si>
    <t>Account Payable of DTB (Little Star - Ayu Dian)</t>
  </si>
  <si>
    <t>21100021</t>
  </si>
  <si>
    <t>Account Payable (Other)</t>
  </si>
  <si>
    <t>21100022</t>
  </si>
  <si>
    <t>Account Payable of BBT (Jayanadi - Nuada)</t>
  </si>
  <si>
    <t>21100023</t>
  </si>
  <si>
    <t>Account Payable of BBT (JetSki)</t>
  </si>
  <si>
    <t>21100024</t>
  </si>
  <si>
    <t>Account Payable of BBT (Little Star -Ayu Dian)</t>
  </si>
  <si>
    <t>21100025</t>
  </si>
  <si>
    <t>Account Payable of BBT (SH4)</t>
  </si>
  <si>
    <t>21100026</t>
  </si>
  <si>
    <t>Account Payable of BBT (Sanjaya - Niti)</t>
  </si>
  <si>
    <t>21100027</t>
  </si>
  <si>
    <t>Account Payable of BBT (Sweetheart - CIMB)</t>
  </si>
  <si>
    <t>21100028</t>
  </si>
  <si>
    <t>Account Payable of BBT (Weda)</t>
  </si>
  <si>
    <t>21100029</t>
  </si>
  <si>
    <t>Account Payable of JetSki (Bali Boat Tour)</t>
  </si>
  <si>
    <t>Account Payable of Weda (Sweetheart - CIMB)</t>
  </si>
  <si>
    <t>21100032</t>
  </si>
  <si>
    <t>Account Payable of Weda (Little Star - Ayu Dian)</t>
  </si>
  <si>
    <t>21100033</t>
  </si>
  <si>
    <t>Account Payable of Weda (BBT)</t>
  </si>
  <si>
    <t>21100035</t>
  </si>
  <si>
    <t>Account Payable of SH4 (Bali Boat Tour)</t>
  </si>
  <si>
    <t>21100036</t>
  </si>
  <si>
    <t>Account Payable of SH4 (Little Star)</t>
  </si>
  <si>
    <t>21100037</t>
  </si>
  <si>
    <t>Account Payable of SH4 (Sweetheart - CIMB)</t>
  </si>
  <si>
    <t>21100038</t>
  </si>
  <si>
    <t>Account Payable of SH4 (Weda)</t>
  </si>
  <si>
    <t>21100039</t>
  </si>
  <si>
    <t>Account Payable of SH4 (JetSki)</t>
  </si>
  <si>
    <t>21100041</t>
  </si>
  <si>
    <t>Account Payable of SN (Bali Boat Tour)</t>
  </si>
  <si>
    <t>21100042</t>
  </si>
  <si>
    <t>Account Payable of SN (Weda)</t>
  </si>
  <si>
    <t>21100043</t>
  </si>
  <si>
    <t>Account Payable of SN (JetSki)</t>
  </si>
  <si>
    <t>21100044</t>
  </si>
  <si>
    <t>Account Payable of DTB ( Jetski)</t>
  </si>
  <si>
    <t>21100045</t>
  </si>
  <si>
    <t>Account Payable Getyourguide</t>
  </si>
  <si>
    <t>21100046</t>
  </si>
  <si>
    <t>Account Payable of Sweetheart - CIMB (SH4)</t>
  </si>
  <si>
    <t>21100047</t>
  </si>
  <si>
    <t>Account Payable of SN ( Nuada)</t>
  </si>
  <si>
    <t>21100048</t>
  </si>
  <si>
    <t>Account Payable of SH4 ( Sanjaya - Niti )</t>
  </si>
  <si>
    <t>Account Payable of Debil ( Sanjaya - Niti )</t>
  </si>
  <si>
    <t>21100049</t>
  </si>
  <si>
    <t>Account Payable of BBT (Dedean)</t>
  </si>
  <si>
    <t>21100051</t>
  </si>
  <si>
    <t>Account Payable of BBT (Riki J)</t>
  </si>
  <si>
    <t>21100052</t>
  </si>
  <si>
    <t>Account Payable of Dedean (BBT)</t>
  </si>
  <si>
    <t>21100053</t>
  </si>
  <si>
    <t>Account Payable of Riki J (BBT)</t>
  </si>
  <si>
    <t>21100055</t>
  </si>
  <si>
    <t>Account Payable of Weda (SH4)</t>
  </si>
  <si>
    <t>21100056</t>
  </si>
  <si>
    <t>Account Payable of Seven Heaven (Weda)</t>
  </si>
  <si>
    <t>21100057</t>
  </si>
  <si>
    <t>Account Payable of Seven Heaven (Jetski)</t>
  </si>
  <si>
    <t>21100058</t>
  </si>
  <si>
    <t>Account Payable of BBT (Seven Heaven)</t>
  </si>
  <si>
    <t>21100059</t>
  </si>
  <si>
    <t>Account Payable of Weda (Seven Heaven)</t>
  </si>
  <si>
    <t>21100060</t>
  </si>
  <si>
    <t>Account Payable of Riki J (Weda)</t>
  </si>
  <si>
    <t>21100061</t>
  </si>
  <si>
    <t>Account Payable of Riki J (Jetski)</t>
  </si>
  <si>
    <t>21100062</t>
  </si>
  <si>
    <t>Account Payable of Dedean (Weda)</t>
  </si>
  <si>
    <t>21100063</t>
  </si>
  <si>
    <t>Account Payable of Big Little Star (Weda)</t>
  </si>
  <si>
    <t>21100064</t>
  </si>
  <si>
    <t>Account Payable of Jayanadi (BBT)</t>
  </si>
  <si>
    <t>21100065</t>
  </si>
  <si>
    <t>Account Payable of Jayanadi (Jetski)</t>
  </si>
  <si>
    <t>21100066</t>
  </si>
  <si>
    <t>Account Payable of Jayanadi (Weda)</t>
  </si>
  <si>
    <t>21100067</t>
  </si>
  <si>
    <t>Account Payable of Sanjaya (Weda)</t>
  </si>
  <si>
    <t>21100068</t>
  </si>
  <si>
    <t>Account Payable of Sanjaya (Jetski)</t>
  </si>
  <si>
    <t>21100069</t>
  </si>
  <si>
    <t>Account Payable of Small LS (Weda)</t>
  </si>
  <si>
    <t>21100070</t>
  </si>
  <si>
    <t>Account Payable of Small Little (Jetski)</t>
  </si>
  <si>
    <t>21100071</t>
  </si>
  <si>
    <t>Account Payable of Small Little Star ( BBT)</t>
  </si>
  <si>
    <t>21100072</t>
  </si>
  <si>
    <t>Account Payable of Sanjaya ( Seven Heaven)</t>
  </si>
  <si>
    <t>21100073</t>
  </si>
  <si>
    <t>Account Payable of Dedean (Jetski)</t>
  </si>
  <si>
    <t>21100074</t>
  </si>
  <si>
    <t>Account Payable of Sanjaya ( BBT)</t>
  </si>
  <si>
    <t>21100075</t>
  </si>
  <si>
    <t>Account Payable of Sanjaya (Seven Heaven)</t>
  </si>
  <si>
    <t>21100076</t>
  </si>
  <si>
    <t>Account Payable of Weda (DTB)</t>
  </si>
  <si>
    <t>21100077</t>
  </si>
  <si>
    <t>Account Payable of Seven Heaven (Jayanadi)</t>
  </si>
  <si>
    <t>21100078</t>
  </si>
  <si>
    <t>Account Payable of Sanjaya (DTB)</t>
  </si>
  <si>
    <t>Account Payable of Seven Heaven (Sanjaya)</t>
  </si>
  <si>
    <t>21100079</t>
  </si>
  <si>
    <t>Account Payable of Jayanadi (SH4)</t>
  </si>
  <si>
    <t>21100080</t>
  </si>
  <si>
    <t>Account Payable of Sanjaya (SH4)</t>
  </si>
  <si>
    <t>21100081</t>
  </si>
  <si>
    <t>Account Payable of Little Star (Seven Heaven)</t>
  </si>
  <si>
    <t>21100082</t>
  </si>
  <si>
    <t>Account Payable of Little Star (SH4)</t>
  </si>
  <si>
    <t>21100083</t>
  </si>
  <si>
    <t>Account Payable of Riki J (Jayanadi)</t>
  </si>
  <si>
    <t>21100084</t>
  </si>
  <si>
    <t>Account Payable of Dedean ( Jayanadi)</t>
  </si>
  <si>
    <t>21100085</t>
  </si>
  <si>
    <t>Account Payable of DTB ( Debil Luxury)</t>
  </si>
  <si>
    <t>21100086</t>
  </si>
  <si>
    <t>Account Payable of BBT ( Debil Luxury)</t>
  </si>
  <si>
    <t>21100087</t>
  </si>
  <si>
    <t>Account Payable of Dedean (CIMB)</t>
  </si>
  <si>
    <t>Account Payable of Seven Heaven ( Sweetheart Cimb)</t>
  </si>
  <si>
    <t>21100089</t>
  </si>
  <si>
    <t>Account Payable of SN ( Niti- Sanjaya)</t>
  </si>
  <si>
    <t>21100090</t>
  </si>
  <si>
    <t>Account Payable of SN ( Debil Luxury)</t>
  </si>
  <si>
    <t>Account Payable of Debil (BBT Riki-J)</t>
  </si>
  <si>
    <t>21100091</t>
  </si>
  <si>
    <t>Account Payable of Debil (I Made Weda Dharma)</t>
  </si>
  <si>
    <t>21100092</t>
  </si>
  <si>
    <t>Account Payable of Debil (Jayanadi)</t>
  </si>
  <si>
    <t>21100093</t>
  </si>
  <si>
    <t>Don;t Use!! Account Payable of SH4 (Weda)</t>
  </si>
  <si>
    <t>21100094</t>
  </si>
  <si>
    <t>Account Payable of DTB ( Queen Ruizi)</t>
  </si>
  <si>
    <t>21100095</t>
  </si>
  <si>
    <t>Don't Use!! Account Payable of JetSki (CIMB)</t>
  </si>
  <si>
    <t>21100096</t>
  </si>
  <si>
    <t>Account Payable of Weda (Sanjaya)</t>
  </si>
  <si>
    <t>21100097</t>
  </si>
  <si>
    <t>Account Payable of Debil (CIMB)</t>
  </si>
  <si>
    <t>21100098</t>
  </si>
  <si>
    <t>Account Payable of Little Star (CIMB)</t>
  </si>
  <si>
    <t>21100099</t>
  </si>
  <si>
    <t>Account Payable of Jayanadi (Sweetheart - CIMB)</t>
  </si>
  <si>
    <t>21100100</t>
  </si>
  <si>
    <t>Account Payable of Jayanadi (Sanjaya)</t>
  </si>
  <si>
    <t>Account Payable of Debil (Little Star)</t>
  </si>
  <si>
    <t>21100101</t>
  </si>
  <si>
    <t>Account Payable of JetSki (Sanjaya)</t>
  </si>
  <si>
    <t>21100102</t>
  </si>
  <si>
    <t>Account Payable of SN ( Dedean)</t>
  </si>
  <si>
    <t>Account Payable of CIMB (Debil)</t>
  </si>
  <si>
    <t>21100103</t>
  </si>
  <si>
    <t>Account Payable of SN ( little Star)</t>
  </si>
  <si>
    <t>21100104</t>
  </si>
  <si>
    <t>Account Payable of Riki ( Dedean)</t>
  </si>
  <si>
    <t>21100106</t>
  </si>
  <si>
    <t>Account Payable of Dedean ( Riki)</t>
  </si>
  <si>
    <t>21100107</t>
  </si>
  <si>
    <t>Account Payable of Seven Heaven ( Riki J)</t>
  </si>
  <si>
    <t>21100109</t>
  </si>
  <si>
    <t>Account Payable of Jayanadi (Riki J)</t>
  </si>
  <si>
    <t>21100111</t>
  </si>
  <si>
    <t>Account Payable of Queen Ruizi (Weda)</t>
  </si>
  <si>
    <t>21100112</t>
  </si>
  <si>
    <t>Account Payable of Queen Ruizi (Riki J)</t>
  </si>
  <si>
    <t>21100113</t>
  </si>
  <si>
    <t>Account Payable of CIMB (Jetski)</t>
  </si>
  <si>
    <t>21100114</t>
  </si>
  <si>
    <t>Account Payable of Queen Ruizi (CIMB)</t>
  </si>
  <si>
    <t>21100116</t>
  </si>
  <si>
    <t>Account Payable of Queen Ruizi  (DTB)</t>
  </si>
  <si>
    <t>21100117</t>
  </si>
  <si>
    <t>Account Payable of Jayanadi (DTB)</t>
  </si>
  <si>
    <t>21100118</t>
  </si>
  <si>
    <t>21100119</t>
  </si>
  <si>
    <t>Account Payable of Dedean  (DTB)</t>
  </si>
  <si>
    <t>21100120</t>
  </si>
  <si>
    <t>Account Payable of BBT (Queen Ruizi)</t>
  </si>
  <si>
    <t>21100121</t>
  </si>
  <si>
    <t>Account Payable of Dedean (Debil)</t>
  </si>
  <si>
    <t>21100150</t>
  </si>
  <si>
    <t>Account Payable of Jetski (Debil)</t>
  </si>
  <si>
    <t>21100200</t>
  </si>
  <si>
    <t>Account Payable of Jetski ( Dedean)</t>
  </si>
  <si>
    <t>21100201</t>
  </si>
  <si>
    <t>Account Payable of Jetski (SH4)</t>
  </si>
  <si>
    <t>21100211</t>
  </si>
  <si>
    <t>Account Payable of SH4 ( Riki J)</t>
  </si>
  <si>
    <t>21100212</t>
  </si>
  <si>
    <t>Account Payable of Jetski ( Riki J)</t>
  </si>
  <si>
    <t>2110078</t>
  </si>
  <si>
    <t>Account Payable of Weda (Jayanadi)</t>
  </si>
  <si>
    <t>2110079</t>
  </si>
  <si>
    <t>Account Payable of DTB ( Riki J)</t>
  </si>
  <si>
    <t>2110080</t>
  </si>
  <si>
    <t>Account Payable of Seven Heaven (Debil Luxury)</t>
  </si>
  <si>
    <t>2110081</t>
  </si>
  <si>
    <t>Account Payable of DTB ( Dedean)</t>
  </si>
  <si>
    <t>21100810</t>
  </si>
  <si>
    <t>Account Payable of BBT ( HM)</t>
  </si>
  <si>
    <t>2110082</t>
  </si>
  <si>
    <t>Account Payable of Riki J (Sanjaya)</t>
  </si>
  <si>
    <t>2110083</t>
  </si>
  <si>
    <t>Account Payable of Riki J ( SH4)</t>
  </si>
  <si>
    <t>2110084</t>
  </si>
  <si>
    <t>Account Payable of Riki J (Sweetheart)</t>
  </si>
  <si>
    <t>2110085</t>
  </si>
  <si>
    <t>Account Payable of Riki J ( Little Star)</t>
  </si>
  <si>
    <t>2110086</t>
  </si>
  <si>
    <t>Account Payable of Riki J ( Debil Luxury )</t>
  </si>
  <si>
    <t>2110087</t>
  </si>
  <si>
    <t>Account Payable of Debil (Weda)</t>
  </si>
  <si>
    <t>2110088</t>
  </si>
  <si>
    <t>Account Payable of Jetski (Weda)</t>
  </si>
  <si>
    <t>2110089</t>
  </si>
  <si>
    <t>Account Payable of  Riki J ( DTB)</t>
  </si>
  <si>
    <t>2110090</t>
  </si>
  <si>
    <t>Account Payable of SN ( Riki J)</t>
  </si>
  <si>
    <t>2110096</t>
  </si>
  <si>
    <t>Account Payable of Weda (Jetski)</t>
  </si>
  <si>
    <t>2110098</t>
  </si>
  <si>
    <t>Account Payable of Dedean (Sanjaya)</t>
  </si>
  <si>
    <t>2110101</t>
  </si>
  <si>
    <t>Account Payable of Little (Debil)</t>
  </si>
  <si>
    <t>2110102</t>
  </si>
  <si>
    <t>Account Payable of  SN (Queen Ruizi)</t>
  </si>
  <si>
    <t>2110104</t>
  </si>
  <si>
    <t>Account Payable of Jayanadi ( Seven Heaven)</t>
  </si>
  <si>
    <t>2110105</t>
  </si>
  <si>
    <t>Account Payable of Jayanadi ( Dedean)</t>
  </si>
  <si>
    <t>2110106</t>
  </si>
  <si>
    <t>Account Payable of Jayanadi (Little Star)</t>
  </si>
  <si>
    <t>2110108</t>
  </si>
  <si>
    <t>Account Payable of Queen Ruizi (Sanjaya)</t>
  </si>
  <si>
    <t>2110109</t>
  </si>
  <si>
    <t>Don't Use!! Account Payable of BBT (Little Star)</t>
  </si>
  <si>
    <t>211011</t>
  </si>
  <si>
    <t>Account Payable of Ayu Dian ( Almond Milk)</t>
  </si>
  <si>
    <t>2110110</t>
  </si>
  <si>
    <t>2110111</t>
  </si>
  <si>
    <t>Account Payable Dedean ( Queen Ruizi)</t>
  </si>
  <si>
    <t>Account Payable of Sanjaya ( HM)</t>
  </si>
  <si>
    <t>2110112</t>
  </si>
  <si>
    <t>Account Payable of Queen Ruizi (Little Star)</t>
  </si>
  <si>
    <t>2110113</t>
  </si>
  <si>
    <t>Account Payable of Dedean ( Little Star)</t>
  </si>
  <si>
    <t>2110114</t>
  </si>
  <si>
    <t>Account Payable of Queen Ruizi (BBT)</t>
  </si>
  <si>
    <t>2110115</t>
  </si>
  <si>
    <t>Account Payable of Weda (Dedean)</t>
  </si>
  <si>
    <t>2110116</t>
  </si>
  <si>
    <t>Account Payable of Jayanadi (Queen Ruizi)</t>
  </si>
  <si>
    <t>2110117</t>
  </si>
  <si>
    <t>Account Payable of Weda (Queen Ruizi)</t>
  </si>
  <si>
    <t>2110118</t>
  </si>
  <si>
    <t>Account Payable of Queen Ruizi (Jayanadi)</t>
  </si>
  <si>
    <t>Account Payable of DTB ( HM)</t>
  </si>
  <si>
    <t>2110119</t>
  </si>
  <si>
    <t>Account Payable of SH4 (Jayanadi)</t>
  </si>
  <si>
    <t>Account Payable of DTB(  Bahari)</t>
  </si>
  <si>
    <t>2110120</t>
  </si>
  <si>
    <t>Account Payable of Sanjaya (Sweetheart Nyoman)</t>
  </si>
  <si>
    <t>2110121</t>
  </si>
  <si>
    <t>Account Payable of BBT ( Almond Milk)</t>
  </si>
  <si>
    <t>Account Payable of Jetski ( Little Star)</t>
  </si>
  <si>
    <t>Account Payable Klook</t>
  </si>
  <si>
    <t>2110122</t>
  </si>
  <si>
    <t>Account Payable of Jetski ( Jayanadi)</t>
  </si>
  <si>
    <t>Account Payable Weda ( Debil)</t>
  </si>
  <si>
    <t>2110123</t>
  </si>
  <si>
    <t>Account Payable of SH4 (DTB)</t>
  </si>
  <si>
    <t>2110124</t>
  </si>
  <si>
    <t>Loan From David</t>
  </si>
  <si>
    <t>AD</t>
  </si>
  <si>
    <t>2110125</t>
  </si>
  <si>
    <t>Loan From I Wayan Sulandra (Arya)</t>
  </si>
  <si>
    <t>2110126</t>
  </si>
  <si>
    <t>Account Payable of Jayanadi (Almond Milk)</t>
  </si>
  <si>
    <t>2110127</t>
  </si>
  <si>
    <t>Account Payable of Weda ( Riki J)</t>
  </si>
  <si>
    <t>2110129</t>
  </si>
  <si>
    <t>Account Payable of Weda ( Bahari)</t>
  </si>
  <si>
    <t>2110130</t>
  </si>
  <si>
    <t>Account Payable Of Dedean ( HM)</t>
  </si>
  <si>
    <t>Account Payable Of Little Star ( Sanjaya)</t>
  </si>
  <si>
    <t>2110131</t>
  </si>
  <si>
    <t>Account Payable of Almond Milk ( Bahari)</t>
  </si>
  <si>
    <t>Account Payable of Sanjaya ( Dedean)</t>
  </si>
  <si>
    <t>2110132</t>
  </si>
  <si>
    <t>Loan From Seny Subiakto</t>
  </si>
  <si>
    <t>2110133</t>
  </si>
  <si>
    <t>Account Payable of Almond Milk ( HM)</t>
  </si>
  <si>
    <t>21210031</t>
  </si>
  <si>
    <t>Account Payable of Little Star (DTB)</t>
  </si>
  <si>
    <t>21210032</t>
  </si>
  <si>
    <t>Account Payable of Sanjaya ( Almond Milk)</t>
  </si>
  <si>
    <t>Account Payable of DTB (Almond Milk)</t>
  </si>
  <si>
    <t>21210033</t>
  </si>
  <si>
    <t>Account Payable Almond Milk ( Niti- Sanjaya)</t>
  </si>
  <si>
    <t>Account Payable  Klook</t>
  </si>
  <si>
    <t>21210035</t>
  </si>
  <si>
    <t>Account Payable of Almond Milk (Jayanadi)</t>
  </si>
  <si>
    <t>21210036</t>
  </si>
  <si>
    <t>El Dorado Deposit (Arya)</t>
  </si>
  <si>
    <t>21210037</t>
  </si>
  <si>
    <t>El Dorado Tiga Deposit (Galkin Evgenii )</t>
  </si>
  <si>
    <t>25110112</t>
  </si>
  <si>
    <t>25110113</t>
  </si>
  <si>
    <t>Account Payable of CIMB (SH4)</t>
  </si>
  <si>
    <t>25110114</t>
  </si>
  <si>
    <t>Account Payable Jetski (Queen Ruizi)</t>
  </si>
  <si>
    <t>25110118</t>
  </si>
  <si>
    <t>Account Payable of FYB (Bali Boat Tour)</t>
  </si>
  <si>
    <t>25110120</t>
  </si>
  <si>
    <t>Account Payable of Mega (Debil)</t>
  </si>
  <si>
    <t>25110122</t>
  </si>
  <si>
    <t>Account Payable- Triping Corp</t>
  </si>
  <si>
    <t>25110126</t>
  </si>
  <si>
    <t>Account Payable of Queen Ruizi (Debil)</t>
  </si>
  <si>
    <t>25110127</t>
  </si>
  <si>
    <t>Account Payable PayPal</t>
  </si>
  <si>
    <t>25110128</t>
  </si>
  <si>
    <t>Account Payable of SH4 (Queen Ruizi)</t>
  </si>
  <si>
    <t>25110129</t>
  </si>
  <si>
    <t>Account Payable of SH4 (Dedean)</t>
  </si>
  <si>
    <t>25110132</t>
  </si>
  <si>
    <t>Account Payable of Sanjaya (Queen Ruizi)</t>
  </si>
  <si>
    <t>25110133</t>
  </si>
  <si>
    <t>Account Payable of Sanjaya (Jayanadi)</t>
  </si>
  <si>
    <t>25110134</t>
  </si>
  <si>
    <t>Loan Reserve Account</t>
  </si>
  <si>
    <t>25110135</t>
  </si>
  <si>
    <t>Account Payable of Cimb (Weda)</t>
  </si>
  <si>
    <t>25110136</t>
  </si>
  <si>
    <t>Account Payable of Almond Milk (BBT)</t>
  </si>
  <si>
    <t>25110137</t>
  </si>
  <si>
    <t>Account Payable of Dedean (SH4)</t>
  </si>
  <si>
    <t>25110138</t>
  </si>
  <si>
    <t>Account Payable of Almond Milk (Sanjaya)</t>
  </si>
  <si>
    <t>25110139</t>
  </si>
  <si>
    <t>Account Payable of Sanjaya (Almond Milk)</t>
  </si>
  <si>
    <t>25110141</t>
  </si>
  <si>
    <t>Account Payable of Almond Milk (Little Star)</t>
  </si>
  <si>
    <t>25110142</t>
  </si>
  <si>
    <t>Account Payable of Almond Milk (Weda)</t>
  </si>
  <si>
    <t>25110143</t>
  </si>
  <si>
    <t>Account Payable of Almond Milk (QR)</t>
  </si>
  <si>
    <t>25110144</t>
  </si>
  <si>
    <t>Account Payable of Almond Milk (Seven Heaven)</t>
  </si>
  <si>
    <t>25110145</t>
  </si>
  <si>
    <t>Account Payable of Almond Milk (DTB)</t>
  </si>
  <si>
    <t>25110146</t>
  </si>
  <si>
    <t>Account Payable of Sanjaya (Cimb)</t>
  </si>
  <si>
    <t>25110147</t>
  </si>
  <si>
    <t>Account Payable of Queen Ruizi (Dedean)</t>
  </si>
  <si>
    <t>25110148</t>
  </si>
  <si>
    <t>Account Payable of Almond milk (Sanjaya)</t>
  </si>
  <si>
    <t>25110149</t>
  </si>
  <si>
    <t>Account Payable of Riki (Almond Milk)</t>
  </si>
  <si>
    <t>25110150</t>
  </si>
  <si>
    <t>Account Payable of Dedean (Almond Milk)</t>
  </si>
  <si>
    <t>25110151</t>
  </si>
  <si>
    <t>Account Payable of Debil (AM)</t>
  </si>
  <si>
    <t>25110153</t>
  </si>
  <si>
    <t>Account Payable of Jetski (AM)</t>
  </si>
  <si>
    <t>25110154</t>
  </si>
  <si>
    <t>Account Payable of BBT (FYB)</t>
  </si>
  <si>
    <t>25110155</t>
  </si>
  <si>
    <t>Account Payable of Almond Milk (Dedean)</t>
  </si>
  <si>
    <t>25110156</t>
  </si>
  <si>
    <t>Account Payable of Almond Milk (Debil)</t>
  </si>
  <si>
    <t>25110157</t>
  </si>
  <si>
    <t>Account Payable of Sanjaya (Little Star)</t>
  </si>
  <si>
    <t>25110158</t>
  </si>
  <si>
    <t>Account Payable of Sanjaya (BBT - Riki)</t>
  </si>
  <si>
    <t>25110159</t>
  </si>
  <si>
    <t>Account Payable of Little Star (QR)</t>
  </si>
  <si>
    <t>25110160</t>
  </si>
  <si>
    <t>Account Payable of Cimb (BBT)</t>
  </si>
  <si>
    <t>25110161</t>
  </si>
  <si>
    <t>Account Payable of Cimb (Little Star)</t>
  </si>
  <si>
    <t>25110162</t>
  </si>
  <si>
    <t>Account Payable of Cimb (Sanjaya)</t>
  </si>
  <si>
    <t>25110163</t>
  </si>
  <si>
    <t>Account Payable of Cimb (DTB)</t>
  </si>
  <si>
    <t>25110164</t>
  </si>
  <si>
    <t>Account Payable of Cimb (Jetski 9082)</t>
  </si>
  <si>
    <t>25110165</t>
  </si>
  <si>
    <t>Account Payable HM (BBT)</t>
  </si>
  <si>
    <t>25110166</t>
  </si>
  <si>
    <t>Account Payable SH4 (AM)</t>
  </si>
  <si>
    <t>25110167</t>
  </si>
  <si>
    <t>Account Payable Bahari (SH4)</t>
  </si>
  <si>
    <t>25110168</t>
  </si>
  <si>
    <t>Account Payable Bahari (Riki)</t>
  </si>
  <si>
    <t>25110169</t>
  </si>
  <si>
    <t>Account Payable Bahari (HM)</t>
  </si>
  <si>
    <t>25110170</t>
  </si>
  <si>
    <t>Account Payable Bahari (BBT)</t>
  </si>
  <si>
    <t>25110171</t>
  </si>
  <si>
    <t>Account Payable of HM (Riki Boat Charter)</t>
  </si>
  <si>
    <t>25110172</t>
  </si>
  <si>
    <t>Account Payable of HM (Sanjaya)</t>
  </si>
  <si>
    <t>25110174</t>
  </si>
  <si>
    <t>Account Payable  BBT (HM)</t>
  </si>
  <si>
    <t>25110175</t>
  </si>
  <si>
    <t>Account Payable  BBT (Bahari)</t>
  </si>
  <si>
    <t>25110176</t>
  </si>
  <si>
    <t>Account Payable of CIMB (AM)</t>
  </si>
  <si>
    <t>25110177</t>
  </si>
  <si>
    <t>Account Payable of Honey Milk (Weda)</t>
  </si>
  <si>
    <t>25110178</t>
  </si>
  <si>
    <t>Account Payable of Almond Milk (CIMB)</t>
  </si>
  <si>
    <t>25110179</t>
  </si>
  <si>
    <t>Account Payable of Sanjaya (BBT Sh4)</t>
  </si>
  <si>
    <t>25110180</t>
  </si>
  <si>
    <t>Account Payable of HM (SH 4)</t>
  </si>
  <si>
    <t>25110181</t>
  </si>
  <si>
    <t>Account Payable of HM (DTB)</t>
  </si>
  <si>
    <t>25110182</t>
  </si>
  <si>
    <t>Account Payable of Debil (SH4)</t>
  </si>
  <si>
    <t>25110183</t>
  </si>
  <si>
    <t>Account Payable of Debil (BBT)</t>
  </si>
  <si>
    <t>25110184</t>
  </si>
  <si>
    <t>Account Payable of Debil (DTB)</t>
  </si>
  <si>
    <t>25110185</t>
  </si>
  <si>
    <t>Account Payable of Debil (Jetski)</t>
  </si>
  <si>
    <t>25110186</t>
  </si>
  <si>
    <t>Account Payable of Queen Ruizi (Almond Mlik)</t>
  </si>
  <si>
    <t>25110187</t>
  </si>
  <si>
    <t>Account Payable Bahari (DTB)</t>
  </si>
  <si>
    <t>25110188</t>
  </si>
  <si>
    <t>Account Payable of Honey Milk (Bali Boat Tour)</t>
  </si>
  <si>
    <t>Total Payables</t>
  </si>
  <si>
    <t>Plus Non-current Liabilities</t>
  </si>
  <si>
    <t>Total LIABILITIES</t>
  </si>
  <si>
    <t>EQUITY</t>
  </si>
  <si>
    <t>Unallocated Earnings</t>
  </si>
  <si>
    <t>Current Year Unallocated Earnings</t>
  </si>
  <si>
    <t>Current Year Earnings</t>
  </si>
  <si>
    <t>Current Year Allocated Earnings</t>
  </si>
  <si>
    <t>Total Current Year Unallocated Earnings</t>
  </si>
  <si>
    <t>Previous Years Unallocated Earnings</t>
  </si>
  <si>
    <t>Total Unallocated Earnings</t>
  </si>
  <si>
    <t>Retained Earnings</t>
  </si>
  <si>
    <t>31100020</t>
  </si>
  <si>
    <t>Paid Capital - Alex</t>
  </si>
  <si>
    <t>31100021</t>
  </si>
  <si>
    <t>Paid Capital - David</t>
  </si>
  <si>
    <t>31100040</t>
  </si>
  <si>
    <t>Prive (Personal Retrieval)</t>
  </si>
  <si>
    <t>31100050</t>
  </si>
  <si>
    <t>Historical Balance</t>
  </si>
  <si>
    <t>31510010</t>
  </si>
  <si>
    <t>Past Profit &amp; Loss</t>
  </si>
  <si>
    <t>Total Retained Earnings</t>
  </si>
  <si>
    <t>Total EQUITY</t>
  </si>
  <si>
    <t>LIABILITIES + EQUITY</t>
  </si>
  <si>
    <t>BS 2024</t>
  </si>
  <si>
    <t>As of 01/01/2024</t>
  </si>
  <si>
    <t>111200010</t>
  </si>
  <si>
    <t>OCBC Bank Account - Mega</t>
  </si>
  <si>
    <t>Virtual AirBnb Transit Bank Account of BBT - Riki J</t>
  </si>
  <si>
    <t>11120035</t>
  </si>
  <si>
    <t>Paypal - Jayanadi</t>
  </si>
  <si>
    <t>11120036</t>
  </si>
  <si>
    <t>Paypal-Riki J</t>
  </si>
  <si>
    <t>Account Receivable of DTB (Mega)</t>
  </si>
  <si>
    <t>Account Receivable of BBT (Jet Ski)</t>
  </si>
  <si>
    <t>Account Receivable of BBT (Mega)</t>
  </si>
  <si>
    <t>Account Receivable of Weda (Mega)</t>
  </si>
  <si>
    <t>Account Receivable of Mega (Bali Boat Tour)</t>
  </si>
  <si>
    <t>Account Receivable of SN (Mega)</t>
  </si>
  <si>
    <t>Account Receivable of Mega (Weda)</t>
  </si>
  <si>
    <t>Account Receivable of Sanjaya (Mega)</t>
  </si>
  <si>
    <t>Account Receivable of Jetski (Mega)</t>
  </si>
  <si>
    <t>Account Receivable of Weda (Big Little Star)</t>
  </si>
  <si>
    <t>11210071</t>
  </si>
  <si>
    <t>Account Receivable of Small LS (Mega)</t>
  </si>
  <si>
    <t>Account Receivable of Weda (Small Little)</t>
  </si>
  <si>
    <t>11210078</t>
  </si>
  <si>
    <t>Account Receivable of Jetski (SN)</t>
  </si>
  <si>
    <t>Account Receivable of Mega (Sanjaya)</t>
  </si>
  <si>
    <t>Account Receivable of Mega (Sweetheart - CIMB)</t>
  </si>
  <si>
    <t>Account Receivable of Mega (Little Star - Ayu Dian)</t>
  </si>
  <si>
    <t>Account Receivable of CIMB (Mega)</t>
  </si>
  <si>
    <t>Account Receivable of Debil Luxury ( DTB)</t>
  </si>
  <si>
    <t>Account Receivable of Riki J (Mega)</t>
  </si>
  <si>
    <t>Account Receivable of Mega (Jayanadi)</t>
  </si>
  <si>
    <t>Account Receivable of Riki J (Jet Ski)</t>
  </si>
  <si>
    <t>Account Receivable of Mega (DTB)</t>
  </si>
  <si>
    <t>11210191</t>
  </si>
  <si>
    <t>Account Receivable Of Mega (Riki)</t>
  </si>
  <si>
    <t>Account Receivable BBT of PT Fortune Yacht Bali</t>
  </si>
  <si>
    <t>Account Receivable of Mega (Seven Heaven)</t>
  </si>
  <si>
    <t>Account Receivable of Mega to (Debil)</t>
  </si>
  <si>
    <t>Account Receivable of Jayanadi (Mega)</t>
  </si>
  <si>
    <t>21100088</t>
  </si>
  <si>
    <t>Account Payable of BBT (Debil)</t>
  </si>
  <si>
    <t>11120002</t>
  </si>
  <si>
    <t>11120008</t>
  </si>
  <si>
    <t>Outstanding Payments</t>
  </si>
  <si>
    <t>11210300</t>
  </si>
  <si>
    <t>Deposit - Zudi Purwanto Canopy</t>
  </si>
  <si>
    <t>13000030</t>
  </si>
  <si>
    <t>11510030</t>
  </si>
  <si>
    <t>Prepaid Tax Pph 23</t>
  </si>
  <si>
    <t>Odoo Software 21 April 2024 - 20 April 2025</t>
  </si>
  <si>
    <t>WIP - New Boat 1</t>
  </si>
  <si>
    <t>Accumulated Depreciation - Odoo Software 21 April 2024 - 20 April 2025</t>
  </si>
  <si>
    <t>21210010</t>
  </si>
  <si>
    <t>Tax Payable Pph 21</t>
  </si>
  <si>
    <t>21210040</t>
  </si>
  <si>
    <t>Tax Payable 4 (2)</t>
  </si>
  <si>
    <t>21210060</t>
  </si>
  <si>
    <t>Tax Payable Pph 4 (2)</t>
  </si>
  <si>
    <t>21221010</t>
  </si>
  <si>
    <t>VAT Purchase</t>
  </si>
  <si>
    <t>2100079</t>
  </si>
  <si>
    <t>Don't Use !! Account Payable of BBT (Weda)</t>
  </si>
  <si>
    <t>Account Payable of Jetski ( SN)</t>
  </si>
  <si>
    <t>Account Payable of DTB (Mega)</t>
  </si>
  <si>
    <t>Account Payable of BBT (Mega)</t>
  </si>
  <si>
    <t>Account Payable of Weda (Bali Boat Tour)</t>
  </si>
  <si>
    <t>21100034</t>
  </si>
  <si>
    <t>Account Payable of Weda (OCBC)</t>
  </si>
  <si>
    <t>Account Payable of Mega (Bali Boat Tour)</t>
  </si>
  <si>
    <t>Account Payable of Mega (Little Star)</t>
  </si>
  <si>
    <t>Account Payable of Mega (Sweetheart - CIMB)</t>
  </si>
  <si>
    <t>Account Payable of Mega (Weda)</t>
  </si>
  <si>
    <t>Account Payable of Mega (JetSki)</t>
  </si>
  <si>
    <t>Account Payable of SN (Mega)</t>
  </si>
  <si>
    <t>Account Payable of Mega ( Sanjaya - Niti )</t>
  </si>
  <si>
    <t>Account Payable of Weda (Mega)</t>
  </si>
  <si>
    <t>Account Payable of Jayanadi ( Mega)</t>
  </si>
  <si>
    <t>Account Payable of Sanjaya (Mega)</t>
  </si>
  <si>
    <t>Account Payable of Little Star (Mega)</t>
  </si>
  <si>
    <t>Don;t Use!! Account Payable of Mega (Weda)</t>
  </si>
  <si>
    <t>Account Payable of JetSki (CIMB)</t>
  </si>
  <si>
    <t>Account Payable from Alex</t>
  </si>
  <si>
    <t>Account Payable of Jetski (Mega)</t>
  </si>
  <si>
    <t>21100203</t>
  </si>
  <si>
    <t>Account Payable of Weda ( Jetski)</t>
  </si>
  <si>
    <t>Account Payable of Riki J ( Mega)</t>
  </si>
  <si>
    <t>Account Payable of Mega (Jayanadi)</t>
  </si>
  <si>
    <t>Account Payable of CIMB (Mega)</t>
  </si>
  <si>
    <t>25110121</t>
  </si>
  <si>
    <t>Account Payable of BBT (Cimb)</t>
  </si>
  <si>
    <t>25110125</t>
  </si>
  <si>
    <t>Account Payable of Mega (Cimb)</t>
  </si>
  <si>
    <t>PnL 6M 2025</t>
  </si>
  <si>
    <t>From 01/01/2025
to  06/30/2025</t>
  </si>
  <si>
    <t>Gross Profit</t>
  </si>
  <si>
    <t>Operating Income</t>
  </si>
  <si>
    <t>41000010</t>
  </si>
  <si>
    <t>Sales - General</t>
  </si>
  <si>
    <t>41000011</t>
  </si>
  <si>
    <t>Sales - Fruit</t>
  </si>
  <si>
    <t>41000015</t>
  </si>
  <si>
    <t>Sales - Shared Boat Tour</t>
  </si>
  <si>
    <t>41000016</t>
  </si>
  <si>
    <t>Sales - Premium Shared Boat Tour</t>
  </si>
  <si>
    <t>41000020</t>
  </si>
  <si>
    <t>Sales - Private Boat Tour Base</t>
  </si>
  <si>
    <t>41000030</t>
  </si>
  <si>
    <t>Sales - Private Boat Tour - Boat Upgrade</t>
  </si>
  <si>
    <t>41000035</t>
  </si>
  <si>
    <t>Sales - Private Boat Tour - Extra Pax Charge</t>
  </si>
  <si>
    <t>41000036</t>
  </si>
  <si>
    <t>Sales - Private Boat Tour - Extra Divers Charge</t>
  </si>
  <si>
    <t>41000040</t>
  </si>
  <si>
    <t>Sales - Transfer</t>
  </si>
  <si>
    <t>41000045</t>
  </si>
  <si>
    <t>Sales - Lunch</t>
  </si>
  <si>
    <t>41000055</t>
  </si>
  <si>
    <t>Sales - Extra Services</t>
  </si>
  <si>
    <t>41000060</t>
  </si>
  <si>
    <t>Sales - Alcoholic Beverages</t>
  </si>
  <si>
    <t>41000065</t>
  </si>
  <si>
    <t>Sales - Management Fee</t>
  </si>
  <si>
    <t>42000075</t>
  </si>
  <si>
    <t>Commission Income</t>
  </si>
  <si>
    <t>42000080</t>
  </si>
  <si>
    <t>Sales Refund</t>
  </si>
  <si>
    <t>42000091</t>
  </si>
  <si>
    <t>non operating income</t>
  </si>
  <si>
    <t>Total Operating Income</t>
  </si>
  <si>
    <t>Cost of Revenue</t>
  </si>
  <si>
    <t>51000010</t>
  </si>
  <si>
    <t>Cost of Goods Sold - Riki J - Petrol</t>
  </si>
  <si>
    <t>51000012</t>
  </si>
  <si>
    <t>Cost of Goods Sold - Big Sweetheart</t>
  </si>
  <si>
    <t>51000013</t>
  </si>
  <si>
    <t>Cost of Goods Sold - Small Sweetheart</t>
  </si>
  <si>
    <t>51000014</t>
  </si>
  <si>
    <t>Cost of Goods Sold - Sanjaya</t>
  </si>
  <si>
    <t>51000015</t>
  </si>
  <si>
    <t>Cost of Goods Sold - Little Star</t>
  </si>
  <si>
    <t>51000021</t>
  </si>
  <si>
    <t>Cost of Goods Sold - King Fish</t>
  </si>
  <si>
    <t>51000022</t>
  </si>
  <si>
    <t>Cost of Goods Sold - Sea Dragon</t>
  </si>
  <si>
    <t>51000023</t>
  </si>
  <si>
    <t>Cost of Goods Sold - Dhea</t>
  </si>
  <si>
    <t>51000024</t>
  </si>
  <si>
    <t>Cost of Goods Sold - Jayanadi</t>
  </si>
  <si>
    <t>51000027</t>
  </si>
  <si>
    <t>Cost of Goods Sold - Sweetheart 4 - Petrol</t>
  </si>
  <si>
    <t>51000030</t>
  </si>
  <si>
    <t>Cost of Goods Sold - Big Little Star</t>
  </si>
  <si>
    <t>51000031</t>
  </si>
  <si>
    <t>Cost of Goods Sold - Rara</t>
  </si>
  <si>
    <t>51000033</t>
  </si>
  <si>
    <t>Cost of Goods Sold - Extra Service</t>
  </si>
  <si>
    <t>51000034</t>
  </si>
  <si>
    <t>Cost of Goods Sold - My Darling</t>
  </si>
  <si>
    <t>51000035</t>
  </si>
  <si>
    <t>Cost of Goods Sold - Transportation (Arya)</t>
  </si>
  <si>
    <t>51000036</t>
  </si>
  <si>
    <t>Cost of Goods Sold - Transportation (Kadek)</t>
  </si>
  <si>
    <t>51000037</t>
  </si>
  <si>
    <t>Cost of Goods Sold - Transportation (Shuttle Khamara)</t>
  </si>
  <si>
    <t>51000040</t>
  </si>
  <si>
    <t>Cost of Goods Sold - Petrol</t>
  </si>
  <si>
    <t>51000041</t>
  </si>
  <si>
    <t>Cost of Goods Sold - Boat Service</t>
  </si>
  <si>
    <t>51000042</t>
  </si>
  <si>
    <t>Cost of Goods Sold - Boat Operations</t>
  </si>
  <si>
    <t>51000050</t>
  </si>
  <si>
    <t>Cost of Goods Sold - Lunch</t>
  </si>
  <si>
    <t>51000060</t>
  </si>
  <si>
    <t>Cost of Goods Sold - Photographer</t>
  </si>
  <si>
    <t>51000070</t>
  </si>
  <si>
    <t>Cost of Goods Sold - Alcoholic Beverages</t>
  </si>
  <si>
    <t>51000072</t>
  </si>
  <si>
    <t>Cost of Goods Sold - ANC Catamaran</t>
  </si>
  <si>
    <t>51000076</t>
  </si>
  <si>
    <t>Cost of Goods Sold - M13 Morgan</t>
  </si>
  <si>
    <t>51000077</t>
  </si>
  <si>
    <t>Cost of Goods Sold - Lux Yacht AR55</t>
  </si>
  <si>
    <t>51000078</t>
  </si>
  <si>
    <t>Cost of Good Sold - Queen Ruizi 18</t>
  </si>
  <si>
    <t>51000080</t>
  </si>
  <si>
    <t>Cost of Goods Sold - Sanjaya O4</t>
  </si>
  <si>
    <t>51000081</t>
  </si>
  <si>
    <t>Cost of Goods Sold - Yacht RZ50</t>
  </si>
  <si>
    <t>51000082</t>
  </si>
  <si>
    <t>Cost of Good Sold - Lux Yacht O17</t>
  </si>
  <si>
    <t>51000083</t>
  </si>
  <si>
    <t>Cost of Goods Sold - Lux Yacht JA20</t>
  </si>
  <si>
    <t>51000085</t>
  </si>
  <si>
    <t>Cost of Goods Sold - Sanjaya O5</t>
  </si>
  <si>
    <t>51000086</t>
  </si>
  <si>
    <t>Cost of Goods Sold - Diving Operations</t>
  </si>
  <si>
    <t>51000088</t>
  </si>
  <si>
    <t>Cost of Goods Sold - Yacht AM37</t>
  </si>
  <si>
    <t>51000089</t>
  </si>
  <si>
    <t>Cost of Good Sold - Lux Yacht BM 55</t>
  </si>
  <si>
    <t>51000091</t>
  </si>
  <si>
    <t>Cost of Good Sold - Other Goods</t>
  </si>
  <si>
    <t>51000092</t>
  </si>
  <si>
    <t>Cost of Goods Sold - Boat BD99</t>
  </si>
  <si>
    <t>61100010</t>
  </si>
  <si>
    <t>61100011</t>
  </si>
  <si>
    <t>Employee Salary (Tour Guides)</t>
  </si>
  <si>
    <t>61100022</t>
  </si>
  <si>
    <t>Employee Meal and Trip Allowance</t>
  </si>
  <si>
    <t>63110100</t>
  </si>
  <si>
    <t>Tour Expenses</t>
  </si>
  <si>
    <t>63110101</t>
  </si>
  <si>
    <t>Sekoci DTB</t>
  </si>
  <si>
    <t>63110103</t>
  </si>
  <si>
    <t>Guest Supplies</t>
  </si>
  <si>
    <t>63110104</t>
  </si>
  <si>
    <t>Extra-Charcuterie</t>
  </si>
  <si>
    <t>63110133</t>
  </si>
  <si>
    <t>Total Cost of Revenue</t>
  </si>
  <si>
    <t>Total Gross Profit</t>
  </si>
  <si>
    <t>81100010</t>
  </si>
  <si>
    <t>Interest Income</t>
  </si>
  <si>
    <t>Total Other Income</t>
  </si>
  <si>
    <t>Total Income</t>
  </si>
  <si>
    <t>61100020</t>
  </si>
  <si>
    <t>61100021</t>
  </si>
  <si>
    <t>61100030</t>
  </si>
  <si>
    <t>61100040</t>
  </si>
  <si>
    <t>61610131</t>
  </si>
  <si>
    <t>63110080</t>
  </si>
  <si>
    <t>63110081</t>
  </si>
  <si>
    <t>63110120</t>
  </si>
  <si>
    <t>63110140</t>
  </si>
  <si>
    <t>64110020</t>
  </si>
  <si>
    <t>65110020</t>
  </si>
  <si>
    <t>65110030</t>
  </si>
  <si>
    <t>65110050</t>
  </si>
  <si>
    <t>65110070</t>
  </si>
  <si>
    <t>65110080</t>
  </si>
  <si>
    <t>66110011</t>
  </si>
  <si>
    <t>66110020</t>
  </si>
  <si>
    <t>66110030</t>
  </si>
  <si>
    <t>66110050</t>
  </si>
  <si>
    <t>66110070</t>
  </si>
  <si>
    <t>66110080</t>
  </si>
  <si>
    <t>66110090</t>
  </si>
  <si>
    <t>66110100</t>
  </si>
  <si>
    <t>66110110</t>
  </si>
  <si>
    <t>66110120</t>
  </si>
  <si>
    <t>66110130</t>
  </si>
  <si>
    <t>66110131</t>
  </si>
  <si>
    <t>66110132</t>
  </si>
  <si>
    <t>66110133</t>
  </si>
  <si>
    <t>66110134</t>
  </si>
  <si>
    <t>66110136</t>
  </si>
  <si>
    <t>66110141</t>
  </si>
  <si>
    <t>Boat Engineering Service</t>
  </si>
  <si>
    <t>69000000</t>
  </si>
  <si>
    <t>69000003</t>
  </si>
  <si>
    <t>Tools &amp; Equipments</t>
  </si>
  <si>
    <t>69000004</t>
  </si>
  <si>
    <t>Operational Cost</t>
  </si>
  <si>
    <t>99900001</t>
  </si>
  <si>
    <t>99900010</t>
  </si>
  <si>
    <t>99900011</t>
  </si>
  <si>
    <t>99900020</t>
  </si>
  <si>
    <t>99900030</t>
  </si>
  <si>
    <t>99900031</t>
  </si>
  <si>
    <t>PnL 2025</t>
  </si>
  <si>
    <t>Oct 2025</t>
  </si>
  <si>
    <t>Sep 2025</t>
  </si>
  <si>
    <t>Aug 2025</t>
  </si>
  <si>
    <t>Jul 2025</t>
  </si>
  <si>
    <t>Jun 2025</t>
  </si>
  <si>
    <t>May 2025</t>
  </si>
  <si>
    <t>Apr 2025</t>
  </si>
  <si>
    <t>Mar 2025</t>
  </si>
  <si>
    <t>Feb 2025</t>
  </si>
  <si>
    <t>Jan 2025</t>
  </si>
  <si>
    <t>Dec 2024</t>
  </si>
  <si>
    <t>Nov 2024</t>
  </si>
  <si>
    <t>Oct 2024</t>
  </si>
  <si>
    <t>Sep 2024</t>
  </si>
  <si>
    <t>Aug 2024</t>
  </si>
  <si>
    <t>Jul 2024</t>
  </si>
  <si>
    <t>Jun 2024</t>
  </si>
  <si>
    <t>May 2024</t>
  </si>
  <si>
    <t>Apr 2024</t>
  </si>
  <si>
    <t>Mar 2024</t>
  </si>
  <si>
    <t>Feb 2024</t>
  </si>
  <si>
    <t>Jan 2024</t>
  </si>
  <si>
    <t>NET REVENUE</t>
  </si>
  <si>
    <t>% CHANGE</t>
  </si>
  <si>
    <t>Revenue</t>
  </si>
  <si>
    <t>41000050</t>
  </si>
  <si>
    <t>Sales - JetSki Rental</t>
  </si>
  <si>
    <t>41000061</t>
  </si>
  <si>
    <t>Less: Sales - Welcome Drinks</t>
  </si>
  <si>
    <t>42000092</t>
  </si>
  <si>
    <t>Reservation Fee</t>
  </si>
  <si>
    <t>99900002</t>
  </si>
  <si>
    <t>Cash Difference Gain</t>
  </si>
  <si>
    <t>Less Costs of Revenue</t>
  </si>
  <si>
    <t>51000011</t>
  </si>
  <si>
    <t>Cost of Goods Sold - Dedean - Petrol</t>
  </si>
  <si>
    <t>51000016</t>
  </si>
  <si>
    <t>Cost of Goods Sold - Seven Heaven - Petrol</t>
  </si>
  <si>
    <t>51000017</t>
  </si>
  <si>
    <t>Cost of Goods Sold - Seahorse</t>
  </si>
  <si>
    <t>51000018</t>
  </si>
  <si>
    <t>Cost of Goods Sold - Big Blue</t>
  </si>
  <si>
    <t>51000019</t>
  </si>
  <si>
    <t>Cost of Goods Sold - Rising</t>
  </si>
  <si>
    <t>51000020</t>
  </si>
  <si>
    <t>Cost of Goods Sold - Wahoo</t>
  </si>
  <si>
    <t>51000026</t>
  </si>
  <si>
    <t>Cost of Goods Sold - Paradise Catamaran</t>
  </si>
  <si>
    <t>51000032</t>
  </si>
  <si>
    <t>Cost of Goods Sold - Mironia</t>
  </si>
  <si>
    <t>51000038</t>
  </si>
  <si>
    <t>Cost of Goods Sold - Shutle Rent</t>
  </si>
  <si>
    <t>51000039</t>
  </si>
  <si>
    <t>Cost of Goods Sold - Blue Marlin</t>
  </si>
  <si>
    <t>51000045</t>
  </si>
  <si>
    <t>Cost of Goods Sold - Service JetSki</t>
  </si>
  <si>
    <t>51000071</t>
  </si>
  <si>
    <t>Cost Of Goods Sold - Yacht F 13 (Freedom)</t>
  </si>
  <si>
    <t>51000075</t>
  </si>
  <si>
    <t>Cost of Goods Sold - WL14</t>
  </si>
  <si>
    <t>51000079</t>
  </si>
  <si>
    <t>Cost of Goods Sold - Oscar</t>
  </si>
  <si>
    <t>51000087</t>
  </si>
  <si>
    <t>Cost of Goods Sold - Suku</t>
  </si>
  <si>
    <t>51000096</t>
  </si>
  <si>
    <t>Cost of Goods Sold - Boat MW40</t>
  </si>
  <si>
    <t>51000098</t>
  </si>
  <si>
    <t>Cost od Good Sold - BM42</t>
  </si>
  <si>
    <t>51000099</t>
  </si>
  <si>
    <t>Cost of Goods Sold - Massage</t>
  </si>
  <si>
    <t>63110102</t>
  </si>
  <si>
    <t>63110105</t>
  </si>
  <si>
    <t>Extra-Coconut</t>
  </si>
  <si>
    <t>Total Less Costs of Revenue</t>
  </si>
  <si>
    <t>Less Operating Expenses</t>
  </si>
  <si>
    <t>61100100</t>
  </si>
  <si>
    <t>61100110</t>
  </si>
  <si>
    <t>61100120</t>
  </si>
  <si>
    <t>63110060</t>
  </si>
  <si>
    <t>65110021</t>
  </si>
  <si>
    <t>65110090</t>
  </si>
  <si>
    <t>66110033</t>
  </si>
  <si>
    <t>66110140</t>
  </si>
  <si>
    <t>91100010</t>
  </si>
  <si>
    <t>91100030</t>
  </si>
  <si>
    <t>99900050</t>
  </si>
  <si>
    <t>Total Less Operating Expenses</t>
  </si>
  <si>
    <t>Operating Income (or Loss)</t>
  </si>
  <si>
    <t>Plus Other Income</t>
  </si>
  <si>
    <t>81100040</t>
  </si>
  <si>
    <t>99900005</t>
  </si>
  <si>
    <t>Total Plus Other Income</t>
  </si>
  <si>
    <t>Less Other Expenses</t>
  </si>
  <si>
    <t>Total Less Other Expenses</t>
  </si>
  <si>
    <t>PnL 2024</t>
  </si>
  <si>
    <t>Raw Materials</t>
  </si>
  <si>
    <t>PnL 2023</t>
  </si>
  <si>
    <t xml:space="preserve">DAY TRIP BALI </t>
  </si>
  <si>
    <t>P&amp;L 2023</t>
  </si>
  <si>
    <t>Januari -23</t>
  </si>
  <si>
    <t xml:space="preserve">Cash </t>
  </si>
  <si>
    <t>Sales</t>
  </si>
  <si>
    <t xml:space="preserve">Sales Car Arya </t>
  </si>
  <si>
    <t xml:space="preserve">Sales Trekking </t>
  </si>
  <si>
    <t>Sales Riki</t>
  </si>
  <si>
    <t>Sales Dedean</t>
  </si>
  <si>
    <t>Sales Trip Advisor</t>
  </si>
  <si>
    <t xml:space="preserve">Sales Seaven heaven </t>
  </si>
  <si>
    <t>Sales Karang Putih</t>
  </si>
  <si>
    <t xml:space="preserve">Sales Jetski </t>
  </si>
  <si>
    <t>Other Revenue</t>
  </si>
  <si>
    <t xml:space="preserve">Total Income </t>
  </si>
  <si>
    <t xml:space="preserve">Cost of Sales </t>
  </si>
  <si>
    <t>Boat Bali Dolphin</t>
  </si>
  <si>
    <t>Boat Bali Wahoo - I Wayan Sudarsa</t>
  </si>
  <si>
    <t>Boat Big Blue - I Made Budiata</t>
  </si>
  <si>
    <t>Boat Risen - I Wayan Jendra</t>
  </si>
  <si>
    <t>Boat Seahorse - Zhao Yilin</t>
  </si>
  <si>
    <t xml:space="preserve">Boat Seahourse Luxury </t>
  </si>
  <si>
    <t>Boat Dhea</t>
  </si>
  <si>
    <t>Boat Mironia</t>
  </si>
  <si>
    <t>Boat Sunset Cocktail Cruise</t>
  </si>
  <si>
    <t xml:space="preserve">Boat Big Little Star </t>
  </si>
  <si>
    <t xml:space="preserve">Boat Small Little Star </t>
  </si>
  <si>
    <t xml:space="preserve">Boat Jayanadi </t>
  </si>
  <si>
    <t>Boat Sanjaya</t>
  </si>
  <si>
    <t xml:space="preserve">Boat Sea Dragon </t>
  </si>
  <si>
    <t>Nyoman Boat - I Nyoman Sunartha</t>
  </si>
  <si>
    <t xml:space="preserve">Boat Lady Manta </t>
  </si>
  <si>
    <t xml:space="preserve">Petrol Jetski </t>
  </si>
  <si>
    <t xml:space="preserve">Service Jetski </t>
  </si>
  <si>
    <t>Car Arya</t>
  </si>
  <si>
    <t>Car Kadek</t>
  </si>
  <si>
    <t>Entry Ticket and Other Ticket</t>
  </si>
  <si>
    <t>Food and Baverages</t>
  </si>
  <si>
    <t>Fruit</t>
  </si>
  <si>
    <t xml:space="preserve">Beverage </t>
  </si>
  <si>
    <t>Shuttle</t>
  </si>
  <si>
    <t>Sekoci and public boat</t>
  </si>
  <si>
    <t>Yacht - PT Pelayaran Wisata -Annecha</t>
  </si>
  <si>
    <t>Yacht Charter - PT Jet Asia Bali</t>
  </si>
  <si>
    <t>Yacht Sayap Bali</t>
  </si>
  <si>
    <t>Yacht King Fish</t>
  </si>
  <si>
    <t>Yacht King Ruizi</t>
  </si>
  <si>
    <t xml:space="preserve">Paradise Boat </t>
  </si>
  <si>
    <t>Sekoci DTB 2</t>
  </si>
  <si>
    <t>Boat Karang Putih</t>
  </si>
  <si>
    <t>Boat Dedean 3</t>
  </si>
  <si>
    <t>Boat Seven Heaven</t>
  </si>
  <si>
    <t xml:space="preserve">Sekoci Day Trip Bali </t>
  </si>
  <si>
    <t>Salary Boat Crew SH4</t>
  </si>
  <si>
    <t>Salary Boat Crew</t>
  </si>
  <si>
    <t>Tour Guide</t>
  </si>
  <si>
    <t>Trekking Expenses</t>
  </si>
  <si>
    <t>Total Cost of Sales</t>
  </si>
  <si>
    <t>Advertising</t>
  </si>
  <si>
    <t>2c2p fee</t>
  </si>
  <si>
    <t>Bank Fees</t>
  </si>
  <si>
    <t>Bonus</t>
  </si>
  <si>
    <t>Boat Tour and Supplies</t>
  </si>
  <si>
    <t>Cashlez Fee</t>
  </si>
  <si>
    <t>Commision</t>
  </si>
  <si>
    <t>Refund to Guest</t>
  </si>
  <si>
    <t>Consulting &amp; Accounting</t>
  </si>
  <si>
    <t>Ceremony</t>
  </si>
  <si>
    <t>Diving &amp; Snorkling Gear</t>
  </si>
  <si>
    <t>Donation and Contribution ( CSR )</t>
  </si>
  <si>
    <t>Ipay88 Fee</t>
  </si>
  <si>
    <t>Insurance</t>
  </si>
  <si>
    <t>Office Supplies</t>
  </si>
  <si>
    <t>Go Pro and Electronic Supplies</t>
  </si>
  <si>
    <t>Legal expenses</t>
  </si>
  <si>
    <t>Seagrass Office Expenses</t>
  </si>
  <si>
    <t>Pontoon Expenses</t>
  </si>
  <si>
    <t>Jetski Expenses</t>
  </si>
  <si>
    <t>Accounting office expenses</t>
  </si>
  <si>
    <t>Sekoci 8 Metre</t>
  </si>
  <si>
    <t>Mooring Making - Construction Expenses</t>
  </si>
  <si>
    <t>Shirkage , Spoilage and Loss</t>
  </si>
  <si>
    <t>Telephone &amp; Internet</t>
  </si>
  <si>
    <t>Travel Expense</t>
  </si>
  <si>
    <t xml:space="preserve">Monthly Tax </t>
  </si>
  <si>
    <t xml:space="preserve">Annual Tax </t>
  </si>
  <si>
    <t>Tour Supplies</t>
  </si>
  <si>
    <t>Travel - International</t>
  </si>
  <si>
    <t>Travel - National</t>
  </si>
  <si>
    <t xml:space="preserve">Tools and Equipment </t>
  </si>
  <si>
    <t>Employee Meal &amp; Trip Allowance</t>
  </si>
  <si>
    <t>Wages and Salaries</t>
  </si>
  <si>
    <t>Alex Expenses</t>
  </si>
  <si>
    <t>BPJS Kesehatan</t>
  </si>
  <si>
    <t xml:space="preserve">Uniform </t>
  </si>
  <si>
    <t xml:space="preserve">Printing &amp; Stationery </t>
  </si>
  <si>
    <t>Freight And Courier</t>
  </si>
  <si>
    <t>Getyourguide Fee</t>
  </si>
  <si>
    <t>Website</t>
  </si>
  <si>
    <t>Xendit fee</t>
  </si>
  <si>
    <t>Total Operating Expenses</t>
  </si>
  <si>
    <t>Asset Expenses</t>
  </si>
  <si>
    <t>Handphone</t>
  </si>
  <si>
    <t xml:space="preserve">Lady Manta Construction </t>
  </si>
  <si>
    <t>Diving Boat 2</t>
  </si>
  <si>
    <t xml:space="preserve">Jet Ski 3 x </t>
  </si>
  <si>
    <t>Total Asset Expenses</t>
  </si>
  <si>
    <t>TOTAL EXPENSES</t>
  </si>
  <si>
    <t>PROFIT WITH RIKI J AND SH4</t>
  </si>
  <si>
    <t>RIKI J PROFIT</t>
  </si>
  <si>
    <t xml:space="preserve">SWEETHEART 4 PROFIT </t>
  </si>
  <si>
    <t xml:space="preserve">PROFIT WITHOUT RIKI J AND SH4 </t>
  </si>
  <si>
    <t>MTM Sales Growth</t>
  </si>
  <si>
    <t>Profit minus Cash amount</t>
  </si>
  <si>
    <t xml:space="preserve">Cash put back at company as Alex Investment </t>
  </si>
  <si>
    <t xml:space="preserve">cash still in paypal </t>
  </si>
  <si>
    <t xml:space="preserve">Balance Profit </t>
  </si>
  <si>
    <t>Monthly PnL 2024</t>
  </si>
  <si>
    <t>69000001</t>
  </si>
  <si>
    <t>PnL 2024 (Old)</t>
  </si>
  <si>
    <t>MOD - Discount Options</t>
  </si>
  <si>
    <r>
      <rPr>
        <b val="1"/>
        <sz val="11"/>
        <color rgb="ffdadcd7"/>
        <rFont val="Calibri"/>
      </rPr>
      <t xml:space="preserve">MAX DISCOUNT VALUE
</t>
    </r>
    <r>
      <rPr>
        <sz val="11"/>
        <color rgb="ffdadcd7"/>
        <rFont val="Calibri"/>
      </rPr>
      <t>(MOD limits)</t>
    </r>
  </si>
  <si>
    <t>OPTION 2</t>
  </si>
  <si>
    <t>OPTION 3</t>
  </si>
  <si>
    <t>EXTRA HOUR</t>
  </si>
  <si>
    <r>
      <rPr>
        <b val="1"/>
        <sz val="11"/>
        <color rgb="ffdadcd7"/>
        <rFont val="Calibri"/>
      </rPr>
      <t xml:space="preserve">LESS&lt;24H CANCELLATION
</t>
    </r>
    <r>
      <rPr>
        <sz val="11"/>
        <color rgb="ffdadcd7"/>
        <rFont val="Calibri"/>
      </rPr>
      <t>(MOD refund limit)</t>
    </r>
  </si>
  <si>
    <t>Bluuu GT6-17 class:</t>
  </si>
  <si>
    <r>
      <rPr>
        <sz val="10"/>
        <color rgb="ffd9eaed"/>
        <rFont val="Calibri"/>
      </rPr>
      <t>Sweetheart 4</t>
    </r>
  </si>
  <si>
    <t>Up to x2 free trasfer cars</t>
  </si>
  <si>
    <t>Up to x3 comp Prosecco</t>
  </si>
  <si>
    <t>follow web price</t>
  </si>
  <si>
    <r>
      <rPr>
        <sz val="10"/>
        <color rgb="ffd9eaed"/>
        <rFont val="Calibri"/>
      </rPr>
      <t>Riki J</t>
    </r>
  </si>
  <si>
    <r>
      <rPr>
        <sz val="10"/>
        <color rgb="ffd9eaed"/>
        <rFont val="Calibri"/>
      </rPr>
      <t>Sanjaya</t>
    </r>
  </si>
  <si>
    <r>
      <rPr>
        <sz val="10"/>
        <color rgb="ffd9eaed"/>
        <rFont val="Calibri"/>
      </rPr>
      <t>Lady Manta</t>
    </r>
  </si>
  <si>
    <t>Up to x3 free trasfer cars</t>
  </si>
  <si>
    <t>Up to x4 comp Prosecco</t>
  </si>
  <si>
    <r>
      <rPr>
        <sz val="10"/>
        <color rgb="ffd9eaed"/>
        <rFont val="Calibri"/>
      </rPr>
      <t>Jayanadi</t>
    </r>
  </si>
  <si>
    <r>
      <rPr>
        <sz val="10"/>
        <color rgb="ffd9eaed"/>
        <rFont val="Calibri"/>
      </rPr>
      <t>Sea Dragon</t>
    </r>
  </si>
  <si>
    <r>
      <rPr>
        <sz val="10"/>
        <color rgb="ffd9eaed"/>
        <rFont val="Calibri"/>
      </rPr>
      <t>Sanjaya O4</t>
    </r>
  </si>
  <si>
    <r>
      <rPr>
        <sz val="10"/>
        <color rgb="ffd9eaed"/>
        <rFont val="Calibri"/>
      </rPr>
      <t>Sanjaya O5</t>
    </r>
  </si>
  <si>
    <r>
      <rPr>
        <sz val="10"/>
        <color rgb="ffd9eaed"/>
        <rFont val="Calibri"/>
      </rPr>
      <t>Almond Milk</t>
    </r>
  </si>
  <si>
    <r>
      <rPr>
        <sz val="10"/>
        <color rgb="ffd9eaed"/>
        <rFont val="Calibri"/>
      </rPr>
      <t>Honey Milk</t>
    </r>
  </si>
  <si>
    <t>Eldorado E01</t>
  </si>
  <si>
    <t>TBA</t>
  </si>
  <si>
    <t>Eldorado E02</t>
  </si>
  <si>
    <t>Eldorado E03</t>
  </si>
  <si>
    <t>Eldorado E04</t>
  </si>
  <si>
    <t>Eldorado E05</t>
  </si>
  <si>
    <t>Eldorado E06</t>
  </si>
  <si>
    <r>
      <rPr>
        <sz val="10"/>
        <color rgb="ffd9eaed"/>
        <rFont val="Calibri"/>
      </rPr>
      <t>Boat Angels</t>
    </r>
  </si>
  <si>
    <r>
      <rPr>
        <sz val="10"/>
        <color rgb="ffd9eaed"/>
        <rFont val="Calibri"/>
      </rPr>
      <t>Seven Heaven</t>
    </r>
  </si>
  <si>
    <r>
      <rPr>
        <sz val="10"/>
        <color rgb="ffd9eaed"/>
        <rFont val="Calibri"/>
      </rPr>
      <t>Delisted</t>
    </r>
  </si>
  <si>
    <r>
      <rPr>
        <sz val="10"/>
        <color rgb="ffd9eaed"/>
        <rFont val="Calibri"/>
      </rPr>
      <t>Mironia</t>
    </r>
  </si>
  <si>
    <r>
      <rPr>
        <sz val="10"/>
        <color rgb="ffd9eaed"/>
        <rFont val="Calibri"/>
      </rPr>
      <t>Little Star</t>
    </r>
  </si>
  <si>
    <t>One free trasfer car</t>
  </si>
  <si>
    <t>Up to x2 comp Prosecco</t>
  </si>
  <si>
    <r>
      <rPr>
        <sz val="10"/>
        <color rgb="ffd9eaed"/>
        <rFont val="Calibri"/>
      </rPr>
      <t>Rara</t>
    </r>
  </si>
  <si>
    <r>
      <rPr>
        <sz val="10"/>
        <color rgb="ffd9eaed"/>
        <rFont val="Calibri"/>
      </rPr>
      <t>Small Sweetheart</t>
    </r>
  </si>
  <si>
    <r>
      <rPr>
        <sz val="10"/>
        <color rgb="ffd9eaed"/>
        <rFont val="Calibri"/>
      </rPr>
      <t>Dedean</t>
    </r>
  </si>
  <si>
    <t>web price</t>
  </si>
  <si>
    <t>Partner's and charter boats:</t>
  </si>
  <si>
    <r>
      <rPr>
        <sz val="10"/>
        <color rgb="ffd9eaed"/>
        <rFont val="Calibri"/>
      </rPr>
      <t>King Fish</t>
    </r>
  </si>
  <si>
    <r>
      <rPr>
        <sz val="10"/>
        <color rgb="ffd9eaed"/>
        <rFont val="Calibri"/>
      </rPr>
      <t>Big Little Star</t>
    </r>
  </si>
  <si>
    <r>
      <rPr>
        <sz val="10"/>
        <color rgb="ffd9eaed"/>
        <rFont val="Calibri"/>
      </rPr>
      <t>Dhea</t>
    </r>
  </si>
  <si>
    <t>on demand</t>
  </si>
  <si>
    <r>
      <rPr>
        <sz val="10"/>
        <color rgb="ffd9eaed"/>
        <rFont val="Calibri"/>
      </rPr>
      <t>Big Blue</t>
    </r>
  </si>
  <si>
    <r>
      <rPr>
        <sz val="10"/>
        <color rgb="ffd9eaed"/>
        <rFont val="Calibri"/>
      </rPr>
      <t>Seahorse</t>
    </r>
  </si>
  <si>
    <t>No discount</t>
  </si>
  <si>
    <r>
      <rPr>
        <sz val="10"/>
        <color rgb="ffd9eaed"/>
        <rFont val="Calibri"/>
      </rPr>
      <t>Paradise Catamaran 4h</t>
    </r>
  </si>
  <si>
    <r>
      <rPr>
        <sz val="10"/>
        <color rgb="ffd9eaed"/>
        <rFont val="Calibri"/>
      </rPr>
      <t>Paradise Catamaran 8h</t>
    </r>
  </si>
  <si>
    <r>
      <rPr>
        <sz val="10"/>
        <color rgb="ffd9eaed"/>
        <rFont val="Calibri"/>
      </rPr>
      <t>Rising</t>
    </r>
  </si>
  <si>
    <r>
      <rPr>
        <sz val="10"/>
        <color rgb="ffd9eaed"/>
        <rFont val="Calibri"/>
      </rPr>
      <t>Wahoo</t>
    </r>
  </si>
  <si>
    <r>
      <rPr>
        <sz val="10"/>
        <color rgb="ffd9eaed"/>
        <rFont val="Calibri"/>
      </rPr>
      <t>Queen Ruizi 18</t>
    </r>
  </si>
  <si>
    <r>
      <rPr>
        <sz val="10"/>
        <color rgb="ffd9eaed"/>
        <rFont val="Calibri"/>
      </rPr>
      <t>Yacht F-13 meters</t>
    </r>
  </si>
  <si>
    <r>
      <rPr>
        <sz val="10"/>
        <color rgb="ffd9eaed"/>
        <rFont val="Calibri"/>
      </rPr>
      <t>My Darling</t>
    </r>
  </si>
  <si>
    <r>
      <rPr>
        <sz val="10"/>
        <color rgb="ffd9eaed"/>
        <rFont val="Calibri"/>
      </rPr>
      <t>Yacht R42</t>
    </r>
  </si>
  <si>
    <r>
      <rPr>
        <sz val="10"/>
        <color rgb="ffd9eaed"/>
        <rFont val="Calibri"/>
      </rPr>
      <t>Yacht S49</t>
    </r>
  </si>
  <si>
    <r>
      <rPr>
        <sz val="10"/>
        <color rgb="ffd9eaed"/>
        <rFont val="Calibri"/>
      </rPr>
      <t>Yacht Lux O17</t>
    </r>
  </si>
  <si>
    <r>
      <rPr>
        <sz val="10"/>
        <color rgb="ffd9eaed"/>
        <rFont val="Calibri"/>
      </rPr>
      <t>Yacht T13</t>
    </r>
  </si>
  <si>
    <r>
      <rPr>
        <sz val="10"/>
        <color rgb="ffd9eaed"/>
        <rFont val="Calibri"/>
      </rPr>
      <t>Yacht Lux WL 14</t>
    </r>
  </si>
  <si>
    <r>
      <rPr>
        <sz val="10"/>
        <color rgb="ffd9eaed"/>
        <rFont val="Calibri"/>
      </rPr>
      <t>Aneecha Catamaran</t>
    </r>
  </si>
  <si>
    <r>
      <rPr>
        <sz val="10"/>
        <color rgb="ffd9eaed"/>
        <rFont val="Calibri"/>
      </rPr>
      <t>Pula Catamaran (small)</t>
    </r>
  </si>
  <si>
    <r>
      <rPr>
        <sz val="10"/>
        <color rgb="ffd9eaed"/>
        <rFont val="Calibri"/>
      </rPr>
      <t>Queen Ruizi 10</t>
    </r>
  </si>
  <si>
    <r>
      <rPr>
        <sz val="10"/>
        <color rgb="ffd9eaed"/>
        <rFont val="Calibri"/>
      </rPr>
      <t>Queen Ruizi 12</t>
    </r>
  </si>
  <si>
    <r>
      <rPr>
        <sz val="10"/>
        <color rgb="ffd9eaed"/>
        <rFont val="Calibri"/>
      </rPr>
      <t>Jet Asia Yacht</t>
    </r>
  </si>
  <si>
    <r>
      <rPr>
        <sz val="10"/>
        <color rgb="ffd9eaed"/>
        <rFont val="Calibri"/>
      </rPr>
      <t>Lux Yacht AR55</t>
    </r>
  </si>
  <si>
    <r>
      <rPr>
        <sz val="10"/>
        <color rgb="ffd9eaed"/>
        <rFont val="Calibri"/>
      </rPr>
      <t>Yacht AM37</t>
    </r>
  </si>
  <si>
    <t>No refund</t>
  </si>
  <si>
    <r>
      <rPr>
        <sz val="10"/>
        <color rgb="ffd9eaed"/>
        <rFont val="Calibri"/>
      </rPr>
      <t>Boat BD99</t>
    </r>
  </si>
  <si>
    <r>
      <rPr>
        <sz val="10"/>
        <color rgb="ffd9eaed"/>
        <rFont val="Calibri"/>
      </rPr>
      <t>Yacht RZ50</t>
    </r>
  </si>
  <si>
    <r>
      <rPr>
        <sz val="10"/>
        <color rgb="ffd9eaed"/>
        <rFont val="Calibri"/>
      </rPr>
      <t>Premium Yacht AZ50</t>
    </r>
  </si>
  <si>
    <r>
      <rPr>
        <sz val="10"/>
        <color rgb="ffd9eaed"/>
        <rFont val="Calibri"/>
      </rPr>
      <t>Boat MW40</t>
    </r>
  </si>
  <si>
    <r>
      <rPr>
        <sz val="10"/>
        <color rgb="ffd9eaed"/>
        <rFont val="Calibri"/>
      </rPr>
      <t>Boat KR-13</t>
    </r>
  </si>
  <si>
    <r>
      <rPr>
        <b val="1"/>
        <i val="1"/>
        <sz val="10"/>
        <color rgb="ffd9eaed"/>
        <rFont val="Calibri"/>
      </rPr>
      <t>Blue Marlin Class:</t>
    </r>
  </si>
  <si>
    <r>
      <rPr>
        <sz val="10"/>
        <color rgb="ffd9eaed"/>
        <rFont val="Calibri"/>
      </rPr>
      <t>Lux Yacht BM55</t>
    </r>
  </si>
  <si>
    <r>
      <rPr>
        <sz val="10"/>
        <color rgb="ffd9eaed"/>
        <rFont val="Calibri"/>
      </rPr>
      <t>Yacht BM49</t>
    </r>
  </si>
  <si>
    <r>
      <rPr>
        <sz val="10"/>
        <color rgb="ffd9eaed"/>
        <rFont val="Calibri"/>
      </rPr>
      <t>Yacht Lux M13</t>
    </r>
  </si>
  <si>
    <r>
      <rPr>
        <sz val="10"/>
        <color rgb="ffd9eaed"/>
        <rFont val="Calibri"/>
      </rPr>
      <t>Premium Yacht BM42</t>
    </r>
  </si>
  <si>
    <t>MBT Private Tours</t>
  </si>
  <si>
    <t>NETT PRICES FOR MBT</t>
  </si>
  <si>
    <t>SANJAYA O5</t>
  </si>
  <si>
    <t>MY DARLING</t>
  </si>
  <si>
    <t>ALMOND MILK</t>
  </si>
  <si>
    <t>HONEY MILK</t>
  </si>
  <si>
    <t>NETT</t>
  </si>
  <si>
    <t>MBT RETAIL</t>
  </si>
  <si>
    <t>PAX</t>
  </si>
  <si>
    <t>Boat Tour Only</t>
  </si>
  <si>
    <t>Boat + Land Tour</t>
  </si>
  <si>
    <t>BOAT TOUR ONLY</t>
  </si>
  <si>
    <t xml:space="preserve">Honey Milk </t>
  </si>
  <si>
    <t>BOAT + LAND TOUR</t>
  </si>
  <si>
    <t>Nett</t>
  </si>
  <si>
    <t>MBT Retail</t>
  </si>
  <si>
    <t>1-5 Pax</t>
  </si>
  <si>
    <t>6-10 Pax</t>
  </si>
  <si>
    <t>10+ Pax</t>
  </si>
  <si>
    <t>ANC and JA20 Pricing</t>
  </si>
  <si>
    <t>Pax</t>
  </si>
  <si>
    <t>High Season: 1 May - 1 October</t>
  </si>
  <si>
    <t>ANC Catamaran - full NP Tour</t>
  </si>
  <si>
    <t>No Lunch</t>
  </si>
  <si>
    <t>On-Board Standard Lunch</t>
  </si>
  <si>
    <t>On-Board Premium Lunch</t>
  </si>
  <si>
    <t>Low Season: 1 October - 1 May</t>
  </si>
  <si>
    <t>ANC Catamaran - 4h Cruise</t>
  </si>
  <si>
    <t>JA20 - full NP Tour</t>
  </si>
  <si>
    <t>JA20 - 4h Cruise</t>
  </si>
  <si>
    <t>Klook - Land Tour Only</t>
  </si>
  <si>
    <t>Land Tour Only - TOTAL
(Nusa Penida East + West)</t>
  </si>
  <si>
    <t>Cost Price</t>
  </si>
  <si>
    <t>Retail Price</t>
  </si>
  <si>
    <t>Retail Price 
-20% Discount</t>
  </si>
  <si>
    <t>Net payment to DTB</t>
  </si>
  <si>
    <t>Group size:</t>
  </si>
  <si>
    <t>5 pax</t>
  </si>
  <si>
    <t>4 pax</t>
  </si>
  <si>
    <t>3 pax</t>
  </si>
  <si>
    <t>2 pax</t>
  </si>
  <si>
    <t>1 pax</t>
  </si>
  <si>
    <t>Land Tour Only - PER PAX
(Nusa Penida East + West)</t>
  </si>
  <si>
    <t>Restaurants</t>
  </si>
  <si>
    <t>RESTAURANT</t>
  </si>
  <si>
    <t>Contact
Manager</t>
  </si>
  <si>
    <t>Menu</t>
  </si>
  <si>
    <t>Amarta/Greenkubu Penida</t>
  </si>
  <si>
    <t>+6281246848106 (Yeni)</t>
  </si>
  <si>
    <t>BUFFET: SOUPS (BAKSO IKAN / TOM KHA GAI / SOP AYAM BENING) + MAINCOURSE (TEMPE MANIS / AYAM LENGKUAS / SAYUR KALAS / NASI PUTIH / AYAM TERIYAKI / CAP CAY / TAHU BALADO / AYAM LADA HITAM / BIHUN GORENG / NASI PUTIH)
Amarta offers a buffet-style menu that includes Indonesian and Asian as well as vegetarian options for soup, hot dishes, condiments and dessert + DESSERT (BUAH POTONG / FRUIT PLATTER) + FREE FLOW MINERAL WATER</t>
  </si>
  <si>
    <t>La Bianca Lembongan</t>
  </si>
  <si>
    <t>+33684484274 (Fanny)</t>
  </si>
  <si>
    <t>MAINCOURSE (Octopus &amp; Potatoes salad / Peruvian Ceviche / Chicken grill marinated skewers (x2) / Grill Tuna OR - Traditional chicken satay / Mie/Nasi Goreng (Seafood-Chicken-Veg) / Seafood/Chicken/Veg Curry OR - Linguini tomato, basil, olive oil &amp; parmesan / Spaghetti Carbonara) + KID'S MENU (Mini pasta / Chicken nuggets served with french fries AND - Ice Cream Scoop (Vanilla, strawberry &amp; choco) + BEVERAGES (Small Bintang / Choice of any non-alcoholic drink)</t>
  </si>
  <si>
    <t>Khamara Penida</t>
  </si>
  <si>
    <t>+6281246867788 (Agung)</t>
  </si>
  <si>
    <t>MAINCOURSE (Nasi Goreng Ayam (Chicken Fried Rice) / Mie Goreng Ayam (Chicken Fried Noodle) OR - Spaghetti Bolognaise / Spaghetti Carbonara / Margherita Pizza / Marinara Pizza OR - Tuna Poke Bowl / Tempe Bowl / Curry Chicken With Rice OR - Chicken or Beef Burger) + BEVERAGES (Watermelon / Orange Juice , Coca-Cold / Sprite, Cappuccino / Latte, Singaraja Beer, Mineral Water (Free Flow by Pitcher)'</t>
  </si>
  <si>
    <t>La Rossa Penida</t>
  </si>
  <si>
    <t>+6285964311645 (Tiwi)</t>
  </si>
  <si>
    <t>STARTER (CHICKEN TACO, Slice of taco, salad, fried chicken in Spanish flour, spicy mix, avocado OR - CALAMARI TACO, Slice of taco, salad, fried calamari in Spanish flour, spicy mix, avocado) + MAINCOURSE (KOREAN FRIED CHICKEN BURGER, Spicy mix, cilantro, cucumber pickle, French fries OR - AUTENTIC PADTHAI, Vegetarian style Pad Thai, tofu, local peanut and tamarind glaze OR - STIR FRIED SPAGHETTI, Cabbage, carrot, leek, garlic, seafood of the day, soy glazed oyster sauce) + FREE FLOW MINERAL WATER OR ICE TEA</t>
  </si>
  <si>
    <t>Amok Sunset Penida</t>
  </si>
  <si>
    <t>+6281246896842 (Alit Manager)
+6285792444404 (Martha Sales)</t>
  </si>
  <si>
    <t>Warnakali Retaurant Penida</t>
  </si>
  <si>
    <t>+6281246896842 (Alit GM)
+6285124548159 (Rizki Manager)</t>
  </si>
  <si>
    <t>Orca Beach Club Penida</t>
  </si>
  <si>
    <t>+6282342496201 (Rama Adit)</t>
  </si>
  <si>
    <t>Caspla Watersports Club</t>
  </si>
  <si>
    <t>+6287761008194 (Martha)</t>
  </si>
  <si>
    <t>Beach Shack Lembongan</t>
  </si>
  <si>
    <t>+6282112471373 (Tigerlillys)</t>
  </si>
  <si>
    <t>By The Beach Lembongan</t>
  </si>
  <si>
    <t>+6281353210761 (Krisna)</t>
  </si>
  <si>
    <t>Kenya Café Lembongan</t>
  </si>
  <si>
    <t>+6287894644783 (Owner)</t>
  </si>
  <si>
    <t>Old NP.one and Odoo Boat Prices</t>
  </si>
  <si>
    <t>In Odoo</t>
  </si>
  <si>
    <t>At Nusapenida.one</t>
  </si>
  <si>
    <t>Value</t>
  </si>
  <si>
    <t>Value Price Extra</t>
  </si>
  <si>
    <t>Currency</t>
  </si>
  <si>
    <t>IDR</t>
  </si>
  <si>
    <t>Two Boats for Big Groups</t>
  </si>
  <si>
    <t>Speed boat W12</t>
  </si>
  <si>
    <t>Speedboat D-12</t>
  </si>
  <si>
    <t>Speed boat 12.5</t>
  </si>
  <si>
    <t>Sweetheart 5</t>
  </si>
  <si>
    <t>Standard Boat</t>
  </si>
  <si>
    <t>Dedean + Riki J</t>
  </si>
  <si>
    <t>Yacht KF-13,5m</t>
  </si>
  <si>
    <t>Classic Speedboat</t>
  </si>
  <si>
    <t>Paradise Catamaran (3hrs Night Cruise)</t>
  </si>
  <si>
    <t>Aneecha Catamaran (Nusa Dua Cruise)</t>
  </si>
</sst>
</file>

<file path=xl/styles.xml><?xml version="1.0" encoding="utf-8"?>
<styleSheet xmlns="http://schemas.openxmlformats.org/spreadsheetml/2006/main">
  <numFmts count="20">
    <numFmt numFmtId="0" formatCode="General"/>
    <numFmt numFmtId="59" formatCode="&quot; Rp&quot;* #,##0.00&quot; &quot;;&quot;-Rp&quot;* #,##0.00&quot; &quot;;&quot; Rp&quot;* &quot;-&quot;??&quot; &quot;"/>
    <numFmt numFmtId="60" formatCode="&quot; Rp&quot;* #,##0.0&quot; &quot;;&quot;-Rp&quot;* #,##0.0&quot; &quot;;&quot; Rp&quot;* &quot;-&quot;?&quot; &quot;"/>
    <numFmt numFmtId="61" formatCode="&quot; Rp&quot;* #,##0&quot; &quot;;&quot;-Rp&quot;* #,##0&quot; &quot;;&quot; Rp&quot;* &quot;- &quot;"/>
    <numFmt numFmtId="62" formatCode="[$$-409]#,##0.00"/>
    <numFmt numFmtId="63" formatCode="&quot; &quot;* #,##0.00&quot; &quot;;&quot; &quot;* (#,##0.00);&quot; &quot;* &quot;-&quot;??&quot; &quot;"/>
    <numFmt numFmtId="64" formatCode="&quot; &quot;* #,##0&quot; &quot;;&quot; &quot;* (#,##0);&quot; &quot;* &quot;-&quot;??&quot; &quot;"/>
    <numFmt numFmtId="65" formatCode="0.0%"/>
    <numFmt numFmtId="66" formatCode="mmm&quot;-&quot;yy"/>
    <numFmt numFmtId="67" formatCode="[$Rp-421]&quot; &quot;#,##0"/>
    <numFmt numFmtId="68" formatCode="&quot; &quot;* #,##0.000&quot; &quot;;&quot; &quot;* (#,##0.000);&quot; &quot;* &quot;-&quot;??&quot; &quot;"/>
    <numFmt numFmtId="69" formatCode="&quot; &quot;[$$-409]* #,##0.0&quot; &quot;;&quot; &quot;[$$-409]* (#,##0.0);&quot; &quot;[$$-409]* &quot;-&quot;?&quot; &quot;"/>
    <numFmt numFmtId="70" formatCode="[$$-409]#,##0.0"/>
    <numFmt numFmtId="71" formatCode="&quot; &quot;* #,##0.0000&quot; &quot;;&quot; &quot;* (#,##0.0000);&quot; &quot;* &quot;-&quot;??&quot; &quot;"/>
    <numFmt numFmtId="72" formatCode="#,##0&quot; &quot;;(#,##0)"/>
    <numFmt numFmtId="73" formatCode="&quot; &quot;[$Rp-421]* #,##0&quot; &quot;;&quot;-&quot;[$Rp-421]* #,##0&quot; &quot;;&quot; &quot;[$Rp-421]* &quot;- &quot;"/>
    <numFmt numFmtId="74" formatCode="&quot; &quot;[$Rp-421]&quot; &quot;* #,##0&quot; &quot;;&quot; &quot;[$Rp-421]&quot; &quot;* (#,##0);&quot; &quot;[$Rp-421]&quot; &quot;* &quot;- &quot;"/>
    <numFmt numFmtId="75" formatCode="mmmm&quot;-&quot;yy"/>
    <numFmt numFmtId="76" formatCode="&quot; &quot;[$Rp-421]&quot; &quot;#,##0&quot; &quot;;&quot; &quot;[$Rp-421]&quot; '(&quot;#,##0);&quot; &quot;[$Rp-421]&quot; '- &quot;"/>
    <numFmt numFmtId="77" formatCode="[$$-409]#,##0"/>
  </numFmts>
  <fonts count="82">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i val="1"/>
      <sz val="11"/>
      <color indexed="8"/>
      <name val="Amasis MT Pro"/>
    </font>
    <font>
      <b val="1"/>
      <sz val="10"/>
      <color indexed="14"/>
      <name val="Amasis MT Pro"/>
    </font>
    <font>
      <sz val="10"/>
      <color indexed="14"/>
      <name val="Amasis MT Pro"/>
    </font>
    <font>
      <b val="1"/>
      <sz val="11"/>
      <color indexed="14"/>
      <name val="Amasis MT Pro"/>
    </font>
    <font>
      <sz val="11"/>
      <color indexed="14"/>
      <name val="Amasis MT Pro"/>
    </font>
    <font>
      <b val="1"/>
      <sz val="12"/>
      <color indexed="14"/>
      <name val="Amasis MT Pro"/>
    </font>
    <font>
      <i val="1"/>
      <sz val="10"/>
      <color indexed="8"/>
      <name val="Amasis MT Pro"/>
    </font>
    <font>
      <b val="1"/>
      <i val="1"/>
      <sz val="11"/>
      <color indexed="12"/>
      <name val="Amasis MT Pro"/>
    </font>
    <font>
      <sz val="11"/>
      <color indexed="19"/>
      <name val="Amasis MT Pro"/>
    </font>
    <font>
      <b val="1"/>
      <sz val="11"/>
      <color indexed="32"/>
      <name val="Amasis MT Pro"/>
    </font>
    <font>
      <sz val="10"/>
      <color indexed="8"/>
      <name val="Amasis MT Pro"/>
    </font>
    <font>
      <b val="1"/>
      <i val="1"/>
      <sz val="11"/>
      <color indexed="14"/>
      <name val="Amasis MT Pro"/>
    </font>
    <font>
      <sz val="12"/>
      <color indexed="33"/>
      <name val="Segoe UI"/>
    </font>
    <font>
      <sz val="7"/>
      <color indexed="33"/>
      <name val="Segoe UI"/>
    </font>
    <font>
      <b val="1"/>
      <sz val="9"/>
      <color indexed="14"/>
      <name val="Amasis MT Pro"/>
    </font>
    <font>
      <sz val="9"/>
      <color indexed="14"/>
      <name val="Amasis MT Pro"/>
    </font>
    <font>
      <i val="1"/>
      <sz val="9"/>
      <color indexed="14"/>
      <name val="Amasis MT Pro"/>
    </font>
    <font>
      <b val="1"/>
      <i val="1"/>
      <sz val="9"/>
      <color indexed="14"/>
      <name val="Amasis MT Pro"/>
    </font>
    <font>
      <i val="1"/>
      <sz val="11"/>
      <color indexed="14"/>
      <name val="Amasis MT Pro"/>
    </font>
    <font>
      <sz val="11"/>
      <color indexed="8"/>
      <name val="Helvetica Neue"/>
    </font>
    <font>
      <b val="1"/>
      <sz val="11"/>
      <color indexed="39"/>
      <name val="Calibri"/>
    </font>
    <font>
      <b val="1"/>
      <vertAlign val="superscript"/>
      <sz val="11"/>
      <color indexed="14"/>
      <name val="Amasis MT Pro"/>
    </font>
    <font>
      <b val="1"/>
      <sz val="11"/>
      <color indexed="8"/>
      <name val="Amasis MT Pro"/>
    </font>
    <font>
      <b val="1"/>
      <sz val="11"/>
      <color indexed="40"/>
      <name val="Amasis MT Pro"/>
    </font>
    <font>
      <b val="1"/>
      <sz val="11"/>
      <color indexed="42"/>
      <name val="Amasis MT Pro"/>
    </font>
    <font>
      <b val="1"/>
      <sz val="12"/>
      <color indexed="45"/>
      <name val="Amasis MT Pro"/>
    </font>
    <font>
      <sz val="9"/>
      <color indexed="8"/>
      <name val="Amasis MT Pro"/>
    </font>
    <font>
      <b val="1"/>
      <i val="1"/>
      <sz val="10"/>
      <color indexed="14"/>
      <name val="Amasis MT Pro"/>
    </font>
    <font>
      <i val="1"/>
      <sz val="10"/>
      <color indexed="14"/>
      <name val="Amasis MT Pro"/>
    </font>
    <font>
      <b val="1"/>
      <i val="1"/>
      <sz val="11"/>
      <color indexed="19"/>
      <name val="Amasis MT Pro"/>
    </font>
    <font>
      <sz val="11"/>
      <color indexed="8"/>
      <name val="Amasis MT Pro"/>
    </font>
    <font>
      <sz val="11"/>
      <color indexed="51"/>
      <name val="Amasis MT Pro"/>
    </font>
    <font>
      <sz val="6"/>
      <color indexed="53"/>
      <name val="Amasis MT Pro"/>
    </font>
    <font>
      <sz val="11"/>
      <color indexed="8"/>
      <name val="Arial"/>
    </font>
    <font>
      <sz val="11"/>
      <color indexed="16"/>
      <name val="Amasis MT Pro"/>
    </font>
    <font>
      <b val="1"/>
      <i val="1"/>
      <sz val="11"/>
      <color indexed="27"/>
      <name val="Amasis MT Pro"/>
    </font>
    <font>
      <sz val="12"/>
      <color indexed="14"/>
      <name val="Amasis MT Pro"/>
    </font>
    <font>
      <i val="1"/>
      <sz val="12"/>
      <color indexed="14"/>
      <name val="Amasis MT Pro"/>
    </font>
    <font>
      <b val="1"/>
      <sz val="13"/>
      <color indexed="14"/>
      <name val="Amasis MT Pro"/>
    </font>
    <font>
      <b val="1"/>
      <sz val="10"/>
      <color indexed="55"/>
      <name val="Amasis MT Pro"/>
    </font>
    <font>
      <sz val="10"/>
      <color indexed="55"/>
      <name val="Amasis MT Pro"/>
    </font>
    <font>
      <sz val="11"/>
      <color indexed="14"/>
      <name val="Aptos Narrow"/>
    </font>
    <font>
      <b val="1"/>
      <i val="1"/>
      <sz val="11"/>
      <color indexed="32"/>
      <name val="Amasis MT Pro"/>
    </font>
    <font>
      <b val="1"/>
      <sz val="10"/>
      <color indexed="8"/>
      <name val="Amasis MT Pro"/>
    </font>
    <font>
      <sz val="10"/>
      <color indexed="53"/>
      <name val="Amasis MT Pro"/>
    </font>
    <font>
      <sz val="10"/>
      <color rgb="ffd8dadd"/>
      <name val="Amasis MT Pro"/>
    </font>
    <font>
      <b val="1"/>
      <sz val="13"/>
      <color indexed="8"/>
      <name val="Amasis MT Pro"/>
    </font>
    <font>
      <sz val="12"/>
      <color indexed="8"/>
      <name val="Amasis MT Pro"/>
    </font>
    <font>
      <b val="1"/>
      <sz val="12"/>
      <color indexed="8"/>
      <name val="Amasis MT Pro"/>
    </font>
    <font>
      <sz val="12"/>
      <color indexed="8"/>
      <name val="Lato Bold"/>
    </font>
    <font>
      <sz val="14"/>
      <color indexed="8"/>
      <name val="Lato Bold"/>
    </font>
    <font>
      <sz val="13"/>
      <color indexed="8"/>
      <name val="Lato Bold"/>
    </font>
    <font>
      <sz val="12"/>
      <color indexed="8"/>
      <name val="Lato Regular"/>
    </font>
    <font>
      <sz val="10"/>
      <color indexed="32"/>
      <name val="Amasis MT Pro"/>
    </font>
    <font>
      <b val="1"/>
      <sz val="10"/>
      <color indexed="32"/>
      <name val="Amasis MT Pro"/>
    </font>
    <font>
      <b val="1"/>
      <sz val="8"/>
      <color indexed="53"/>
      <name val="Segoe UI"/>
    </font>
    <font>
      <sz val="10"/>
      <color indexed="8"/>
      <name val="Calibri"/>
    </font>
    <font>
      <sz val="18"/>
      <color indexed="8"/>
      <name val="Calibri"/>
    </font>
    <font>
      <sz val="9"/>
      <color indexed="12"/>
      <name val="Calibri"/>
    </font>
    <font>
      <b val="1"/>
      <sz val="14"/>
      <color indexed="29"/>
      <name val="Calibri"/>
    </font>
    <font>
      <b val="1"/>
      <sz val="10"/>
      <color rgb="ff666666"/>
      <name val="Amasis MT Pro"/>
    </font>
    <font>
      <sz val="10"/>
      <color rgb="ff666666"/>
      <name val="Amasis MT Pro"/>
    </font>
    <font>
      <b val="1"/>
      <sz val="11"/>
      <color rgb="ffdadcd7"/>
      <name val="Calibri"/>
    </font>
    <font>
      <sz val="11"/>
      <color rgb="ffdadcd7"/>
      <name val="Calibri"/>
    </font>
    <font>
      <sz val="11"/>
      <color rgb="ffdadcd7"/>
      <name val="Calibri"/>
    </font>
    <font>
      <sz val="10"/>
      <color rgb="ffb7a27c"/>
      <name val="Calibri"/>
    </font>
    <font>
      <b val="1"/>
      <sz val="10"/>
      <color rgb="ffb7a27c"/>
      <name val="Calibri"/>
    </font>
    <font>
      <b val="1"/>
      <i val="1"/>
      <sz val="10"/>
      <color rgb="ffd9eaed"/>
      <name val="Calibri"/>
    </font>
    <font>
      <sz val="10"/>
      <color rgb="ffd9eaed"/>
      <name val="Calibri"/>
    </font>
    <font>
      <sz val="9"/>
      <color rgb="ffd9eaed"/>
      <name val="Calibri"/>
    </font>
    <font>
      <b val="1"/>
      <sz val="10"/>
      <color rgb="ffd9eaed"/>
      <name val="Calibri"/>
    </font>
    <font>
      <b val="1"/>
      <sz val="12"/>
      <color rgb="ffd9eaed"/>
      <name val="Calibri"/>
    </font>
    <font>
      <i val="1"/>
      <sz val="9"/>
      <color indexed="8"/>
      <name val="Mulish"/>
    </font>
    <font>
      <sz val="9"/>
      <color indexed="27"/>
      <name val="Amasis MT Pro"/>
    </font>
    <font>
      <sz val="7"/>
      <color indexed="14"/>
      <name val="Amasis MT Pro"/>
    </font>
    <font>
      <sz val="6"/>
      <color indexed="14"/>
      <name val="Amasis MT Pro"/>
    </font>
  </fonts>
  <fills count="4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16"/>
        <bgColor auto="1"/>
      </patternFill>
    </fill>
    <fill>
      <patternFill patternType="solid">
        <fgColor indexed="24"/>
        <bgColor auto="1"/>
      </patternFill>
    </fill>
    <fill>
      <patternFill patternType="solid">
        <fgColor indexed="25"/>
        <bgColor auto="1"/>
      </patternFill>
    </fill>
    <fill>
      <patternFill patternType="solid">
        <fgColor indexed="31"/>
        <bgColor auto="1"/>
      </patternFill>
    </fill>
    <fill>
      <patternFill patternType="solid">
        <fgColor indexed="14"/>
        <bgColor auto="1"/>
      </patternFill>
    </fill>
    <fill>
      <patternFill patternType="solid">
        <fgColor indexed="35"/>
        <bgColor auto="1"/>
      </patternFill>
    </fill>
    <fill>
      <patternFill patternType="solid">
        <fgColor indexed="36"/>
        <bgColor auto="1"/>
      </patternFill>
    </fill>
    <fill>
      <patternFill patternType="solid">
        <fgColor indexed="37"/>
        <bgColor auto="1"/>
      </patternFill>
    </fill>
    <fill>
      <patternFill patternType="solid">
        <fgColor indexed="38"/>
        <bgColor auto="1"/>
      </patternFill>
    </fill>
    <fill>
      <patternFill patternType="solid">
        <fgColor indexed="41"/>
        <bgColor auto="1"/>
      </patternFill>
    </fill>
    <fill>
      <patternFill patternType="solid">
        <fgColor indexed="43"/>
        <bgColor auto="1"/>
      </patternFill>
    </fill>
    <fill>
      <patternFill patternType="solid">
        <fgColor indexed="44"/>
        <bgColor auto="1"/>
      </patternFill>
    </fill>
    <fill>
      <patternFill patternType="solid">
        <fgColor indexed="46"/>
        <bgColor auto="1"/>
      </patternFill>
    </fill>
    <fill>
      <patternFill patternType="solid">
        <fgColor indexed="47"/>
        <bgColor auto="1"/>
      </patternFill>
    </fill>
    <fill>
      <patternFill patternType="solid">
        <fgColor indexed="48"/>
        <bgColor auto="1"/>
      </patternFill>
    </fill>
    <fill>
      <patternFill patternType="solid">
        <fgColor indexed="49"/>
        <bgColor auto="1"/>
      </patternFill>
    </fill>
    <fill>
      <patternFill patternType="solid">
        <fgColor indexed="50"/>
        <bgColor auto="1"/>
      </patternFill>
    </fill>
    <fill>
      <patternFill patternType="solid">
        <fgColor indexed="52"/>
        <bgColor auto="1"/>
      </patternFill>
    </fill>
    <fill>
      <patternFill patternType="solid">
        <fgColor indexed="54"/>
        <bgColor auto="1"/>
      </patternFill>
    </fill>
    <fill>
      <patternFill patternType="solid">
        <fgColor indexed="56"/>
        <bgColor auto="1"/>
      </patternFill>
    </fill>
    <fill>
      <patternFill patternType="solid">
        <fgColor indexed="57"/>
        <bgColor auto="1"/>
      </patternFill>
    </fill>
    <fill>
      <patternFill patternType="solid">
        <fgColor indexed="58"/>
        <bgColor auto="1"/>
      </patternFill>
    </fill>
    <fill>
      <patternFill patternType="solid">
        <fgColor indexed="59"/>
        <bgColor auto="1"/>
      </patternFill>
    </fill>
    <fill>
      <patternFill patternType="solid">
        <fgColor indexed="60"/>
        <bgColor auto="1"/>
      </patternFill>
    </fill>
    <fill>
      <patternFill patternType="solid">
        <fgColor indexed="61"/>
        <bgColor auto="1"/>
      </patternFill>
    </fill>
    <fill>
      <patternFill patternType="solid">
        <fgColor indexed="62"/>
        <bgColor auto="1"/>
      </patternFill>
    </fill>
    <fill>
      <patternFill patternType="solid">
        <fgColor indexed="63"/>
        <bgColor auto="1"/>
      </patternFill>
    </fill>
    <fill>
      <patternFill patternType="solid">
        <fgColor indexed="27"/>
        <bgColor auto="1"/>
      </patternFill>
    </fill>
    <fill>
      <patternFill patternType="solid">
        <fgColor rgb="ff533357"/>
        <bgColor auto="1"/>
      </patternFill>
    </fill>
    <fill>
      <patternFill patternType="solid">
        <fgColor rgb="fff9fafb"/>
        <bgColor auto="1"/>
      </patternFill>
    </fill>
    <fill>
      <patternFill patternType="solid">
        <fgColor rgb="ff8eaadb"/>
        <bgColor auto="1"/>
      </patternFill>
    </fill>
    <fill>
      <patternFill patternType="solid">
        <fgColor rgb="ffffff00"/>
        <bgColor auto="1"/>
      </patternFill>
    </fill>
    <fill>
      <patternFill patternType="solid">
        <fgColor rgb="ffbdd6ee"/>
        <bgColor auto="1"/>
      </patternFill>
    </fill>
    <fill>
      <patternFill patternType="solid">
        <fgColor rgb="ff9cc2e5"/>
        <bgColor auto="1"/>
      </patternFill>
    </fill>
    <fill>
      <patternFill patternType="solid">
        <fgColor rgb="ffff99ff"/>
        <bgColor auto="1"/>
      </patternFill>
    </fill>
    <fill>
      <patternFill patternType="solid">
        <fgColor rgb="ff0f213d"/>
        <bgColor auto="1"/>
      </patternFill>
    </fill>
    <fill>
      <patternFill patternType="solid">
        <fgColor rgb="ff242424"/>
        <bgColor auto="1"/>
      </patternFill>
    </fill>
  </fills>
  <borders count="375">
    <border>
      <left/>
      <right/>
      <top/>
      <bottom/>
      <diagonal/>
    </border>
    <border>
      <left style="thin">
        <color indexed="13"/>
      </left>
      <right/>
      <top style="thin">
        <color indexed="13"/>
      </top>
      <bottom/>
      <diagonal/>
    </border>
    <border>
      <left/>
      <right/>
      <top style="thin">
        <color indexed="13"/>
      </top>
      <bottom style="thick">
        <color indexed="8"/>
      </bottom>
      <diagonal/>
    </border>
    <border>
      <left/>
      <right/>
      <top style="thin">
        <color indexed="13"/>
      </top>
      <bottom/>
      <diagonal/>
    </border>
    <border>
      <left/>
      <right style="thin">
        <color indexed="13"/>
      </right>
      <top style="thin">
        <color indexed="13"/>
      </top>
      <bottom/>
      <diagonal/>
    </border>
    <border>
      <left style="thin">
        <color indexed="13"/>
      </left>
      <right style="thick">
        <color indexed="8"/>
      </right>
      <top/>
      <bottom/>
      <diagonal/>
    </border>
    <border>
      <left style="thick">
        <color indexed="8"/>
      </left>
      <right style="thin">
        <color indexed="16"/>
      </right>
      <top style="thick">
        <color indexed="8"/>
      </top>
      <bottom style="thin">
        <color indexed="14"/>
      </bottom>
      <diagonal/>
    </border>
    <border>
      <left style="thin">
        <color indexed="16"/>
      </left>
      <right style="thin">
        <color indexed="16"/>
      </right>
      <top style="thick">
        <color indexed="8"/>
      </top>
      <bottom style="thin">
        <color indexed="14"/>
      </bottom>
      <diagonal/>
    </border>
    <border>
      <left style="thin">
        <color indexed="16"/>
      </left>
      <right style="thick">
        <color indexed="8"/>
      </right>
      <top style="thick">
        <color indexed="8"/>
      </top>
      <bottom style="thin">
        <color indexed="14"/>
      </bottom>
      <diagonal/>
    </border>
    <border>
      <left style="thick">
        <color indexed="8"/>
      </left>
      <right/>
      <top/>
      <bottom/>
      <diagonal/>
    </border>
    <border>
      <left/>
      <right/>
      <top/>
      <bottom/>
      <diagonal/>
    </border>
    <border>
      <left/>
      <right style="thin">
        <color indexed="13"/>
      </right>
      <top/>
      <bottom/>
      <diagonal/>
    </border>
    <border>
      <left style="thick">
        <color indexed="8"/>
      </left>
      <right style="thin">
        <color indexed="16"/>
      </right>
      <top style="thin">
        <color indexed="14"/>
      </top>
      <bottom style="thin">
        <color indexed="16"/>
      </bottom>
      <diagonal/>
    </border>
    <border>
      <left style="thin">
        <color indexed="16"/>
      </left>
      <right style="thin">
        <color indexed="16"/>
      </right>
      <top style="thin">
        <color indexed="14"/>
      </top>
      <bottom style="thin">
        <color indexed="16"/>
      </bottom>
      <diagonal/>
    </border>
    <border>
      <left style="thin">
        <color indexed="16"/>
      </left>
      <right style="thick">
        <color indexed="8"/>
      </right>
      <top style="thin">
        <color indexed="14"/>
      </top>
      <bottom style="thin">
        <color indexed="16"/>
      </bottom>
      <diagonal/>
    </border>
    <border>
      <left style="thick">
        <color indexed="8"/>
      </left>
      <right style="thin">
        <color indexed="16"/>
      </right>
      <top style="thin">
        <color indexed="16"/>
      </top>
      <bottom style="thin">
        <color indexed="16"/>
      </bottom>
      <diagonal/>
    </border>
    <border>
      <left style="thin">
        <color indexed="16"/>
      </left>
      <right style="thin">
        <color indexed="16"/>
      </right>
      <top style="thin">
        <color indexed="16"/>
      </top>
      <bottom style="thin">
        <color indexed="16"/>
      </bottom>
      <diagonal/>
    </border>
    <border>
      <left style="thin">
        <color indexed="16"/>
      </left>
      <right style="thick">
        <color indexed="8"/>
      </right>
      <top style="thin">
        <color indexed="16"/>
      </top>
      <bottom style="thin">
        <color indexed="16"/>
      </bottom>
      <diagonal/>
    </border>
    <border>
      <left style="thick">
        <color indexed="8"/>
      </left>
      <right style="thin">
        <color indexed="16"/>
      </right>
      <top style="thin">
        <color indexed="16"/>
      </top>
      <bottom style="thick">
        <color indexed="8"/>
      </bottom>
      <diagonal/>
    </border>
    <border>
      <left style="thin">
        <color indexed="16"/>
      </left>
      <right style="thin">
        <color indexed="16"/>
      </right>
      <top style="thin">
        <color indexed="16"/>
      </top>
      <bottom style="thick">
        <color indexed="8"/>
      </bottom>
      <diagonal/>
    </border>
    <border>
      <left style="thin">
        <color indexed="16"/>
      </left>
      <right style="thick">
        <color indexed="8"/>
      </right>
      <top style="thin">
        <color indexed="16"/>
      </top>
      <bottom style="thick">
        <color indexed="8"/>
      </bottom>
      <diagonal/>
    </border>
    <border>
      <left style="thin">
        <color indexed="13"/>
      </left>
      <right/>
      <top/>
      <bottom/>
      <diagonal/>
    </border>
    <border>
      <left/>
      <right/>
      <top style="thick">
        <color indexed="8"/>
      </top>
      <bottom style="thick">
        <color indexed="8"/>
      </bottom>
      <diagonal/>
    </border>
    <border>
      <left/>
      <right/>
      <top/>
      <bottom style="thick">
        <color indexed="8"/>
      </bottom>
      <diagonal/>
    </border>
    <border>
      <left style="thick">
        <color indexed="8"/>
      </left>
      <right style="thin">
        <color indexed="16"/>
      </right>
      <top style="thick">
        <color indexed="8"/>
      </top>
      <bottom style="thin">
        <color indexed="16"/>
      </bottom>
      <diagonal/>
    </border>
    <border>
      <left style="thin">
        <color indexed="16"/>
      </left>
      <right style="thin">
        <color indexed="16"/>
      </right>
      <top style="thick">
        <color indexed="8"/>
      </top>
      <bottom style="thin">
        <color indexed="16"/>
      </bottom>
      <diagonal/>
    </border>
    <border>
      <left style="thin">
        <color indexed="16"/>
      </left>
      <right style="thick">
        <color indexed="8"/>
      </right>
      <top style="thick">
        <color indexed="8"/>
      </top>
      <bottom style="thin">
        <color indexed="16"/>
      </bottom>
      <diagonal/>
    </border>
    <border>
      <left style="thick">
        <color indexed="8"/>
      </left>
      <right style="thin">
        <color indexed="16"/>
      </right>
      <top style="thin">
        <color indexed="16"/>
      </top>
      <bottom style="thin">
        <color indexed="19"/>
      </bottom>
      <diagonal/>
    </border>
    <border>
      <left style="thin">
        <color indexed="16"/>
      </left>
      <right style="thin">
        <color indexed="16"/>
      </right>
      <top style="thin">
        <color indexed="16"/>
      </top>
      <bottom style="thin">
        <color indexed="19"/>
      </bottom>
      <diagonal/>
    </border>
    <border>
      <left style="thin">
        <color indexed="16"/>
      </left>
      <right style="thick">
        <color indexed="8"/>
      </right>
      <top style="thin">
        <color indexed="16"/>
      </top>
      <bottom style="thin">
        <color indexed="19"/>
      </bottom>
      <diagonal/>
    </border>
    <border>
      <left style="thick">
        <color indexed="8"/>
      </left>
      <right/>
      <top style="thin">
        <color indexed="19"/>
      </top>
      <bottom style="thick">
        <color indexed="8"/>
      </bottom>
      <diagonal/>
    </border>
    <border>
      <left/>
      <right style="thin">
        <color indexed="16"/>
      </right>
      <top style="thin">
        <color indexed="19"/>
      </top>
      <bottom style="thick">
        <color indexed="8"/>
      </bottom>
      <diagonal/>
    </border>
    <border>
      <left style="thin">
        <color indexed="16"/>
      </left>
      <right style="thin">
        <color indexed="16"/>
      </right>
      <top style="thin">
        <color indexed="19"/>
      </top>
      <bottom style="thick">
        <color indexed="8"/>
      </bottom>
      <diagonal/>
    </border>
    <border>
      <left style="thin">
        <color indexed="16"/>
      </left>
      <right style="thick">
        <color indexed="8"/>
      </right>
      <top style="thin">
        <color indexed="19"/>
      </top>
      <bottom style="thick">
        <color indexed="8"/>
      </bottom>
      <diagonal/>
    </border>
    <border>
      <left style="thick">
        <color indexed="8"/>
      </left>
      <right style="thin">
        <color indexed="16"/>
      </right>
      <top style="thick">
        <color indexed="8"/>
      </top>
      <bottom style="thin">
        <color indexed="19"/>
      </bottom>
      <diagonal/>
    </border>
    <border>
      <left style="thin">
        <color indexed="16"/>
      </left>
      <right style="thick">
        <color indexed="8"/>
      </right>
      <top style="thick">
        <color indexed="8"/>
      </top>
      <bottom style="thin">
        <color indexed="19"/>
      </bottom>
      <diagonal/>
    </border>
    <border>
      <left style="thick">
        <color indexed="8"/>
      </left>
      <right style="thick">
        <color indexed="8"/>
      </right>
      <top style="thick">
        <color indexed="8"/>
      </top>
      <bottom style="thin">
        <color indexed="19"/>
      </bottom>
      <diagonal/>
    </border>
    <border>
      <left style="thick">
        <color indexed="8"/>
      </left>
      <right style="thick">
        <color indexed="8"/>
      </right>
      <top/>
      <bottom/>
      <diagonal/>
    </border>
    <border>
      <left/>
      <right style="thick">
        <color indexed="8"/>
      </right>
      <top/>
      <bottom/>
      <diagonal/>
    </border>
    <border>
      <left style="thick">
        <color indexed="8"/>
      </left>
      <right style="thin">
        <color indexed="16"/>
      </right>
      <top style="thin">
        <color indexed="19"/>
      </top>
      <bottom style="thin">
        <color indexed="19"/>
      </bottom>
      <diagonal/>
    </border>
    <border>
      <left style="thin">
        <color indexed="16"/>
      </left>
      <right style="thick">
        <color indexed="8"/>
      </right>
      <top style="thin">
        <color indexed="19"/>
      </top>
      <bottom style="thin">
        <color indexed="19"/>
      </bottom>
      <diagonal/>
    </border>
    <border>
      <left style="thick">
        <color indexed="8"/>
      </left>
      <right style="thick">
        <color indexed="8"/>
      </right>
      <top style="thin">
        <color indexed="19"/>
      </top>
      <bottom style="thin">
        <color indexed="19"/>
      </bottom>
      <diagonal/>
    </border>
    <border>
      <left style="thick">
        <color indexed="8"/>
      </left>
      <right style="thin">
        <color indexed="16"/>
      </right>
      <top style="thin">
        <color indexed="19"/>
      </top>
      <bottom style="thick">
        <color indexed="8"/>
      </bottom>
      <diagonal/>
    </border>
    <border>
      <left style="thick">
        <color indexed="8"/>
      </left>
      <right style="thick">
        <color indexed="8"/>
      </right>
      <top style="thin">
        <color indexed="19"/>
      </top>
      <bottom style="thick">
        <color indexed="8"/>
      </bottom>
      <diagonal/>
    </border>
    <border>
      <left/>
      <right/>
      <top style="thick">
        <color indexed="8"/>
      </top>
      <bottom/>
      <diagonal/>
    </border>
    <border>
      <left/>
      <right/>
      <top style="thick">
        <color indexed="8"/>
      </top>
      <bottom style="medium">
        <color indexed="8"/>
      </bottom>
      <diagonal/>
    </border>
    <border>
      <left/>
      <right/>
      <top style="thin">
        <color indexed="19"/>
      </top>
      <bottom/>
      <diagonal/>
    </border>
    <border>
      <left style="thick">
        <color indexed="8"/>
      </left>
      <right style="medium">
        <color indexed="8"/>
      </right>
      <top/>
      <bottom/>
      <diagonal/>
    </border>
    <border>
      <left style="medium">
        <color indexed="8"/>
      </left>
      <right style="thin">
        <color indexed="16"/>
      </right>
      <top style="medium">
        <color indexed="8"/>
      </top>
      <bottom style="thin">
        <color indexed="16"/>
      </bottom>
      <diagonal/>
    </border>
    <border>
      <left style="thin">
        <color indexed="16"/>
      </left>
      <right style="medium">
        <color indexed="8"/>
      </right>
      <top style="medium">
        <color indexed="8"/>
      </top>
      <bottom style="thin">
        <color indexed="16"/>
      </bottom>
      <diagonal/>
    </border>
    <border>
      <left style="medium">
        <color indexed="8"/>
      </left>
      <right/>
      <top/>
      <bottom/>
      <diagonal/>
    </border>
    <border>
      <left style="medium">
        <color indexed="8"/>
      </left>
      <right style="thin">
        <color indexed="16"/>
      </right>
      <top style="thin">
        <color indexed="16"/>
      </top>
      <bottom style="thin">
        <color indexed="16"/>
      </bottom>
      <diagonal/>
    </border>
    <border>
      <left style="thin">
        <color indexed="16"/>
      </left>
      <right style="medium">
        <color indexed="8"/>
      </right>
      <top style="thin">
        <color indexed="16"/>
      </top>
      <bottom style="thin">
        <color indexed="16"/>
      </bottom>
      <diagonal/>
    </border>
    <border>
      <left style="medium">
        <color indexed="8"/>
      </left>
      <right style="thin">
        <color indexed="16"/>
      </right>
      <top style="thin">
        <color indexed="16"/>
      </top>
      <bottom style="medium">
        <color indexed="8"/>
      </bottom>
      <diagonal/>
    </border>
    <border>
      <left style="thin">
        <color indexed="16"/>
      </left>
      <right style="medium">
        <color indexed="8"/>
      </right>
      <top style="thin">
        <color indexed="16"/>
      </top>
      <bottom style="medium">
        <color indexed="8"/>
      </bottom>
      <diagonal/>
    </border>
    <border>
      <left/>
      <right/>
      <top style="medium">
        <color indexed="8"/>
      </top>
      <bottom style="thick">
        <color indexed="8"/>
      </bottom>
      <diagonal/>
    </border>
    <border>
      <left style="thick">
        <color indexed="8"/>
      </left>
      <right/>
      <top style="thick">
        <color indexed="8"/>
      </top>
      <bottom style="thin">
        <color indexed="16"/>
      </bottom>
      <diagonal/>
    </border>
    <border>
      <left/>
      <right/>
      <top style="thick">
        <color indexed="8"/>
      </top>
      <bottom style="thin">
        <color indexed="16"/>
      </bottom>
      <diagonal/>
    </border>
    <border>
      <left/>
      <right style="thick">
        <color indexed="8"/>
      </right>
      <top style="thick">
        <color indexed="8"/>
      </top>
      <bottom style="thin">
        <color indexed="16"/>
      </bottom>
      <diagonal/>
    </border>
    <border>
      <left style="thick">
        <color indexed="8"/>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16"/>
      </right>
      <top/>
      <bottom/>
      <diagonal/>
    </border>
    <border>
      <left/>
      <right/>
      <top/>
      <bottom style="medium">
        <color indexed="34"/>
      </bottom>
      <diagonal/>
    </border>
    <border>
      <left/>
      <right style="medium">
        <color indexed="34"/>
      </right>
      <top/>
      <bottom style="medium">
        <color indexed="34"/>
      </bottom>
      <diagonal/>
    </border>
    <border>
      <left style="medium">
        <color indexed="34"/>
      </left>
      <right/>
      <top/>
      <bottom/>
      <diagonal/>
    </border>
    <border>
      <left style="medium">
        <color indexed="34"/>
      </left>
      <right style="medium">
        <color indexed="34"/>
      </right>
      <top/>
      <bottom/>
      <diagonal/>
    </border>
    <border>
      <left/>
      <right style="thin">
        <color indexed="13"/>
      </right>
      <top/>
      <bottom style="medium">
        <color indexed="34"/>
      </bottom>
      <diagonal/>
    </border>
    <border>
      <left/>
      <right style="medium">
        <color indexed="34"/>
      </right>
      <top style="medium">
        <color indexed="34"/>
      </top>
      <bottom style="medium">
        <color indexed="34"/>
      </bottom>
      <diagonal/>
    </border>
    <border>
      <left style="medium">
        <color indexed="34"/>
      </left>
      <right/>
      <top style="medium">
        <color indexed="34"/>
      </top>
      <bottom style="medium">
        <color indexed="34"/>
      </bottom>
      <diagonal/>
    </border>
    <border>
      <left/>
      <right style="medium">
        <color indexed="34"/>
      </right>
      <top/>
      <bottom/>
      <diagonal/>
    </border>
    <border>
      <left style="medium">
        <color indexed="34"/>
      </left>
      <right style="thin">
        <color indexed="13"/>
      </right>
      <top style="medium">
        <color indexed="34"/>
      </top>
      <bottom style="medium">
        <color indexed="34"/>
      </bottom>
      <diagonal/>
    </border>
    <border>
      <left/>
      <right/>
      <top style="medium">
        <color indexed="34"/>
      </top>
      <bottom/>
      <diagonal/>
    </border>
    <border>
      <left/>
      <right style="thin">
        <color indexed="13"/>
      </right>
      <top style="medium">
        <color indexed="34"/>
      </top>
      <bottom/>
      <diagonal/>
    </border>
    <border>
      <left/>
      <right style="medium">
        <color indexed="34"/>
      </right>
      <top style="medium">
        <color indexed="34"/>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ck">
        <color indexed="8"/>
      </left>
      <right style="thin">
        <color indexed="16"/>
      </right>
      <top style="thin">
        <color indexed="16"/>
      </top>
      <bottom style="thin">
        <color indexed="14"/>
      </bottom>
      <diagonal/>
    </border>
    <border>
      <left style="thin">
        <color indexed="16"/>
      </left>
      <right style="thin">
        <color indexed="16"/>
      </right>
      <top style="thin">
        <color indexed="16"/>
      </top>
      <bottom style="thin">
        <color indexed="14"/>
      </bottom>
      <diagonal/>
    </border>
    <border>
      <left style="thin">
        <color indexed="16"/>
      </left>
      <right style="thick">
        <color indexed="8"/>
      </right>
      <top style="thin">
        <color indexed="16"/>
      </top>
      <bottom style="thin">
        <color indexed="14"/>
      </bottom>
      <diagonal/>
    </border>
    <border>
      <left/>
      <right style="thin">
        <color indexed="13"/>
      </right>
      <top style="thin">
        <color indexed="13"/>
      </top>
      <bottom style="thick">
        <color indexed="8"/>
      </bottom>
      <diagonal/>
    </border>
    <border>
      <left style="thick">
        <color indexed="8"/>
      </left>
      <right/>
      <top style="thick">
        <color indexed="8"/>
      </top>
      <bottom/>
      <diagonal/>
    </border>
    <border>
      <left/>
      <right style="thin">
        <color indexed="16"/>
      </right>
      <top style="thick">
        <color indexed="8"/>
      </top>
      <bottom/>
      <diagonal/>
    </border>
    <border>
      <left style="thin">
        <color indexed="16"/>
      </left>
      <right style="thin">
        <color indexed="16"/>
      </right>
      <top style="thick">
        <color indexed="8"/>
      </top>
      <bottom/>
      <diagonal/>
    </border>
    <border>
      <left style="thin">
        <color indexed="16"/>
      </left>
      <right style="thick">
        <color indexed="8"/>
      </right>
      <top style="thick">
        <color indexed="8"/>
      </top>
      <bottom/>
      <diagonal/>
    </border>
    <border>
      <left style="thick">
        <color indexed="8"/>
      </left>
      <right/>
      <top/>
      <bottom style="thin">
        <color indexed="12"/>
      </bottom>
      <diagonal/>
    </border>
    <border>
      <left/>
      <right/>
      <top/>
      <bottom style="thin">
        <color indexed="12"/>
      </bottom>
      <diagonal/>
    </border>
    <border>
      <left/>
      <right style="thin">
        <color indexed="16"/>
      </right>
      <top/>
      <bottom style="thin">
        <color indexed="12"/>
      </bottom>
      <diagonal/>
    </border>
    <border>
      <left style="thin">
        <color indexed="16"/>
      </left>
      <right style="thin">
        <color indexed="16"/>
      </right>
      <top/>
      <bottom style="thin">
        <color indexed="12"/>
      </bottom>
      <diagonal/>
    </border>
    <border>
      <left style="thin">
        <color indexed="16"/>
      </left>
      <right style="thick">
        <color indexed="8"/>
      </right>
      <top/>
      <bottom style="thin">
        <color indexed="12"/>
      </bottom>
      <diagonal/>
    </border>
    <border>
      <left style="thick">
        <color indexed="8"/>
      </left>
      <right/>
      <top style="thin">
        <color indexed="12"/>
      </top>
      <bottom style="thin">
        <color indexed="16"/>
      </bottom>
      <diagonal/>
    </border>
    <border>
      <left/>
      <right/>
      <top style="thin">
        <color indexed="12"/>
      </top>
      <bottom style="thin">
        <color indexed="16"/>
      </bottom>
      <diagonal/>
    </border>
    <border>
      <left/>
      <right style="thin">
        <color indexed="16"/>
      </right>
      <top style="thin">
        <color indexed="12"/>
      </top>
      <bottom style="thin">
        <color indexed="16"/>
      </bottom>
      <diagonal/>
    </border>
    <border>
      <left style="thin">
        <color indexed="16"/>
      </left>
      <right style="thin">
        <color indexed="16"/>
      </right>
      <top style="thin">
        <color indexed="12"/>
      </top>
      <bottom style="thin">
        <color indexed="16"/>
      </bottom>
      <diagonal/>
    </border>
    <border>
      <left style="thin">
        <color indexed="16"/>
      </left>
      <right style="thick">
        <color indexed="8"/>
      </right>
      <top style="thin">
        <color indexed="12"/>
      </top>
      <bottom style="thin">
        <color indexed="16"/>
      </bottom>
      <diagonal/>
    </border>
    <border>
      <left style="thick">
        <color indexed="8"/>
      </left>
      <right/>
      <top style="thin">
        <color indexed="16"/>
      </top>
      <bottom style="thin">
        <color indexed="16"/>
      </bottom>
      <diagonal/>
    </border>
    <border>
      <left/>
      <right/>
      <top style="thin">
        <color indexed="16"/>
      </top>
      <bottom style="thin">
        <color indexed="16"/>
      </bottom>
      <diagonal/>
    </border>
    <border>
      <left/>
      <right style="thin">
        <color indexed="16"/>
      </right>
      <top style="thin">
        <color indexed="16"/>
      </top>
      <bottom style="thin">
        <color indexed="16"/>
      </bottom>
      <diagonal/>
    </border>
    <border>
      <left style="thick">
        <color indexed="8"/>
      </left>
      <right/>
      <top style="thin">
        <color indexed="16"/>
      </top>
      <bottom style="mediumDashed">
        <color indexed="19"/>
      </bottom>
      <diagonal/>
    </border>
    <border>
      <left/>
      <right/>
      <top style="thin">
        <color indexed="16"/>
      </top>
      <bottom style="mediumDashed">
        <color indexed="19"/>
      </bottom>
      <diagonal/>
    </border>
    <border>
      <left/>
      <right style="thin">
        <color indexed="16"/>
      </right>
      <top style="thin">
        <color indexed="16"/>
      </top>
      <bottom style="mediumDashed">
        <color indexed="19"/>
      </bottom>
      <diagonal/>
    </border>
    <border>
      <left style="thin">
        <color indexed="16"/>
      </left>
      <right style="thin">
        <color indexed="16"/>
      </right>
      <top style="thin">
        <color indexed="16"/>
      </top>
      <bottom style="mediumDashed">
        <color indexed="19"/>
      </bottom>
      <diagonal/>
    </border>
    <border>
      <left style="thin">
        <color indexed="16"/>
      </left>
      <right style="thick">
        <color indexed="8"/>
      </right>
      <top style="thin">
        <color indexed="16"/>
      </top>
      <bottom style="mediumDashed">
        <color indexed="19"/>
      </bottom>
      <diagonal/>
    </border>
    <border>
      <left style="thick">
        <color indexed="8"/>
      </left>
      <right/>
      <top style="mediumDashed">
        <color indexed="19"/>
      </top>
      <bottom style="thin">
        <color indexed="16"/>
      </bottom>
      <diagonal/>
    </border>
    <border>
      <left/>
      <right/>
      <top style="mediumDashed">
        <color indexed="19"/>
      </top>
      <bottom style="thin">
        <color indexed="16"/>
      </bottom>
      <diagonal/>
    </border>
    <border>
      <left/>
      <right style="thin">
        <color indexed="16"/>
      </right>
      <top style="mediumDashed">
        <color indexed="19"/>
      </top>
      <bottom style="thin">
        <color indexed="16"/>
      </bottom>
      <diagonal/>
    </border>
    <border>
      <left style="thin">
        <color indexed="16"/>
      </left>
      <right style="thin">
        <color indexed="16"/>
      </right>
      <top style="mediumDashed">
        <color indexed="19"/>
      </top>
      <bottom style="thin">
        <color indexed="16"/>
      </bottom>
      <diagonal/>
    </border>
    <border>
      <left style="thin">
        <color indexed="16"/>
      </left>
      <right style="thick">
        <color indexed="8"/>
      </right>
      <top style="mediumDashed">
        <color indexed="19"/>
      </top>
      <bottom style="thin">
        <color indexed="16"/>
      </bottom>
      <diagonal/>
    </border>
    <border>
      <left style="thick">
        <color indexed="8"/>
      </left>
      <right/>
      <top style="thin">
        <color indexed="16"/>
      </top>
      <bottom/>
      <diagonal/>
    </border>
    <border>
      <left style="thick">
        <color indexed="8"/>
      </left>
      <right/>
      <top/>
      <bottom style="thin">
        <color indexed="16"/>
      </bottom>
      <diagonal/>
    </border>
    <border>
      <left style="thin">
        <color indexed="16"/>
      </left>
      <right style="thin">
        <color indexed="16"/>
      </right>
      <top style="thin">
        <color indexed="16"/>
      </top>
      <bottom style="medium">
        <color indexed="12"/>
      </bottom>
      <diagonal/>
    </border>
    <border>
      <left style="thin">
        <color indexed="16"/>
      </left>
      <right style="thin">
        <color indexed="16"/>
      </right>
      <top style="medium">
        <color indexed="12"/>
      </top>
      <bottom style="thin">
        <color indexed="16"/>
      </bottom>
      <diagonal/>
    </border>
    <border>
      <left style="thick">
        <color indexed="8"/>
      </left>
      <right/>
      <top style="thin">
        <color indexed="16"/>
      </top>
      <bottom style="thick">
        <color indexed="8"/>
      </bottom>
      <diagonal/>
    </border>
    <border>
      <left/>
      <right/>
      <top style="thin">
        <color indexed="16"/>
      </top>
      <bottom style="thick">
        <color indexed="8"/>
      </bottom>
      <diagonal/>
    </border>
    <border>
      <left/>
      <right style="thin">
        <color indexed="16"/>
      </right>
      <top style="thin">
        <color indexed="16"/>
      </top>
      <bottom style="thick">
        <color indexed="8"/>
      </bottom>
      <diagonal/>
    </border>
    <border>
      <left/>
      <right style="thin">
        <color indexed="13"/>
      </right>
      <top style="thick">
        <color indexed="8"/>
      </top>
      <bottom/>
      <diagonal/>
    </border>
    <border>
      <left/>
      <right style="thick">
        <color indexed="8"/>
      </right>
      <top style="thick">
        <color indexed="8"/>
      </top>
      <bottom/>
      <diagonal/>
    </border>
    <border>
      <left/>
      <right/>
      <top/>
      <bottom style="thin">
        <color indexed="14"/>
      </bottom>
      <diagonal/>
    </border>
    <border>
      <left/>
      <right/>
      <top style="thin">
        <color indexed="14"/>
      </top>
      <bottom style="thin">
        <color indexed="14"/>
      </bottom>
      <diagonal/>
    </border>
    <border>
      <left style="thick">
        <color indexed="8"/>
      </left>
      <right/>
      <top/>
      <bottom style="thick">
        <color indexed="8"/>
      </bottom>
      <diagonal/>
    </border>
    <border>
      <left/>
      <right/>
      <top style="thin">
        <color indexed="14"/>
      </top>
      <bottom style="thick">
        <color indexed="8"/>
      </bottom>
      <diagonal/>
    </border>
    <border>
      <left/>
      <right style="thick">
        <color indexed="8"/>
      </right>
      <top/>
      <bottom style="thick">
        <color indexed="8"/>
      </bottom>
      <diagonal/>
    </border>
    <border>
      <left/>
      <right/>
      <top style="thin">
        <color indexed="14"/>
      </top>
      <bottom/>
      <diagonal/>
    </border>
    <border>
      <left style="thin">
        <color indexed="13"/>
      </left>
      <right style="medium">
        <color indexed="8"/>
      </right>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thin">
        <color indexed="31"/>
      </bottom>
      <diagonal/>
    </border>
    <border>
      <left/>
      <right/>
      <top/>
      <bottom style="thin">
        <color indexed="31"/>
      </bottom>
      <diagonal/>
    </border>
    <border>
      <left/>
      <right style="medium">
        <color indexed="8"/>
      </right>
      <top/>
      <bottom/>
      <diagonal/>
    </border>
    <border>
      <left style="medium">
        <color indexed="8"/>
      </left>
      <right/>
      <top style="thin">
        <color indexed="31"/>
      </top>
      <bottom/>
      <diagonal/>
    </border>
    <border>
      <left/>
      <right/>
      <top style="thin">
        <color indexed="31"/>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16"/>
      </left>
      <right/>
      <top style="thin">
        <color indexed="16"/>
      </top>
      <bottom style="thin">
        <color indexed="16"/>
      </bottom>
      <diagonal/>
    </border>
    <border>
      <left style="thick">
        <color indexed="8"/>
      </left>
      <right style="thin">
        <color indexed="16"/>
      </right>
      <top style="thin">
        <color indexed="16"/>
      </top>
      <bottom style="medium">
        <color indexed="14"/>
      </bottom>
      <diagonal/>
    </border>
    <border>
      <left style="thin">
        <color indexed="16"/>
      </left>
      <right style="thin">
        <color indexed="16"/>
      </right>
      <top style="thin">
        <color indexed="16"/>
      </top>
      <bottom style="medium">
        <color indexed="14"/>
      </bottom>
      <diagonal/>
    </border>
    <border>
      <left style="thick">
        <color indexed="8"/>
      </left>
      <right style="thin">
        <color indexed="16"/>
      </right>
      <top style="medium">
        <color indexed="14"/>
      </top>
      <bottom style="thin">
        <color indexed="16"/>
      </bottom>
      <diagonal/>
    </border>
    <border>
      <left style="thin">
        <color indexed="16"/>
      </left>
      <right style="thin">
        <color indexed="16"/>
      </right>
      <top style="medium">
        <color indexed="14"/>
      </top>
      <bottom style="thin">
        <color indexed="16"/>
      </bottom>
      <diagonal/>
    </border>
    <border>
      <left/>
      <right style="thin">
        <color indexed="13"/>
      </right>
      <top/>
      <bottom style="thick">
        <color indexed="8"/>
      </bottom>
      <diagonal/>
    </border>
    <border>
      <left style="thin">
        <color indexed="16"/>
      </left>
      <right style="thick">
        <color indexed="8"/>
      </right>
      <top style="thin">
        <color indexed="16"/>
      </top>
      <bottom style="medium">
        <color indexed="14"/>
      </bottom>
      <diagonal/>
    </border>
    <border>
      <left style="thick">
        <color indexed="8"/>
      </left>
      <right style="thin">
        <color indexed="16"/>
      </right>
      <top style="medium">
        <color indexed="14"/>
      </top>
      <bottom style="medium">
        <color indexed="14"/>
      </bottom>
      <diagonal/>
    </border>
    <border>
      <left style="thin">
        <color indexed="16"/>
      </left>
      <right style="thin">
        <color indexed="16"/>
      </right>
      <top style="medium">
        <color indexed="14"/>
      </top>
      <bottom style="medium">
        <color indexed="14"/>
      </bottom>
      <diagonal/>
    </border>
    <border>
      <left style="thin">
        <color indexed="16"/>
      </left>
      <right style="thick">
        <color indexed="8"/>
      </right>
      <top style="medium">
        <color indexed="14"/>
      </top>
      <bottom style="medium">
        <color indexed="14"/>
      </bottom>
      <diagonal/>
    </border>
    <border>
      <left/>
      <right/>
      <top style="medium">
        <color indexed="14"/>
      </top>
      <bottom/>
      <diagonal/>
    </border>
    <border>
      <left/>
      <right style="thin">
        <color indexed="13"/>
      </right>
      <top style="medium">
        <color indexed="14"/>
      </top>
      <bottom/>
      <diagonal/>
    </border>
    <border>
      <left style="thin">
        <color indexed="16"/>
      </left>
      <right style="thin">
        <color indexed="16"/>
      </right>
      <top style="thin">
        <color indexed="14"/>
      </top>
      <bottom style="thin">
        <color indexed="14"/>
      </bottom>
      <diagonal/>
    </border>
    <border>
      <left style="thin">
        <color indexed="13"/>
      </left>
      <right style="thick">
        <color indexed="8"/>
      </right>
      <top/>
      <bottom style="thin">
        <color indexed="13"/>
      </bottom>
      <diagonal/>
    </border>
    <border>
      <left style="thick">
        <color indexed="8"/>
      </left>
      <right/>
      <top/>
      <bottom style="thin">
        <color indexed="13"/>
      </bottom>
      <diagonal/>
    </border>
    <border>
      <left style="thick">
        <color indexed="8"/>
      </left>
      <right style="thin">
        <color indexed="13"/>
      </right>
      <top/>
      <bottom/>
      <diagonal/>
    </border>
    <border>
      <left style="thick">
        <color indexed="8"/>
      </left>
      <right style="thin">
        <color indexed="13"/>
      </right>
      <top/>
      <bottom style="thin">
        <color indexed="13"/>
      </bottom>
      <diagonal/>
    </border>
    <border>
      <left/>
      <right/>
      <top/>
      <bottom style="thick">
        <color indexed="16"/>
      </bottom>
      <diagonal/>
    </border>
    <border>
      <left/>
      <right style="thick">
        <color indexed="16"/>
      </right>
      <top/>
      <bottom/>
      <diagonal/>
    </border>
    <border>
      <left style="thick">
        <color indexed="16"/>
      </left>
      <right style="thick">
        <color indexed="16"/>
      </right>
      <top style="thick">
        <color indexed="16"/>
      </top>
      <bottom style="thin">
        <color indexed="16"/>
      </bottom>
      <diagonal/>
    </border>
    <border>
      <left style="thick">
        <color indexed="16"/>
      </left>
      <right/>
      <top/>
      <bottom/>
      <diagonal/>
    </border>
    <border>
      <left style="thick">
        <color indexed="16"/>
      </left>
      <right style="thick">
        <color indexed="16"/>
      </right>
      <top style="thin">
        <color indexed="16"/>
      </top>
      <bottom style="thin">
        <color indexed="16"/>
      </bottom>
      <diagonal/>
    </border>
    <border>
      <left style="thick">
        <color indexed="16"/>
      </left>
      <right style="thick">
        <color indexed="16"/>
      </right>
      <top style="thin">
        <color indexed="16"/>
      </top>
      <bottom style="thick">
        <color indexed="16"/>
      </bottom>
      <diagonal/>
    </border>
    <border>
      <left/>
      <right/>
      <top style="thick">
        <color indexed="16"/>
      </top>
      <bottom style="thick">
        <color indexed="16"/>
      </bottom>
      <diagonal/>
    </border>
    <border>
      <left/>
      <right/>
      <top style="thick">
        <color indexed="16"/>
      </top>
      <bottom/>
      <diagonal/>
    </border>
    <border>
      <left/>
      <right style="thick">
        <color indexed="16"/>
      </right>
      <top/>
      <bottom style="thin">
        <color indexed="13"/>
      </bottom>
      <diagonal/>
    </border>
    <border>
      <left style="thick">
        <color indexed="16"/>
      </left>
      <right/>
      <top/>
      <bottom style="thin">
        <color indexed="13"/>
      </bottom>
      <diagonal/>
    </border>
    <border>
      <left/>
      <right/>
      <top style="thin">
        <color indexed="16"/>
      </top>
      <bottom/>
      <diagonal/>
    </border>
    <border>
      <left/>
      <right style="thin">
        <color indexed="13"/>
      </right>
      <top style="thick">
        <color indexed="8"/>
      </top>
      <bottom style="thick">
        <color indexed="8"/>
      </bottom>
      <diagonal/>
    </border>
    <border>
      <left style="thin">
        <color indexed="16"/>
      </left>
      <right style="thick">
        <color indexed="8"/>
      </right>
      <top style="thin">
        <color indexed="14"/>
      </top>
      <bottom style="thin">
        <color indexed="14"/>
      </bottom>
      <diagonal/>
    </border>
    <border>
      <left style="thin">
        <color indexed="16"/>
      </left>
      <right/>
      <top style="thin">
        <color indexed="16"/>
      </top>
      <bottom/>
      <diagonal/>
    </border>
    <border>
      <left/>
      <right style="thin">
        <color indexed="16"/>
      </right>
      <top style="thin">
        <color indexed="16"/>
      </top>
      <bottom/>
      <diagonal/>
    </border>
    <border>
      <left style="thin">
        <color indexed="16"/>
      </left>
      <right/>
      <top/>
      <bottom/>
      <diagonal/>
    </border>
    <border>
      <left/>
      <right style="thin">
        <color indexed="16"/>
      </right>
      <top/>
      <bottom/>
      <diagonal/>
    </border>
    <border>
      <left style="thin">
        <color indexed="16"/>
      </left>
      <right/>
      <top/>
      <bottom style="thin">
        <color indexed="16"/>
      </bottom>
      <diagonal/>
    </border>
    <border>
      <left/>
      <right/>
      <top/>
      <bottom style="thin">
        <color indexed="16"/>
      </bottom>
      <diagonal/>
    </border>
    <border>
      <left/>
      <right style="thin">
        <color indexed="16"/>
      </right>
      <top/>
      <bottom style="thin">
        <color indexed="16"/>
      </bottom>
      <diagonal/>
    </border>
    <border>
      <left style="thin">
        <color indexed="16"/>
      </left>
      <right style="thin">
        <color indexed="16"/>
      </right>
      <top style="thin">
        <color indexed="16"/>
      </top>
      <bottom style="medium">
        <color indexed="16"/>
      </bottom>
      <diagonal/>
    </border>
    <border>
      <left style="thin">
        <color indexed="16"/>
      </left>
      <right style="thin">
        <color indexed="16"/>
      </right>
      <top style="medium">
        <color indexed="16"/>
      </top>
      <bottom style="thin">
        <color indexed="16"/>
      </bottom>
      <diagonal/>
    </border>
    <border>
      <left/>
      <right/>
      <top style="thin">
        <color indexed="13"/>
      </top>
      <bottom style="medium">
        <color indexed="8"/>
      </bottom>
      <diagonal/>
    </border>
    <border>
      <left style="medium">
        <color indexed="8"/>
      </left>
      <right style="thin">
        <color indexed="19"/>
      </right>
      <top style="medium">
        <color indexed="8"/>
      </top>
      <bottom/>
      <diagonal/>
    </border>
    <border>
      <left style="thin">
        <color indexed="19"/>
      </left>
      <right style="thin">
        <color indexed="19"/>
      </right>
      <top style="medium">
        <color indexed="8"/>
      </top>
      <bottom/>
      <diagonal/>
    </border>
    <border>
      <left style="thin">
        <color indexed="19"/>
      </left>
      <right style="medium">
        <color indexed="8"/>
      </right>
      <top style="medium">
        <color indexed="8"/>
      </top>
      <bottom/>
      <diagonal/>
    </border>
    <border>
      <left style="medium">
        <color indexed="8"/>
      </left>
      <right style="thin">
        <color indexed="13"/>
      </right>
      <top/>
      <bottom/>
      <diagonal/>
    </border>
    <border>
      <left style="medium">
        <color indexed="8"/>
      </left>
      <right style="thin">
        <color indexed="19"/>
      </right>
      <top/>
      <bottom style="thin">
        <color indexed="14"/>
      </bottom>
      <diagonal/>
    </border>
    <border>
      <left style="thin">
        <color indexed="19"/>
      </left>
      <right style="thin">
        <color indexed="19"/>
      </right>
      <top/>
      <bottom style="thin">
        <color indexed="14"/>
      </bottom>
      <diagonal/>
    </border>
    <border>
      <left style="thin">
        <color indexed="19"/>
      </left>
      <right style="medium">
        <color indexed="8"/>
      </right>
      <top/>
      <bottom style="thin">
        <color indexed="14"/>
      </bottom>
      <diagonal/>
    </border>
    <border>
      <left style="medium">
        <color indexed="8"/>
      </left>
      <right style="thin">
        <color indexed="19"/>
      </right>
      <top style="thin">
        <color indexed="14"/>
      </top>
      <bottom style="thin">
        <color indexed="19"/>
      </bottom>
      <diagonal/>
    </border>
    <border>
      <left style="thin">
        <color indexed="19"/>
      </left>
      <right style="thin">
        <color indexed="19"/>
      </right>
      <top style="thin">
        <color indexed="14"/>
      </top>
      <bottom style="thin">
        <color indexed="19"/>
      </bottom>
      <diagonal/>
    </border>
    <border>
      <left style="thin">
        <color indexed="19"/>
      </left>
      <right style="medium">
        <color indexed="8"/>
      </right>
      <top style="thin">
        <color indexed="14"/>
      </top>
      <bottom style="thin">
        <color indexed="19"/>
      </bottom>
      <diagonal/>
    </border>
    <border>
      <left style="medium">
        <color indexed="8"/>
      </left>
      <right style="thin">
        <color indexed="19"/>
      </right>
      <top style="thin">
        <color indexed="19"/>
      </top>
      <bottom style="thin">
        <color indexed="19"/>
      </bottom>
      <diagonal/>
    </border>
    <border>
      <left style="thin">
        <color indexed="19"/>
      </left>
      <right style="thin">
        <color indexed="19"/>
      </right>
      <top style="thin">
        <color indexed="19"/>
      </top>
      <bottom style="thin">
        <color indexed="19"/>
      </bottom>
      <diagonal/>
    </border>
    <border>
      <left style="thin">
        <color indexed="19"/>
      </left>
      <right style="medium">
        <color indexed="8"/>
      </right>
      <top style="thin">
        <color indexed="19"/>
      </top>
      <bottom style="thin">
        <color indexed="19"/>
      </bottom>
      <diagonal/>
    </border>
    <border>
      <left style="medium">
        <color indexed="8"/>
      </left>
      <right style="thin">
        <color indexed="19"/>
      </right>
      <top style="thin">
        <color indexed="19"/>
      </top>
      <bottom style="medium">
        <color indexed="8"/>
      </bottom>
      <diagonal/>
    </border>
    <border>
      <left style="thin">
        <color indexed="19"/>
      </left>
      <right style="thin">
        <color indexed="19"/>
      </right>
      <top style="thin">
        <color indexed="19"/>
      </top>
      <bottom style="medium">
        <color indexed="8"/>
      </bottom>
      <diagonal/>
    </border>
    <border>
      <left style="thin">
        <color indexed="19"/>
      </left>
      <right style="medium">
        <color indexed="8"/>
      </right>
      <top style="thin">
        <color indexed="19"/>
      </top>
      <bottom style="medium">
        <color indexed="8"/>
      </bottom>
      <diagonal/>
    </border>
    <border>
      <left/>
      <right/>
      <top style="medium">
        <color indexed="8"/>
      </top>
      <bottom style="medium">
        <color indexed="8"/>
      </bottom>
      <diagonal/>
    </border>
    <border>
      <left style="medium">
        <color indexed="8"/>
      </left>
      <right style="thin">
        <color indexed="19"/>
      </right>
      <top/>
      <bottom style="thin">
        <color indexed="19"/>
      </bottom>
      <diagonal/>
    </border>
    <border>
      <left style="thin">
        <color indexed="19"/>
      </left>
      <right style="thin">
        <color indexed="19"/>
      </right>
      <top/>
      <bottom style="thin">
        <color indexed="19"/>
      </bottom>
      <diagonal/>
    </border>
    <border>
      <left style="thin">
        <color indexed="19"/>
      </left>
      <right style="medium">
        <color indexed="8"/>
      </right>
      <top/>
      <bottom style="thin">
        <color indexed="19"/>
      </bottom>
      <diagonal/>
    </border>
    <border>
      <left style="thin">
        <color indexed="13"/>
      </left>
      <right style="medium">
        <color indexed="8"/>
      </right>
      <top/>
      <bottom style="thin">
        <color indexed="13"/>
      </bottom>
      <diagonal/>
    </border>
    <border>
      <left style="medium">
        <color indexed="8"/>
      </left>
      <right style="thin">
        <color indexed="13"/>
      </right>
      <top/>
      <bottom style="thin">
        <color indexed="13"/>
      </bottom>
      <diagonal/>
    </border>
    <border>
      <left style="thick">
        <color indexed="8"/>
      </left>
      <right style="dotted">
        <color indexed="51"/>
      </right>
      <top style="thick">
        <color indexed="8"/>
      </top>
      <bottom style="hair">
        <color indexed="14"/>
      </bottom>
      <diagonal/>
    </border>
    <border>
      <left style="dotted">
        <color indexed="51"/>
      </left>
      <right style="dotted">
        <color indexed="51"/>
      </right>
      <top style="thick">
        <color indexed="8"/>
      </top>
      <bottom style="hair">
        <color indexed="14"/>
      </bottom>
      <diagonal/>
    </border>
    <border>
      <left style="dotted">
        <color indexed="51"/>
      </left>
      <right style="thick">
        <color indexed="51"/>
      </right>
      <top style="thick">
        <color indexed="8"/>
      </top>
      <bottom style="hair">
        <color indexed="14"/>
      </bottom>
      <diagonal/>
    </border>
    <border>
      <left style="thick">
        <color indexed="51"/>
      </left>
      <right style="thick">
        <color indexed="8"/>
      </right>
      <top style="thick">
        <color indexed="8"/>
      </top>
      <bottom style="hair">
        <color indexed="14"/>
      </bottom>
      <diagonal/>
    </border>
    <border>
      <left style="thick">
        <color indexed="8"/>
      </left>
      <right style="dotted">
        <color indexed="51"/>
      </right>
      <top style="hair">
        <color indexed="14"/>
      </top>
      <bottom style="dotted">
        <color indexed="51"/>
      </bottom>
      <diagonal/>
    </border>
    <border>
      <left style="dotted">
        <color indexed="51"/>
      </left>
      <right style="dotted">
        <color indexed="51"/>
      </right>
      <top style="hair">
        <color indexed="14"/>
      </top>
      <bottom style="dotted">
        <color indexed="51"/>
      </bottom>
      <diagonal/>
    </border>
    <border>
      <left style="dotted">
        <color indexed="51"/>
      </left>
      <right style="thick">
        <color indexed="51"/>
      </right>
      <top style="hair">
        <color indexed="14"/>
      </top>
      <bottom style="dotted">
        <color indexed="51"/>
      </bottom>
      <diagonal/>
    </border>
    <border>
      <left style="thick">
        <color indexed="51"/>
      </left>
      <right style="thick">
        <color indexed="8"/>
      </right>
      <top style="hair">
        <color indexed="14"/>
      </top>
      <bottom style="dotted">
        <color indexed="51"/>
      </bottom>
      <diagonal/>
    </border>
    <border>
      <left style="thick">
        <color indexed="8"/>
      </left>
      <right style="dotted">
        <color indexed="51"/>
      </right>
      <top style="dotted">
        <color indexed="51"/>
      </top>
      <bottom style="dotted">
        <color indexed="51"/>
      </bottom>
      <diagonal/>
    </border>
    <border>
      <left style="dotted">
        <color indexed="51"/>
      </left>
      <right style="dotted">
        <color indexed="51"/>
      </right>
      <top style="dotted">
        <color indexed="51"/>
      </top>
      <bottom style="dotted">
        <color indexed="51"/>
      </bottom>
      <diagonal/>
    </border>
    <border>
      <left style="dotted">
        <color indexed="51"/>
      </left>
      <right style="thick">
        <color indexed="51"/>
      </right>
      <top style="dotted">
        <color indexed="51"/>
      </top>
      <bottom style="dotted">
        <color indexed="51"/>
      </bottom>
      <diagonal/>
    </border>
    <border>
      <left style="thick">
        <color indexed="51"/>
      </left>
      <right style="thick">
        <color indexed="8"/>
      </right>
      <top style="dotted">
        <color indexed="51"/>
      </top>
      <bottom style="dotted">
        <color indexed="51"/>
      </bottom>
      <diagonal/>
    </border>
    <border>
      <left style="thick">
        <color indexed="8"/>
      </left>
      <right style="dotted">
        <color indexed="51"/>
      </right>
      <top style="dotted">
        <color indexed="51"/>
      </top>
      <bottom style="thick">
        <color indexed="8"/>
      </bottom>
      <diagonal/>
    </border>
    <border>
      <left style="dotted">
        <color indexed="51"/>
      </left>
      <right style="dotted">
        <color indexed="51"/>
      </right>
      <top style="dotted">
        <color indexed="51"/>
      </top>
      <bottom style="thick">
        <color indexed="8"/>
      </bottom>
      <diagonal/>
    </border>
    <border>
      <left style="dotted">
        <color indexed="51"/>
      </left>
      <right style="thick">
        <color indexed="51"/>
      </right>
      <top style="dotted">
        <color indexed="51"/>
      </top>
      <bottom style="thick">
        <color indexed="8"/>
      </bottom>
      <diagonal/>
    </border>
    <border>
      <left style="thick">
        <color indexed="51"/>
      </left>
      <right style="thick">
        <color indexed="8"/>
      </right>
      <top style="dotted">
        <color indexed="51"/>
      </top>
      <bottom style="thick">
        <color indexed="8"/>
      </bottom>
      <diagonal/>
    </border>
    <border>
      <left style="thick">
        <color indexed="8"/>
      </left>
      <right style="thin">
        <color indexed="16"/>
      </right>
      <top style="medium">
        <color indexed="14"/>
      </top>
      <bottom style="thick">
        <color indexed="8"/>
      </bottom>
      <diagonal/>
    </border>
    <border>
      <left style="thin">
        <color indexed="16"/>
      </left>
      <right style="thin">
        <color indexed="16"/>
      </right>
      <top style="medium">
        <color indexed="14"/>
      </top>
      <bottom style="thick">
        <color indexed="8"/>
      </bottom>
      <diagonal/>
    </border>
    <border>
      <left style="thin">
        <color indexed="16"/>
      </left>
      <right style="thick">
        <color indexed="8"/>
      </right>
      <top style="medium">
        <color indexed="14"/>
      </top>
      <bottom style="thick">
        <color indexed="8"/>
      </bottom>
      <diagonal/>
    </border>
    <border>
      <left style="thick">
        <color indexed="8"/>
      </left>
      <right style="thin">
        <color indexed="16"/>
      </right>
      <top style="thick">
        <color indexed="8"/>
      </top>
      <bottom style="thin">
        <color indexed="55"/>
      </bottom>
      <diagonal/>
    </border>
    <border>
      <left style="thin">
        <color indexed="16"/>
      </left>
      <right style="thin">
        <color indexed="16"/>
      </right>
      <top style="thick">
        <color indexed="8"/>
      </top>
      <bottom style="thin">
        <color indexed="55"/>
      </bottom>
      <diagonal/>
    </border>
    <border>
      <left style="thin">
        <color indexed="16"/>
      </left>
      <right style="thick">
        <color indexed="8"/>
      </right>
      <top style="thick">
        <color indexed="8"/>
      </top>
      <bottom style="thin">
        <color indexed="55"/>
      </bottom>
      <diagonal/>
    </border>
    <border>
      <left style="thick">
        <color indexed="8"/>
      </left>
      <right style="thin">
        <color indexed="16"/>
      </right>
      <top style="thin">
        <color indexed="55"/>
      </top>
      <bottom style="thin">
        <color indexed="16"/>
      </bottom>
      <diagonal/>
    </border>
    <border>
      <left style="thin">
        <color indexed="16"/>
      </left>
      <right style="thin">
        <color indexed="16"/>
      </right>
      <top style="thin">
        <color indexed="55"/>
      </top>
      <bottom style="thin">
        <color indexed="16"/>
      </bottom>
      <diagonal/>
    </border>
    <border>
      <left style="thin">
        <color indexed="16"/>
      </left>
      <right style="thick">
        <color indexed="8"/>
      </right>
      <top style="thin">
        <color indexed="55"/>
      </top>
      <bottom style="thin">
        <color indexed="16"/>
      </bottom>
      <diagonal/>
    </border>
    <border>
      <left style="thick">
        <color indexed="8"/>
      </left>
      <right style="thin">
        <color indexed="16"/>
      </right>
      <top style="thin">
        <color indexed="16"/>
      </top>
      <bottom style="thick">
        <color indexed="14"/>
      </bottom>
      <diagonal/>
    </border>
    <border>
      <left style="thin">
        <color indexed="16"/>
      </left>
      <right style="thin">
        <color indexed="16"/>
      </right>
      <top style="thin">
        <color indexed="16"/>
      </top>
      <bottom style="thick">
        <color indexed="14"/>
      </bottom>
      <diagonal/>
    </border>
    <border>
      <left style="thin">
        <color indexed="16"/>
      </left>
      <right style="thick">
        <color indexed="8"/>
      </right>
      <top style="thin">
        <color indexed="16"/>
      </top>
      <bottom style="thick">
        <color indexed="14"/>
      </bottom>
      <diagonal/>
    </border>
    <border>
      <left style="thick">
        <color indexed="8"/>
      </left>
      <right style="thin">
        <color indexed="16"/>
      </right>
      <top style="thick">
        <color indexed="14"/>
      </top>
      <bottom style="thick">
        <color indexed="8"/>
      </bottom>
      <diagonal/>
    </border>
    <border>
      <left style="thin">
        <color indexed="16"/>
      </left>
      <right style="thin">
        <color indexed="16"/>
      </right>
      <top style="thick">
        <color indexed="14"/>
      </top>
      <bottom style="thick">
        <color indexed="8"/>
      </bottom>
      <diagonal/>
    </border>
    <border>
      <left style="thin">
        <color indexed="16"/>
      </left>
      <right style="thick">
        <color indexed="8"/>
      </right>
      <top style="thick">
        <color indexed="14"/>
      </top>
      <bottom style="thick">
        <color indexed="8"/>
      </bottom>
      <diagonal/>
    </border>
    <border>
      <left/>
      <right/>
      <top style="thick">
        <color indexed="8"/>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ck">
        <color indexed="8"/>
      </left>
      <right style="thin">
        <color indexed="16"/>
      </right>
      <top/>
      <bottom style="thin">
        <color indexed="14"/>
      </bottom>
      <diagonal/>
    </border>
    <border>
      <left style="thin">
        <color indexed="16"/>
      </left>
      <right style="thin">
        <color indexed="16"/>
      </right>
      <top/>
      <bottom style="thin">
        <color indexed="14"/>
      </bottom>
      <diagonal/>
    </border>
    <border>
      <left style="thin">
        <color indexed="16"/>
      </left>
      <right style="thick">
        <color indexed="8"/>
      </right>
      <top/>
      <bottom style="thin">
        <color indexed="14"/>
      </bottom>
      <diagonal/>
    </border>
    <border>
      <left style="thick">
        <color indexed="8"/>
      </left>
      <right style="thin">
        <color indexed="31"/>
      </right>
      <top style="thick">
        <color indexed="8"/>
      </top>
      <bottom style="thin">
        <color indexed="31"/>
      </bottom>
      <diagonal/>
    </border>
    <border>
      <left style="thin">
        <color indexed="31"/>
      </left>
      <right style="thin">
        <color indexed="31"/>
      </right>
      <top style="thick">
        <color indexed="8"/>
      </top>
      <bottom style="thin">
        <color indexed="31"/>
      </bottom>
      <diagonal/>
    </border>
    <border>
      <left style="thin">
        <color indexed="31"/>
      </left>
      <right style="thick">
        <color indexed="8"/>
      </right>
      <top style="thick">
        <color indexed="8"/>
      </top>
      <bottom style="thin">
        <color indexed="31"/>
      </bottom>
      <diagonal/>
    </border>
    <border>
      <left style="thick">
        <color indexed="8"/>
      </left>
      <right style="thin">
        <color indexed="31"/>
      </right>
      <top style="thin">
        <color indexed="31"/>
      </top>
      <bottom style="thin">
        <color indexed="31"/>
      </bottom>
      <diagonal/>
    </border>
    <border>
      <left style="thin">
        <color indexed="31"/>
      </left>
      <right style="thin">
        <color indexed="31"/>
      </right>
      <top style="thin">
        <color indexed="31"/>
      </top>
      <bottom style="thin">
        <color indexed="31"/>
      </bottom>
      <diagonal/>
    </border>
    <border>
      <left style="thin">
        <color indexed="31"/>
      </left>
      <right style="thick">
        <color indexed="8"/>
      </right>
      <top style="thin">
        <color indexed="31"/>
      </top>
      <bottom style="thin">
        <color indexed="31"/>
      </bottom>
      <diagonal/>
    </border>
    <border>
      <left style="thick">
        <color indexed="8"/>
      </left>
      <right style="thin">
        <color indexed="31"/>
      </right>
      <top style="thin">
        <color indexed="31"/>
      </top>
      <bottom/>
      <diagonal/>
    </border>
    <border>
      <left style="thin">
        <color indexed="31"/>
      </left>
      <right style="thin">
        <color indexed="31"/>
      </right>
      <top style="thin">
        <color indexed="31"/>
      </top>
      <bottom style="medium">
        <color indexed="14"/>
      </bottom>
      <diagonal/>
    </border>
    <border>
      <left style="thin">
        <color indexed="31"/>
      </left>
      <right style="thick">
        <color indexed="8"/>
      </right>
      <top style="thin">
        <color indexed="31"/>
      </top>
      <bottom/>
      <diagonal/>
    </border>
    <border>
      <left style="thick">
        <color indexed="8"/>
      </left>
      <right style="thin">
        <color indexed="31"/>
      </right>
      <top/>
      <bottom style="thin">
        <color indexed="31"/>
      </bottom>
      <diagonal/>
    </border>
    <border>
      <left style="thin">
        <color indexed="31"/>
      </left>
      <right style="thin">
        <color indexed="31"/>
      </right>
      <top style="medium">
        <color indexed="14"/>
      </top>
      <bottom style="thin">
        <color indexed="31"/>
      </bottom>
      <diagonal/>
    </border>
    <border>
      <left style="thin">
        <color indexed="31"/>
      </left>
      <right style="thick">
        <color indexed="8"/>
      </right>
      <top/>
      <bottom style="thin">
        <color indexed="31"/>
      </bottom>
      <diagonal/>
    </border>
    <border>
      <left style="thick">
        <color indexed="8"/>
      </left>
      <right style="thin">
        <color indexed="31"/>
      </right>
      <top style="thin">
        <color indexed="31"/>
      </top>
      <bottom style="thick">
        <color indexed="14"/>
      </bottom>
      <diagonal/>
    </border>
    <border>
      <left style="thin">
        <color indexed="31"/>
      </left>
      <right style="thin">
        <color indexed="31"/>
      </right>
      <top style="thin">
        <color indexed="31"/>
      </top>
      <bottom style="thick">
        <color indexed="14"/>
      </bottom>
      <diagonal/>
    </border>
    <border>
      <left style="thick">
        <color indexed="8"/>
      </left>
      <right style="thin">
        <color indexed="31"/>
      </right>
      <top style="thick">
        <color indexed="14"/>
      </top>
      <bottom style="thin">
        <color indexed="31"/>
      </bottom>
      <diagonal/>
    </border>
    <border>
      <left style="thin">
        <color indexed="31"/>
      </left>
      <right style="thin">
        <color indexed="31"/>
      </right>
      <top style="thick">
        <color indexed="14"/>
      </top>
      <bottom style="thin">
        <color indexed="31"/>
      </bottom>
      <diagonal/>
    </border>
    <border>
      <left style="thin">
        <color indexed="31"/>
      </left>
      <right/>
      <top style="medium">
        <color indexed="14"/>
      </top>
      <bottom style="thin">
        <color indexed="31"/>
      </bottom>
      <diagonal/>
    </border>
    <border>
      <left/>
      <right style="thick">
        <color indexed="8"/>
      </right>
      <top/>
      <bottom style="thin">
        <color indexed="31"/>
      </bottom>
      <diagonal/>
    </border>
    <border>
      <left style="thin">
        <color indexed="31"/>
      </left>
      <right/>
      <top style="thin">
        <color indexed="31"/>
      </top>
      <bottom style="thin">
        <color indexed="31"/>
      </bottom>
      <diagonal/>
    </border>
    <border>
      <left/>
      <right style="thick">
        <color indexed="8"/>
      </right>
      <top style="thin">
        <color indexed="31"/>
      </top>
      <bottom style="thin">
        <color indexed="31"/>
      </bottom>
      <diagonal/>
    </border>
    <border>
      <left style="thick">
        <color indexed="8"/>
      </left>
      <right style="thin">
        <color indexed="31"/>
      </right>
      <top style="thin">
        <color indexed="31"/>
      </top>
      <bottom style="thin">
        <color indexed="14"/>
      </bottom>
      <diagonal/>
    </border>
    <border>
      <left style="thin">
        <color indexed="31"/>
      </left>
      <right style="thin">
        <color indexed="31"/>
      </right>
      <top style="thin">
        <color indexed="31"/>
      </top>
      <bottom style="thin">
        <color indexed="14"/>
      </bottom>
      <diagonal/>
    </border>
    <border>
      <left style="thin">
        <color indexed="31"/>
      </left>
      <right/>
      <top style="thin">
        <color indexed="31"/>
      </top>
      <bottom style="thin">
        <color indexed="14"/>
      </bottom>
      <diagonal/>
    </border>
    <border>
      <left/>
      <right style="thick">
        <color indexed="8"/>
      </right>
      <top style="thin">
        <color indexed="31"/>
      </top>
      <bottom style="thin">
        <color indexed="14"/>
      </bottom>
      <diagonal/>
    </border>
    <border>
      <left style="thick">
        <color indexed="8"/>
      </left>
      <right/>
      <top style="thin">
        <color indexed="14"/>
      </top>
      <bottom style="thick">
        <color indexed="8"/>
      </bottom>
      <diagonal/>
    </border>
    <border>
      <left/>
      <right style="thick">
        <color indexed="8"/>
      </right>
      <top style="thin">
        <color indexed="14"/>
      </top>
      <bottom style="thick">
        <color indexed="8"/>
      </bottom>
      <diagonal/>
    </border>
    <border>
      <left style="medium">
        <color indexed="8"/>
      </left>
      <right style="thin">
        <color indexed="16"/>
      </right>
      <top style="medium">
        <color indexed="8"/>
      </top>
      <bottom/>
      <diagonal/>
    </border>
    <border>
      <left style="thin">
        <color indexed="16"/>
      </left>
      <right style="thin">
        <color indexed="16"/>
      </right>
      <top style="medium">
        <color indexed="8"/>
      </top>
      <bottom/>
      <diagonal/>
    </border>
    <border>
      <left style="thin">
        <color indexed="16"/>
      </left>
      <right style="medium">
        <color indexed="8"/>
      </right>
      <top style="medium">
        <color indexed="8"/>
      </top>
      <bottom/>
      <diagonal/>
    </border>
    <border>
      <left style="medium">
        <color indexed="8"/>
      </left>
      <right style="thin">
        <color indexed="16"/>
      </right>
      <top/>
      <bottom style="thin">
        <color indexed="14"/>
      </bottom>
      <diagonal/>
    </border>
    <border>
      <left style="thin">
        <color indexed="16"/>
      </left>
      <right style="medium">
        <color indexed="8"/>
      </right>
      <top/>
      <bottom style="thin">
        <color indexed="16"/>
      </bottom>
      <diagonal/>
    </border>
    <border>
      <left style="medium">
        <color indexed="8"/>
      </left>
      <right style="thin">
        <color indexed="16"/>
      </right>
      <top style="thin">
        <color indexed="14"/>
      </top>
      <bottom style="thin">
        <color indexed="16"/>
      </bottom>
      <diagonal/>
    </border>
    <border>
      <left style="medium">
        <color indexed="8"/>
      </left>
      <right style="thin">
        <color indexed="16"/>
      </right>
      <top style="thin">
        <color indexed="16"/>
      </top>
      <bottom style="thin">
        <color indexed="14"/>
      </bottom>
      <diagonal/>
    </border>
    <border>
      <left style="thin">
        <color indexed="16"/>
      </left>
      <right style="medium">
        <color indexed="8"/>
      </right>
      <top style="thin">
        <color indexed="16"/>
      </top>
      <bottom style="thin">
        <color indexed="14"/>
      </bottom>
      <diagonal/>
    </border>
    <border>
      <left style="medium">
        <color indexed="8"/>
      </left>
      <right style="thin">
        <color indexed="16"/>
      </right>
      <top style="thin">
        <color indexed="14"/>
      </top>
      <bottom style="medium">
        <color indexed="8"/>
      </bottom>
      <diagonal/>
    </border>
    <border>
      <left style="thin">
        <color indexed="16"/>
      </left>
      <right style="thin">
        <color indexed="16"/>
      </right>
      <top style="thin">
        <color indexed="14"/>
      </top>
      <bottom style="medium">
        <color indexed="8"/>
      </bottom>
      <diagonal/>
    </border>
    <border>
      <left style="thin">
        <color indexed="16"/>
      </left>
      <right style="medium">
        <color indexed="8"/>
      </right>
      <top style="thin">
        <color indexed="14"/>
      </top>
      <bottom style="medium">
        <color indexed="8"/>
      </bottom>
      <diagonal/>
    </border>
    <border>
      <left style="thin">
        <color indexed="31"/>
      </left>
      <right style="thin">
        <color indexed="13"/>
      </right>
      <top/>
      <bottom/>
      <diagonal/>
    </border>
    <border>
      <left style="thick">
        <color indexed="8"/>
      </left>
      <right style="thin">
        <color indexed="31"/>
      </right>
      <top style="thin">
        <color indexed="31"/>
      </top>
      <bottom style="thick">
        <color indexed="8"/>
      </bottom>
      <diagonal/>
    </border>
    <border>
      <left style="thin">
        <color indexed="31"/>
      </left>
      <right style="thin">
        <color indexed="31"/>
      </right>
      <top style="thin">
        <color indexed="31"/>
      </top>
      <bottom style="thick">
        <color indexed="8"/>
      </bottom>
      <diagonal/>
    </border>
    <border>
      <left style="thin">
        <color indexed="13"/>
      </left>
      <right style="thin">
        <color indexed="13"/>
      </right>
      <top/>
      <bottom/>
      <diagonal/>
    </border>
    <border>
      <left style="thin">
        <color indexed="13"/>
      </left>
      <right style="thin">
        <color indexed="13"/>
      </right>
      <top/>
      <bottom style="thin">
        <color indexed="13"/>
      </bottom>
      <diagonal/>
    </border>
    <border>
      <left style="thin">
        <color indexed="31"/>
      </left>
      <right style="thick">
        <color indexed="8"/>
      </right>
      <top style="thin">
        <color indexed="31"/>
      </top>
      <bottom style="thick">
        <color indexed="8"/>
      </bottom>
      <diagonal/>
    </border>
    <border>
      <left/>
      <right style="thick">
        <color indexed="8"/>
      </right>
      <top style="thin">
        <color indexed="16"/>
      </top>
      <bottom style="thick">
        <color indexed="8"/>
      </bottom>
      <diagonal/>
    </border>
    <border>
      <left style="thick">
        <color indexed="8"/>
      </left>
      <right style="thin">
        <color indexed="13"/>
      </right>
      <top/>
      <bottom style="thin">
        <color indexed="19"/>
      </bottom>
      <diagonal/>
    </border>
    <border>
      <left style="thick">
        <color indexed="8"/>
      </left>
      <right style="thin">
        <color indexed="19"/>
      </right>
      <top style="thin">
        <color indexed="19"/>
      </top>
      <bottom style="thin">
        <color indexed="19"/>
      </bottom>
      <diagonal/>
    </border>
    <border>
      <left style="thick">
        <color indexed="8"/>
      </left>
      <right style="thin">
        <color indexed="13"/>
      </right>
      <top style="thin">
        <color indexed="19"/>
      </top>
      <bottom/>
      <diagonal/>
    </border>
    <border>
      <left style="thick">
        <color indexed="8"/>
      </left>
      <right/>
      <top/>
      <bottom style="thin">
        <color indexed="19"/>
      </bottom>
      <diagonal/>
    </border>
    <border>
      <left style="thin">
        <color indexed="19"/>
      </left>
      <right/>
      <top/>
      <bottom/>
      <diagonal/>
    </border>
    <border>
      <left style="thick">
        <color indexed="8"/>
      </left>
      <right/>
      <top style="thin">
        <color indexed="19"/>
      </top>
      <bottom/>
      <diagonal/>
    </border>
    <border>
      <left style="thick">
        <color indexed="8"/>
      </left>
      <right/>
      <top style="thin">
        <color indexed="19"/>
      </top>
      <bottom style="thin">
        <color indexed="19"/>
      </bottom>
      <diagonal/>
    </border>
    <border>
      <left style="thin">
        <color indexed="16"/>
      </left>
      <right style="thin">
        <color indexed="16"/>
      </right>
      <top style="thin">
        <color indexed="16"/>
      </top>
      <bottom style="thin">
        <color indexed="12"/>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medium">
        <color indexed="8"/>
      </bottom>
      <diagonal/>
    </border>
    <border>
      <left style="thin">
        <color indexed="13"/>
      </left>
      <right style="thin">
        <color indexed="13"/>
      </right>
      <top style="medium">
        <color indexed="8"/>
      </top>
      <bottom style="thin">
        <color indexed="13"/>
      </bottom>
      <diagonal/>
    </border>
    <border>
      <left style="thin">
        <color indexed="13"/>
      </left>
      <right style="thin">
        <color indexed="13"/>
      </right>
      <top style="thin">
        <color indexed="13"/>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medium">
        <color indexed="8"/>
      </right>
      <top style="thin">
        <color indexed="13"/>
      </top>
      <bottom style="thin">
        <color indexed="13"/>
      </bottom>
      <diagonal/>
    </border>
    <border>
      <left style="medium">
        <color indexed="8"/>
      </left>
      <right style="thin">
        <color indexed="13"/>
      </right>
      <top style="thin">
        <color indexed="13"/>
      </top>
      <bottom style="thin">
        <color indexed="13"/>
      </bottom>
      <diagonal/>
    </border>
    <border>
      <left style="thin">
        <color indexed="13"/>
      </left>
      <right style="thin">
        <color indexed="13"/>
      </right>
      <top style="thin">
        <color indexed="13"/>
      </top>
      <bottom style="medium">
        <color rgb="ffd8dadd"/>
      </bottom>
      <diagonal/>
    </border>
    <border>
      <left style="thin">
        <color indexed="13"/>
      </left>
      <right style="medium">
        <color rgb="ffd8dadd"/>
      </right>
      <top style="thin">
        <color indexed="13"/>
      </top>
      <bottom style="thin">
        <color indexed="13"/>
      </bottom>
      <diagonal/>
    </border>
    <border>
      <left style="medium">
        <color rgb="ffd8dadd"/>
      </left>
      <right/>
      <top style="medium">
        <color rgb="ffd8dadd"/>
      </top>
      <bottom/>
      <diagonal/>
    </border>
    <border>
      <left/>
      <right/>
      <top style="medium">
        <color rgb="ffd8dadd"/>
      </top>
      <bottom/>
      <diagonal/>
    </border>
    <border>
      <left/>
      <right style="thin">
        <color indexed="13"/>
      </right>
      <top style="medium">
        <color rgb="ffd8dadd"/>
      </top>
      <bottom style="medium">
        <color rgb="ffd8dadd"/>
      </bottom>
      <diagonal/>
    </border>
    <border>
      <left style="medium">
        <color rgb="ffd8dadd"/>
      </left>
      <right/>
      <top/>
      <bottom/>
      <diagonal/>
    </border>
    <border>
      <left style="medium">
        <color rgb="ffd8dadd"/>
      </left>
      <right/>
      <top/>
      <bottom style="medium">
        <color rgb="ffd8dadd"/>
      </bottom>
      <diagonal/>
    </border>
    <border>
      <left/>
      <right/>
      <top/>
      <bottom style="medium">
        <color rgb="ffd8dadd"/>
      </bottom>
      <diagonal/>
    </border>
    <border>
      <left/>
      <right style="thin">
        <color indexed="13"/>
      </right>
      <top style="medium">
        <color rgb="ffd8dadd"/>
      </top>
      <bottom/>
      <diagonal/>
    </border>
    <border>
      <left style="thin">
        <color indexed="13"/>
      </left>
      <right style="thin">
        <color indexed="13"/>
      </right>
      <top style="medium">
        <color rgb="ffd8dadd"/>
      </top>
      <bottom style="thin">
        <color indexed="13"/>
      </bottom>
      <diagonal/>
    </border>
    <border>
      <left style="thin">
        <color indexed="13"/>
      </left>
      <right style="thin">
        <color indexed="13"/>
      </right>
      <top style="medium">
        <color indexed="8"/>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13"/>
      </right>
      <top style="medium">
        <color indexed="8"/>
      </top>
      <bottom style="medium">
        <color indexed="8"/>
      </bottom>
      <diagonal/>
    </border>
    <border>
      <left style="thin">
        <color indexed="13"/>
      </left>
      <right/>
      <top/>
      <bottom style="thin">
        <color rgb="ffebebeb"/>
      </bottom>
      <diagonal/>
    </border>
    <border>
      <left style="thin">
        <color indexed="13"/>
      </left>
      <right/>
      <top style="thin">
        <color rgb="ffebebeb"/>
      </top>
      <bottom/>
      <diagonal/>
    </border>
    <border>
      <left style="thin">
        <color indexed="13"/>
      </left>
      <right/>
      <top style="thin">
        <color rgb="ffebebeb"/>
      </top>
      <bottom style="thin">
        <color rgb="ffebebeb"/>
      </bottom>
      <diagonal/>
    </border>
    <border>
      <left/>
      <right style="thin">
        <color indexed="13"/>
      </right>
      <top style="thin">
        <color indexed="13"/>
      </top>
      <bottom style="medium">
        <color indexed="8"/>
      </bottom>
      <diagonal/>
    </border>
    <border>
      <left style="thick">
        <color indexed="8"/>
      </left>
      <right style="thin">
        <color rgb="ffb6cce0"/>
      </right>
      <top style="thick">
        <color indexed="8"/>
      </top>
      <bottom/>
      <diagonal/>
    </border>
    <border>
      <left style="thin">
        <color rgb="ffb6cce0"/>
      </left>
      <right style="thin">
        <color rgb="ffb6cce0"/>
      </right>
      <top style="thick">
        <color indexed="8"/>
      </top>
      <bottom/>
      <diagonal/>
    </border>
    <border>
      <left style="thin">
        <color rgb="ffb6cce0"/>
      </left>
      <right style="thick">
        <color indexed="8"/>
      </right>
      <top style="thick">
        <color indexed="8"/>
      </top>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thick">
        <color indexed="8"/>
      </left>
      <right style="thin">
        <color rgb="ffb6cce0"/>
      </right>
      <top/>
      <bottom style="thin">
        <color rgb="ffb6cce0"/>
      </bottom>
      <diagonal/>
    </border>
    <border>
      <left style="thin">
        <color rgb="ffb6cce0"/>
      </left>
      <right style="thin">
        <color rgb="ffb6cce0"/>
      </right>
      <top/>
      <bottom style="thin">
        <color rgb="ffb6cce0"/>
      </bottom>
      <diagonal/>
    </border>
    <border>
      <left style="thin">
        <color rgb="ffb6cce0"/>
      </left>
      <right style="thick">
        <color indexed="8"/>
      </right>
      <top/>
      <bottom style="thin">
        <color rgb="ffb6cce0"/>
      </bottom>
      <diagonal/>
    </border>
    <border>
      <left style="medium">
        <color indexed="8"/>
      </left>
      <right style="medium">
        <color indexed="8"/>
      </right>
      <top/>
      <bottom style="thin">
        <color rgb="ffb6cce0"/>
      </bottom>
      <diagonal/>
    </border>
    <border>
      <left style="thick">
        <color indexed="8"/>
      </left>
      <right style="thin">
        <color rgb="ffb6cce0"/>
      </right>
      <top style="thin">
        <color rgb="ffb6cce0"/>
      </top>
      <bottom style="thin">
        <color rgb="ffb6cce0"/>
      </bottom>
      <diagonal/>
    </border>
    <border>
      <left style="thin">
        <color rgb="ffb6cce0"/>
      </left>
      <right style="thin">
        <color rgb="ffb6cce0"/>
      </right>
      <top style="thin">
        <color rgb="ffb6cce0"/>
      </top>
      <bottom style="thin">
        <color rgb="ffb6cce0"/>
      </bottom>
      <diagonal/>
    </border>
    <border>
      <left style="thin">
        <color rgb="ffb6cce0"/>
      </left>
      <right style="thick">
        <color indexed="8"/>
      </right>
      <top style="thin">
        <color rgb="ffb6cce0"/>
      </top>
      <bottom style="thin">
        <color rgb="ffb6cce0"/>
      </bottom>
      <diagonal/>
    </border>
    <border>
      <left style="medium">
        <color indexed="8"/>
      </left>
      <right style="medium">
        <color indexed="8"/>
      </right>
      <top style="thin">
        <color rgb="ffb6cce0"/>
      </top>
      <bottom style="thin">
        <color rgb="ffb6cce0"/>
      </bottom>
      <diagonal/>
    </border>
    <border>
      <left style="thick">
        <color indexed="8"/>
      </left>
      <right style="thin">
        <color rgb="ffb6cce0"/>
      </right>
      <top style="thin">
        <color rgb="ffb6cce0"/>
      </top>
      <bottom style="thick">
        <color indexed="8"/>
      </bottom>
      <diagonal/>
    </border>
    <border>
      <left style="thin">
        <color rgb="ffb6cce0"/>
      </left>
      <right style="thin">
        <color rgb="ffb6cce0"/>
      </right>
      <top style="thin">
        <color rgb="ffb6cce0"/>
      </top>
      <bottom style="thick">
        <color indexed="8"/>
      </bottom>
      <diagonal/>
    </border>
    <border>
      <left style="thin">
        <color rgb="ffb6cce0"/>
      </left>
      <right style="thick">
        <color indexed="8"/>
      </right>
      <top style="thin">
        <color rgb="ffb6cce0"/>
      </top>
      <bottom style="thick">
        <color indexed="8"/>
      </bottom>
      <diagonal/>
    </border>
    <border>
      <left style="medium">
        <color indexed="8"/>
      </left>
      <right style="medium">
        <color indexed="8"/>
      </right>
      <top style="thin">
        <color rgb="ffb6cce0"/>
      </top>
      <bottom style="medium">
        <color indexed="8"/>
      </bottom>
      <diagonal/>
    </border>
    <border>
      <left/>
      <right style="thin">
        <color indexed="13"/>
      </right>
      <top style="medium">
        <color indexed="8"/>
      </top>
      <bottom/>
      <diagonal/>
    </border>
    <border>
      <left style="thick">
        <color indexed="8"/>
      </left>
      <right/>
      <top style="thick">
        <color indexed="8"/>
      </top>
      <bottom style="thin">
        <color indexed="19"/>
      </bottom>
      <diagonal/>
    </border>
    <border>
      <left/>
      <right/>
      <top style="thick">
        <color indexed="8"/>
      </top>
      <bottom style="thin">
        <color indexed="19"/>
      </bottom>
      <diagonal/>
    </border>
    <border>
      <left/>
      <right style="thick">
        <color indexed="8"/>
      </right>
      <top style="thick">
        <color indexed="8"/>
      </top>
      <bottom style="thin">
        <color indexed="19"/>
      </bottom>
      <diagonal/>
    </border>
    <border>
      <left style="thick">
        <color indexed="8"/>
      </left>
      <right style="thick">
        <color indexed="12"/>
      </right>
      <top style="thin">
        <color indexed="19"/>
      </top>
      <bottom style="thin">
        <color indexed="16"/>
      </bottom>
      <diagonal/>
    </border>
    <border>
      <left style="thick">
        <color indexed="12"/>
      </left>
      <right/>
      <top style="thin">
        <color indexed="19"/>
      </top>
      <bottom style="thin">
        <color indexed="16"/>
      </bottom>
      <diagonal/>
    </border>
    <border>
      <left/>
      <right/>
      <top style="thin">
        <color indexed="19"/>
      </top>
      <bottom style="thin">
        <color indexed="16"/>
      </bottom>
      <diagonal/>
    </border>
    <border>
      <left/>
      <right style="thick">
        <color indexed="12"/>
      </right>
      <top style="thin">
        <color indexed="19"/>
      </top>
      <bottom style="thin">
        <color indexed="16"/>
      </bottom>
      <diagonal/>
    </border>
    <border>
      <left/>
      <right style="thin">
        <color indexed="16"/>
      </right>
      <top style="thin">
        <color indexed="19"/>
      </top>
      <bottom style="thin">
        <color indexed="16"/>
      </bottom>
      <diagonal/>
    </border>
    <border>
      <left style="thin">
        <color indexed="16"/>
      </left>
      <right style="thick">
        <color indexed="8"/>
      </right>
      <top style="thin">
        <color indexed="19"/>
      </top>
      <bottom style="thin">
        <color indexed="16"/>
      </bottom>
      <diagonal/>
    </border>
    <border>
      <left style="thick">
        <color indexed="8"/>
      </left>
      <right style="thick">
        <color indexed="12"/>
      </right>
      <top style="thin">
        <color indexed="16"/>
      </top>
      <bottom style="thin">
        <color indexed="16"/>
      </bottom>
      <diagonal/>
    </border>
    <border>
      <left style="thick">
        <color indexed="12"/>
      </left>
      <right/>
      <top style="thin">
        <color indexed="16"/>
      </top>
      <bottom style="thin">
        <color indexed="16"/>
      </bottom>
      <diagonal/>
    </border>
    <border>
      <left/>
      <right style="thick">
        <color indexed="12"/>
      </right>
      <top style="thin">
        <color indexed="16"/>
      </top>
      <bottom style="thin">
        <color indexed="16"/>
      </bottom>
      <diagonal/>
    </border>
    <border>
      <left style="thick">
        <color indexed="12"/>
      </left>
      <right style="thin">
        <color indexed="16"/>
      </right>
      <top style="thin">
        <color indexed="16"/>
      </top>
      <bottom style="thin">
        <color indexed="16"/>
      </bottom>
      <diagonal/>
    </border>
    <border>
      <left style="thin">
        <color indexed="16"/>
      </left>
      <right style="thick">
        <color indexed="12"/>
      </right>
      <top style="thin">
        <color indexed="16"/>
      </top>
      <bottom style="thin">
        <color indexed="16"/>
      </bottom>
      <diagonal/>
    </border>
    <border>
      <left style="thick">
        <color indexed="8"/>
      </left>
      <right style="thick">
        <color indexed="12"/>
      </right>
      <top style="thin">
        <color indexed="16"/>
      </top>
      <bottom style="thick">
        <color indexed="8"/>
      </bottom>
      <diagonal/>
    </border>
    <border>
      <left style="thick">
        <color indexed="12"/>
      </left>
      <right style="thin">
        <color indexed="16"/>
      </right>
      <top style="thin">
        <color indexed="16"/>
      </top>
      <bottom style="thick">
        <color indexed="8"/>
      </bottom>
      <diagonal/>
    </border>
    <border>
      <left style="thin">
        <color indexed="16"/>
      </left>
      <right style="thick">
        <color indexed="12"/>
      </right>
      <top style="thin">
        <color indexed="16"/>
      </top>
      <bottom style="thick">
        <color indexed="8"/>
      </bottom>
      <diagonal/>
    </border>
    <border>
      <left style="medium">
        <color indexed="8"/>
      </left>
      <right style="thick">
        <color indexed="12"/>
      </right>
      <top style="medium">
        <color indexed="8"/>
      </top>
      <bottom style="thin">
        <color indexed="16"/>
      </bottom>
      <diagonal/>
    </border>
    <border>
      <left style="thick">
        <color indexed="12"/>
      </left>
      <right/>
      <top style="medium">
        <color indexed="8"/>
      </top>
      <bottom style="thin">
        <color indexed="16"/>
      </bottom>
      <diagonal/>
    </border>
    <border>
      <left/>
      <right style="medium">
        <color indexed="8"/>
      </right>
      <top style="medium">
        <color indexed="8"/>
      </top>
      <bottom style="thin">
        <color indexed="16"/>
      </bottom>
      <diagonal/>
    </border>
    <border>
      <left style="medium">
        <color indexed="8"/>
      </left>
      <right style="thick">
        <color indexed="12"/>
      </right>
      <top style="thin">
        <color indexed="16"/>
      </top>
      <bottom style="thin">
        <color indexed="16"/>
      </bottom>
      <diagonal/>
    </border>
    <border>
      <left/>
      <right style="medium">
        <color indexed="8"/>
      </right>
      <top style="thin">
        <color indexed="16"/>
      </top>
      <bottom style="thin">
        <color indexed="16"/>
      </bottom>
      <diagonal/>
    </border>
    <border>
      <left style="thick">
        <color indexed="12"/>
      </left>
      <right/>
      <top/>
      <bottom/>
      <diagonal/>
    </border>
    <border>
      <left style="medium">
        <color indexed="8"/>
      </left>
      <right style="thick">
        <color indexed="12"/>
      </right>
      <top style="thin">
        <color indexed="16"/>
      </top>
      <bottom style="medium">
        <color indexed="8"/>
      </bottom>
      <diagonal/>
    </border>
    <border>
      <left style="thick">
        <color indexed="12"/>
      </left>
      <right style="thin">
        <color indexed="16"/>
      </right>
      <top style="thin">
        <color indexed="16"/>
      </top>
      <bottom style="medium">
        <color indexed="8"/>
      </bottom>
      <diagonal/>
    </border>
    <border>
      <left style="medium">
        <color indexed="8"/>
      </left>
      <right/>
      <top style="medium">
        <color indexed="8"/>
      </top>
      <bottom style="thin">
        <color indexed="19"/>
      </bottom>
      <diagonal/>
    </border>
    <border>
      <left/>
      <right/>
      <top style="medium">
        <color indexed="8"/>
      </top>
      <bottom style="thin">
        <color indexed="19"/>
      </bottom>
      <diagonal/>
    </border>
    <border>
      <left style="medium">
        <color indexed="8"/>
      </left>
      <right style="thick">
        <color indexed="12"/>
      </right>
      <top style="thin">
        <color indexed="19"/>
      </top>
      <bottom style="thin">
        <color indexed="19"/>
      </bottom>
      <diagonal/>
    </border>
    <border>
      <left style="thick">
        <color indexed="12"/>
      </left>
      <right style="medium">
        <color indexed="8"/>
      </right>
      <top style="thin">
        <color indexed="16"/>
      </top>
      <bottom style="thin">
        <color indexed="16"/>
      </bottom>
      <diagonal/>
    </border>
    <border>
      <left style="medium">
        <color indexed="8"/>
      </left>
      <right style="thick">
        <color indexed="12"/>
      </right>
      <top style="thin">
        <color indexed="19"/>
      </top>
      <bottom style="thin">
        <color indexed="16"/>
      </bottom>
      <diagonal/>
    </border>
    <border>
      <left style="medium">
        <color indexed="8"/>
      </left>
      <right style="thick">
        <color indexed="12"/>
      </right>
      <top style="thin">
        <color indexed="16"/>
      </top>
      <bottom style="thin">
        <color indexed="29"/>
      </bottom>
      <diagonal/>
    </border>
    <border>
      <left style="thick">
        <color indexed="12"/>
      </left>
      <right/>
      <top style="thin">
        <color indexed="16"/>
      </top>
      <bottom style="thin">
        <color indexed="29"/>
      </bottom>
      <diagonal/>
    </border>
    <border>
      <left/>
      <right style="thick">
        <color indexed="12"/>
      </right>
      <top style="thin">
        <color indexed="16"/>
      </top>
      <bottom style="thin">
        <color indexed="29"/>
      </bottom>
      <diagonal/>
    </border>
    <border>
      <left style="medium">
        <color indexed="8"/>
      </left>
      <right style="thick">
        <color indexed="12"/>
      </right>
      <top style="thin">
        <color indexed="29"/>
      </top>
      <bottom style="thin">
        <color indexed="16"/>
      </bottom>
      <diagonal/>
    </border>
    <border>
      <left style="thick">
        <color indexed="12"/>
      </left>
      <right style="thin">
        <color indexed="16"/>
      </right>
      <top style="thin">
        <color indexed="29"/>
      </top>
      <bottom style="thin">
        <color indexed="16"/>
      </bottom>
      <diagonal/>
    </border>
    <border>
      <left style="thin">
        <color indexed="16"/>
      </left>
      <right style="thick">
        <color indexed="12"/>
      </right>
      <top style="thin">
        <color indexed="29"/>
      </top>
      <bottom style="thin">
        <color indexed="16"/>
      </bottom>
      <diagonal/>
    </border>
    <border>
      <left style="thin">
        <color indexed="16"/>
      </left>
      <right style="thick">
        <color indexed="12"/>
      </right>
      <top style="thin">
        <color indexed="16"/>
      </top>
      <bottom style="medium">
        <color indexed="8"/>
      </bottom>
      <diagonal/>
    </border>
    <border>
      <left style="thick">
        <color indexed="12"/>
      </left>
      <right style="medium">
        <color indexed="8"/>
      </right>
      <top style="thin">
        <color indexed="16"/>
      </top>
      <bottom style="medium">
        <color indexed="8"/>
      </bottom>
      <diagonal/>
    </border>
    <border>
      <left style="medium">
        <color indexed="8"/>
      </left>
      <right/>
      <top/>
      <bottom style="thin">
        <color indexed="13"/>
      </bottom>
      <diagonal/>
    </border>
    <border>
      <left style="medium">
        <color indexed="8"/>
      </left>
      <right style="thin">
        <color indexed="16"/>
      </right>
      <top style="medium">
        <color indexed="8"/>
      </top>
      <bottom style="medium">
        <color indexed="27"/>
      </bottom>
      <diagonal/>
    </border>
    <border>
      <left style="thin">
        <color indexed="16"/>
      </left>
      <right style="thin">
        <color indexed="16"/>
      </right>
      <top style="medium">
        <color indexed="8"/>
      </top>
      <bottom style="medium">
        <color indexed="27"/>
      </bottom>
      <diagonal/>
    </border>
    <border>
      <left style="thin">
        <color indexed="16"/>
      </left>
      <right style="medium">
        <color indexed="8"/>
      </right>
      <top style="medium">
        <color indexed="8"/>
      </top>
      <bottom style="medium">
        <color indexed="27"/>
      </bottom>
      <diagonal/>
    </border>
    <border>
      <left style="medium">
        <color indexed="8"/>
      </left>
      <right style="thin">
        <color indexed="16"/>
      </right>
      <top style="medium">
        <color indexed="27"/>
      </top>
      <bottom style="thin">
        <color indexed="16"/>
      </bottom>
      <diagonal/>
    </border>
    <border>
      <left style="thin">
        <color indexed="16"/>
      </left>
      <right style="thin">
        <color indexed="16"/>
      </right>
      <top style="medium">
        <color indexed="27"/>
      </top>
      <bottom style="thin">
        <color indexed="16"/>
      </bottom>
      <diagonal/>
    </border>
    <border>
      <left style="thin">
        <color indexed="16"/>
      </left>
      <right style="medium">
        <color indexed="8"/>
      </right>
      <top style="medium">
        <color indexed="27"/>
      </top>
      <bottom style="thin">
        <color indexed="16"/>
      </bottom>
      <diagonal/>
    </border>
    <border>
      <left style="thin">
        <color indexed="16"/>
      </left>
      <right style="thin">
        <color indexed="16"/>
      </right>
      <top style="thin">
        <color indexed="16"/>
      </top>
      <bottom style="medium">
        <color indexed="8"/>
      </bottom>
      <diagonal/>
    </border>
  </borders>
  <cellStyleXfs count="1">
    <xf numFmtId="0" fontId="0" applyNumberFormat="0" applyFont="1" applyFill="0" applyBorder="0" applyAlignment="1" applyProtection="0">
      <alignment vertical="bottom"/>
    </xf>
  </cellStyleXfs>
  <cellXfs count="210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fillId="4" applyNumberFormat="1" applyFont="1" applyFill="1"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49" fontId="6" fillId="4" borderId="3" applyNumberFormat="1"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49" fontId="7" fillId="5" borderId="6" applyNumberFormat="1" applyFont="1" applyFill="1" applyBorder="1" applyAlignment="1" applyProtection="0">
      <alignment horizontal="center" vertical="bottom" wrapText="1"/>
    </xf>
    <xf numFmtId="49" fontId="7" fillId="5" borderId="7" applyNumberFormat="1" applyFont="1" applyFill="1" applyBorder="1" applyAlignment="1" applyProtection="0">
      <alignment horizontal="center" vertical="bottom" wrapText="1"/>
    </xf>
    <xf numFmtId="49" fontId="7" fillId="5" borderId="8" applyNumberFormat="1" applyFont="1" applyFill="1" applyBorder="1" applyAlignment="1" applyProtection="0">
      <alignment horizontal="center" vertical="bottom" wrapText="1"/>
    </xf>
    <xf numFmtId="0" fontId="0" fillId="4" borderId="9" applyNumberFormat="0" applyFont="1" applyFill="1" applyBorder="1" applyAlignment="1" applyProtection="0">
      <alignment vertical="bottom"/>
    </xf>
    <xf numFmtId="0" fontId="0" fillId="4" borderId="10" applyNumberFormat="0" applyFont="1" applyFill="1" applyBorder="1" applyAlignment="1" applyProtection="0">
      <alignment vertical="bottom"/>
    </xf>
    <xf numFmtId="0" fontId="0" fillId="4" borderId="11" applyNumberFormat="0" applyFont="1" applyFill="1" applyBorder="1" applyAlignment="1" applyProtection="0">
      <alignment vertical="bottom"/>
    </xf>
    <xf numFmtId="49" fontId="8" fillId="5" borderId="12" applyNumberFormat="1" applyFont="1" applyFill="1" applyBorder="1" applyAlignment="1" applyProtection="0">
      <alignment horizontal="center" vertical="bottom"/>
    </xf>
    <xf numFmtId="49" fontId="8" fillId="5" borderId="13" applyNumberFormat="1" applyFont="1" applyFill="1" applyBorder="1" applyAlignment="1" applyProtection="0">
      <alignment horizontal="center" vertical="bottom"/>
    </xf>
    <xf numFmtId="9" fontId="8" fillId="5" borderId="13" applyNumberFormat="1" applyFont="1" applyFill="1" applyBorder="1" applyAlignment="1" applyProtection="0">
      <alignment horizontal="center" vertical="bottom"/>
    </xf>
    <xf numFmtId="9" fontId="8" fillId="5" borderId="14" applyNumberFormat="1" applyFont="1" applyFill="1" applyBorder="1" applyAlignment="1" applyProtection="0">
      <alignment horizontal="center" vertical="bottom"/>
    </xf>
    <xf numFmtId="49" fontId="8" fillId="5" borderId="15" applyNumberFormat="1" applyFont="1" applyFill="1" applyBorder="1" applyAlignment="1" applyProtection="0">
      <alignment horizontal="center" vertical="bottom"/>
    </xf>
    <xf numFmtId="49" fontId="8" fillId="5" borderId="16" applyNumberFormat="1" applyFont="1" applyFill="1" applyBorder="1" applyAlignment="1" applyProtection="0">
      <alignment horizontal="center" vertical="bottom"/>
    </xf>
    <xf numFmtId="9" fontId="8" fillId="5" borderId="16" applyNumberFormat="1" applyFont="1" applyFill="1" applyBorder="1" applyAlignment="1" applyProtection="0">
      <alignment horizontal="center" vertical="bottom"/>
    </xf>
    <xf numFmtId="49" fontId="8" fillId="5" borderId="17" applyNumberFormat="1" applyFont="1" applyFill="1" applyBorder="1" applyAlignment="1" applyProtection="0">
      <alignment horizontal="center" vertical="bottom"/>
    </xf>
    <xf numFmtId="49" fontId="8" fillId="5" borderId="18" applyNumberFormat="1" applyFont="1" applyFill="1" applyBorder="1" applyAlignment="1" applyProtection="0">
      <alignment horizontal="center" vertical="bottom"/>
    </xf>
    <xf numFmtId="49" fontId="8" fillId="5" borderId="19" applyNumberFormat="1" applyFont="1" applyFill="1" applyBorder="1" applyAlignment="1" applyProtection="0">
      <alignment horizontal="center" vertical="bottom"/>
    </xf>
    <xf numFmtId="9" fontId="8" fillId="5" borderId="19" applyNumberFormat="1" applyFont="1" applyFill="1" applyBorder="1" applyAlignment="1" applyProtection="0">
      <alignment horizontal="center" vertical="bottom"/>
    </xf>
    <xf numFmtId="49" fontId="8" fillId="5" borderId="20" applyNumberFormat="1" applyFont="1" applyFill="1" applyBorder="1" applyAlignment="1" applyProtection="0">
      <alignment horizontal="center" vertical="bottom"/>
    </xf>
    <xf numFmtId="59" fontId="0" fillId="4" borderId="10" applyNumberFormat="1" applyFont="1" applyFill="1" applyBorder="1" applyAlignment="1" applyProtection="0">
      <alignment vertical="bottom"/>
    </xf>
    <xf numFmtId="0" fontId="0" fillId="4" borderId="21" applyNumberFormat="0" applyFont="1" applyFill="1" applyBorder="1" applyAlignment="1" applyProtection="0">
      <alignment vertical="bottom"/>
    </xf>
    <xf numFmtId="0" fontId="0" fillId="4" borderId="22" applyNumberFormat="0" applyFont="1" applyFill="1" applyBorder="1" applyAlignment="1" applyProtection="0">
      <alignment vertical="bottom"/>
    </xf>
    <xf numFmtId="60" fontId="0" fillId="4" borderId="23" applyNumberFormat="1" applyFont="1" applyFill="1" applyBorder="1" applyAlignment="1" applyProtection="0">
      <alignment vertical="bottom"/>
    </xf>
    <xf numFmtId="0" fontId="0" fillId="4" borderId="23" applyNumberFormat="0" applyFont="1" applyFill="1" applyBorder="1" applyAlignment="1" applyProtection="0">
      <alignment vertical="bottom"/>
    </xf>
    <xf numFmtId="49" fontId="9" fillId="6" borderId="24" applyNumberFormat="1" applyFont="1" applyFill="1" applyBorder="1" applyAlignment="1" applyProtection="0">
      <alignment horizontal="center" vertical="bottom" wrapText="1"/>
    </xf>
    <xf numFmtId="49" fontId="9" fillId="6" borderId="25" applyNumberFormat="1" applyFont="1" applyFill="1" applyBorder="1" applyAlignment="1" applyProtection="0">
      <alignment horizontal="right" vertical="bottom" wrapText="1"/>
    </xf>
    <xf numFmtId="49" fontId="9" fillId="7" borderId="25" applyNumberFormat="1" applyFont="1" applyFill="1" applyBorder="1" applyAlignment="1" applyProtection="0">
      <alignment horizontal="center" vertical="bottom" wrapText="1"/>
    </xf>
    <xf numFmtId="49" fontId="9" fillId="7" borderId="26" applyNumberFormat="1" applyFont="1" applyFill="1" applyBorder="1" applyAlignment="1" applyProtection="0">
      <alignment horizontal="center" vertical="bottom" wrapText="1"/>
    </xf>
    <xf numFmtId="49" fontId="10" fillId="6" borderId="27" applyNumberFormat="1" applyFont="1" applyFill="1" applyBorder="1" applyAlignment="1" applyProtection="0">
      <alignment horizontal="left" vertical="bottom" wrapText="1"/>
    </xf>
    <xf numFmtId="61" fontId="11" fillId="6" borderId="28" applyNumberFormat="1" applyFont="1" applyFill="1" applyBorder="1" applyAlignment="1" applyProtection="0">
      <alignment horizontal="right" vertical="bottom" wrapText="1"/>
    </xf>
    <xf numFmtId="61" fontId="11" fillId="7" borderId="28" applyNumberFormat="1" applyFont="1" applyFill="1" applyBorder="1" applyAlignment="1" applyProtection="0">
      <alignment horizontal="right" vertical="bottom" wrapText="1"/>
    </xf>
    <xf numFmtId="61" fontId="9" fillId="7" borderId="28" applyNumberFormat="1" applyFont="1" applyFill="1" applyBorder="1" applyAlignment="1" applyProtection="0">
      <alignment horizontal="right" vertical="bottom" wrapText="1"/>
    </xf>
    <xf numFmtId="61" fontId="9" fillId="7" borderId="29" applyNumberFormat="1" applyFont="1" applyFill="1" applyBorder="1" applyAlignment="1" applyProtection="0">
      <alignment horizontal="right" vertical="bottom" wrapText="1"/>
    </xf>
    <xf numFmtId="60" fontId="0" fillId="4" borderId="10" applyNumberFormat="1" applyFont="1" applyFill="1" applyBorder="1" applyAlignment="1" applyProtection="0">
      <alignment vertical="bottom"/>
    </xf>
    <xf numFmtId="49" fontId="10" fillId="6" borderId="30" applyNumberFormat="1" applyFont="1" applyFill="1" applyBorder="1" applyAlignment="1" applyProtection="0">
      <alignment horizontal="right" vertical="bottom" wrapText="1"/>
    </xf>
    <xf numFmtId="61" fontId="10" fillId="6" borderId="31" applyNumberFormat="1" applyFont="1" applyFill="1" applyBorder="1" applyAlignment="1" applyProtection="0">
      <alignment horizontal="right" vertical="bottom" wrapText="1"/>
    </xf>
    <xf numFmtId="61" fontId="9" fillId="7" borderId="32" applyNumberFormat="1" applyFont="1" applyFill="1" applyBorder="1" applyAlignment="1" applyProtection="0">
      <alignment horizontal="right" vertical="bottom" wrapText="1"/>
    </xf>
    <xf numFmtId="61" fontId="9" fillId="7" borderId="33" applyNumberFormat="1" applyFont="1" applyFill="1" applyBorder="1" applyAlignment="1" applyProtection="0">
      <alignment horizontal="right" vertical="bottom" wrapText="1"/>
    </xf>
    <xf numFmtId="0" fontId="12" fillId="4" borderId="22" applyNumberFormat="0" applyFont="1" applyFill="1" applyBorder="1" applyAlignment="1" applyProtection="0">
      <alignment vertical="bottom"/>
    </xf>
    <xf numFmtId="49" fontId="9" fillId="8" borderId="24" applyNumberFormat="1" applyFont="1" applyFill="1" applyBorder="1" applyAlignment="1" applyProtection="0">
      <alignment horizontal="center" vertical="bottom" wrapText="1"/>
    </xf>
    <xf numFmtId="49" fontId="9" fillId="8" borderId="25" applyNumberFormat="1" applyFont="1" applyFill="1" applyBorder="1" applyAlignment="1" applyProtection="0">
      <alignment horizontal="right" vertical="bottom" wrapText="1"/>
    </xf>
    <xf numFmtId="49" fontId="9" fillId="9" borderId="25" applyNumberFormat="1" applyFont="1" applyFill="1" applyBorder="1" applyAlignment="1" applyProtection="0">
      <alignment horizontal="center" vertical="bottom" wrapText="1"/>
    </xf>
    <xf numFmtId="49" fontId="9" fillId="9" borderId="26" applyNumberFormat="1" applyFont="1" applyFill="1" applyBorder="1" applyAlignment="1" applyProtection="0">
      <alignment horizontal="center" vertical="bottom" wrapText="1"/>
    </xf>
    <xf numFmtId="49" fontId="10" fillId="8" borderId="27" applyNumberFormat="1" applyFont="1" applyFill="1" applyBorder="1" applyAlignment="1" applyProtection="0">
      <alignment horizontal="left" vertical="bottom" wrapText="1"/>
    </xf>
    <xf numFmtId="61" fontId="11" fillId="8" borderId="28" applyNumberFormat="1" applyFont="1" applyFill="1" applyBorder="1" applyAlignment="1" applyProtection="0">
      <alignment horizontal="right" vertical="bottom" wrapText="1"/>
    </xf>
    <xf numFmtId="61" fontId="11" fillId="9" borderId="28" applyNumberFormat="1" applyFont="1" applyFill="1" applyBorder="1" applyAlignment="1" applyProtection="0">
      <alignment horizontal="right" vertical="bottom" wrapText="1"/>
    </xf>
    <xf numFmtId="61" fontId="9" fillId="9" borderId="28" applyNumberFormat="1" applyFont="1" applyFill="1" applyBorder="1" applyAlignment="1" applyProtection="0">
      <alignment horizontal="right" vertical="bottom" wrapText="1"/>
    </xf>
    <xf numFmtId="61" fontId="9" fillId="9" borderId="29" applyNumberFormat="1" applyFont="1" applyFill="1" applyBorder="1" applyAlignment="1" applyProtection="0">
      <alignment horizontal="right" vertical="bottom" wrapText="1"/>
    </xf>
    <xf numFmtId="49" fontId="10" fillId="8" borderId="30" applyNumberFormat="1" applyFont="1" applyFill="1" applyBorder="1" applyAlignment="1" applyProtection="0">
      <alignment horizontal="right" vertical="bottom" wrapText="1"/>
    </xf>
    <xf numFmtId="61" fontId="10" fillId="8" borderId="31" applyNumberFormat="1" applyFont="1" applyFill="1" applyBorder="1" applyAlignment="1" applyProtection="0">
      <alignment horizontal="right" vertical="bottom" wrapText="1"/>
    </xf>
    <xf numFmtId="61" fontId="9" fillId="9" borderId="32" applyNumberFormat="1" applyFont="1" applyFill="1" applyBorder="1" applyAlignment="1" applyProtection="0">
      <alignment horizontal="right" vertical="bottom" wrapText="1"/>
    </xf>
    <xf numFmtId="61" fontId="9" fillId="9" borderId="33" applyNumberFormat="1" applyFont="1" applyFill="1" applyBorder="1" applyAlignment="1" applyProtection="0">
      <alignment horizontal="right" vertical="bottom" wrapText="1"/>
    </xf>
    <xf numFmtId="49" fontId="9" fillId="10" borderId="24" applyNumberFormat="1" applyFont="1" applyFill="1" applyBorder="1" applyAlignment="1" applyProtection="0">
      <alignment horizontal="center" vertical="bottom"/>
    </xf>
    <xf numFmtId="49" fontId="9" fillId="10" borderId="25" applyNumberFormat="1" applyFont="1" applyFill="1" applyBorder="1" applyAlignment="1" applyProtection="0">
      <alignment horizontal="center" vertical="bottom" wrapText="1"/>
    </xf>
    <xf numFmtId="49" fontId="9" fillId="11" borderId="25" applyNumberFormat="1" applyFont="1" applyFill="1" applyBorder="1" applyAlignment="1" applyProtection="0">
      <alignment horizontal="center" vertical="bottom" wrapText="1"/>
    </xf>
    <xf numFmtId="49" fontId="9" fillId="11" borderId="26" applyNumberFormat="1" applyFont="1" applyFill="1" applyBorder="1" applyAlignment="1" applyProtection="0">
      <alignment horizontal="center" vertical="bottom" wrapText="1"/>
    </xf>
    <xf numFmtId="49" fontId="9" fillId="12" borderId="34" applyNumberFormat="1" applyFont="1" applyFill="1" applyBorder="1" applyAlignment="1" applyProtection="0">
      <alignment horizontal="center" vertical="bottom" wrapText="1"/>
    </xf>
    <xf numFmtId="49" fontId="9" fillId="12" borderId="35" applyNumberFormat="1" applyFont="1" applyFill="1" applyBorder="1" applyAlignment="1" applyProtection="0">
      <alignment horizontal="center" vertical="bottom" wrapText="1"/>
    </xf>
    <xf numFmtId="49" fontId="9" fillId="12" borderId="36" applyNumberFormat="1" applyFont="1" applyFill="1" applyBorder="1" applyAlignment="1" applyProtection="0">
      <alignment horizontal="center" vertical="bottom" wrapText="1"/>
    </xf>
    <xf numFmtId="0" fontId="0" fillId="4" borderId="37" applyNumberFormat="0" applyFont="1" applyFill="1" applyBorder="1" applyAlignment="1" applyProtection="0">
      <alignment vertical="bottom"/>
    </xf>
    <xf numFmtId="49" fontId="9" fillId="13" borderId="36" applyNumberFormat="1" applyFont="1" applyFill="1" applyBorder="1" applyAlignment="1" applyProtection="0">
      <alignment horizontal="center" vertical="bottom" wrapText="1"/>
    </xf>
    <xf numFmtId="49" fontId="9" fillId="14" borderId="36" applyNumberFormat="1" applyFont="1" applyFill="1" applyBorder="1" applyAlignment="1" applyProtection="0">
      <alignment horizontal="center" vertical="bottom" wrapText="1"/>
    </xf>
    <xf numFmtId="0" fontId="0" fillId="4" borderId="38" applyNumberFormat="0" applyFont="1" applyFill="1" applyBorder="1" applyAlignment="1" applyProtection="0">
      <alignment vertical="bottom"/>
    </xf>
    <xf numFmtId="49" fontId="13" fillId="10" borderId="15" applyNumberFormat="1" applyFont="1" applyFill="1" applyBorder="1" applyAlignment="1" applyProtection="0">
      <alignment horizontal="left" vertical="bottom"/>
    </xf>
    <xf numFmtId="0" fontId="9" fillId="10" borderId="16" applyNumberFormat="0" applyFont="1" applyFill="1" applyBorder="1" applyAlignment="1" applyProtection="0">
      <alignment horizontal="center" vertical="bottom" wrapText="1"/>
    </xf>
    <xf numFmtId="0" fontId="9" fillId="11" borderId="16" applyNumberFormat="0" applyFont="1" applyFill="1" applyBorder="1" applyAlignment="1" applyProtection="0">
      <alignment horizontal="center" vertical="bottom" wrapText="1"/>
    </xf>
    <xf numFmtId="0" fontId="9" fillId="11" borderId="17" applyNumberFormat="0" applyFont="1" applyFill="1" applyBorder="1" applyAlignment="1" applyProtection="0">
      <alignment horizontal="center" vertical="bottom" wrapText="1"/>
    </xf>
    <xf numFmtId="0" fontId="9" fillId="12" borderId="39" applyNumberFormat="0" applyFont="1" applyFill="1" applyBorder="1" applyAlignment="1" applyProtection="0">
      <alignment horizontal="center" vertical="bottom" wrapText="1"/>
    </xf>
    <xf numFmtId="0" fontId="9" fillId="12" borderId="40" applyNumberFormat="0" applyFont="1" applyFill="1" applyBorder="1" applyAlignment="1" applyProtection="0">
      <alignment horizontal="center" vertical="bottom" wrapText="1"/>
    </xf>
    <xf numFmtId="0" fontId="9" fillId="12" borderId="41" applyNumberFormat="0" applyFont="1" applyFill="1" applyBorder="1" applyAlignment="1" applyProtection="0">
      <alignment horizontal="center" vertical="bottom" wrapText="1"/>
    </xf>
    <xf numFmtId="0" fontId="9" fillId="13" borderId="41" applyNumberFormat="0" applyFont="1" applyFill="1" applyBorder="1" applyAlignment="1" applyProtection="0">
      <alignment horizontal="center" vertical="bottom" wrapText="1"/>
    </xf>
    <xf numFmtId="0" fontId="9" fillId="14" borderId="41" applyNumberFormat="0" applyFont="1" applyFill="1" applyBorder="1" applyAlignment="1" applyProtection="0">
      <alignment horizontal="center" vertical="bottom" wrapText="1"/>
    </xf>
    <xf numFmtId="49" fontId="10" fillId="10" borderId="15" applyNumberFormat="1" applyFont="1" applyFill="1" applyBorder="1" applyAlignment="1" applyProtection="0">
      <alignment horizontal="left" vertical="bottom" wrapText="1"/>
    </xf>
    <xf numFmtId="61" fontId="11" fillId="10" borderId="16" applyNumberFormat="1" applyFont="1" applyFill="1" applyBorder="1" applyAlignment="1" applyProtection="0">
      <alignment horizontal="center" vertical="bottom" wrapText="1"/>
    </xf>
    <xf numFmtId="61" fontId="9" fillId="11" borderId="16" applyNumberFormat="1" applyFont="1" applyFill="1" applyBorder="1" applyAlignment="1" applyProtection="0">
      <alignment horizontal="center" vertical="bottom" wrapText="1"/>
    </xf>
    <xf numFmtId="61" fontId="9" fillId="11" borderId="17" applyNumberFormat="1" applyFont="1" applyFill="1" applyBorder="1" applyAlignment="1" applyProtection="0">
      <alignment horizontal="center" vertical="bottom" wrapText="1"/>
    </xf>
    <xf numFmtId="61" fontId="11" fillId="12" borderId="39" applyNumberFormat="1" applyFont="1" applyFill="1" applyBorder="1" applyAlignment="1" applyProtection="0">
      <alignment horizontal="center" vertical="bottom" wrapText="1"/>
    </xf>
    <xf numFmtId="61" fontId="9" fillId="12" borderId="40" applyNumberFormat="1" applyFont="1" applyFill="1" applyBorder="1" applyAlignment="1" applyProtection="0">
      <alignment horizontal="center" vertical="bottom" wrapText="1"/>
    </xf>
    <xf numFmtId="61" fontId="9" fillId="12" borderId="41" applyNumberFormat="1" applyFont="1" applyFill="1" applyBorder="1" applyAlignment="1" applyProtection="0">
      <alignment horizontal="center" vertical="bottom" wrapText="1"/>
    </xf>
    <xf numFmtId="61" fontId="9" fillId="13" borderId="41" applyNumberFormat="1" applyFont="1" applyFill="1" applyBorder="1" applyAlignment="1" applyProtection="0">
      <alignment horizontal="center" vertical="bottom" wrapText="1"/>
    </xf>
    <xf numFmtId="61" fontId="9" fillId="14" borderId="41" applyNumberFormat="1" applyFont="1" applyFill="1" applyBorder="1" applyAlignment="1" applyProtection="0">
      <alignment horizontal="center" vertical="bottom" wrapText="1"/>
    </xf>
    <xf numFmtId="0" fontId="10" fillId="10" borderId="15" applyNumberFormat="0" applyFont="1" applyFill="1" applyBorder="1" applyAlignment="1" applyProtection="0">
      <alignment horizontal="left" vertical="bottom" wrapText="1"/>
    </xf>
    <xf numFmtId="61" fontId="9" fillId="10" borderId="16" applyNumberFormat="1" applyFont="1" applyFill="1" applyBorder="1" applyAlignment="1" applyProtection="0">
      <alignment horizontal="center" vertical="bottom" wrapText="1"/>
    </xf>
    <xf numFmtId="61" fontId="9" fillId="12" borderId="39" applyNumberFormat="1" applyFont="1" applyFill="1" applyBorder="1" applyAlignment="1" applyProtection="0">
      <alignment horizontal="center" vertical="bottom" wrapText="1"/>
    </xf>
    <xf numFmtId="49" fontId="14" fillId="4" borderId="5" applyNumberFormat="1" applyFont="1" applyFill="1" applyBorder="1" applyAlignment="1" applyProtection="0">
      <alignment vertical="bottom"/>
    </xf>
    <xf numFmtId="9" fontId="9" fillId="13" borderId="41" applyNumberFormat="1" applyFont="1" applyFill="1" applyBorder="1" applyAlignment="1" applyProtection="0">
      <alignment horizontal="center" vertical="bottom" wrapText="1"/>
    </xf>
    <xf numFmtId="62" fontId="9" fillId="14" borderId="41" applyNumberFormat="1" applyFont="1" applyFill="1" applyBorder="1" applyAlignment="1" applyProtection="0">
      <alignment horizontal="center" vertical="bottom" wrapText="1"/>
    </xf>
    <xf numFmtId="49" fontId="0" fillId="4" borderId="5" applyNumberFormat="1" applyFont="1" applyFill="1" applyBorder="1" applyAlignment="1" applyProtection="0">
      <alignment vertical="bottom"/>
    </xf>
    <xf numFmtId="0" fontId="10" fillId="15" borderId="15" applyNumberFormat="0" applyFont="1" applyFill="1" applyBorder="1" applyAlignment="1" applyProtection="0">
      <alignment horizontal="left" vertical="bottom" wrapText="1"/>
    </xf>
    <xf numFmtId="61" fontId="9" fillId="15" borderId="16" applyNumberFormat="1" applyFont="1" applyFill="1" applyBorder="1" applyAlignment="1" applyProtection="0">
      <alignment horizontal="center" vertical="bottom" wrapText="1"/>
    </xf>
    <xf numFmtId="61" fontId="9" fillId="15" borderId="17" applyNumberFormat="1" applyFont="1" applyFill="1" applyBorder="1" applyAlignment="1" applyProtection="0">
      <alignment horizontal="center" vertical="bottom" wrapText="1"/>
    </xf>
    <xf numFmtId="49" fontId="9" fillId="15" borderId="41" applyNumberFormat="1" applyFont="1" applyFill="1" applyBorder="1" applyAlignment="1" applyProtection="0">
      <alignment horizontal="center" vertical="bottom" wrapText="1"/>
    </xf>
    <xf numFmtId="49" fontId="9" fillId="14" borderId="41" applyNumberFormat="1" applyFont="1" applyFill="1" applyBorder="1" applyAlignment="1" applyProtection="0">
      <alignment horizontal="center" vertical="bottom" wrapText="1"/>
    </xf>
    <xf numFmtId="49" fontId="9" fillId="13" borderId="41" applyNumberFormat="1" applyFont="1" applyFill="1" applyBorder="1" applyAlignment="1" applyProtection="0">
      <alignment horizontal="center" vertical="bottom" wrapText="1"/>
    </xf>
    <xf numFmtId="49" fontId="6" fillId="4" borderId="9" applyNumberFormat="1" applyFont="1" applyFill="1" applyBorder="1" applyAlignment="1" applyProtection="0">
      <alignment vertical="bottom"/>
    </xf>
    <xf numFmtId="49" fontId="0" fillId="4" borderId="9" applyNumberFormat="1" applyFont="1" applyFill="1" applyBorder="1" applyAlignment="1" applyProtection="0">
      <alignment vertical="bottom"/>
    </xf>
    <xf numFmtId="49" fontId="15" fillId="4" borderId="9" applyNumberFormat="1" applyFont="1" applyFill="1" applyBorder="1" applyAlignment="1" applyProtection="0">
      <alignment vertical="bottom"/>
    </xf>
    <xf numFmtId="61" fontId="0" fillId="4" borderId="9" applyNumberFormat="1" applyFont="1" applyFill="1" applyBorder="1" applyAlignment="1" applyProtection="0">
      <alignment vertical="bottom"/>
    </xf>
    <xf numFmtId="49" fontId="0" fillId="4" borderId="10" applyNumberFormat="1" applyFont="1" applyFill="1" applyBorder="1" applyAlignment="1" applyProtection="0">
      <alignment vertical="bottom"/>
    </xf>
    <xf numFmtId="49" fontId="10" fillId="15" borderId="15" applyNumberFormat="1" applyFont="1" applyFill="1" applyBorder="1" applyAlignment="1" applyProtection="0">
      <alignment horizontal="left" vertical="bottom" wrapText="1"/>
    </xf>
    <xf numFmtId="0" fontId="10" fillId="10" borderId="18" applyNumberFormat="0" applyFont="1" applyFill="1" applyBorder="1" applyAlignment="1" applyProtection="0">
      <alignment horizontal="left" vertical="bottom" wrapText="1"/>
    </xf>
    <xf numFmtId="61" fontId="9" fillId="10" borderId="19" applyNumberFormat="1" applyFont="1" applyFill="1" applyBorder="1" applyAlignment="1" applyProtection="0">
      <alignment horizontal="center" vertical="bottom" wrapText="1"/>
    </xf>
    <xf numFmtId="61" fontId="9" fillId="11" borderId="19" applyNumberFormat="1" applyFont="1" applyFill="1" applyBorder="1" applyAlignment="1" applyProtection="0">
      <alignment horizontal="center" vertical="bottom" wrapText="1"/>
    </xf>
    <xf numFmtId="61" fontId="9" fillId="11" borderId="20" applyNumberFormat="1" applyFont="1" applyFill="1" applyBorder="1" applyAlignment="1" applyProtection="0">
      <alignment horizontal="center" vertical="bottom" wrapText="1"/>
    </xf>
    <xf numFmtId="61" fontId="9" fillId="12" borderId="42" applyNumberFormat="1" applyFont="1" applyFill="1" applyBorder="1" applyAlignment="1" applyProtection="0">
      <alignment horizontal="center" vertical="bottom" wrapText="1"/>
    </xf>
    <xf numFmtId="61" fontId="9" fillId="12" borderId="33" applyNumberFormat="1" applyFont="1" applyFill="1" applyBorder="1" applyAlignment="1" applyProtection="0">
      <alignment horizontal="center" vertical="bottom" wrapText="1"/>
    </xf>
    <xf numFmtId="61" fontId="9" fillId="12" borderId="43" applyNumberFormat="1" applyFont="1" applyFill="1" applyBorder="1" applyAlignment="1" applyProtection="0">
      <alignment horizontal="center" vertical="bottom" wrapText="1"/>
    </xf>
    <xf numFmtId="61" fontId="9" fillId="13" borderId="43" applyNumberFormat="1" applyFont="1" applyFill="1" applyBorder="1" applyAlignment="1" applyProtection="0">
      <alignment horizontal="center" vertical="bottom" wrapText="1"/>
    </xf>
    <xf numFmtId="9" fontId="9" fillId="13" borderId="43" applyNumberFormat="1" applyFont="1" applyFill="1" applyBorder="1" applyAlignment="1" applyProtection="0">
      <alignment horizontal="center" vertical="bottom" wrapText="1"/>
    </xf>
    <xf numFmtId="49" fontId="9" fillId="13" borderId="43" applyNumberFormat="1" applyFont="1" applyFill="1" applyBorder="1" applyAlignment="1" applyProtection="0">
      <alignment horizontal="center" vertical="bottom" wrapText="1"/>
    </xf>
    <xf numFmtId="62" fontId="9" fillId="14" borderId="43" applyNumberFormat="1" applyFont="1" applyFill="1" applyBorder="1" applyAlignment="1" applyProtection="0">
      <alignment horizontal="center" vertical="bottom" wrapText="1"/>
    </xf>
    <xf numFmtId="61" fontId="9" fillId="14" borderId="43" applyNumberFormat="1" applyFont="1" applyFill="1" applyBorder="1" applyAlignment="1" applyProtection="0">
      <alignment horizontal="center" vertical="bottom" wrapText="1"/>
    </xf>
    <xf numFmtId="0" fontId="0" fillId="4" borderId="44" applyNumberFormat="0" applyFont="1" applyFill="1" applyBorder="1" applyAlignment="1" applyProtection="0">
      <alignment vertical="bottom"/>
    </xf>
    <xf numFmtId="0" fontId="0" fillId="4" borderId="45" applyNumberFormat="0" applyFont="1" applyFill="1" applyBorder="1" applyAlignment="1" applyProtection="0">
      <alignment vertical="bottom"/>
    </xf>
    <xf numFmtId="61" fontId="16" fillId="4" borderId="45" applyNumberFormat="1" applyFont="1" applyFill="1" applyBorder="1" applyAlignment="1" applyProtection="0">
      <alignment vertical="bottom"/>
    </xf>
    <xf numFmtId="0" fontId="0" fillId="4" borderId="46" applyNumberFormat="0" applyFont="1" applyFill="1" applyBorder="1" applyAlignment="1" applyProtection="0">
      <alignment vertical="bottom"/>
    </xf>
    <xf numFmtId="49" fontId="9" fillId="10" borderId="26" applyNumberFormat="1" applyFont="1" applyFill="1" applyBorder="1" applyAlignment="1" applyProtection="0">
      <alignment horizontal="center" vertical="bottom" wrapText="1"/>
    </xf>
    <xf numFmtId="61" fontId="16" fillId="4" borderId="47" applyNumberFormat="1" applyFont="1" applyFill="1" applyBorder="1" applyAlignment="1" applyProtection="0">
      <alignment vertical="bottom"/>
    </xf>
    <xf numFmtId="49" fontId="9" fillId="10" borderId="48" applyNumberFormat="1" applyFont="1" applyFill="1" applyBorder="1" applyAlignment="1" applyProtection="0">
      <alignment horizontal="center" vertical="bottom"/>
    </xf>
    <xf numFmtId="49" fontId="9" fillId="10" borderId="49" applyNumberFormat="1" applyFont="1" applyFill="1" applyBorder="1" applyAlignment="1" applyProtection="0">
      <alignment horizontal="center" vertical="bottom" wrapText="1"/>
    </xf>
    <xf numFmtId="0" fontId="0" fillId="4" borderId="50" applyNumberFormat="0" applyFont="1" applyFill="1" applyBorder="1" applyAlignment="1" applyProtection="0">
      <alignment vertical="bottom"/>
    </xf>
    <xf numFmtId="61" fontId="9" fillId="10" borderId="17" applyNumberFormat="1" applyFont="1" applyFill="1" applyBorder="1" applyAlignment="1" applyProtection="0">
      <alignment horizontal="center" vertical="bottom" wrapText="1"/>
    </xf>
    <xf numFmtId="49" fontId="10" fillId="10" borderId="51" applyNumberFormat="1" applyFont="1" applyFill="1" applyBorder="1" applyAlignment="1" applyProtection="0">
      <alignment horizontal="right" vertical="bottom" wrapText="1"/>
    </xf>
    <xf numFmtId="61" fontId="9" fillId="10" borderId="52" applyNumberFormat="1" applyFont="1" applyFill="1" applyBorder="1" applyAlignment="1" applyProtection="0">
      <alignment horizontal="center" vertical="bottom" wrapText="1"/>
    </xf>
    <xf numFmtId="49" fontId="10" fillId="10" borderId="18" applyNumberFormat="1" applyFont="1" applyFill="1" applyBorder="1" applyAlignment="1" applyProtection="0">
      <alignment horizontal="left" vertical="bottom" wrapText="1"/>
    </xf>
    <xf numFmtId="61" fontId="9" fillId="10" borderId="20" applyNumberFormat="1" applyFont="1" applyFill="1" applyBorder="1" applyAlignment="1" applyProtection="0">
      <alignment horizontal="center" vertical="bottom" wrapText="1"/>
    </xf>
    <xf numFmtId="0" fontId="10" fillId="10" borderId="53" applyNumberFormat="0" applyFont="1" applyFill="1" applyBorder="1" applyAlignment="1" applyProtection="0">
      <alignment horizontal="left" vertical="bottom" wrapText="1"/>
    </xf>
    <xf numFmtId="61" fontId="9" fillId="10" borderId="54" applyNumberFormat="1" applyFont="1" applyFill="1" applyBorder="1" applyAlignment="1" applyProtection="0">
      <alignment horizontal="center" vertical="bottom" wrapText="1"/>
    </xf>
    <xf numFmtId="61" fontId="16" fillId="4" borderId="23" applyNumberFormat="1" applyFont="1" applyFill="1" applyBorder="1" applyAlignment="1" applyProtection="0">
      <alignment vertical="bottom"/>
    </xf>
    <xf numFmtId="61" fontId="16" fillId="4" borderId="55" applyNumberFormat="1" applyFont="1" applyFill="1" applyBorder="1" applyAlignment="1" applyProtection="0">
      <alignment vertical="bottom"/>
    </xf>
    <xf numFmtId="0" fontId="9" fillId="10" borderId="24" applyNumberFormat="0" applyFont="1" applyFill="1" applyBorder="1" applyAlignment="1" applyProtection="0">
      <alignment horizontal="center" vertical="bottom" wrapText="1"/>
    </xf>
    <xf numFmtId="0" fontId="9" fillId="10" borderId="25" applyNumberFormat="0" applyFont="1" applyFill="1" applyBorder="1" applyAlignment="1" applyProtection="0">
      <alignment horizontal="center" vertical="bottom" wrapText="1"/>
    </xf>
    <xf numFmtId="63" fontId="0" fillId="4" borderId="10" applyNumberFormat="1" applyFont="1" applyFill="1" applyBorder="1" applyAlignment="1" applyProtection="0">
      <alignment vertical="bottom"/>
    </xf>
    <xf numFmtId="49" fontId="9" fillId="10" borderId="18" applyNumberFormat="1" applyFont="1" applyFill="1" applyBorder="1" applyAlignment="1" applyProtection="0">
      <alignment horizontal="right" vertical="bottom"/>
    </xf>
    <xf numFmtId="0" fontId="9" fillId="10" borderId="19" applyNumberFormat="0" applyFont="1" applyFill="1" applyBorder="1" applyAlignment="1" applyProtection="0">
      <alignment horizontal="right" vertical="bottom"/>
    </xf>
    <xf numFmtId="9" fontId="9" fillId="10" borderId="19" applyNumberFormat="1" applyFont="1" applyFill="1" applyBorder="1" applyAlignment="1" applyProtection="0">
      <alignment horizontal="center" vertical="bottom"/>
    </xf>
    <xf numFmtId="9" fontId="9" fillId="10" borderId="19" applyNumberFormat="1" applyFont="1" applyFill="1" applyBorder="1" applyAlignment="1" applyProtection="0">
      <alignment horizontal="center" vertical="bottom" wrapText="1"/>
    </xf>
    <xf numFmtId="9" fontId="9" fillId="10" borderId="20" applyNumberFormat="1" applyFont="1" applyFill="1" applyBorder="1" applyAlignment="1" applyProtection="0">
      <alignment horizontal="center" vertical="bottom" wrapText="1"/>
    </xf>
    <xf numFmtId="61" fontId="0" fillId="4" borderId="22" applyNumberFormat="1" applyFont="1" applyFill="1" applyBorder="1" applyAlignment="1" applyProtection="0">
      <alignment vertical="bottom"/>
    </xf>
    <xf numFmtId="4" fontId="0" fillId="4" borderId="23" applyNumberFormat="1" applyFont="1" applyFill="1" applyBorder="1" applyAlignment="1" applyProtection="0">
      <alignment vertical="bottom"/>
    </xf>
    <xf numFmtId="49" fontId="17" fillId="10" borderId="56" applyNumberFormat="1" applyFont="1" applyFill="1" applyBorder="1" applyAlignment="1" applyProtection="0">
      <alignment horizontal="left" vertical="bottom" wrapText="1"/>
    </xf>
    <xf numFmtId="0" fontId="17" fillId="10" borderId="57" applyNumberFormat="0" applyFont="1" applyFill="1" applyBorder="1" applyAlignment="1" applyProtection="0">
      <alignment horizontal="left" vertical="bottom" wrapText="1"/>
    </xf>
    <xf numFmtId="0" fontId="17" fillId="10" borderId="58" applyNumberFormat="0" applyFont="1" applyFill="1" applyBorder="1" applyAlignment="1" applyProtection="0">
      <alignment horizontal="left" vertical="bottom" wrapText="1"/>
    </xf>
    <xf numFmtId="49" fontId="9" fillId="11" borderId="59" applyNumberFormat="1" applyFont="1" applyFill="1" applyBorder="1" applyAlignment="1" applyProtection="0">
      <alignment horizontal="center" vertical="bottom" wrapText="1"/>
    </xf>
    <xf numFmtId="0" fontId="9" fillId="11" borderId="22" applyNumberFormat="0" applyFont="1" applyFill="1" applyBorder="1" applyAlignment="1" applyProtection="0">
      <alignment horizontal="center" vertical="bottom" wrapText="1"/>
    </xf>
    <xf numFmtId="0" fontId="9" fillId="11" borderId="60" applyNumberFormat="0" applyFont="1" applyFill="1" applyBorder="1" applyAlignment="1" applyProtection="0">
      <alignment horizontal="center" vertical="bottom" wrapText="1"/>
    </xf>
    <xf numFmtId="49" fontId="9" fillId="10" borderId="16" applyNumberFormat="1" applyFont="1" applyFill="1" applyBorder="1" applyAlignment="1" applyProtection="0">
      <alignment horizontal="center" vertical="bottom" wrapText="1"/>
    </xf>
    <xf numFmtId="49" fontId="9" fillId="11" borderId="16" applyNumberFormat="1" applyFont="1" applyFill="1" applyBorder="1" applyAlignment="1" applyProtection="0">
      <alignment horizontal="center" vertical="bottom" wrapText="1"/>
    </xf>
    <xf numFmtId="0" fontId="0" fillId="4" borderId="61" applyNumberFormat="0" applyFont="1" applyFill="1" applyBorder="1" applyAlignment="1" applyProtection="0">
      <alignment vertical="bottom"/>
    </xf>
    <xf numFmtId="49" fontId="18" fillId="16" borderId="62" applyNumberFormat="1" applyFont="1" applyFill="1" applyBorder="1" applyAlignment="1" applyProtection="0">
      <alignment horizontal="center" vertical="center" wrapText="1"/>
    </xf>
    <xf numFmtId="0" fontId="18" fillId="16" borderId="63" applyNumberFormat="0" applyFont="1" applyFill="1" applyBorder="1" applyAlignment="1" applyProtection="0">
      <alignment horizontal="center" vertical="center" wrapText="1"/>
    </xf>
    <xf numFmtId="0" fontId="0" fillId="4" borderId="64" applyNumberFormat="0" applyFont="1" applyFill="1" applyBorder="1" applyAlignment="1" applyProtection="0">
      <alignment vertical="bottom"/>
    </xf>
    <xf numFmtId="0" fontId="0" fillId="4" borderId="65" applyNumberFormat="0" applyFont="1" applyFill="1" applyBorder="1" applyAlignment="1" applyProtection="0">
      <alignment vertical="bottom"/>
    </xf>
    <xf numFmtId="49" fontId="18" fillId="16" borderId="66" applyNumberFormat="1" applyFont="1" applyFill="1" applyBorder="1" applyAlignment="1" applyProtection="0">
      <alignment horizontal="center" vertical="center" wrapText="1"/>
    </xf>
    <xf numFmtId="0" fontId="14" fillId="4" borderId="5" applyNumberFormat="1" applyFont="1" applyFill="1" applyBorder="1" applyAlignment="1" applyProtection="0">
      <alignment vertical="bottom"/>
    </xf>
    <xf numFmtId="0" fontId="10" fillId="10" borderId="15" applyNumberFormat="1" applyFont="1" applyFill="1" applyBorder="1" applyAlignment="1" applyProtection="0">
      <alignment horizontal="left" vertical="bottom" wrapText="1"/>
    </xf>
    <xf numFmtId="63" fontId="9" fillId="11" borderId="16" applyNumberFormat="1" applyFont="1" applyFill="1" applyBorder="1" applyAlignment="1" applyProtection="0">
      <alignment horizontal="center" vertical="bottom" wrapText="1"/>
    </xf>
    <xf numFmtId="0" fontId="19" fillId="16" borderId="67" applyNumberFormat="1" applyFont="1" applyFill="1" applyBorder="1" applyAlignment="1" applyProtection="0">
      <alignment vertical="center"/>
    </xf>
    <xf numFmtId="61" fontId="19" fillId="17" borderId="68" applyNumberFormat="1" applyFont="1" applyFill="1" applyBorder="1" applyAlignment="1" applyProtection="0">
      <alignment vertical="center"/>
    </xf>
    <xf numFmtId="61" fontId="0" fillId="4" borderId="10" applyNumberFormat="1" applyFont="1" applyFill="1" applyBorder="1" applyAlignment="1" applyProtection="0">
      <alignment vertical="bottom"/>
    </xf>
    <xf numFmtId="0" fontId="0" fillId="4" borderId="69" applyNumberFormat="0" applyFont="1" applyFill="1" applyBorder="1" applyAlignment="1" applyProtection="0">
      <alignment vertical="bottom"/>
    </xf>
    <xf numFmtId="0" fontId="19" fillId="17" borderId="68" applyNumberFormat="1" applyFont="1" applyFill="1" applyBorder="1" applyAlignment="1" applyProtection="0">
      <alignment vertical="center"/>
    </xf>
    <xf numFmtId="0" fontId="19" fillId="17" borderId="70" applyNumberFormat="1" applyFont="1" applyFill="1" applyBorder="1" applyAlignment="1" applyProtection="0">
      <alignment vertical="center"/>
    </xf>
    <xf numFmtId="0" fontId="19" fillId="17" borderId="67" applyNumberFormat="1" applyFont="1" applyFill="1" applyBorder="1" applyAlignment="1" applyProtection="0">
      <alignment vertical="center"/>
    </xf>
    <xf numFmtId="1" fontId="0" fillId="4" borderId="10" applyNumberFormat="1" applyFont="1" applyFill="1" applyBorder="1" applyAlignment="1" applyProtection="0">
      <alignment vertical="bottom"/>
    </xf>
    <xf numFmtId="1" fontId="0" fillId="4" borderId="71" applyNumberFormat="1" applyFont="1" applyFill="1" applyBorder="1" applyAlignment="1" applyProtection="0">
      <alignment vertical="bottom"/>
    </xf>
    <xf numFmtId="0" fontId="0" fillId="4" borderId="72" applyNumberFormat="0" applyFont="1" applyFill="1" applyBorder="1" applyAlignment="1" applyProtection="0">
      <alignment vertical="bottom"/>
    </xf>
    <xf numFmtId="49" fontId="17" fillId="10" borderId="56" applyNumberFormat="1" applyFont="1" applyFill="1" applyBorder="1" applyAlignment="1" applyProtection="0">
      <alignment horizontal="left" vertical="bottom"/>
    </xf>
    <xf numFmtId="0" fontId="17" fillId="10" borderId="57" applyNumberFormat="0" applyFont="1" applyFill="1" applyBorder="1" applyAlignment="1" applyProtection="0">
      <alignment horizontal="left" vertical="bottom"/>
    </xf>
    <xf numFmtId="0" fontId="17" fillId="10" borderId="58" applyNumberFormat="0" applyFont="1" applyFill="1" applyBorder="1" applyAlignment="1" applyProtection="0">
      <alignment horizontal="left" vertical="bottom"/>
    </xf>
    <xf numFmtId="1" fontId="0" fillId="4" borderId="9" applyNumberFormat="1" applyFont="1" applyFill="1" applyBorder="1" applyAlignment="1" applyProtection="0">
      <alignment vertical="bottom"/>
    </xf>
    <xf numFmtId="49" fontId="18" fillId="16" borderId="62" applyNumberFormat="1" applyFont="1" applyFill="1" applyBorder="1" applyAlignment="1" applyProtection="0">
      <alignment horizontal="center" vertical="center"/>
    </xf>
    <xf numFmtId="49" fontId="18" fillId="16" borderId="66" applyNumberFormat="1" applyFont="1" applyFill="1" applyBorder="1" applyAlignment="1" applyProtection="0">
      <alignment horizontal="center" vertical="center"/>
    </xf>
    <xf numFmtId="0" fontId="0" fillId="4" borderId="71" applyNumberFormat="0" applyFont="1" applyFill="1" applyBorder="1" applyAlignment="1" applyProtection="0">
      <alignment vertical="bottom"/>
    </xf>
    <xf numFmtId="0" fontId="19" fillId="16" borderId="73" applyNumberFormat="1" applyFont="1" applyFill="1" applyBorder="1" applyAlignment="1" applyProtection="0">
      <alignment vertical="center"/>
    </xf>
    <xf numFmtId="0" fontId="14" fillId="4" borderId="5" applyNumberFormat="0" applyFont="1" applyFill="1" applyBorder="1" applyAlignment="1" applyProtection="0">
      <alignment vertical="bottom"/>
    </xf>
    <xf numFmtId="64" fontId="0" fillId="4" borderId="9" applyNumberFormat="1" applyFont="1" applyFill="1" applyBorder="1" applyAlignment="1" applyProtection="0">
      <alignment vertical="bottom"/>
    </xf>
    <xf numFmtId="49" fontId="17" fillId="10" borderId="56" applyNumberFormat="1" applyFont="1" applyFill="1" applyBorder="1" applyAlignment="1" applyProtection="0">
      <alignment vertical="bottom" wrapText="1"/>
    </xf>
    <xf numFmtId="0" fontId="17" fillId="10" borderId="57" applyNumberFormat="0" applyFont="1" applyFill="1" applyBorder="1" applyAlignment="1" applyProtection="0">
      <alignment vertical="bottom" wrapText="1"/>
    </xf>
    <xf numFmtId="0" fontId="17" fillId="10" borderId="58" applyNumberFormat="0" applyFont="1" applyFill="1" applyBorder="1" applyAlignment="1" applyProtection="0">
      <alignment vertical="bottom" wrapText="1"/>
    </xf>
    <xf numFmtId="0" fontId="0" fillId="4" borderId="74" applyNumberFormat="0" applyFont="1" applyFill="1" applyBorder="1" applyAlignment="1" applyProtection="0">
      <alignment vertical="bottom"/>
    </xf>
    <xf numFmtId="0" fontId="0" fillId="4" borderId="75" applyNumberFormat="0" applyFont="1" applyFill="1" applyBorder="1" applyAlignment="1" applyProtection="0">
      <alignment vertical="bottom"/>
    </xf>
    <xf numFmtId="0" fontId="0" fillId="4" borderId="75" applyNumberFormat="0" applyFont="1" applyFill="1" applyBorder="1" applyAlignment="1" applyProtection="0">
      <alignment vertical="bottom" wrapText="1"/>
    </xf>
    <xf numFmtId="0" fontId="0" fillId="4" borderId="76" applyNumberFormat="0" applyFont="1" applyFill="1" applyBorder="1" applyAlignment="1" applyProtection="0">
      <alignment vertical="bottom"/>
    </xf>
    <xf numFmtId="0" fontId="0" fillId="4" applyNumberFormat="1" applyFont="1" applyFill="1" applyBorder="0" applyAlignment="1" applyProtection="0">
      <alignment vertical="bottom"/>
    </xf>
    <xf numFmtId="49" fontId="20" fillId="18" borderId="24" applyNumberFormat="1" applyFont="1" applyFill="1" applyBorder="1" applyAlignment="1" applyProtection="0">
      <alignment vertical="bottom"/>
    </xf>
    <xf numFmtId="49" fontId="20" fillId="18" borderId="25" applyNumberFormat="1" applyFont="1" applyFill="1" applyBorder="1" applyAlignment="1" applyProtection="0">
      <alignment horizontal="center" vertical="bottom" wrapText="1"/>
    </xf>
    <xf numFmtId="49" fontId="20" fillId="18" borderId="25" applyNumberFormat="1" applyFont="1" applyFill="1" applyBorder="1" applyAlignment="1" applyProtection="0">
      <alignment horizontal="center" vertical="bottom"/>
    </xf>
    <xf numFmtId="0" fontId="20" fillId="18" borderId="25" applyNumberFormat="0" applyFont="1" applyFill="1" applyBorder="1" applyAlignment="1" applyProtection="0">
      <alignment horizontal="center" vertical="bottom" wrapText="1"/>
    </xf>
    <xf numFmtId="49" fontId="20" fillId="18" borderId="26" applyNumberFormat="1" applyFont="1" applyFill="1" applyBorder="1" applyAlignment="1" applyProtection="0">
      <alignment horizontal="center" vertical="bottom" wrapText="1"/>
    </xf>
    <xf numFmtId="0" fontId="20" fillId="18" borderId="15" applyNumberFormat="0" applyFont="1" applyFill="1" applyBorder="1" applyAlignment="1" applyProtection="0">
      <alignment vertical="bottom"/>
    </xf>
    <xf numFmtId="0" fontId="20" fillId="18" borderId="16" applyNumberFormat="0" applyFont="1" applyFill="1" applyBorder="1" applyAlignment="1" applyProtection="0">
      <alignment horizontal="center" vertical="bottom" wrapText="1"/>
    </xf>
    <xf numFmtId="0" fontId="21" fillId="18" borderId="16" applyNumberFormat="0" applyFont="1" applyFill="1" applyBorder="1" applyAlignment="1" applyProtection="0">
      <alignment vertical="bottom"/>
    </xf>
    <xf numFmtId="0" fontId="20" fillId="18" borderId="17" applyNumberFormat="0" applyFont="1" applyFill="1" applyBorder="1" applyAlignment="1" applyProtection="0">
      <alignment horizontal="center" vertical="bottom" wrapText="1"/>
    </xf>
    <xf numFmtId="49" fontId="20" fillId="18" borderId="15" applyNumberFormat="1" applyFont="1" applyFill="1" applyBorder="1" applyAlignment="1" applyProtection="0">
      <alignment vertical="bottom"/>
    </xf>
    <xf numFmtId="61" fontId="20" fillId="18" borderId="16" applyNumberFormat="1" applyFont="1" applyFill="1" applyBorder="1" applyAlignment="1" applyProtection="0">
      <alignment horizontal="center" vertical="bottom" wrapText="1"/>
    </xf>
    <xf numFmtId="65" fontId="21" fillId="18" borderId="16" applyNumberFormat="1" applyFont="1" applyFill="1" applyBorder="1" applyAlignment="1" applyProtection="0">
      <alignment vertical="bottom"/>
    </xf>
    <xf numFmtId="61" fontId="20" fillId="18" borderId="17" applyNumberFormat="1" applyFont="1" applyFill="1" applyBorder="1" applyAlignment="1" applyProtection="0">
      <alignment horizontal="center" vertical="bottom" wrapText="1"/>
    </xf>
    <xf numFmtId="9" fontId="0" fillId="4" borderId="10" applyNumberFormat="1" applyFont="1" applyFill="1" applyBorder="1" applyAlignment="1" applyProtection="0">
      <alignment vertical="bottom"/>
    </xf>
    <xf numFmtId="49" fontId="21" fillId="18" borderId="15" applyNumberFormat="1" applyFont="1" applyFill="1" applyBorder="1" applyAlignment="1" applyProtection="0">
      <alignment vertical="bottom"/>
    </xf>
    <xf numFmtId="61" fontId="21" fillId="18" borderId="16" applyNumberFormat="1" applyFont="1" applyFill="1" applyBorder="1" applyAlignment="1" applyProtection="0">
      <alignment vertical="bottom"/>
    </xf>
    <xf numFmtId="64" fontId="21" fillId="18" borderId="17" applyNumberFormat="1" applyFont="1" applyFill="1" applyBorder="1" applyAlignment="1" applyProtection="0">
      <alignment vertical="bottom"/>
    </xf>
    <xf numFmtId="64" fontId="0" fillId="4" borderId="10" applyNumberFormat="1" applyFont="1" applyFill="1" applyBorder="1" applyAlignment="1" applyProtection="0">
      <alignment vertical="bottom"/>
    </xf>
    <xf numFmtId="10" fontId="0" fillId="4" borderId="10" applyNumberFormat="1" applyFont="1" applyFill="1" applyBorder="1" applyAlignment="1" applyProtection="0">
      <alignment vertical="bottom"/>
    </xf>
    <xf numFmtId="49" fontId="22" fillId="18" borderId="15" applyNumberFormat="1" applyFont="1" applyFill="1" applyBorder="1" applyAlignment="1" applyProtection="0">
      <alignment horizontal="left" vertical="bottom"/>
    </xf>
    <xf numFmtId="61" fontId="22" fillId="18" borderId="16" applyNumberFormat="1" applyFont="1" applyFill="1" applyBorder="1" applyAlignment="1" applyProtection="0">
      <alignment vertical="bottom"/>
    </xf>
    <xf numFmtId="10" fontId="0" fillId="4" borderId="11" applyNumberFormat="1" applyFont="1" applyFill="1" applyBorder="1" applyAlignment="1" applyProtection="0">
      <alignment vertical="bottom"/>
    </xf>
    <xf numFmtId="65" fontId="20" fillId="18" borderId="16" applyNumberFormat="1" applyFont="1" applyFill="1" applyBorder="1" applyAlignment="1" applyProtection="0">
      <alignment vertical="bottom"/>
    </xf>
    <xf numFmtId="64" fontId="20" fillId="18" borderId="17" applyNumberFormat="1" applyFont="1" applyFill="1" applyBorder="1" applyAlignment="1" applyProtection="0">
      <alignment horizontal="center" vertical="bottom" wrapText="1"/>
    </xf>
    <xf numFmtId="49" fontId="21" fillId="18" borderId="15" applyNumberFormat="1" applyFont="1" applyFill="1" applyBorder="1" applyAlignment="1" applyProtection="0">
      <alignment horizontal="left" vertical="bottom"/>
    </xf>
    <xf numFmtId="61" fontId="21" fillId="18" borderId="16" applyNumberFormat="1" applyFont="1" applyFill="1" applyBorder="1" applyAlignment="1" applyProtection="0">
      <alignment horizontal="center" vertical="bottom" wrapText="1"/>
    </xf>
    <xf numFmtId="64" fontId="21" fillId="18" borderId="17" applyNumberFormat="1" applyFont="1" applyFill="1" applyBorder="1" applyAlignment="1" applyProtection="0">
      <alignment horizontal="center" vertical="bottom" wrapText="1"/>
    </xf>
    <xf numFmtId="65" fontId="21" fillId="18" borderId="16" applyNumberFormat="1" applyFont="1" applyFill="1" applyBorder="1" applyAlignment="1" applyProtection="0">
      <alignment horizontal="right" vertical="bottom"/>
    </xf>
    <xf numFmtId="65" fontId="20" fillId="18" borderId="16" applyNumberFormat="1" applyFont="1" applyFill="1" applyBorder="1" applyAlignment="1" applyProtection="0">
      <alignment horizontal="right" vertical="bottom"/>
    </xf>
    <xf numFmtId="61" fontId="20" fillId="18" borderId="16" applyNumberFormat="1" applyFont="1" applyFill="1" applyBorder="1" applyAlignment="1" applyProtection="0">
      <alignment vertical="bottom"/>
    </xf>
    <xf numFmtId="64" fontId="20" fillId="18" borderId="17" applyNumberFormat="1" applyFont="1" applyFill="1" applyBorder="1" applyAlignment="1" applyProtection="0">
      <alignment vertical="bottom"/>
    </xf>
    <xf numFmtId="49" fontId="20" fillId="18" borderId="17" applyNumberFormat="1" applyFont="1" applyFill="1" applyBorder="1" applyAlignment="1" applyProtection="0">
      <alignment horizontal="center" vertical="bottom" wrapText="1"/>
    </xf>
    <xf numFmtId="0" fontId="20" fillId="18" borderId="77" applyNumberFormat="0" applyFont="1" applyFill="1" applyBorder="1" applyAlignment="1" applyProtection="0">
      <alignment vertical="bottom"/>
    </xf>
    <xf numFmtId="61" fontId="20" fillId="18" borderId="78" applyNumberFormat="1" applyFont="1" applyFill="1" applyBorder="1" applyAlignment="1" applyProtection="0">
      <alignment horizontal="center" vertical="bottom" wrapText="1"/>
    </xf>
    <xf numFmtId="0" fontId="21" fillId="18" borderId="78" applyNumberFormat="0" applyFont="1" applyFill="1" applyBorder="1" applyAlignment="1" applyProtection="0">
      <alignment vertical="bottom"/>
    </xf>
    <xf numFmtId="64" fontId="20" fillId="18" borderId="79" applyNumberFormat="1" applyFont="1" applyFill="1" applyBorder="1" applyAlignment="1" applyProtection="0">
      <alignment horizontal="center" vertical="bottom" wrapText="1"/>
    </xf>
    <xf numFmtId="0" fontId="21" fillId="18" borderId="12" applyNumberFormat="0" applyFont="1" applyFill="1" applyBorder="1" applyAlignment="1" applyProtection="0">
      <alignment vertical="bottom"/>
    </xf>
    <xf numFmtId="61" fontId="21" fillId="18" borderId="13" applyNumberFormat="1" applyFont="1" applyFill="1" applyBorder="1" applyAlignment="1" applyProtection="0">
      <alignment vertical="bottom"/>
    </xf>
    <xf numFmtId="65" fontId="21" fillId="18" borderId="13" applyNumberFormat="1" applyFont="1" applyFill="1" applyBorder="1" applyAlignment="1" applyProtection="0">
      <alignment horizontal="right" vertical="bottom"/>
    </xf>
    <xf numFmtId="64" fontId="21" fillId="18" borderId="14" applyNumberFormat="1" applyFont="1" applyFill="1" applyBorder="1" applyAlignment="1" applyProtection="0">
      <alignment vertical="bottom"/>
    </xf>
    <xf numFmtId="0" fontId="21" fillId="18" borderId="15" applyNumberFormat="0" applyFont="1" applyFill="1" applyBorder="1" applyAlignment="1" applyProtection="0">
      <alignment vertical="bottom"/>
    </xf>
    <xf numFmtId="0" fontId="21" fillId="18" borderId="15" applyNumberFormat="0" applyFont="1" applyFill="1" applyBorder="1" applyAlignment="1" applyProtection="0">
      <alignment horizontal="left" vertical="bottom" indent="1"/>
    </xf>
    <xf numFmtId="49" fontId="23" fillId="18" borderId="15" applyNumberFormat="1" applyFont="1" applyFill="1" applyBorder="1" applyAlignment="1" applyProtection="0">
      <alignment vertical="bottom"/>
    </xf>
    <xf numFmtId="0" fontId="21" fillId="18" borderId="18" applyNumberFormat="0" applyFont="1" applyFill="1" applyBorder="1" applyAlignment="1" applyProtection="0">
      <alignment vertical="bottom"/>
    </xf>
    <xf numFmtId="61" fontId="21" fillId="18" borderId="19" applyNumberFormat="1" applyFont="1" applyFill="1" applyBorder="1" applyAlignment="1" applyProtection="0">
      <alignment vertical="bottom"/>
    </xf>
    <xf numFmtId="65" fontId="21" fillId="18" borderId="19" applyNumberFormat="1" applyFont="1" applyFill="1" applyBorder="1" applyAlignment="1" applyProtection="0">
      <alignment horizontal="right" vertical="bottom"/>
    </xf>
    <xf numFmtId="64" fontId="21" fillId="18" borderId="20" applyNumberFormat="1" applyFont="1" applyFill="1" applyBorder="1" applyAlignment="1" applyProtection="0">
      <alignment vertical="bottom"/>
    </xf>
    <xf numFmtId="65" fontId="0" fillId="4" borderId="75" applyNumberFormat="1" applyFont="1" applyFill="1" applyBorder="1" applyAlignment="1" applyProtection="0">
      <alignment vertical="bottom"/>
    </xf>
    <xf numFmtId="0" fontId="0" fillId="4" applyNumberFormat="1" applyFont="1" applyFill="1" applyBorder="0" applyAlignment="1" applyProtection="0">
      <alignment vertical="bottom"/>
    </xf>
    <xf numFmtId="0" fontId="0" fillId="4" borderId="80" applyNumberFormat="0" applyFont="1" applyFill="1" applyBorder="1" applyAlignment="1" applyProtection="0">
      <alignment vertical="bottom"/>
    </xf>
    <xf numFmtId="0" fontId="9" fillId="19" borderId="81" applyNumberFormat="0" applyFont="1" applyFill="1" applyBorder="1" applyAlignment="1" applyProtection="0">
      <alignment horizontal="right" vertical="bottom"/>
    </xf>
    <xf numFmtId="0" fontId="9" fillId="19" borderId="44" applyNumberFormat="0" applyFont="1" applyFill="1" applyBorder="1" applyAlignment="1" applyProtection="0">
      <alignment horizontal="right" vertical="bottom"/>
    </xf>
    <xf numFmtId="0" fontId="9" fillId="19" borderId="82" applyNumberFormat="0" applyFont="1" applyFill="1" applyBorder="1" applyAlignment="1" applyProtection="0">
      <alignment horizontal="right" vertical="bottom"/>
    </xf>
    <xf numFmtId="49" fontId="10" fillId="19" borderId="83" applyNumberFormat="1" applyFont="1" applyFill="1" applyBorder="1" applyAlignment="1" applyProtection="0">
      <alignment horizontal="center" vertical="bottom"/>
    </xf>
    <xf numFmtId="66" fontId="10" fillId="19" borderId="84" applyNumberFormat="1" applyFont="1" applyFill="1" applyBorder="1" applyAlignment="1" applyProtection="0">
      <alignment horizontal="center" vertical="bottom"/>
    </xf>
    <xf numFmtId="49" fontId="24" fillId="19" borderId="85" applyNumberFormat="1" applyFont="1" applyFill="1" applyBorder="1" applyAlignment="1" applyProtection="0">
      <alignment horizontal="right" vertical="bottom"/>
    </xf>
    <xf numFmtId="0" fontId="9" fillId="19" borderId="86" applyNumberFormat="0" applyFont="1" applyFill="1" applyBorder="1" applyAlignment="1" applyProtection="0">
      <alignment horizontal="right" vertical="bottom"/>
    </xf>
    <xf numFmtId="0" fontId="24" fillId="19" borderId="86" applyNumberFormat="0" applyFont="1" applyFill="1" applyBorder="1" applyAlignment="1" applyProtection="0">
      <alignment horizontal="left" vertical="bottom"/>
    </xf>
    <xf numFmtId="0" fontId="9" fillId="19" borderId="87" applyNumberFormat="0" applyFont="1" applyFill="1" applyBorder="1" applyAlignment="1" applyProtection="0">
      <alignment horizontal="right" vertical="bottom"/>
    </xf>
    <xf numFmtId="66" fontId="10" fillId="19" borderId="88" applyNumberFormat="1" applyFont="1" applyFill="1" applyBorder="1" applyAlignment="1" applyProtection="0">
      <alignment horizontal="center" vertical="bottom"/>
    </xf>
    <xf numFmtId="66" fontId="10" fillId="19" borderId="89" applyNumberFormat="1" applyFont="1" applyFill="1" applyBorder="1" applyAlignment="1" applyProtection="0">
      <alignment horizontal="center" vertical="bottom"/>
    </xf>
    <xf numFmtId="49" fontId="9" fillId="19" borderId="90" applyNumberFormat="1" applyFont="1" applyFill="1" applyBorder="1" applyAlignment="1" applyProtection="0">
      <alignment horizontal="left" vertical="bottom"/>
    </xf>
    <xf numFmtId="0" fontId="9" fillId="19" borderId="91" applyNumberFormat="0" applyFont="1" applyFill="1" applyBorder="1" applyAlignment="1" applyProtection="0">
      <alignment horizontal="right" vertical="bottom"/>
    </xf>
    <xf numFmtId="0" fontId="24" fillId="19" borderId="91" applyNumberFormat="0" applyFont="1" applyFill="1" applyBorder="1" applyAlignment="1" applyProtection="0">
      <alignment horizontal="left" vertical="bottom"/>
    </xf>
    <xf numFmtId="0" fontId="9" fillId="19" borderId="92" applyNumberFormat="0" applyFont="1" applyFill="1" applyBorder="1" applyAlignment="1" applyProtection="0">
      <alignment horizontal="right" vertical="bottom"/>
    </xf>
    <xf numFmtId="66" fontId="10" fillId="19" borderId="93" applyNumberFormat="1" applyFont="1" applyFill="1" applyBorder="1" applyAlignment="1" applyProtection="0">
      <alignment horizontal="center" vertical="bottom"/>
    </xf>
    <xf numFmtId="66" fontId="10" fillId="19" borderId="94" applyNumberFormat="1" applyFont="1" applyFill="1" applyBorder="1" applyAlignment="1" applyProtection="0">
      <alignment horizontal="center" vertical="bottom"/>
    </xf>
    <xf numFmtId="49" fontId="24" fillId="19" borderId="95" applyNumberFormat="1" applyFont="1" applyFill="1" applyBorder="1" applyAlignment="1" applyProtection="0">
      <alignment horizontal="left" vertical="bottom"/>
    </xf>
    <xf numFmtId="0" fontId="9" fillId="19" borderId="96" applyNumberFormat="0" applyFont="1" applyFill="1" applyBorder="1" applyAlignment="1" applyProtection="0">
      <alignment horizontal="right" vertical="bottom"/>
    </xf>
    <xf numFmtId="0" fontId="24" fillId="19" borderId="96" applyNumberFormat="0" applyFont="1" applyFill="1" applyBorder="1" applyAlignment="1" applyProtection="0">
      <alignment horizontal="left" vertical="bottom"/>
    </xf>
    <xf numFmtId="0" fontId="9" fillId="19" borderId="97" applyNumberFormat="0" applyFont="1" applyFill="1" applyBorder="1" applyAlignment="1" applyProtection="0">
      <alignment horizontal="right" vertical="bottom"/>
    </xf>
    <xf numFmtId="66" fontId="10" fillId="19" borderId="16" applyNumberFormat="1" applyFont="1" applyFill="1" applyBorder="1" applyAlignment="1" applyProtection="0">
      <alignment horizontal="center" vertical="bottom"/>
    </xf>
    <xf numFmtId="63" fontId="10" fillId="19" borderId="16" applyNumberFormat="1" applyFont="1" applyFill="1" applyBorder="1" applyAlignment="1" applyProtection="0">
      <alignment horizontal="center" vertical="bottom"/>
    </xf>
    <xf numFmtId="66" fontId="10" fillId="19" borderId="17" applyNumberFormat="1" applyFont="1" applyFill="1" applyBorder="1" applyAlignment="1" applyProtection="0">
      <alignment horizontal="center" vertical="bottom"/>
    </xf>
    <xf numFmtId="0" fontId="10" fillId="19" borderId="95" applyNumberFormat="0" applyFont="1" applyFill="1" applyBorder="1" applyAlignment="1" applyProtection="0">
      <alignment horizontal="right" vertical="bottom"/>
    </xf>
    <xf numFmtId="0" fontId="10" fillId="19" borderId="96" applyNumberFormat="0" applyFont="1" applyFill="1" applyBorder="1" applyAlignment="1" applyProtection="0">
      <alignment horizontal="left" vertical="bottom"/>
    </xf>
    <xf numFmtId="49" fontId="10" fillId="19" borderId="96" applyNumberFormat="1" applyFont="1" applyFill="1" applyBorder="1" applyAlignment="1" applyProtection="0">
      <alignment horizontal="right" vertical="bottom"/>
    </xf>
    <xf numFmtId="67" fontId="0" fillId="19" borderId="97" applyNumberFormat="1" applyFont="1" applyFill="1" applyBorder="1" applyAlignment="1" applyProtection="0">
      <alignment vertical="bottom"/>
    </xf>
    <xf numFmtId="3" fontId="0" fillId="19" borderId="16" applyNumberFormat="1" applyFont="1" applyFill="1" applyBorder="1" applyAlignment="1" applyProtection="0">
      <alignment vertical="bottom"/>
    </xf>
    <xf numFmtId="3" fontId="0" fillId="19" borderId="17" applyNumberFormat="1" applyFont="1" applyFill="1" applyBorder="1" applyAlignment="1" applyProtection="0">
      <alignment vertical="bottom"/>
    </xf>
    <xf numFmtId="65" fontId="0" fillId="19" borderId="16" applyNumberFormat="1" applyFont="1" applyFill="1" applyBorder="1" applyAlignment="1" applyProtection="0">
      <alignment vertical="bottom"/>
    </xf>
    <xf numFmtId="65" fontId="0" fillId="19" borderId="17" applyNumberFormat="1" applyFont="1" applyFill="1" applyBorder="1" applyAlignment="1" applyProtection="0">
      <alignment vertical="bottom"/>
    </xf>
    <xf numFmtId="3" fontId="0" fillId="19" borderId="16" applyNumberFormat="1" applyFont="1" applyFill="1" applyBorder="1" applyAlignment="1" applyProtection="0">
      <alignment vertical="bottom" wrapText="1"/>
    </xf>
    <xf numFmtId="67" fontId="24" fillId="19" borderId="96" applyNumberFormat="1" applyFont="1" applyFill="1" applyBorder="1" applyAlignment="1" applyProtection="0">
      <alignment horizontal="right" vertical="bottom"/>
    </xf>
    <xf numFmtId="0" fontId="24" fillId="19" borderId="95" applyNumberFormat="0" applyFont="1" applyFill="1" applyBorder="1" applyAlignment="1" applyProtection="0">
      <alignment horizontal="left" vertical="bottom"/>
    </xf>
    <xf numFmtId="64" fontId="0" fillId="19" borderId="16" applyNumberFormat="1" applyFont="1" applyFill="1" applyBorder="1" applyAlignment="1" applyProtection="0">
      <alignment vertical="bottom"/>
    </xf>
    <xf numFmtId="0" fontId="9" fillId="19" borderId="95" applyNumberFormat="0" applyFont="1" applyFill="1" applyBorder="1" applyAlignment="1" applyProtection="0">
      <alignment horizontal="left" vertical="bottom"/>
    </xf>
    <xf numFmtId="64" fontId="0" fillId="19" borderId="17" applyNumberFormat="1" applyFont="1" applyFill="1" applyBorder="1" applyAlignment="1" applyProtection="0">
      <alignment vertical="bottom"/>
    </xf>
    <xf numFmtId="0" fontId="10" fillId="19" borderId="98" applyNumberFormat="0" applyFont="1" applyFill="1" applyBorder="1" applyAlignment="1" applyProtection="0">
      <alignment horizontal="right" vertical="bottom"/>
    </xf>
    <xf numFmtId="0" fontId="10" fillId="19" borderId="99" applyNumberFormat="0" applyFont="1" applyFill="1" applyBorder="1" applyAlignment="1" applyProtection="0">
      <alignment horizontal="left" vertical="bottom"/>
    </xf>
    <xf numFmtId="67" fontId="10" fillId="19" borderId="99" applyNumberFormat="1" applyFont="1" applyFill="1" applyBorder="1" applyAlignment="1" applyProtection="0">
      <alignment horizontal="right" vertical="bottom"/>
    </xf>
    <xf numFmtId="67" fontId="0" fillId="19" borderId="100" applyNumberFormat="1" applyFont="1" applyFill="1" applyBorder="1" applyAlignment="1" applyProtection="0">
      <alignment vertical="bottom"/>
    </xf>
    <xf numFmtId="3" fontId="0" fillId="19" borderId="101" applyNumberFormat="1" applyFont="1" applyFill="1" applyBorder="1" applyAlignment="1" applyProtection="0">
      <alignment vertical="bottom"/>
    </xf>
    <xf numFmtId="3" fontId="0" fillId="19" borderId="102" applyNumberFormat="1" applyFont="1" applyFill="1" applyBorder="1" applyAlignment="1" applyProtection="0">
      <alignment vertical="bottom"/>
    </xf>
    <xf numFmtId="49" fontId="9" fillId="19" borderId="103" applyNumberFormat="1" applyFont="1" applyFill="1" applyBorder="1" applyAlignment="1" applyProtection="0">
      <alignment horizontal="left" vertical="bottom"/>
    </xf>
    <xf numFmtId="0" fontId="10" fillId="19" borderId="104" applyNumberFormat="0" applyFont="1" applyFill="1" applyBorder="1" applyAlignment="1" applyProtection="0">
      <alignment horizontal="left" vertical="bottom"/>
    </xf>
    <xf numFmtId="67" fontId="0" fillId="19" borderId="104" applyNumberFormat="1" applyFont="1" applyFill="1" applyBorder="1" applyAlignment="1" applyProtection="0">
      <alignment vertical="bottom"/>
    </xf>
    <xf numFmtId="67" fontId="0" fillId="19" borderId="105" applyNumberFormat="1" applyFont="1" applyFill="1" applyBorder="1" applyAlignment="1" applyProtection="0">
      <alignment vertical="bottom"/>
    </xf>
    <xf numFmtId="3" fontId="0" fillId="19" borderId="106" applyNumberFormat="1" applyFont="1" applyFill="1" applyBorder="1" applyAlignment="1" applyProtection="0">
      <alignment vertical="bottom"/>
    </xf>
    <xf numFmtId="3" fontId="0" fillId="19" borderId="107" applyNumberFormat="1" applyFont="1" applyFill="1" applyBorder="1" applyAlignment="1" applyProtection="0">
      <alignment vertical="bottom"/>
    </xf>
    <xf numFmtId="67" fontId="0" fillId="19" borderId="96" applyNumberFormat="1" applyFont="1" applyFill="1" applyBorder="1" applyAlignment="1" applyProtection="0">
      <alignment vertical="bottom"/>
    </xf>
    <xf numFmtId="49" fontId="24" fillId="19" borderId="95" applyNumberFormat="1" applyFont="1" applyFill="1" applyBorder="1" applyAlignment="1" applyProtection="0">
      <alignment horizontal="right" vertical="bottom"/>
    </xf>
    <xf numFmtId="67" fontId="24" fillId="19" borderId="96" applyNumberFormat="1" applyFont="1" applyFill="1" applyBorder="1" applyAlignment="1" applyProtection="0">
      <alignment horizontal="left" vertical="bottom"/>
    </xf>
    <xf numFmtId="67" fontId="10" fillId="19" borderId="96" applyNumberFormat="1" applyFont="1" applyFill="1" applyBorder="1" applyAlignment="1" applyProtection="0">
      <alignment horizontal="right" vertical="bottom"/>
    </xf>
    <xf numFmtId="0" fontId="24" fillId="19" borderId="95" applyNumberFormat="0" applyFont="1" applyFill="1" applyBorder="1" applyAlignment="1" applyProtection="0">
      <alignment horizontal="right" vertical="bottom"/>
    </xf>
    <xf numFmtId="0" fontId="10" fillId="19" borderId="108" applyNumberFormat="0" applyFont="1" applyFill="1" applyBorder="1" applyAlignment="1" applyProtection="0">
      <alignment horizontal="right" vertical="bottom"/>
    </xf>
    <xf numFmtId="49" fontId="24" fillId="19" borderId="109" applyNumberFormat="1" applyFont="1" applyFill="1" applyBorder="1" applyAlignment="1" applyProtection="0">
      <alignment horizontal="left" vertical="bottom"/>
    </xf>
    <xf numFmtId="64" fontId="0" fillId="19" borderId="110" applyNumberFormat="1" applyFont="1" applyFill="1" applyBorder="1" applyAlignment="1" applyProtection="0">
      <alignment vertical="bottom"/>
    </xf>
    <xf numFmtId="49" fontId="9" fillId="19" borderId="96" applyNumberFormat="1" applyFont="1" applyFill="1" applyBorder="1" applyAlignment="1" applyProtection="0">
      <alignment horizontal="right" vertical="bottom"/>
    </xf>
    <xf numFmtId="64" fontId="9" fillId="19" borderId="111" applyNumberFormat="1" applyFont="1" applyFill="1" applyBorder="1" applyAlignment="1" applyProtection="0">
      <alignment vertical="bottom"/>
    </xf>
    <xf numFmtId="0" fontId="10" fillId="19" borderId="112" applyNumberFormat="0" applyFont="1" applyFill="1" applyBorder="1" applyAlignment="1" applyProtection="0">
      <alignment horizontal="right" vertical="bottom"/>
    </xf>
    <xf numFmtId="0" fontId="10" fillId="19" borderId="113" applyNumberFormat="0" applyFont="1" applyFill="1" applyBorder="1" applyAlignment="1" applyProtection="0">
      <alignment horizontal="left" vertical="bottom"/>
    </xf>
    <xf numFmtId="67" fontId="0" fillId="19" borderId="113" applyNumberFormat="1" applyFont="1" applyFill="1" applyBorder="1" applyAlignment="1" applyProtection="0">
      <alignment vertical="bottom"/>
    </xf>
    <xf numFmtId="67" fontId="0" fillId="19" borderId="114" applyNumberFormat="1" applyFont="1" applyFill="1" applyBorder="1" applyAlignment="1" applyProtection="0">
      <alignment vertical="bottom"/>
    </xf>
    <xf numFmtId="3" fontId="0" fillId="19" borderId="19" applyNumberFormat="1" applyFont="1" applyFill="1" applyBorder="1" applyAlignment="1" applyProtection="0">
      <alignment vertical="bottom"/>
    </xf>
    <xf numFmtId="3" fontId="0" fillId="19" borderId="20" applyNumberFormat="1" applyFont="1" applyFill="1" applyBorder="1" applyAlignment="1" applyProtection="0">
      <alignment vertical="bottom"/>
    </xf>
    <xf numFmtId="0" fontId="0" fillId="4" borderId="115" applyNumberFormat="0" applyFont="1" applyFill="1" applyBorder="1" applyAlignment="1" applyProtection="0">
      <alignment vertical="bottom"/>
    </xf>
    <xf numFmtId="49" fontId="9" fillId="9" borderId="81" applyNumberFormat="1" applyFont="1" applyFill="1" applyBorder="1" applyAlignment="1" applyProtection="0">
      <alignment horizontal="right" vertical="bottom"/>
    </xf>
    <xf numFmtId="0" fontId="9" fillId="9" borderId="44" applyNumberFormat="0" applyFont="1" applyFill="1" applyBorder="1" applyAlignment="1" applyProtection="0">
      <alignment horizontal="right" vertical="bottom"/>
    </xf>
    <xf numFmtId="15" fontId="9" fillId="9" borderId="44" applyNumberFormat="1" applyFont="1" applyFill="1" applyBorder="1" applyAlignment="1" applyProtection="0">
      <alignment vertical="bottom"/>
    </xf>
    <xf numFmtId="15" fontId="9" fillId="9" borderId="116" applyNumberFormat="1" applyFont="1" applyFill="1" applyBorder="1" applyAlignment="1" applyProtection="0">
      <alignment vertical="bottom"/>
    </xf>
    <xf numFmtId="0" fontId="0" fillId="9" borderId="9" applyNumberFormat="0" applyFont="1" applyFill="1" applyBorder="1" applyAlignment="1" applyProtection="0">
      <alignment vertical="bottom"/>
    </xf>
    <xf numFmtId="0" fontId="0" fillId="9" borderId="10" applyNumberFormat="0" applyFont="1" applyFill="1" applyBorder="1" applyAlignment="1" applyProtection="0">
      <alignment vertical="bottom"/>
    </xf>
    <xf numFmtId="0" fontId="0" fillId="9" borderId="38" applyNumberFormat="0" applyFont="1" applyFill="1" applyBorder="1" applyAlignment="1" applyProtection="0">
      <alignment vertical="bottom"/>
    </xf>
    <xf numFmtId="49" fontId="10" fillId="9" borderId="9" applyNumberFormat="1" applyFont="1" applyFill="1" applyBorder="1" applyAlignment="1" applyProtection="0">
      <alignment horizontal="right" vertical="bottom"/>
    </xf>
    <xf numFmtId="0" fontId="10" fillId="9" borderId="10" applyNumberFormat="0" applyFont="1" applyFill="1" applyBorder="1" applyAlignment="1" applyProtection="0">
      <alignment horizontal="left" vertical="bottom"/>
    </xf>
    <xf numFmtId="67" fontId="0" fillId="9" borderId="10" applyNumberFormat="1" applyFont="1" applyFill="1" applyBorder="1" applyAlignment="1" applyProtection="0">
      <alignment vertical="bottom"/>
    </xf>
    <xf numFmtId="4" fontId="0" fillId="4" borderId="10" applyNumberFormat="1" applyFont="1" applyFill="1" applyBorder="1" applyAlignment="1" applyProtection="0">
      <alignment vertical="bottom"/>
    </xf>
    <xf numFmtId="67" fontId="0" fillId="9" borderId="117" applyNumberFormat="1" applyFont="1" applyFill="1" applyBorder="1" applyAlignment="1" applyProtection="0">
      <alignment vertical="bottom"/>
    </xf>
    <xf numFmtId="49" fontId="9" fillId="9" borderId="9" applyNumberFormat="1" applyFont="1" applyFill="1" applyBorder="1" applyAlignment="1" applyProtection="0">
      <alignment horizontal="right" vertical="bottom"/>
    </xf>
    <xf numFmtId="0" fontId="9" fillId="9" borderId="10" applyNumberFormat="0" applyFont="1" applyFill="1" applyBorder="1" applyAlignment="1" applyProtection="0">
      <alignment horizontal="left" vertical="bottom"/>
    </xf>
    <xf numFmtId="67" fontId="9" fillId="9" borderId="118" applyNumberFormat="1" applyFont="1" applyFill="1" applyBorder="1" applyAlignment="1" applyProtection="0">
      <alignment vertical="bottom"/>
    </xf>
    <xf numFmtId="0" fontId="0" fillId="9" borderId="119" applyNumberFormat="0" applyFont="1" applyFill="1" applyBorder="1" applyAlignment="1" applyProtection="0">
      <alignment vertical="bottom"/>
    </xf>
    <xf numFmtId="0" fontId="0" fillId="9" borderId="23" applyNumberFormat="0" applyFont="1" applyFill="1" applyBorder="1" applyAlignment="1" applyProtection="0">
      <alignment vertical="bottom"/>
    </xf>
    <xf numFmtId="0" fontId="0" fillId="9" borderId="120" applyNumberFormat="0" applyFont="1" applyFill="1" applyBorder="1" applyAlignment="1" applyProtection="0">
      <alignment vertical="bottom"/>
    </xf>
    <xf numFmtId="0" fontId="0" fillId="9" borderId="121" applyNumberFormat="0" applyFont="1" applyFill="1" applyBorder="1" applyAlignment="1" applyProtection="0">
      <alignment vertical="bottom"/>
    </xf>
    <xf numFmtId="49" fontId="24" fillId="19" borderId="81" applyNumberFormat="1" applyFont="1" applyFill="1" applyBorder="1" applyAlignment="1" applyProtection="0">
      <alignment horizontal="right" vertical="bottom"/>
    </xf>
    <xf numFmtId="49" fontId="9" fillId="19" borderId="44" applyNumberFormat="1" applyFont="1" applyFill="1" applyBorder="1" applyAlignment="1" applyProtection="0">
      <alignment horizontal="center" vertical="bottom"/>
    </xf>
    <xf numFmtId="15" fontId="9" fillId="19" borderId="116" applyNumberFormat="1" applyFont="1" applyFill="1" applyBorder="1" applyAlignment="1" applyProtection="0">
      <alignment vertical="bottom"/>
    </xf>
    <xf numFmtId="49" fontId="9" fillId="19" borderId="81" applyNumberFormat="1" applyFont="1" applyFill="1" applyBorder="1" applyAlignment="1" applyProtection="0">
      <alignment horizontal="center" vertical="bottom"/>
    </xf>
    <xf numFmtId="15" fontId="9" fillId="19" borderId="44" applyNumberFormat="1" applyFont="1" applyFill="1" applyBorder="1" applyAlignment="1" applyProtection="0">
      <alignment horizontal="center" vertical="bottom"/>
    </xf>
    <xf numFmtId="15" fontId="9" fillId="19" borderId="116" applyNumberFormat="1" applyFont="1" applyFill="1" applyBorder="1" applyAlignment="1" applyProtection="0">
      <alignment horizontal="center" vertical="bottom"/>
    </xf>
    <xf numFmtId="49" fontId="10" fillId="19" borderId="9" applyNumberFormat="1" applyFont="1" applyFill="1" applyBorder="1" applyAlignment="1" applyProtection="0">
      <alignment horizontal="right" vertical="bottom"/>
    </xf>
    <xf numFmtId="0" fontId="0" fillId="19" borderId="10" applyNumberFormat="0" applyFont="1" applyFill="1" applyBorder="1" applyAlignment="1" applyProtection="0">
      <alignment vertical="bottom"/>
    </xf>
    <xf numFmtId="67" fontId="0" fillId="19" borderId="10" applyNumberFormat="1" applyFont="1" applyFill="1" applyBorder="1" applyAlignment="1" applyProtection="0">
      <alignment vertical="bottom"/>
    </xf>
    <xf numFmtId="0" fontId="0" fillId="19" borderId="38" applyNumberFormat="0" applyFont="1" applyFill="1" applyBorder="1" applyAlignment="1" applyProtection="0">
      <alignment vertical="bottom"/>
    </xf>
    <xf numFmtId="0" fontId="24" fillId="19" borderId="9" applyNumberFormat="0" applyFont="1" applyFill="1" applyBorder="1" applyAlignment="1" applyProtection="0">
      <alignment horizontal="right" vertical="bottom"/>
    </xf>
    <xf numFmtId="49" fontId="10" fillId="19" borderId="10" applyNumberFormat="1" applyFont="1" applyFill="1" applyBorder="1" applyAlignment="1" applyProtection="0">
      <alignment horizontal="center" vertical="bottom"/>
    </xf>
    <xf numFmtId="15" fontId="9" fillId="19" borderId="38" applyNumberFormat="1" applyFont="1" applyFill="1" applyBorder="1" applyAlignment="1" applyProtection="0">
      <alignment vertical="bottom"/>
    </xf>
    <xf numFmtId="0" fontId="10" fillId="19" borderId="10" applyNumberFormat="0" applyFont="1" applyFill="1" applyBorder="1" applyAlignment="1" applyProtection="0">
      <alignment horizontal="left" vertical="bottom"/>
    </xf>
    <xf numFmtId="64" fontId="0" fillId="19" borderId="10" applyNumberFormat="1" applyFont="1" applyFill="1" applyBorder="1" applyAlignment="1" applyProtection="0">
      <alignment vertical="bottom"/>
    </xf>
    <xf numFmtId="9" fontId="0" fillId="19" borderId="10" applyNumberFormat="1" applyFont="1" applyFill="1" applyBorder="1" applyAlignment="1" applyProtection="0">
      <alignment vertical="bottom"/>
    </xf>
    <xf numFmtId="67" fontId="0" fillId="19" borderId="117" applyNumberFormat="1" applyFont="1" applyFill="1" applyBorder="1" applyAlignment="1" applyProtection="0">
      <alignment vertical="bottom"/>
    </xf>
    <xf numFmtId="0" fontId="9" fillId="19" borderId="9" applyNumberFormat="0" applyFont="1" applyFill="1" applyBorder="1" applyAlignment="1" applyProtection="0">
      <alignment horizontal="right" vertical="bottom"/>
    </xf>
    <xf numFmtId="0" fontId="9" fillId="19" borderId="10" applyNumberFormat="0" applyFont="1" applyFill="1" applyBorder="1" applyAlignment="1" applyProtection="0">
      <alignment horizontal="left" vertical="bottom"/>
    </xf>
    <xf numFmtId="67" fontId="9" fillId="19" borderId="118" applyNumberFormat="1" applyFont="1" applyFill="1" applyBorder="1" applyAlignment="1" applyProtection="0">
      <alignment vertical="bottom"/>
    </xf>
    <xf numFmtId="67" fontId="0" fillId="19" borderId="122" applyNumberFormat="1" applyFont="1" applyFill="1" applyBorder="1" applyAlignment="1" applyProtection="0">
      <alignment vertical="bottom"/>
    </xf>
    <xf numFmtId="64" fontId="0" fillId="19" borderId="117" applyNumberFormat="1" applyFont="1" applyFill="1" applyBorder="1" applyAlignment="1" applyProtection="0">
      <alignment vertical="bottom"/>
    </xf>
    <xf numFmtId="9" fontId="0" fillId="19" borderId="117" applyNumberFormat="1" applyFont="1" applyFill="1" applyBorder="1" applyAlignment="1" applyProtection="0">
      <alignment vertical="bottom"/>
    </xf>
    <xf numFmtId="64" fontId="0" fillId="19" borderId="118" applyNumberFormat="1" applyFont="1" applyFill="1" applyBorder="1" applyAlignment="1" applyProtection="0">
      <alignment vertical="bottom"/>
    </xf>
    <xf numFmtId="9" fontId="0" fillId="19" borderId="118" applyNumberFormat="1" applyFont="1" applyFill="1" applyBorder="1" applyAlignment="1" applyProtection="0">
      <alignment vertical="bottom"/>
    </xf>
    <xf numFmtId="0" fontId="0" fillId="19" borderId="119" applyNumberFormat="0" applyFont="1" applyFill="1" applyBorder="1" applyAlignment="1" applyProtection="0">
      <alignment vertical="bottom"/>
    </xf>
    <xf numFmtId="0" fontId="0" fillId="19" borderId="23" applyNumberFormat="0" applyFont="1" applyFill="1" applyBorder="1" applyAlignment="1" applyProtection="0">
      <alignment vertical="bottom"/>
    </xf>
    <xf numFmtId="0" fontId="0" fillId="19" borderId="121" applyNumberFormat="0" applyFont="1" applyFill="1" applyBorder="1" applyAlignment="1" applyProtection="0">
      <alignment vertical="bottom"/>
    </xf>
    <xf numFmtId="0" fontId="0" fillId="19" borderId="120" applyNumberFormat="0" applyFont="1" applyFill="1" applyBorder="1" applyAlignment="1" applyProtection="0">
      <alignment vertical="bottom"/>
    </xf>
    <xf numFmtId="0" fontId="0" fillId="4" borderId="123" applyNumberFormat="0" applyFont="1" applyFill="1" applyBorder="1" applyAlignment="1" applyProtection="0">
      <alignment vertical="bottom"/>
    </xf>
    <xf numFmtId="0" fontId="0" fillId="20" borderId="124" applyNumberFormat="0" applyFont="1" applyFill="1" applyBorder="1" applyAlignment="1" applyProtection="0">
      <alignment vertical="bottom"/>
    </xf>
    <xf numFmtId="0" fontId="0" fillId="20" borderId="125" applyNumberFormat="0" applyFont="1" applyFill="1" applyBorder="1" applyAlignment="1" applyProtection="0">
      <alignment vertical="bottom"/>
    </xf>
    <xf numFmtId="0" fontId="9" fillId="20" borderId="125" applyNumberFormat="0" applyFont="1" applyFill="1" applyBorder="1" applyAlignment="1" applyProtection="0">
      <alignment horizontal="center" vertical="bottom"/>
    </xf>
    <xf numFmtId="0" fontId="9" fillId="20" borderId="126" applyNumberFormat="0" applyFont="1" applyFill="1" applyBorder="1" applyAlignment="1" applyProtection="0">
      <alignment horizontal="center" vertical="bottom"/>
    </xf>
    <xf numFmtId="0" fontId="0" fillId="20" borderId="127" applyNumberFormat="0" applyFont="1" applyFill="1" applyBorder="1" applyAlignment="1" applyProtection="0">
      <alignment vertical="bottom"/>
    </xf>
    <xf numFmtId="0" fontId="0" fillId="20" borderId="128" applyNumberFormat="0" applyFont="1" applyFill="1" applyBorder="1" applyAlignment="1" applyProtection="0">
      <alignment vertical="bottom"/>
    </xf>
    <xf numFmtId="49" fontId="9" fillId="20" borderId="128" applyNumberFormat="1" applyFont="1" applyFill="1" applyBorder="1" applyAlignment="1" applyProtection="0">
      <alignment horizontal="center" vertical="bottom"/>
    </xf>
    <xf numFmtId="0" fontId="9" fillId="20" borderId="129" applyNumberFormat="0" applyFont="1" applyFill="1" applyBorder="1" applyAlignment="1" applyProtection="0">
      <alignment horizontal="center" vertical="bottom"/>
    </xf>
    <xf numFmtId="0" fontId="10" fillId="20" borderId="130" applyNumberFormat="1" applyFont="1" applyFill="1" applyBorder="1" applyAlignment="1" applyProtection="0">
      <alignment horizontal="center" vertical="center"/>
    </xf>
    <xf numFmtId="0" fontId="0" fillId="20" borderId="131" applyNumberFormat="0" applyFont="1" applyFill="1" applyBorder="1" applyAlignment="1" applyProtection="0">
      <alignment vertical="bottom"/>
    </xf>
    <xf numFmtId="4" fontId="0" fillId="20" borderId="131" applyNumberFormat="1" applyFont="1" applyFill="1" applyBorder="1" applyAlignment="1" applyProtection="0">
      <alignment vertical="bottom"/>
    </xf>
    <xf numFmtId="4" fontId="0" fillId="20" borderId="129" applyNumberFormat="1" applyFont="1" applyFill="1" applyBorder="1" applyAlignment="1" applyProtection="0">
      <alignment vertical="bottom"/>
    </xf>
    <xf numFmtId="0" fontId="10" fillId="20" borderId="50" applyNumberFormat="0" applyFont="1" applyFill="1" applyBorder="1" applyAlignment="1" applyProtection="0">
      <alignment horizontal="center" vertical="center"/>
    </xf>
    <xf numFmtId="0" fontId="0" fillId="20" borderId="10" applyNumberFormat="0" applyFont="1" applyFill="1" applyBorder="1" applyAlignment="1" applyProtection="0">
      <alignment vertical="bottom"/>
    </xf>
    <xf numFmtId="4" fontId="0" fillId="20" borderId="10" applyNumberFormat="1" applyFont="1" applyFill="1" applyBorder="1" applyAlignment="1" applyProtection="0">
      <alignment vertical="bottom"/>
    </xf>
    <xf numFmtId="0" fontId="10" fillId="20" borderId="127" applyNumberFormat="0" applyFont="1" applyFill="1" applyBorder="1" applyAlignment="1" applyProtection="0">
      <alignment horizontal="center" vertical="center"/>
    </xf>
    <xf numFmtId="4" fontId="0" fillId="20" borderId="128" applyNumberFormat="1" applyFont="1" applyFill="1" applyBorder="1" applyAlignment="1" applyProtection="0">
      <alignment vertical="bottom"/>
    </xf>
    <xf numFmtId="49" fontId="9" fillId="20" borderId="130" applyNumberFormat="1" applyFont="1" applyFill="1" applyBorder="1" applyAlignment="1" applyProtection="0">
      <alignment horizontal="right" vertical="bottom"/>
    </xf>
    <xf numFmtId="0" fontId="9" fillId="20" borderId="131" applyNumberFormat="0" applyFont="1" applyFill="1" applyBorder="1" applyAlignment="1" applyProtection="0">
      <alignment vertical="bottom"/>
    </xf>
    <xf numFmtId="4" fontId="9" fillId="20" borderId="131" applyNumberFormat="1" applyFont="1" applyFill="1" applyBorder="1" applyAlignment="1" applyProtection="0">
      <alignment vertical="bottom"/>
    </xf>
    <xf numFmtId="4" fontId="9" fillId="20" borderId="129" applyNumberFormat="1" applyFont="1" applyFill="1" applyBorder="1" applyAlignment="1" applyProtection="0">
      <alignment vertical="bottom"/>
    </xf>
    <xf numFmtId="49" fontId="9" fillId="20" borderId="50" applyNumberFormat="1" applyFont="1" applyFill="1" applyBorder="1" applyAlignment="1" applyProtection="0">
      <alignment horizontal="right" vertical="bottom"/>
    </xf>
    <xf numFmtId="0" fontId="9" fillId="20" borderId="10" applyNumberFormat="0" applyFont="1" applyFill="1" applyBorder="1" applyAlignment="1" applyProtection="0">
      <alignment vertical="bottom"/>
    </xf>
    <xf numFmtId="4" fontId="9" fillId="20" borderId="10" applyNumberFormat="1" applyFont="1" applyFill="1" applyBorder="1" applyAlignment="1" applyProtection="0">
      <alignment vertical="bottom"/>
    </xf>
    <xf numFmtId="49" fontId="9" fillId="20" borderId="132" applyNumberFormat="1" applyFont="1" applyFill="1" applyBorder="1" applyAlignment="1" applyProtection="0">
      <alignment horizontal="right" vertical="bottom"/>
    </xf>
    <xf numFmtId="0" fontId="9" fillId="20" borderId="133" applyNumberFormat="0" applyFont="1" applyFill="1" applyBorder="1" applyAlignment="1" applyProtection="0">
      <alignment vertical="bottom"/>
    </xf>
    <xf numFmtId="4" fontId="9" fillId="20" borderId="133" applyNumberFormat="1" applyFont="1" applyFill="1" applyBorder="1" applyAlignment="1" applyProtection="0">
      <alignment vertical="bottom"/>
    </xf>
    <xf numFmtId="4" fontId="9" fillId="20" borderId="134" applyNumberFormat="1" applyFont="1" applyFill="1" applyBorder="1" applyAlignment="1" applyProtection="0">
      <alignment vertical="bottom"/>
    </xf>
    <xf numFmtId="0" fontId="0" fillId="4" borderId="125" applyNumberFormat="0" applyFont="1" applyFill="1" applyBorder="1" applyAlignment="1" applyProtection="0">
      <alignment vertical="bottom"/>
    </xf>
    <xf numFmtId="4" fontId="0" fillId="4" borderId="125" applyNumberFormat="1" applyFont="1" applyFill="1" applyBorder="1" applyAlignment="1" applyProtection="0">
      <alignment vertical="bottom"/>
    </xf>
    <xf numFmtId="4" fontId="0" fillId="4" borderId="75" applyNumberFormat="1" applyFont="1" applyFill="1" applyBorder="1" applyAlignment="1" applyProtection="0">
      <alignment vertical="bottom"/>
    </xf>
    <xf numFmtId="0" fontId="0" fillId="4" applyNumberFormat="1" applyFont="1" applyFill="1" applyBorder="0" applyAlignment="1" applyProtection="0">
      <alignment vertical="bottom"/>
    </xf>
    <xf numFmtId="0" fontId="0" fillId="4" borderId="5" applyNumberFormat="1" applyFont="1" applyFill="1" applyBorder="1" applyAlignment="1" applyProtection="0">
      <alignment vertical="bottom"/>
    </xf>
    <xf numFmtId="49" fontId="9" fillId="11" borderId="24" applyNumberFormat="1" applyFont="1" applyFill="1" applyBorder="1" applyAlignment="1" applyProtection="0">
      <alignment horizontal="right" vertical="bottom"/>
    </xf>
    <xf numFmtId="49" fontId="9" fillId="11" borderId="25" applyNumberFormat="1" applyFont="1" applyFill="1" applyBorder="1" applyAlignment="1" applyProtection="0">
      <alignment vertical="bottom"/>
    </xf>
    <xf numFmtId="0" fontId="10" fillId="11" borderId="25" applyNumberFormat="0" applyFont="1" applyFill="1" applyBorder="1" applyAlignment="1" applyProtection="0">
      <alignment vertical="bottom"/>
    </xf>
    <xf numFmtId="0" fontId="10" fillId="4" borderId="25" applyNumberFormat="0" applyFont="1" applyFill="1" applyBorder="1" applyAlignment="1" applyProtection="0">
      <alignment vertical="bottom"/>
    </xf>
    <xf numFmtId="49" fontId="9" fillId="11" borderId="25" applyNumberFormat="1" applyFont="1" applyFill="1" applyBorder="1" applyAlignment="1" applyProtection="0">
      <alignment horizontal="right" vertical="bottom"/>
    </xf>
    <xf numFmtId="61" fontId="9" fillId="11" borderId="25" applyNumberFormat="1" applyFont="1" applyFill="1" applyBorder="1" applyAlignment="1" applyProtection="0">
      <alignment vertical="bottom"/>
    </xf>
    <xf numFmtId="61" fontId="9" fillId="11" borderId="26" applyNumberFormat="1" applyFont="1" applyFill="1" applyBorder="1" applyAlignment="1" applyProtection="0">
      <alignment vertical="bottom"/>
    </xf>
    <xf numFmtId="0" fontId="9" fillId="11" borderId="15" applyNumberFormat="0" applyFont="1" applyFill="1" applyBorder="1" applyAlignment="1" applyProtection="0">
      <alignment horizontal="right" vertical="bottom"/>
    </xf>
    <xf numFmtId="49" fontId="9" fillId="11" borderId="135" applyNumberFormat="1" applyFont="1" applyFill="1" applyBorder="1" applyAlignment="1" applyProtection="0">
      <alignment horizontal="center" vertical="bottom"/>
    </xf>
    <xf numFmtId="0" fontId="9" fillId="11" borderId="96" applyNumberFormat="0" applyFont="1" applyFill="1" applyBorder="1" applyAlignment="1" applyProtection="0">
      <alignment horizontal="center" vertical="bottom"/>
    </xf>
    <xf numFmtId="0" fontId="9" fillId="11" borderId="97" applyNumberFormat="0" applyFont="1" applyFill="1" applyBorder="1" applyAlignment="1" applyProtection="0">
      <alignment horizontal="center" vertical="bottom"/>
    </xf>
    <xf numFmtId="0" fontId="10" fillId="4" borderId="16" applyNumberFormat="0" applyFont="1" applyFill="1" applyBorder="1" applyAlignment="1" applyProtection="0">
      <alignment vertical="bottom"/>
    </xf>
    <xf numFmtId="0" fontId="9" fillId="4" borderId="97" applyNumberFormat="0" applyFont="1" applyFill="1" applyBorder="1" applyAlignment="1" applyProtection="0">
      <alignment vertical="bottom"/>
    </xf>
    <xf numFmtId="49" fontId="26" fillId="11" borderId="16" applyNumberFormat="1" applyFont="1" applyFill="1" applyBorder="1" applyAlignment="1" applyProtection="0">
      <alignment horizontal="center" vertical="bottom"/>
    </xf>
    <xf numFmtId="0" fontId="9" fillId="4" borderId="16" applyNumberFormat="0" applyFont="1" applyFill="1" applyBorder="1" applyAlignment="1" applyProtection="0">
      <alignment vertical="bottom"/>
    </xf>
    <xf numFmtId="0" fontId="9" fillId="11" borderId="135" applyNumberFormat="0" applyFont="1" applyFill="1" applyBorder="1" applyAlignment="1" applyProtection="0">
      <alignment vertical="bottom"/>
    </xf>
    <xf numFmtId="0" fontId="9" fillId="11" borderId="96" applyNumberFormat="0" applyFont="1" applyFill="1" applyBorder="1" applyAlignment="1" applyProtection="0">
      <alignment vertical="bottom"/>
    </xf>
    <xf numFmtId="0" fontId="9" fillId="11" borderId="97" applyNumberFormat="0" applyFont="1" applyFill="1" applyBorder="1" applyAlignment="1" applyProtection="0">
      <alignment vertical="bottom"/>
    </xf>
    <xf numFmtId="0" fontId="9" fillId="11" borderId="17" applyNumberFormat="0" applyFont="1" applyFill="1" applyBorder="1" applyAlignment="1" applyProtection="0">
      <alignment vertical="bottom"/>
    </xf>
    <xf numFmtId="0" fontId="9" fillId="11" borderId="15" applyNumberFormat="0" applyFont="1" applyFill="1" applyBorder="1" applyAlignment="1" applyProtection="0">
      <alignment vertical="bottom"/>
    </xf>
    <xf numFmtId="49" fontId="9" fillId="11" borderId="136" applyNumberFormat="1" applyFont="1" applyFill="1" applyBorder="1" applyAlignment="1" applyProtection="0">
      <alignment vertical="bottom" wrapText="1"/>
    </xf>
    <xf numFmtId="49" fontId="9" fillId="11" borderId="137" applyNumberFormat="1" applyFont="1" applyFill="1" applyBorder="1" applyAlignment="1" applyProtection="0">
      <alignment horizontal="center" vertical="bottom" wrapText="1"/>
    </xf>
    <xf numFmtId="0" fontId="10" fillId="4" borderId="16" applyNumberFormat="0" applyFont="1" applyFill="1" applyBorder="1" applyAlignment="1" applyProtection="0">
      <alignment horizontal="center" vertical="bottom"/>
    </xf>
    <xf numFmtId="0" fontId="9" fillId="4" borderId="16" applyNumberFormat="0" applyFont="1" applyFill="1" applyBorder="1" applyAlignment="1" applyProtection="0">
      <alignment horizontal="center" vertical="bottom"/>
    </xf>
    <xf numFmtId="64" fontId="10" fillId="11" borderId="138" applyNumberFormat="1" applyFont="1" applyFill="1" applyBorder="1" applyAlignment="1" applyProtection="0">
      <alignment vertical="bottom"/>
    </xf>
    <xf numFmtId="61" fontId="10" fillId="11" borderId="139" applyNumberFormat="1" applyFont="1" applyFill="1" applyBorder="1" applyAlignment="1" applyProtection="0">
      <alignment horizontal="right" vertical="bottom"/>
    </xf>
    <xf numFmtId="0" fontId="10" fillId="11" borderId="139" applyNumberFormat="1" applyFont="1" applyFill="1" applyBorder="1" applyAlignment="1" applyProtection="0">
      <alignment vertical="bottom"/>
    </xf>
    <xf numFmtId="61" fontId="10" fillId="11" borderId="16" applyNumberFormat="1" applyFont="1" applyFill="1" applyBorder="1" applyAlignment="1" applyProtection="0">
      <alignment horizontal="right" vertical="bottom"/>
    </xf>
    <xf numFmtId="61" fontId="10" fillId="4" borderId="16" applyNumberFormat="1" applyFont="1" applyFill="1" applyBorder="1" applyAlignment="1" applyProtection="0">
      <alignment horizontal="right" vertical="bottom"/>
    </xf>
    <xf numFmtId="61" fontId="9" fillId="11" borderId="16" applyNumberFormat="1" applyFont="1" applyFill="1" applyBorder="1" applyAlignment="1" applyProtection="0">
      <alignment horizontal="right" vertical="bottom"/>
    </xf>
    <xf numFmtId="0" fontId="9" fillId="11" borderId="16" applyNumberFormat="0" applyFont="1" applyFill="1" applyBorder="1" applyAlignment="1" applyProtection="0">
      <alignment horizontal="right" vertical="bottom"/>
    </xf>
    <xf numFmtId="61" fontId="10" fillId="11" borderId="17" applyNumberFormat="1" applyFont="1" applyFill="1" applyBorder="1" applyAlignment="1" applyProtection="0">
      <alignment horizontal="right" vertical="bottom"/>
    </xf>
    <xf numFmtId="64" fontId="10" fillId="11" borderId="15" applyNumberFormat="1" applyFont="1" applyFill="1" applyBorder="1" applyAlignment="1" applyProtection="0">
      <alignment vertical="bottom"/>
    </xf>
    <xf numFmtId="0" fontId="10" fillId="11" borderId="16" applyNumberFormat="1" applyFont="1" applyFill="1" applyBorder="1" applyAlignment="1" applyProtection="0">
      <alignment vertical="bottom"/>
    </xf>
    <xf numFmtId="0" fontId="10" fillId="11" borderId="16" applyNumberFormat="1" applyFont="1" applyFill="1" applyBorder="1" applyAlignment="1" applyProtection="0">
      <alignment horizontal="right" vertical="bottom"/>
    </xf>
    <xf numFmtId="0" fontId="10" fillId="11" borderId="16" applyNumberFormat="0" applyFont="1" applyFill="1" applyBorder="1" applyAlignment="1" applyProtection="0">
      <alignment horizontal="right" vertical="bottom"/>
    </xf>
    <xf numFmtId="64" fontId="10" fillId="11" borderId="18" applyNumberFormat="1" applyFont="1" applyFill="1" applyBorder="1" applyAlignment="1" applyProtection="0">
      <alignment vertical="bottom"/>
    </xf>
    <xf numFmtId="0" fontId="10" fillId="11" borderId="19" applyNumberFormat="0" applyFont="1" applyFill="1" applyBorder="1" applyAlignment="1" applyProtection="0">
      <alignment horizontal="right" vertical="bottom"/>
    </xf>
    <xf numFmtId="61" fontId="10" fillId="11" borderId="19" applyNumberFormat="1" applyFont="1" applyFill="1" applyBorder="1" applyAlignment="1" applyProtection="0">
      <alignment horizontal="right" vertical="bottom"/>
    </xf>
    <xf numFmtId="61" fontId="10" fillId="4" borderId="19" applyNumberFormat="1" applyFont="1" applyFill="1" applyBorder="1" applyAlignment="1" applyProtection="0">
      <alignment horizontal="right" vertical="bottom"/>
    </xf>
    <xf numFmtId="0" fontId="9" fillId="11" borderId="19" applyNumberFormat="0" applyFont="1" applyFill="1" applyBorder="1" applyAlignment="1" applyProtection="0">
      <alignment horizontal="right" vertical="bottom"/>
    </xf>
    <xf numFmtId="61" fontId="10" fillId="11" borderId="20" applyNumberFormat="1" applyFont="1" applyFill="1" applyBorder="1" applyAlignment="1" applyProtection="0">
      <alignment horizontal="right" vertical="bottom"/>
    </xf>
    <xf numFmtId="64" fontId="0" fillId="4" borderId="44" applyNumberFormat="1" applyFont="1" applyFill="1" applyBorder="1" applyAlignment="1" applyProtection="0">
      <alignment vertical="bottom"/>
    </xf>
    <xf numFmtId="0" fontId="28" fillId="4" borderId="44" applyNumberFormat="0" applyFont="1" applyFill="1" applyBorder="1" applyAlignment="1" applyProtection="0">
      <alignment vertical="bottom"/>
    </xf>
    <xf numFmtId="64" fontId="0" fillId="4" borderId="23" applyNumberFormat="1" applyFont="1" applyFill="1" applyBorder="1" applyAlignment="1" applyProtection="0">
      <alignment vertical="bottom"/>
    </xf>
    <xf numFmtId="0" fontId="28" fillId="4" borderId="23" applyNumberFormat="0" applyFont="1" applyFill="1" applyBorder="1" applyAlignment="1" applyProtection="0">
      <alignment vertical="bottom"/>
    </xf>
    <xf numFmtId="0" fontId="0" fillId="4" borderId="140" applyNumberFormat="0" applyFont="1" applyFill="1" applyBorder="1" applyAlignment="1" applyProtection="0">
      <alignment vertical="bottom"/>
    </xf>
    <xf numFmtId="0" fontId="9" fillId="11" borderId="16" applyNumberFormat="0" applyFont="1" applyFill="1" applyBorder="1" applyAlignment="1" applyProtection="0">
      <alignment vertical="bottom"/>
    </xf>
    <xf numFmtId="49" fontId="9" fillId="15" borderId="24" applyNumberFormat="1" applyFont="1" applyFill="1" applyBorder="1" applyAlignment="1" applyProtection="0">
      <alignment horizontal="right" vertical="bottom"/>
    </xf>
    <xf numFmtId="49" fontId="9" fillId="15" borderId="25" applyNumberFormat="1" applyFont="1" applyFill="1" applyBorder="1" applyAlignment="1" applyProtection="0">
      <alignment vertical="bottom"/>
    </xf>
    <xf numFmtId="0" fontId="10" fillId="15" borderId="25" applyNumberFormat="0" applyFont="1" applyFill="1" applyBorder="1" applyAlignment="1" applyProtection="0">
      <alignment vertical="bottom"/>
    </xf>
    <xf numFmtId="49" fontId="29" fillId="15" borderId="25" applyNumberFormat="1" applyFont="1" applyFill="1" applyBorder="1" applyAlignment="1" applyProtection="0">
      <alignment vertical="bottom"/>
    </xf>
    <xf numFmtId="61" fontId="9" fillId="15" borderId="25" applyNumberFormat="1" applyFont="1" applyFill="1" applyBorder="1" applyAlignment="1" applyProtection="0">
      <alignment vertical="bottom"/>
    </xf>
    <xf numFmtId="49" fontId="9" fillId="15" borderId="25" applyNumberFormat="1" applyFont="1" applyFill="1" applyBorder="1" applyAlignment="1" applyProtection="0">
      <alignment horizontal="right" vertical="bottom"/>
    </xf>
    <xf numFmtId="61" fontId="9" fillId="15" borderId="26" applyNumberFormat="1" applyFont="1" applyFill="1" applyBorder="1" applyAlignment="1" applyProtection="0">
      <alignment vertical="bottom"/>
    </xf>
    <xf numFmtId="0" fontId="9" fillId="15" borderId="15" applyNumberFormat="0" applyFont="1" applyFill="1" applyBorder="1" applyAlignment="1" applyProtection="0">
      <alignment horizontal="right" vertical="bottom"/>
    </xf>
    <xf numFmtId="49" fontId="9" fillId="15" borderId="135" applyNumberFormat="1" applyFont="1" applyFill="1" applyBorder="1" applyAlignment="1" applyProtection="0">
      <alignment horizontal="center" vertical="bottom"/>
    </xf>
    <xf numFmtId="0" fontId="9" fillId="15" borderId="96" applyNumberFormat="0" applyFont="1" applyFill="1" applyBorder="1" applyAlignment="1" applyProtection="0">
      <alignment horizontal="center" vertical="bottom"/>
    </xf>
    <xf numFmtId="0" fontId="9" fillId="15" borderId="97" applyNumberFormat="0" applyFont="1" applyFill="1" applyBorder="1" applyAlignment="1" applyProtection="0">
      <alignment horizontal="center" vertical="bottom"/>
    </xf>
    <xf numFmtId="0" fontId="10" fillId="15" borderId="16" applyNumberFormat="0" applyFont="1" applyFill="1" applyBorder="1" applyAlignment="1" applyProtection="0">
      <alignment vertical="bottom"/>
    </xf>
    <xf numFmtId="0" fontId="9" fillId="15" borderId="97" applyNumberFormat="0" applyFont="1" applyFill="1" applyBorder="1" applyAlignment="1" applyProtection="0">
      <alignment vertical="bottom"/>
    </xf>
    <xf numFmtId="0" fontId="9" fillId="15" borderId="16" applyNumberFormat="0" applyFont="1" applyFill="1" applyBorder="1" applyAlignment="1" applyProtection="0">
      <alignment vertical="bottom"/>
    </xf>
    <xf numFmtId="0" fontId="9" fillId="15" borderId="17" applyNumberFormat="0" applyFont="1" applyFill="1" applyBorder="1" applyAlignment="1" applyProtection="0">
      <alignment vertical="bottom"/>
    </xf>
    <xf numFmtId="0" fontId="9" fillId="15" borderId="15" applyNumberFormat="0" applyFont="1" applyFill="1" applyBorder="1" applyAlignment="1" applyProtection="0">
      <alignment vertical="bottom"/>
    </xf>
    <xf numFmtId="49" fontId="9" fillId="15" borderId="136" applyNumberFormat="1" applyFont="1" applyFill="1" applyBorder="1" applyAlignment="1" applyProtection="0">
      <alignment vertical="bottom" wrapText="1"/>
    </xf>
    <xf numFmtId="49" fontId="9" fillId="15" borderId="137" applyNumberFormat="1" applyFont="1" applyFill="1" applyBorder="1" applyAlignment="1" applyProtection="0">
      <alignment horizontal="center" vertical="bottom" wrapText="1"/>
    </xf>
    <xf numFmtId="0" fontId="10" fillId="15" borderId="137" applyNumberFormat="0" applyFont="1" applyFill="1" applyBorder="1" applyAlignment="1" applyProtection="0">
      <alignment horizontal="center" vertical="bottom" wrapText="1"/>
    </xf>
    <xf numFmtId="0" fontId="9" fillId="15" borderId="137" applyNumberFormat="0" applyFont="1" applyFill="1" applyBorder="1" applyAlignment="1" applyProtection="0">
      <alignment horizontal="center" vertical="bottom" wrapText="1"/>
    </xf>
    <xf numFmtId="0" fontId="9" fillId="15" borderId="141" applyNumberFormat="0" applyFont="1" applyFill="1" applyBorder="1" applyAlignment="1" applyProtection="0">
      <alignment horizontal="center" vertical="bottom" wrapText="1"/>
    </xf>
    <xf numFmtId="64" fontId="10" fillId="15" borderId="142" applyNumberFormat="1" applyFont="1" applyFill="1" applyBorder="1" applyAlignment="1" applyProtection="0">
      <alignment vertical="bottom"/>
    </xf>
    <xf numFmtId="61" fontId="10" fillId="15" borderId="143" applyNumberFormat="1" applyFont="1" applyFill="1" applyBorder="1" applyAlignment="1" applyProtection="0">
      <alignment horizontal="right" vertical="bottom"/>
    </xf>
    <xf numFmtId="0" fontId="10" fillId="15" borderId="143" applyNumberFormat="1" applyFont="1" applyFill="1" applyBorder="1" applyAlignment="1" applyProtection="0">
      <alignment vertical="bottom"/>
    </xf>
    <xf numFmtId="0" fontId="10" fillId="15" borderId="143" applyNumberFormat="0" applyFont="1" applyFill="1" applyBorder="1" applyAlignment="1" applyProtection="0">
      <alignment horizontal="right" vertical="bottom"/>
    </xf>
    <xf numFmtId="61" fontId="9" fillId="15" borderId="143" applyNumberFormat="1" applyFont="1" applyFill="1" applyBorder="1" applyAlignment="1" applyProtection="0">
      <alignment horizontal="right" vertical="bottom"/>
    </xf>
    <xf numFmtId="0" fontId="9" fillId="15" borderId="143" applyNumberFormat="0" applyFont="1" applyFill="1" applyBorder="1" applyAlignment="1" applyProtection="0">
      <alignment horizontal="right" vertical="bottom"/>
    </xf>
    <xf numFmtId="49" fontId="10" fillId="15" borderId="143" applyNumberFormat="1" applyFont="1" applyFill="1" applyBorder="1" applyAlignment="1" applyProtection="0">
      <alignment horizontal="right" vertical="bottom"/>
    </xf>
    <xf numFmtId="64" fontId="10" fillId="15" borderId="143" applyNumberFormat="1" applyFont="1" applyFill="1" applyBorder="1" applyAlignment="1" applyProtection="0">
      <alignment horizontal="right" vertical="bottom"/>
    </xf>
    <xf numFmtId="61" fontId="10" fillId="15" borderId="144" applyNumberFormat="1" applyFont="1" applyFill="1" applyBorder="1" applyAlignment="1" applyProtection="0">
      <alignment horizontal="right" vertical="bottom"/>
    </xf>
    <xf numFmtId="49" fontId="17" fillId="15" borderId="143" applyNumberFormat="1" applyFont="1" applyFill="1" applyBorder="1" applyAlignment="1" applyProtection="0">
      <alignment horizontal="left" vertical="bottom"/>
    </xf>
    <xf numFmtId="49" fontId="9" fillId="15" borderId="143" applyNumberFormat="1" applyFont="1" applyFill="1" applyBorder="1" applyAlignment="1" applyProtection="0">
      <alignment horizontal="left" vertical="bottom"/>
    </xf>
    <xf numFmtId="0" fontId="10" fillId="15" borderId="143" applyNumberFormat="1" applyFont="1" applyFill="1" applyBorder="1" applyAlignment="1" applyProtection="0">
      <alignment horizontal="right" vertical="bottom"/>
    </xf>
    <xf numFmtId="0" fontId="0" fillId="4" borderId="145" applyNumberFormat="0" applyFont="1" applyFill="1" applyBorder="1" applyAlignment="1" applyProtection="0">
      <alignment vertical="bottom"/>
    </xf>
    <xf numFmtId="0" fontId="0" fillId="4" borderId="146" applyNumberFormat="0" applyFont="1" applyFill="1" applyBorder="1" applyAlignment="1" applyProtection="0">
      <alignment vertical="bottom"/>
    </xf>
    <xf numFmtId="64" fontId="10" fillId="11" borderId="142" applyNumberFormat="1" applyFont="1" applyFill="1" applyBorder="1" applyAlignment="1" applyProtection="0">
      <alignment vertical="bottom"/>
    </xf>
    <xf numFmtId="61" fontId="10" fillId="11" borderId="143" applyNumberFormat="1" applyFont="1" applyFill="1" applyBorder="1" applyAlignment="1" applyProtection="0">
      <alignment horizontal="right" vertical="bottom"/>
    </xf>
    <xf numFmtId="0" fontId="10" fillId="11" borderId="143" applyNumberFormat="1" applyFont="1" applyFill="1" applyBorder="1" applyAlignment="1" applyProtection="0">
      <alignment vertical="bottom"/>
    </xf>
    <xf numFmtId="0" fontId="10" fillId="11" borderId="143" applyNumberFormat="0" applyFont="1" applyFill="1" applyBorder="1" applyAlignment="1" applyProtection="0">
      <alignment horizontal="right" vertical="bottom"/>
    </xf>
    <xf numFmtId="61" fontId="10" fillId="4" borderId="143" applyNumberFormat="1" applyFont="1" applyFill="1" applyBorder="1" applyAlignment="1" applyProtection="0">
      <alignment horizontal="right" vertical="bottom"/>
    </xf>
    <xf numFmtId="61" fontId="9" fillId="11" borderId="143" applyNumberFormat="1" applyFont="1" applyFill="1" applyBorder="1" applyAlignment="1" applyProtection="0">
      <alignment horizontal="right" vertical="bottom"/>
    </xf>
    <xf numFmtId="0" fontId="9" fillId="11" borderId="143" applyNumberFormat="0" applyFont="1" applyFill="1" applyBorder="1" applyAlignment="1" applyProtection="0">
      <alignment horizontal="right" vertical="bottom"/>
    </xf>
    <xf numFmtId="61" fontId="10" fillId="11" borderId="144" applyNumberFormat="1" applyFont="1" applyFill="1" applyBorder="1" applyAlignment="1" applyProtection="0">
      <alignment horizontal="right" vertical="bottom"/>
    </xf>
    <xf numFmtId="0" fontId="10" fillId="11" borderId="143" applyNumberFormat="0" applyFont="1" applyFill="1" applyBorder="1" applyAlignment="1" applyProtection="0">
      <alignment vertical="bottom"/>
    </xf>
    <xf numFmtId="0" fontId="9" fillId="11" borderId="25" applyNumberFormat="0" applyFont="1" applyFill="1" applyBorder="1" applyAlignment="1" applyProtection="0">
      <alignment horizontal="right" vertical="bottom"/>
    </xf>
    <xf numFmtId="0" fontId="26" fillId="11" borderId="16" applyNumberFormat="0" applyFont="1" applyFill="1" applyBorder="1" applyAlignment="1" applyProtection="0">
      <alignment horizontal="center" vertical="bottom"/>
    </xf>
    <xf numFmtId="0" fontId="10" fillId="11" borderId="143" applyNumberFormat="1" applyFont="1" applyFill="1" applyBorder="1" applyAlignment="1" applyProtection="0">
      <alignment horizontal="right" vertical="bottom"/>
    </xf>
    <xf numFmtId="0" fontId="9" fillId="15" borderId="25" applyNumberFormat="0" applyFont="1" applyFill="1" applyBorder="1" applyAlignment="1" applyProtection="0">
      <alignment horizontal="right" vertical="bottom"/>
    </xf>
    <xf numFmtId="59" fontId="0" fillId="4" borderId="23" applyNumberFormat="1" applyFont="1" applyFill="1" applyBorder="1" applyAlignment="1" applyProtection="0">
      <alignment vertical="bottom"/>
    </xf>
    <xf numFmtId="61" fontId="0" fillId="4" borderId="23" applyNumberFormat="1" applyFont="1" applyFill="1" applyBorder="1" applyAlignment="1" applyProtection="0">
      <alignment vertical="bottom"/>
    </xf>
    <xf numFmtId="60" fontId="16" fillId="4" borderId="23" applyNumberFormat="1" applyFont="1" applyFill="1" applyBorder="1" applyAlignment="1" applyProtection="0">
      <alignment vertical="bottom"/>
    </xf>
    <xf numFmtId="65" fontId="10" fillId="11" borderId="16" applyNumberFormat="1" applyFont="1" applyFill="1" applyBorder="1" applyAlignment="1" applyProtection="0">
      <alignment horizontal="right" vertical="bottom"/>
    </xf>
    <xf numFmtId="0" fontId="10" fillId="11" borderId="19" applyNumberFormat="1" applyFont="1" applyFill="1" applyBorder="1" applyAlignment="1" applyProtection="0">
      <alignment horizontal="right" vertical="bottom"/>
    </xf>
    <xf numFmtId="61" fontId="9" fillId="11" borderId="19" applyNumberFormat="1" applyFont="1" applyFill="1" applyBorder="1" applyAlignment="1" applyProtection="0">
      <alignment horizontal="right" vertical="bottom"/>
    </xf>
    <xf numFmtId="0" fontId="9" fillId="15" borderId="26" applyNumberFormat="0" applyFont="1" applyFill="1" applyBorder="1" applyAlignment="1" applyProtection="0">
      <alignment vertical="bottom"/>
    </xf>
    <xf numFmtId="64" fontId="10" fillId="11" borderId="143" applyNumberFormat="1" applyFont="1" applyFill="1" applyBorder="1" applyAlignment="1" applyProtection="0">
      <alignment horizontal="right" vertical="bottom"/>
    </xf>
    <xf numFmtId="61" fontId="17" fillId="11" borderId="143" applyNumberFormat="1" applyFont="1" applyFill="1" applyBorder="1" applyAlignment="1" applyProtection="0">
      <alignment horizontal="left" vertical="bottom"/>
    </xf>
    <xf numFmtId="61" fontId="9" fillId="11" borderId="143" applyNumberFormat="1" applyFont="1" applyFill="1" applyBorder="1" applyAlignment="1" applyProtection="0">
      <alignment horizontal="left" vertical="bottom"/>
    </xf>
    <xf numFmtId="0" fontId="9" fillId="11" borderId="25" applyNumberFormat="0" applyFont="1" applyFill="1" applyBorder="1" applyAlignment="1" applyProtection="0">
      <alignment vertical="bottom"/>
    </xf>
    <xf numFmtId="61" fontId="0" fillId="4" borderId="44" applyNumberFormat="1" applyFont="1" applyFill="1" applyBorder="1" applyAlignment="1" applyProtection="0">
      <alignment vertical="bottom"/>
    </xf>
    <xf numFmtId="49" fontId="10" fillId="11" borderId="16" applyNumberFormat="1" applyFont="1" applyFill="1" applyBorder="1" applyAlignment="1" applyProtection="0">
      <alignment horizontal="right" vertical="bottom"/>
    </xf>
    <xf numFmtId="64" fontId="10" fillId="11" borderId="16" applyNumberFormat="1" applyFont="1" applyFill="1" applyBorder="1" applyAlignment="1" applyProtection="0">
      <alignment horizontal="right" vertical="bottom"/>
    </xf>
    <xf numFmtId="49" fontId="17" fillId="11" borderId="16" applyNumberFormat="1" applyFont="1" applyFill="1" applyBorder="1" applyAlignment="1" applyProtection="0">
      <alignment horizontal="left" vertical="bottom"/>
    </xf>
    <xf numFmtId="61" fontId="10" fillId="11" borderId="78" applyNumberFormat="1" applyFont="1" applyFill="1" applyBorder="1" applyAlignment="1" applyProtection="0">
      <alignment horizontal="right" vertical="bottom"/>
    </xf>
    <xf numFmtId="61" fontId="10" fillId="11" borderId="147" applyNumberFormat="1" applyFont="1" applyFill="1" applyBorder="1" applyAlignment="1" applyProtection="0">
      <alignment horizontal="right" vertical="bottom"/>
    </xf>
    <xf numFmtId="49" fontId="9" fillId="11" borderId="16" applyNumberFormat="1" applyFont="1" applyFill="1" applyBorder="1" applyAlignment="1" applyProtection="0">
      <alignment horizontal="left" vertical="bottom"/>
    </xf>
    <xf numFmtId="61" fontId="9" fillId="11" borderId="13" applyNumberFormat="1" applyFont="1" applyFill="1" applyBorder="1" applyAlignment="1" applyProtection="0">
      <alignment horizontal="right" vertical="bottom"/>
    </xf>
    <xf numFmtId="0" fontId="10" fillId="11" borderId="16" applyNumberFormat="0" applyFont="1" applyFill="1" applyBorder="1" applyAlignment="1" applyProtection="0">
      <alignment vertical="bottom"/>
    </xf>
    <xf numFmtId="61" fontId="17" fillId="11" borderId="16" applyNumberFormat="1" applyFont="1" applyFill="1" applyBorder="1" applyAlignment="1" applyProtection="0">
      <alignment horizontal="left" vertical="bottom"/>
    </xf>
    <xf numFmtId="61" fontId="9" fillId="11" borderId="16" applyNumberFormat="1" applyFont="1" applyFill="1" applyBorder="1" applyAlignment="1" applyProtection="0">
      <alignment horizontal="left" vertical="bottom"/>
    </xf>
    <xf numFmtId="0" fontId="0" fillId="4" applyNumberFormat="1" applyFont="1" applyFill="1" applyBorder="0" applyAlignment="1" applyProtection="0">
      <alignment vertical="bottom"/>
    </xf>
    <xf numFmtId="61" fontId="0" fillId="4" borderId="2" applyNumberFormat="1" applyFont="1" applyFill="1" applyBorder="1" applyAlignment="1" applyProtection="0">
      <alignment vertical="bottom"/>
    </xf>
    <xf numFmtId="63" fontId="0" fillId="4" borderId="2" applyNumberFormat="1" applyFont="1" applyFill="1" applyBorder="1" applyAlignment="1" applyProtection="0">
      <alignment vertical="bottom"/>
    </xf>
    <xf numFmtId="49" fontId="9" fillId="21" borderId="24" applyNumberFormat="1" applyFont="1" applyFill="1" applyBorder="1" applyAlignment="1" applyProtection="0">
      <alignment horizontal="right" vertical="bottom"/>
    </xf>
    <xf numFmtId="49" fontId="9" fillId="21" borderId="25" applyNumberFormat="1" applyFont="1" applyFill="1" applyBorder="1" applyAlignment="1" applyProtection="0">
      <alignment vertical="bottom"/>
    </xf>
    <xf numFmtId="0" fontId="10" fillId="21" borderId="25" applyNumberFormat="0" applyFont="1" applyFill="1" applyBorder="1" applyAlignment="1" applyProtection="0">
      <alignment vertical="bottom"/>
    </xf>
    <xf numFmtId="61" fontId="10" fillId="21" borderId="25" applyNumberFormat="1" applyFont="1" applyFill="1" applyBorder="1" applyAlignment="1" applyProtection="0">
      <alignment vertical="bottom"/>
    </xf>
    <xf numFmtId="0" fontId="9" fillId="21" borderId="25" applyNumberFormat="0" applyFont="1" applyFill="1" applyBorder="1" applyAlignment="1" applyProtection="0">
      <alignment vertical="bottom"/>
    </xf>
    <xf numFmtId="0" fontId="10" fillId="21" borderId="26" applyNumberFormat="0" applyFont="1" applyFill="1" applyBorder="1" applyAlignment="1" applyProtection="0">
      <alignment vertical="bottom"/>
    </xf>
    <xf numFmtId="0" fontId="9" fillId="21" borderId="15" applyNumberFormat="0" applyFont="1" applyFill="1" applyBorder="1" applyAlignment="1" applyProtection="0">
      <alignment horizontal="right" vertical="bottom"/>
    </xf>
    <xf numFmtId="49" fontId="9" fillId="21" borderId="135" applyNumberFormat="1" applyFont="1" applyFill="1" applyBorder="1" applyAlignment="1" applyProtection="0">
      <alignment horizontal="center" vertical="bottom"/>
    </xf>
    <xf numFmtId="0" fontId="9" fillId="21" borderId="96" applyNumberFormat="0" applyFont="1" applyFill="1" applyBorder="1" applyAlignment="1" applyProtection="0">
      <alignment horizontal="center" vertical="bottom"/>
    </xf>
    <xf numFmtId="0" fontId="9" fillId="21" borderId="97" applyNumberFormat="0" applyFont="1" applyFill="1" applyBorder="1" applyAlignment="1" applyProtection="0">
      <alignment horizontal="center" vertical="bottom"/>
    </xf>
    <xf numFmtId="0" fontId="9" fillId="21" borderId="16" applyNumberFormat="0" applyFont="1" applyFill="1" applyBorder="1" applyAlignment="1" applyProtection="0">
      <alignment horizontal="center" vertical="bottom"/>
    </xf>
    <xf numFmtId="0" fontId="9" fillId="21" borderId="16" applyNumberFormat="0" applyFont="1" applyFill="1" applyBorder="1" applyAlignment="1" applyProtection="0">
      <alignment vertical="bottom"/>
    </xf>
    <xf numFmtId="0" fontId="9" fillId="21" borderId="17" applyNumberFormat="0" applyFont="1" applyFill="1" applyBorder="1" applyAlignment="1" applyProtection="0">
      <alignment vertical="bottom"/>
    </xf>
    <xf numFmtId="49" fontId="9" fillId="21" borderId="136" applyNumberFormat="1" applyFont="1" applyFill="1" applyBorder="1" applyAlignment="1" applyProtection="0">
      <alignment vertical="bottom" wrapText="1"/>
    </xf>
    <xf numFmtId="49" fontId="9" fillId="21" borderId="137" applyNumberFormat="1" applyFont="1" applyFill="1" applyBorder="1" applyAlignment="1" applyProtection="0">
      <alignment horizontal="center" vertical="bottom" wrapText="1"/>
    </xf>
    <xf numFmtId="49" fontId="9" fillId="21" borderId="16" applyNumberFormat="1" applyFont="1" applyFill="1" applyBorder="1" applyAlignment="1" applyProtection="0">
      <alignment horizontal="center" vertical="bottom" wrapText="1"/>
    </xf>
    <xf numFmtId="0" fontId="9" fillId="21" borderId="16" applyNumberFormat="0" applyFont="1" applyFill="1" applyBorder="1" applyAlignment="1" applyProtection="0">
      <alignment horizontal="center" vertical="bottom" wrapText="1"/>
    </xf>
    <xf numFmtId="0" fontId="9" fillId="21" borderId="17" applyNumberFormat="0" applyFont="1" applyFill="1" applyBorder="1" applyAlignment="1" applyProtection="0">
      <alignment horizontal="center" vertical="bottom" wrapText="1"/>
    </xf>
    <xf numFmtId="64" fontId="10" fillId="21" borderId="138" applyNumberFormat="1" applyFont="1" applyFill="1" applyBorder="1" applyAlignment="1" applyProtection="0">
      <alignment vertical="bottom"/>
    </xf>
    <xf numFmtId="61" fontId="10" fillId="21" borderId="139" applyNumberFormat="1" applyFont="1" applyFill="1" applyBorder="1" applyAlignment="1" applyProtection="0">
      <alignment horizontal="right" vertical="bottom"/>
    </xf>
    <xf numFmtId="0" fontId="10" fillId="21" borderId="139" applyNumberFormat="1" applyFont="1" applyFill="1" applyBorder="1" applyAlignment="1" applyProtection="0">
      <alignment vertical="bottom"/>
    </xf>
    <xf numFmtId="61" fontId="10" fillId="21" borderId="16" applyNumberFormat="1" applyFont="1" applyFill="1" applyBorder="1" applyAlignment="1" applyProtection="0">
      <alignment horizontal="right" vertical="bottom"/>
    </xf>
    <xf numFmtId="61" fontId="9" fillId="21" borderId="16" applyNumberFormat="1" applyFont="1" applyFill="1" applyBorder="1" applyAlignment="1" applyProtection="0">
      <alignment horizontal="right" vertical="bottom"/>
    </xf>
    <xf numFmtId="49" fontId="9" fillId="21" borderId="16" applyNumberFormat="1" applyFont="1" applyFill="1" applyBorder="1" applyAlignment="1" applyProtection="0">
      <alignment horizontal="right" vertical="bottom"/>
    </xf>
    <xf numFmtId="49" fontId="10" fillId="21" borderId="16" applyNumberFormat="1" applyFont="1" applyFill="1" applyBorder="1" applyAlignment="1" applyProtection="0">
      <alignment horizontal="right" vertical="bottom"/>
    </xf>
    <xf numFmtId="61" fontId="10" fillId="21" borderId="17" applyNumberFormat="1" applyFont="1" applyFill="1" applyBorder="1" applyAlignment="1" applyProtection="0">
      <alignment horizontal="right" vertical="bottom"/>
    </xf>
    <xf numFmtId="64" fontId="14" fillId="4" borderId="9" applyNumberFormat="1" applyFont="1" applyFill="1" applyBorder="1" applyAlignment="1" applyProtection="0">
      <alignment horizontal="left" vertical="bottom"/>
    </xf>
    <xf numFmtId="64" fontId="10" fillId="21" borderId="15" applyNumberFormat="1" applyFont="1" applyFill="1" applyBorder="1" applyAlignment="1" applyProtection="0">
      <alignment vertical="bottom"/>
    </xf>
    <xf numFmtId="0" fontId="10" fillId="21" borderId="16" applyNumberFormat="1" applyFont="1" applyFill="1" applyBorder="1" applyAlignment="1" applyProtection="0">
      <alignment vertical="bottom"/>
    </xf>
    <xf numFmtId="0" fontId="9" fillId="21" borderId="16" applyNumberFormat="0" applyFont="1" applyFill="1" applyBorder="1" applyAlignment="1" applyProtection="0">
      <alignment horizontal="right" vertical="bottom"/>
    </xf>
    <xf numFmtId="0" fontId="10" fillId="21" borderId="16" applyNumberFormat="0" applyFont="1" applyFill="1" applyBorder="1" applyAlignment="1" applyProtection="0">
      <alignment horizontal="right" vertical="bottom"/>
    </xf>
    <xf numFmtId="63" fontId="0" fillId="4" borderId="11" applyNumberFormat="1" applyFont="1" applyFill="1" applyBorder="1" applyAlignment="1" applyProtection="0">
      <alignment vertical="bottom"/>
    </xf>
    <xf numFmtId="0" fontId="10" fillId="21" borderId="16" applyNumberFormat="1" applyFont="1" applyFill="1" applyBorder="1" applyAlignment="1" applyProtection="0">
      <alignment horizontal="right" vertical="bottom"/>
    </xf>
    <xf numFmtId="64" fontId="10" fillId="21" borderId="18" applyNumberFormat="1" applyFont="1" applyFill="1" applyBorder="1" applyAlignment="1" applyProtection="0">
      <alignment vertical="bottom"/>
    </xf>
    <xf numFmtId="0" fontId="10" fillId="21" borderId="19" applyNumberFormat="0" applyFont="1" applyFill="1" applyBorder="1" applyAlignment="1" applyProtection="0">
      <alignment horizontal="right" vertical="bottom"/>
    </xf>
    <xf numFmtId="61" fontId="10" fillId="21" borderId="19" applyNumberFormat="1" applyFont="1" applyFill="1" applyBorder="1" applyAlignment="1" applyProtection="0">
      <alignment horizontal="right" vertical="bottom"/>
    </xf>
    <xf numFmtId="0" fontId="9" fillId="21" borderId="19" applyNumberFormat="0" applyFont="1" applyFill="1" applyBorder="1" applyAlignment="1" applyProtection="0">
      <alignment horizontal="right" vertical="bottom"/>
    </xf>
    <xf numFmtId="0" fontId="9" fillId="21" borderId="19" applyNumberFormat="0" applyFont="1" applyFill="1" applyBorder="1" applyAlignment="1" applyProtection="0">
      <alignment horizontal="center" vertical="bottom"/>
    </xf>
    <xf numFmtId="61" fontId="10" fillId="21" borderId="20" applyNumberFormat="1" applyFont="1" applyFill="1" applyBorder="1" applyAlignment="1" applyProtection="0">
      <alignment horizontal="right" vertical="bottom"/>
    </xf>
    <xf numFmtId="0" fontId="10" fillId="4" borderId="16" applyNumberFormat="0" applyFont="1" applyFill="1" applyBorder="1" applyAlignment="1" applyProtection="0">
      <alignment horizontal="center" vertical="bottom" wrapText="1"/>
    </xf>
    <xf numFmtId="0" fontId="9" fillId="4" borderId="16" applyNumberFormat="0" applyFont="1" applyFill="1" applyBorder="1" applyAlignment="1" applyProtection="0">
      <alignment horizontal="center" vertical="bottom" wrapText="1"/>
    </xf>
    <xf numFmtId="0" fontId="9" fillId="21" borderId="139" applyNumberFormat="0" applyFont="1" applyFill="1" applyBorder="1" applyAlignment="1" applyProtection="0">
      <alignment horizontal="center" vertical="bottom"/>
    </xf>
    <xf numFmtId="64" fontId="14" fillId="4" borderId="10" applyNumberFormat="1" applyFont="1" applyFill="1" applyBorder="1" applyAlignment="1" applyProtection="0">
      <alignment horizontal="left" vertical="bottom"/>
    </xf>
    <xf numFmtId="61" fontId="9" fillId="21" borderId="25" applyNumberFormat="1" applyFont="1" applyFill="1" applyBorder="1" applyAlignment="1" applyProtection="0">
      <alignment vertical="bottom"/>
    </xf>
    <xf numFmtId="64" fontId="10" fillId="21" borderId="16" applyNumberFormat="1" applyFont="1" applyFill="1" applyBorder="1" applyAlignment="1" applyProtection="0">
      <alignment horizontal="right" vertical="bottom"/>
    </xf>
    <xf numFmtId="49" fontId="17" fillId="21" borderId="16" applyNumberFormat="1" applyFont="1" applyFill="1" applyBorder="1" applyAlignment="1" applyProtection="0">
      <alignment horizontal="left" vertical="bottom"/>
    </xf>
    <xf numFmtId="61" fontId="10" fillId="21" borderId="78" applyNumberFormat="1" applyFont="1" applyFill="1" applyBorder="1" applyAlignment="1" applyProtection="0">
      <alignment horizontal="right" vertical="bottom"/>
    </xf>
    <xf numFmtId="61" fontId="10" fillId="21" borderId="147" applyNumberFormat="1" applyFont="1" applyFill="1" applyBorder="1" applyAlignment="1" applyProtection="0">
      <alignment horizontal="right" vertical="bottom"/>
    </xf>
    <xf numFmtId="49" fontId="9" fillId="21" borderId="16" applyNumberFormat="1" applyFont="1" applyFill="1" applyBorder="1" applyAlignment="1" applyProtection="0">
      <alignment horizontal="left" vertical="bottom"/>
    </xf>
    <xf numFmtId="61" fontId="9" fillId="21" borderId="13" applyNumberFormat="1" applyFont="1" applyFill="1" applyBorder="1" applyAlignment="1" applyProtection="0">
      <alignment horizontal="right" vertical="bottom"/>
    </xf>
    <xf numFmtId="0" fontId="10" fillId="21" borderId="16" applyNumberFormat="0" applyFont="1" applyFill="1" applyBorder="1" applyAlignment="1" applyProtection="0">
      <alignment vertical="bottom"/>
    </xf>
    <xf numFmtId="61" fontId="17" fillId="21" borderId="16" applyNumberFormat="1" applyFont="1" applyFill="1" applyBorder="1" applyAlignment="1" applyProtection="0">
      <alignment horizontal="left" vertical="bottom"/>
    </xf>
    <xf numFmtId="61" fontId="9" fillId="21" borderId="16" applyNumberFormat="1" applyFont="1" applyFill="1" applyBorder="1" applyAlignment="1" applyProtection="0">
      <alignment horizontal="left" vertical="bottom"/>
    </xf>
    <xf numFmtId="0" fontId="0" fillId="4" borderId="148" applyNumberFormat="0" applyFont="1" applyFill="1" applyBorder="1" applyAlignment="1" applyProtection="0">
      <alignment vertical="bottom"/>
    </xf>
    <xf numFmtId="64" fontId="14" fillId="4" borderId="149" applyNumberFormat="1" applyFont="1" applyFill="1" applyBorder="1" applyAlignment="1" applyProtection="0">
      <alignment horizontal="left" vertical="bottom"/>
    </xf>
    <xf numFmtId="0" fontId="0" fillId="4" applyNumberFormat="1" applyFont="1" applyFill="1" applyBorder="0" applyAlignment="1" applyProtection="0">
      <alignment vertical="bottom"/>
    </xf>
    <xf numFmtId="49" fontId="9" fillId="13" borderId="24" applyNumberFormat="1" applyFont="1" applyFill="1" applyBorder="1" applyAlignment="1" applyProtection="0">
      <alignment horizontal="right" vertical="bottom"/>
    </xf>
    <xf numFmtId="49" fontId="9" fillId="13" borderId="25" applyNumberFormat="1" applyFont="1" applyFill="1" applyBorder="1" applyAlignment="1" applyProtection="0">
      <alignment vertical="bottom"/>
    </xf>
    <xf numFmtId="0" fontId="10" fillId="13" borderId="25" applyNumberFormat="0" applyFont="1" applyFill="1" applyBorder="1" applyAlignment="1" applyProtection="0">
      <alignment vertical="bottom"/>
    </xf>
    <xf numFmtId="0" fontId="9" fillId="13" borderId="25" applyNumberFormat="0" applyFont="1" applyFill="1" applyBorder="1" applyAlignment="1" applyProtection="0">
      <alignment vertical="bottom"/>
    </xf>
    <xf numFmtId="0" fontId="10" fillId="13" borderId="26" applyNumberFormat="0" applyFont="1" applyFill="1" applyBorder="1" applyAlignment="1" applyProtection="0">
      <alignment vertical="bottom"/>
    </xf>
    <xf numFmtId="0" fontId="0" fillId="4" borderId="150" applyNumberFormat="0" applyFont="1" applyFill="1" applyBorder="1" applyAlignment="1" applyProtection="0">
      <alignment vertical="bottom"/>
    </xf>
    <xf numFmtId="0" fontId="9" fillId="13" borderId="15" applyNumberFormat="0" applyFont="1" applyFill="1" applyBorder="1" applyAlignment="1" applyProtection="0">
      <alignment horizontal="right" vertical="bottom"/>
    </xf>
    <xf numFmtId="49" fontId="9" fillId="13" borderId="135" applyNumberFormat="1" applyFont="1" applyFill="1" applyBorder="1" applyAlignment="1" applyProtection="0">
      <alignment horizontal="center" vertical="bottom"/>
    </xf>
    <xf numFmtId="0" fontId="9" fillId="13" borderId="96" applyNumberFormat="0" applyFont="1" applyFill="1" applyBorder="1" applyAlignment="1" applyProtection="0">
      <alignment horizontal="center" vertical="bottom"/>
    </xf>
    <xf numFmtId="0" fontId="9" fillId="13" borderId="97" applyNumberFormat="0" applyFont="1" applyFill="1" applyBorder="1" applyAlignment="1" applyProtection="0">
      <alignment horizontal="center" vertical="bottom"/>
    </xf>
    <xf numFmtId="61" fontId="9" fillId="13" borderId="16" applyNumberFormat="1" applyFont="1" applyFill="1" applyBorder="1" applyAlignment="1" applyProtection="0">
      <alignment horizontal="center" vertical="bottom"/>
    </xf>
    <xf numFmtId="0" fontId="9" fillId="13" borderId="16" applyNumberFormat="0" applyFont="1" applyFill="1" applyBorder="1" applyAlignment="1" applyProtection="0">
      <alignment vertical="bottom"/>
    </xf>
    <xf numFmtId="0" fontId="9" fillId="13" borderId="17" applyNumberFormat="0" applyFont="1" applyFill="1" applyBorder="1" applyAlignment="1" applyProtection="0">
      <alignment vertical="bottom"/>
    </xf>
    <xf numFmtId="49" fontId="9" fillId="13" borderId="136" applyNumberFormat="1" applyFont="1" applyFill="1" applyBorder="1" applyAlignment="1" applyProtection="0">
      <alignment vertical="bottom" wrapText="1"/>
    </xf>
    <xf numFmtId="49" fontId="9" fillId="13" borderId="137" applyNumberFormat="1" applyFont="1" applyFill="1" applyBorder="1" applyAlignment="1" applyProtection="0">
      <alignment horizontal="center" vertical="bottom" wrapText="1"/>
    </xf>
    <xf numFmtId="49" fontId="9" fillId="13" borderId="16" applyNumberFormat="1" applyFont="1" applyFill="1" applyBorder="1" applyAlignment="1" applyProtection="0">
      <alignment horizontal="center" vertical="bottom" wrapText="1"/>
    </xf>
    <xf numFmtId="0" fontId="9" fillId="13" borderId="16" applyNumberFormat="0" applyFont="1" applyFill="1" applyBorder="1" applyAlignment="1" applyProtection="0">
      <alignment horizontal="center" vertical="bottom" wrapText="1"/>
    </xf>
    <xf numFmtId="0" fontId="9" fillId="13" borderId="17" applyNumberFormat="0" applyFont="1" applyFill="1" applyBorder="1" applyAlignment="1" applyProtection="0">
      <alignment horizontal="center" vertical="bottom" wrapText="1"/>
    </xf>
    <xf numFmtId="64" fontId="10" fillId="13" borderId="138" applyNumberFormat="1" applyFont="1" applyFill="1" applyBorder="1" applyAlignment="1" applyProtection="0">
      <alignment vertical="bottom"/>
    </xf>
    <xf numFmtId="61" fontId="10" fillId="13" borderId="139" applyNumberFormat="1" applyFont="1" applyFill="1" applyBorder="1" applyAlignment="1" applyProtection="0">
      <alignment horizontal="right" vertical="bottom"/>
    </xf>
    <xf numFmtId="0" fontId="10" fillId="13" borderId="139" applyNumberFormat="1" applyFont="1" applyFill="1" applyBorder="1" applyAlignment="1" applyProtection="0">
      <alignment vertical="bottom"/>
    </xf>
    <xf numFmtId="61" fontId="10" fillId="13" borderId="16" applyNumberFormat="1" applyFont="1" applyFill="1" applyBorder="1" applyAlignment="1" applyProtection="0">
      <alignment horizontal="right" vertical="bottom"/>
    </xf>
    <xf numFmtId="0" fontId="10" fillId="13" borderId="16" applyNumberFormat="0" applyFont="1" applyFill="1" applyBorder="1" applyAlignment="1" applyProtection="0">
      <alignment horizontal="right" vertical="bottom"/>
    </xf>
    <xf numFmtId="61" fontId="9" fillId="13" borderId="16" applyNumberFormat="1" applyFont="1" applyFill="1" applyBorder="1" applyAlignment="1" applyProtection="0">
      <alignment horizontal="right" vertical="bottom"/>
    </xf>
    <xf numFmtId="49" fontId="9" fillId="13" borderId="16" applyNumberFormat="1" applyFont="1" applyFill="1" applyBorder="1" applyAlignment="1" applyProtection="0">
      <alignment horizontal="right" vertical="bottom"/>
    </xf>
    <xf numFmtId="49" fontId="10" fillId="13" borderId="16" applyNumberFormat="1" applyFont="1" applyFill="1" applyBorder="1" applyAlignment="1" applyProtection="0">
      <alignment horizontal="right" vertical="bottom"/>
    </xf>
    <xf numFmtId="0" fontId="9" fillId="13" borderId="139" applyNumberFormat="0" applyFont="1" applyFill="1" applyBorder="1" applyAlignment="1" applyProtection="0">
      <alignment horizontal="center" vertical="bottom"/>
    </xf>
    <xf numFmtId="61" fontId="10" fillId="13" borderId="17" applyNumberFormat="1" applyFont="1" applyFill="1" applyBorder="1" applyAlignment="1" applyProtection="0">
      <alignment horizontal="right" vertical="bottom"/>
    </xf>
    <xf numFmtId="64" fontId="14" fillId="4" borderId="150" applyNumberFormat="1" applyFont="1" applyFill="1" applyBorder="1" applyAlignment="1" applyProtection="0">
      <alignment horizontal="left" vertical="bottom"/>
    </xf>
    <xf numFmtId="64" fontId="10" fillId="13" borderId="15" applyNumberFormat="1" applyFont="1" applyFill="1" applyBorder="1" applyAlignment="1" applyProtection="0">
      <alignment vertical="bottom"/>
    </xf>
    <xf numFmtId="0" fontId="10" fillId="13" borderId="16" applyNumberFormat="1" applyFont="1" applyFill="1" applyBorder="1" applyAlignment="1" applyProtection="0">
      <alignment vertical="bottom"/>
    </xf>
    <xf numFmtId="0" fontId="9" fillId="13" borderId="16" applyNumberFormat="0" applyFont="1" applyFill="1" applyBorder="1" applyAlignment="1" applyProtection="0">
      <alignment horizontal="right" vertical="bottom"/>
    </xf>
    <xf numFmtId="0" fontId="9" fillId="13" borderId="16" applyNumberFormat="0" applyFont="1" applyFill="1" applyBorder="1" applyAlignment="1" applyProtection="0">
      <alignment horizontal="center" vertical="bottom"/>
    </xf>
    <xf numFmtId="64" fontId="10" fillId="13" borderId="18" applyNumberFormat="1" applyFont="1" applyFill="1" applyBorder="1" applyAlignment="1" applyProtection="0">
      <alignment vertical="bottom"/>
    </xf>
    <xf numFmtId="0" fontId="10" fillId="13" borderId="19" applyNumberFormat="0" applyFont="1" applyFill="1" applyBorder="1" applyAlignment="1" applyProtection="0">
      <alignment horizontal="right" vertical="bottom"/>
    </xf>
    <xf numFmtId="61" fontId="10" fillId="13" borderId="19" applyNumberFormat="1" applyFont="1" applyFill="1" applyBorder="1" applyAlignment="1" applyProtection="0">
      <alignment horizontal="right" vertical="bottom"/>
    </xf>
    <xf numFmtId="0" fontId="9" fillId="13" borderId="19" applyNumberFormat="0" applyFont="1" applyFill="1" applyBorder="1" applyAlignment="1" applyProtection="0">
      <alignment horizontal="right" vertical="bottom"/>
    </xf>
    <xf numFmtId="0" fontId="9" fillId="13" borderId="19" applyNumberFormat="0" applyFont="1" applyFill="1" applyBorder="1" applyAlignment="1" applyProtection="0">
      <alignment horizontal="center" vertical="bottom"/>
    </xf>
    <xf numFmtId="61" fontId="10" fillId="13" borderId="20" applyNumberFormat="1" applyFont="1" applyFill="1" applyBorder="1" applyAlignment="1" applyProtection="0">
      <alignment horizontal="right" vertical="bottom"/>
    </xf>
    <xf numFmtId="49" fontId="10" fillId="13" borderId="25" applyNumberFormat="1" applyFont="1" applyFill="1" applyBorder="1" applyAlignment="1" applyProtection="0">
      <alignment vertical="bottom"/>
    </xf>
    <xf numFmtId="61" fontId="10" fillId="13" borderId="25" applyNumberFormat="1" applyFont="1" applyFill="1" applyBorder="1" applyAlignment="1" applyProtection="0">
      <alignment vertical="bottom"/>
    </xf>
    <xf numFmtId="61" fontId="10" fillId="13" borderId="78" applyNumberFormat="1" applyFont="1" applyFill="1" applyBorder="1" applyAlignment="1" applyProtection="0">
      <alignment horizontal="right" vertical="bottom"/>
    </xf>
    <xf numFmtId="61" fontId="10" fillId="13" borderId="147" applyNumberFormat="1" applyFont="1" applyFill="1" applyBorder="1" applyAlignment="1" applyProtection="0">
      <alignment horizontal="right" vertical="bottom"/>
    </xf>
    <xf numFmtId="61" fontId="10" fillId="13" borderId="13" applyNumberFormat="1" applyFont="1" applyFill="1" applyBorder="1" applyAlignment="1" applyProtection="0">
      <alignment horizontal="right" vertical="bottom"/>
    </xf>
    <xf numFmtId="64" fontId="14" fillId="4" borderId="151" applyNumberFormat="1" applyFont="1" applyFill="1" applyBorder="1" applyAlignment="1" applyProtection="0">
      <alignment horizontal="left" vertical="bottom"/>
    </xf>
    <xf numFmtId="0" fontId="0" fillId="4" applyNumberFormat="1" applyFont="1" applyFill="1" applyBorder="0" applyAlignment="1" applyProtection="0">
      <alignment vertical="bottom"/>
    </xf>
    <xf numFmtId="49" fontId="9" fillId="22" borderId="24" applyNumberFormat="1" applyFont="1" applyFill="1" applyBorder="1" applyAlignment="1" applyProtection="0">
      <alignment horizontal="right" vertical="bottom"/>
    </xf>
    <xf numFmtId="49" fontId="9" fillId="22" borderId="25" applyNumberFormat="1" applyFont="1" applyFill="1" applyBorder="1" applyAlignment="1" applyProtection="0">
      <alignment vertical="bottom"/>
    </xf>
    <xf numFmtId="0" fontId="10" fillId="22" borderId="25" applyNumberFormat="0" applyFont="1" applyFill="1" applyBorder="1" applyAlignment="1" applyProtection="0">
      <alignment vertical="bottom"/>
    </xf>
    <xf numFmtId="0" fontId="9" fillId="22" borderId="25" applyNumberFormat="0" applyFont="1" applyFill="1" applyBorder="1" applyAlignment="1" applyProtection="0">
      <alignment vertical="bottom"/>
    </xf>
    <xf numFmtId="0" fontId="10" fillId="22" borderId="26" applyNumberFormat="0" applyFont="1" applyFill="1" applyBorder="1" applyAlignment="1" applyProtection="0">
      <alignment vertical="bottom"/>
    </xf>
    <xf numFmtId="0" fontId="9" fillId="22" borderId="15" applyNumberFormat="0" applyFont="1" applyFill="1" applyBorder="1" applyAlignment="1" applyProtection="0">
      <alignment horizontal="right" vertical="bottom"/>
    </xf>
    <xf numFmtId="49" fontId="9" fillId="22" borderId="135" applyNumberFormat="1" applyFont="1" applyFill="1" applyBorder="1" applyAlignment="1" applyProtection="0">
      <alignment horizontal="center" vertical="bottom"/>
    </xf>
    <xf numFmtId="0" fontId="9" fillId="22" borderId="96" applyNumberFormat="0" applyFont="1" applyFill="1" applyBorder="1" applyAlignment="1" applyProtection="0">
      <alignment horizontal="center" vertical="bottom"/>
    </xf>
    <xf numFmtId="0" fontId="9" fillId="22" borderId="97" applyNumberFormat="0" applyFont="1" applyFill="1" applyBorder="1" applyAlignment="1" applyProtection="0">
      <alignment horizontal="center" vertical="bottom"/>
    </xf>
    <xf numFmtId="0" fontId="9" fillId="22" borderId="16" applyNumberFormat="0" applyFont="1" applyFill="1" applyBorder="1" applyAlignment="1" applyProtection="0">
      <alignment horizontal="center" vertical="bottom"/>
    </xf>
    <xf numFmtId="0" fontId="9" fillId="22" borderId="16" applyNumberFormat="0" applyFont="1" applyFill="1" applyBorder="1" applyAlignment="1" applyProtection="0">
      <alignment vertical="bottom"/>
    </xf>
    <xf numFmtId="0" fontId="9" fillId="22" borderId="17" applyNumberFormat="0" applyFont="1" applyFill="1" applyBorder="1" applyAlignment="1" applyProtection="0">
      <alignment vertical="bottom"/>
    </xf>
    <xf numFmtId="49" fontId="9" fillId="22" borderId="136" applyNumberFormat="1" applyFont="1" applyFill="1" applyBorder="1" applyAlignment="1" applyProtection="0">
      <alignment vertical="bottom" wrapText="1"/>
    </xf>
    <xf numFmtId="49" fontId="9" fillId="22" borderId="137" applyNumberFormat="1" applyFont="1" applyFill="1" applyBorder="1" applyAlignment="1" applyProtection="0">
      <alignment horizontal="center" vertical="bottom" wrapText="1"/>
    </xf>
    <xf numFmtId="49" fontId="9" fillId="22" borderId="16" applyNumberFormat="1" applyFont="1" applyFill="1" applyBorder="1" applyAlignment="1" applyProtection="0">
      <alignment horizontal="center" vertical="bottom" wrapText="1"/>
    </xf>
    <xf numFmtId="0" fontId="9" fillId="22" borderId="16" applyNumberFormat="0" applyFont="1" applyFill="1" applyBorder="1" applyAlignment="1" applyProtection="0">
      <alignment horizontal="center" vertical="bottom" wrapText="1"/>
    </xf>
    <xf numFmtId="0" fontId="9" fillId="22" borderId="17" applyNumberFormat="0" applyFont="1" applyFill="1" applyBorder="1" applyAlignment="1" applyProtection="0">
      <alignment horizontal="center" vertical="bottom" wrapText="1"/>
    </xf>
    <xf numFmtId="64" fontId="10" fillId="22" borderId="138" applyNumberFormat="1" applyFont="1" applyFill="1" applyBorder="1" applyAlignment="1" applyProtection="0">
      <alignment vertical="bottom"/>
    </xf>
    <xf numFmtId="61" fontId="10" fillId="22" borderId="139" applyNumberFormat="1" applyFont="1" applyFill="1" applyBorder="1" applyAlignment="1" applyProtection="0">
      <alignment horizontal="right" vertical="bottom"/>
    </xf>
    <xf numFmtId="0" fontId="10" fillId="22" borderId="139" applyNumberFormat="1" applyFont="1" applyFill="1" applyBorder="1" applyAlignment="1" applyProtection="0">
      <alignment vertical="bottom"/>
    </xf>
    <xf numFmtId="61" fontId="10" fillId="22" borderId="16" applyNumberFormat="1" applyFont="1" applyFill="1" applyBorder="1" applyAlignment="1" applyProtection="0">
      <alignment horizontal="right" vertical="bottom"/>
    </xf>
    <xf numFmtId="0" fontId="10" fillId="22" borderId="16" applyNumberFormat="0" applyFont="1" applyFill="1" applyBorder="1" applyAlignment="1" applyProtection="0">
      <alignment horizontal="right" vertical="bottom"/>
    </xf>
    <xf numFmtId="61" fontId="9" fillId="22" borderId="16" applyNumberFormat="1" applyFont="1" applyFill="1" applyBorder="1" applyAlignment="1" applyProtection="0">
      <alignment horizontal="right" vertical="bottom"/>
    </xf>
    <xf numFmtId="49" fontId="9" fillId="22" borderId="16" applyNumberFormat="1" applyFont="1" applyFill="1" applyBorder="1" applyAlignment="1" applyProtection="0">
      <alignment horizontal="right" vertical="bottom"/>
    </xf>
    <xf numFmtId="49" fontId="10" fillId="22" borderId="16" applyNumberFormat="1" applyFont="1" applyFill="1" applyBorder="1" applyAlignment="1" applyProtection="0">
      <alignment horizontal="right" vertical="bottom"/>
    </xf>
    <xf numFmtId="0" fontId="9" fillId="22" borderId="139" applyNumberFormat="0" applyFont="1" applyFill="1" applyBorder="1" applyAlignment="1" applyProtection="0">
      <alignment horizontal="center" vertical="bottom"/>
    </xf>
    <xf numFmtId="61" fontId="10" fillId="22" borderId="17" applyNumberFormat="1" applyFont="1" applyFill="1" applyBorder="1" applyAlignment="1" applyProtection="0">
      <alignment horizontal="right" vertical="bottom"/>
    </xf>
    <xf numFmtId="64" fontId="10" fillId="22" borderId="15" applyNumberFormat="1" applyFont="1" applyFill="1" applyBorder="1" applyAlignment="1" applyProtection="0">
      <alignment vertical="bottom"/>
    </xf>
    <xf numFmtId="0" fontId="10" fillId="22" borderId="16" applyNumberFormat="1" applyFont="1" applyFill="1" applyBorder="1" applyAlignment="1" applyProtection="0">
      <alignment vertical="bottom"/>
    </xf>
    <xf numFmtId="0" fontId="9" fillId="22" borderId="16" applyNumberFormat="0" applyFont="1" applyFill="1" applyBorder="1" applyAlignment="1" applyProtection="0">
      <alignment horizontal="right" vertical="bottom"/>
    </xf>
    <xf numFmtId="0" fontId="10" fillId="22" borderId="16" applyNumberFormat="0" applyFont="1" applyFill="1" applyBorder="1" applyAlignment="1" applyProtection="0">
      <alignment vertical="bottom"/>
    </xf>
    <xf numFmtId="64" fontId="10" fillId="22" borderId="18" applyNumberFormat="1" applyFont="1" applyFill="1" applyBorder="1" applyAlignment="1" applyProtection="0">
      <alignment vertical="bottom"/>
    </xf>
    <xf numFmtId="0" fontId="10" fillId="22" borderId="19" applyNumberFormat="0" applyFont="1" applyFill="1" applyBorder="1" applyAlignment="1" applyProtection="0">
      <alignment horizontal="right" vertical="bottom"/>
    </xf>
    <xf numFmtId="61" fontId="10" fillId="22" borderId="19" applyNumberFormat="1" applyFont="1" applyFill="1" applyBorder="1" applyAlignment="1" applyProtection="0">
      <alignment horizontal="right" vertical="bottom"/>
    </xf>
    <xf numFmtId="0" fontId="9" fillId="22" borderId="19" applyNumberFormat="0" applyFont="1" applyFill="1" applyBorder="1" applyAlignment="1" applyProtection="0">
      <alignment horizontal="right" vertical="bottom"/>
    </xf>
    <xf numFmtId="0" fontId="9" fillId="22" borderId="19" applyNumberFormat="0" applyFont="1" applyFill="1" applyBorder="1" applyAlignment="1" applyProtection="0">
      <alignment horizontal="center" vertical="bottom"/>
    </xf>
    <xf numFmtId="61" fontId="10" fillId="22" borderId="20" applyNumberFormat="1" applyFont="1" applyFill="1" applyBorder="1" applyAlignment="1" applyProtection="0">
      <alignment horizontal="right" vertical="bottom"/>
    </xf>
    <xf numFmtId="0" fontId="0" fillId="4" applyNumberFormat="1" applyFont="1" applyFill="1" applyBorder="0" applyAlignment="1" applyProtection="0">
      <alignment vertical="bottom"/>
    </xf>
    <xf numFmtId="49" fontId="14" fillId="4" borderId="2" applyNumberFormat="1" applyFont="1" applyFill="1" applyBorder="1" applyAlignment="1" applyProtection="0">
      <alignment vertical="bottom"/>
    </xf>
    <xf numFmtId="49" fontId="9" fillId="23" borderId="24" applyNumberFormat="1" applyFont="1" applyFill="1" applyBorder="1" applyAlignment="1" applyProtection="0">
      <alignment horizontal="right" vertical="bottom"/>
    </xf>
    <xf numFmtId="49" fontId="9" fillId="23" borderId="25" applyNumberFormat="1" applyFont="1" applyFill="1" applyBorder="1" applyAlignment="1" applyProtection="0">
      <alignment vertical="bottom"/>
    </xf>
    <xf numFmtId="0" fontId="10" fillId="23" borderId="25" applyNumberFormat="0" applyFont="1" applyFill="1" applyBorder="1" applyAlignment="1" applyProtection="0">
      <alignment vertical="bottom"/>
    </xf>
    <xf numFmtId="61" fontId="9" fillId="23" borderId="25" applyNumberFormat="1" applyFont="1" applyFill="1" applyBorder="1" applyAlignment="1" applyProtection="0">
      <alignment vertical="bottom"/>
    </xf>
    <xf numFmtId="49" fontId="9" fillId="23" borderId="25" applyNumberFormat="1" applyFont="1" applyFill="1" applyBorder="1" applyAlignment="1" applyProtection="0">
      <alignment horizontal="right" vertical="bottom"/>
    </xf>
    <xf numFmtId="61" fontId="9" fillId="23" borderId="26" applyNumberFormat="1" applyFont="1" applyFill="1" applyBorder="1" applyAlignment="1" applyProtection="0">
      <alignment vertical="bottom"/>
    </xf>
    <xf numFmtId="49" fontId="31" fillId="23" borderId="15" applyNumberFormat="1" applyFont="1" applyFill="1" applyBorder="1" applyAlignment="1" applyProtection="0">
      <alignment horizontal="right" vertical="bottom"/>
    </xf>
    <xf numFmtId="49" fontId="31" fillId="23" borderId="135" applyNumberFormat="1" applyFont="1" applyFill="1" applyBorder="1" applyAlignment="1" applyProtection="0">
      <alignment vertical="bottom"/>
    </xf>
    <xf numFmtId="0" fontId="10" fillId="23" borderId="96" applyNumberFormat="0" applyFont="1" applyFill="1" applyBorder="1" applyAlignment="1" applyProtection="0">
      <alignment vertical="bottom"/>
    </xf>
    <xf numFmtId="0" fontId="10" fillId="23" borderId="97" applyNumberFormat="0" applyFont="1" applyFill="1" applyBorder="1" applyAlignment="1" applyProtection="0">
      <alignment vertical="bottom"/>
    </xf>
    <xf numFmtId="0" fontId="10" fillId="23" borderId="135" applyNumberFormat="0" applyFont="1" applyFill="1" applyBorder="1" applyAlignment="1" applyProtection="0">
      <alignment vertical="bottom"/>
    </xf>
    <xf numFmtId="0" fontId="10" fillId="4" borderId="97" applyNumberFormat="0" applyFont="1" applyFill="1" applyBorder="1" applyAlignment="1" applyProtection="0">
      <alignment vertical="bottom"/>
    </xf>
    <xf numFmtId="0" fontId="10" fillId="23" borderId="16" applyNumberFormat="0" applyFont="1" applyFill="1" applyBorder="1" applyAlignment="1" applyProtection="0">
      <alignment vertical="bottom"/>
    </xf>
    <xf numFmtId="0" fontId="9" fillId="23" borderId="16" applyNumberFormat="0" applyFont="1" applyFill="1" applyBorder="1" applyAlignment="1" applyProtection="0">
      <alignment vertical="bottom"/>
    </xf>
    <xf numFmtId="61" fontId="9" fillId="23" borderId="16" applyNumberFormat="1" applyFont="1" applyFill="1" applyBorder="1" applyAlignment="1" applyProtection="0">
      <alignment vertical="bottom"/>
    </xf>
    <xf numFmtId="0" fontId="9" fillId="23" borderId="16" applyNumberFormat="0" applyFont="1" applyFill="1" applyBorder="1" applyAlignment="1" applyProtection="0">
      <alignment horizontal="right" vertical="bottom"/>
    </xf>
    <xf numFmtId="61" fontId="9" fillId="23" borderId="17" applyNumberFormat="1" applyFont="1" applyFill="1" applyBorder="1" applyAlignment="1" applyProtection="0">
      <alignment vertical="bottom"/>
    </xf>
    <xf numFmtId="0" fontId="9" fillId="23" borderId="15" applyNumberFormat="0" applyFont="1" applyFill="1" applyBorder="1" applyAlignment="1" applyProtection="0">
      <alignment horizontal="right" vertical="bottom"/>
    </xf>
    <xf numFmtId="49" fontId="9" fillId="23" borderId="135" applyNumberFormat="1" applyFont="1" applyFill="1" applyBorder="1" applyAlignment="1" applyProtection="0">
      <alignment horizontal="center" vertical="bottom"/>
    </xf>
    <xf numFmtId="0" fontId="9" fillId="23" borderId="96" applyNumberFormat="0" applyFont="1" applyFill="1" applyBorder="1" applyAlignment="1" applyProtection="0">
      <alignment horizontal="center" vertical="bottom"/>
    </xf>
    <xf numFmtId="0" fontId="9" fillId="23" borderId="97" applyNumberFormat="0" applyFont="1" applyFill="1" applyBorder="1" applyAlignment="1" applyProtection="0">
      <alignment horizontal="center" vertical="bottom"/>
    </xf>
    <xf numFmtId="0" fontId="9" fillId="23" borderId="17" applyNumberFormat="0" applyFont="1" applyFill="1" applyBorder="1" applyAlignment="1" applyProtection="0">
      <alignment vertical="bottom"/>
    </xf>
    <xf numFmtId="49" fontId="9" fillId="23" borderId="136" applyNumberFormat="1" applyFont="1" applyFill="1" applyBorder="1" applyAlignment="1" applyProtection="0">
      <alignment vertical="bottom" wrapText="1"/>
    </xf>
    <xf numFmtId="49" fontId="9" fillId="23" borderId="137" applyNumberFormat="1" applyFont="1" applyFill="1" applyBorder="1" applyAlignment="1" applyProtection="0">
      <alignment horizontal="center" vertical="bottom" wrapText="1"/>
    </xf>
    <xf numFmtId="49" fontId="9" fillId="23" borderId="16" applyNumberFormat="1" applyFont="1" applyFill="1" applyBorder="1" applyAlignment="1" applyProtection="0">
      <alignment horizontal="center" vertical="bottom" wrapText="1"/>
    </xf>
    <xf numFmtId="0" fontId="9" fillId="23" borderId="16" applyNumberFormat="0" applyFont="1" applyFill="1" applyBorder="1" applyAlignment="1" applyProtection="0">
      <alignment horizontal="center" vertical="bottom" wrapText="1"/>
    </xf>
    <xf numFmtId="0" fontId="9" fillId="23" borderId="17" applyNumberFormat="0" applyFont="1" applyFill="1" applyBorder="1" applyAlignment="1" applyProtection="0">
      <alignment horizontal="center" vertical="bottom" wrapText="1"/>
    </xf>
    <xf numFmtId="64" fontId="10" fillId="23" borderId="138" applyNumberFormat="1" applyFont="1" applyFill="1" applyBorder="1" applyAlignment="1" applyProtection="0">
      <alignment vertical="bottom"/>
    </xf>
    <xf numFmtId="61" fontId="10" fillId="23" borderId="139" applyNumberFormat="1" applyFont="1" applyFill="1" applyBorder="1" applyAlignment="1" applyProtection="0">
      <alignment horizontal="right" vertical="bottom"/>
    </xf>
    <xf numFmtId="0" fontId="10" fillId="23" borderId="139" applyNumberFormat="1" applyFont="1" applyFill="1" applyBorder="1" applyAlignment="1" applyProtection="0">
      <alignment vertical="bottom"/>
    </xf>
    <xf numFmtId="61" fontId="10" fillId="23" borderId="16" applyNumberFormat="1" applyFont="1" applyFill="1" applyBorder="1" applyAlignment="1" applyProtection="0">
      <alignment horizontal="right" vertical="bottom"/>
    </xf>
    <xf numFmtId="0" fontId="10" fillId="23" borderId="16" applyNumberFormat="0" applyFont="1" applyFill="1" applyBorder="1" applyAlignment="1" applyProtection="0">
      <alignment horizontal="right" vertical="bottom"/>
    </xf>
    <xf numFmtId="61" fontId="9" fillId="23" borderId="16" applyNumberFormat="1" applyFont="1" applyFill="1" applyBorder="1" applyAlignment="1" applyProtection="0">
      <alignment horizontal="right" vertical="bottom"/>
    </xf>
    <xf numFmtId="64" fontId="10" fillId="23" borderId="16" applyNumberFormat="1" applyFont="1" applyFill="1" applyBorder="1" applyAlignment="1" applyProtection="0">
      <alignment horizontal="right" vertical="bottom"/>
    </xf>
    <xf numFmtId="61" fontId="10" fillId="23" borderId="17" applyNumberFormat="1" applyFont="1" applyFill="1" applyBorder="1" applyAlignment="1" applyProtection="0">
      <alignment horizontal="right" vertical="bottom"/>
    </xf>
    <xf numFmtId="64" fontId="10" fillId="23" borderId="15" applyNumberFormat="1" applyFont="1" applyFill="1" applyBorder="1" applyAlignment="1" applyProtection="0">
      <alignment vertical="bottom"/>
    </xf>
    <xf numFmtId="0" fontId="10" fillId="23" borderId="16" applyNumberFormat="1" applyFont="1" applyFill="1" applyBorder="1" applyAlignment="1" applyProtection="0">
      <alignment vertical="bottom"/>
    </xf>
    <xf numFmtId="49" fontId="10" fillId="23" borderId="16" applyNumberFormat="1" applyFont="1" applyFill="1" applyBorder="1" applyAlignment="1" applyProtection="0">
      <alignment horizontal="right" vertical="bottom"/>
    </xf>
    <xf numFmtId="64" fontId="10" fillId="23" borderId="18" applyNumberFormat="1" applyFont="1" applyFill="1" applyBorder="1" applyAlignment="1" applyProtection="0">
      <alignment vertical="bottom"/>
    </xf>
    <xf numFmtId="0" fontId="10" fillId="23" borderId="19" applyNumberFormat="0" applyFont="1" applyFill="1" applyBorder="1" applyAlignment="1" applyProtection="0">
      <alignment horizontal="right" vertical="bottom"/>
    </xf>
    <xf numFmtId="61" fontId="10" fillId="23" borderId="19" applyNumberFormat="1" applyFont="1" applyFill="1" applyBorder="1" applyAlignment="1" applyProtection="0">
      <alignment horizontal="right" vertical="bottom"/>
    </xf>
    <xf numFmtId="0" fontId="9" fillId="23" borderId="19" applyNumberFormat="0" applyFont="1" applyFill="1" applyBorder="1" applyAlignment="1" applyProtection="0">
      <alignment horizontal="right" vertical="bottom"/>
    </xf>
    <xf numFmtId="49" fontId="10" fillId="23" borderId="19" applyNumberFormat="1" applyFont="1" applyFill="1" applyBorder="1" applyAlignment="1" applyProtection="0">
      <alignment horizontal="right" vertical="bottom"/>
    </xf>
    <xf numFmtId="61" fontId="10" fillId="23" borderId="20" applyNumberFormat="1" applyFont="1" applyFill="1" applyBorder="1" applyAlignment="1" applyProtection="0">
      <alignment horizontal="right" vertical="bottom"/>
    </xf>
    <xf numFmtId="59" fontId="0" fillId="4" borderId="44" applyNumberFormat="1" applyFont="1" applyFill="1" applyBorder="1" applyAlignment="1" applyProtection="0">
      <alignment vertical="bottom"/>
    </xf>
    <xf numFmtId="0" fontId="0" fillId="4" borderId="152" applyNumberFormat="0" applyFont="1" applyFill="1" applyBorder="1" applyAlignment="1" applyProtection="0">
      <alignment vertical="bottom"/>
    </xf>
    <xf numFmtId="0" fontId="0" fillId="4" borderId="153" applyNumberFormat="0" applyFont="1" applyFill="1" applyBorder="1" applyAlignment="1" applyProtection="0">
      <alignment vertical="bottom"/>
    </xf>
    <xf numFmtId="49" fontId="10" fillId="23" borderId="154" applyNumberFormat="1" applyFont="1" applyFill="1" applyBorder="1" applyAlignment="1" applyProtection="0">
      <alignment horizontal="right" vertical="bottom"/>
    </xf>
    <xf numFmtId="0" fontId="0" fillId="4" borderId="155" applyNumberFormat="0" applyFont="1" applyFill="1" applyBorder="1" applyAlignment="1" applyProtection="0">
      <alignment vertical="bottom"/>
    </xf>
    <xf numFmtId="61" fontId="10" fillId="23" borderId="156" applyNumberFormat="1" applyFont="1" applyFill="1" applyBorder="1" applyAlignment="1" applyProtection="0">
      <alignment horizontal="right" vertical="bottom"/>
    </xf>
    <xf numFmtId="61" fontId="10" fillId="23" borderId="157" applyNumberFormat="1" applyFont="1" applyFill="1" applyBorder="1" applyAlignment="1" applyProtection="0">
      <alignment horizontal="right" vertical="bottom"/>
    </xf>
    <xf numFmtId="1" fontId="0" fillId="4" borderId="158" applyNumberFormat="1" applyFont="1" applyFill="1" applyBorder="1" applyAlignment="1" applyProtection="0">
      <alignment vertical="bottom"/>
    </xf>
    <xf numFmtId="0" fontId="0" fillId="4" borderId="158" applyNumberFormat="0" applyFont="1" applyFill="1" applyBorder="1" applyAlignment="1" applyProtection="0">
      <alignment vertical="bottom"/>
    </xf>
    <xf numFmtId="1" fontId="0" fillId="4" borderId="159" applyNumberFormat="1" applyFont="1" applyFill="1" applyBorder="1" applyAlignment="1" applyProtection="0">
      <alignment vertical="bottom"/>
    </xf>
    <xf numFmtId="0" fontId="0" fillId="4" borderId="153" applyNumberFormat="1" applyFont="1" applyFill="1" applyBorder="1" applyAlignment="1" applyProtection="0">
      <alignment vertical="bottom"/>
    </xf>
    <xf numFmtId="0" fontId="0" fillId="4" borderId="160" applyNumberFormat="1" applyFont="1" applyFill="1" applyBorder="1" applyAlignment="1" applyProtection="0">
      <alignment vertical="bottom"/>
    </xf>
    <xf numFmtId="0" fontId="0" fillId="4" borderId="161" applyNumberFormat="0" applyFont="1" applyFill="1" applyBorder="1" applyAlignment="1" applyProtection="0">
      <alignment vertical="bottom"/>
    </xf>
    <xf numFmtId="0" fontId="0" fillId="4" applyNumberFormat="1" applyFont="1" applyFill="1" applyBorder="0" applyAlignment="1" applyProtection="0">
      <alignment vertical="bottom"/>
    </xf>
    <xf numFmtId="0" fontId="0" fillId="4" applyNumberFormat="1" applyFont="1" applyFill="1" applyBorder="0" applyAlignment="1" applyProtection="0">
      <alignment vertical="bottom"/>
    </xf>
    <xf numFmtId="49" fontId="9" fillId="24" borderId="24" applyNumberFormat="1" applyFont="1" applyFill="1" applyBorder="1" applyAlignment="1" applyProtection="0">
      <alignment horizontal="right" vertical="bottom"/>
    </xf>
    <xf numFmtId="49" fontId="9" fillId="24" borderId="25" applyNumberFormat="1" applyFont="1" applyFill="1" applyBorder="1" applyAlignment="1" applyProtection="0">
      <alignment vertical="bottom"/>
    </xf>
    <xf numFmtId="0" fontId="10" fillId="24" borderId="25" applyNumberFormat="0" applyFont="1" applyFill="1" applyBorder="1" applyAlignment="1" applyProtection="0">
      <alignment vertical="bottom"/>
    </xf>
    <xf numFmtId="61" fontId="9" fillId="24" borderId="25" applyNumberFormat="1" applyFont="1" applyFill="1" applyBorder="1" applyAlignment="1" applyProtection="0">
      <alignment vertical="bottom"/>
    </xf>
    <xf numFmtId="49" fontId="9" fillId="24" borderId="25" applyNumberFormat="1" applyFont="1" applyFill="1" applyBorder="1" applyAlignment="1" applyProtection="0">
      <alignment horizontal="right" vertical="bottom"/>
    </xf>
    <xf numFmtId="61" fontId="9" fillId="24" borderId="26" applyNumberFormat="1" applyFont="1" applyFill="1" applyBorder="1" applyAlignment="1" applyProtection="0">
      <alignment vertical="bottom"/>
    </xf>
    <xf numFmtId="49" fontId="31" fillId="24" borderId="15" applyNumberFormat="1" applyFont="1" applyFill="1" applyBorder="1" applyAlignment="1" applyProtection="0">
      <alignment horizontal="right" vertical="bottom"/>
    </xf>
    <xf numFmtId="49" fontId="31" fillId="24" borderId="135" applyNumberFormat="1" applyFont="1" applyFill="1" applyBorder="1" applyAlignment="1" applyProtection="0">
      <alignment vertical="bottom"/>
    </xf>
    <xf numFmtId="0" fontId="10" fillId="24" borderId="96" applyNumberFormat="0" applyFont="1" applyFill="1" applyBorder="1" applyAlignment="1" applyProtection="0">
      <alignment vertical="bottom"/>
    </xf>
    <xf numFmtId="0" fontId="10" fillId="24" borderId="97" applyNumberFormat="0" applyFont="1" applyFill="1" applyBorder="1" applyAlignment="1" applyProtection="0">
      <alignment vertical="bottom"/>
    </xf>
    <xf numFmtId="0" fontId="10" fillId="24" borderId="135" applyNumberFormat="0" applyFont="1" applyFill="1" applyBorder="1" applyAlignment="1" applyProtection="0">
      <alignment vertical="bottom"/>
    </xf>
    <xf numFmtId="0" fontId="9" fillId="24" borderId="16" applyNumberFormat="0" applyFont="1" applyFill="1" applyBorder="1" applyAlignment="1" applyProtection="0">
      <alignment vertical="bottom"/>
    </xf>
    <xf numFmtId="61" fontId="9" fillId="24" borderId="16" applyNumberFormat="1" applyFont="1" applyFill="1" applyBorder="1" applyAlignment="1" applyProtection="0">
      <alignment vertical="bottom"/>
    </xf>
    <xf numFmtId="0" fontId="9" fillId="24" borderId="16" applyNumberFormat="0" applyFont="1" applyFill="1" applyBorder="1" applyAlignment="1" applyProtection="0">
      <alignment horizontal="right" vertical="bottom"/>
    </xf>
    <xf numFmtId="61" fontId="9" fillId="24" borderId="17" applyNumberFormat="1" applyFont="1" applyFill="1" applyBorder="1" applyAlignment="1" applyProtection="0">
      <alignment vertical="bottom"/>
    </xf>
    <xf numFmtId="0" fontId="9" fillId="24" borderId="15" applyNumberFormat="0" applyFont="1" applyFill="1" applyBorder="1" applyAlignment="1" applyProtection="0">
      <alignment horizontal="right" vertical="bottom"/>
    </xf>
    <xf numFmtId="49" fontId="9" fillId="24" borderId="135" applyNumberFormat="1" applyFont="1" applyFill="1" applyBorder="1" applyAlignment="1" applyProtection="0">
      <alignment horizontal="center" vertical="bottom"/>
    </xf>
    <xf numFmtId="0" fontId="9" fillId="24" borderId="96" applyNumberFormat="0" applyFont="1" applyFill="1" applyBorder="1" applyAlignment="1" applyProtection="0">
      <alignment horizontal="center" vertical="bottom"/>
    </xf>
    <xf numFmtId="0" fontId="9" fillId="24" borderId="97" applyNumberFormat="0" applyFont="1" applyFill="1" applyBorder="1" applyAlignment="1" applyProtection="0">
      <alignment horizontal="center" vertical="bottom"/>
    </xf>
    <xf numFmtId="0" fontId="9" fillId="24" borderId="17" applyNumberFormat="0" applyFont="1" applyFill="1" applyBorder="1" applyAlignment="1" applyProtection="0">
      <alignment vertical="bottom"/>
    </xf>
    <xf numFmtId="49" fontId="9" fillId="24" borderId="136" applyNumberFormat="1" applyFont="1" applyFill="1" applyBorder="1" applyAlignment="1" applyProtection="0">
      <alignment vertical="bottom" wrapText="1"/>
    </xf>
    <xf numFmtId="49" fontId="9" fillId="24" borderId="137" applyNumberFormat="1" applyFont="1" applyFill="1" applyBorder="1" applyAlignment="1" applyProtection="0">
      <alignment horizontal="center" vertical="bottom" wrapText="1"/>
    </xf>
    <xf numFmtId="49" fontId="9" fillId="24" borderId="16" applyNumberFormat="1" applyFont="1" applyFill="1" applyBorder="1" applyAlignment="1" applyProtection="0">
      <alignment horizontal="center" vertical="bottom" wrapText="1"/>
    </xf>
    <xf numFmtId="0" fontId="9" fillId="24" borderId="16" applyNumberFormat="0" applyFont="1" applyFill="1" applyBorder="1" applyAlignment="1" applyProtection="0">
      <alignment horizontal="center" vertical="bottom" wrapText="1"/>
    </xf>
    <xf numFmtId="0" fontId="9" fillId="24" borderId="17" applyNumberFormat="0" applyFont="1" applyFill="1" applyBorder="1" applyAlignment="1" applyProtection="0">
      <alignment horizontal="center" vertical="bottom" wrapText="1"/>
    </xf>
    <xf numFmtId="64" fontId="10" fillId="24" borderId="138" applyNumberFormat="1" applyFont="1" applyFill="1" applyBorder="1" applyAlignment="1" applyProtection="0">
      <alignment vertical="bottom"/>
    </xf>
    <xf numFmtId="61" fontId="10" fillId="24" borderId="139" applyNumberFormat="1" applyFont="1" applyFill="1" applyBorder="1" applyAlignment="1" applyProtection="0">
      <alignment horizontal="right" vertical="bottom"/>
    </xf>
    <xf numFmtId="0" fontId="10" fillId="24" borderId="139" applyNumberFormat="1" applyFont="1" applyFill="1" applyBorder="1" applyAlignment="1" applyProtection="0">
      <alignment vertical="bottom"/>
    </xf>
    <xf numFmtId="61" fontId="10" fillId="24" borderId="16" applyNumberFormat="1" applyFont="1" applyFill="1" applyBorder="1" applyAlignment="1" applyProtection="0">
      <alignment horizontal="right" vertical="bottom"/>
    </xf>
    <xf numFmtId="61" fontId="9" fillId="24" borderId="16" applyNumberFormat="1" applyFont="1" applyFill="1" applyBorder="1" applyAlignment="1" applyProtection="0">
      <alignment horizontal="right" vertical="bottom"/>
    </xf>
    <xf numFmtId="61" fontId="10" fillId="24" borderId="17" applyNumberFormat="1" applyFont="1" applyFill="1" applyBorder="1" applyAlignment="1" applyProtection="0">
      <alignment horizontal="right" vertical="bottom"/>
    </xf>
    <xf numFmtId="64" fontId="10" fillId="24" borderId="15" applyNumberFormat="1" applyFont="1" applyFill="1" applyBorder="1" applyAlignment="1" applyProtection="0">
      <alignment vertical="bottom"/>
    </xf>
    <xf numFmtId="0" fontId="10" fillId="24" borderId="16" applyNumberFormat="1" applyFont="1" applyFill="1" applyBorder="1" applyAlignment="1" applyProtection="0">
      <alignment vertical="bottom"/>
    </xf>
    <xf numFmtId="0" fontId="10" fillId="24" borderId="16" applyNumberFormat="0" applyFont="1" applyFill="1" applyBorder="1" applyAlignment="1" applyProtection="0">
      <alignment horizontal="right" vertical="bottom"/>
    </xf>
    <xf numFmtId="64" fontId="10" fillId="24" borderId="18" applyNumberFormat="1" applyFont="1" applyFill="1" applyBorder="1" applyAlignment="1" applyProtection="0">
      <alignment vertical="bottom"/>
    </xf>
    <xf numFmtId="0" fontId="10" fillId="24" borderId="19" applyNumberFormat="0" applyFont="1" applyFill="1" applyBorder="1" applyAlignment="1" applyProtection="0">
      <alignment horizontal="right" vertical="bottom"/>
    </xf>
    <xf numFmtId="61" fontId="10" fillId="24" borderId="19" applyNumberFormat="1" applyFont="1" applyFill="1" applyBorder="1" applyAlignment="1" applyProtection="0">
      <alignment horizontal="right" vertical="bottom"/>
    </xf>
    <xf numFmtId="0" fontId="9" fillId="24" borderId="19" applyNumberFormat="0" applyFont="1" applyFill="1" applyBorder="1" applyAlignment="1" applyProtection="0">
      <alignment horizontal="right" vertical="bottom"/>
    </xf>
    <xf numFmtId="61" fontId="9" fillId="24" borderId="19" applyNumberFormat="1" applyFont="1" applyFill="1" applyBorder="1" applyAlignment="1" applyProtection="0">
      <alignment horizontal="right" vertical="bottom"/>
    </xf>
    <xf numFmtId="61" fontId="10" fillId="24" borderId="20" applyNumberFormat="1" applyFont="1" applyFill="1" applyBorder="1" applyAlignment="1" applyProtection="0">
      <alignment horizontal="right" vertical="bottom"/>
    </xf>
    <xf numFmtId="1" fontId="0" fillId="4" borderId="152" applyNumberFormat="1" applyFont="1" applyFill="1" applyBorder="1" applyAlignment="1" applyProtection="0">
      <alignment vertical="bottom"/>
    </xf>
    <xf numFmtId="49" fontId="9" fillId="24" borderId="154" applyNumberFormat="1" applyFont="1" applyFill="1" applyBorder="1" applyAlignment="1" applyProtection="0">
      <alignment horizontal="right" vertical="bottom"/>
    </xf>
    <xf numFmtId="64" fontId="9" fillId="24" borderId="156" applyNumberFormat="1" applyFont="1" applyFill="1" applyBorder="1" applyAlignment="1" applyProtection="0">
      <alignment horizontal="right" vertical="bottom"/>
    </xf>
    <xf numFmtId="64" fontId="9" fillId="24" borderId="157" applyNumberFormat="1" applyFont="1" applyFill="1" applyBorder="1" applyAlignment="1" applyProtection="0">
      <alignment horizontal="right" vertical="bottom"/>
    </xf>
    <xf numFmtId="0" fontId="0" fillId="4" borderId="159" applyNumberFormat="0" applyFont="1" applyFill="1" applyBorder="1" applyAlignment="1" applyProtection="0">
      <alignment vertical="bottom"/>
    </xf>
    <xf numFmtId="0" fontId="0" fillId="4" borderId="162" applyNumberFormat="0" applyFont="1" applyFill="1" applyBorder="1" applyAlignment="1" applyProtection="0">
      <alignment vertical="bottom"/>
    </xf>
    <xf numFmtId="1" fontId="0" fillId="4" borderId="75" applyNumberFormat="1" applyFont="1" applyFill="1" applyBorder="1" applyAlignment="1" applyProtection="0">
      <alignment vertical="bottom"/>
    </xf>
    <xf numFmtId="0" fontId="0" fillId="4" applyNumberFormat="1" applyFont="1" applyFill="1" applyBorder="0" applyAlignment="1" applyProtection="0">
      <alignment vertical="bottom"/>
    </xf>
    <xf numFmtId="49" fontId="20" fillId="18" borderId="6" applyNumberFormat="1" applyFont="1" applyFill="1" applyBorder="1" applyAlignment="1" applyProtection="0">
      <alignment horizontal="left" vertical="bottom" wrapText="1"/>
    </xf>
    <xf numFmtId="0" fontId="20" fillId="18" borderId="7" applyNumberFormat="0" applyFont="1" applyFill="1" applyBorder="1" applyAlignment="1" applyProtection="0">
      <alignment vertical="bottom"/>
    </xf>
    <xf numFmtId="49" fontId="20" fillId="18" borderId="7" applyNumberFormat="1" applyFont="1" applyFill="1" applyBorder="1" applyAlignment="1" applyProtection="0">
      <alignment horizontal="center" vertical="bottom" wrapText="1"/>
    </xf>
    <xf numFmtId="0" fontId="20" fillId="18" borderId="7" applyNumberFormat="0" applyFont="1" applyFill="1" applyBorder="1" applyAlignment="1" applyProtection="0">
      <alignment horizontal="center" vertical="bottom" wrapText="1"/>
    </xf>
    <xf numFmtId="49" fontId="20" fillId="18" borderId="7" applyNumberFormat="1" applyFont="1" applyFill="1" applyBorder="1" applyAlignment="1" applyProtection="0">
      <alignment horizontal="center" vertical="bottom"/>
    </xf>
    <xf numFmtId="9" fontId="20" fillId="18" borderId="7" applyNumberFormat="1" applyFont="1" applyFill="1" applyBorder="1" applyAlignment="1" applyProtection="0">
      <alignment horizontal="center" vertical="bottom"/>
    </xf>
    <xf numFmtId="0" fontId="20" fillId="18" borderId="8" applyNumberFormat="0" applyFont="1" applyFill="1" applyBorder="1" applyAlignment="1" applyProtection="0">
      <alignment horizontal="center" vertical="bottom" wrapText="1"/>
    </xf>
    <xf numFmtId="49" fontId="21" fillId="18" borderId="12" applyNumberFormat="1" applyFont="1" applyFill="1" applyBorder="1" applyAlignment="1" applyProtection="0">
      <alignment horizontal="left" vertical="bottom"/>
    </xf>
    <xf numFmtId="0" fontId="21" fillId="18" borderId="13" applyNumberFormat="0" applyFont="1" applyFill="1" applyBorder="1" applyAlignment="1" applyProtection="0">
      <alignment vertical="bottom"/>
    </xf>
    <xf numFmtId="9" fontId="21" fillId="18" borderId="13" applyNumberFormat="1" applyFont="1" applyFill="1" applyBorder="1" applyAlignment="1" applyProtection="0">
      <alignment horizontal="center" vertical="bottom" wrapText="1"/>
    </xf>
    <xf numFmtId="9" fontId="21" fillId="18" borderId="13" applyNumberFormat="1" applyFont="1" applyFill="1" applyBorder="1" applyAlignment="1" applyProtection="0">
      <alignment horizontal="center" vertical="bottom"/>
    </xf>
    <xf numFmtId="0" fontId="20" fillId="18" borderId="14" applyNumberFormat="0" applyFont="1" applyFill="1" applyBorder="1" applyAlignment="1" applyProtection="0">
      <alignment horizontal="center" vertical="bottom" wrapText="1"/>
    </xf>
    <xf numFmtId="9" fontId="21" fillId="18" borderId="16" applyNumberFormat="1" applyFont="1" applyFill="1" applyBorder="1" applyAlignment="1" applyProtection="0">
      <alignment horizontal="center" vertical="bottom" wrapText="1"/>
    </xf>
    <xf numFmtId="9" fontId="21" fillId="18" borderId="16" applyNumberFormat="1" applyFont="1" applyFill="1" applyBorder="1" applyAlignment="1" applyProtection="0">
      <alignment horizontal="center" vertical="bottom"/>
    </xf>
    <xf numFmtId="0" fontId="21" fillId="18" borderId="16" applyNumberFormat="1" applyFont="1" applyFill="1" applyBorder="1" applyAlignment="1" applyProtection="0">
      <alignment horizontal="center" vertical="bottom" wrapText="1"/>
    </xf>
    <xf numFmtId="0" fontId="21" fillId="18" borderId="16" applyNumberFormat="0" applyFont="1" applyFill="1" applyBorder="1" applyAlignment="1" applyProtection="0">
      <alignment horizontal="center" vertical="bottom" wrapText="1"/>
    </xf>
    <xf numFmtId="0" fontId="21" fillId="18" borderId="16" applyNumberFormat="0" applyFont="1" applyFill="1" applyBorder="1" applyAlignment="1" applyProtection="0">
      <alignment horizontal="center" vertical="bottom"/>
    </xf>
    <xf numFmtId="64" fontId="21" fillId="18" borderId="78" applyNumberFormat="1" applyFont="1" applyFill="1" applyBorder="1" applyAlignment="1" applyProtection="0">
      <alignment vertical="bottom" wrapText="1"/>
    </xf>
    <xf numFmtId="64" fontId="21" fillId="18" borderId="16" applyNumberFormat="1" applyFont="1" applyFill="1" applyBorder="1" applyAlignment="1" applyProtection="0">
      <alignment vertical="bottom" wrapText="1"/>
    </xf>
    <xf numFmtId="64" fontId="21" fillId="18" borderId="13" applyNumberFormat="1" applyFont="1" applyFill="1" applyBorder="1" applyAlignment="1" applyProtection="0">
      <alignment horizontal="center" vertical="bottom" wrapText="1"/>
    </xf>
    <xf numFmtId="64" fontId="21" fillId="18" borderId="16" applyNumberFormat="1" applyFont="1" applyFill="1" applyBorder="1" applyAlignment="1" applyProtection="0">
      <alignment horizontal="center" vertical="bottom"/>
    </xf>
    <xf numFmtId="61" fontId="21" fillId="18" borderId="78" applyNumberFormat="1" applyFont="1" applyFill="1" applyBorder="1" applyAlignment="1" applyProtection="0">
      <alignment horizontal="center" vertical="bottom"/>
    </xf>
    <xf numFmtId="61" fontId="21" fillId="18" borderId="16" applyNumberFormat="1" applyFont="1" applyFill="1" applyBorder="1" applyAlignment="1" applyProtection="0">
      <alignment horizontal="center" vertical="bottom"/>
    </xf>
    <xf numFmtId="0" fontId="22" fillId="18" borderId="16" applyNumberFormat="0" applyFont="1" applyFill="1" applyBorder="1" applyAlignment="1" applyProtection="0">
      <alignment horizontal="left" vertical="bottom"/>
    </xf>
    <xf numFmtId="61" fontId="21" fillId="18" borderId="13" applyNumberFormat="1" applyFont="1" applyFill="1" applyBorder="1" applyAlignment="1" applyProtection="0">
      <alignment horizontal="center" vertical="bottom"/>
    </xf>
    <xf numFmtId="61" fontId="22" fillId="18" borderId="16" applyNumberFormat="1" applyFont="1" applyFill="1" applyBorder="1" applyAlignment="1" applyProtection="0">
      <alignment horizontal="center" vertical="bottom"/>
    </xf>
    <xf numFmtId="65" fontId="21" fillId="18" borderId="16" applyNumberFormat="1" applyFont="1" applyFill="1" applyBorder="1" applyAlignment="1" applyProtection="0">
      <alignment horizontal="center" vertical="bottom"/>
    </xf>
    <xf numFmtId="0" fontId="22" fillId="18" borderId="15" applyNumberFormat="0" applyFont="1" applyFill="1" applyBorder="1" applyAlignment="1" applyProtection="0">
      <alignment horizontal="left" vertical="bottom" indent="2"/>
    </xf>
    <xf numFmtId="0" fontId="21" fillId="18" borderId="15" applyNumberFormat="0" applyFont="1" applyFill="1" applyBorder="1" applyAlignment="1" applyProtection="0">
      <alignment horizontal="left" vertical="bottom"/>
    </xf>
    <xf numFmtId="0" fontId="21" fillId="18" borderId="78" applyNumberFormat="0" applyFont="1" applyFill="1" applyBorder="1" applyAlignment="1" applyProtection="0">
      <alignment horizontal="center" vertical="bottom" wrapText="1"/>
    </xf>
    <xf numFmtId="49" fontId="20" fillId="18" borderId="15" applyNumberFormat="1" applyFont="1" applyFill="1" applyBorder="1" applyAlignment="1" applyProtection="0">
      <alignment horizontal="left" vertical="bottom"/>
    </xf>
    <xf numFmtId="61" fontId="20" fillId="18" borderId="147" applyNumberFormat="1" applyFont="1" applyFill="1" applyBorder="1" applyAlignment="1" applyProtection="0">
      <alignment horizontal="center" vertical="bottom"/>
    </xf>
    <xf numFmtId="61" fontId="23" fillId="18" borderId="16" applyNumberFormat="1" applyFont="1" applyFill="1" applyBorder="1" applyAlignment="1" applyProtection="0">
      <alignment horizontal="center" vertical="bottom"/>
    </xf>
    <xf numFmtId="65" fontId="20" fillId="18" borderId="16" applyNumberFormat="1" applyFont="1" applyFill="1" applyBorder="1" applyAlignment="1" applyProtection="0">
      <alignment horizontal="center" vertical="bottom"/>
    </xf>
    <xf numFmtId="49" fontId="23" fillId="18" borderId="15" applyNumberFormat="1" applyFont="1" applyFill="1" applyBorder="1" applyAlignment="1" applyProtection="0">
      <alignment horizontal="left" vertical="bottom"/>
    </xf>
    <xf numFmtId="0" fontId="23" fillId="18" borderId="16" applyNumberFormat="0" applyFont="1" applyFill="1" applyBorder="1" applyAlignment="1" applyProtection="0">
      <alignment vertical="bottom"/>
    </xf>
    <xf numFmtId="61" fontId="23" fillId="18" borderId="13" applyNumberFormat="1" applyFont="1" applyFill="1" applyBorder="1" applyAlignment="1" applyProtection="0">
      <alignment horizontal="center" vertical="bottom"/>
    </xf>
    <xf numFmtId="65" fontId="23" fillId="18" borderId="16" applyNumberFormat="1" applyFont="1" applyFill="1" applyBorder="1" applyAlignment="1" applyProtection="0">
      <alignment horizontal="center" vertical="bottom"/>
    </xf>
    <xf numFmtId="61" fontId="23" fillId="18" borderId="78" applyNumberFormat="1" applyFont="1" applyFill="1" applyBorder="1" applyAlignment="1" applyProtection="0">
      <alignment horizontal="center" vertical="bottom"/>
    </xf>
    <xf numFmtId="61" fontId="20" fillId="18" borderId="13" applyNumberFormat="1" applyFont="1" applyFill="1" applyBorder="1" applyAlignment="1" applyProtection="0">
      <alignment horizontal="center" vertical="bottom"/>
    </xf>
    <xf numFmtId="0" fontId="21" fillId="18" borderId="19" applyNumberFormat="0" applyFont="1" applyFill="1" applyBorder="1" applyAlignment="1" applyProtection="0">
      <alignment vertical="bottom"/>
    </xf>
    <xf numFmtId="0" fontId="0" fillId="4" borderId="163" applyNumberFormat="0" applyFont="1" applyFill="1" applyBorder="1" applyAlignment="1" applyProtection="0">
      <alignment vertical="bottom"/>
    </xf>
    <xf numFmtId="49" fontId="20" fillId="9" borderId="24" applyNumberFormat="1" applyFont="1" applyFill="1" applyBorder="1" applyAlignment="1" applyProtection="0">
      <alignment horizontal="left" vertical="bottom" wrapText="1"/>
    </xf>
    <xf numFmtId="0" fontId="20" fillId="9" borderId="25" applyNumberFormat="0" applyFont="1" applyFill="1" applyBorder="1" applyAlignment="1" applyProtection="0">
      <alignment vertical="bottom"/>
    </xf>
    <xf numFmtId="49" fontId="20" fillId="9" borderId="25" applyNumberFormat="1" applyFont="1" applyFill="1" applyBorder="1" applyAlignment="1" applyProtection="0">
      <alignment horizontal="center" vertical="bottom" wrapText="1"/>
    </xf>
    <xf numFmtId="0" fontId="20" fillId="9" borderId="25" applyNumberFormat="0" applyFont="1" applyFill="1" applyBorder="1" applyAlignment="1" applyProtection="0">
      <alignment horizontal="center" vertical="bottom" wrapText="1"/>
    </xf>
    <xf numFmtId="49" fontId="20" fillId="9" borderId="25" applyNumberFormat="1" applyFont="1" applyFill="1" applyBorder="1" applyAlignment="1" applyProtection="0">
      <alignment horizontal="center" vertical="bottom"/>
    </xf>
    <xf numFmtId="9" fontId="20" fillId="9" borderId="25" applyNumberFormat="1" applyFont="1" applyFill="1" applyBorder="1" applyAlignment="1" applyProtection="0">
      <alignment horizontal="center" vertical="bottom"/>
    </xf>
    <xf numFmtId="0" fontId="20" fillId="9" borderId="26" applyNumberFormat="0" applyFont="1" applyFill="1" applyBorder="1" applyAlignment="1" applyProtection="0">
      <alignment horizontal="center" vertical="bottom" wrapText="1"/>
    </xf>
    <xf numFmtId="49" fontId="20" fillId="9" borderId="15" applyNumberFormat="1" applyFont="1" applyFill="1" applyBorder="1" applyAlignment="1" applyProtection="0">
      <alignment horizontal="left" vertical="bottom"/>
    </xf>
    <xf numFmtId="0" fontId="23" fillId="9" borderId="16" applyNumberFormat="0" applyFont="1" applyFill="1" applyBorder="1" applyAlignment="1" applyProtection="0">
      <alignment vertical="bottom"/>
    </xf>
    <xf numFmtId="61" fontId="21" fillId="9" borderId="16" applyNumberFormat="1" applyFont="1" applyFill="1" applyBorder="1" applyAlignment="1" applyProtection="0">
      <alignment horizontal="center" vertical="bottom" wrapText="1"/>
    </xf>
    <xf numFmtId="61" fontId="21" fillId="9" borderId="16" applyNumberFormat="1" applyFont="1" applyFill="1" applyBorder="1" applyAlignment="1" applyProtection="0">
      <alignment horizontal="center" vertical="bottom"/>
    </xf>
    <xf numFmtId="64" fontId="21" fillId="9" borderId="17" applyNumberFormat="1" applyFont="1" applyFill="1" applyBorder="1" applyAlignment="1" applyProtection="0">
      <alignment vertical="bottom"/>
    </xf>
    <xf numFmtId="49" fontId="22" fillId="9" borderId="15" applyNumberFormat="1" applyFont="1" applyFill="1" applyBorder="1" applyAlignment="1" applyProtection="0">
      <alignment horizontal="left" vertical="bottom"/>
    </xf>
    <xf numFmtId="61" fontId="21" fillId="9" borderId="78" applyNumberFormat="1" applyFont="1" applyFill="1" applyBorder="1" applyAlignment="1" applyProtection="0">
      <alignment horizontal="center" vertical="bottom"/>
    </xf>
    <xf numFmtId="61" fontId="20" fillId="9" borderId="13" applyNumberFormat="1" applyFont="1" applyFill="1" applyBorder="1" applyAlignment="1" applyProtection="0">
      <alignment horizontal="center" vertical="bottom"/>
    </xf>
    <xf numFmtId="61" fontId="23" fillId="9" borderId="16" applyNumberFormat="1" applyFont="1" applyFill="1" applyBorder="1" applyAlignment="1" applyProtection="0">
      <alignment horizontal="center" vertical="bottom"/>
    </xf>
    <xf numFmtId="65" fontId="20" fillId="9" borderId="16" applyNumberFormat="1" applyFont="1" applyFill="1" applyBorder="1" applyAlignment="1" applyProtection="0">
      <alignment horizontal="center" vertical="bottom"/>
    </xf>
    <xf numFmtId="0" fontId="22" fillId="9" borderId="15" applyNumberFormat="0" applyFont="1" applyFill="1" applyBorder="1" applyAlignment="1" applyProtection="0">
      <alignment horizontal="left" vertical="bottom"/>
    </xf>
    <xf numFmtId="68" fontId="21" fillId="9" borderId="16" applyNumberFormat="1" applyFont="1" applyFill="1" applyBorder="1" applyAlignment="1" applyProtection="0">
      <alignment horizontal="center" vertical="bottom" wrapText="1"/>
    </xf>
    <xf numFmtId="49" fontId="20" fillId="9" borderId="16" applyNumberFormat="1" applyFont="1" applyFill="1" applyBorder="1" applyAlignment="1" applyProtection="0">
      <alignment horizontal="center" vertical="bottom" wrapText="1"/>
    </xf>
    <xf numFmtId="61" fontId="20" fillId="9" borderId="16" applyNumberFormat="1" applyFont="1" applyFill="1" applyBorder="1" applyAlignment="1" applyProtection="0">
      <alignment horizontal="center" vertical="bottom" wrapText="1"/>
    </xf>
    <xf numFmtId="61" fontId="20" fillId="9" borderId="16" applyNumberFormat="1" applyFont="1" applyFill="1" applyBorder="1" applyAlignment="1" applyProtection="0">
      <alignment horizontal="center" vertical="bottom"/>
    </xf>
    <xf numFmtId="65" fontId="20" fillId="9" borderId="16" applyNumberFormat="1" applyFont="1" applyFill="1" applyBorder="1" applyAlignment="1" applyProtection="0">
      <alignment horizontal="center" vertical="bottom" wrapText="1"/>
    </xf>
    <xf numFmtId="0" fontId="23" fillId="9" borderId="15" applyNumberFormat="0" applyFont="1" applyFill="1" applyBorder="1" applyAlignment="1" applyProtection="0">
      <alignment horizontal="left" vertical="bottom"/>
    </xf>
    <xf numFmtId="63" fontId="21" fillId="9" borderId="16" applyNumberFormat="1" applyFont="1" applyFill="1" applyBorder="1" applyAlignment="1" applyProtection="0">
      <alignment horizontal="center" vertical="bottom" wrapText="1"/>
    </xf>
    <xf numFmtId="0" fontId="21" fillId="9" borderId="18" applyNumberFormat="0" applyFont="1" applyFill="1" applyBorder="1" applyAlignment="1" applyProtection="0">
      <alignment vertical="bottom"/>
    </xf>
    <xf numFmtId="0" fontId="21" fillId="9" borderId="19" applyNumberFormat="0" applyFont="1" applyFill="1" applyBorder="1" applyAlignment="1" applyProtection="0">
      <alignment vertical="bottom"/>
    </xf>
    <xf numFmtId="61" fontId="21" fillId="9" borderId="19" applyNumberFormat="1" applyFont="1" applyFill="1" applyBorder="1" applyAlignment="1" applyProtection="0">
      <alignment vertical="bottom"/>
    </xf>
    <xf numFmtId="65" fontId="21" fillId="9" borderId="19" applyNumberFormat="1" applyFont="1" applyFill="1" applyBorder="1" applyAlignment="1" applyProtection="0">
      <alignment horizontal="right" vertical="bottom"/>
    </xf>
    <xf numFmtId="64" fontId="21" fillId="9" borderId="20" applyNumberFormat="1" applyFont="1" applyFill="1" applyBorder="1" applyAlignment="1" applyProtection="0">
      <alignment vertical="bottom"/>
    </xf>
    <xf numFmtId="49" fontId="20" fillId="20" borderId="6" applyNumberFormat="1" applyFont="1" applyFill="1" applyBorder="1" applyAlignment="1" applyProtection="0">
      <alignment horizontal="left" vertical="bottom"/>
    </xf>
    <xf numFmtId="0" fontId="20" fillId="20" borderId="7" applyNumberFormat="0" applyFont="1" applyFill="1" applyBorder="1" applyAlignment="1" applyProtection="0">
      <alignment vertical="bottom"/>
    </xf>
    <xf numFmtId="16" fontId="20" fillId="20" borderId="8" applyNumberFormat="1" applyFont="1" applyFill="1" applyBorder="1" applyAlignment="1" applyProtection="0">
      <alignment horizontal="center" vertical="bottom" wrapText="1"/>
    </xf>
    <xf numFmtId="65" fontId="0" fillId="4" borderId="9" applyNumberFormat="1" applyFont="1" applyFill="1" applyBorder="1" applyAlignment="1" applyProtection="0">
      <alignment vertical="bottom"/>
    </xf>
    <xf numFmtId="49" fontId="21" fillId="20" borderId="12" applyNumberFormat="1" applyFont="1" applyFill="1" applyBorder="1" applyAlignment="1" applyProtection="0">
      <alignment horizontal="left" vertical="bottom"/>
    </xf>
    <xf numFmtId="0" fontId="21" fillId="20" borderId="13" applyNumberFormat="0" applyFont="1" applyFill="1" applyBorder="1" applyAlignment="1" applyProtection="0">
      <alignment vertical="bottom"/>
    </xf>
    <xf numFmtId="49" fontId="21" fillId="20" borderId="14" applyNumberFormat="1" applyFont="1" applyFill="1" applyBorder="1" applyAlignment="1" applyProtection="0">
      <alignment horizontal="center" vertical="bottom" wrapText="1"/>
    </xf>
    <xf numFmtId="49" fontId="21" fillId="20" borderId="15" applyNumberFormat="1" applyFont="1" applyFill="1" applyBorder="1" applyAlignment="1" applyProtection="0">
      <alignment horizontal="left" vertical="bottom"/>
    </xf>
    <xf numFmtId="0" fontId="21" fillId="20" borderId="16" applyNumberFormat="0" applyFont="1" applyFill="1" applyBorder="1" applyAlignment="1" applyProtection="0">
      <alignment vertical="bottom"/>
    </xf>
    <xf numFmtId="64" fontId="21" fillId="20" borderId="79" applyNumberFormat="1" applyFont="1" applyFill="1" applyBorder="1" applyAlignment="1" applyProtection="0">
      <alignment horizontal="center" vertical="bottom" wrapText="1"/>
    </xf>
    <xf numFmtId="64" fontId="21" fillId="20" borderId="14" applyNumberFormat="1" applyFont="1" applyFill="1" applyBorder="1" applyAlignment="1" applyProtection="0">
      <alignment horizontal="center" vertical="bottom" wrapText="1"/>
    </xf>
    <xf numFmtId="49" fontId="22" fillId="20" borderId="15" applyNumberFormat="1" applyFont="1" applyFill="1" applyBorder="1" applyAlignment="1" applyProtection="0">
      <alignment horizontal="left" vertical="bottom"/>
    </xf>
    <xf numFmtId="64" fontId="21" fillId="20" borderId="17" applyNumberFormat="1" applyFont="1" applyFill="1" applyBorder="1" applyAlignment="1" applyProtection="0">
      <alignment horizontal="center" vertical="bottom" wrapText="1"/>
    </xf>
    <xf numFmtId="0" fontId="22" fillId="20" borderId="15" applyNumberFormat="0" applyFont="1" applyFill="1" applyBorder="1" applyAlignment="1" applyProtection="0">
      <alignment horizontal="left" vertical="bottom" indent="2"/>
    </xf>
    <xf numFmtId="49" fontId="20" fillId="20" borderId="15" applyNumberFormat="1" applyFont="1" applyFill="1" applyBorder="1" applyAlignment="1" applyProtection="0">
      <alignment horizontal="left" vertical="bottom"/>
    </xf>
    <xf numFmtId="0" fontId="22" fillId="20" borderId="16" applyNumberFormat="0" applyFont="1" applyFill="1" applyBorder="1" applyAlignment="1" applyProtection="0">
      <alignment horizontal="left" vertical="bottom"/>
    </xf>
    <xf numFmtId="61" fontId="20" fillId="20" borderId="164" applyNumberFormat="1" applyFont="1" applyFill="1" applyBorder="1" applyAlignment="1" applyProtection="0">
      <alignment horizontal="center" vertical="bottom"/>
    </xf>
    <xf numFmtId="49" fontId="23" fillId="20" borderId="15" applyNumberFormat="1" applyFont="1" applyFill="1" applyBorder="1" applyAlignment="1" applyProtection="0">
      <alignment horizontal="left" vertical="bottom"/>
    </xf>
    <xf numFmtId="0" fontId="23" fillId="20" borderId="16" applyNumberFormat="0" applyFont="1" applyFill="1" applyBorder="1" applyAlignment="1" applyProtection="0">
      <alignment vertical="bottom"/>
    </xf>
    <xf numFmtId="61" fontId="23" fillId="20" borderId="14" applyNumberFormat="1" applyFont="1" applyFill="1" applyBorder="1" applyAlignment="1" applyProtection="0">
      <alignment horizontal="center" vertical="bottom"/>
    </xf>
    <xf numFmtId="0" fontId="21" fillId="20" borderId="18" applyNumberFormat="0" applyFont="1" applyFill="1" applyBorder="1" applyAlignment="1" applyProtection="0">
      <alignment vertical="bottom"/>
    </xf>
    <xf numFmtId="0" fontId="21" fillId="20" borderId="19" applyNumberFormat="0" applyFont="1" applyFill="1" applyBorder="1" applyAlignment="1" applyProtection="0">
      <alignment vertical="bottom"/>
    </xf>
    <xf numFmtId="61" fontId="21" fillId="20" borderId="20" applyNumberFormat="1" applyFont="1" applyFill="1" applyBorder="1" applyAlignment="1" applyProtection="0">
      <alignment vertical="bottom"/>
    </xf>
    <xf numFmtId="0" fontId="0" fillId="4" borderId="149" applyNumberFormat="0" applyFont="1" applyFill="1" applyBorder="1" applyAlignment="1" applyProtection="0">
      <alignment vertical="bottom"/>
    </xf>
    <xf numFmtId="0" fontId="0" fillId="4" applyNumberFormat="1" applyFont="1" applyFill="1" applyBorder="0" applyAlignment="1" applyProtection="0">
      <alignment vertical="bottom"/>
    </xf>
    <xf numFmtId="0" fontId="21" fillId="18" borderId="16" applyNumberFormat="1" applyFont="1" applyFill="1" applyBorder="1" applyAlignment="1" applyProtection="0">
      <alignment horizontal="center" vertical="bottom"/>
    </xf>
    <xf numFmtId="69" fontId="21" fillId="18" borderId="78" applyNumberFormat="1" applyFont="1" applyFill="1" applyBorder="1" applyAlignment="1" applyProtection="0">
      <alignment horizontal="center" vertical="bottom"/>
    </xf>
    <xf numFmtId="69" fontId="21" fillId="18" borderId="16" applyNumberFormat="1" applyFont="1" applyFill="1" applyBorder="1" applyAlignment="1" applyProtection="0">
      <alignment horizontal="center" vertical="bottom"/>
    </xf>
    <xf numFmtId="69" fontId="21" fillId="18" borderId="13" applyNumberFormat="1" applyFont="1" applyFill="1" applyBorder="1" applyAlignment="1" applyProtection="0">
      <alignment horizontal="center" vertical="bottom"/>
    </xf>
    <xf numFmtId="69" fontId="22" fillId="18" borderId="16" applyNumberFormat="1" applyFont="1" applyFill="1" applyBorder="1" applyAlignment="1" applyProtection="0">
      <alignment horizontal="center" vertical="bottom"/>
    </xf>
    <xf numFmtId="69" fontId="21" fillId="18" borderId="16" applyNumberFormat="1" applyFont="1" applyFill="1" applyBorder="1" applyAlignment="1" applyProtection="0">
      <alignment horizontal="center" vertical="bottom" wrapText="1"/>
    </xf>
    <xf numFmtId="70" fontId="20" fillId="18" borderId="147" applyNumberFormat="1" applyFont="1" applyFill="1" applyBorder="1" applyAlignment="1" applyProtection="0">
      <alignment horizontal="center" vertical="bottom"/>
    </xf>
    <xf numFmtId="70" fontId="23" fillId="18" borderId="16" applyNumberFormat="1" applyFont="1" applyFill="1" applyBorder="1" applyAlignment="1" applyProtection="0">
      <alignment horizontal="center" vertical="bottom"/>
    </xf>
    <xf numFmtId="70" fontId="20" fillId="18" borderId="16" applyNumberFormat="1" applyFont="1" applyFill="1" applyBorder="1" applyAlignment="1" applyProtection="0">
      <alignment horizontal="center" vertical="bottom"/>
    </xf>
    <xf numFmtId="70" fontId="23" fillId="18" borderId="13" applyNumberFormat="1" applyFont="1" applyFill="1" applyBorder="1" applyAlignment="1" applyProtection="0">
      <alignment horizontal="center" vertical="bottom"/>
    </xf>
    <xf numFmtId="70" fontId="20" fillId="18" borderId="13" applyNumberFormat="1" applyFont="1" applyFill="1" applyBorder="1" applyAlignment="1" applyProtection="0">
      <alignment horizontal="center" vertical="bottom"/>
    </xf>
    <xf numFmtId="69" fontId="21" fillId="9" borderId="16" applyNumberFormat="1" applyFont="1" applyFill="1" applyBorder="1" applyAlignment="1" applyProtection="0">
      <alignment horizontal="center" vertical="bottom" wrapText="1"/>
    </xf>
    <xf numFmtId="69" fontId="21" fillId="9" borderId="16" applyNumberFormat="1" applyFont="1" applyFill="1" applyBorder="1" applyAlignment="1" applyProtection="0">
      <alignment horizontal="center" vertical="bottom"/>
    </xf>
    <xf numFmtId="69" fontId="21" fillId="9" borderId="78" applyNumberFormat="1" applyFont="1" applyFill="1" applyBorder="1" applyAlignment="1" applyProtection="0">
      <alignment horizontal="center" vertical="bottom"/>
    </xf>
    <xf numFmtId="69" fontId="20" fillId="9" borderId="13" applyNumberFormat="1" applyFont="1" applyFill="1" applyBorder="1" applyAlignment="1" applyProtection="0">
      <alignment horizontal="center" vertical="bottom"/>
    </xf>
    <xf numFmtId="69" fontId="23" fillId="9" borderId="16" applyNumberFormat="1" applyFont="1" applyFill="1" applyBorder="1" applyAlignment="1" applyProtection="0">
      <alignment horizontal="center" vertical="bottom"/>
    </xf>
    <xf numFmtId="69" fontId="20" fillId="9" borderId="16" applyNumberFormat="1" applyFont="1" applyFill="1" applyBorder="1" applyAlignment="1" applyProtection="0">
      <alignment horizontal="center" vertical="bottom"/>
    </xf>
    <xf numFmtId="71" fontId="21" fillId="9" borderId="16" applyNumberFormat="1" applyFont="1" applyFill="1" applyBorder="1" applyAlignment="1" applyProtection="0">
      <alignment horizontal="center" vertical="bottom" wrapText="1"/>
    </xf>
    <xf numFmtId="0" fontId="20" fillId="9" borderId="16" applyNumberFormat="0" applyFont="1" applyFill="1" applyBorder="1" applyAlignment="1" applyProtection="0">
      <alignment horizontal="center" vertical="bottom" wrapText="1"/>
    </xf>
    <xf numFmtId="69" fontId="21" fillId="20" borderId="79" applyNumberFormat="1" applyFont="1" applyFill="1" applyBorder="1" applyAlignment="1" applyProtection="0">
      <alignment horizontal="center" vertical="bottom" wrapText="1"/>
    </xf>
    <xf numFmtId="69" fontId="21" fillId="20" borderId="14" applyNumberFormat="1" applyFont="1" applyFill="1" applyBorder="1" applyAlignment="1" applyProtection="0">
      <alignment horizontal="center" vertical="bottom" wrapText="1"/>
    </xf>
    <xf numFmtId="69" fontId="21" fillId="20" borderId="17" applyNumberFormat="1" applyFont="1" applyFill="1" applyBorder="1" applyAlignment="1" applyProtection="0">
      <alignment horizontal="center" vertical="bottom" wrapText="1"/>
    </xf>
    <xf numFmtId="69" fontId="20" fillId="20" borderId="164" applyNumberFormat="1" applyFont="1" applyFill="1" applyBorder="1" applyAlignment="1" applyProtection="0">
      <alignment horizontal="center" vertical="bottom"/>
    </xf>
    <xf numFmtId="69" fontId="23" fillId="20" borderId="14" applyNumberFormat="1" applyFont="1" applyFill="1" applyBorder="1" applyAlignment="1" applyProtection="0">
      <alignment horizontal="center" vertical="bottom"/>
    </xf>
    <xf numFmtId="0" fontId="0" fillId="4" applyNumberFormat="1" applyFont="1" applyFill="1" applyBorder="0" applyAlignment="1" applyProtection="0">
      <alignment vertical="bottom"/>
    </xf>
    <xf numFmtId="49" fontId="10" fillId="19" borderId="165" applyNumberFormat="1" applyFont="1" applyFill="1" applyBorder="1" applyAlignment="1" applyProtection="0">
      <alignment horizontal="center" vertical="center"/>
    </xf>
    <xf numFmtId="3" fontId="10" fillId="19" borderId="162" applyNumberFormat="1" applyFont="1" applyFill="1" applyBorder="1" applyAlignment="1" applyProtection="0">
      <alignment horizontal="center" vertical="center"/>
    </xf>
    <xf numFmtId="3" fontId="10" fillId="19" borderId="166" applyNumberFormat="1" applyFont="1" applyFill="1" applyBorder="1" applyAlignment="1" applyProtection="0">
      <alignment horizontal="center" vertical="center"/>
    </xf>
    <xf numFmtId="3" fontId="10" fillId="19" borderId="167" applyNumberFormat="1" applyFont="1" applyFill="1" applyBorder="1" applyAlignment="1" applyProtection="0">
      <alignment horizontal="center" vertical="center"/>
    </xf>
    <xf numFmtId="3" fontId="10" fillId="19" borderId="10" applyNumberFormat="1" applyFont="1" applyFill="1" applyBorder="1" applyAlignment="1" applyProtection="0">
      <alignment horizontal="center" vertical="center"/>
    </xf>
    <xf numFmtId="3" fontId="10" fillId="19" borderId="168" applyNumberFormat="1" applyFont="1" applyFill="1" applyBorder="1" applyAlignment="1" applyProtection="0">
      <alignment horizontal="center" vertical="center"/>
    </xf>
    <xf numFmtId="3" fontId="10" fillId="19" borderId="169" applyNumberFormat="1" applyFont="1" applyFill="1" applyBorder="1" applyAlignment="1" applyProtection="0">
      <alignment horizontal="center" vertical="center"/>
    </xf>
    <xf numFmtId="3" fontId="10" fillId="19" borderId="170" applyNumberFormat="1" applyFont="1" applyFill="1" applyBorder="1" applyAlignment="1" applyProtection="0">
      <alignment horizontal="center" vertical="center"/>
    </xf>
    <xf numFmtId="3" fontId="10" fillId="19" borderId="171" applyNumberFormat="1" applyFont="1" applyFill="1" applyBorder="1" applyAlignment="1" applyProtection="0">
      <alignment horizontal="center" vertical="center"/>
    </xf>
    <xf numFmtId="0" fontId="10" fillId="19" borderId="96" applyNumberFormat="0" applyFont="1" applyFill="1" applyBorder="1" applyAlignment="1" applyProtection="0">
      <alignment horizontal="right" vertical="bottom"/>
    </xf>
    <xf numFmtId="64" fontId="9" fillId="19" borderId="172" applyNumberFormat="1" applyFont="1" applyFill="1" applyBorder="1" applyAlignment="1" applyProtection="0">
      <alignment vertical="bottom"/>
    </xf>
    <xf numFmtId="64" fontId="9" fillId="19" borderId="173" applyNumberFormat="1" applyFont="1" applyFill="1" applyBorder="1" applyAlignment="1" applyProtection="0">
      <alignment vertical="bottom"/>
    </xf>
    <xf numFmtId="64" fontId="9" fillId="19" borderId="16" applyNumberFormat="1" applyFont="1" applyFill="1" applyBorder="1" applyAlignment="1" applyProtection="0">
      <alignment vertical="bottom"/>
    </xf>
    <xf numFmtId="0" fontId="9" fillId="19" borderId="103" applyNumberFormat="0" applyFont="1" applyFill="1" applyBorder="1" applyAlignment="1" applyProtection="0">
      <alignment horizontal="left" vertical="bottom"/>
    </xf>
    <xf numFmtId="49" fontId="7" fillId="9" borderId="56" applyNumberFormat="1" applyFont="1" applyFill="1" applyBorder="1" applyAlignment="1" applyProtection="0">
      <alignment horizontal="center" vertical="bottom" wrapText="1"/>
    </xf>
    <xf numFmtId="0" fontId="7" fillId="9" borderId="57" applyNumberFormat="0" applyFont="1" applyFill="1" applyBorder="1" applyAlignment="1" applyProtection="0">
      <alignment horizontal="center" vertical="bottom" wrapText="1"/>
    </xf>
    <xf numFmtId="0" fontId="7" fillId="9" borderId="58" applyNumberFormat="0" applyFont="1" applyFill="1" applyBorder="1" applyAlignment="1" applyProtection="0">
      <alignment horizontal="center" vertical="bottom" wrapText="1"/>
    </xf>
    <xf numFmtId="0" fontId="32" fillId="4" borderId="10" applyNumberFormat="0" applyFont="1" applyFill="1" applyBorder="1" applyAlignment="1" applyProtection="0">
      <alignment vertical="bottom"/>
    </xf>
    <xf numFmtId="0" fontId="7" fillId="9" borderId="15" applyNumberFormat="0" applyFont="1" applyFill="1" applyBorder="1" applyAlignment="1" applyProtection="0">
      <alignment horizontal="left" vertical="bottom"/>
    </xf>
    <xf numFmtId="0" fontId="33" fillId="9" borderId="16" applyNumberFormat="0" applyFont="1" applyFill="1" applyBorder="1" applyAlignment="1" applyProtection="0">
      <alignment vertical="bottom"/>
    </xf>
    <xf numFmtId="61" fontId="8" fillId="9" borderId="16" applyNumberFormat="1" applyFont="1" applyFill="1" applyBorder="1" applyAlignment="1" applyProtection="0">
      <alignment horizontal="center" vertical="bottom" wrapText="1"/>
    </xf>
    <xf numFmtId="61" fontId="8" fillId="9" borderId="17" applyNumberFormat="1" applyFont="1" applyFill="1" applyBorder="1" applyAlignment="1" applyProtection="0">
      <alignment horizontal="center" vertical="bottom" wrapText="1"/>
    </xf>
    <xf numFmtId="49" fontId="7" fillId="9" borderId="15" applyNumberFormat="1" applyFont="1" applyFill="1" applyBorder="1" applyAlignment="1" applyProtection="0">
      <alignment horizontal="left" vertical="bottom"/>
    </xf>
    <xf numFmtId="49" fontId="7" fillId="9" borderId="16" applyNumberFormat="1" applyFont="1" applyFill="1" applyBorder="1" applyAlignment="1" applyProtection="0">
      <alignment horizontal="center" vertical="bottom" wrapText="1"/>
    </xf>
    <xf numFmtId="61" fontId="7" fillId="9" borderId="17" applyNumberFormat="1" applyFont="1" applyFill="1" applyBorder="1" applyAlignment="1" applyProtection="0">
      <alignment horizontal="center" vertical="bottom" wrapText="1"/>
    </xf>
    <xf numFmtId="61" fontId="7" fillId="9" borderId="16" applyNumberFormat="1" applyFont="1" applyFill="1" applyBorder="1" applyAlignment="1" applyProtection="0">
      <alignment horizontal="center" vertical="bottom" wrapText="1"/>
    </xf>
    <xf numFmtId="49" fontId="7" fillId="9" borderId="15" applyNumberFormat="1" applyFont="1" applyFill="1" applyBorder="1" applyAlignment="1" applyProtection="0">
      <alignment horizontal="left" vertical="bottom" wrapText="1"/>
    </xf>
    <xf numFmtId="65" fontId="7" fillId="9" borderId="16" applyNumberFormat="1" applyFont="1" applyFill="1" applyBorder="1" applyAlignment="1" applyProtection="0">
      <alignment horizontal="center" vertical="bottom" wrapText="1"/>
    </xf>
    <xf numFmtId="0" fontId="33" fillId="9" borderId="15" applyNumberFormat="0" applyFont="1" applyFill="1" applyBorder="1" applyAlignment="1" applyProtection="0">
      <alignment horizontal="left" vertical="bottom"/>
    </xf>
    <xf numFmtId="72" fontId="7" fillId="9" borderId="16" applyNumberFormat="1" applyFont="1" applyFill="1" applyBorder="1" applyAlignment="1" applyProtection="0">
      <alignment horizontal="center" vertical="bottom" wrapText="1"/>
    </xf>
    <xf numFmtId="49" fontId="34" fillId="9" borderId="15" applyNumberFormat="1" applyFont="1" applyFill="1" applyBorder="1" applyAlignment="1" applyProtection="0">
      <alignment horizontal="right" vertical="bottom"/>
    </xf>
    <xf numFmtId="0" fontId="8" fillId="9" borderId="18" applyNumberFormat="0" applyFont="1" applyFill="1" applyBorder="1" applyAlignment="1" applyProtection="0">
      <alignment vertical="bottom"/>
    </xf>
    <xf numFmtId="0" fontId="8" fillId="9" borderId="19" applyNumberFormat="0" applyFont="1" applyFill="1" applyBorder="1" applyAlignment="1" applyProtection="0">
      <alignment vertical="bottom"/>
    </xf>
    <xf numFmtId="61" fontId="8" fillId="9" borderId="19" applyNumberFormat="1" applyFont="1" applyFill="1" applyBorder="1" applyAlignment="1" applyProtection="0">
      <alignment vertical="bottom"/>
    </xf>
    <xf numFmtId="61" fontId="8" fillId="9" borderId="20" applyNumberFormat="1" applyFont="1" applyFill="1" applyBorder="1" applyAlignment="1" applyProtection="0">
      <alignment vertical="bottom"/>
    </xf>
    <xf numFmtId="0" fontId="32" fillId="4" borderId="75" applyNumberFormat="0" applyFont="1" applyFill="1" applyBorder="1" applyAlignment="1" applyProtection="0">
      <alignment vertical="bottom"/>
    </xf>
    <xf numFmtId="0" fontId="0" fillId="4" applyNumberFormat="1" applyFont="1" applyFill="1" applyBorder="0" applyAlignment="1" applyProtection="0">
      <alignment vertical="bottom"/>
    </xf>
    <xf numFmtId="0" fontId="0" fillId="4" applyNumberFormat="1" applyFont="1" applyFill="1" applyBorder="0" applyAlignment="1" applyProtection="0">
      <alignment vertical="bottom"/>
    </xf>
    <xf numFmtId="0" fontId="0" fillId="4" borderId="174" applyNumberFormat="0" applyFont="1" applyFill="1" applyBorder="1" applyAlignment="1" applyProtection="0">
      <alignment vertical="bottom"/>
    </xf>
    <xf numFmtId="49" fontId="9" fillId="25" borderId="175" applyNumberFormat="1" applyFont="1" applyFill="1" applyBorder="1" applyAlignment="1" applyProtection="0">
      <alignment vertical="bottom"/>
    </xf>
    <xf numFmtId="49" fontId="17" fillId="25" borderId="176" applyNumberFormat="1" applyFont="1" applyFill="1" applyBorder="1" applyAlignment="1" applyProtection="0">
      <alignment horizontal="center" vertical="bottom"/>
    </xf>
    <xf numFmtId="49" fontId="17" fillId="25" borderId="177" applyNumberFormat="1" applyFont="1" applyFill="1" applyBorder="1" applyAlignment="1" applyProtection="0">
      <alignment horizontal="center" vertical="bottom"/>
    </xf>
    <xf numFmtId="0" fontId="0" fillId="4" borderId="178" applyNumberFormat="0" applyFont="1" applyFill="1" applyBorder="1" applyAlignment="1" applyProtection="0">
      <alignment vertical="bottom"/>
    </xf>
    <xf numFmtId="49" fontId="9" fillId="25" borderId="179" applyNumberFormat="1" applyFont="1" applyFill="1" applyBorder="1" applyAlignment="1" applyProtection="0">
      <alignment vertical="bottom"/>
    </xf>
    <xf numFmtId="49" fontId="9" fillId="25" borderId="180" applyNumberFormat="1" applyFont="1" applyFill="1" applyBorder="1" applyAlignment="1" applyProtection="0">
      <alignment horizontal="center" vertical="bottom"/>
    </xf>
    <xf numFmtId="49" fontId="9" fillId="25" borderId="181" applyNumberFormat="1" applyFont="1" applyFill="1" applyBorder="1" applyAlignment="1" applyProtection="0">
      <alignment horizontal="center" vertical="bottom"/>
    </xf>
    <xf numFmtId="49" fontId="10" fillId="25" borderId="182" applyNumberFormat="1" applyFont="1" applyFill="1" applyBorder="1" applyAlignment="1" applyProtection="0">
      <alignment vertical="bottom"/>
    </xf>
    <xf numFmtId="73" fontId="10" fillId="25" borderId="183" applyNumberFormat="1" applyFont="1" applyFill="1" applyBorder="1" applyAlignment="1" applyProtection="0">
      <alignment vertical="bottom"/>
    </xf>
    <xf numFmtId="69" fontId="10" fillId="25" borderId="184" applyNumberFormat="1" applyFont="1" applyFill="1" applyBorder="1" applyAlignment="1" applyProtection="0">
      <alignment vertical="bottom"/>
    </xf>
    <xf numFmtId="49" fontId="10" fillId="25" borderId="185" applyNumberFormat="1" applyFont="1" applyFill="1" applyBorder="1" applyAlignment="1" applyProtection="0">
      <alignment vertical="bottom"/>
    </xf>
    <xf numFmtId="73" fontId="10" fillId="25" borderId="186" applyNumberFormat="1" applyFont="1" applyFill="1" applyBorder="1" applyAlignment="1" applyProtection="0">
      <alignment vertical="bottom"/>
    </xf>
    <xf numFmtId="69" fontId="10" fillId="25" borderId="187" applyNumberFormat="1" applyFont="1" applyFill="1" applyBorder="1" applyAlignment="1" applyProtection="0">
      <alignment vertical="bottom"/>
    </xf>
    <xf numFmtId="65" fontId="10" fillId="25" borderId="186" applyNumberFormat="1" applyFont="1" applyFill="1" applyBorder="1" applyAlignment="1" applyProtection="0">
      <alignment horizontal="right" vertical="bottom"/>
    </xf>
    <xf numFmtId="69" fontId="10" fillId="25" borderId="187" applyNumberFormat="1" applyFont="1" applyFill="1" applyBorder="1" applyAlignment="1" applyProtection="0">
      <alignment horizontal="right" vertical="bottom"/>
    </xf>
    <xf numFmtId="49" fontId="35" fillId="25" borderId="185" applyNumberFormat="1" applyFont="1" applyFill="1" applyBorder="1" applyAlignment="1" applyProtection="0">
      <alignment vertical="bottom"/>
    </xf>
    <xf numFmtId="49" fontId="10" fillId="25" borderId="188" applyNumberFormat="1" applyFont="1" applyFill="1" applyBorder="1" applyAlignment="1" applyProtection="0">
      <alignment vertical="bottom"/>
    </xf>
    <xf numFmtId="73" fontId="10" fillId="25" borderId="189" applyNumberFormat="1" applyFont="1" applyFill="1" applyBorder="1" applyAlignment="1" applyProtection="0">
      <alignment vertical="bottom"/>
    </xf>
    <xf numFmtId="69" fontId="10" fillId="25" borderId="190" applyNumberFormat="1" applyFont="1" applyFill="1" applyBorder="1" applyAlignment="1" applyProtection="0">
      <alignment vertical="bottom"/>
    </xf>
    <xf numFmtId="0" fontId="0" fillId="4" borderId="191" applyNumberFormat="0" applyFont="1" applyFill="1" applyBorder="1" applyAlignment="1" applyProtection="0">
      <alignment vertical="bottom"/>
    </xf>
    <xf numFmtId="0" fontId="10" fillId="25" borderId="188" applyNumberFormat="0" applyFont="1" applyFill="1" applyBorder="1" applyAlignment="1" applyProtection="0">
      <alignment vertical="bottom"/>
    </xf>
    <xf numFmtId="73" fontId="10" fillId="25" borderId="190" applyNumberFormat="1" applyFont="1" applyFill="1" applyBorder="1" applyAlignment="1" applyProtection="0">
      <alignment vertical="bottom"/>
    </xf>
    <xf numFmtId="49" fontId="9" fillId="25" borderId="192" applyNumberFormat="1" applyFont="1" applyFill="1" applyBorder="1" applyAlignment="1" applyProtection="0">
      <alignment vertical="bottom"/>
    </xf>
    <xf numFmtId="49" fontId="9" fillId="25" borderId="193" applyNumberFormat="1" applyFont="1" applyFill="1" applyBorder="1" applyAlignment="1" applyProtection="0">
      <alignment horizontal="center" vertical="bottom"/>
    </xf>
    <xf numFmtId="49" fontId="9" fillId="25" borderId="194" applyNumberFormat="1" applyFont="1" applyFill="1" applyBorder="1" applyAlignment="1" applyProtection="0">
      <alignment horizontal="center" vertical="bottom"/>
    </xf>
    <xf numFmtId="0" fontId="0" fillId="4" borderId="195" applyNumberFormat="0" applyFont="1" applyFill="1" applyBorder="1" applyAlignment="1" applyProtection="0">
      <alignment vertical="bottom"/>
    </xf>
    <xf numFmtId="0" fontId="0" fillId="4" borderId="196" applyNumberFormat="0" applyFont="1" applyFill="1" applyBorder="1" applyAlignment="1" applyProtection="0">
      <alignment vertical="bottom"/>
    </xf>
    <xf numFmtId="0" fontId="0" fillId="4" applyNumberFormat="1" applyFont="1" applyFill="1" applyBorder="0" applyAlignment="1" applyProtection="0">
      <alignment vertical="bottom"/>
    </xf>
    <xf numFmtId="49" fontId="9" fillId="26" borderId="24" applyNumberFormat="1" applyFont="1" applyFill="1" applyBorder="1" applyAlignment="1" applyProtection="0">
      <alignment vertical="bottom"/>
    </xf>
    <xf numFmtId="0" fontId="10" fillId="26" borderId="25" applyNumberFormat="0" applyFont="1" applyFill="1" applyBorder="1" applyAlignment="1" applyProtection="0">
      <alignment vertical="bottom"/>
    </xf>
    <xf numFmtId="0" fontId="10" fillId="26" borderId="26" applyNumberFormat="0" applyFont="1" applyFill="1" applyBorder="1" applyAlignment="1" applyProtection="0">
      <alignment vertical="bottom"/>
    </xf>
    <xf numFmtId="49" fontId="17" fillId="26" borderId="15" applyNumberFormat="1" applyFont="1" applyFill="1" applyBorder="1" applyAlignment="1" applyProtection="0">
      <alignment horizontal="left" vertical="bottom" wrapText="1"/>
    </xf>
    <xf numFmtId="49" fontId="9" fillId="26" borderId="16" applyNumberFormat="1" applyFont="1" applyFill="1" applyBorder="1" applyAlignment="1" applyProtection="0">
      <alignment horizontal="center" vertical="bottom" wrapText="1"/>
    </xf>
    <xf numFmtId="0" fontId="10" fillId="26" borderId="16" applyNumberFormat="0" applyFont="1" applyFill="1" applyBorder="1" applyAlignment="1" applyProtection="0">
      <alignment vertical="bottom" wrapText="1"/>
    </xf>
    <xf numFmtId="0" fontId="10" fillId="26" borderId="17" applyNumberFormat="0" applyFont="1" applyFill="1" applyBorder="1" applyAlignment="1" applyProtection="0">
      <alignment vertical="bottom" wrapText="1"/>
    </xf>
    <xf numFmtId="49" fontId="10" fillId="26" borderId="15" applyNumberFormat="1" applyFont="1" applyFill="1" applyBorder="1" applyAlignment="1" applyProtection="0">
      <alignment vertical="bottom"/>
    </xf>
    <xf numFmtId="61" fontId="10" fillId="26" borderId="16" applyNumberFormat="1" applyFont="1" applyFill="1" applyBorder="1" applyAlignment="1" applyProtection="0">
      <alignment vertical="bottom"/>
    </xf>
    <xf numFmtId="0" fontId="10" fillId="26" borderId="16" applyNumberFormat="0" applyFont="1" applyFill="1" applyBorder="1" applyAlignment="1" applyProtection="0">
      <alignment vertical="bottom"/>
    </xf>
    <xf numFmtId="64" fontId="10" fillId="26" borderId="16" applyNumberFormat="1" applyFont="1" applyFill="1" applyBorder="1" applyAlignment="1" applyProtection="0">
      <alignment vertical="bottom"/>
    </xf>
    <xf numFmtId="0" fontId="10" fillId="26" borderId="17" applyNumberFormat="0" applyFont="1" applyFill="1" applyBorder="1" applyAlignment="1" applyProtection="0">
      <alignment vertical="bottom"/>
    </xf>
    <xf numFmtId="64" fontId="10" fillId="26" borderId="78" applyNumberFormat="1" applyFont="1" applyFill="1" applyBorder="1" applyAlignment="1" applyProtection="0">
      <alignment vertical="bottom"/>
    </xf>
    <xf numFmtId="61" fontId="10" fillId="26" borderId="78" applyNumberFormat="1" applyFont="1" applyFill="1" applyBorder="1" applyAlignment="1" applyProtection="0">
      <alignment vertical="bottom"/>
    </xf>
    <xf numFmtId="49" fontId="9" fillId="26" borderId="15" applyNumberFormat="1" applyFont="1" applyFill="1" applyBorder="1" applyAlignment="1" applyProtection="0">
      <alignment vertical="bottom"/>
    </xf>
    <xf numFmtId="61" fontId="15" fillId="26" borderId="16" applyNumberFormat="1" applyFont="1" applyFill="1" applyBorder="1" applyAlignment="1" applyProtection="0">
      <alignment vertical="bottom"/>
    </xf>
    <xf numFmtId="64" fontId="10" fillId="26" borderId="147" applyNumberFormat="1" applyFont="1" applyFill="1" applyBorder="1" applyAlignment="1" applyProtection="0">
      <alignment vertical="bottom"/>
    </xf>
    <xf numFmtId="61" fontId="10" fillId="26" borderId="13" applyNumberFormat="1" applyFont="1" applyFill="1" applyBorder="1" applyAlignment="1" applyProtection="0">
      <alignment vertical="bottom"/>
    </xf>
    <xf numFmtId="0" fontId="10" fillId="26" borderId="15" applyNumberFormat="0" applyFont="1" applyFill="1" applyBorder="1" applyAlignment="1" applyProtection="0">
      <alignment vertical="bottom"/>
    </xf>
    <xf numFmtId="0" fontId="10" fillId="26" borderId="13" applyNumberFormat="0" applyFont="1" applyFill="1" applyBorder="1" applyAlignment="1" applyProtection="0">
      <alignment vertical="bottom"/>
    </xf>
    <xf numFmtId="49" fontId="17" fillId="26" borderId="15" applyNumberFormat="1" applyFont="1" applyFill="1" applyBorder="1" applyAlignment="1" applyProtection="0">
      <alignment horizontal="left" vertical="bottom"/>
    </xf>
    <xf numFmtId="49" fontId="9" fillId="26" borderId="16" applyNumberFormat="1" applyFont="1" applyFill="1" applyBorder="1" applyAlignment="1" applyProtection="0">
      <alignment horizontal="center" vertical="bottom"/>
    </xf>
    <xf numFmtId="63" fontId="10" fillId="26" borderId="16" applyNumberFormat="1" applyFont="1" applyFill="1" applyBorder="1" applyAlignment="1" applyProtection="0">
      <alignment vertical="bottom"/>
    </xf>
    <xf numFmtId="64" fontId="10" fillId="26" borderId="13" applyNumberFormat="1" applyFont="1" applyFill="1" applyBorder="1" applyAlignment="1" applyProtection="0">
      <alignment vertical="bottom"/>
    </xf>
    <xf numFmtId="61" fontId="10" fillId="26" borderId="147" applyNumberFormat="1" applyFont="1" applyFill="1" applyBorder="1" applyAlignment="1" applyProtection="0">
      <alignment vertical="bottom"/>
    </xf>
    <xf numFmtId="65" fontId="10" fillId="26" borderId="16" applyNumberFormat="1" applyFont="1" applyFill="1" applyBorder="1" applyAlignment="1" applyProtection="0">
      <alignment vertical="bottom"/>
    </xf>
    <xf numFmtId="49" fontId="10" fillId="26" borderId="16" applyNumberFormat="1" applyFont="1" applyFill="1" applyBorder="1" applyAlignment="1" applyProtection="0">
      <alignment horizontal="right" vertical="bottom"/>
    </xf>
    <xf numFmtId="65" fontId="15" fillId="26" borderId="16" applyNumberFormat="1" applyFont="1" applyFill="1" applyBorder="1" applyAlignment="1" applyProtection="0">
      <alignment vertical="bottom"/>
    </xf>
    <xf numFmtId="49" fontId="9" fillId="26" borderId="16" applyNumberFormat="1" applyFont="1" applyFill="1" applyBorder="1" applyAlignment="1" applyProtection="0">
      <alignment horizontal="right" vertical="bottom"/>
    </xf>
    <xf numFmtId="0" fontId="10" fillId="26" borderId="18" applyNumberFormat="0" applyFont="1" applyFill="1" applyBorder="1" applyAlignment="1" applyProtection="0">
      <alignment vertical="bottom"/>
    </xf>
    <xf numFmtId="61" fontId="10" fillId="26" borderId="19" applyNumberFormat="1" applyFont="1" applyFill="1" applyBorder="1" applyAlignment="1" applyProtection="0">
      <alignment vertical="bottom"/>
    </xf>
    <xf numFmtId="0" fontId="10" fillId="26" borderId="19" applyNumberFormat="0" applyFont="1" applyFill="1" applyBorder="1" applyAlignment="1" applyProtection="0">
      <alignment vertical="bottom"/>
    </xf>
    <xf numFmtId="0" fontId="10" fillId="26" borderId="20" applyNumberFormat="0" applyFont="1" applyFill="1" applyBorder="1" applyAlignment="1" applyProtection="0">
      <alignment vertical="bottom"/>
    </xf>
    <xf numFmtId="49" fontId="9" fillId="27" borderId="24" applyNumberFormat="1" applyFont="1" applyFill="1" applyBorder="1" applyAlignment="1" applyProtection="0">
      <alignment vertical="bottom"/>
    </xf>
    <xf numFmtId="0" fontId="10" fillId="27" borderId="25" applyNumberFormat="0" applyFont="1" applyFill="1" applyBorder="1" applyAlignment="1" applyProtection="0">
      <alignment vertical="bottom"/>
    </xf>
    <xf numFmtId="0" fontId="10" fillId="27" borderId="26" applyNumberFormat="0" applyFont="1" applyFill="1" applyBorder="1" applyAlignment="1" applyProtection="0">
      <alignment vertical="bottom"/>
    </xf>
    <xf numFmtId="49" fontId="17" fillId="27" borderId="15" applyNumberFormat="1" applyFont="1" applyFill="1" applyBorder="1" applyAlignment="1" applyProtection="0">
      <alignment horizontal="left" vertical="bottom" wrapText="1"/>
    </xf>
    <xf numFmtId="49" fontId="9" fillId="27" borderId="16" applyNumberFormat="1" applyFont="1" applyFill="1" applyBorder="1" applyAlignment="1" applyProtection="0">
      <alignment horizontal="center" vertical="bottom" wrapText="1"/>
    </xf>
    <xf numFmtId="0" fontId="10" fillId="27" borderId="16" applyNumberFormat="0" applyFont="1" applyFill="1" applyBorder="1" applyAlignment="1" applyProtection="0">
      <alignment vertical="bottom" wrapText="1"/>
    </xf>
    <xf numFmtId="0" fontId="10" fillId="27" borderId="17" applyNumberFormat="0" applyFont="1" applyFill="1" applyBorder="1" applyAlignment="1" applyProtection="0">
      <alignment vertical="bottom" wrapText="1"/>
    </xf>
    <xf numFmtId="49" fontId="10" fillId="27" borderId="15" applyNumberFormat="1" applyFont="1" applyFill="1" applyBorder="1" applyAlignment="1" applyProtection="0">
      <alignment horizontal="left" vertical="bottom"/>
    </xf>
    <xf numFmtId="61" fontId="10" fillId="27" borderId="16" applyNumberFormat="1" applyFont="1" applyFill="1" applyBorder="1" applyAlignment="1" applyProtection="0">
      <alignment vertical="bottom"/>
    </xf>
    <xf numFmtId="0" fontId="10" fillId="27" borderId="16" applyNumberFormat="0" applyFont="1" applyFill="1" applyBorder="1" applyAlignment="1" applyProtection="0">
      <alignment vertical="bottom"/>
    </xf>
    <xf numFmtId="64" fontId="10" fillId="27" borderId="16" applyNumberFormat="1" applyFont="1" applyFill="1" applyBorder="1" applyAlignment="1" applyProtection="0">
      <alignment vertical="bottom"/>
    </xf>
    <xf numFmtId="0" fontId="10" fillId="27" borderId="17" applyNumberFormat="0" applyFont="1" applyFill="1" applyBorder="1" applyAlignment="1" applyProtection="0">
      <alignment vertical="bottom"/>
    </xf>
    <xf numFmtId="1" fontId="10" fillId="27" borderId="16" applyNumberFormat="1" applyFont="1" applyFill="1" applyBorder="1" applyAlignment="1" applyProtection="0">
      <alignment vertical="bottom"/>
    </xf>
    <xf numFmtId="1" fontId="10" fillId="27" borderId="78" applyNumberFormat="1" applyFont="1" applyFill="1" applyBorder="1" applyAlignment="1" applyProtection="0">
      <alignment vertical="bottom"/>
    </xf>
    <xf numFmtId="61" fontId="10" fillId="27" borderId="78" applyNumberFormat="1" applyFont="1" applyFill="1" applyBorder="1" applyAlignment="1" applyProtection="0">
      <alignment vertical="bottom"/>
    </xf>
    <xf numFmtId="49" fontId="9" fillId="27" borderId="15" applyNumberFormat="1" applyFont="1" applyFill="1" applyBorder="1" applyAlignment="1" applyProtection="0">
      <alignment vertical="bottom"/>
    </xf>
    <xf numFmtId="61" fontId="15" fillId="27" borderId="16" applyNumberFormat="1" applyFont="1" applyFill="1" applyBorder="1" applyAlignment="1" applyProtection="0">
      <alignment vertical="bottom"/>
    </xf>
    <xf numFmtId="64" fontId="10" fillId="27" borderId="147" applyNumberFormat="1" applyFont="1" applyFill="1" applyBorder="1" applyAlignment="1" applyProtection="0">
      <alignment vertical="bottom"/>
    </xf>
    <xf numFmtId="61" fontId="10" fillId="27" borderId="13" applyNumberFormat="1" applyFont="1" applyFill="1" applyBorder="1" applyAlignment="1" applyProtection="0">
      <alignment vertical="bottom"/>
    </xf>
    <xf numFmtId="0" fontId="10" fillId="27" borderId="15" applyNumberFormat="0" applyFont="1" applyFill="1" applyBorder="1" applyAlignment="1" applyProtection="0">
      <alignment vertical="bottom"/>
    </xf>
    <xf numFmtId="0" fontId="10" fillId="27" borderId="13" applyNumberFormat="0" applyFont="1" applyFill="1" applyBorder="1" applyAlignment="1" applyProtection="0">
      <alignment vertical="bottom"/>
    </xf>
    <xf numFmtId="49" fontId="17" fillId="27" borderId="15" applyNumberFormat="1" applyFont="1" applyFill="1" applyBorder="1" applyAlignment="1" applyProtection="0">
      <alignment horizontal="left" vertical="bottom"/>
    </xf>
    <xf numFmtId="49" fontId="9" fillId="27" borderId="16" applyNumberFormat="1" applyFont="1" applyFill="1" applyBorder="1" applyAlignment="1" applyProtection="0">
      <alignment horizontal="center" vertical="bottom"/>
    </xf>
    <xf numFmtId="0" fontId="10" fillId="27" borderId="15" applyNumberFormat="0" applyFont="1" applyFill="1" applyBorder="1" applyAlignment="1" applyProtection="0">
      <alignment horizontal="left" vertical="bottom" indent="1"/>
    </xf>
    <xf numFmtId="64" fontId="10" fillId="27" borderId="78" applyNumberFormat="1" applyFont="1" applyFill="1" applyBorder="1" applyAlignment="1" applyProtection="0">
      <alignment vertical="bottom"/>
    </xf>
    <xf numFmtId="64" fontId="10" fillId="27" borderId="13" applyNumberFormat="1" applyFont="1" applyFill="1" applyBorder="1" applyAlignment="1" applyProtection="0">
      <alignment vertical="bottom"/>
    </xf>
    <xf numFmtId="61" fontId="10" fillId="27" borderId="147" applyNumberFormat="1" applyFont="1" applyFill="1" applyBorder="1" applyAlignment="1" applyProtection="0">
      <alignment vertical="bottom"/>
    </xf>
    <xf numFmtId="65" fontId="10" fillId="27" borderId="16" applyNumberFormat="1" applyFont="1" applyFill="1" applyBorder="1" applyAlignment="1" applyProtection="0">
      <alignment vertical="bottom"/>
    </xf>
    <xf numFmtId="65" fontId="15" fillId="27" borderId="16" applyNumberFormat="1" applyFont="1" applyFill="1" applyBorder="1" applyAlignment="1" applyProtection="0">
      <alignment vertical="bottom"/>
    </xf>
    <xf numFmtId="49" fontId="9" fillId="27" borderId="16" applyNumberFormat="1" applyFont="1" applyFill="1" applyBorder="1" applyAlignment="1" applyProtection="0">
      <alignment horizontal="right" vertical="bottom"/>
    </xf>
    <xf numFmtId="0" fontId="10" fillId="27" borderId="18" applyNumberFormat="0" applyFont="1" applyFill="1" applyBorder="1" applyAlignment="1" applyProtection="0">
      <alignment vertical="bottom"/>
    </xf>
    <xf numFmtId="61" fontId="10" fillId="27" borderId="19" applyNumberFormat="1" applyFont="1" applyFill="1" applyBorder="1" applyAlignment="1" applyProtection="0">
      <alignment vertical="bottom"/>
    </xf>
    <xf numFmtId="0" fontId="10" fillId="27" borderId="19" applyNumberFormat="0" applyFont="1" applyFill="1" applyBorder="1" applyAlignment="1" applyProtection="0">
      <alignment vertical="bottom"/>
    </xf>
    <xf numFmtId="0" fontId="10" fillId="27" borderId="20" applyNumberFormat="0" applyFont="1" applyFill="1" applyBorder="1" applyAlignment="1" applyProtection="0">
      <alignment vertical="bottom"/>
    </xf>
    <xf numFmtId="49" fontId="9" fillId="28" borderId="24" applyNumberFormat="1" applyFont="1" applyFill="1" applyBorder="1" applyAlignment="1" applyProtection="0">
      <alignment vertical="bottom"/>
    </xf>
    <xf numFmtId="0" fontId="10" fillId="28" borderId="25" applyNumberFormat="0" applyFont="1" applyFill="1" applyBorder="1" applyAlignment="1" applyProtection="0">
      <alignment vertical="bottom"/>
    </xf>
    <xf numFmtId="0" fontId="10" fillId="28" borderId="26" applyNumberFormat="0" applyFont="1" applyFill="1" applyBorder="1" applyAlignment="1" applyProtection="0">
      <alignment vertical="bottom"/>
    </xf>
    <xf numFmtId="0" fontId="17" fillId="28" borderId="15" applyNumberFormat="0" applyFont="1" applyFill="1" applyBorder="1" applyAlignment="1" applyProtection="0">
      <alignment horizontal="left" vertical="bottom" wrapText="1"/>
    </xf>
    <xf numFmtId="49" fontId="9" fillId="28" borderId="16" applyNumberFormat="1" applyFont="1" applyFill="1" applyBorder="1" applyAlignment="1" applyProtection="0">
      <alignment horizontal="center" vertical="bottom" wrapText="1"/>
    </xf>
    <xf numFmtId="0" fontId="10" fillId="28" borderId="16" applyNumberFormat="0" applyFont="1" applyFill="1" applyBorder="1" applyAlignment="1" applyProtection="0">
      <alignment vertical="bottom" wrapText="1"/>
    </xf>
    <xf numFmtId="0" fontId="10" fillId="28" borderId="17" applyNumberFormat="0" applyFont="1" applyFill="1" applyBorder="1" applyAlignment="1" applyProtection="0">
      <alignment vertical="bottom" wrapText="1"/>
    </xf>
    <xf numFmtId="49" fontId="10" fillId="28" borderId="15" applyNumberFormat="1" applyFont="1" applyFill="1" applyBorder="1" applyAlignment="1" applyProtection="0">
      <alignment vertical="bottom"/>
    </xf>
    <xf numFmtId="61" fontId="10" fillId="28" borderId="16" applyNumberFormat="1" applyFont="1" applyFill="1" applyBorder="1" applyAlignment="1" applyProtection="0">
      <alignment vertical="bottom"/>
    </xf>
    <xf numFmtId="0" fontId="10" fillId="28" borderId="16" applyNumberFormat="0" applyFont="1" applyFill="1" applyBorder="1" applyAlignment="1" applyProtection="0">
      <alignment vertical="bottom"/>
    </xf>
    <xf numFmtId="0" fontId="10" fillId="28" borderId="17" applyNumberFormat="0" applyFont="1" applyFill="1" applyBorder="1" applyAlignment="1" applyProtection="0">
      <alignment vertical="bottom"/>
    </xf>
    <xf numFmtId="61" fontId="0" fillId="4" borderId="150" applyNumberFormat="1" applyFont="1" applyFill="1" applyBorder="1" applyAlignment="1" applyProtection="0">
      <alignment vertical="bottom"/>
    </xf>
    <xf numFmtId="9" fontId="10" fillId="28" borderId="16" applyNumberFormat="1" applyFont="1" applyFill="1" applyBorder="1" applyAlignment="1" applyProtection="0">
      <alignment vertical="bottom"/>
    </xf>
    <xf numFmtId="61" fontId="10" fillId="28" borderId="78" applyNumberFormat="1" applyFont="1" applyFill="1" applyBorder="1" applyAlignment="1" applyProtection="0">
      <alignment vertical="bottom"/>
    </xf>
    <xf numFmtId="0" fontId="10" fillId="28" borderId="15" applyNumberFormat="0" applyFont="1" applyFill="1" applyBorder="1" applyAlignment="1" applyProtection="0">
      <alignment vertical="bottom"/>
    </xf>
    <xf numFmtId="10" fontId="10" fillId="28" borderId="16" applyNumberFormat="1" applyFont="1" applyFill="1" applyBorder="1" applyAlignment="1" applyProtection="0">
      <alignment vertical="bottom"/>
    </xf>
    <xf numFmtId="61" fontId="10" fillId="28" borderId="13" applyNumberFormat="1" applyFont="1" applyFill="1" applyBorder="1" applyAlignment="1" applyProtection="0">
      <alignment vertical="bottom"/>
    </xf>
    <xf numFmtId="0" fontId="10" fillId="28" borderId="18" applyNumberFormat="0" applyFont="1" applyFill="1" applyBorder="1" applyAlignment="1" applyProtection="0">
      <alignment vertical="bottom"/>
    </xf>
    <xf numFmtId="61" fontId="10" fillId="28" borderId="19" applyNumberFormat="1" applyFont="1" applyFill="1" applyBorder="1" applyAlignment="1" applyProtection="0">
      <alignment vertical="bottom"/>
    </xf>
    <xf numFmtId="0" fontId="10" fillId="28" borderId="19" applyNumberFormat="0" applyFont="1" applyFill="1" applyBorder="1" applyAlignment="1" applyProtection="0">
      <alignment vertical="bottom"/>
    </xf>
    <xf numFmtId="0" fontId="10" fillId="28" borderId="20" applyNumberFormat="0" applyFont="1" applyFill="1" applyBorder="1" applyAlignment="1" applyProtection="0">
      <alignment vertical="bottom"/>
    </xf>
    <xf numFmtId="49" fontId="9" fillId="11" borderId="24" applyNumberFormat="1" applyFont="1" applyFill="1" applyBorder="1" applyAlignment="1" applyProtection="0">
      <alignment vertical="bottom"/>
    </xf>
    <xf numFmtId="0" fontId="10" fillId="11" borderId="26" applyNumberFormat="0" applyFont="1" applyFill="1" applyBorder="1" applyAlignment="1" applyProtection="0">
      <alignment vertical="bottom"/>
    </xf>
    <xf numFmtId="0" fontId="17" fillId="11" borderId="15" applyNumberFormat="0" applyFont="1" applyFill="1" applyBorder="1" applyAlignment="1" applyProtection="0">
      <alignment horizontal="left" vertical="bottom" wrapText="1"/>
    </xf>
    <xf numFmtId="0" fontId="10" fillId="11" borderId="16" applyNumberFormat="0" applyFont="1" applyFill="1" applyBorder="1" applyAlignment="1" applyProtection="0">
      <alignment vertical="bottom" wrapText="1"/>
    </xf>
    <xf numFmtId="0" fontId="10" fillId="11" borderId="17" applyNumberFormat="0" applyFont="1" applyFill="1" applyBorder="1" applyAlignment="1" applyProtection="0">
      <alignment vertical="bottom" wrapText="1"/>
    </xf>
    <xf numFmtId="49" fontId="10" fillId="11" borderId="15" applyNumberFormat="1" applyFont="1" applyFill="1" applyBorder="1" applyAlignment="1" applyProtection="0">
      <alignment vertical="bottom"/>
    </xf>
    <xf numFmtId="61" fontId="10" fillId="11" borderId="16" applyNumberFormat="1" applyFont="1" applyFill="1" applyBorder="1" applyAlignment="1" applyProtection="0">
      <alignment vertical="bottom"/>
    </xf>
    <xf numFmtId="64" fontId="10" fillId="11" borderId="16" applyNumberFormat="1" applyFont="1" applyFill="1" applyBorder="1" applyAlignment="1" applyProtection="0">
      <alignment vertical="bottom"/>
    </xf>
    <xf numFmtId="0" fontId="10" fillId="11" borderId="17" applyNumberFormat="0" applyFont="1" applyFill="1" applyBorder="1" applyAlignment="1" applyProtection="0">
      <alignment vertical="bottom"/>
    </xf>
    <xf numFmtId="61" fontId="10" fillId="11" borderId="78" applyNumberFormat="1" applyFont="1" applyFill="1" applyBorder="1" applyAlignment="1" applyProtection="0">
      <alignment vertical="bottom"/>
    </xf>
    <xf numFmtId="49" fontId="10" fillId="11" borderId="15" applyNumberFormat="1" applyFont="1" applyFill="1" applyBorder="1" applyAlignment="1" applyProtection="0">
      <alignment horizontal="right" vertical="bottom"/>
    </xf>
    <xf numFmtId="10" fontId="10" fillId="11" borderId="16" applyNumberFormat="1" applyFont="1" applyFill="1" applyBorder="1" applyAlignment="1" applyProtection="0">
      <alignment vertical="bottom"/>
    </xf>
    <xf numFmtId="61" fontId="10" fillId="11" borderId="13" applyNumberFormat="1" applyFont="1" applyFill="1" applyBorder="1" applyAlignment="1" applyProtection="0">
      <alignment vertical="bottom"/>
    </xf>
    <xf numFmtId="0" fontId="10" fillId="11" borderId="18" applyNumberFormat="0" applyFont="1" applyFill="1" applyBorder="1" applyAlignment="1" applyProtection="0">
      <alignment vertical="bottom"/>
    </xf>
    <xf numFmtId="61" fontId="10" fillId="11" borderId="19" applyNumberFormat="1" applyFont="1" applyFill="1" applyBorder="1" applyAlignment="1" applyProtection="0">
      <alignment vertical="bottom"/>
    </xf>
    <xf numFmtId="0" fontId="10" fillId="11" borderId="19" applyNumberFormat="0" applyFont="1" applyFill="1" applyBorder="1" applyAlignment="1" applyProtection="0">
      <alignment vertical="bottom"/>
    </xf>
    <xf numFmtId="0" fontId="10" fillId="11" borderId="20" applyNumberFormat="0" applyFont="1" applyFill="1" applyBorder="1" applyAlignment="1" applyProtection="0">
      <alignment vertical="bottom"/>
    </xf>
    <xf numFmtId="0" fontId="0" fillId="4" borderId="151" applyNumberFormat="0" applyFont="1" applyFill="1" applyBorder="1" applyAlignment="1" applyProtection="0">
      <alignment vertical="bottom"/>
    </xf>
    <xf numFmtId="0" fontId="0" fillId="4" applyNumberFormat="1" applyFont="1" applyFill="1" applyBorder="0" applyAlignment="1" applyProtection="0">
      <alignment vertical="bottom"/>
    </xf>
    <xf numFmtId="0" fontId="36" fillId="4" borderId="1" applyNumberFormat="0" applyFont="1" applyFill="1" applyBorder="1" applyAlignment="1" applyProtection="0">
      <alignment vertical="bottom"/>
    </xf>
    <xf numFmtId="0" fontId="37" fillId="4" borderId="2" applyNumberFormat="0" applyFont="1" applyFill="1" applyBorder="1" applyAlignment="1" applyProtection="0">
      <alignment vertical="bottom"/>
    </xf>
    <xf numFmtId="49" fontId="36" fillId="4" borderId="2" applyNumberFormat="1" applyFont="1" applyFill="1" applyBorder="1" applyAlignment="1" applyProtection="0">
      <alignment vertical="bottom"/>
    </xf>
    <xf numFmtId="0" fontId="36" fillId="4" borderId="2" applyNumberFormat="0" applyFont="1" applyFill="1" applyBorder="1" applyAlignment="1" applyProtection="0">
      <alignment vertical="bottom"/>
    </xf>
    <xf numFmtId="0" fontId="36" fillId="4" borderId="3" applyNumberFormat="0" applyFont="1" applyFill="1" applyBorder="1" applyAlignment="1" applyProtection="0">
      <alignment vertical="bottom"/>
    </xf>
    <xf numFmtId="0" fontId="36" fillId="4" borderId="4" applyNumberFormat="0" applyFont="1" applyFill="1" applyBorder="1" applyAlignment="1" applyProtection="0">
      <alignment vertical="bottom"/>
    </xf>
    <xf numFmtId="0" fontId="36" fillId="4" borderId="5" applyNumberFormat="0" applyFont="1" applyFill="1" applyBorder="1" applyAlignment="1" applyProtection="0">
      <alignment vertical="bottom"/>
    </xf>
    <xf numFmtId="0" fontId="10" fillId="29" borderId="197" applyNumberFormat="0" applyFont="1" applyFill="1" applyBorder="1" applyAlignment="1" applyProtection="0">
      <alignment vertical="bottom"/>
    </xf>
    <xf numFmtId="49" fontId="9" fillId="29" borderId="198" applyNumberFormat="1" applyFont="1" applyFill="1" applyBorder="1" applyAlignment="1" applyProtection="0">
      <alignment horizontal="center" vertical="bottom"/>
    </xf>
    <xf numFmtId="49" fontId="9" fillId="29" borderId="198" applyNumberFormat="1" applyFont="1" applyFill="1" applyBorder="1" applyAlignment="1" applyProtection="0">
      <alignment horizontal="center" vertical="bottom" wrapText="1"/>
    </xf>
    <xf numFmtId="49" fontId="9" fillId="29" borderId="199" applyNumberFormat="1" applyFont="1" applyFill="1" applyBorder="1" applyAlignment="1" applyProtection="0">
      <alignment horizontal="center" vertical="bottom"/>
    </xf>
    <xf numFmtId="49" fontId="9" fillId="29" borderId="200" applyNumberFormat="1" applyFont="1" applyFill="1" applyBorder="1" applyAlignment="1" applyProtection="0">
      <alignment horizontal="center" vertical="bottom"/>
    </xf>
    <xf numFmtId="0" fontId="36" fillId="4" borderId="9" applyNumberFormat="0" applyFont="1" applyFill="1" applyBorder="1" applyAlignment="1" applyProtection="0">
      <alignment vertical="bottom"/>
    </xf>
    <xf numFmtId="0" fontId="36" fillId="4" borderId="10" applyNumberFormat="0" applyFont="1" applyFill="1" applyBorder="1" applyAlignment="1" applyProtection="0">
      <alignment vertical="bottom"/>
    </xf>
    <xf numFmtId="0" fontId="36" fillId="4" borderId="11" applyNumberFormat="0" applyFont="1" applyFill="1" applyBorder="1" applyAlignment="1" applyProtection="0">
      <alignment vertical="bottom"/>
    </xf>
    <xf numFmtId="0" fontId="37" fillId="29" borderId="201" applyNumberFormat="1" applyFont="1" applyFill="1" applyBorder="1" applyAlignment="1" applyProtection="0">
      <alignment vertical="bottom"/>
    </xf>
    <xf numFmtId="49" fontId="10" fillId="29" borderId="202" applyNumberFormat="1" applyFont="1" applyFill="1" applyBorder="1" applyAlignment="1" applyProtection="0">
      <alignment vertical="bottom"/>
    </xf>
    <xf numFmtId="49" fontId="10" fillId="29" borderId="202" applyNumberFormat="1" applyFont="1" applyFill="1" applyBorder="1" applyAlignment="1" applyProtection="0">
      <alignment horizontal="center" vertical="bottom"/>
    </xf>
    <xf numFmtId="9" fontId="10" fillId="29" borderId="202" applyNumberFormat="1" applyFont="1" applyFill="1" applyBorder="1" applyAlignment="1" applyProtection="0">
      <alignment horizontal="center" vertical="bottom"/>
    </xf>
    <xf numFmtId="0" fontId="10" fillId="29" borderId="202" applyNumberFormat="1" applyFont="1" applyFill="1" applyBorder="1" applyAlignment="1" applyProtection="0">
      <alignment horizontal="center" vertical="bottom"/>
    </xf>
    <xf numFmtId="49" fontId="10" fillId="29" borderId="203" applyNumberFormat="1" applyFont="1" applyFill="1" applyBorder="1" applyAlignment="1" applyProtection="0">
      <alignment vertical="bottom"/>
    </xf>
    <xf numFmtId="0" fontId="10" fillId="29" borderId="204" applyNumberFormat="0" applyFont="1" applyFill="1" applyBorder="1" applyAlignment="1" applyProtection="0">
      <alignment vertical="bottom"/>
    </xf>
    <xf numFmtId="0" fontId="37" fillId="29" borderId="205" applyNumberFormat="1" applyFont="1" applyFill="1" applyBorder="1" applyAlignment="1" applyProtection="0">
      <alignment vertical="bottom"/>
    </xf>
    <xf numFmtId="49" fontId="10" fillId="29" borderId="206" applyNumberFormat="1" applyFont="1" applyFill="1" applyBorder="1" applyAlignment="1" applyProtection="0">
      <alignment vertical="bottom"/>
    </xf>
    <xf numFmtId="49" fontId="10" fillId="29" borderId="206" applyNumberFormat="1" applyFont="1" applyFill="1" applyBorder="1" applyAlignment="1" applyProtection="0">
      <alignment horizontal="center" vertical="bottom"/>
    </xf>
    <xf numFmtId="9" fontId="10" fillId="29" borderId="206" applyNumberFormat="1" applyFont="1" applyFill="1" applyBorder="1" applyAlignment="1" applyProtection="0">
      <alignment horizontal="center" vertical="bottom"/>
    </xf>
    <xf numFmtId="0" fontId="10" fillId="29" borderId="206" applyNumberFormat="1" applyFont="1" applyFill="1" applyBorder="1" applyAlignment="1" applyProtection="0">
      <alignment horizontal="center" vertical="bottom"/>
    </xf>
    <xf numFmtId="49" fontId="10" fillId="29" borderId="207" applyNumberFormat="1" applyFont="1" applyFill="1" applyBorder="1" applyAlignment="1" applyProtection="0">
      <alignment vertical="bottom"/>
    </xf>
    <xf numFmtId="0" fontId="10" fillId="29" borderId="208" applyNumberFormat="0" applyFont="1" applyFill="1" applyBorder="1" applyAlignment="1" applyProtection="0">
      <alignment vertical="bottom"/>
    </xf>
    <xf numFmtId="0" fontId="38" fillId="4" borderId="11" applyNumberFormat="0" applyFont="1" applyFill="1" applyBorder="1" applyAlignment="1" applyProtection="0">
      <alignment vertical="center"/>
    </xf>
    <xf numFmtId="49" fontId="10" fillId="29" borderId="208" applyNumberFormat="1" applyFont="1" applyFill="1" applyBorder="1" applyAlignment="1" applyProtection="0">
      <alignment vertical="bottom"/>
    </xf>
    <xf numFmtId="61" fontId="10" fillId="29" borderId="206" applyNumberFormat="1" applyFont="1" applyFill="1" applyBorder="1" applyAlignment="1" applyProtection="0">
      <alignment horizontal="center" vertical="bottom"/>
    </xf>
    <xf numFmtId="0" fontId="37" fillId="12" borderId="205" applyNumberFormat="1" applyFont="1" applyFill="1" applyBorder="1" applyAlignment="1" applyProtection="0">
      <alignment vertical="bottom"/>
    </xf>
    <xf numFmtId="49" fontId="10" fillId="12" borderId="206" applyNumberFormat="1" applyFont="1" applyFill="1" applyBorder="1" applyAlignment="1" applyProtection="0">
      <alignment vertical="bottom"/>
    </xf>
    <xf numFmtId="49" fontId="10" fillId="12" borderId="206" applyNumberFormat="1" applyFont="1" applyFill="1" applyBorder="1" applyAlignment="1" applyProtection="0">
      <alignment horizontal="center" vertical="bottom"/>
    </xf>
    <xf numFmtId="9" fontId="10" fillId="12" borderId="206" applyNumberFormat="1" applyFont="1" applyFill="1" applyBorder="1" applyAlignment="1" applyProtection="0">
      <alignment horizontal="center" vertical="bottom"/>
    </xf>
    <xf numFmtId="0" fontId="10" fillId="12" borderId="206" applyNumberFormat="1" applyFont="1" applyFill="1" applyBorder="1" applyAlignment="1" applyProtection="0">
      <alignment horizontal="center" vertical="bottom"/>
    </xf>
    <xf numFmtId="49" fontId="10" fillId="12" borderId="207" applyNumberFormat="1" applyFont="1" applyFill="1" applyBorder="1" applyAlignment="1" applyProtection="0">
      <alignment vertical="bottom"/>
    </xf>
    <xf numFmtId="49" fontId="10" fillId="12" borderId="208" applyNumberFormat="1" applyFont="1" applyFill="1" applyBorder="1" applyAlignment="1" applyProtection="0">
      <alignment vertical="bottom"/>
    </xf>
    <xf numFmtId="49" fontId="36" fillId="4" borderId="10" applyNumberFormat="1" applyFont="1" applyFill="1" applyBorder="1" applyAlignment="1" applyProtection="0">
      <alignment vertical="bottom"/>
    </xf>
    <xf numFmtId="61" fontId="10" fillId="12" borderId="206" applyNumberFormat="1" applyFont="1" applyFill="1" applyBorder="1" applyAlignment="1" applyProtection="0">
      <alignment horizontal="center" vertical="bottom"/>
    </xf>
    <xf numFmtId="0" fontId="10" fillId="12" borderId="208" applyNumberFormat="0" applyFont="1" applyFill="1" applyBorder="1" applyAlignment="1" applyProtection="0">
      <alignment vertical="bottom"/>
    </xf>
    <xf numFmtId="61" fontId="10" fillId="29" borderId="208" applyNumberFormat="1" applyFont="1" applyFill="1" applyBorder="1" applyAlignment="1" applyProtection="0">
      <alignment vertical="bottom"/>
    </xf>
    <xf numFmtId="0" fontId="39" fillId="4" borderId="9" applyNumberFormat="0" applyFont="1" applyFill="1" applyBorder="1" applyAlignment="1" applyProtection="0">
      <alignment vertical="bottom"/>
    </xf>
    <xf numFmtId="61" fontId="36" fillId="4" borderId="10" applyNumberFormat="1" applyFont="1" applyFill="1" applyBorder="1" applyAlignment="1" applyProtection="0">
      <alignment vertical="bottom"/>
    </xf>
    <xf numFmtId="64" fontId="36" fillId="4" borderId="9" applyNumberFormat="1" applyFont="1" applyFill="1" applyBorder="1" applyAlignment="1" applyProtection="0">
      <alignment vertical="bottom"/>
    </xf>
    <xf numFmtId="61" fontId="10" fillId="12" borderId="208" applyNumberFormat="1" applyFont="1" applyFill="1" applyBorder="1" applyAlignment="1" applyProtection="0">
      <alignment vertical="bottom"/>
    </xf>
    <xf numFmtId="0" fontId="37" fillId="12" borderId="209" applyNumberFormat="1" applyFont="1" applyFill="1" applyBorder="1" applyAlignment="1" applyProtection="0">
      <alignment vertical="bottom"/>
    </xf>
    <xf numFmtId="49" fontId="10" fillId="12" borderId="210" applyNumberFormat="1" applyFont="1" applyFill="1" applyBorder="1" applyAlignment="1" applyProtection="0">
      <alignment vertical="bottom"/>
    </xf>
    <xf numFmtId="49" fontId="10" fillId="12" borderId="210" applyNumberFormat="1" applyFont="1" applyFill="1" applyBorder="1" applyAlignment="1" applyProtection="0">
      <alignment horizontal="center" vertical="bottom"/>
    </xf>
    <xf numFmtId="9" fontId="10" fillId="12" borderId="210" applyNumberFormat="1" applyFont="1" applyFill="1" applyBorder="1" applyAlignment="1" applyProtection="0">
      <alignment horizontal="center" vertical="bottom"/>
    </xf>
    <xf numFmtId="0" fontId="10" fillId="12" borderId="210" applyNumberFormat="1" applyFont="1" applyFill="1" applyBorder="1" applyAlignment="1" applyProtection="0">
      <alignment horizontal="center" vertical="bottom"/>
    </xf>
    <xf numFmtId="61" fontId="10" fillId="12" borderId="210" applyNumberFormat="1" applyFont="1" applyFill="1" applyBorder="1" applyAlignment="1" applyProtection="0">
      <alignment horizontal="center" vertical="bottom"/>
    </xf>
    <xf numFmtId="49" fontId="10" fillId="12" borderId="211" applyNumberFormat="1" applyFont="1" applyFill="1" applyBorder="1" applyAlignment="1" applyProtection="0">
      <alignment vertical="bottom"/>
    </xf>
    <xf numFmtId="0" fontId="10" fillId="12" borderId="212" applyNumberFormat="0" applyFont="1" applyFill="1" applyBorder="1" applyAlignment="1" applyProtection="0">
      <alignment vertical="bottom"/>
    </xf>
    <xf numFmtId="0" fontId="36" fillId="4" borderId="21" applyNumberFormat="0" applyFont="1" applyFill="1" applyBorder="1" applyAlignment="1" applyProtection="0">
      <alignment vertical="bottom"/>
    </xf>
    <xf numFmtId="0" fontId="37" fillId="4" borderId="44" applyNumberFormat="0" applyFont="1" applyFill="1" applyBorder="1" applyAlignment="1" applyProtection="0">
      <alignment vertical="bottom"/>
    </xf>
    <xf numFmtId="49" fontId="36" fillId="4" borderId="44" applyNumberFormat="1" applyFont="1" applyFill="1" applyBorder="1" applyAlignment="1" applyProtection="0">
      <alignment vertical="bottom"/>
    </xf>
    <xf numFmtId="0" fontId="36" fillId="4" borderId="44" applyNumberFormat="0" applyFont="1" applyFill="1" applyBorder="1" applyAlignment="1" applyProtection="0">
      <alignment vertical="bottom"/>
    </xf>
    <xf numFmtId="0" fontId="37" fillId="4" borderId="10" applyNumberFormat="0" applyFont="1" applyFill="1" applyBorder="1" applyAlignment="1" applyProtection="0">
      <alignment vertical="bottom"/>
    </xf>
    <xf numFmtId="49" fontId="39" fillId="4" borderId="10" applyNumberFormat="1" applyFont="1" applyFill="1" applyBorder="1" applyAlignment="1" applyProtection="0">
      <alignment vertical="bottom"/>
    </xf>
    <xf numFmtId="0" fontId="36" fillId="4" borderId="74" applyNumberFormat="0" applyFont="1" applyFill="1" applyBorder="1" applyAlignment="1" applyProtection="0">
      <alignment vertical="bottom"/>
    </xf>
    <xf numFmtId="0" fontId="37" fillId="4" borderId="75" applyNumberFormat="0" applyFont="1" applyFill="1" applyBorder="1" applyAlignment="1" applyProtection="0">
      <alignment vertical="bottom"/>
    </xf>
    <xf numFmtId="49" fontId="36" fillId="4" borderId="75" applyNumberFormat="1" applyFont="1" applyFill="1" applyBorder="1" applyAlignment="1" applyProtection="0">
      <alignment vertical="bottom"/>
    </xf>
    <xf numFmtId="0" fontId="36" fillId="4" borderId="75" applyNumberFormat="0" applyFont="1" applyFill="1" applyBorder="1" applyAlignment="1" applyProtection="0">
      <alignment vertical="bottom"/>
    </xf>
    <xf numFmtId="0" fontId="36" fillId="4" borderId="76" applyNumberFormat="0" applyFont="1" applyFill="1" applyBorder="1" applyAlignment="1" applyProtection="0">
      <alignment vertical="bottom"/>
    </xf>
    <xf numFmtId="0" fontId="0" fillId="4" applyNumberFormat="1" applyFont="1" applyFill="1" applyBorder="0" applyAlignment="1" applyProtection="0">
      <alignment vertical="bottom"/>
    </xf>
    <xf numFmtId="0" fontId="9" fillId="30" borderId="6" applyNumberFormat="0" applyFont="1" applyFill="1" applyBorder="1" applyAlignment="1" applyProtection="0">
      <alignment vertical="bottom" wrapText="1"/>
    </xf>
    <xf numFmtId="49" fontId="9" fillId="30" borderId="25" applyNumberFormat="1" applyFont="1" applyFill="1" applyBorder="1" applyAlignment="1" applyProtection="0">
      <alignment vertical="bottom" wrapText="1"/>
    </xf>
    <xf numFmtId="49" fontId="9" fillId="30" borderId="7" applyNumberFormat="1" applyFont="1" applyFill="1" applyBorder="1" applyAlignment="1" applyProtection="0">
      <alignment horizontal="center" vertical="bottom" wrapText="1"/>
    </xf>
    <xf numFmtId="49" fontId="9" fillId="30" borderId="8" applyNumberFormat="1" applyFont="1" applyFill="1" applyBorder="1" applyAlignment="1" applyProtection="0">
      <alignment horizontal="center" vertical="bottom" wrapText="1"/>
    </xf>
    <xf numFmtId="0" fontId="36" fillId="4" borderId="37" applyNumberFormat="0" applyFont="1" applyFill="1" applyBorder="1" applyAlignment="1" applyProtection="0">
      <alignment vertical="bottom"/>
    </xf>
    <xf numFmtId="49" fontId="9" fillId="30" borderId="6" applyNumberFormat="1" applyFont="1" applyFill="1" applyBorder="1" applyAlignment="1" applyProtection="0">
      <alignment horizontal="center" vertical="bottom" wrapText="1"/>
    </xf>
    <xf numFmtId="0" fontId="40" fillId="30" borderId="12" applyNumberFormat="1" applyFont="1" applyFill="1" applyBorder="1" applyAlignment="1" applyProtection="0">
      <alignment vertical="bottom"/>
    </xf>
    <xf numFmtId="49" fontId="10" fillId="30" borderId="16" applyNumberFormat="1" applyFont="1" applyFill="1" applyBorder="1" applyAlignment="1" applyProtection="0">
      <alignment vertical="bottom"/>
    </xf>
    <xf numFmtId="49" fontId="10" fillId="30" borderId="13" applyNumberFormat="1" applyFont="1" applyFill="1" applyBorder="1" applyAlignment="1" applyProtection="0">
      <alignment horizontal="center" vertical="bottom"/>
    </xf>
    <xf numFmtId="9" fontId="10" fillId="30" borderId="13" applyNumberFormat="1" applyFont="1" applyFill="1" applyBorder="1" applyAlignment="1" applyProtection="0">
      <alignment horizontal="center" vertical="bottom"/>
    </xf>
    <xf numFmtId="0" fontId="10" fillId="30" borderId="13" applyNumberFormat="1" applyFont="1" applyFill="1" applyBorder="1" applyAlignment="1" applyProtection="0">
      <alignment horizontal="center" vertical="bottom"/>
    </xf>
    <xf numFmtId="0" fontId="10" fillId="30" borderId="13" applyNumberFormat="1" applyFont="1" applyFill="1" applyBorder="1" applyAlignment="1" applyProtection="0">
      <alignment vertical="bottom"/>
    </xf>
    <xf numFmtId="64" fontId="10" fillId="30" borderId="13" applyNumberFormat="1" applyFont="1" applyFill="1" applyBorder="1" applyAlignment="1" applyProtection="0">
      <alignment vertical="bottom"/>
    </xf>
    <xf numFmtId="64" fontId="10" fillId="30" borderId="14" applyNumberFormat="1" applyFont="1" applyFill="1" applyBorder="1" applyAlignment="1" applyProtection="0">
      <alignment vertical="bottom"/>
    </xf>
    <xf numFmtId="61" fontId="10" fillId="30" borderId="12" applyNumberFormat="1" applyFont="1" applyFill="1" applyBorder="1" applyAlignment="1" applyProtection="0">
      <alignment vertical="bottom"/>
    </xf>
    <xf numFmtId="61" fontId="10" fillId="30" borderId="13" applyNumberFormat="1" applyFont="1" applyFill="1" applyBorder="1" applyAlignment="1" applyProtection="0">
      <alignment vertical="bottom"/>
    </xf>
    <xf numFmtId="61" fontId="10" fillId="30" borderId="14" applyNumberFormat="1" applyFont="1" applyFill="1" applyBorder="1" applyAlignment="1" applyProtection="0">
      <alignment vertical="bottom"/>
    </xf>
    <xf numFmtId="9" fontId="28" fillId="4" borderId="9" applyNumberFormat="1" applyFont="1" applyFill="1" applyBorder="1" applyAlignment="1" applyProtection="0">
      <alignment vertical="bottom" wrapText="1"/>
    </xf>
    <xf numFmtId="0" fontId="40" fillId="30" borderId="15" applyNumberFormat="1" applyFont="1" applyFill="1" applyBorder="1" applyAlignment="1" applyProtection="0">
      <alignment vertical="bottom"/>
    </xf>
    <xf numFmtId="0" fontId="10" fillId="30" borderId="16" applyNumberFormat="0" applyFont="1" applyFill="1" applyBorder="1" applyAlignment="1" applyProtection="0">
      <alignment horizontal="center" vertical="bottom"/>
    </xf>
    <xf numFmtId="9" fontId="10" fillId="30" borderId="16" applyNumberFormat="1" applyFont="1" applyFill="1" applyBorder="1" applyAlignment="1" applyProtection="0">
      <alignment horizontal="center" vertical="bottom"/>
    </xf>
    <xf numFmtId="0" fontId="10" fillId="30" borderId="16" applyNumberFormat="1" applyFont="1" applyFill="1" applyBorder="1" applyAlignment="1" applyProtection="0">
      <alignment horizontal="center" vertical="bottom"/>
    </xf>
    <xf numFmtId="0" fontId="10" fillId="30" borderId="16" applyNumberFormat="1" applyFont="1" applyFill="1" applyBorder="1" applyAlignment="1" applyProtection="0">
      <alignment vertical="bottom"/>
    </xf>
    <xf numFmtId="64" fontId="10" fillId="30" borderId="16" applyNumberFormat="1" applyFont="1" applyFill="1" applyBorder="1" applyAlignment="1" applyProtection="0">
      <alignment vertical="bottom"/>
    </xf>
    <xf numFmtId="64" fontId="10" fillId="30" borderId="17" applyNumberFormat="1" applyFont="1" applyFill="1" applyBorder="1" applyAlignment="1" applyProtection="0">
      <alignment vertical="bottom"/>
    </xf>
    <xf numFmtId="61" fontId="10" fillId="30" borderId="15" applyNumberFormat="1" applyFont="1" applyFill="1" applyBorder="1" applyAlignment="1" applyProtection="0">
      <alignment vertical="bottom"/>
    </xf>
    <xf numFmtId="61" fontId="10" fillId="30" borderId="16" applyNumberFormat="1" applyFont="1" applyFill="1" applyBorder="1" applyAlignment="1" applyProtection="0">
      <alignment vertical="bottom"/>
    </xf>
    <xf numFmtId="61" fontId="10" fillId="30" borderId="17" applyNumberFormat="1" applyFont="1" applyFill="1" applyBorder="1" applyAlignment="1" applyProtection="0">
      <alignment vertical="bottom"/>
    </xf>
    <xf numFmtId="49" fontId="10" fillId="30" borderId="16" applyNumberFormat="1" applyFont="1" applyFill="1" applyBorder="1" applyAlignment="1" applyProtection="0">
      <alignment horizontal="center" vertical="bottom"/>
    </xf>
    <xf numFmtId="0" fontId="40" fillId="30" borderId="136" applyNumberFormat="1" applyFont="1" applyFill="1" applyBorder="1" applyAlignment="1" applyProtection="0">
      <alignment vertical="bottom"/>
    </xf>
    <xf numFmtId="49" fontId="10" fillId="30" borderId="137" applyNumberFormat="1" applyFont="1" applyFill="1" applyBorder="1" applyAlignment="1" applyProtection="0">
      <alignment vertical="bottom"/>
    </xf>
    <xf numFmtId="0" fontId="10" fillId="30" borderId="137" applyNumberFormat="0" applyFont="1" applyFill="1" applyBorder="1" applyAlignment="1" applyProtection="0">
      <alignment horizontal="center" vertical="bottom"/>
    </xf>
    <xf numFmtId="9" fontId="10" fillId="30" borderId="137" applyNumberFormat="1" applyFont="1" applyFill="1" applyBorder="1" applyAlignment="1" applyProtection="0">
      <alignment horizontal="center" vertical="bottom"/>
    </xf>
    <xf numFmtId="49" fontId="10" fillId="30" borderId="137" applyNumberFormat="1" applyFont="1" applyFill="1" applyBorder="1" applyAlignment="1" applyProtection="0">
      <alignment horizontal="center" vertical="bottom"/>
    </xf>
    <xf numFmtId="0" fontId="10" fillId="30" borderId="137" applyNumberFormat="1" applyFont="1" applyFill="1" applyBorder="1" applyAlignment="1" applyProtection="0">
      <alignment horizontal="center" vertical="bottom"/>
    </xf>
    <xf numFmtId="0" fontId="10" fillId="30" borderId="137" applyNumberFormat="1" applyFont="1" applyFill="1" applyBorder="1" applyAlignment="1" applyProtection="0">
      <alignment vertical="bottom"/>
    </xf>
    <xf numFmtId="64" fontId="10" fillId="30" borderId="137" applyNumberFormat="1" applyFont="1" applyFill="1" applyBorder="1" applyAlignment="1" applyProtection="0">
      <alignment vertical="bottom"/>
    </xf>
    <xf numFmtId="64" fontId="10" fillId="30" borderId="141" applyNumberFormat="1" applyFont="1" applyFill="1" applyBorder="1" applyAlignment="1" applyProtection="0">
      <alignment vertical="bottom"/>
    </xf>
    <xf numFmtId="61" fontId="10" fillId="30" borderId="136" applyNumberFormat="1" applyFont="1" applyFill="1" applyBorder="1" applyAlignment="1" applyProtection="0">
      <alignment vertical="bottom"/>
    </xf>
    <xf numFmtId="61" fontId="10" fillId="30" borderId="137" applyNumberFormat="1" applyFont="1" applyFill="1" applyBorder="1" applyAlignment="1" applyProtection="0">
      <alignment vertical="bottom"/>
    </xf>
    <xf numFmtId="61" fontId="10" fillId="30" borderId="141" applyNumberFormat="1" applyFont="1" applyFill="1" applyBorder="1" applyAlignment="1" applyProtection="0">
      <alignment vertical="bottom"/>
    </xf>
    <xf numFmtId="0" fontId="40" fillId="30" borderId="213" applyNumberFormat="0" applyFont="1" applyFill="1" applyBorder="1" applyAlignment="1" applyProtection="0">
      <alignment vertical="bottom"/>
    </xf>
    <xf numFmtId="0" fontId="10" fillId="30" borderId="214" applyNumberFormat="0" applyFont="1" applyFill="1" applyBorder="1" applyAlignment="1" applyProtection="0">
      <alignment vertical="bottom"/>
    </xf>
    <xf numFmtId="0" fontId="10" fillId="30" borderId="214" applyNumberFormat="0" applyFont="1" applyFill="1" applyBorder="1" applyAlignment="1" applyProtection="0">
      <alignment horizontal="center" vertical="bottom"/>
    </xf>
    <xf numFmtId="9" fontId="10" fillId="30" borderId="214" applyNumberFormat="1" applyFont="1" applyFill="1" applyBorder="1" applyAlignment="1" applyProtection="0">
      <alignment horizontal="center" vertical="bottom"/>
    </xf>
    <xf numFmtId="49" fontId="9" fillId="30" borderId="214" applyNumberFormat="1" applyFont="1" applyFill="1" applyBorder="1" applyAlignment="1" applyProtection="0">
      <alignment horizontal="right" vertical="bottom"/>
    </xf>
    <xf numFmtId="0" fontId="9" fillId="30" borderId="214" applyNumberFormat="1" applyFont="1" applyFill="1" applyBorder="1" applyAlignment="1" applyProtection="0">
      <alignment horizontal="center" vertical="bottom"/>
    </xf>
    <xf numFmtId="64" fontId="9" fillId="30" borderId="214" applyNumberFormat="1" applyFont="1" applyFill="1" applyBorder="1" applyAlignment="1" applyProtection="0">
      <alignment vertical="bottom"/>
    </xf>
    <xf numFmtId="64" fontId="9" fillId="30" borderId="215" applyNumberFormat="1" applyFont="1" applyFill="1" applyBorder="1" applyAlignment="1" applyProtection="0">
      <alignment vertical="bottom"/>
    </xf>
    <xf numFmtId="64" fontId="9" fillId="30" borderId="213" applyNumberFormat="1" applyFont="1" applyFill="1" applyBorder="1" applyAlignment="1" applyProtection="0">
      <alignment vertical="bottom"/>
    </xf>
    <xf numFmtId="9" fontId="10" fillId="30" borderId="215" applyNumberFormat="1" applyFont="1" applyFill="1" applyBorder="1" applyAlignment="1" applyProtection="0">
      <alignment horizontal="center" vertical="bottom"/>
    </xf>
    <xf numFmtId="0" fontId="28" fillId="4" borderId="9" applyNumberFormat="0" applyFont="1" applyFill="1" applyBorder="1" applyAlignment="1" applyProtection="0">
      <alignment vertical="bottom" wrapText="1"/>
    </xf>
    <xf numFmtId="0" fontId="36" fillId="4" borderId="22" applyNumberFormat="0" applyFont="1" applyFill="1" applyBorder="1" applyAlignment="1" applyProtection="0">
      <alignment horizontal="center" vertical="bottom"/>
    </xf>
    <xf numFmtId="0" fontId="28" fillId="4" borderId="44" applyNumberFormat="0" applyFont="1" applyFill="1" applyBorder="1" applyAlignment="1" applyProtection="0">
      <alignment vertical="bottom" wrapText="1"/>
    </xf>
    <xf numFmtId="0" fontId="28" fillId="4" borderId="10" applyNumberFormat="0" applyFont="1" applyFill="1" applyBorder="1" applyAlignment="1" applyProtection="0">
      <alignment vertical="bottom" wrapText="1"/>
    </xf>
    <xf numFmtId="49" fontId="10" fillId="30" borderId="216" applyNumberFormat="1" applyFont="1" applyFill="1" applyBorder="1" applyAlignment="1" applyProtection="0">
      <alignment horizontal="left" vertical="bottom" wrapText="1"/>
    </xf>
    <xf numFmtId="0" fontId="10" fillId="30" borderId="217" applyNumberFormat="0" applyFont="1" applyFill="1" applyBorder="1" applyAlignment="1" applyProtection="0">
      <alignment horizontal="left" vertical="bottom" wrapText="1"/>
    </xf>
    <xf numFmtId="61" fontId="10" fillId="30" borderId="218" applyNumberFormat="1" applyFont="1" applyFill="1" applyBorder="1" applyAlignment="1" applyProtection="0">
      <alignment vertical="bottom"/>
    </xf>
    <xf numFmtId="49" fontId="9" fillId="30" borderId="219" applyNumberFormat="1" applyFont="1" applyFill="1" applyBorder="1" applyAlignment="1" applyProtection="0">
      <alignment horizontal="left" vertical="bottom" wrapText="1"/>
    </xf>
    <xf numFmtId="0" fontId="9" fillId="30" borderId="220" applyNumberFormat="0" applyFont="1" applyFill="1" applyBorder="1" applyAlignment="1" applyProtection="0">
      <alignment horizontal="left" vertical="bottom" wrapText="1"/>
    </xf>
    <xf numFmtId="61" fontId="9" fillId="30" borderId="221" applyNumberFormat="1" applyFont="1" applyFill="1" applyBorder="1" applyAlignment="1" applyProtection="0">
      <alignment vertical="bottom"/>
    </xf>
    <xf numFmtId="49" fontId="9" fillId="30" borderId="18" applyNumberFormat="1" applyFont="1" applyFill="1" applyBorder="1" applyAlignment="1" applyProtection="0">
      <alignment horizontal="left" vertical="bottom" wrapText="1"/>
    </xf>
    <xf numFmtId="0" fontId="9" fillId="30" borderId="19" applyNumberFormat="0" applyFont="1" applyFill="1" applyBorder="1" applyAlignment="1" applyProtection="0">
      <alignment horizontal="left" vertical="bottom" wrapText="1"/>
    </xf>
    <xf numFmtId="61" fontId="9" fillId="30" borderId="20" applyNumberFormat="1" applyFont="1" applyFill="1" applyBorder="1" applyAlignment="1" applyProtection="0">
      <alignment vertical="bottom"/>
    </xf>
    <xf numFmtId="49" fontId="10" fillId="7" borderId="216" applyNumberFormat="1" applyFont="1" applyFill="1" applyBorder="1" applyAlignment="1" applyProtection="0">
      <alignment horizontal="left" vertical="bottom" wrapText="1"/>
    </xf>
    <xf numFmtId="0" fontId="10" fillId="7" borderId="217" applyNumberFormat="0" applyFont="1" applyFill="1" applyBorder="1" applyAlignment="1" applyProtection="0">
      <alignment horizontal="left" vertical="bottom" wrapText="1"/>
    </xf>
    <xf numFmtId="61" fontId="10" fillId="7" borderId="218" applyNumberFormat="1" applyFont="1" applyFill="1" applyBorder="1" applyAlignment="1" applyProtection="0">
      <alignment vertical="bottom"/>
    </xf>
    <xf numFmtId="49" fontId="9" fillId="7" borderId="219" applyNumberFormat="1" applyFont="1" applyFill="1" applyBorder="1" applyAlignment="1" applyProtection="0">
      <alignment horizontal="left" vertical="bottom" wrapText="1"/>
    </xf>
    <xf numFmtId="0" fontId="9" fillId="7" borderId="220" applyNumberFormat="0" applyFont="1" applyFill="1" applyBorder="1" applyAlignment="1" applyProtection="0">
      <alignment horizontal="left" vertical="bottom" wrapText="1"/>
    </xf>
    <xf numFmtId="61" fontId="9" fillId="7" borderId="221" applyNumberFormat="1" applyFont="1" applyFill="1" applyBorder="1" applyAlignment="1" applyProtection="0">
      <alignment vertical="bottom"/>
    </xf>
    <xf numFmtId="49" fontId="9" fillId="7" borderId="18" applyNumberFormat="1" applyFont="1" applyFill="1" applyBorder="1" applyAlignment="1" applyProtection="0">
      <alignment horizontal="left" vertical="bottom" wrapText="1"/>
    </xf>
    <xf numFmtId="0" fontId="9" fillId="7" borderId="19" applyNumberFormat="0" applyFont="1" applyFill="1" applyBorder="1" applyAlignment="1" applyProtection="0">
      <alignment horizontal="left" vertical="bottom" wrapText="1"/>
    </xf>
    <xf numFmtId="49" fontId="10" fillId="7" borderId="20" applyNumberFormat="1" applyFont="1" applyFill="1" applyBorder="1" applyAlignment="1" applyProtection="0">
      <alignment horizontal="center" vertical="bottom"/>
    </xf>
    <xf numFmtId="0" fontId="9" fillId="7" borderId="6" applyNumberFormat="0" applyFont="1" applyFill="1" applyBorder="1" applyAlignment="1" applyProtection="0">
      <alignment vertical="bottom" wrapText="1"/>
    </xf>
    <xf numFmtId="49" fontId="9" fillId="7" borderId="7" applyNumberFormat="1" applyFont="1" applyFill="1" applyBorder="1" applyAlignment="1" applyProtection="0">
      <alignment vertical="bottom" wrapText="1"/>
    </xf>
    <xf numFmtId="49" fontId="9" fillId="7" borderId="7" applyNumberFormat="1" applyFont="1" applyFill="1" applyBorder="1" applyAlignment="1" applyProtection="0">
      <alignment horizontal="center" vertical="bottom" wrapText="1"/>
    </xf>
    <xf numFmtId="49" fontId="9" fillId="7" borderId="8" applyNumberFormat="1" applyFont="1" applyFill="1" applyBorder="1" applyAlignment="1" applyProtection="0">
      <alignment horizontal="center" vertical="bottom" wrapText="1"/>
    </xf>
    <xf numFmtId="49" fontId="36" fillId="4" borderId="9" applyNumberFormat="1" applyFont="1" applyFill="1" applyBorder="1" applyAlignment="1" applyProtection="0">
      <alignment horizontal="left" vertical="bottom"/>
    </xf>
    <xf numFmtId="49" fontId="9" fillId="7" borderId="6" applyNumberFormat="1" applyFont="1" applyFill="1" applyBorder="1" applyAlignment="1" applyProtection="0">
      <alignment horizontal="center" vertical="bottom" wrapText="1"/>
    </xf>
    <xf numFmtId="0" fontId="40" fillId="7" borderId="12" applyNumberFormat="1" applyFont="1" applyFill="1" applyBorder="1" applyAlignment="1" applyProtection="0">
      <alignment vertical="bottom"/>
    </xf>
    <xf numFmtId="49" fontId="10" fillId="7" borderId="13" applyNumberFormat="1" applyFont="1" applyFill="1" applyBorder="1" applyAlignment="1" applyProtection="0">
      <alignment vertical="bottom"/>
    </xf>
    <xf numFmtId="0" fontId="10" fillId="7" borderId="13" applyNumberFormat="0" applyFont="1" applyFill="1" applyBorder="1" applyAlignment="1" applyProtection="0">
      <alignment horizontal="center" vertical="bottom"/>
    </xf>
    <xf numFmtId="9" fontId="10" fillId="7" borderId="13" applyNumberFormat="1" applyFont="1" applyFill="1" applyBorder="1" applyAlignment="1" applyProtection="0">
      <alignment horizontal="center" vertical="bottom"/>
    </xf>
    <xf numFmtId="0" fontId="10" fillId="7" borderId="13" applyNumberFormat="1" applyFont="1" applyFill="1" applyBorder="1" applyAlignment="1" applyProtection="0">
      <alignment horizontal="center" vertical="bottom"/>
    </xf>
    <xf numFmtId="0" fontId="10" fillId="7" borderId="13" applyNumberFormat="1" applyFont="1" applyFill="1" applyBorder="1" applyAlignment="1" applyProtection="0">
      <alignment vertical="bottom"/>
    </xf>
    <xf numFmtId="64" fontId="10" fillId="7" borderId="14" applyNumberFormat="1" applyFont="1" applyFill="1" applyBorder="1" applyAlignment="1" applyProtection="0">
      <alignment vertical="bottom"/>
    </xf>
    <xf numFmtId="61" fontId="10" fillId="7" borderId="12" applyNumberFormat="1" applyFont="1" applyFill="1" applyBorder="1" applyAlignment="1" applyProtection="0">
      <alignment vertical="bottom"/>
    </xf>
    <xf numFmtId="61" fontId="10" fillId="7" borderId="13" applyNumberFormat="1" applyFont="1" applyFill="1" applyBorder="1" applyAlignment="1" applyProtection="0">
      <alignment vertical="bottom"/>
    </xf>
    <xf numFmtId="61" fontId="10" fillId="7" borderId="14" applyNumberFormat="1" applyFont="1" applyFill="1" applyBorder="1" applyAlignment="1" applyProtection="0">
      <alignment vertical="bottom"/>
    </xf>
    <xf numFmtId="0" fontId="40" fillId="7" borderId="15" applyNumberFormat="1" applyFont="1" applyFill="1" applyBorder="1" applyAlignment="1" applyProtection="0">
      <alignment vertical="bottom"/>
    </xf>
    <xf numFmtId="49" fontId="10" fillId="7" borderId="16" applyNumberFormat="1" applyFont="1" applyFill="1" applyBorder="1" applyAlignment="1" applyProtection="0">
      <alignment vertical="bottom"/>
    </xf>
    <xf numFmtId="0" fontId="10" fillId="7" borderId="16" applyNumberFormat="0" applyFont="1" applyFill="1" applyBorder="1" applyAlignment="1" applyProtection="0">
      <alignment horizontal="center" vertical="bottom"/>
    </xf>
    <xf numFmtId="9" fontId="10" fillId="7" borderId="16" applyNumberFormat="1" applyFont="1" applyFill="1" applyBorder="1" applyAlignment="1" applyProtection="0">
      <alignment horizontal="center" vertical="bottom"/>
    </xf>
    <xf numFmtId="0" fontId="10" fillId="7" borderId="16" applyNumberFormat="1" applyFont="1" applyFill="1" applyBorder="1" applyAlignment="1" applyProtection="0">
      <alignment horizontal="center" vertical="bottom"/>
    </xf>
    <xf numFmtId="0" fontId="10" fillId="7" borderId="16" applyNumberFormat="1" applyFont="1" applyFill="1" applyBorder="1" applyAlignment="1" applyProtection="0">
      <alignment vertical="bottom"/>
    </xf>
    <xf numFmtId="64" fontId="10" fillId="7" borderId="17" applyNumberFormat="1" applyFont="1" applyFill="1" applyBorder="1" applyAlignment="1" applyProtection="0">
      <alignment vertical="bottom"/>
    </xf>
    <xf numFmtId="61" fontId="10" fillId="7" borderId="15" applyNumberFormat="1" applyFont="1" applyFill="1" applyBorder="1" applyAlignment="1" applyProtection="0">
      <alignment vertical="bottom"/>
    </xf>
    <xf numFmtId="61" fontId="10" fillId="7" borderId="16" applyNumberFormat="1" applyFont="1" applyFill="1" applyBorder="1" applyAlignment="1" applyProtection="0">
      <alignment vertical="bottom"/>
    </xf>
    <xf numFmtId="61" fontId="10" fillId="7" borderId="17" applyNumberFormat="1" applyFont="1" applyFill="1" applyBorder="1" applyAlignment="1" applyProtection="0">
      <alignment vertical="bottom"/>
    </xf>
    <xf numFmtId="0" fontId="10" fillId="7" borderId="16" applyNumberFormat="0" applyFont="1" applyFill="1" applyBorder="1" applyAlignment="1" applyProtection="0">
      <alignment vertical="bottom"/>
    </xf>
    <xf numFmtId="49" fontId="10" fillId="7" borderId="16" applyNumberFormat="1" applyFont="1" applyFill="1" applyBorder="1" applyAlignment="1" applyProtection="0">
      <alignment horizontal="center" vertical="bottom"/>
    </xf>
    <xf numFmtId="0" fontId="40" fillId="31" borderId="15" applyNumberFormat="1" applyFont="1" applyFill="1" applyBorder="1" applyAlignment="1" applyProtection="0">
      <alignment vertical="bottom"/>
    </xf>
    <xf numFmtId="49" fontId="10" fillId="31" borderId="16" applyNumberFormat="1" applyFont="1" applyFill="1" applyBorder="1" applyAlignment="1" applyProtection="0">
      <alignment vertical="bottom"/>
    </xf>
    <xf numFmtId="0" fontId="10" fillId="31" borderId="16" applyNumberFormat="0" applyFont="1" applyFill="1" applyBorder="1" applyAlignment="1" applyProtection="0">
      <alignment horizontal="center" vertical="bottom"/>
    </xf>
    <xf numFmtId="9" fontId="10" fillId="31" borderId="16" applyNumberFormat="1" applyFont="1" applyFill="1" applyBorder="1" applyAlignment="1" applyProtection="0">
      <alignment horizontal="center" vertical="bottom"/>
    </xf>
    <xf numFmtId="0" fontId="10" fillId="31" borderId="16" applyNumberFormat="1" applyFont="1" applyFill="1" applyBorder="1" applyAlignment="1" applyProtection="0">
      <alignment horizontal="center" vertical="bottom"/>
    </xf>
    <xf numFmtId="0" fontId="10" fillId="31" borderId="16" applyNumberFormat="1" applyFont="1" applyFill="1" applyBorder="1" applyAlignment="1" applyProtection="0">
      <alignment vertical="bottom"/>
    </xf>
    <xf numFmtId="64" fontId="10" fillId="31" borderId="17" applyNumberFormat="1" applyFont="1" applyFill="1" applyBorder="1" applyAlignment="1" applyProtection="0">
      <alignment vertical="bottom"/>
    </xf>
    <xf numFmtId="9" fontId="36" fillId="4" borderId="9" applyNumberFormat="1" applyFont="1" applyFill="1" applyBorder="1" applyAlignment="1" applyProtection="0">
      <alignment horizontal="left" vertical="bottom"/>
    </xf>
    <xf numFmtId="63" fontId="36" fillId="4" borderId="9" applyNumberFormat="1" applyFont="1" applyFill="1" applyBorder="1" applyAlignment="1" applyProtection="0">
      <alignment horizontal="left" vertical="bottom"/>
    </xf>
    <xf numFmtId="0" fontId="40" fillId="7" borderId="222" applyNumberFormat="1" applyFont="1" applyFill="1" applyBorder="1" applyAlignment="1" applyProtection="0">
      <alignment vertical="bottom"/>
    </xf>
    <xf numFmtId="0" fontId="10" fillId="7" borderId="223" applyNumberFormat="0" applyFont="1" applyFill="1" applyBorder="1" applyAlignment="1" applyProtection="0">
      <alignment vertical="bottom"/>
    </xf>
    <xf numFmtId="0" fontId="10" fillId="7" borderId="223" applyNumberFormat="0" applyFont="1" applyFill="1" applyBorder="1" applyAlignment="1" applyProtection="0">
      <alignment horizontal="center" vertical="bottom"/>
    </xf>
    <xf numFmtId="9" fontId="10" fillId="7" borderId="223" applyNumberFormat="1" applyFont="1" applyFill="1" applyBorder="1" applyAlignment="1" applyProtection="0">
      <alignment horizontal="center" vertical="bottom"/>
    </xf>
    <xf numFmtId="0" fontId="10" fillId="7" borderId="223" applyNumberFormat="1" applyFont="1" applyFill="1" applyBorder="1" applyAlignment="1" applyProtection="0">
      <alignment horizontal="center" vertical="bottom"/>
    </xf>
    <xf numFmtId="0" fontId="10" fillId="7" borderId="223" applyNumberFormat="1" applyFont="1" applyFill="1" applyBorder="1" applyAlignment="1" applyProtection="0">
      <alignment vertical="bottom"/>
    </xf>
    <xf numFmtId="64" fontId="10" fillId="7" borderId="224" applyNumberFormat="1" applyFont="1" applyFill="1" applyBorder="1" applyAlignment="1" applyProtection="0">
      <alignment vertical="bottom"/>
    </xf>
    <xf numFmtId="61" fontId="10" fillId="7" borderId="136" applyNumberFormat="1" applyFont="1" applyFill="1" applyBorder="1" applyAlignment="1" applyProtection="0">
      <alignment vertical="bottom"/>
    </xf>
    <xf numFmtId="61" fontId="10" fillId="7" borderId="137" applyNumberFormat="1" applyFont="1" applyFill="1" applyBorder="1" applyAlignment="1" applyProtection="0">
      <alignment vertical="bottom"/>
    </xf>
    <xf numFmtId="61" fontId="10" fillId="7" borderId="141" applyNumberFormat="1" applyFont="1" applyFill="1" applyBorder="1" applyAlignment="1" applyProtection="0">
      <alignment vertical="bottom"/>
    </xf>
    <xf numFmtId="0" fontId="40" fillId="7" borderId="225" applyNumberFormat="0" applyFont="1" applyFill="1" applyBorder="1" applyAlignment="1" applyProtection="0">
      <alignment vertical="bottom"/>
    </xf>
    <xf numFmtId="0" fontId="10" fillId="7" borderId="226" applyNumberFormat="0" applyFont="1" applyFill="1" applyBorder="1" applyAlignment="1" applyProtection="0">
      <alignment vertical="bottom"/>
    </xf>
    <xf numFmtId="0" fontId="10" fillId="7" borderId="226" applyNumberFormat="0" applyFont="1" applyFill="1" applyBorder="1" applyAlignment="1" applyProtection="0">
      <alignment horizontal="center" vertical="bottom"/>
    </xf>
    <xf numFmtId="49" fontId="9" fillId="7" borderId="226" applyNumberFormat="1" applyFont="1" applyFill="1" applyBorder="1" applyAlignment="1" applyProtection="0">
      <alignment horizontal="right" vertical="bottom"/>
    </xf>
    <xf numFmtId="64" fontId="10" fillId="7" borderId="227" applyNumberFormat="1" applyFont="1" applyFill="1" applyBorder="1" applyAlignment="1" applyProtection="0">
      <alignment vertical="bottom"/>
    </xf>
    <xf numFmtId="64" fontId="9" fillId="7" borderId="213" applyNumberFormat="1" applyFont="1" applyFill="1" applyBorder="1" applyAlignment="1" applyProtection="0">
      <alignment vertical="bottom"/>
    </xf>
    <xf numFmtId="64" fontId="9" fillId="7" borderId="214" applyNumberFormat="1" applyFont="1" applyFill="1" applyBorder="1" applyAlignment="1" applyProtection="0">
      <alignment vertical="bottom"/>
    </xf>
    <xf numFmtId="64" fontId="9" fillId="7" borderId="215" applyNumberFormat="1" applyFont="1" applyFill="1" applyBorder="1" applyAlignment="1" applyProtection="0">
      <alignment vertical="bottom"/>
    </xf>
    <xf numFmtId="0" fontId="0" fillId="4" borderId="228" applyNumberFormat="0" applyFont="1" applyFill="1" applyBorder="1" applyAlignment="1" applyProtection="0">
      <alignment vertical="bottom"/>
    </xf>
    <xf numFmtId="64" fontId="0" fillId="4" borderId="228" applyNumberFormat="1" applyFont="1" applyFill="1" applyBorder="1" applyAlignment="1" applyProtection="0">
      <alignment vertical="bottom"/>
    </xf>
    <xf numFmtId="0" fontId="0" fillId="4" applyNumberFormat="1" applyFont="1" applyFill="1" applyBorder="0" applyAlignment="1" applyProtection="0">
      <alignment vertical="bottom"/>
    </xf>
    <xf numFmtId="0" fontId="10" fillId="32" borderId="197" applyNumberFormat="0" applyFont="1" applyFill="1" applyBorder="1" applyAlignment="1" applyProtection="0">
      <alignment vertical="bottom"/>
    </xf>
    <xf numFmtId="49" fontId="9" fillId="32" borderId="198" applyNumberFormat="1" applyFont="1" applyFill="1" applyBorder="1" applyAlignment="1" applyProtection="0">
      <alignment horizontal="center" vertical="bottom"/>
    </xf>
    <xf numFmtId="49" fontId="9" fillId="32" borderId="198" applyNumberFormat="1" applyFont="1" applyFill="1" applyBorder="1" applyAlignment="1" applyProtection="0">
      <alignment horizontal="center" vertical="bottom" wrapText="1"/>
    </xf>
    <xf numFmtId="49" fontId="9" fillId="32" borderId="199" applyNumberFormat="1" applyFont="1" applyFill="1" applyBorder="1" applyAlignment="1" applyProtection="0">
      <alignment horizontal="center" vertical="bottom"/>
    </xf>
    <xf numFmtId="49" fontId="9" fillId="32" borderId="200" applyNumberFormat="1" applyFont="1" applyFill="1" applyBorder="1" applyAlignment="1" applyProtection="0">
      <alignment horizontal="center" vertical="bottom"/>
    </xf>
    <xf numFmtId="0" fontId="37" fillId="32" borderId="201" applyNumberFormat="1" applyFont="1" applyFill="1" applyBorder="1" applyAlignment="1" applyProtection="0">
      <alignment vertical="bottom"/>
    </xf>
    <xf numFmtId="49" fontId="10" fillId="32" borderId="202" applyNumberFormat="1" applyFont="1" applyFill="1" applyBorder="1" applyAlignment="1" applyProtection="0">
      <alignment vertical="bottom"/>
    </xf>
    <xf numFmtId="49" fontId="10" fillId="32" borderId="202" applyNumberFormat="1" applyFont="1" applyFill="1" applyBorder="1" applyAlignment="1" applyProtection="0">
      <alignment horizontal="center" vertical="bottom"/>
    </xf>
    <xf numFmtId="9" fontId="10" fillId="32" borderId="202" applyNumberFormat="1" applyFont="1" applyFill="1" applyBorder="1" applyAlignment="1" applyProtection="0">
      <alignment horizontal="center" vertical="bottom"/>
    </xf>
    <xf numFmtId="0" fontId="10" fillId="32" borderId="202" applyNumberFormat="1" applyFont="1" applyFill="1" applyBorder="1" applyAlignment="1" applyProtection="0">
      <alignment horizontal="center" vertical="bottom"/>
    </xf>
    <xf numFmtId="49" fontId="10" fillId="32" borderId="203" applyNumberFormat="1" applyFont="1" applyFill="1" applyBorder="1" applyAlignment="1" applyProtection="0">
      <alignment vertical="bottom"/>
    </xf>
    <xf numFmtId="0" fontId="10" fillId="32" borderId="204" applyNumberFormat="0" applyFont="1" applyFill="1" applyBorder="1" applyAlignment="1" applyProtection="0">
      <alignment vertical="bottom"/>
    </xf>
    <xf numFmtId="0" fontId="37" fillId="32" borderId="205" applyNumberFormat="1" applyFont="1" applyFill="1" applyBorder="1" applyAlignment="1" applyProtection="0">
      <alignment vertical="bottom"/>
    </xf>
    <xf numFmtId="49" fontId="10" fillId="32" borderId="206" applyNumberFormat="1" applyFont="1" applyFill="1" applyBorder="1" applyAlignment="1" applyProtection="0">
      <alignment vertical="bottom"/>
    </xf>
    <xf numFmtId="49" fontId="10" fillId="32" borderId="206" applyNumberFormat="1" applyFont="1" applyFill="1" applyBorder="1" applyAlignment="1" applyProtection="0">
      <alignment horizontal="center" vertical="bottom"/>
    </xf>
    <xf numFmtId="9" fontId="10" fillId="32" borderId="206" applyNumberFormat="1" applyFont="1" applyFill="1" applyBorder="1" applyAlignment="1" applyProtection="0">
      <alignment horizontal="center" vertical="bottom"/>
    </xf>
    <xf numFmtId="0" fontId="10" fillId="32" borderId="206" applyNumberFormat="1" applyFont="1" applyFill="1" applyBorder="1" applyAlignment="1" applyProtection="0">
      <alignment horizontal="center" vertical="bottom"/>
    </xf>
    <xf numFmtId="49" fontId="10" fillId="32" borderId="207" applyNumberFormat="1" applyFont="1" applyFill="1" applyBorder="1" applyAlignment="1" applyProtection="0">
      <alignment vertical="bottom"/>
    </xf>
    <xf numFmtId="0" fontId="10" fillId="32" borderId="208" applyNumberFormat="0" applyFont="1" applyFill="1" applyBorder="1" applyAlignment="1" applyProtection="0">
      <alignment vertical="bottom"/>
    </xf>
    <xf numFmtId="49" fontId="10" fillId="32" borderId="208" applyNumberFormat="1" applyFont="1" applyFill="1" applyBorder="1" applyAlignment="1" applyProtection="0">
      <alignment vertical="bottom"/>
    </xf>
    <xf numFmtId="61" fontId="10" fillId="32" borderId="206" applyNumberFormat="1" applyFont="1" applyFill="1" applyBorder="1" applyAlignment="1" applyProtection="0">
      <alignment horizontal="center" vertical="bottom"/>
    </xf>
    <xf numFmtId="61" fontId="10" fillId="32" borderId="208" applyNumberFormat="1" applyFont="1" applyFill="1" applyBorder="1" applyAlignment="1" applyProtection="0">
      <alignment vertical="bottom"/>
    </xf>
    <xf numFmtId="0" fontId="37" fillId="32" borderId="209" applyNumberFormat="1" applyFont="1" applyFill="1" applyBorder="1" applyAlignment="1" applyProtection="0">
      <alignment vertical="bottom"/>
    </xf>
    <xf numFmtId="49" fontId="10" fillId="32" borderId="210" applyNumberFormat="1" applyFont="1" applyFill="1" applyBorder="1" applyAlignment="1" applyProtection="0">
      <alignment vertical="bottom"/>
    </xf>
    <xf numFmtId="49" fontId="10" fillId="32" borderId="210" applyNumberFormat="1" applyFont="1" applyFill="1" applyBorder="1" applyAlignment="1" applyProtection="0">
      <alignment horizontal="center" vertical="bottom"/>
    </xf>
    <xf numFmtId="9" fontId="10" fillId="32" borderId="210" applyNumberFormat="1" applyFont="1" applyFill="1" applyBorder="1" applyAlignment="1" applyProtection="0">
      <alignment horizontal="center" vertical="bottom"/>
    </xf>
    <xf numFmtId="0" fontId="10" fillId="32" borderId="210" applyNumberFormat="1" applyFont="1" applyFill="1" applyBorder="1" applyAlignment="1" applyProtection="0">
      <alignment horizontal="center" vertical="bottom"/>
    </xf>
    <xf numFmtId="61" fontId="10" fillId="32" borderId="210" applyNumberFormat="1" applyFont="1" applyFill="1" applyBorder="1" applyAlignment="1" applyProtection="0">
      <alignment horizontal="center" vertical="bottom"/>
    </xf>
    <xf numFmtId="49" fontId="10" fillId="32" borderId="211" applyNumberFormat="1" applyFont="1" applyFill="1" applyBorder="1" applyAlignment="1" applyProtection="0">
      <alignment vertical="bottom"/>
    </xf>
    <xf numFmtId="0" fontId="10" fillId="32" borderId="212" applyNumberFormat="0" applyFont="1" applyFill="1" applyBorder="1" applyAlignment="1" applyProtection="0">
      <alignment vertical="bottom"/>
    </xf>
    <xf numFmtId="0" fontId="0" fillId="4" applyNumberFormat="1" applyFont="1" applyFill="1" applyBorder="0" applyAlignment="1" applyProtection="0">
      <alignment vertical="bottom"/>
    </xf>
    <xf numFmtId="0" fontId="0" fillId="4" borderId="229" applyNumberFormat="0" applyFont="1" applyFill="1" applyBorder="1" applyAlignment="1" applyProtection="0">
      <alignment vertical="bottom"/>
    </xf>
    <xf numFmtId="0" fontId="0" fillId="4" borderId="230" applyNumberFormat="0" applyFont="1" applyFill="1" applyBorder="1" applyAlignment="1" applyProtection="0">
      <alignment vertical="bottom"/>
    </xf>
    <xf numFmtId="0" fontId="0" fillId="4" borderId="231" applyNumberFormat="0" applyFont="1" applyFill="1" applyBorder="1" applyAlignment="1" applyProtection="0">
      <alignment vertical="bottom"/>
    </xf>
    <xf numFmtId="0" fontId="9" fillId="5" borderId="6" applyNumberFormat="0" applyFont="1" applyFill="1" applyBorder="1" applyAlignment="1" applyProtection="0">
      <alignment vertical="bottom" wrapText="1"/>
    </xf>
    <xf numFmtId="49" fontId="9" fillId="5" borderId="25" applyNumberFormat="1" applyFont="1" applyFill="1" applyBorder="1" applyAlignment="1" applyProtection="0">
      <alignment vertical="bottom" wrapText="1"/>
    </xf>
    <xf numFmtId="49" fontId="9" fillId="5" borderId="7" applyNumberFormat="1" applyFont="1" applyFill="1" applyBorder="1" applyAlignment="1" applyProtection="0">
      <alignment horizontal="center" vertical="bottom" wrapText="1"/>
    </xf>
    <xf numFmtId="49" fontId="9" fillId="5" borderId="8" applyNumberFormat="1" applyFont="1" applyFill="1" applyBorder="1" applyAlignment="1" applyProtection="0">
      <alignment horizontal="center" vertical="bottom" wrapText="1"/>
    </xf>
    <xf numFmtId="49" fontId="9" fillId="5" borderId="6" applyNumberFormat="1" applyFont="1" applyFill="1" applyBorder="1" applyAlignment="1" applyProtection="0">
      <alignment horizontal="center" vertical="bottom" wrapText="1"/>
    </xf>
    <xf numFmtId="0" fontId="40" fillId="5" borderId="12" applyNumberFormat="1" applyFont="1" applyFill="1" applyBorder="1" applyAlignment="1" applyProtection="0">
      <alignment vertical="bottom"/>
    </xf>
    <xf numFmtId="49" fontId="10" fillId="5" borderId="16" applyNumberFormat="1" applyFont="1" applyFill="1" applyBorder="1" applyAlignment="1" applyProtection="0">
      <alignment vertical="bottom"/>
    </xf>
    <xf numFmtId="49" fontId="10" fillId="5" borderId="13" applyNumberFormat="1" applyFont="1" applyFill="1" applyBorder="1" applyAlignment="1" applyProtection="0">
      <alignment horizontal="center" vertical="bottom"/>
    </xf>
    <xf numFmtId="9" fontId="10" fillId="5" borderId="13" applyNumberFormat="1" applyFont="1" applyFill="1" applyBorder="1" applyAlignment="1" applyProtection="0">
      <alignment horizontal="center" vertical="bottom"/>
    </xf>
    <xf numFmtId="0" fontId="10" fillId="5" borderId="13" applyNumberFormat="1" applyFont="1" applyFill="1" applyBorder="1" applyAlignment="1" applyProtection="0">
      <alignment horizontal="center" vertical="bottom"/>
    </xf>
    <xf numFmtId="0" fontId="10" fillId="5" borderId="13" applyNumberFormat="1" applyFont="1" applyFill="1" applyBorder="1" applyAlignment="1" applyProtection="0">
      <alignment vertical="bottom"/>
    </xf>
    <xf numFmtId="64" fontId="10" fillId="5" borderId="13" applyNumberFormat="1" applyFont="1" applyFill="1" applyBorder="1" applyAlignment="1" applyProtection="0">
      <alignment vertical="bottom"/>
    </xf>
    <xf numFmtId="64" fontId="10" fillId="5" borderId="14" applyNumberFormat="1" applyFont="1" applyFill="1" applyBorder="1" applyAlignment="1" applyProtection="0">
      <alignment vertical="bottom"/>
    </xf>
    <xf numFmtId="61" fontId="10" fillId="5" borderId="12" applyNumberFormat="1" applyFont="1" applyFill="1" applyBorder="1" applyAlignment="1" applyProtection="0">
      <alignment vertical="bottom"/>
    </xf>
    <xf numFmtId="61" fontId="10" fillId="5" borderId="13" applyNumberFormat="1" applyFont="1" applyFill="1" applyBorder="1" applyAlignment="1" applyProtection="0">
      <alignment vertical="bottom"/>
    </xf>
    <xf numFmtId="61" fontId="10" fillId="5" borderId="14" applyNumberFormat="1" applyFont="1" applyFill="1" applyBorder="1" applyAlignment="1" applyProtection="0">
      <alignment vertical="bottom"/>
    </xf>
    <xf numFmtId="9" fontId="28" fillId="4" borderId="150" applyNumberFormat="1" applyFont="1" applyFill="1" applyBorder="1" applyAlignment="1" applyProtection="0">
      <alignment vertical="bottom" wrapText="1"/>
    </xf>
    <xf numFmtId="0" fontId="40" fillId="5" borderId="15" applyNumberFormat="1" applyFont="1" applyFill="1" applyBorder="1" applyAlignment="1" applyProtection="0">
      <alignment vertical="bottom"/>
    </xf>
    <xf numFmtId="0" fontId="10" fillId="5" borderId="16" applyNumberFormat="0" applyFont="1" applyFill="1" applyBorder="1" applyAlignment="1" applyProtection="0">
      <alignment vertical="bottom"/>
    </xf>
    <xf numFmtId="0" fontId="10" fillId="5" borderId="16" applyNumberFormat="0" applyFont="1" applyFill="1" applyBorder="1" applyAlignment="1" applyProtection="0">
      <alignment horizontal="center" vertical="bottom"/>
    </xf>
    <xf numFmtId="9" fontId="10" fillId="5" borderId="16" applyNumberFormat="1" applyFont="1" applyFill="1" applyBorder="1" applyAlignment="1" applyProtection="0">
      <alignment horizontal="center" vertical="bottom"/>
    </xf>
    <xf numFmtId="0" fontId="10" fillId="5" borderId="16" applyNumberFormat="1" applyFont="1" applyFill="1" applyBorder="1" applyAlignment="1" applyProtection="0">
      <alignment horizontal="center" vertical="bottom"/>
    </xf>
    <xf numFmtId="0" fontId="10" fillId="5" borderId="16" applyNumberFormat="1" applyFont="1" applyFill="1" applyBorder="1" applyAlignment="1" applyProtection="0">
      <alignment vertical="bottom"/>
    </xf>
    <xf numFmtId="64" fontId="10" fillId="5" borderId="16" applyNumberFormat="1" applyFont="1" applyFill="1" applyBorder="1" applyAlignment="1" applyProtection="0">
      <alignment vertical="bottom"/>
    </xf>
    <xf numFmtId="64" fontId="10" fillId="5" borderId="17" applyNumberFormat="1" applyFont="1" applyFill="1" applyBorder="1" applyAlignment="1" applyProtection="0">
      <alignment vertical="bottom"/>
    </xf>
    <xf numFmtId="61" fontId="10" fillId="5" borderId="15" applyNumberFormat="1" applyFont="1" applyFill="1" applyBorder="1" applyAlignment="1" applyProtection="0">
      <alignment vertical="bottom"/>
    </xf>
    <xf numFmtId="61" fontId="10" fillId="5" borderId="16" applyNumberFormat="1" applyFont="1" applyFill="1" applyBorder="1" applyAlignment="1" applyProtection="0">
      <alignment vertical="bottom"/>
    </xf>
    <xf numFmtId="61" fontId="10" fillId="5" borderId="17" applyNumberFormat="1" applyFont="1" applyFill="1" applyBorder="1" applyAlignment="1" applyProtection="0">
      <alignment vertical="bottom"/>
    </xf>
    <xf numFmtId="49" fontId="10" fillId="5" borderId="16" applyNumberFormat="1" applyFont="1" applyFill="1" applyBorder="1" applyAlignment="1" applyProtection="0">
      <alignment horizontal="center" vertical="bottom"/>
    </xf>
    <xf numFmtId="0" fontId="40" fillId="5" borderId="136" applyNumberFormat="1" applyFont="1" applyFill="1" applyBorder="1" applyAlignment="1" applyProtection="0">
      <alignment vertical="bottom"/>
    </xf>
    <xf numFmtId="49" fontId="10" fillId="5" borderId="137" applyNumberFormat="1" applyFont="1" applyFill="1" applyBorder="1" applyAlignment="1" applyProtection="0">
      <alignment vertical="bottom"/>
    </xf>
    <xf numFmtId="49" fontId="10" fillId="5" borderId="137" applyNumberFormat="1" applyFont="1" applyFill="1" applyBorder="1" applyAlignment="1" applyProtection="0">
      <alignment horizontal="center" vertical="bottom"/>
    </xf>
    <xf numFmtId="9" fontId="10" fillId="5" borderId="137" applyNumberFormat="1" applyFont="1" applyFill="1" applyBorder="1" applyAlignment="1" applyProtection="0">
      <alignment horizontal="center" vertical="bottom"/>
    </xf>
    <xf numFmtId="0" fontId="10" fillId="5" borderId="137" applyNumberFormat="1" applyFont="1" applyFill="1" applyBorder="1" applyAlignment="1" applyProtection="0">
      <alignment horizontal="center" vertical="bottom"/>
    </xf>
    <xf numFmtId="0" fontId="10" fillId="5" borderId="137" applyNumberFormat="1" applyFont="1" applyFill="1" applyBorder="1" applyAlignment="1" applyProtection="0">
      <alignment vertical="bottom"/>
    </xf>
    <xf numFmtId="64" fontId="10" fillId="5" borderId="137" applyNumberFormat="1" applyFont="1" applyFill="1" applyBorder="1" applyAlignment="1" applyProtection="0">
      <alignment vertical="bottom"/>
    </xf>
    <xf numFmtId="64" fontId="10" fillId="5" borderId="141" applyNumberFormat="1" applyFont="1" applyFill="1" applyBorder="1" applyAlignment="1" applyProtection="0">
      <alignment vertical="bottom"/>
    </xf>
    <xf numFmtId="61" fontId="10" fillId="5" borderId="136" applyNumberFormat="1" applyFont="1" applyFill="1" applyBorder="1" applyAlignment="1" applyProtection="0">
      <alignment vertical="bottom"/>
    </xf>
    <xf numFmtId="61" fontId="10" fillId="5" borderId="137" applyNumberFormat="1" applyFont="1" applyFill="1" applyBorder="1" applyAlignment="1" applyProtection="0">
      <alignment vertical="bottom"/>
    </xf>
    <xf numFmtId="61" fontId="10" fillId="5" borderId="141" applyNumberFormat="1" applyFont="1" applyFill="1" applyBorder="1" applyAlignment="1" applyProtection="0">
      <alignment vertical="bottom"/>
    </xf>
    <xf numFmtId="0" fontId="40" fillId="5" borderId="213" applyNumberFormat="0" applyFont="1" applyFill="1" applyBorder="1" applyAlignment="1" applyProtection="0">
      <alignment vertical="bottom"/>
    </xf>
    <xf numFmtId="0" fontId="10" fillId="5" borderId="214" applyNumberFormat="0" applyFont="1" applyFill="1" applyBorder="1" applyAlignment="1" applyProtection="0">
      <alignment vertical="bottom"/>
    </xf>
    <xf numFmtId="0" fontId="10" fillId="5" borderId="214" applyNumberFormat="0" applyFont="1" applyFill="1" applyBorder="1" applyAlignment="1" applyProtection="0">
      <alignment horizontal="center" vertical="bottom"/>
    </xf>
    <xf numFmtId="9" fontId="10" fillId="5" borderId="214" applyNumberFormat="1" applyFont="1" applyFill="1" applyBorder="1" applyAlignment="1" applyProtection="0">
      <alignment horizontal="center" vertical="bottom"/>
    </xf>
    <xf numFmtId="49" fontId="9" fillId="5" borderId="214" applyNumberFormat="1" applyFont="1" applyFill="1" applyBorder="1" applyAlignment="1" applyProtection="0">
      <alignment horizontal="right" vertical="bottom"/>
    </xf>
    <xf numFmtId="0" fontId="9" fillId="5" borderId="214" applyNumberFormat="1" applyFont="1" applyFill="1" applyBorder="1" applyAlignment="1" applyProtection="0">
      <alignment horizontal="center" vertical="bottom"/>
    </xf>
    <xf numFmtId="64" fontId="9" fillId="5" borderId="214" applyNumberFormat="1" applyFont="1" applyFill="1" applyBorder="1" applyAlignment="1" applyProtection="0">
      <alignment vertical="bottom"/>
    </xf>
    <xf numFmtId="64" fontId="9" fillId="5" borderId="215" applyNumberFormat="1" applyFont="1" applyFill="1" applyBorder="1" applyAlignment="1" applyProtection="0">
      <alignment vertical="bottom"/>
    </xf>
    <xf numFmtId="64" fontId="9" fillId="5" borderId="213" applyNumberFormat="1" applyFont="1" applyFill="1" applyBorder="1" applyAlignment="1" applyProtection="0">
      <alignment vertical="bottom"/>
    </xf>
    <xf numFmtId="9" fontId="10" fillId="5" borderId="215" applyNumberFormat="1" applyFont="1" applyFill="1" applyBorder="1" applyAlignment="1" applyProtection="0">
      <alignment horizontal="center" vertical="bottom"/>
    </xf>
    <xf numFmtId="0" fontId="28" fillId="4" borderId="150" applyNumberFormat="0" applyFont="1" applyFill="1" applyBorder="1" applyAlignment="1" applyProtection="0">
      <alignment vertical="bottom" wrapText="1"/>
    </xf>
    <xf numFmtId="0" fontId="28" fillId="4" borderId="11" applyNumberFormat="0" applyFont="1" applyFill="1" applyBorder="1" applyAlignment="1" applyProtection="0">
      <alignment vertical="bottom" wrapText="1"/>
    </xf>
    <xf numFmtId="49" fontId="10" fillId="5" borderId="216" applyNumberFormat="1" applyFont="1" applyFill="1" applyBorder="1" applyAlignment="1" applyProtection="0">
      <alignment horizontal="left" vertical="bottom" wrapText="1"/>
    </xf>
    <xf numFmtId="0" fontId="10" fillId="5" borderId="217" applyNumberFormat="0" applyFont="1" applyFill="1" applyBorder="1" applyAlignment="1" applyProtection="0">
      <alignment horizontal="left" vertical="bottom" wrapText="1"/>
    </xf>
    <xf numFmtId="61" fontId="10" fillId="5" borderId="218" applyNumberFormat="1" applyFont="1" applyFill="1" applyBorder="1" applyAlignment="1" applyProtection="0">
      <alignment vertical="bottom"/>
    </xf>
    <xf numFmtId="49" fontId="9" fillId="5" borderId="219" applyNumberFormat="1" applyFont="1" applyFill="1" applyBorder="1" applyAlignment="1" applyProtection="0">
      <alignment horizontal="left" vertical="bottom" wrapText="1"/>
    </xf>
    <xf numFmtId="0" fontId="9" fillId="5" borderId="220" applyNumberFormat="0" applyFont="1" applyFill="1" applyBorder="1" applyAlignment="1" applyProtection="0">
      <alignment horizontal="left" vertical="bottom" wrapText="1"/>
    </xf>
    <xf numFmtId="61" fontId="9" fillId="5" borderId="221" applyNumberFormat="1" applyFont="1" applyFill="1" applyBorder="1" applyAlignment="1" applyProtection="0">
      <alignment vertical="bottom"/>
    </xf>
    <xf numFmtId="49" fontId="9" fillId="5" borderId="18" applyNumberFormat="1" applyFont="1" applyFill="1" applyBorder="1" applyAlignment="1" applyProtection="0">
      <alignment horizontal="left" vertical="bottom" wrapText="1"/>
    </xf>
    <xf numFmtId="0" fontId="9" fillId="5" borderId="19" applyNumberFormat="0" applyFont="1" applyFill="1" applyBorder="1" applyAlignment="1" applyProtection="0">
      <alignment horizontal="left" vertical="bottom" wrapText="1"/>
    </xf>
    <xf numFmtId="61" fontId="9" fillId="5" borderId="20" applyNumberFormat="1" applyFont="1" applyFill="1" applyBorder="1" applyAlignment="1" applyProtection="0">
      <alignment vertical="bottom"/>
    </xf>
    <xf numFmtId="49" fontId="10" fillId="33" borderId="216" applyNumberFormat="1" applyFont="1" applyFill="1" applyBorder="1" applyAlignment="1" applyProtection="0">
      <alignment horizontal="left" vertical="bottom" wrapText="1"/>
    </xf>
    <xf numFmtId="0" fontId="10" fillId="33" borderId="217" applyNumberFormat="0" applyFont="1" applyFill="1" applyBorder="1" applyAlignment="1" applyProtection="0">
      <alignment horizontal="left" vertical="bottom" wrapText="1"/>
    </xf>
    <xf numFmtId="61" fontId="10" fillId="33" borderId="218" applyNumberFormat="1" applyFont="1" applyFill="1" applyBorder="1" applyAlignment="1" applyProtection="0">
      <alignment vertical="bottom"/>
    </xf>
    <xf numFmtId="49" fontId="9" fillId="33" borderId="219" applyNumberFormat="1" applyFont="1" applyFill="1" applyBorder="1" applyAlignment="1" applyProtection="0">
      <alignment horizontal="left" vertical="bottom" wrapText="1"/>
    </xf>
    <xf numFmtId="0" fontId="9" fillId="33" borderId="220" applyNumberFormat="0" applyFont="1" applyFill="1" applyBorder="1" applyAlignment="1" applyProtection="0">
      <alignment horizontal="left" vertical="bottom" wrapText="1"/>
    </xf>
    <xf numFmtId="61" fontId="9" fillId="33" borderId="221" applyNumberFormat="1" applyFont="1" applyFill="1" applyBorder="1" applyAlignment="1" applyProtection="0">
      <alignment vertical="bottom"/>
    </xf>
    <xf numFmtId="49" fontId="9" fillId="33" borderId="18" applyNumberFormat="1" applyFont="1" applyFill="1" applyBorder="1" applyAlignment="1" applyProtection="0">
      <alignment horizontal="left" vertical="bottom" wrapText="1"/>
    </xf>
    <xf numFmtId="0" fontId="9" fillId="33" borderId="19" applyNumberFormat="0" applyFont="1" applyFill="1" applyBorder="1" applyAlignment="1" applyProtection="0">
      <alignment horizontal="left" vertical="bottom" wrapText="1"/>
    </xf>
    <xf numFmtId="49" fontId="10" fillId="33" borderId="20" applyNumberFormat="1" applyFont="1" applyFill="1" applyBorder="1" applyAlignment="1" applyProtection="0">
      <alignment horizontal="center" vertical="bottom"/>
    </xf>
    <xf numFmtId="0" fontId="9" fillId="33" borderId="6" applyNumberFormat="0" applyFont="1" applyFill="1" applyBorder="1" applyAlignment="1" applyProtection="0">
      <alignment vertical="bottom" wrapText="1"/>
    </xf>
    <xf numFmtId="49" fontId="9" fillId="33" borderId="7" applyNumberFormat="1" applyFont="1" applyFill="1" applyBorder="1" applyAlignment="1" applyProtection="0">
      <alignment vertical="bottom" wrapText="1"/>
    </xf>
    <xf numFmtId="49" fontId="9" fillId="33" borderId="7" applyNumberFormat="1" applyFont="1" applyFill="1" applyBorder="1" applyAlignment="1" applyProtection="0">
      <alignment horizontal="center" vertical="bottom" wrapText="1"/>
    </xf>
    <xf numFmtId="49" fontId="9" fillId="33" borderId="8" applyNumberFormat="1" applyFont="1" applyFill="1" applyBorder="1" applyAlignment="1" applyProtection="0">
      <alignment horizontal="center" vertical="bottom" wrapText="1"/>
    </xf>
    <xf numFmtId="49" fontId="9" fillId="33" borderId="6" applyNumberFormat="1" applyFont="1" applyFill="1" applyBorder="1" applyAlignment="1" applyProtection="0">
      <alignment horizontal="center" vertical="bottom" wrapText="1"/>
    </xf>
    <xf numFmtId="0" fontId="40" fillId="33" borderId="12" applyNumberFormat="1" applyFont="1" applyFill="1" applyBorder="1" applyAlignment="1" applyProtection="0">
      <alignment vertical="bottom"/>
    </xf>
    <xf numFmtId="0" fontId="10" fillId="33" borderId="13" applyNumberFormat="0" applyFont="1" applyFill="1" applyBorder="1" applyAlignment="1" applyProtection="0">
      <alignment vertical="bottom"/>
    </xf>
    <xf numFmtId="0" fontId="10" fillId="33" borderId="13" applyNumberFormat="0" applyFont="1" applyFill="1" applyBorder="1" applyAlignment="1" applyProtection="0">
      <alignment horizontal="center" vertical="bottom"/>
    </xf>
    <xf numFmtId="9" fontId="10" fillId="33" borderId="13" applyNumberFormat="1" applyFont="1" applyFill="1" applyBorder="1" applyAlignment="1" applyProtection="0">
      <alignment horizontal="center" vertical="bottom"/>
    </xf>
    <xf numFmtId="0" fontId="10" fillId="33" borderId="13" applyNumberFormat="1" applyFont="1" applyFill="1" applyBorder="1" applyAlignment="1" applyProtection="0">
      <alignment horizontal="center" vertical="bottom"/>
    </xf>
    <xf numFmtId="0" fontId="10" fillId="33" borderId="13" applyNumberFormat="1" applyFont="1" applyFill="1" applyBorder="1" applyAlignment="1" applyProtection="0">
      <alignment vertical="bottom"/>
    </xf>
    <xf numFmtId="64" fontId="10" fillId="33" borderId="14" applyNumberFormat="1" applyFont="1" applyFill="1" applyBorder="1" applyAlignment="1" applyProtection="0">
      <alignment vertical="bottom"/>
    </xf>
    <xf numFmtId="61" fontId="10" fillId="33" borderId="12" applyNumberFormat="1" applyFont="1" applyFill="1" applyBorder="1" applyAlignment="1" applyProtection="0">
      <alignment vertical="bottom"/>
    </xf>
    <xf numFmtId="61" fontId="10" fillId="33" borderId="13" applyNumberFormat="1" applyFont="1" applyFill="1" applyBorder="1" applyAlignment="1" applyProtection="0">
      <alignment vertical="bottom"/>
    </xf>
    <xf numFmtId="61" fontId="10" fillId="33" borderId="14" applyNumberFormat="1" applyFont="1" applyFill="1" applyBorder="1" applyAlignment="1" applyProtection="0">
      <alignment vertical="bottom"/>
    </xf>
    <xf numFmtId="0" fontId="40" fillId="33" borderId="15" applyNumberFormat="1" applyFont="1" applyFill="1" applyBorder="1" applyAlignment="1" applyProtection="0">
      <alignment vertical="bottom"/>
    </xf>
    <xf numFmtId="0" fontId="10" fillId="33" borderId="16" applyNumberFormat="0" applyFont="1" applyFill="1" applyBorder="1" applyAlignment="1" applyProtection="0">
      <alignment vertical="bottom"/>
    </xf>
    <xf numFmtId="0" fontId="10" fillId="33" borderId="16" applyNumberFormat="0" applyFont="1" applyFill="1" applyBorder="1" applyAlignment="1" applyProtection="0">
      <alignment horizontal="center" vertical="bottom"/>
    </xf>
    <xf numFmtId="9" fontId="10" fillId="33" borderId="16" applyNumberFormat="1" applyFont="1" applyFill="1" applyBorder="1" applyAlignment="1" applyProtection="0">
      <alignment horizontal="center" vertical="bottom"/>
    </xf>
    <xf numFmtId="0" fontId="10" fillId="33" borderId="16" applyNumberFormat="1" applyFont="1" applyFill="1" applyBorder="1" applyAlignment="1" applyProtection="0">
      <alignment horizontal="center" vertical="bottom"/>
    </xf>
    <xf numFmtId="0" fontId="10" fillId="33" borderId="16" applyNumberFormat="1" applyFont="1" applyFill="1" applyBorder="1" applyAlignment="1" applyProtection="0">
      <alignment vertical="bottom"/>
    </xf>
    <xf numFmtId="64" fontId="10" fillId="33" borderId="17" applyNumberFormat="1" applyFont="1" applyFill="1" applyBorder="1" applyAlignment="1" applyProtection="0">
      <alignment vertical="bottom"/>
    </xf>
    <xf numFmtId="61" fontId="10" fillId="33" borderId="15" applyNumberFormat="1" applyFont="1" applyFill="1" applyBorder="1" applyAlignment="1" applyProtection="0">
      <alignment vertical="bottom"/>
    </xf>
    <xf numFmtId="61" fontId="10" fillId="33" borderId="16" applyNumberFormat="1" applyFont="1" applyFill="1" applyBorder="1" applyAlignment="1" applyProtection="0">
      <alignment vertical="bottom"/>
    </xf>
    <xf numFmtId="61" fontId="10" fillId="33" borderId="17" applyNumberFormat="1" applyFont="1" applyFill="1" applyBorder="1" applyAlignment="1" applyProtection="0">
      <alignment vertical="bottom"/>
    </xf>
    <xf numFmtId="49" fontId="10" fillId="33" borderId="16" applyNumberFormat="1" applyFont="1" applyFill="1" applyBorder="1" applyAlignment="1" applyProtection="0">
      <alignment vertical="bottom"/>
    </xf>
    <xf numFmtId="49" fontId="10" fillId="33" borderId="16" applyNumberFormat="1" applyFont="1" applyFill="1" applyBorder="1" applyAlignment="1" applyProtection="0">
      <alignment horizontal="center" vertical="bottom"/>
    </xf>
    <xf numFmtId="0" fontId="40" fillId="33" borderId="222" applyNumberFormat="1" applyFont="1" applyFill="1" applyBorder="1" applyAlignment="1" applyProtection="0">
      <alignment vertical="bottom"/>
    </xf>
    <xf numFmtId="0" fontId="10" fillId="33" borderId="223" applyNumberFormat="0" applyFont="1" applyFill="1" applyBorder="1" applyAlignment="1" applyProtection="0">
      <alignment vertical="bottom"/>
    </xf>
    <xf numFmtId="0" fontId="10" fillId="33" borderId="223" applyNumberFormat="0" applyFont="1" applyFill="1" applyBorder="1" applyAlignment="1" applyProtection="0">
      <alignment horizontal="center" vertical="bottom"/>
    </xf>
    <xf numFmtId="9" fontId="10" fillId="33" borderId="223" applyNumberFormat="1" applyFont="1" applyFill="1" applyBorder="1" applyAlignment="1" applyProtection="0">
      <alignment horizontal="center" vertical="bottom"/>
    </xf>
    <xf numFmtId="0" fontId="10" fillId="33" borderId="223" applyNumberFormat="1" applyFont="1" applyFill="1" applyBorder="1" applyAlignment="1" applyProtection="0">
      <alignment horizontal="center" vertical="bottom"/>
    </xf>
    <xf numFmtId="0" fontId="10" fillId="33" borderId="223" applyNumberFormat="1" applyFont="1" applyFill="1" applyBorder="1" applyAlignment="1" applyProtection="0">
      <alignment vertical="bottom"/>
    </xf>
    <xf numFmtId="64" fontId="10" fillId="33" borderId="224" applyNumberFormat="1" applyFont="1" applyFill="1" applyBorder="1" applyAlignment="1" applyProtection="0">
      <alignment vertical="bottom"/>
    </xf>
    <xf numFmtId="61" fontId="10" fillId="33" borderId="136" applyNumberFormat="1" applyFont="1" applyFill="1" applyBorder="1" applyAlignment="1" applyProtection="0">
      <alignment vertical="bottom"/>
    </xf>
    <xf numFmtId="61" fontId="10" fillId="33" borderId="137" applyNumberFormat="1" applyFont="1" applyFill="1" applyBorder="1" applyAlignment="1" applyProtection="0">
      <alignment vertical="bottom"/>
    </xf>
    <xf numFmtId="61" fontId="10" fillId="33" borderId="141" applyNumberFormat="1" applyFont="1" applyFill="1" applyBorder="1" applyAlignment="1" applyProtection="0">
      <alignment vertical="bottom"/>
    </xf>
    <xf numFmtId="0" fontId="40" fillId="33" borderId="225" applyNumberFormat="0" applyFont="1" applyFill="1" applyBorder="1" applyAlignment="1" applyProtection="0">
      <alignment vertical="bottom"/>
    </xf>
    <xf numFmtId="0" fontId="10" fillId="33" borderId="226" applyNumberFormat="0" applyFont="1" applyFill="1" applyBorder="1" applyAlignment="1" applyProtection="0">
      <alignment vertical="bottom"/>
    </xf>
    <xf numFmtId="0" fontId="10" fillId="33" borderId="226" applyNumberFormat="0" applyFont="1" applyFill="1" applyBorder="1" applyAlignment="1" applyProtection="0">
      <alignment horizontal="center" vertical="bottom"/>
    </xf>
    <xf numFmtId="49" fontId="9" fillId="33" borderId="226" applyNumberFormat="1" applyFont="1" applyFill="1" applyBorder="1" applyAlignment="1" applyProtection="0">
      <alignment horizontal="right" vertical="bottom"/>
    </xf>
    <xf numFmtId="64" fontId="10" fillId="33" borderId="227" applyNumberFormat="1" applyFont="1" applyFill="1" applyBorder="1" applyAlignment="1" applyProtection="0">
      <alignment vertical="bottom"/>
    </xf>
    <xf numFmtId="64" fontId="9" fillId="33" borderId="213" applyNumberFormat="1" applyFont="1" applyFill="1" applyBorder="1" applyAlignment="1" applyProtection="0">
      <alignment vertical="bottom"/>
    </xf>
    <xf numFmtId="64" fontId="9" fillId="33" borderId="214" applyNumberFormat="1" applyFont="1" applyFill="1" applyBorder="1" applyAlignment="1" applyProtection="0">
      <alignment vertical="bottom"/>
    </xf>
    <xf numFmtId="64" fontId="9" fillId="33" borderId="215" applyNumberFormat="1" applyFont="1" applyFill="1" applyBorder="1" applyAlignment="1" applyProtection="0">
      <alignment vertical="bottom"/>
    </xf>
    <xf numFmtId="0" fontId="0" fillId="4" applyNumberFormat="1" applyFont="1" applyFill="1" applyBorder="0" applyAlignment="1" applyProtection="0">
      <alignment vertical="bottom"/>
    </xf>
    <xf numFmtId="49" fontId="9" fillId="9" borderId="81" applyNumberFormat="1" applyFont="1" applyFill="1" applyBorder="1" applyAlignment="1" applyProtection="0">
      <alignment horizontal="center" vertical="bottom"/>
    </xf>
    <xf numFmtId="0" fontId="9" fillId="9" borderId="44" applyNumberFormat="0" applyFont="1" applyFill="1" applyBorder="1" applyAlignment="1" applyProtection="0">
      <alignment horizontal="center" vertical="bottom"/>
    </xf>
    <xf numFmtId="0" fontId="9" fillId="9" borderId="116" applyNumberFormat="0" applyFont="1" applyFill="1" applyBorder="1" applyAlignment="1" applyProtection="0">
      <alignment horizontal="center" vertical="bottom"/>
    </xf>
    <xf numFmtId="49" fontId="9" fillId="9" borderId="232" applyNumberFormat="1" applyFont="1" applyFill="1" applyBorder="1" applyAlignment="1" applyProtection="0">
      <alignment vertical="bottom"/>
    </xf>
    <xf numFmtId="49" fontId="9" fillId="9" borderId="233" applyNumberFormat="1" applyFont="1" applyFill="1" applyBorder="1" applyAlignment="1" applyProtection="0">
      <alignment horizontal="center" vertical="bottom"/>
    </xf>
    <xf numFmtId="49" fontId="9" fillId="9" borderId="234" applyNumberFormat="1" applyFont="1" applyFill="1" applyBorder="1" applyAlignment="1" applyProtection="0">
      <alignment horizontal="center" vertical="bottom"/>
    </xf>
    <xf numFmtId="49" fontId="0" fillId="9" borderId="12" applyNumberFormat="1" applyFont="1" applyFill="1" applyBorder="1" applyAlignment="1" applyProtection="0">
      <alignment vertical="bottom"/>
    </xf>
    <xf numFmtId="61" fontId="0" fillId="9" borderId="13" applyNumberFormat="1" applyFont="1" applyFill="1" applyBorder="1" applyAlignment="1" applyProtection="0">
      <alignment vertical="bottom"/>
    </xf>
    <xf numFmtId="9" fontId="10" fillId="9" borderId="14" applyNumberFormat="1" applyFont="1" applyFill="1" applyBorder="1" applyAlignment="1" applyProtection="0">
      <alignment horizontal="center" vertical="bottom"/>
    </xf>
    <xf numFmtId="49" fontId="41" fillId="9" borderId="15" applyNumberFormat="1" applyFont="1" applyFill="1" applyBorder="1" applyAlignment="1" applyProtection="0">
      <alignment vertical="bottom"/>
    </xf>
    <xf numFmtId="61" fontId="0" fillId="9" borderId="16" applyNumberFormat="1" applyFont="1" applyFill="1" applyBorder="1" applyAlignment="1" applyProtection="0">
      <alignment vertical="bottom"/>
    </xf>
    <xf numFmtId="0" fontId="10" fillId="9" borderId="17" applyNumberFormat="0" applyFont="1" applyFill="1" applyBorder="1" applyAlignment="1" applyProtection="0">
      <alignment horizontal="center" vertical="bottom"/>
    </xf>
    <xf numFmtId="49" fontId="9" fillId="9" borderId="15" applyNumberFormat="1" applyFont="1" applyFill="1" applyBorder="1" applyAlignment="1" applyProtection="0">
      <alignment vertical="bottom"/>
    </xf>
    <xf numFmtId="61" fontId="9" fillId="9" borderId="16" applyNumberFormat="1" applyFont="1" applyFill="1" applyBorder="1" applyAlignment="1" applyProtection="0">
      <alignment vertical="bottom"/>
    </xf>
    <xf numFmtId="65" fontId="9" fillId="9" borderId="17" applyNumberFormat="1" applyFont="1" applyFill="1" applyBorder="1" applyAlignment="1" applyProtection="0">
      <alignment horizontal="center" vertical="bottom"/>
    </xf>
    <xf numFmtId="49" fontId="9" fillId="9" borderId="18" applyNumberFormat="1" applyFont="1" applyFill="1" applyBorder="1" applyAlignment="1" applyProtection="0">
      <alignment vertical="bottom"/>
    </xf>
    <xf numFmtId="61" fontId="9" fillId="9" borderId="19" applyNumberFormat="1" applyFont="1" applyFill="1" applyBorder="1" applyAlignment="1" applyProtection="0">
      <alignment vertical="bottom"/>
    </xf>
    <xf numFmtId="65" fontId="9" fillId="9" borderId="20" applyNumberFormat="1" applyFont="1" applyFill="1" applyBorder="1" applyAlignment="1" applyProtection="0">
      <alignment horizontal="center" vertical="bottom"/>
    </xf>
    <xf numFmtId="0" fontId="0" fillId="34" borderId="235" applyNumberFormat="0" applyFont="1" applyFill="1" applyBorder="1" applyAlignment="1" applyProtection="0">
      <alignment vertical="bottom"/>
    </xf>
    <xf numFmtId="49" fontId="9" fillId="34" borderId="236" applyNumberFormat="1" applyFont="1" applyFill="1" applyBorder="1" applyAlignment="1" applyProtection="0">
      <alignment horizontal="center" vertical="bottom"/>
    </xf>
    <xf numFmtId="0" fontId="9" fillId="34" borderId="236" applyNumberFormat="0" applyFont="1" applyFill="1" applyBorder="1" applyAlignment="1" applyProtection="0">
      <alignment horizontal="center" vertical="bottom"/>
    </xf>
    <xf numFmtId="0" fontId="9" fillId="9" borderId="236" applyNumberFormat="1" applyFont="1" applyFill="1" applyBorder="1" applyAlignment="1" applyProtection="0">
      <alignment horizontal="center" vertical="bottom"/>
    </xf>
    <xf numFmtId="0" fontId="9" fillId="9" borderId="236" applyNumberFormat="0" applyFont="1" applyFill="1" applyBorder="1" applyAlignment="1" applyProtection="0">
      <alignment horizontal="center" vertical="bottom"/>
    </xf>
    <xf numFmtId="0" fontId="9" fillId="9" borderId="237" applyNumberFormat="0" applyFont="1" applyFill="1" applyBorder="1" applyAlignment="1" applyProtection="0">
      <alignment horizontal="center" vertical="bottom"/>
    </xf>
    <xf numFmtId="0" fontId="0" fillId="34" borderId="238" applyNumberFormat="0" applyFont="1" applyFill="1" applyBorder="1" applyAlignment="1" applyProtection="0">
      <alignment vertical="bottom"/>
    </xf>
    <xf numFmtId="49" fontId="9" fillId="34" borderId="239" applyNumberFormat="1" applyFont="1" applyFill="1" applyBorder="1" applyAlignment="1" applyProtection="0">
      <alignment horizontal="center" vertical="bottom"/>
    </xf>
    <xf numFmtId="0" fontId="9" fillId="34" borderId="239" applyNumberFormat="0" applyFont="1" applyFill="1" applyBorder="1" applyAlignment="1" applyProtection="0">
      <alignment horizontal="center" vertical="bottom"/>
    </xf>
    <xf numFmtId="49" fontId="9" fillId="9" borderId="239" applyNumberFormat="1" applyFont="1" applyFill="1" applyBorder="1" applyAlignment="1" applyProtection="0">
      <alignment horizontal="center" vertical="bottom"/>
    </xf>
    <xf numFmtId="0" fontId="9" fillId="9" borderId="239" applyNumberFormat="0" applyFont="1" applyFill="1" applyBorder="1" applyAlignment="1" applyProtection="0">
      <alignment horizontal="center" vertical="bottom"/>
    </xf>
    <xf numFmtId="0" fontId="0" fillId="9" borderId="240" applyNumberFormat="0" applyFont="1" applyFill="1" applyBorder="1" applyAlignment="1" applyProtection="0">
      <alignment vertical="bottom"/>
    </xf>
    <xf numFmtId="0" fontId="0" fillId="34" borderId="241" applyNumberFormat="0" applyFont="1" applyFill="1" applyBorder="1" applyAlignment="1" applyProtection="0">
      <alignment vertical="bottom"/>
    </xf>
    <xf numFmtId="49" fontId="9" fillId="34" borderId="242" applyNumberFormat="1" applyFont="1" applyFill="1" applyBorder="1" applyAlignment="1" applyProtection="0">
      <alignment horizontal="center" vertical="bottom" wrapText="1"/>
    </xf>
    <xf numFmtId="49" fontId="9" fillId="9" borderId="242" applyNumberFormat="1" applyFont="1" applyFill="1" applyBorder="1" applyAlignment="1" applyProtection="0">
      <alignment horizontal="center" vertical="bottom" wrapText="1"/>
    </xf>
    <xf numFmtId="0" fontId="9" fillId="9" borderId="243" applyNumberFormat="0" applyFont="1" applyFill="1" applyBorder="1" applyAlignment="1" applyProtection="0">
      <alignment horizontal="center" vertical="bottom" wrapText="1"/>
    </xf>
    <xf numFmtId="0" fontId="0" fillId="34" borderId="244" applyNumberFormat="0" applyFont="1" applyFill="1" applyBorder="1" applyAlignment="1" applyProtection="0">
      <alignment vertical="bottom"/>
    </xf>
    <xf numFmtId="0" fontId="0" fillId="34" borderId="245" applyNumberFormat="0" applyFont="1" applyFill="1" applyBorder="1" applyAlignment="1" applyProtection="0">
      <alignment vertical="bottom"/>
    </xf>
    <xf numFmtId="0" fontId="0" fillId="9" borderId="245" applyNumberFormat="0" applyFont="1" applyFill="1" applyBorder="1" applyAlignment="1" applyProtection="0">
      <alignment vertical="bottom"/>
    </xf>
    <xf numFmtId="0" fontId="0" fillId="9" borderId="246" applyNumberFormat="0" applyFont="1" applyFill="1" applyBorder="1" applyAlignment="1" applyProtection="0">
      <alignment vertical="bottom"/>
    </xf>
    <xf numFmtId="0" fontId="42" fillId="34" borderId="238" applyNumberFormat="0" applyFont="1" applyFill="1" applyBorder="1" applyAlignment="1" applyProtection="0">
      <alignment horizontal="left" vertical="bottom" indent="5"/>
    </xf>
    <xf numFmtId="0" fontId="42" fillId="34" borderId="239" applyNumberFormat="0" applyFont="1" applyFill="1" applyBorder="1" applyAlignment="1" applyProtection="0">
      <alignment horizontal="right" vertical="bottom"/>
    </xf>
    <xf numFmtId="64" fontId="42" fillId="34" borderId="239" applyNumberFormat="1" applyFont="1" applyFill="1" applyBorder="1" applyAlignment="1" applyProtection="0">
      <alignment vertical="bottom"/>
    </xf>
    <xf numFmtId="49" fontId="42" fillId="9" borderId="239" applyNumberFormat="1" applyFont="1" applyFill="1" applyBorder="1" applyAlignment="1" applyProtection="0">
      <alignment horizontal="center" vertical="bottom"/>
    </xf>
    <xf numFmtId="64" fontId="0" fillId="9" borderId="239" applyNumberFormat="1" applyFont="1" applyFill="1" applyBorder="1" applyAlignment="1" applyProtection="0">
      <alignment vertical="bottom"/>
    </xf>
    <xf numFmtId="64" fontId="42" fillId="9" borderId="240" applyNumberFormat="1" applyFont="1" applyFill="1" applyBorder="1" applyAlignment="1" applyProtection="0">
      <alignment vertical="bottom"/>
    </xf>
    <xf numFmtId="0" fontId="42" fillId="34" borderId="238" applyNumberFormat="0" applyFont="1" applyFill="1" applyBorder="1" applyAlignment="1" applyProtection="0">
      <alignment horizontal="left" vertical="bottom"/>
    </xf>
    <xf numFmtId="64" fontId="42" fillId="9" borderId="239" applyNumberFormat="1" applyFont="1" applyFill="1" applyBorder="1" applyAlignment="1" applyProtection="0">
      <alignment horizontal="center" vertical="bottom"/>
    </xf>
    <xf numFmtId="49" fontId="42" fillId="34" borderId="238" applyNumberFormat="1" applyFont="1" applyFill="1" applyBorder="1" applyAlignment="1" applyProtection="0">
      <alignment horizontal="left" vertical="bottom"/>
    </xf>
    <xf numFmtId="0" fontId="42" fillId="34" borderId="239" applyNumberFormat="1" applyFont="1" applyFill="1" applyBorder="1" applyAlignment="1" applyProtection="0">
      <alignment horizontal="right" vertical="bottom"/>
    </xf>
    <xf numFmtId="49" fontId="9" fillId="34" borderId="247" applyNumberFormat="1" applyFont="1" applyFill="1" applyBorder="1" applyAlignment="1" applyProtection="0">
      <alignment vertical="bottom"/>
    </xf>
    <xf numFmtId="0" fontId="9" fillId="34" borderId="248" applyNumberFormat="0" applyFont="1" applyFill="1" applyBorder="1" applyAlignment="1" applyProtection="0">
      <alignment horizontal="right" vertical="bottom"/>
    </xf>
    <xf numFmtId="64" fontId="9" fillId="34" borderId="248" applyNumberFormat="1" applyFont="1" applyFill="1" applyBorder="1" applyAlignment="1" applyProtection="0">
      <alignment vertical="bottom"/>
    </xf>
    <xf numFmtId="64" fontId="9" fillId="9" borderId="243" applyNumberFormat="1" applyFont="1" applyFill="1" applyBorder="1" applyAlignment="1" applyProtection="0">
      <alignment vertical="bottom"/>
    </xf>
    <xf numFmtId="49" fontId="42" fillId="34" borderId="249" applyNumberFormat="1" applyFont="1" applyFill="1" applyBorder="1" applyAlignment="1" applyProtection="0">
      <alignment horizontal="left" vertical="bottom"/>
    </xf>
    <xf numFmtId="0" fontId="42" fillId="34" borderId="250" applyNumberFormat="0" applyFont="1" applyFill="1" applyBorder="1" applyAlignment="1" applyProtection="0">
      <alignment horizontal="right" vertical="bottom"/>
    </xf>
    <xf numFmtId="64" fontId="42" fillId="34" borderId="250" applyNumberFormat="1" applyFont="1" applyFill="1" applyBorder="1" applyAlignment="1" applyProtection="0">
      <alignment vertical="bottom"/>
    </xf>
    <xf numFmtId="64" fontId="42" fillId="9" borderId="245" applyNumberFormat="1" applyFont="1" applyFill="1" applyBorder="1" applyAlignment="1" applyProtection="0">
      <alignment horizontal="center" vertical="bottom"/>
    </xf>
    <xf numFmtId="64" fontId="0" fillId="9" borderId="251" applyNumberFormat="1" applyFont="1" applyFill="1" applyBorder="1" applyAlignment="1" applyProtection="0">
      <alignment vertical="bottom"/>
    </xf>
    <xf numFmtId="64" fontId="42" fillId="9" borderId="252" applyNumberFormat="1" applyFont="1" applyFill="1" applyBorder="1" applyAlignment="1" applyProtection="0">
      <alignment vertical="bottom"/>
    </xf>
    <xf numFmtId="49" fontId="42" fillId="9" borderId="239" applyNumberFormat="1" applyFont="1" applyFill="1" applyBorder="1" applyAlignment="1" applyProtection="0">
      <alignment horizontal="left" vertical="bottom"/>
    </xf>
    <xf numFmtId="64" fontId="0" fillId="9" borderId="253" applyNumberFormat="1" applyFont="1" applyFill="1" applyBorder="1" applyAlignment="1" applyProtection="0">
      <alignment vertical="bottom"/>
    </xf>
    <xf numFmtId="64" fontId="42" fillId="9" borderId="254" applyNumberFormat="1" applyFont="1" applyFill="1" applyBorder="1" applyAlignment="1" applyProtection="0">
      <alignment vertical="bottom"/>
    </xf>
    <xf numFmtId="49" fontId="42" fillId="34" borderId="239" applyNumberFormat="1" applyFont="1" applyFill="1" applyBorder="1" applyAlignment="1" applyProtection="0">
      <alignment horizontal="right" vertical="bottom"/>
    </xf>
    <xf numFmtId="49" fontId="43" fillId="9" borderId="239" applyNumberFormat="1" applyFont="1" applyFill="1" applyBorder="1" applyAlignment="1" applyProtection="0">
      <alignment vertical="bottom"/>
    </xf>
    <xf numFmtId="49" fontId="42" fillId="9" borderId="239" applyNumberFormat="1" applyFont="1" applyFill="1" applyBorder="1" applyAlignment="1" applyProtection="0">
      <alignment vertical="bottom"/>
    </xf>
    <xf numFmtId="64" fontId="42" fillId="9" borderId="239" applyNumberFormat="1" applyFont="1" applyFill="1" applyBorder="1" applyAlignment="1" applyProtection="0">
      <alignment horizontal="left" vertical="bottom"/>
    </xf>
    <xf numFmtId="49" fontId="11" fillId="9" borderId="239" applyNumberFormat="1" applyFont="1" applyFill="1" applyBorder="1" applyAlignment="1" applyProtection="0">
      <alignment horizontal="left" vertical="bottom"/>
    </xf>
    <xf numFmtId="49" fontId="42" fillId="34" borderId="255" applyNumberFormat="1" applyFont="1" applyFill="1" applyBorder="1" applyAlignment="1" applyProtection="0">
      <alignment horizontal="left" vertical="bottom"/>
    </xf>
    <xf numFmtId="0" fontId="42" fillId="34" borderId="256" applyNumberFormat="0" applyFont="1" applyFill="1" applyBorder="1" applyAlignment="1" applyProtection="0">
      <alignment horizontal="right" vertical="bottom"/>
    </xf>
    <xf numFmtId="64" fontId="42" fillId="34" borderId="256" applyNumberFormat="1" applyFont="1" applyFill="1" applyBorder="1" applyAlignment="1" applyProtection="0">
      <alignment vertical="bottom"/>
    </xf>
    <xf numFmtId="64" fontId="42" fillId="9" borderId="256" applyNumberFormat="1" applyFont="1" applyFill="1" applyBorder="1" applyAlignment="1" applyProtection="0">
      <alignment horizontal="center" vertical="bottom"/>
    </xf>
    <xf numFmtId="64" fontId="0" fillId="9" borderId="257" applyNumberFormat="1" applyFont="1" applyFill="1" applyBorder="1" applyAlignment="1" applyProtection="0">
      <alignment vertical="bottom"/>
    </xf>
    <xf numFmtId="64" fontId="42" fillId="9" borderId="258" applyNumberFormat="1" applyFont="1" applyFill="1" applyBorder="1" applyAlignment="1" applyProtection="0">
      <alignment vertical="bottom"/>
    </xf>
    <xf numFmtId="49" fontId="44" fillId="34" borderId="259" applyNumberFormat="1" applyFont="1" applyFill="1" applyBorder="1" applyAlignment="1" applyProtection="0">
      <alignment horizontal="left" vertical="bottom"/>
    </xf>
    <xf numFmtId="0" fontId="44" fillId="34" borderId="120" applyNumberFormat="0" applyFont="1" applyFill="1" applyBorder="1" applyAlignment="1" applyProtection="0">
      <alignment horizontal="right" vertical="bottom"/>
    </xf>
    <xf numFmtId="64" fontId="44" fillId="34" borderId="120" applyNumberFormat="1" applyFont="1" applyFill="1" applyBorder="1" applyAlignment="1" applyProtection="0">
      <alignment vertical="bottom"/>
    </xf>
    <xf numFmtId="64" fontId="44" fillId="9" borderId="120" applyNumberFormat="1" applyFont="1" applyFill="1" applyBorder="1" applyAlignment="1" applyProtection="0">
      <alignment horizontal="center" vertical="bottom"/>
    </xf>
    <xf numFmtId="49" fontId="44" fillId="9" borderId="120" applyNumberFormat="1" applyFont="1" applyFill="1" applyBorder="1" applyAlignment="1" applyProtection="0">
      <alignment horizontal="left" vertical="bottom"/>
    </xf>
    <xf numFmtId="64" fontId="11" fillId="9" borderId="120" applyNumberFormat="1" applyFont="1" applyFill="1" applyBorder="1" applyAlignment="1" applyProtection="0">
      <alignment vertical="bottom"/>
    </xf>
    <xf numFmtId="64" fontId="44" fillId="9" borderId="260" applyNumberFormat="1" applyFont="1" applyFill="1" applyBorder="1" applyAlignment="1" applyProtection="0">
      <alignment vertical="bottom"/>
    </xf>
    <xf numFmtId="0" fontId="0" fillId="4" applyNumberFormat="1" applyFont="1" applyFill="1" applyBorder="0" applyAlignment="1" applyProtection="0">
      <alignment vertical="bottom"/>
    </xf>
    <xf numFmtId="49" fontId="9" fillId="24" borderId="81" applyNumberFormat="1" applyFont="1" applyFill="1" applyBorder="1" applyAlignment="1" applyProtection="0">
      <alignment horizontal="center" vertical="bottom"/>
    </xf>
    <xf numFmtId="0" fontId="9" fillId="24" borderId="44" applyNumberFormat="0" applyFont="1" applyFill="1" applyBorder="1" applyAlignment="1" applyProtection="0">
      <alignment horizontal="center" vertical="bottom"/>
    </xf>
    <xf numFmtId="0" fontId="9" fillId="24" borderId="116" applyNumberFormat="0" applyFont="1" applyFill="1" applyBorder="1" applyAlignment="1" applyProtection="0">
      <alignment horizontal="center" vertical="bottom"/>
    </xf>
    <xf numFmtId="49" fontId="9" fillId="24" borderId="232" applyNumberFormat="1" applyFont="1" applyFill="1" applyBorder="1" applyAlignment="1" applyProtection="0">
      <alignment vertical="bottom"/>
    </xf>
    <xf numFmtId="49" fontId="9" fillId="24" borderId="233" applyNumberFormat="1" applyFont="1" applyFill="1" applyBorder="1" applyAlignment="1" applyProtection="0">
      <alignment horizontal="center" vertical="bottom"/>
    </xf>
    <xf numFmtId="49" fontId="9" fillId="24" borderId="234" applyNumberFormat="1" applyFont="1" applyFill="1" applyBorder="1" applyAlignment="1" applyProtection="0">
      <alignment horizontal="center" vertical="bottom"/>
    </xf>
    <xf numFmtId="49" fontId="0" fillId="24" borderId="12" applyNumberFormat="1" applyFont="1" applyFill="1" applyBorder="1" applyAlignment="1" applyProtection="0">
      <alignment vertical="bottom"/>
    </xf>
    <xf numFmtId="61" fontId="0" fillId="24" borderId="13" applyNumberFormat="1" applyFont="1" applyFill="1" applyBorder="1" applyAlignment="1" applyProtection="0">
      <alignment vertical="bottom"/>
    </xf>
    <xf numFmtId="9" fontId="10" fillId="24" borderId="14" applyNumberFormat="1" applyFont="1" applyFill="1" applyBorder="1" applyAlignment="1" applyProtection="0">
      <alignment horizontal="center" vertical="bottom"/>
    </xf>
    <xf numFmtId="49" fontId="41" fillId="24" borderId="15" applyNumberFormat="1" applyFont="1" applyFill="1" applyBorder="1" applyAlignment="1" applyProtection="0">
      <alignment vertical="bottom"/>
    </xf>
    <xf numFmtId="61" fontId="0" fillId="24" borderId="16" applyNumberFormat="1" applyFont="1" applyFill="1" applyBorder="1" applyAlignment="1" applyProtection="0">
      <alignment vertical="bottom"/>
    </xf>
    <xf numFmtId="0" fontId="10" fillId="24" borderId="17" applyNumberFormat="0" applyFont="1" applyFill="1" applyBorder="1" applyAlignment="1" applyProtection="0">
      <alignment horizontal="center" vertical="bottom"/>
    </xf>
    <xf numFmtId="49" fontId="9" fillId="24" borderId="15" applyNumberFormat="1" applyFont="1" applyFill="1" applyBorder="1" applyAlignment="1" applyProtection="0">
      <alignment vertical="bottom"/>
    </xf>
    <xf numFmtId="65" fontId="9" fillId="24" borderId="17" applyNumberFormat="1" applyFont="1" applyFill="1" applyBorder="1" applyAlignment="1" applyProtection="0">
      <alignment horizontal="center" vertical="bottom"/>
    </xf>
    <xf numFmtId="49" fontId="9" fillId="24" borderId="18" applyNumberFormat="1" applyFont="1" applyFill="1" applyBorder="1" applyAlignment="1" applyProtection="0">
      <alignment vertical="bottom"/>
    </xf>
    <xf numFmtId="61" fontId="9" fillId="24" borderId="19" applyNumberFormat="1" applyFont="1" applyFill="1" applyBorder="1" applyAlignment="1" applyProtection="0">
      <alignment vertical="bottom"/>
    </xf>
    <xf numFmtId="65" fontId="9" fillId="24" borderId="20" applyNumberFormat="1" applyFont="1" applyFill="1" applyBorder="1" applyAlignment="1" applyProtection="0">
      <alignment horizontal="center" vertical="bottom"/>
    </xf>
    <xf numFmtId="0" fontId="0" fillId="35" borderId="235" applyNumberFormat="0" applyFont="1" applyFill="1" applyBorder="1" applyAlignment="1" applyProtection="0">
      <alignment vertical="bottom"/>
    </xf>
    <xf numFmtId="49" fontId="9" fillId="35" borderId="236" applyNumberFormat="1" applyFont="1" applyFill="1" applyBorder="1" applyAlignment="1" applyProtection="0">
      <alignment horizontal="center" vertical="bottom"/>
    </xf>
    <xf numFmtId="49" fontId="9" fillId="35" borderId="236" applyNumberFormat="1" applyFont="1" applyFill="1" applyBorder="1" applyAlignment="1" applyProtection="0">
      <alignment horizontal="center" vertical="bottom" wrapText="1"/>
    </xf>
    <xf numFmtId="0" fontId="9" fillId="35" borderId="236" applyNumberFormat="0" applyFont="1" applyFill="1" applyBorder="1" applyAlignment="1" applyProtection="0">
      <alignment horizontal="center" vertical="bottom"/>
    </xf>
    <xf numFmtId="0" fontId="9" fillId="36" borderId="236" applyNumberFormat="1" applyFont="1" applyFill="1" applyBorder="1" applyAlignment="1" applyProtection="0">
      <alignment horizontal="center" vertical="bottom"/>
    </xf>
    <xf numFmtId="0" fontId="9" fillId="36" borderId="236" applyNumberFormat="0" applyFont="1" applyFill="1" applyBorder="1" applyAlignment="1" applyProtection="0">
      <alignment horizontal="center" vertical="bottom"/>
    </xf>
    <xf numFmtId="0" fontId="9" fillId="36" borderId="237" applyNumberFormat="0" applyFont="1" applyFill="1" applyBorder="1" applyAlignment="1" applyProtection="0">
      <alignment horizontal="center" vertical="bottom"/>
    </xf>
    <xf numFmtId="0" fontId="0" fillId="35" borderId="238" applyNumberFormat="0" applyFont="1" applyFill="1" applyBorder="1" applyAlignment="1" applyProtection="0">
      <alignment vertical="bottom"/>
    </xf>
    <xf numFmtId="49" fontId="9" fillId="35" borderId="239" applyNumberFormat="1" applyFont="1" applyFill="1" applyBorder="1" applyAlignment="1" applyProtection="0">
      <alignment horizontal="center" vertical="bottom"/>
    </xf>
    <xf numFmtId="0" fontId="9" fillId="35" borderId="239" applyNumberFormat="0" applyFont="1" applyFill="1" applyBorder="1" applyAlignment="1" applyProtection="0">
      <alignment horizontal="center" vertical="bottom"/>
    </xf>
    <xf numFmtId="49" fontId="9" fillId="36" borderId="239" applyNumberFormat="1" applyFont="1" applyFill="1" applyBorder="1" applyAlignment="1" applyProtection="0">
      <alignment horizontal="center" vertical="bottom"/>
    </xf>
    <xf numFmtId="0" fontId="9" fillId="36" borderId="239" applyNumberFormat="0" applyFont="1" applyFill="1" applyBorder="1" applyAlignment="1" applyProtection="0">
      <alignment horizontal="center" vertical="bottom"/>
    </xf>
    <xf numFmtId="0" fontId="0" fillId="36" borderId="240" applyNumberFormat="0" applyFont="1" applyFill="1" applyBorder="1" applyAlignment="1" applyProtection="0">
      <alignment vertical="bottom"/>
    </xf>
    <xf numFmtId="0" fontId="0" fillId="35" borderId="241" applyNumberFormat="0" applyFont="1" applyFill="1" applyBorder="1" applyAlignment="1" applyProtection="0">
      <alignment vertical="bottom"/>
    </xf>
    <xf numFmtId="49" fontId="9" fillId="35" borderId="242" applyNumberFormat="1" applyFont="1" applyFill="1" applyBorder="1" applyAlignment="1" applyProtection="0">
      <alignment horizontal="center" vertical="bottom" wrapText="1"/>
    </xf>
    <xf numFmtId="49" fontId="9" fillId="36" borderId="242" applyNumberFormat="1" applyFont="1" applyFill="1" applyBorder="1" applyAlignment="1" applyProtection="0">
      <alignment horizontal="center" vertical="bottom" wrapText="1"/>
    </xf>
    <xf numFmtId="49" fontId="11" fillId="36" borderId="242" applyNumberFormat="1" applyFont="1" applyFill="1" applyBorder="1" applyAlignment="1" applyProtection="0">
      <alignment horizontal="center" vertical="bottom" wrapText="1"/>
    </xf>
    <xf numFmtId="0" fontId="9" fillId="36" borderId="243" applyNumberFormat="0" applyFont="1" applyFill="1" applyBorder="1" applyAlignment="1" applyProtection="0">
      <alignment horizontal="center" vertical="bottom" wrapText="1"/>
    </xf>
    <xf numFmtId="0" fontId="0" fillId="35" borderId="244" applyNumberFormat="0" applyFont="1" applyFill="1" applyBorder="1" applyAlignment="1" applyProtection="0">
      <alignment vertical="bottom"/>
    </xf>
    <xf numFmtId="0" fontId="0" fillId="35" borderId="245" applyNumberFormat="0" applyFont="1" applyFill="1" applyBorder="1" applyAlignment="1" applyProtection="0">
      <alignment vertical="bottom"/>
    </xf>
    <xf numFmtId="0" fontId="0" fillId="36" borderId="245" applyNumberFormat="0" applyFont="1" applyFill="1" applyBorder="1" applyAlignment="1" applyProtection="0">
      <alignment vertical="bottom"/>
    </xf>
    <xf numFmtId="0" fontId="0" fillId="36" borderId="246" applyNumberFormat="0" applyFont="1" applyFill="1" applyBorder="1" applyAlignment="1" applyProtection="0">
      <alignment vertical="bottom"/>
    </xf>
    <xf numFmtId="49" fontId="42" fillId="35" borderId="238" applyNumberFormat="1" applyFont="1" applyFill="1" applyBorder="1" applyAlignment="1" applyProtection="0">
      <alignment horizontal="left" vertical="bottom"/>
    </xf>
    <xf numFmtId="0" fontId="42" fillId="35" borderId="239" applyNumberFormat="1" applyFont="1" applyFill="1" applyBorder="1" applyAlignment="1" applyProtection="0">
      <alignment vertical="bottom"/>
    </xf>
    <xf numFmtId="64" fontId="42" fillId="35" borderId="239" applyNumberFormat="1" applyFont="1" applyFill="1" applyBorder="1" applyAlignment="1" applyProtection="0">
      <alignment vertical="bottom"/>
    </xf>
    <xf numFmtId="49" fontId="42" fillId="36" borderId="239" applyNumberFormat="1" applyFont="1" applyFill="1" applyBorder="1" applyAlignment="1" applyProtection="0">
      <alignment horizontal="center" vertical="bottom"/>
    </xf>
    <xf numFmtId="64" fontId="42" fillId="36" borderId="239" applyNumberFormat="1" applyFont="1" applyFill="1" applyBorder="1" applyAlignment="1" applyProtection="0">
      <alignment horizontal="center" vertical="bottom"/>
    </xf>
    <xf numFmtId="64" fontId="0" fillId="36" borderId="239" applyNumberFormat="1" applyFont="1" applyFill="1" applyBorder="1" applyAlignment="1" applyProtection="0">
      <alignment vertical="bottom"/>
    </xf>
    <xf numFmtId="64" fontId="42" fillId="36" borderId="240" applyNumberFormat="1" applyFont="1" applyFill="1" applyBorder="1" applyAlignment="1" applyProtection="0">
      <alignment vertical="bottom"/>
    </xf>
    <xf numFmtId="0" fontId="42" fillId="35" borderId="238" applyNumberFormat="0" applyFont="1" applyFill="1" applyBorder="1" applyAlignment="1" applyProtection="0">
      <alignment horizontal="left" vertical="bottom"/>
    </xf>
    <xf numFmtId="0" fontId="42" fillId="35" borderId="239" applyNumberFormat="0" applyFont="1" applyFill="1" applyBorder="1" applyAlignment="1" applyProtection="0">
      <alignment vertical="bottom"/>
    </xf>
    <xf numFmtId="49" fontId="44" fillId="35" borderId="247" applyNumberFormat="1" applyFont="1" applyFill="1" applyBorder="1" applyAlignment="1" applyProtection="0">
      <alignment vertical="bottom"/>
    </xf>
    <xf numFmtId="0" fontId="44" fillId="35" borderId="248" applyNumberFormat="0" applyFont="1" applyFill="1" applyBorder="1" applyAlignment="1" applyProtection="0">
      <alignment vertical="bottom"/>
    </xf>
    <xf numFmtId="64" fontId="44" fillId="35" borderId="248" applyNumberFormat="1" applyFont="1" applyFill="1" applyBorder="1" applyAlignment="1" applyProtection="0">
      <alignment vertical="bottom"/>
    </xf>
    <xf numFmtId="49" fontId="44" fillId="36" borderId="242" applyNumberFormat="1" applyFont="1" applyFill="1" applyBorder="1" applyAlignment="1" applyProtection="0">
      <alignment horizontal="center" vertical="bottom" wrapText="1"/>
    </xf>
    <xf numFmtId="64" fontId="44" fillId="36" borderId="243" applyNumberFormat="1" applyFont="1" applyFill="1" applyBorder="1" applyAlignment="1" applyProtection="0">
      <alignment vertical="bottom"/>
    </xf>
    <xf numFmtId="49" fontId="42" fillId="35" borderId="249" applyNumberFormat="1" applyFont="1" applyFill="1" applyBorder="1" applyAlignment="1" applyProtection="0">
      <alignment horizontal="left" vertical="bottom"/>
    </xf>
    <xf numFmtId="0" fontId="42" fillId="35" borderId="250" applyNumberFormat="0" applyFont="1" applyFill="1" applyBorder="1" applyAlignment="1" applyProtection="0">
      <alignment vertical="bottom"/>
    </xf>
    <xf numFmtId="64" fontId="42" fillId="35" borderId="250" applyNumberFormat="1" applyFont="1" applyFill="1" applyBorder="1" applyAlignment="1" applyProtection="0">
      <alignment vertical="bottom"/>
    </xf>
    <xf numFmtId="64" fontId="42" fillId="36" borderId="245" applyNumberFormat="1" applyFont="1" applyFill="1" applyBorder="1" applyAlignment="1" applyProtection="0">
      <alignment horizontal="center" vertical="bottom"/>
    </xf>
    <xf numFmtId="64" fontId="0" fillId="36" borderId="251" applyNumberFormat="1" applyFont="1" applyFill="1" applyBorder="1" applyAlignment="1" applyProtection="0">
      <alignment vertical="bottom"/>
    </xf>
    <xf numFmtId="64" fontId="42" fillId="36" borderId="252" applyNumberFormat="1" applyFont="1" applyFill="1" applyBorder="1" applyAlignment="1" applyProtection="0">
      <alignment vertical="bottom"/>
    </xf>
    <xf numFmtId="49" fontId="42" fillId="36" borderId="239" applyNumberFormat="1" applyFont="1" applyFill="1" applyBorder="1" applyAlignment="1" applyProtection="0">
      <alignment horizontal="left" vertical="bottom"/>
    </xf>
    <xf numFmtId="64" fontId="0" fillId="36" borderId="253" applyNumberFormat="1" applyFont="1" applyFill="1" applyBorder="1" applyAlignment="1" applyProtection="0">
      <alignment vertical="bottom"/>
    </xf>
    <xf numFmtId="64" fontId="42" fillId="36" borderId="254" applyNumberFormat="1" applyFont="1" applyFill="1" applyBorder="1" applyAlignment="1" applyProtection="0">
      <alignment vertical="bottom"/>
    </xf>
    <xf numFmtId="0" fontId="42" fillId="35" borderId="239" applyNumberFormat="1" applyFont="1" applyFill="1" applyBorder="1" applyAlignment="1" applyProtection="0">
      <alignment horizontal="right" vertical="bottom"/>
    </xf>
    <xf numFmtId="49" fontId="11" fillId="36" borderId="239" applyNumberFormat="1" applyFont="1" applyFill="1" applyBorder="1" applyAlignment="1" applyProtection="0">
      <alignment horizontal="left" vertical="bottom"/>
    </xf>
    <xf numFmtId="49" fontId="43" fillId="36" borderId="239" applyNumberFormat="1" applyFont="1" applyFill="1" applyBorder="1" applyAlignment="1" applyProtection="0">
      <alignment vertical="bottom"/>
    </xf>
    <xf numFmtId="64" fontId="42" fillId="36" borderId="239" applyNumberFormat="1" applyFont="1" applyFill="1" applyBorder="1" applyAlignment="1" applyProtection="0">
      <alignment horizontal="left" vertical="bottom"/>
    </xf>
    <xf numFmtId="49" fontId="42" fillId="35" borderId="255" applyNumberFormat="1" applyFont="1" applyFill="1" applyBorder="1" applyAlignment="1" applyProtection="0">
      <alignment horizontal="left" vertical="bottom"/>
    </xf>
    <xf numFmtId="0" fontId="42" fillId="35" borderId="256" applyNumberFormat="0" applyFont="1" applyFill="1" applyBorder="1" applyAlignment="1" applyProtection="0">
      <alignment vertical="bottom"/>
    </xf>
    <xf numFmtId="64" fontId="42" fillId="35" borderId="256" applyNumberFormat="1" applyFont="1" applyFill="1" applyBorder="1" applyAlignment="1" applyProtection="0">
      <alignment vertical="bottom"/>
    </xf>
    <xf numFmtId="64" fontId="42" fillId="36" borderId="256" applyNumberFormat="1" applyFont="1" applyFill="1" applyBorder="1" applyAlignment="1" applyProtection="0">
      <alignment horizontal="center" vertical="bottom"/>
    </xf>
    <xf numFmtId="64" fontId="0" fillId="36" borderId="257" applyNumberFormat="1" applyFont="1" applyFill="1" applyBorder="1" applyAlignment="1" applyProtection="0">
      <alignment vertical="bottom"/>
    </xf>
    <xf numFmtId="64" fontId="42" fillId="36" borderId="258" applyNumberFormat="1" applyFont="1" applyFill="1" applyBorder="1" applyAlignment="1" applyProtection="0">
      <alignment vertical="bottom"/>
    </xf>
    <xf numFmtId="49" fontId="44" fillId="35" borderId="259" applyNumberFormat="1" applyFont="1" applyFill="1" applyBorder="1" applyAlignment="1" applyProtection="0">
      <alignment horizontal="left" vertical="bottom"/>
    </xf>
    <xf numFmtId="0" fontId="44" fillId="35" borderId="120" applyNumberFormat="0" applyFont="1" applyFill="1" applyBorder="1" applyAlignment="1" applyProtection="0">
      <alignment vertical="bottom"/>
    </xf>
    <xf numFmtId="64" fontId="44" fillId="35" borderId="120" applyNumberFormat="1" applyFont="1" applyFill="1" applyBorder="1" applyAlignment="1" applyProtection="0">
      <alignment vertical="bottom"/>
    </xf>
    <xf numFmtId="64" fontId="44" fillId="36" borderId="120" applyNumberFormat="1" applyFont="1" applyFill="1" applyBorder="1" applyAlignment="1" applyProtection="0">
      <alignment horizontal="center" vertical="bottom"/>
    </xf>
    <xf numFmtId="49" fontId="44" fillId="36" borderId="120" applyNumberFormat="1" applyFont="1" applyFill="1" applyBorder="1" applyAlignment="1" applyProtection="0">
      <alignment horizontal="left" vertical="bottom"/>
    </xf>
    <xf numFmtId="64" fontId="11" fillId="36" borderId="120" applyNumberFormat="1" applyFont="1" applyFill="1" applyBorder="1" applyAlignment="1" applyProtection="0">
      <alignment vertical="bottom"/>
    </xf>
    <xf numFmtId="64" fontId="44" fillId="36" borderId="260" applyNumberFormat="1" applyFont="1" applyFill="1" applyBorder="1" applyAlignment="1" applyProtection="0">
      <alignment vertical="bottom"/>
    </xf>
    <xf numFmtId="0" fontId="0" fillId="4" applyNumberFormat="1" applyFont="1" applyFill="1" applyBorder="0" applyAlignment="1" applyProtection="0">
      <alignment vertical="bottom"/>
    </xf>
    <xf numFmtId="49" fontId="9" fillId="37" borderId="81" applyNumberFormat="1" applyFont="1" applyFill="1" applyBorder="1" applyAlignment="1" applyProtection="0">
      <alignment horizontal="center" vertical="bottom"/>
    </xf>
    <xf numFmtId="0" fontId="9" fillId="37" borderId="44" applyNumberFormat="0" applyFont="1" applyFill="1" applyBorder="1" applyAlignment="1" applyProtection="0">
      <alignment horizontal="center" vertical="bottom"/>
    </xf>
    <xf numFmtId="0" fontId="9" fillId="37" borderId="116" applyNumberFormat="0" applyFont="1" applyFill="1" applyBorder="1" applyAlignment="1" applyProtection="0">
      <alignment horizontal="center" vertical="bottom"/>
    </xf>
    <xf numFmtId="49" fontId="9" fillId="37" borderId="232" applyNumberFormat="1" applyFont="1" applyFill="1" applyBorder="1" applyAlignment="1" applyProtection="0">
      <alignment vertical="bottom"/>
    </xf>
    <xf numFmtId="49" fontId="9" fillId="37" borderId="233" applyNumberFormat="1" applyFont="1" applyFill="1" applyBorder="1" applyAlignment="1" applyProtection="0">
      <alignment horizontal="center" vertical="bottom"/>
    </xf>
    <xf numFmtId="49" fontId="9" fillId="37" borderId="234" applyNumberFormat="1" applyFont="1" applyFill="1" applyBorder="1" applyAlignment="1" applyProtection="0">
      <alignment horizontal="center" vertical="bottom"/>
    </xf>
    <xf numFmtId="49" fontId="10" fillId="37" borderId="12" applyNumberFormat="1" applyFont="1" applyFill="1" applyBorder="1" applyAlignment="1" applyProtection="0">
      <alignment vertical="bottom"/>
    </xf>
    <xf numFmtId="61" fontId="10" fillId="37" borderId="13" applyNumberFormat="1" applyFont="1" applyFill="1" applyBorder="1" applyAlignment="1" applyProtection="0">
      <alignment vertical="bottom"/>
    </xf>
    <xf numFmtId="9" fontId="10" fillId="37" borderId="14" applyNumberFormat="1" applyFont="1" applyFill="1" applyBorder="1" applyAlignment="1" applyProtection="0">
      <alignment horizontal="center" vertical="bottom"/>
    </xf>
    <xf numFmtId="49" fontId="41" fillId="37" borderId="15" applyNumberFormat="1" applyFont="1" applyFill="1" applyBorder="1" applyAlignment="1" applyProtection="0">
      <alignment vertical="bottom"/>
    </xf>
    <xf numFmtId="61" fontId="10" fillId="37" borderId="16" applyNumberFormat="1" applyFont="1" applyFill="1" applyBorder="1" applyAlignment="1" applyProtection="0">
      <alignment vertical="bottom"/>
    </xf>
    <xf numFmtId="0" fontId="10" fillId="37" borderId="17" applyNumberFormat="0" applyFont="1" applyFill="1" applyBorder="1" applyAlignment="1" applyProtection="0">
      <alignment horizontal="center" vertical="bottom"/>
    </xf>
    <xf numFmtId="49" fontId="9" fillId="37" borderId="15" applyNumberFormat="1" applyFont="1" applyFill="1" applyBorder="1" applyAlignment="1" applyProtection="0">
      <alignment vertical="bottom"/>
    </xf>
    <xf numFmtId="61" fontId="9" fillId="37" borderId="16" applyNumberFormat="1" applyFont="1" applyFill="1" applyBorder="1" applyAlignment="1" applyProtection="0">
      <alignment vertical="bottom"/>
    </xf>
    <xf numFmtId="65" fontId="9" fillId="37" borderId="17" applyNumberFormat="1" applyFont="1" applyFill="1" applyBorder="1" applyAlignment="1" applyProtection="0">
      <alignment horizontal="center" vertical="bottom"/>
    </xf>
    <xf numFmtId="49" fontId="9" fillId="37" borderId="18" applyNumberFormat="1" applyFont="1" applyFill="1" applyBorder="1" applyAlignment="1" applyProtection="0">
      <alignment vertical="bottom"/>
    </xf>
    <xf numFmtId="61" fontId="9" fillId="37" borderId="19" applyNumberFormat="1" applyFont="1" applyFill="1" applyBorder="1" applyAlignment="1" applyProtection="0">
      <alignment vertical="bottom"/>
    </xf>
    <xf numFmtId="65" fontId="9" fillId="37" borderId="20" applyNumberFormat="1" applyFont="1" applyFill="1" applyBorder="1" applyAlignment="1" applyProtection="0">
      <alignment horizontal="center" vertical="bottom"/>
    </xf>
    <xf numFmtId="0" fontId="0" fillId="4" borderId="133" applyNumberFormat="0" applyFont="1" applyFill="1" applyBorder="1" applyAlignment="1" applyProtection="0">
      <alignment vertical="bottom"/>
    </xf>
    <xf numFmtId="49" fontId="9" fillId="37" borderId="261" applyNumberFormat="1" applyFont="1" applyFill="1" applyBorder="1" applyAlignment="1" applyProtection="0">
      <alignment horizontal="center" vertical="bottom"/>
    </xf>
    <xf numFmtId="0" fontId="9" fillId="37" borderId="262" applyNumberFormat="0" applyFont="1" applyFill="1" applyBorder="1" applyAlignment="1" applyProtection="0">
      <alignment horizontal="center" vertical="bottom"/>
    </xf>
    <xf numFmtId="0" fontId="9" fillId="37" borderId="263" applyNumberFormat="0" applyFont="1" applyFill="1" applyBorder="1" applyAlignment="1" applyProtection="0">
      <alignment horizontal="center" vertical="bottom"/>
    </xf>
    <xf numFmtId="0" fontId="9" fillId="37" borderId="50" applyNumberFormat="0" applyFont="1" applyFill="1" applyBorder="1" applyAlignment="1" applyProtection="0">
      <alignment horizontal="center" vertical="bottom"/>
    </xf>
    <xf numFmtId="0" fontId="9" fillId="37" borderId="10" applyNumberFormat="0" applyFont="1" applyFill="1" applyBorder="1" applyAlignment="1" applyProtection="0">
      <alignment horizontal="center" vertical="bottom"/>
    </xf>
    <xf numFmtId="0" fontId="9" fillId="37" borderId="129" applyNumberFormat="0" applyFont="1" applyFill="1" applyBorder="1" applyAlignment="1" applyProtection="0">
      <alignment horizontal="center" vertical="bottom"/>
    </xf>
    <xf numFmtId="49" fontId="9" fillId="37" borderId="264" applyNumberFormat="1" applyFont="1" applyFill="1" applyBorder="1" applyAlignment="1" applyProtection="0">
      <alignment vertical="bottom"/>
    </xf>
    <xf numFmtId="49" fontId="9" fillId="37" borderId="265" applyNumberFormat="1" applyFont="1" applyFill="1" applyBorder="1" applyAlignment="1" applyProtection="0">
      <alignment horizontal="center" vertical="bottom"/>
    </xf>
    <xf numFmtId="0" fontId="10" fillId="37" borderId="266" applyNumberFormat="0" applyFont="1" applyFill="1" applyBorder="1" applyAlignment="1" applyProtection="0">
      <alignment vertical="bottom"/>
    </xf>
    <xf numFmtId="49" fontId="10" fillId="37" borderId="13" applyNumberFormat="1" applyFont="1" applyFill="1" applyBorder="1" applyAlignment="1" applyProtection="0">
      <alignment horizontal="center" vertical="bottom"/>
    </xf>
    <xf numFmtId="9" fontId="10" fillId="37" borderId="13" applyNumberFormat="1" applyFont="1" applyFill="1" applyBorder="1" applyAlignment="1" applyProtection="0">
      <alignment horizontal="center" vertical="bottom"/>
    </xf>
    <xf numFmtId="61" fontId="10" fillId="37" borderId="52" applyNumberFormat="1" applyFont="1" applyFill="1" applyBorder="1" applyAlignment="1" applyProtection="0">
      <alignment vertical="bottom"/>
    </xf>
    <xf numFmtId="0" fontId="10" fillId="37" borderId="51" applyNumberFormat="0" applyFont="1" applyFill="1" applyBorder="1" applyAlignment="1" applyProtection="0">
      <alignment vertical="bottom"/>
    </xf>
    <xf numFmtId="49" fontId="10" fillId="37" borderId="16" applyNumberFormat="1" applyFont="1" applyFill="1" applyBorder="1" applyAlignment="1" applyProtection="0">
      <alignment horizontal="center" vertical="bottom"/>
    </xf>
    <xf numFmtId="9" fontId="10" fillId="37" borderId="16" applyNumberFormat="1" applyFont="1" applyFill="1" applyBorder="1" applyAlignment="1" applyProtection="0">
      <alignment horizontal="center" vertical="bottom"/>
    </xf>
    <xf numFmtId="49" fontId="6" fillId="4" borderId="178" applyNumberFormat="1" applyFont="1" applyFill="1" applyBorder="1" applyAlignment="1" applyProtection="0">
      <alignment vertical="bottom"/>
    </xf>
    <xf numFmtId="49" fontId="10" fillId="37" borderId="51" applyNumberFormat="1" applyFont="1" applyFill="1" applyBorder="1" applyAlignment="1" applyProtection="0">
      <alignment vertical="bottom"/>
    </xf>
    <xf numFmtId="0" fontId="10" fillId="37" borderId="267" applyNumberFormat="0" applyFont="1" applyFill="1" applyBorder="1" applyAlignment="1" applyProtection="0">
      <alignment vertical="bottom"/>
    </xf>
    <xf numFmtId="61" fontId="10" fillId="37" borderId="78" applyNumberFormat="1" applyFont="1" applyFill="1" applyBorder="1" applyAlignment="1" applyProtection="0">
      <alignment vertical="bottom"/>
    </xf>
    <xf numFmtId="49" fontId="10" fillId="37" borderId="78" applyNumberFormat="1" applyFont="1" applyFill="1" applyBorder="1" applyAlignment="1" applyProtection="0">
      <alignment horizontal="center" vertical="bottom"/>
    </xf>
    <xf numFmtId="9" fontId="10" fillId="37" borderId="78" applyNumberFormat="1" applyFont="1" applyFill="1" applyBorder="1" applyAlignment="1" applyProtection="0">
      <alignment horizontal="center" vertical="bottom"/>
    </xf>
    <xf numFmtId="61" fontId="10" fillId="37" borderId="268" applyNumberFormat="1" applyFont="1" applyFill="1" applyBorder="1" applyAlignment="1" applyProtection="0">
      <alignment vertical="bottom"/>
    </xf>
    <xf numFmtId="49" fontId="9" fillId="37" borderId="269" applyNumberFormat="1" applyFont="1" applyFill="1" applyBorder="1" applyAlignment="1" applyProtection="0">
      <alignment vertical="bottom"/>
    </xf>
    <xf numFmtId="61" fontId="9" fillId="37" borderId="270" applyNumberFormat="1" applyFont="1" applyFill="1" applyBorder="1" applyAlignment="1" applyProtection="0">
      <alignment vertical="bottom"/>
    </xf>
    <xf numFmtId="0" fontId="9" fillId="37" borderId="270" applyNumberFormat="0" applyFont="1" applyFill="1" applyBorder="1" applyAlignment="1" applyProtection="0">
      <alignment vertical="bottom"/>
    </xf>
    <xf numFmtId="61" fontId="9" fillId="37" borderId="271" applyNumberFormat="1" applyFont="1" applyFill="1" applyBorder="1" applyAlignment="1" applyProtection="0">
      <alignment vertical="bottom"/>
    </xf>
    <xf numFmtId="0" fontId="0" applyNumberFormat="1" applyFont="1" applyFill="0" applyBorder="0" applyAlignment="1" applyProtection="0">
      <alignment vertical="bottom"/>
    </xf>
    <xf numFmtId="0" fontId="0" fillId="16" borderId="2" applyNumberFormat="0" applyFont="1" applyFill="1" applyBorder="1" applyAlignment="1" applyProtection="0">
      <alignment vertical="bottom"/>
    </xf>
    <xf numFmtId="74" fontId="0" fillId="16" borderId="2" applyNumberFormat="1" applyFont="1" applyFill="1" applyBorder="1" applyAlignment="1" applyProtection="0">
      <alignment vertical="bottom"/>
    </xf>
    <xf numFmtId="49" fontId="45" fillId="38" borderId="235" applyNumberFormat="1" applyFont="1" applyFill="1" applyBorder="1" applyAlignment="1" applyProtection="0">
      <alignment vertical="bottom"/>
    </xf>
    <xf numFmtId="0" fontId="45" fillId="38" borderId="236" applyNumberFormat="0" applyFont="1" applyFill="1" applyBorder="1" applyAlignment="1" applyProtection="0">
      <alignment vertical="bottom"/>
    </xf>
    <xf numFmtId="49" fontId="45" fillId="38" borderId="236" applyNumberFormat="1" applyFont="1" applyFill="1" applyBorder="1" applyAlignment="1" applyProtection="0">
      <alignment horizontal="center" vertical="bottom"/>
    </xf>
    <xf numFmtId="0" fontId="45" fillId="38" borderId="236" applyNumberFormat="0" applyFont="1" applyFill="1" applyBorder="1" applyAlignment="1" applyProtection="0">
      <alignment horizontal="center" vertical="bottom"/>
    </xf>
    <xf numFmtId="0" fontId="46" fillId="38" borderId="236" applyNumberFormat="0" applyFont="1" applyFill="1" applyBorder="1" applyAlignment="1" applyProtection="0">
      <alignment vertical="bottom"/>
    </xf>
    <xf numFmtId="0" fontId="46" fillId="38" borderId="237" applyNumberFormat="0" applyFont="1" applyFill="1" applyBorder="1" applyAlignment="1" applyProtection="0">
      <alignment vertical="bottom"/>
    </xf>
    <xf numFmtId="49" fontId="7" fillId="39" borderId="238" applyNumberFormat="1" applyFont="1" applyFill="1" applyBorder="1" applyAlignment="1" applyProtection="0">
      <alignment horizontal="center" vertical="bottom"/>
    </xf>
    <xf numFmtId="49" fontId="7" fillId="39" borderId="239" applyNumberFormat="1" applyFont="1" applyFill="1" applyBorder="1" applyAlignment="1" applyProtection="0">
      <alignment horizontal="center" vertical="bottom"/>
    </xf>
    <xf numFmtId="74" fontId="7" fillId="39" borderId="239" applyNumberFormat="1" applyFont="1" applyFill="1" applyBorder="1" applyAlignment="1" applyProtection="0">
      <alignment horizontal="center" vertical="bottom"/>
    </xf>
    <xf numFmtId="75" fontId="7" fillId="39" borderId="239" applyNumberFormat="1" applyFont="1" applyFill="1" applyBorder="1" applyAlignment="1" applyProtection="0">
      <alignment horizontal="center" vertical="bottom"/>
    </xf>
    <xf numFmtId="49" fontId="7" fillId="39" borderId="240" applyNumberFormat="1" applyFont="1" applyFill="1" applyBorder="1" applyAlignment="1" applyProtection="0">
      <alignment horizontal="center" vertical="bottom"/>
    </xf>
    <xf numFmtId="0" fontId="8" fillId="22" borderId="238" applyNumberFormat="1" applyFont="1" applyFill="1" applyBorder="1" applyAlignment="1" applyProtection="0">
      <alignment vertical="bottom"/>
    </xf>
    <xf numFmtId="49" fontId="8" fillId="22" borderId="239" applyNumberFormat="1" applyFont="1" applyFill="1" applyBorder="1" applyAlignment="1" applyProtection="0">
      <alignment vertical="bottom"/>
    </xf>
    <xf numFmtId="74" fontId="8" fillId="22" borderId="239" applyNumberFormat="1" applyFont="1" applyFill="1" applyBorder="1" applyAlignment="1" applyProtection="0">
      <alignment vertical="bottom"/>
    </xf>
    <xf numFmtId="74" fontId="7" fillId="22" borderId="239" applyNumberFormat="1" applyFont="1" applyFill="1" applyBorder="1" applyAlignment="1" applyProtection="0">
      <alignment horizontal="center" vertical="bottom"/>
    </xf>
    <xf numFmtId="74" fontId="8" fillId="22" borderId="240" applyNumberFormat="1" applyFont="1" applyFill="1" applyBorder="1" applyAlignment="1" applyProtection="0">
      <alignment vertical="bottom"/>
    </xf>
    <xf numFmtId="49" fontId="8" fillId="22" borderId="239" applyNumberFormat="1" applyFont="1" applyFill="1" applyBorder="1" applyAlignment="1" applyProtection="0">
      <alignment vertical="bottom" wrapText="1"/>
    </xf>
    <xf numFmtId="0" fontId="7" fillId="39" borderId="238" applyNumberFormat="0" applyFont="1" applyFill="1" applyBorder="1" applyAlignment="1" applyProtection="0">
      <alignment horizontal="center" vertical="bottom"/>
    </xf>
    <xf numFmtId="0" fontId="7" fillId="39" borderId="239" applyNumberFormat="0" applyFont="1" applyFill="1" applyBorder="1" applyAlignment="1" applyProtection="0">
      <alignment horizontal="center" vertical="bottom"/>
    </xf>
    <xf numFmtId="0" fontId="0" fillId="4" borderId="272" applyNumberFormat="0" applyFont="1" applyFill="1" applyBorder="1" applyAlignment="1" applyProtection="0">
      <alignment vertical="bottom"/>
    </xf>
    <xf numFmtId="49" fontId="45" fillId="38" borderId="238" applyNumberFormat="1" applyFont="1" applyFill="1" applyBorder="1" applyAlignment="1" applyProtection="0">
      <alignment vertical="bottom"/>
    </xf>
    <xf numFmtId="0" fontId="45" fillId="38" borderId="239" applyNumberFormat="0" applyFont="1" applyFill="1" applyBorder="1" applyAlignment="1" applyProtection="0">
      <alignment vertical="bottom"/>
    </xf>
    <xf numFmtId="74" fontId="45" fillId="38" borderId="239" applyNumberFormat="1" applyFont="1" applyFill="1" applyBorder="1" applyAlignment="1" applyProtection="0">
      <alignment vertical="bottom"/>
    </xf>
    <xf numFmtId="0" fontId="45" fillId="38" borderId="240" applyNumberFormat="0" applyFont="1" applyFill="1" applyBorder="1" applyAlignment="1" applyProtection="0">
      <alignment vertical="bottom"/>
    </xf>
    <xf numFmtId="0" fontId="7" fillId="39" borderId="238" applyNumberFormat="0" applyFont="1" applyFill="1" applyBorder="1" applyAlignment="1" applyProtection="0">
      <alignment vertical="bottom"/>
    </xf>
    <xf numFmtId="0" fontId="7" fillId="39" borderId="239" applyNumberFormat="0" applyFont="1" applyFill="1" applyBorder="1" applyAlignment="1" applyProtection="0">
      <alignment vertical="bottom"/>
    </xf>
    <xf numFmtId="49" fontId="7" fillId="39" borderId="239" applyNumberFormat="1" applyFont="1" applyFill="1" applyBorder="1" applyAlignment="1" applyProtection="0">
      <alignment vertical="bottom"/>
    </xf>
    <xf numFmtId="74" fontId="7" fillId="39" borderId="239" applyNumberFormat="1" applyFont="1" applyFill="1" applyBorder="1" applyAlignment="1" applyProtection="0">
      <alignment vertical="bottom"/>
    </xf>
    <xf numFmtId="0" fontId="46" fillId="38" borderId="273" applyNumberFormat="0" applyFont="1" applyFill="1" applyBorder="1" applyAlignment="1" applyProtection="0">
      <alignment vertical="bottom"/>
    </xf>
    <xf numFmtId="0" fontId="46" fillId="38" borderId="274" applyNumberFormat="0" applyFont="1" applyFill="1" applyBorder="1" applyAlignment="1" applyProtection="0">
      <alignment vertical="bottom"/>
    </xf>
    <xf numFmtId="49" fontId="45" fillId="38" borderId="274" applyNumberFormat="1" applyFont="1" applyFill="1" applyBorder="1" applyAlignment="1" applyProtection="0">
      <alignment vertical="bottom"/>
    </xf>
    <xf numFmtId="74" fontId="45" fillId="38" borderId="274" applyNumberFormat="1" applyFont="1" applyFill="1" applyBorder="1" applyAlignment="1" applyProtection="0">
      <alignment vertical="bottom"/>
    </xf>
    <xf numFmtId="74" fontId="0" fillId="4" borderId="272" applyNumberFormat="1" applyFont="1" applyFill="1" applyBorder="1" applyAlignment="1" applyProtection="0">
      <alignment vertical="bottom"/>
    </xf>
    <xf numFmtId="0" fontId="0" fillId="16" borderId="44" applyNumberFormat="0" applyFont="1" applyFill="1" applyBorder="1" applyAlignment="1" applyProtection="0">
      <alignment vertical="bottom"/>
    </xf>
    <xf numFmtId="74" fontId="0" fillId="16" borderId="44" applyNumberFormat="1" applyFont="1" applyFill="1" applyBorder="1" applyAlignment="1" applyProtection="0">
      <alignment vertical="bottom"/>
    </xf>
    <xf numFmtId="0" fontId="0" fillId="16" borderId="10" applyNumberFormat="0" applyFont="1" applyFill="1" applyBorder="1" applyAlignment="1" applyProtection="0">
      <alignment vertical="bottom"/>
    </xf>
    <xf numFmtId="74" fontId="0" fillId="16" borderId="10" applyNumberFormat="1" applyFont="1" applyFill="1" applyBorder="1" applyAlignment="1" applyProtection="0">
      <alignment vertical="bottom"/>
    </xf>
    <xf numFmtId="0" fontId="0" fillId="16" borderId="11" applyNumberFormat="0" applyFont="1" applyFill="1" applyBorder="1" applyAlignment="1" applyProtection="0">
      <alignment vertical="bottom"/>
    </xf>
    <xf numFmtId="0" fontId="0" fillId="16" borderId="275" applyNumberFormat="0" applyFont="1" applyFill="1" applyBorder="1" applyAlignment="1" applyProtection="0">
      <alignment vertical="bottom"/>
    </xf>
    <xf numFmtId="74" fontId="0" fillId="16" borderId="275" applyNumberFormat="1" applyFont="1" applyFill="1" applyBorder="1" applyAlignment="1" applyProtection="0">
      <alignment vertical="bottom"/>
    </xf>
    <xf numFmtId="0" fontId="0" fillId="16" borderId="21" applyNumberFormat="0" applyFont="1" applyFill="1" applyBorder="1" applyAlignment="1" applyProtection="0">
      <alignment vertical="bottom"/>
    </xf>
    <xf numFmtId="0" fontId="0" fillId="16" borderId="76" applyNumberFormat="0" applyFont="1" applyFill="1" applyBorder="1" applyAlignment="1" applyProtection="0">
      <alignment vertical="bottom"/>
    </xf>
    <xf numFmtId="0" fontId="0" fillId="16" borderId="276" applyNumberFormat="0" applyFont="1" applyFill="1" applyBorder="1" applyAlignment="1" applyProtection="0">
      <alignment vertical="bottom"/>
    </xf>
    <xf numFmtId="0" fontId="0" fillId="16" borderId="74" applyNumberFormat="0" applyFont="1" applyFill="1" applyBorder="1" applyAlignment="1" applyProtection="0">
      <alignment vertical="bottom"/>
    </xf>
    <xf numFmtId="0" fontId="0" applyNumberFormat="1" applyFont="1" applyFill="0" applyBorder="0" applyAlignment="1" applyProtection="0">
      <alignment vertical="bottom"/>
    </xf>
    <xf numFmtId="0" fontId="8" fillId="22" borderId="238" applyNumberFormat="0" applyFont="1" applyFill="1" applyBorder="1" applyAlignment="1" applyProtection="0">
      <alignment vertical="bottom"/>
    </xf>
    <xf numFmtId="74" fontId="7" fillId="39" borderId="240" applyNumberFormat="1" applyFont="1" applyFill="1" applyBorder="1" applyAlignment="1" applyProtection="0">
      <alignment horizontal="center" vertical="bottom"/>
    </xf>
    <xf numFmtId="74" fontId="7" fillId="39" borderId="240" applyNumberFormat="1" applyFont="1" applyFill="1" applyBorder="1" applyAlignment="1" applyProtection="0">
      <alignment vertical="bottom"/>
    </xf>
    <xf numFmtId="74" fontId="45" fillId="38" borderId="277" applyNumberFormat="1" applyFont="1" applyFill="1" applyBorder="1" applyAlignment="1" applyProtection="0">
      <alignment vertical="bottom"/>
    </xf>
    <xf numFmtId="74" fontId="0" fillId="4" borderId="150" applyNumberFormat="1" applyFont="1" applyFill="1" applyBorder="1" applyAlignment="1" applyProtection="0">
      <alignment vertical="bottom"/>
    </xf>
    <xf numFmtId="0" fontId="0" fillId="4" applyNumberFormat="1" applyFont="1" applyFill="1" applyBorder="0" applyAlignment="1" applyProtection="0">
      <alignment vertical="bottom"/>
    </xf>
    <xf numFmtId="49" fontId="9" fillId="40" borderId="24" applyNumberFormat="1" applyFont="1" applyFill="1" applyBorder="1" applyAlignment="1" applyProtection="0">
      <alignment vertical="bottom"/>
    </xf>
    <xf numFmtId="49" fontId="9" fillId="40" borderId="25" applyNumberFormat="1" applyFont="1" applyFill="1" applyBorder="1" applyAlignment="1" applyProtection="0">
      <alignment horizontal="center" vertical="bottom" wrapText="1"/>
    </xf>
    <xf numFmtId="49" fontId="9" fillId="40" borderId="25" applyNumberFormat="1" applyFont="1" applyFill="1" applyBorder="1" applyAlignment="1" applyProtection="0">
      <alignment horizontal="center" vertical="bottom"/>
    </xf>
    <xf numFmtId="0" fontId="9" fillId="40" borderId="25" applyNumberFormat="0" applyFont="1" applyFill="1" applyBorder="1" applyAlignment="1" applyProtection="0">
      <alignment horizontal="center" vertical="bottom" wrapText="1"/>
    </xf>
    <xf numFmtId="49" fontId="9" fillId="40" borderId="26" applyNumberFormat="1" applyFont="1" applyFill="1" applyBorder="1" applyAlignment="1" applyProtection="0">
      <alignment horizontal="center" vertical="bottom" wrapText="1"/>
    </xf>
    <xf numFmtId="0" fontId="9" fillId="40" borderId="15" applyNumberFormat="0" applyFont="1" applyFill="1" applyBorder="1" applyAlignment="1" applyProtection="0">
      <alignment vertical="bottom"/>
    </xf>
    <xf numFmtId="0" fontId="9" fillId="40" borderId="16" applyNumberFormat="0" applyFont="1" applyFill="1" applyBorder="1" applyAlignment="1" applyProtection="0">
      <alignment horizontal="center" vertical="bottom" wrapText="1"/>
    </xf>
    <xf numFmtId="0" fontId="0" fillId="40" borderId="16" applyNumberFormat="0" applyFont="1" applyFill="1" applyBorder="1" applyAlignment="1" applyProtection="0">
      <alignment vertical="bottom"/>
    </xf>
    <xf numFmtId="0" fontId="9" fillId="40" borderId="17" applyNumberFormat="0" applyFont="1" applyFill="1" applyBorder="1" applyAlignment="1" applyProtection="0">
      <alignment horizontal="center" vertical="bottom" wrapText="1"/>
    </xf>
    <xf numFmtId="49" fontId="9" fillId="40" borderId="15" applyNumberFormat="1" applyFont="1" applyFill="1" applyBorder="1" applyAlignment="1" applyProtection="0">
      <alignment vertical="bottom"/>
    </xf>
    <xf numFmtId="61" fontId="9" fillId="40" borderId="16" applyNumberFormat="1" applyFont="1" applyFill="1" applyBorder="1" applyAlignment="1" applyProtection="0">
      <alignment vertical="bottom"/>
    </xf>
    <xf numFmtId="64" fontId="9" fillId="40" borderId="17" applyNumberFormat="1" applyFont="1" applyFill="1" applyBorder="1" applyAlignment="1" applyProtection="0">
      <alignment vertical="bottom"/>
    </xf>
    <xf numFmtId="0" fontId="0" fillId="40" borderId="15" applyNumberFormat="0" applyFont="1" applyFill="1" applyBorder="1" applyAlignment="1" applyProtection="0">
      <alignment vertical="bottom"/>
    </xf>
    <xf numFmtId="61" fontId="0" fillId="40" borderId="16" applyNumberFormat="1" applyFont="1" applyFill="1" applyBorder="1" applyAlignment="1" applyProtection="0">
      <alignment vertical="bottom"/>
    </xf>
    <xf numFmtId="64" fontId="0" fillId="40" borderId="17" applyNumberFormat="1" applyFont="1" applyFill="1" applyBorder="1" applyAlignment="1" applyProtection="0">
      <alignment vertical="bottom"/>
    </xf>
    <xf numFmtId="49" fontId="0" fillId="40" borderId="15" applyNumberFormat="1" applyFont="1" applyFill="1" applyBorder="1" applyAlignment="1" applyProtection="0">
      <alignment vertical="bottom"/>
    </xf>
    <xf numFmtId="65" fontId="0" fillId="40" borderId="16" applyNumberFormat="1" applyFont="1" applyFill="1" applyBorder="1" applyAlignment="1" applyProtection="0">
      <alignment vertical="bottom"/>
    </xf>
    <xf numFmtId="65" fontId="10" fillId="40" borderId="16" applyNumberFormat="1" applyFont="1" applyFill="1" applyBorder="1" applyAlignment="1" applyProtection="0">
      <alignment vertical="bottom"/>
    </xf>
    <xf numFmtId="0" fontId="9" fillId="40" borderId="112" applyNumberFormat="0" applyFont="1" applyFill="1" applyBorder="1" applyAlignment="1" applyProtection="0">
      <alignment vertical="bottom"/>
    </xf>
    <xf numFmtId="61" fontId="9" fillId="40" borderId="113" applyNumberFormat="1" applyFont="1" applyFill="1" applyBorder="1" applyAlignment="1" applyProtection="0">
      <alignment vertical="bottom"/>
    </xf>
    <xf numFmtId="64" fontId="0" fillId="40" borderId="278" applyNumberFormat="1" applyFont="1" applyFill="1" applyBorder="1" applyAlignment="1" applyProtection="0">
      <alignment vertical="bottom"/>
    </xf>
    <xf numFmtId="0" fontId="0" fillId="4" applyNumberFormat="1" applyFont="1" applyFill="1" applyBorder="0" applyAlignment="1" applyProtection="0">
      <alignment vertical="bottom"/>
    </xf>
    <xf numFmtId="0" fontId="0" fillId="4" borderId="279" applyNumberFormat="0" applyFont="1" applyFill="1" applyBorder="1" applyAlignment="1" applyProtection="0">
      <alignment vertical="bottom"/>
    </xf>
    <xf numFmtId="65" fontId="40" fillId="4" borderId="280" applyNumberFormat="1" applyFont="1" applyFill="1" applyBorder="1" applyAlignment="1" applyProtection="0">
      <alignment horizontal="left" vertical="bottom"/>
    </xf>
    <xf numFmtId="0" fontId="0" fillId="4" borderId="281" applyNumberFormat="0" applyFont="1" applyFill="1" applyBorder="1" applyAlignment="1" applyProtection="0">
      <alignment vertical="bottom"/>
    </xf>
    <xf numFmtId="49" fontId="0" fillId="4" borderId="150" applyNumberFormat="1" applyFont="1" applyFill="1" applyBorder="1" applyAlignment="1" applyProtection="0">
      <alignment vertical="bottom"/>
    </xf>
    <xf numFmtId="0" fontId="0" fillId="4" applyNumberFormat="1" applyFont="1" applyFill="1" applyBorder="0" applyAlignment="1" applyProtection="0">
      <alignment vertical="bottom"/>
    </xf>
    <xf numFmtId="61" fontId="9" fillId="40" borderId="16" applyNumberFormat="1" applyFont="1" applyFill="1" applyBorder="1" applyAlignment="1" applyProtection="0">
      <alignment horizontal="center" vertical="bottom" wrapText="1"/>
    </xf>
    <xf numFmtId="61" fontId="9" fillId="40" borderId="17" applyNumberFormat="1" applyFont="1" applyFill="1" applyBorder="1" applyAlignment="1" applyProtection="0">
      <alignment horizontal="center" vertical="bottom" wrapText="1"/>
    </xf>
    <xf numFmtId="0" fontId="10" fillId="40" borderId="16" applyNumberFormat="0" applyFont="1" applyFill="1" applyBorder="1" applyAlignment="1" applyProtection="0">
      <alignment vertical="bottom"/>
    </xf>
    <xf numFmtId="49" fontId="10" fillId="40" borderId="15" applyNumberFormat="1" applyFont="1" applyFill="1" applyBorder="1" applyAlignment="1" applyProtection="0">
      <alignment vertical="bottom"/>
    </xf>
    <xf numFmtId="61" fontId="10" fillId="40" borderId="16" applyNumberFormat="1" applyFont="1" applyFill="1" applyBorder="1" applyAlignment="1" applyProtection="0">
      <alignment vertical="bottom"/>
    </xf>
    <xf numFmtId="64" fontId="10" fillId="40" borderId="17" applyNumberFormat="1" applyFont="1" applyFill="1" applyBorder="1" applyAlignment="1" applyProtection="0">
      <alignment vertical="bottom"/>
    </xf>
    <xf numFmtId="65" fontId="9" fillId="40" borderId="16" applyNumberFormat="1" applyFont="1" applyFill="1" applyBorder="1" applyAlignment="1" applyProtection="0">
      <alignment vertical="bottom"/>
    </xf>
    <xf numFmtId="64" fontId="9" fillId="40" borderId="17" applyNumberFormat="1" applyFont="1" applyFill="1" applyBorder="1" applyAlignment="1" applyProtection="0">
      <alignment horizontal="center" vertical="bottom" wrapText="1"/>
    </xf>
    <xf numFmtId="64" fontId="0" fillId="4" borderId="11" applyNumberFormat="1" applyFont="1" applyFill="1" applyBorder="1" applyAlignment="1" applyProtection="0">
      <alignment vertical="bottom"/>
    </xf>
    <xf numFmtId="0" fontId="0" fillId="4" borderId="282" applyNumberFormat="0" applyFont="1" applyFill="1" applyBorder="1" applyAlignment="1" applyProtection="0">
      <alignment vertical="bottom"/>
    </xf>
    <xf numFmtId="0" fontId="0" fillId="4" borderId="283" applyNumberFormat="0" applyFont="1" applyFill="1" applyBorder="1" applyAlignment="1" applyProtection="0">
      <alignment vertical="bottom"/>
    </xf>
    <xf numFmtId="0" fontId="10" fillId="40" borderId="16" applyNumberFormat="0" applyFont="1" applyFill="1" applyBorder="1" applyAlignment="1" applyProtection="0">
      <alignment horizontal="right" vertical="bottom"/>
    </xf>
    <xf numFmtId="9" fontId="40" fillId="4" borderId="280" applyNumberFormat="1" applyFont="1" applyFill="1" applyBorder="1" applyAlignment="1" applyProtection="0">
      <alignment horizontal="left" vertical="bottom"/>
    </xf>
    <xf numFmtId="0" fontId="0" fillId="4" borderId="284" applyNumberFormat="0" applyFont="1" applyFill="1" applyBorder="1" applyAlignment="1" applyProtection="0">
      <alignment vertical="bottom"/>
    </xf>
    <xf numFmtId="65" fontId="10" fillId="40" borderId="16" applyNumberFormat="1" applyFont="1" applyFill="1" applyBorder="1" applyAlignment="1" applyProtection="0">
      <alignment horizontal="right" vertical="bottom"/>
    </xf>
    <xf numFmtId="65" fontId="9" fillId="40" borderId="16" applyNumberFormat="1" applyFont="1" applyFill="1" applyBorder="1" applyAlignment="1" applyProtection="0">
      <alignment horizontal="right" vertical="bottom"/>
    </xf>
    <xf numFmtId="0" fontId="0" fillId="4" borderId="285" applyNumberFormat="0" applyFont="1" applyFill="1" applyBorder="1" applyAlignment="1" applyProtection="0">
      <alignment vertical="bottom"/>
    </xf>
    <xf numFmtId="4" fontId="0" fillId="4" borderId="11" applyNumberFormat="1" applyFont="1" applyFill="1" applyBorder="1" applyAlignment="1" applyProtection="0">
      <alignment vertical="bottom"/>
    </xf>
    <xf numFmtId="0" fontId="10" fillId="40" borderId="18" applyNumberFormat="0" applyFont="1" applyFill="1" applyBorder="1" applyAlignment="1" applyProtection="0">
      <alignment vertical="bottom"/>
    </xf>
    <xf numFmtId="61" fontId="10" fillId="40" borderId="19" applyNumberFormat="1" applyFont="1" applyFill="1" applyBorder="1" applyAlignment="1" applyProtection="0">
      <alignment vertical="bottom"/>
    </xf>
    <xf numFmtId="65" fontId="10" fillId="40" borderId="19" applyNumberFormat="1" applyFont="1" applyFill="1" applyBorder="1" applyAlignment="1" applyProtection="0">
      <alignment horizontal="right" vertical="bottom"/>
    </xf>
    <xf numFmtId="64" fontId="10" fillId="40" borderId="20" applyNumberFormat="1" applyFont="1" applyFill="1" applyBorder="1" applyAlignment="1" applyProtection="0">
      <alignment vertical="bottom"/>
    </xf>
    <xf numFmtId="0" fontId="0" fillId="4" applyNumberFormat="1" applyFont="1" applyFill="1" applyBorder="0" applyAlignment="1" applyProtection="0">
      <alignment vertical="bottom"/>
    </xf>
    <xf numFmtId="0" fontId="9" fillId="24" borderId="81" applyNumberFormat="0" applyFont="1" applyFill="1" applyBorder="1" applyAlignment="1" applyProtection="0">
      <alignment horizontal="right" vertical="bottom"/>
    </xf>
    <xf numFmtId="0" fontId="9" fillId="24" borderId="44" applyNumberFormat="0" applyFont="1" applyFill="1" applyBorder="1" applyAlignment="1" applyProtection="0">
      <alignment horizontal="right" vertical="bottom"/>
    </xf>
    <xf numFmtId="0" fontId="9" fillId="24" borderId="82" applyNumberFormat="0" applyFont="1" applyFill="1" applyBorder="1" applyAlignment="1" applyProtection="0">
      <alignment horizontal="right" vertical="bottom"/>
    </xf>
    <xf numFmtId="49" fontId="10" fillId="24" borderId="83" applyNumberFormat="1" applyFont="1" applyFill="1" applyBorder="1" applyAlignment="1" applyProtection="0">
      <alignment horizontal="center" vertical="bottom"/>
    </xf>
    <xf numFmtId="49" fontId="9" fillId="24" borderId="83" applyNumberFormat="1" applyFont="1" applyFill="1" applyBorder="1" applyAlignment="1" applyProtection="0">
      <alignment horizontal="center" vertical="bottom"/>
    </xf>
    <xf numFmtId="66" fontId="10" fillId="24" borderId="84" applyNumberFormat="1" applyFont="1" applyFill="1" applyBorder="1" applyAlignment="1" applyProtection="0">
      <alignment horizontal="center" vertical="bottom"/>
    </xf>
    <xf numFmtId="49" fontId="24" fillId="24" borderId="85" applyNumberFormat="1" applyFont="1" applyFill="1" applyBorder="1" applyAlignment="1" applyProtection="0">
      <alignment horizontal="right" vertical="bottom"/>
    </xf>
    <xf numFmtId="0" fontId="9" fillId="24" borderId="86" applyNumberFormat="0" applyFont="1" applyFill="1" applyBorder="1" applyAlignment="1" applyProtection="0">
      <alignment horizontal="right" vertical="bottom"/>
    </xf>
    <xf numFmtId="0" fontId="24" fillId="24" borderId="86" applyNumberFormat="0" applyFont="1" applyFill="1" applyBorder="1" applyAlignment="1" applyProtection="0">
      <alignment horizontal="left" vertical="bottom"/>
    </xf>
    <xf numFmtId="0" fontId="9" fillId="24" borderId="87" applyNumberFormat="0" applyFont="1" applyFill="1" applyBorder="1" applyAlignment="1" applyProtection="0">
      <alignment horizontal="right" vertical="bottom"/>
    </xf>
    <xf numFmtId="49" fontId="10" fillId="24" borderId="88" applyNumberFormat="1" applyFont="1" applyFill="1" applyBorder="1" applyAlignment="1" applyProtection="0">
      <alignment horizontal="center" vertical="bottom"/>
    </xf>
    <xf numFmtId="49" fontId="9" fillId="24" borderId="88" applyNumberFormat="1" applyFont="1" applyFill="1" applyBorder="1" applyAlignment="1" applyProtection="0">
      <alignment horizontal="center" vertical="bottom"/>
    </xf>
    <xf numFmtId="66" fontId="10" fillId="24" borderId="89" applyNumberFormat="1" applyFont="1" applyFill="1" applyBorder="1" applyAlignment="1" applyProtection="0">
      <alignment horizontal="center" vertical="bottom"/>
    </xf>
    <xf numFmtId="49" fontId="9" fillId="24" borderId="90" applyNumberFormat="1" applyFont="1" applyFill="1" applyBorder="1" applyAlignment="1" applyProtection="0">
      <alignment horizontal="left" vertical="bottom"/>
    </xf>
    <xf numFmtId="0" fontId="9" fillId="24" borderId="91" applyNumberFormat="0" applyFont="1" applyFill="1" applyBorder="1" applyAlignment="1" applyProtection="0">
      <alignment horizontal="right" vertical="bottom"/>
    </xf>
    <xf numFmtId="0" fontId="24" fillId="24" borderId="91" applyNumberFormat="0" applyFont="1" applyFill="1" applyBorder="1" applyAlignment="1" applyProtection="0">
      <alignment horizontal="left" vertical="bottom"/>
    </xf>
    <xf numFmtId="0" fontId="9" fillId="24" borderId="92" applyNumberFormat="0" applyFont="1" applyFill="1" applyBorder="1" applyAlignment="1" applyProtection="0">
      <alignment horizontal="right" vertical="bottom"/>
    </xf>
    <xf numFmtId="66" fontId="10" fillId="24" borderId="93" applyNumberFormat="1" applyFont="1" applyFill="1" applyBorder="1" applyAlignment="1" applyProtection="0">
      <alignment horizontal="center" vertical="bottom"/>
    </xf>
    <xf numFmtId="66" fontId="9" fillId="24" borderId="93" applyNumberFormat="1" applyFont="1" applyFill="1" applyBorder="1" applyAlignment="1" applyProtection="0">
      <alignment horizontal="center" vertical="bottom"/>
    </xf>
    <xf numFmtId="66" fontId="10" fillId="24" borderId="94" applyNumberFormat="1" applyFont="1" applyFill="1" applyBorder="1" applyAlignment="1" applyProtection="0">
      <alignment horizontal="center" vertical="bottom"/>
    </xf>
    <xf numFmtId="49" fontId="24" fillId="24" borderId="95" applyNumberFormat="1" applyFont="1" applyFill="1" applyBorder="1" applyAlignment="1" applyProtection="0">
      <alignment horizontal="left" vertical="bottom"/>
    </xf>
    <xf numFmtId="0" fontId="9" fillId="24" borderId="96" applyNumberFormat="0" applyFont="1" applyFill="1" applyBorder="1" applyAlignment="1" applyProtection="0">
      <alignment horizontal="right" vertical="bottom"/>
    </xf>
    <xf numFmtId="0" fontId="24" fillId="24" borderId="96" applyNumberFormat="0" applyFont="1" applyFill="1" applyBorder="1" applyAlignment="1" applyProtection="0">
      <alignment horizontal="left" vertical="bottom"/>
    </xf>
    <xf numFmtId="0" fontId="9" fillId="24" borderId="97" applyNumberFormat="0" applyFont="1" applyFill="1" applyBorder="1" applyAlignment="1" applyProtection="0">
      <alignment horizontal="right" vertical="bottom"/>
    </xf>
    <xf numFmtId="66" fontId="10" fillId="24" borderId="16" applyNumberFormat="1" applyFont="1" applyFill="1" applyBorder="1" applyAlignment="1" applyProtection="0">
      <alignment horizontal="center" vertical="bottom"/>
    </xf>
    <xf numFmtId="63" fontId="10" fillId="24" borderId="16" applyNumberFormat="1" applyFont="1" applyFill="1" applyBorder="1" applyAlignment="1" applyProtection="0">
      <alignment horizontal="center" vertical="bottom"/>
    </xf>
    <xf numFmtId="66" fontId="9" fillId="24" borderId="16" applyNumberFormat="1" applyFont="1" applyFill="1" applyBorder="1" applyAlignment="1" applyProtection="0">
      <alignment horizontal="center" vertical="bottom"/>
    </xf>
    <xf numFmtId="66" fontId="10" fillId="24" borderId="17" applyNumberFormat="1" applyFont="1" applyFill="1" applyBorder="1" applyAlignment="1" applyProtection="0">
      <alignment horizontal="center" vertical="bottom"/>
    </xf>
    <xf numFmtId="0" fontId="10" fillId="24" borderId="95" applyNumberFormat="0" applyFont="1" applyFill="1" applyBorder="1" applyAlignment="1" applyProtection="0">
      <alignment horizontal="right" vertical="bottom"/>
    </xf>
    <xf numFmtId="0" fontId="10" fillId="24" borderId="96" applyNumberFormat="0" applyFont="1" applyFill="1" applyBorder="1" applyAlignment="1" applyProtection="0">
      <alignment horizontal="left" vertical="bottom"/>
    </xf>
    <xf numFmtId="49" fontId="10" fillId="24" borderId="96" applyNumberFormat="1" applyFont="1" applyFill="1" applyBorder="1" applyAlignment="1" applyProtection="0">
      <alignment horizontal="right" vertical="bottom"/>
    </xf>
    <xf numFmtId="67" fontId="0" fillId="24" borderId="97" applyNumberFormat="1" applyFont="1" applyFill="1" applyBorder="1" applyAlignment="1" applyProtection="0">
      <alignment vertical="bottom"/>
    </xf>
    <xf numFmtId="3" fontId="0" fillId="24" borderId="16" applyNumberFormat="1" applyFont="1" applyFill="1" applyBorder="1" applyAlignment="1" applyProtection="0">
      <alignment vertical="bottom" wrapText="1"/>
    </xf>
    <xf numFmtId="64" fontId="0" fillId="24" borderId="16" applyNumberFormat="1" applyFont="1" applyFill="1" applyBorder="1" applyAlignment="1" applyProtection="0">
      <alignment vertical="bottom"/>
    </xf>
    <xf numFmtId="3" fontId="0" fillId="24" borderId="16" applyNumberFormat="1" applyFont="1" applyFill="1" applyBorder="1" applyAlignment="1" applyProtection="0">
      <alignment vertical="bottom"/>
    </xf>
    <xf numFmtId="3" fontId="0" fillId="24" borderId="17" applyNumberFormat="1" applyFont="1" applyFill="1" applyBorder="1" applyAlignment="1" applyProtection="0">
      <alignment vertical="bottom"/>
    </xf>
    <xf numFmtId="67" fontId="24" fillId="24" borderId="96" applyNumberFormat="1" applyFont="1" applyFill="1" applyBorder="1" applyAlignment="1" applyProtection="0">
      <alignment horizontal="right" vertical="bottom"/>
    </xf>
    <xf numFmtId="0" fontId="9" fillId="24" borderId="95" applyNumberFormat="0" applyFont="1" applyFill="1" applyBorder="1" applyAlignment="1" applyProtection="0">
      <alignment horizontal="left" vertical="bottom"/>
    </xf>
    <xf numFmtId="64" fontId="0" fillId="24" borderId="17" applyNumberFormat="1" applyFont="1" applyFill="1" applyBorder="1" applyAlignment="1" applyProtection="0">
      <alignment vertical="bottom"/>
    </xf>
    <xf numFmtId="67" fontId="10" fillId="24" borderId="96" applyNumberFormat="1" applyFont="1" applyFill="1" applyBorder="1" applyAlignment="1" applyProtection="0">
      <alignment horizontal="right" vertical="bottom"/>
    </xf>
    <xf numFmtId="64" fontId="0" fillId="24" borderId="286" applyNumberFormat="1" applyFont="1" applyFill="1" applyBorder="1" applyAlignment="1" applyProtection="0">
      <alignment vertical="bottom"/>
    </xf>
    <xf numFmtId="49" fontId="0" fillId="24" borderId="286" applyNumberFormat="1" applyFont="1" applyFill="1" applyBorder="1" applyAlignment="1" applyProtection="0">
      <alignment vertical="bottom"/>
    </xf>
    <xf numFmtId="64" fontId="0" fillId="24" borderId="93" applyNumberFormat="1" applyFont="1" applyFill="1" applyBorder="1" applyAlignment="1" applyProtection="0">
      <alignment vertical="bottom"/>
    </xf>
    <xf numFmtId="0" fontId="10" fillId="24" borderId="98" applyNumberFormat="0" applyFont="1" applyFill="1" applyBorder="1" applyAlignment="1" applyProtection="0">
      <alignment horizontal="right" vertical="bottom"/>
    </xf>
    <xf numFmtId="0" fontId="10" fillId="24" borderId="99" applyNumberFormat="0" applyFont="1" applyFill="1" applyBorder="1" applyAlignment="1" applyProtection="0">
      <alignment horizontal="left" vertical="bottom"/>
    </xf>
    <xf numFmtId="67" fontId="10" fillId="24" borderId="99" applyNumberFormat="1" applyFont="1" applyFill="1" applyBorder="1" applyAlignment="1" applyProtection="0">
      <alignment horizontal="right" vertical="bottom"/>
    </xf>
    <xf numFmtId="67" fontId="0" fillId="24" borderId="100" applyNumberFormat="1" applyFont="1" applyFill="1" applyBorder="1" applyAlignment="1" applyProtection="0">
      <alignment vertical="bottom"/>
    </xf>
    <xf numFmtId="3" fontId="0" fillId="24" borderId="101" applyNumberFormat="1" applyFont="1" applyFill="1" applyBorder="1" applyAlignment="1" applyProtection="0">
      <alignment vertical="bottom"/>
    </xf>
    <xf numFmtId="3" fontId="0" fillId="24" borderId="102" applyNumberFormat="1" applyFont="1" applyFill="1" applyBorder="1" applyAlignment="1" applyProtection="0">
      <alignment vertical="bottom"/>
    </xf>
    <xf numFmtId="49" fontId="9" fillId="24" borderId="103" applyNumberFormat="1" applyFont="1" applyFill="1" applyBorder="1" applyAlignment="1" applyProtection="0">
      <alignment horizontal="left" vertical="bottom"/>
    </xf>
    <xf numFmtId="0" fontId="10" fillId="24" borderId="104" applyNumberFormat="0" applyFont="1" applyFill="1" applyBorder="1" applyAlignment="1" applyProtection="0">
      <alignment horizontal="left" vertical="bottom"/>
    </xf>
    <xf numFmtId="67" fontId="0" fillId="24" borderId="104" applyNumberFormat="1" applyFont="1" applyFill="1" applyBorder="1" applyAlignment="1" applyProtection="0">
      <alignment vertical="bottom"/>
    </xf>
    <xf numFmtId="67" fontId="0" fillId="24" borderId="105" applyNumberFormat="1" applyFont="1" applyFill="1" applyBorder="1" applyAlignment="1" applyProtection="0">
      <alignment vertical="bottom"/>
    </xf>
    <xf numFmtId="3" fontId="0" fillId="24" borderId="106" applyNumberFormat="1" applyFont="1" applyFill="1" applyBorder="1" applyAlignment="1" applyProtection="0">
      <alignment vertical="bottom"/>
    </xf>
    <xf numFmtId="3" fontId="0" fillId="24" borderId="107" applyNumberFormat="1" applyFont="1" applyFill="1" applyBorder="1" applyAlignment="1" applyProtection="0">
      <alignment vertical="bottom"/>
    </xf>
    <xf numFmtId="67" fontId="0" fillId="24" borderId="96" applyNumberFormat="1" applyFont="1" applyFill="1" applyBorder="1" applyAlignment="1" applyProtection="0">
      <alignment vertical="bottom"/>
    </xf>
    <xf numFmtId="49" fontId="36" fillId="4" borderId="11" applyNumberFormat="1" applyFont="1" applyFill="1" applyBorder="1" applyAlignment="1" applyProtection="0">
      <alignment horizontal="right" vertical="bottom"/>
    </xf>
    <xf numFmtId="64" fontId="36" fillId="4" borderId="11" applyNumberFormat="1" applyFont="1" applyFill="1" applyBorder="1" applyAlignment="1" applyProtection="0">
      <alignment vertical="bottom"/>
    </xf>
    <xf numFmtId="0" fontId="17" fillId="24" borderId="95" applyNumberFormat="0" applyFont="1" applyFill="1" applyBorder="1" applyAlignment="1" applyProtection="0">
      <alignment horizontal="right" vertical="bottom"/>
    </xf>
    <xf numFmtId="0" fontId="17" fillId="24" borderId="96" applyNumberFormat="0" applyFont="1" applyFill="1" applyBorder="1" applyAlignment="1" applyProtection="0">
      <alignment horizontal="left" vertical="bottom"/>
    </xf>
    <xf numFmtId="49" fontId="17" fillId="24" borderId="96" applyNumberFormat="1" applyFont="1" applyFill="1" applyBorder="1" applyAlignment="1" applyProtection="0">
      <alignment horizontal="right" vertical="bottom"/>
    </xf>
    <xf numFmtId="64" fontId="48" fillId="24" borderId="16" applyNumberFormat="1" applyFont="1" applyFill="1" applyBorder="1" applyAlignment="1" applyProtection="0">
      <alignment vertical="bottom"/>
    </xf>
    <xf numFmtId="0" fontId="10" fillId="4" borderId="11" applyNumberFormat="0" applyFont="1" applyFill="1" applyBorder="1" applyAlignment="1" applyProtection="0">
      <alignment vertical="bottom"/>
    </xf>
    <xf numFmtId="0" fontId="10" fillId="24" borderId="112" applyNumberFormat="0" applyFont="1" applyFill="1" applyBorder="1" applyAlignment="1" applyProtection="0">
      <alignment horizontal="right" vertical="bottom"/>
    </xf>
    <xf numFmtId="0" fontId="10" fillId="24" borderId="113" applyNumberFormat="0" applyFont="1" applyFill="1" applyBorder="1" applyAlignment="1" applyProtection="0">
      <alignment horizontal="left" vertical="bottom"/>
    </xf>
    <xf numFmtId="67" fontId="0" fillId="24" borderId="113" applyNumberFormat="1" applyFont="1" applyFill="1" applyBorder="1" applyAlignment="1" applyProtection="0">
      <alignment vertical="bottom"/>
    </xf>
    <xf numFmtId="67" fontId="0" fillId="24" borderId="114" applyNumberFormat="1" applyFont="1" applyFill="1" applyBorder="1" applyAlignment="1" applyProtection="0">
      <alignment vertical="bottom"/>
    </xf>
    <xf numFmtId="3" fontId="0" fillId="24" borderId="19" applyNumberFormat="1" applyFont="1" applyFill="1" applyBorder="1" applyAlignment="1" applyProtection="0">
      <alignment vertical="bottom"/>
    </xf>
    <xf numFmtId="3" fontId="0" fillId="24" borderId="20" applyNumberFormat="1" applyFont="1" applyFill="1" applyBorder="1" applyAlignment="1" applyProtection="0">
      <alignment vertical="bottom"/>
    </xf>
    <xf numFmtId="0" fontId="0" fillId="4" applyNumberFormat="1" applyFont="1" applyFill="1" applyBorder="0" applyAlignment="1" applyProtection="0">
      <alignment vertical="bottom"/>
    </xf>
    <xf numFmtId="0" fontId="0" applyNumberFormat="1" applyFont="1" applyFill="0" applyBorder="0" applyAlignment="1" applyProtection="0">
      <alignment vertical="bottom"/>
    </xf>
    <xf numFmtId="0" fontId="0" fillId="16" borderId="287" applyNumberFormat="0" applyFont="1" applyFill="1" applyBorder="1" applyAlignment="1" applyProtection="0">
      <alignment vertical="bottom"/>
    </xf>
    <xf numFmtId="49" fontId="49" fillId="16" borderId="288" applyNumberFormat="1" applyFont="1" applyFill="1" applyBorder="1" applyAlignment="1" applyProtection="0">
      <alignment vertical="bottom"/>
    </xf>
    <xf numFmtId="0" fontId="49" fillId="16" borderId="288" applyNumberFormat="0" applyFont="1" applyFill="1" applyBorder="1" applyAlignment="1" applyProtection="0">
      <alignment horizontal="left" vertical="bottom"/>
    </xf>
    <xf numFmtId="0" fontId="49" fillId="16" borderId="288" applyNumberFormat="0" applyFont="1" applyFill="1" applyBorder="1" applyAlignment="1" applyProtection="0">
      <alignment vertical="bottom"/>
    </xf>
    <xf numFmtId="0" fontId="0" fillId="16" borderId="289" applyNumberFormat="0" applyFont="1" applyFill="1" applyBorder="1" applyAlignment="1" applyProtection="0">
      <alignment vertical="bottom"/>
    </xf>
    <xf numFmtId="49" fontId="49" fillId="16" borderId="290" applyNumberFormat="1" applyFont="1" applyFill="1" applyBorder="1" applyAlignment="1" applyProtection="0">
      <alignment vertical="bottom"/>
    </xf>
    <xf numFmtId="4" fontId="49" fillId="16" borderId="290" applyNumberFormat="1" applyFont="1" applyFill="1" applyBorder="1" applyAlignment="1" applyProtection="0">
      <alignment vertical="bottom"/>
    </xf>
    <xf numFmtId="49" fontId="49" fillId="16" borderId="290" applyNumberFormat="1" applyFont="1" applyFill="1" applyBorder="1" applyAlignment="1" applyProtection="0">
      <alignment horizontal="left" vertical="bottom"/>
    </xf>
    <xf numFmtId="49" fontId="16" fillId="16" borderId="291" applyNumberFormat="1" applyFont="1" applyFill="1" applyBorder="1" applyAlignment="1" applyProtection="0">
      <alignment horizontal="left" vertical="bottom"/>
    </xf>
    <xf numFmtId="4" fontId="0" fillId="16" borderId="291" applyNumberFormat="1" applyFont="1" applyFill="1" applyBorder="1" applyAlignment="1" applyProtection="0">
      <alignment vertical="bottom"/>
    </xf>
    <xf numFmtId="49" fontId="0" fillId="16" borderId="287" applyNumberFormat="1" applyFont="1" applyFill="1" applyBorder="1" applyAlignment="1" applyProtection="0">
      <alignment vertical="bottom"/>
    </xf>
    <xf numFmtId="49" fontId="16" fillId="16" borderId="287" applyNumberFormat="1" applyFont="1" applyFill="1" applyBorder="1" applyAlignment="1" applyProtection="0">
      <alignment horizontal="left" vertical="bottom"/>
    </xf>
    <xf numFmtId="4" fontId="0" fillId="16" borderId="287" applyNumberFormat="1" applyFont="1" applyFill="1" applyBorder="1" applyAlignment="1" applyProtection="0">
      <alignment vertical="bottom"/>
    </xf>
    <xf numFmtId="64" fontId="0" fillId="16" borderId="287" applyNumberFormat="1" applyFont="1" applyFill="1" applyBorder="1" applyAlignment="1" applyProtection="0">
      <alignment vertical="bottom"/>
    </xf>
    <xf numFmtId="0" fontId="0" fillId="16" borderId="288" applyNumberFormat="0" applyFont="1" applyFill="1" applyBorder="1" applyAlignment="1" applyProtection="0">
      <alignment vertical="bottom"/>
    </xf>
    <xf numFmtId="0" fontId="0" fillId="16" borderId="292" applyNumberFormat="0" applyFont="1" applyFill="1" applyBorder="1" applyAlignment="1" applyProtection="0">
      <alignment vertical="bottom"/>
    </xf>
    <xf numFmtId="0" fontId="10" fillId="20" borderId="124" applyNumberFormat="0" applyFont="1" applyFill="1" applyBorder="1" applyAlignment="1" applyProtection="0">
      <alignment vertical="bottom"/>
    </xf>
    <xf numFmtId="0" fontId="0" fillId="16" borderId="293" applyNumberFormat="0" applyFont="1" applyFill="1" applyBorder="1" applyAlignment="1" applyProtection="0">
      <alignment vertical="bottom"/>
    </xf>
    <xf numFmtId="0" fontId="10" fillId="20" borderId="127" applyNumberFormat="0" applyFont="1" applyFill="1" applyBorder="1" applyAlignment="1" applyProtection="0">
      <alignment vertical="bottom"/>
    </xf>
    <xf numFmtId="4" fontId="10" fillId="20" borderId="131" applyNumberFormat="1" applyFont="1" applyFill="1" applyBorder="1" applyAlignment="1" applyProtection="0">
      <alignment vertical="bottom"/>
    </xf>
    <xf numFmtId="4" fontId="10" fillId="20" borderId="129" applyNumberFormat="1" applyFont="1" applyFill="1" applyBorder="1" applyAlignment="1" applyProtection="0">
      <alignment vertical="bottom"/>
    </xf>
    <xf numFmtId="4" fontId="10" fillId="20" borderId="10" applyNumberFormat="1" applyFont="1" applyFill="1" applyBorder="1" applyAlignment="1" applyProtection="0">
      <alignment vertical="bottom"/>
    </xf>
    <xf numFmtId="49" fontId="0" fillId="16" borderId="293" applyNumberFormat="1" applyFont="1" applyFill="1" applyBorder="1" applyAlignment="1" applyProtection="0">
      <alignment vertical="bottom"/>
    </xf>
    <xf numFmtId="4" fontId="10" fillId="20" borderId="128" applyNumberFormat="1" applyFont="1" applyFill="1" applyBorder="1" applyAlignment="1" applyProtection="0">
      <alignment vertical="bottom"/>
    </xf>
    <xf numFmtId="3" fontId="0" fillId="16" borderId="293" applyNumberFormat="1" applyFont="1" applyFill="1" applyBorder="1" applyAlignment="1" applyProtection="0">
      <alignment vertical="bottom"/>
    </xf>
    <xf numFmtId="49" fontId="49" fillId="16" borderId="287" applyNumberFormat="1" applyFont="1" applyFill="1" applyBorder="1" applyAlignment="1" applyProtection="0">
      <alignment horizontal="left" vertical="bottom"/>
    </xf>
    <xf numFmtId="49" fontId="0" fillId="16" borderId="294" applyNumberFormat="1" applyFont="1" applyFill="1" applyBorder="1" applyAlignment="1" applyProtection="0">
      <alignment vertical="bottom"/>
    </xf>
    <xf numFmtId="0" fontId="0" fillId="16" borderId="294" applyNumberFormat="0" applyFont="1" applyFill="1" applyBorder="1" applyAlignment="1" applyProtection="0">
      <alignment vertical="bottom"/>
    </xf>
    <xf numFmtId="0" fontId="0" fillId="16" borderId="295" applyNumberFormat="0" applyFont="1" applyFill="1" applyBorder="1" applyAlignment="1" applyProtection="0">
      <alignment vertical="bottom"/>
    </xf>
    <xf numFmtId="49" fontId="50" fillId="16" borderId="296" applyNumberFormat="1" applyFont="1" applyFill="1" applyBorder="1" applyAlignment="1" applyProtection="0">
      <alignment vertical="center"/>
    </xf>
    <xf numFmtId="4" fontId="50" fillId="16" borderId="297" applyNumberFormat="1" applyFont="1" applyFill="1" applyBorder="1" applyAlignment="1" applyProtection="0">
      <alignment horizontal="right" vertical="center"/>
    </xf>
    <xf numFmtId="4" fontId="50" fillId="41" borderId="297" applyNumberFormat="1" applyFont="1" applyFill="1" applyBorder="1" applyAlignment="1" applyProtection="0">
      <alignment horizontal="right" vertical="center"/>
    </xf>
    <xf numFmtId="4" fontId="50" fillId="41" borderId="298" applyNumberFormat="1" applyFont="1" applyFill="1" applyBorder="1" applyAlignment="1" applyProtection="0">
      <alignment horizontal="right" vertical="center"/>
    </xf>
    <xf numFmtId="49" fontId="50" fillId="16" borderId="299" applyNumberFormat="1" applyFont="1" applyFill="1" applyBorder="1" applyAlignment="1" applyProtection="0">
      <alignment vertical="center"/>
    </xf>
    <xf numFmtId="4" fontId="50" fillId="16" borderId="10" applyNumberFormat="1" applyFont="1" applyFill="1" applyBorder="1" applyAlignment="1" applyProtection="0">
      <alignment horizontal="right" vertical="center"/>
    </xf>
    <xf numFmtId="4" fontId="50" fillId="41" borderId="10" applyNumberFormat="1" applyFont="1" applyFill="1" applyBorder="1" applyAlignment="1" applyProtection="0">
      <alignment horizontal="right" vertical="center"/>
    </xf>
    <xf numFmtId="0" fontId="51" fillId="41" borderId="10" applyNumberFormat="1" applyFont="1" applyFill="1" applyBorder="1" applyAlignment="1" applyProtection="0">
      <alignment horizontal="right" vertical="center"/>
    </xf>
    <xf numFmtId="49" fontId="50" fillId="16" borderId="300" applyNumberFormat="1" applyFont="1" applyFill="1" applyBorder="1" applyAlignment="1" applyProtection="0">
      <alignment vertical="center"/>
    </xf>
    <xf numFmtId="4" fontId="50" fillId="16" borderId="301" applyNumberFormat="1" applyFont="1" applyFill="1" applyBorder="1" applyAlignment="1" applyProtection="0">
      <alignment horizontal="right" vertical="center"/>
    </xf>
    <xf numFmtId="0" fontId="51" fillId="41" borderId="301" applyNumberFormat="1" applyFont="1" applyFill="1" applyBorder="1" applyAlignment="1" applyProtection="0">
      <alignment horizontal="right" vertical="center"/>
    </xf>
    <xf numFmtId="4" fontId="50" fillId="41" borderId="302" applyNumberFormat="1" applyFont="1" applyFill="1" applyBorder="1" applyAlignment="1" applyProtection="0">
      <alignment horizontal="right" vertical="center"/>
    </xf>
    <xf numFmtId="0" fontId="0" fillId="16" borderId="303" applyNumberFormat="0" applyFont="1" applyFill="1" applyBorder="1" applyAlignment="1" applyProtection="0">
      <alignment vertical="bottom"/>
    </xf>
    <xf numFmtId="4" fontId="49" fillId="16" borderId="290" applyNumberFormat="1" applyFont="1" applyFill="1" applyBorder="1" applyAlignment="1" applyProtection="0">
      <alignment horizontal="left" vertical="bottom"/>
    </xf>
    <xf numFmtId="0" fontId="0" fillId="16" borderId="291" applyNumberFormat="0" applyFont="1" applyFill="1" applyBorder="1" applyAlignment="1" applyProtection="0">
      <alignment vertical="bottom"/>
    </xf>
    <xf numFmtId="0" fontId="0" applyNumberFormat="1" applyFont="1" applyFill="0" applyBorder="0" applyAlignment="1" applyProtection="0">
      <alignment vertical="bottom"/>
    </xf>
    <xf numFmtId="0" fontId="16" fillId="16" borderId="289" applyNumberFormat="0" applyFont="1" applyFill="1" applyBorder="1" applyAlignment="1" applyProtection="0">
      <alignment vertical="bottom"/>
    </xf>
    <xf numFmtId="4" fontId="16" fillId="16" borderId="291" applyNumberFormat="1" applyFont="1" applyFill="1" applyBorder="1" applyAlignment="1" applyProtection="0">
      <alignment vertical="bottom"/>
    </xf>
    <xf numFmtId="4" fontId="16" fillId="16" borderId="287" applyNumberFormat="1" applyFont="1" applyFill="1" applyBorder="1" applyAlignment="1" applyProtection="0">
      <alignment vertical="bottom"/>
    </xf>
    <xf numFmtId="49" fontId="16" fillId="16" borderId="287" applyNumberFormat="1" applyFont="1" applyFill="1" applyBorder="1" applyAlignment="1" applyProtection="0">
      <alignment vertical="bottom"/>
    </xf>
    <xf numFmtId="0" fontId="49" fillId="16" borderId="290" applyNumberFormat="1" applyFont="1" applyFill="1" applyBorder="1" applyAlignment="1" applyProtection="0">
      <alignment vertical="bottom"/>
    </xf>
    <xf numFmtId="0" fontId="49" fillId="16" borderId="290" applyNumberFormat="0" applyFont="1" applyFill="1" applyBorder="1" applyAlignment="1" applyProtection="0">
      <alignment vertical="bottom"/>
    </xf>
    <xf numFmtId="0" fontId="16" fillId="16" borderId="291" applyNumberFormat="0" applyFont="1" applyFill="1" applyBorder="1" applyAlignment="1" applyProtection="0">
      <alignment vertical="bottom"/>
    </xf>
    <xf numFmtId="0" fontId="0" applyNumberFormat="1" applyFont="1" applyFill="0" applyBorder="0" applyAlignment="1" applyProtection="0">
      <alignment vertical="bottom"/>
    </xf>
    <xf numFmtId="49" fontId="28" fillId="16" borderId="288" applyNumberFormat="1" applyFont="1" applyFill="1" applyBorder="1" applyAlignment="1" applyProtection="0">
      <alignment vertical="bottom"/>
    </xf>
    <xf numFmtId="49" fontId="28" fillId="16" borderId="288" applyNumberFormat="1" applyFont="1" applyFill="1" applyBorder="1" applyAlignment="1" applyProtection="0">
      <alignment vertical="bottom" wrapText="1"/>
    </xf>
    <xf numFmtId="49" fontId="52" fillId="16" borderId="290" applyNumberFormat="1" applyFont="1" applyFill="1" applyBorder="1" applyAlignment="1" applyProtection="0">
      <alignment vertical="bottom"/>
    </xf>
    <xf numFmtId="4" fontId="52" fillId="16" borderId="290" applyNumberFormat="1" applyFont="1" applyFill="1" applyBorder="1" applyAlignment="1" applyProtection="0">
      <alignment vertical="bottom"/>
    </xf>
    <xf numFmtId="49" fontId="53" fillId="16" borderId="291" applyNumberFormat="1" applyFont="1" applyFill="1" applyBorder="1" applyAlignment="1" applyProtection="0">
      <alignment horizontal="left" vertical="bottom"/>
    </xf>
    <xf numFmtId="4" fontId="53" fillId="16" borderId="291" applyNumberFormat="1" applyFont="1" applyFill="1" applyBorder="1" applyAlignment="1" applyProtection="0">
      <alignment vertical="bottom"/>
    </xf>
    <xf numFmtId="49" fontId="53" fillId="16" borderId="287" applyNumberFormat="1" applyFont="1" applyFill="1" applyBorder="1" applyAlignment="1" applyProtection="0">
      <alignment horizontal="left" vertical="bottom"/>
    </xf>
    <xf numFmtId="4" fontId="53" fillId="16" borderId="287" applyNumberFormat="1" applyFont="1" applyFill="1" applyBorder="1" applyAlignment="1" applyProtection="0">
      <alignment vertical="bottom"/>
    </xf>
    <xf numFmtId="49" fontId="53" fillId="16" borderId="287" applyNumberFormat="1" applyFont="1" applyFill="1" applyBorder="1" applyAlignment="1" applyProtection="0">
      <alignment vertical="bottom"/>
    </xf>
    <xf numFmtId="49" fontId="54" fillId="16" borderId="287" applyNumberFormat="1" applyFont="1" applyFill="1" applyBorder="1" applyAlignment="1" applyProtection="0">
      <alignment horizontal="left" vertical="bottom"/>
    </xf>
    <xf numFmtId="49" fontId="52" fillId="16" borderId="290"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55" fillId="16" borderId="288" applyNumberFormat="1" applyFont="1" applyFill="1" applyBorder="1" applyAlignment="1" applyProtection="0">
      <alignment vertical="bottom"/>
    </xf>
    <xf numFmtId="65" fontId="56" fillId="16" borderId="287" applyNumberFormat="1" applyFont="1" applyFill="1" applyBorder="1" applyAlignment="1" applyProtection="0">
      <alignment vertical="bottom"/>
    </xf>
    <xf numFmtId="49" fontId="57" fillId="16" borderId="304" applyNumberFormat="1" applyFont="1" applyFill="1" applyBorder="1" applyAlignment="1" applyProtection="0">
      <alignment horizontal="left" vertical="bottom"/>
    </xf>
    <xf numFmtId="4" fontId="57" fillId="16" borderId="304" applyNumberFormat="1" applyFont="1" applyFill="1" applyBorder="1" applyAlignment="1" applyProtection="0">
      <alignment vertical="bottom"/>
    </xf>
    <xf numFmtId="49" fontId="58" fillId="16" borderId="287" applyNumberFormat="1" applyFont="1" applyFill="1" applyBorder="1" applyAlignment="1" applyProtection="0">
      <alignment vertical="bottom"/>
    </xf>
    <xf numFmtId="49" fontId="58" fillId="16" borderId="291" applyNumberFormat="1" applyFont="1" applyFill="1" applyBorder="1" applyAlignment="1" applyProtection="0">
      <alignment horizontal="left" vertical="bottom"/>
    </xf>
    <xf numFmtId="4" fontId="58" fillId="16" borderId="291" applyNumberFormat="1" applyFont="1" applyFill="1" applyBorder="1" applyAlignment="1" applyProtection="0">
      <alignment vertical="bottom"/>
    </xf>
    <xf numFmtId="49" fontId="58" fillId="16" borderId="287" applyNumberFormat="1" applyFont="1" applyFill="1" applyBorder="1" applyAlignment="1" applyProtection="0">
      <alignment horizontal="left" vertical="bottom"/>
    </xf>
    <xf numFmtId="4" fontId="58" fillId="16" borderId="287" applyNumberFormat="1" applyFont="1" applyFill="1" applyBorder="1" applyAlignment="1" applyProtection="0">
      <alignment vertical="bottom"/>
    </xf>
    <xf numFmtId="49" fontId="57" fillId="16" borderId="290" applyNumberFormat="1" applyFont="1" applyFill="1" applyBorder="1" applyAlignment="1" applyProtection="0">
      <alignment horizontal="left" vertical="bottom"/>
    </xf>
    <xf numFmtId="4" fontId="57" fillId="16" borderId="290" applyNumberFormat="1" applyFont="1" applyFill="1" applyBorder="1" applyAlignment="1" applyProtection="0">
      <alignment vertical="bottom"/>
    </xf>
    <xf numFmtId="49" fontId="57" fillId="16" borderId="305" applyNumberFormat="1" applyFont="1" applyFill="1" applyBorder="1" applyAlignment="1" applyProtection="0">
      <alignment horizontal="left" vertical="bottom"/>
    </xf>
    <xf numFmtId="4" fontId="57" fillId="16" borderId="305" applyNumberFormat="1" applyFont="1" applyFill="1" applyBorder="1" applyAlignment="1" applyProtection="0">
      <alignment vertical="bottom"/>
    </xf>
    <xf numFmtId="49" fontId="57" fillId="16" borderId="290" applyNumberFormat="1" applyFont="1" applyFill="1" applyBorder="1" applyAlignment="1" applyProtection="0">
      <alignment vertical="bottom"/>
    </xf>
    <xf numFmtId="0" fontId="0" applyNumberFormat="1" applyFont="1" applyFill="0" applyBorder="0" applyAlignment="1" applyProtection="0">
      <alignment vertical="bottom"/>
    </xf>
    <xf numFmtId="0" fontId="36" fillId="16" borderId="287" applyNumberFormat="0" applyFont="1" applyFill="1" applyBorder="1" applyAlignment="1" applyProtection="0">
      <alignment vertical="bottom"/>
    </xf>
    <xf numFmtId="0" fontId="0" fillId="16" borderId="306" applyNumberFormat="0" applyFont="1" applyFill="1" applyBorder="1" applyAlignment="1" applyProtection="0">
      <alignment vertical="bottom"/>
    </xf>
    <xf numFmtId="0" fontId="36" fillId="16" borderId="306" applyNumberFormat="0" applyFont="1" applyFill="1" applyBorder="1" applyAlignment="1" applyProtection="0">
      <alignment vertical="bottom"/>
    </xf>
    <xf numFmtId="49" fontId="49" fillId="16" borderId="287" applyNumberFormat="1" applyFont="1" applyFill="1" applyBorder="1" applyAlignment="1" applyProtection="0">
      <alignment vertical="bottom"/>
    </xf>
    <xf numFmtId="49" fontId="49" fillId="16" borderId="306" applyNumberFormat="1" applyFont="1" applyFill="1" applyBorder="1" applyAlignment="1" applyProtection="0">
      <alignment vertical="bottom"/>
    </xf>
    <xf numFmtId="49" fontId="28" fillId="16" borderId="287" applyNumberFormat="1" applyFont="1" applyFill="1" applyBorder="1" applyAlignment="1" applyProtection="0">
      <alignment vertical="bottom"/>
    </xf>
    <xf numFmtId="49" fontId="28" fillId="16" borderId="306" applyNumberFormat="1" applyFont="1" applyFill="1" applyBorder="1" applyAlignment="1" applyProtection="0">
      <alignment vertical="bottom"/>
    </xf>
    <xf numFmtId="49" fontId="28" fillId="16" borderId="290" applyNumberFormat="1" applyFont="1" applyFill="1" applyBorder="1" applyAlignment="1" applyProtection="0">
      <alignment vertical="bottom"/>
    </xf>
    <xf numFmtId="0" fontId="28" fillId="16" borderId="290" applyNumberFormat="0" applyFont="1" applyFill="1" applyBorder="1" applyAlignment="1" applyProtection="0">
      <alignment vertical="bottom"/>
    </xf>
    <xf numFmtId="61" fontId="49" fillId="16" borderId="290" applyNumberFormat="1" applyFont="1" applyFill="1" applyBorder="1" applyAlignment="1" applyProtection="0">
      <alignment vertical="bottom"/>
    </xf>
    <xf numFmtId="61" fontId="16" fillId="16" borderId="291" applyNumberFormat="1" applyFont="1" applyFill="1" applyBorder="1" applyAlignment="1" applyProtection="0">
      <alignment vertical="bottom"/>
    </xf>
    <xf numFmtId="61" fontId="0" fillId="16" borderId="291" applyNumberFormat="1" applyFont="1" applyFill="1" applyBorder="1" applyAlignment="1" applyProtection="0">
      <alignment vertical="bottom"/>
    </xf>
    <xf numFmtId="61" fontId="0" fillId="16" borderId="287" applyNumberFormat="1" applyFont="1" applyFill="1" applyBorder="1" applyAlignment="1" applyProtection="0">
      <alignment vertical="bottom"/>
    </xf>
    <xf numFmtId="65" fontId="0" fillId="16" borderId="287" applyNumberFormat="1" applyFont="1" applyFill="1" applyBorder="1" applyAlignment="1" applyProtection="0">
      <alignment vertical="bottom"/>
    </xf>
    <xf numFmtId="49" fontId="28" fillId="16" borderId="290" applyNumberFormat="1" applyFont="1" applyFill="1" applyBorder="1" applyAlignment="1" applyProtection="0">
      <alignment horizontal="left" vertical="bottom"/>
    </xf>
    <xf numFmtId="63" fontId="52" fillId="16" borderId="290" applyNumberFormat="1" applyFont="1" applyFill="1" applyBorder="1" applyAlignment="1" applyProtection="0">
      <alignment vertical="bottom"/>
    </xf>
    <xf numFmtId="0" fontId="36" fillId="16" borderId="291" applyNumberFormat="0" applyFont="1" applyFill="1" applyBorder="1" applyAlignment="1" applyProtection="0">
      <alignment vertical="bottom"/>
    </xf>
    <xf numFmtId="0" fontId="52" fillId="16" borderId="290" applyNumberFormat="0" applyFont="1" applyFill="1" applyBorder="1" applyAlignment="1" applyProtection="0">
      <alignment vertical="bottom"/>
    </xf>
    <xf numFmtId="0" fontId="0" applyNumberFormat="1" applyFont="1" applyFill="0" applyBorder="0" applyAlignment="1" applyProtection="0">
      <alignment vertical="bottom"/>
    </xf>
    <xf numFmtId="49" fontId="49" fillId="16" borderId="1" applyNumberFormat="1" applyFont="1" applyFill="1" applyBorder="1" applyAlignment="1" applyProtection="0">
      <alignment horizontal="left" vertical="bottom"/>
    </xf>
    <xf numFmtId="0" fontId="0" fillId="16" borderId="3" applyNumberFormat="0" applyFont="1" applyFill="1" applyBorder="1" applyAlignment="1" applyProtection="0">
      <alignment vertical="bottom"/>
    </xf>
    <xf numFmtId="0" fontId="0" fillId="16" borderId="4" applyNumberFormat="0" applyFont="1" applyFill="1" applyBorder="1" applyAlignment="1" applyProtection="0">
      <alignment vertical="bottom"/>
    </xf>
    <xf numFmtId="49" fontId="49" fillId="16" borderId="21" applyNumberFormat="1" applyFont="1" applyFill="1" applyBorder="1" applyAlignment="1" applyProtection="0">
      <alignment horizontal="left" vertical="bottom"/>
    </xf>
    <xf numFmtId="49" fontId="0" fillId="42" borderId="10" applyNumberFormat="1" applyFont="1" applyFill="1" applyBorder="1" applyAlignment="1" applyProtection="0">
      <alignment vertical="bottom"/>
    </xf>
    <xf numFmtId="75" fontId="59" fillId="16" borderId="10" applyNumberFormat="1" applyFont="1" applyFill="1" applyBorder="1" applyAlignment="1" applyProtection="0">
      <alignment horizontal="center" vertical="bottom"/>
    </xf>
    <xf numFmtId="75" fontId="0" fillId="42" borderId="10" applyNumberFormat="1" applyFont="1" applyFill="1" applyBorder="1" applyAlignment="1" applyProtection="0">
      <alignment vertical="bottom"/>
    </xf>
    <xf numFmtId="10" fontId="59" fillId="16" borderId="10" applyNumberFormat="1" applyFont="1" applyFill="1" applyBorder="1" applyAlignment="1" applyProtection="0">
      <alignment horizontal="center" vertical="bottom"/>
    </xf>
    <xf numFmtId="75" fontId="59" fillId="16" borderId="10" applyNumberFormat="1" applyFont="1" applyFill="1" applyBorder="1" applyAlignment="1" applyProtection="0">
      <alignment vertical="bottom"/>
    </xf>
    <xf numFmtId="49" fontId="49" fillId="43" borderId="21" applyNumberFormat="1" applyFont="1" applyFill="1" applyBorder="1" applyAlignment="1" applyProtection="0">
      <alignment horizontal="left" vertical="bottom"/>
    </xf>
    <xf numFmtId="74" fontId="0" fillId="43" borderId="10" applyNumberFormat="1" applyFont="1" applyFill="1" applyBorder="1" applyAlignment="1" applyProtection="0">
      <alignment vertical="bottom"/>
    </xf>
    <xf numFmtId="10" fontId="59" fillId="16" borderId="10" applyNumberFormat="1" applyFont="1" applyFill="1" applyBorder="1" applyAlignment="1" applyProtection="0">
      <alignment vertical="bottom"/>
    </xf>
    <xf numFmtId="49" fontId="16" fillId="42" borderId="21" applyNumberFormat="1" applyFont="1" applyFill="1" applyBorder="1" applyAlignment="1" applyProtection="0">
      <alignment horizontal="left" vertical="bottom"/>
    </xf>
    <xf numFmtId="74" fontId="16" fillId="16" borderId="10" applyNumberFormat="1" applyFont="1" applyFill="1" applyBorder="1" applyAlignment="1" applyProtection="0">
      <alignment horizontal="center" vertical="bottom"/>
    </xf>
    <xf numFmtId="0" fontId="49" fillId="16" borderId="21" applyNumberFormat="0" applyFont="1" applyFill="1" applyBorder="1" applyAlignment="1" applyProtection="0">
      <alignment horizontal="left" vertical="bottom"/>
    </xf>
    <xf numFmtId="10" fontId="0" fillId="16" borderId="10" applyNumberFormat="1" applyFont="1" applyFill="1" applyBorder="1" applyAlignment="1" applyProtection="0">
      <alignment vertical="bottom"/>
    </xf>
    <xf numFmtId="74" fontId="16" fillId="16" borderId="10" applyNumberFormat="1" applyFont="1" applyFill="1" applyBorder="1" applyAlignment="1" applyProtection="0">
      <alignment vertical="bottom"/>
    </xf>
    <xf numFmtId="74" fontId="16" fillId="43" borderId="10" applyNumberFormat="1" applyFont="1" applyFill="1" applyBorder="1" applyAlignment="1" applyProtection="0">
      <alignment vertical="bottom"/>
    </xf>
    <xf numFmtId="49" fontId="16" fillId="42" borderId="307" applyNumberFormat="1" applyFont="1" applyFill="1" applyBorder="1" applyAlignment="1" applyProtection="0">
      <alignment vertical="center" wrapText="1"/>
    </xf>
    <xf numFmtId="74" fontId="49" fillId="16" borderId="10" applyNumberFormat="1" applyFont="1" applyFill="1" applyBorder="1" applyAlignment="1" applyProtection="0">
      <alignment horizontal="center" vertical="bottom"/>
    </xf>
    <xf numFmtId="49" fontId="16" fillId="42" borderId="308" applyNumberFormat="1" applyFont="1" applyFill="1" applyBorder="1" applyAlignment="1" applyProtection="0">
      <alignment vertical="center"/>
    </xf>
    <xf numFmtId="49" fontId="16" fillId="42" borderId="21" applyNumberFormat="1" applyFont="1" applyFill="1" applyBorder="1" applyAlignment="1" applyProtection="0">
      <alignment vertical="center" wrapText="1"/>
    </xf>
    <xf numFmtId="49" fontId="16" fillId="42" borderId="21" applyNumberFormat="1" applyFont="1" applyFill="1" applyBorder="1" applyAlignment="1" applyProtection="0">
      <alignment vertical="center"/>
    </xf>
    <xf numFmtId="49" fontId="16" fillId="42" borderId="307" applyNumberFormat="1" applyFont="1" applyFill="1" applyBorder="1" applyAlignment="1" applyProtection="0">
      <alignment vertical="center"/>
    </xf>
    <xf numFmtId="74" fontId="49" fillId="43" borderId="10" applyNumberFormat="1" applyFont="1" applyFill="1" applyBorder="1" applyAlignment="1" applyProtection="0">
      <alignment vertical="bottom"/>
    </xf>
    <xf numFmtId="74" fontId="49" fillId="16" borderId="10" applyNumberFormat="1" applyFont="1" applyFill="1" applyBorder="1" applyAlignment="1" applyProtection="0">
      <alignment vertical="bottom"/>
    </xf>
    <xf numFmtId="49" fontId="16" fillId="42" borderId="309" applyNumberFormat="1" applyFont="1" applyFill="1" applyBorder="1" applyAlignment="1" applyProtection="0">
      <alignment vertical="center"/>
    </xf>
    <xf numFmtId="0" fontId="16" fillId="16" borderId="21" applyNumberFormat="0" applyFont="1" applyFill="1" applyBorder="1" applyAlignment="1" applyProtection="0">
      <alignment horizontal="left" vertical="bottom"/>
    </xf>
    <xf numFmtId="49" fontId="49" fillId="44" borderId="21" applyNumberFormat="1" applyFont="1" applyFill="1" applyBorder="1" applyAlignment="1" applyProtection="0">
      <alignment horizontal="left" vertical="bottom"/>
    </xf>
    <xf numFmtId="74" fontId="49" fillId="44" borderId="10" applyNumberFormat="1" applyFont="1" applyFill="1" applyBorder="1" applyAlignment="1" applyProtection="0">
      <alignment vertical="bottom"/>
    </xf>
    <xf numFmtId="49" fontId="49" fillId="45" borderId="21" applyNumberFormat="1" applyFont="1" applyFill="1" applyBorder="1" applyAlignment="1" applyProtection="0">
      <alignment horizontal="left" vertical="bottom"/>
    </xf>
    <xf numFmtId="74" fontId="49" fillId="45" borderId="10" applyNumberFormat="1" applyFont="1" applyFill="1" applyBorder="1" applyAlignment="1" applyProtection="0">
      <alignment vertical="bottom"/>
    </xf>
    <xf numFmtId="10" fontId="16" fillId="16" borderId="10" applyNumberFormat="1" applyFont="1" applyFill="1" applyBorder="1" applyAlignment="1" applyProtection="0">
      <alignment vertical="bottom"/>
    </xf>
    <xf numFmtId="74" fontId="59" fillId="16" borderId="10" applyNumberFormat="1" applyFont="1" applyFill="1" applyBorder="1" applyAlignment="1" applyProtection="0">
      <alignment horizontal="center" vertical="bottom"/>
    </xf>
    <xf numFmtId="10" fontId="0" fillId="43" borderId="10" applyNumberFormat="1" applyFont="1" applyFill="1" applyBorder="1" applyAlignment="1" applyProtection="0">
      <alignment vertical="bottom"/>
    </xf>
    <xf numFmtId="10" fontId="49" fillId="16" borderId="10" applyNumberFormat="1" applyFont="1" applyFill="1" applyBorder="1" applyAlignment="1" applyProtection="0">
      <alignment vertical="bottom"/>
    </xf>
    <xf numFmtId="49" fontId="59" fillId="16" borderId="21" applyNumberFormat="1" applyFont="1" applyFill="1" applyBorder="1" applyAlignment="1" applyProtection="0">
      <alignment horizontal="left" vertical="bottom"/>
    </xf>
    <xf numFmtId="74" fontId="60" fillId="16" borderId="10" applyNumberFormat="1" applyFont="1" applyFill="1" applyBorder="1" applyAlignment="1" applyProtection="0">
      <alignment horizontal="center" vertical="bottom"/>
    </xf>
    <xf numFmtId="0" fontId="59" fillId="16" borderId="21" applyNumberFormat="0" applyFont="1" applyFill="1" applyBorder="1" applyAlignment="1" applyProtection="0">
      <alignment horizontal="left" vertical="bottom"/>
    </xf>
    <xf numFmtId="74" fontId="60" fillId="16" borderId="10" applyNumberFormat="1" applyFont="1" applyFill="1" applyBorder="1" applyAlignment="1" applyProtection="0">
      <alignment vertical="bottom"/>
    </xf>
    <xf numFmtId="65" fontId="0" fillId="16" borderId="10" applyNumberFormat="1" applyFont="1" applyFill="1" applyBorder="1" applyAlignment="1" applyProtection="0">
      <alignment vertical="bottom"/>
    </xf>
    <xf numFmtId="49" fontId="16" fillId="16" borderId="21" applyNumberFormat="1" applyFont="1" applyFill="1" applyBorder="1" applyAlignment="1" applyProtection="0">
      <alignment horizontal="right" vertical="bottom"/>
    </xf>
    <xf numFmtId="65" fontId="16" fillId="16" borderId="10" applyNumberFormat="1" applyFont="1" applyFill="1" applyBorder="1" applyAlignment="1" applyProtection="0">
      <alignment vertical="bottom"/>
    </xf>
    <xf numFmtId="0" fontId="0" fillId="16" borderId="10" applyNumberFormat="1" applyFont="1" applyFill="1" applyBorder="1" applyAlignment="1" applyProtection="0">
      <alignment vertical="bottom"/>
    </xf>
    <xf numFmtId="0" fontId="16" fillId="16" borderId="10" applyNumberFormat="1" applyFont="1" applyFill="1" applyBorder="1" applyAlignment="1" applyProtection="0">
      <alignment vertical="bottom"/>
    </xf>
    <xf numFmtId="74" fontId="49" fillId="46" borderId="10" applyNumberFormat="1" applyFont="1" applyFill="1" applyBorder="1" applyAlignment="1" applyProtection="0">
      <alignment vertical="bottom"/>
    </xf>
    <xf numFmtId="49" fontId="49" fillId="46" borderId="10" applyNumberFormat="1" applyFont="1" applyFill="1" applyBorder="1" applyAlignment="1" applyProtection="0">
      <alignment vertical="bottom"/>
    </xf>
    <xf numFmtId="10" fontId="49" fillId="46" borderId="10" applyNumberFormat="1" applyFont="1" applyFill="1" applyBorder="1" applyAlignment="1" applyProtection="0">
      <alignment vertical="bottom"/>
    </xf>
    <xf numFmtId="0" fontId="0" fillId="46" borderId="10" applyNumberFormat="0" applyFont="1" applyFill="1" applyBorder="1" applyAlignment="1" applyProtection="0">
      <alignment vertical="bottom"/>
    </xf>
    <xf numFmtId="74" fontId="59" fillId="16" borderId="10" applyNumberFormat="1" applyFont="1" applyFill="1" applyBorder="1" applyAlignment="1" applyProtection="0">
      <alignment vertical="bottom"/>
    </xf>
    <xf numFmtId="49" fontId="0" fillId="16" borderId="10" applyNumberFormat="1" applyFont="1" applyFill="1" applyBorder="1" applyAlignment="1" applyProtection="0">
      <alignment vertical="bottom"/>
    </xf>
    <xf numFmtId="0" fontId="59" fillId="16" borderId="10" applyNumberFormat="0" applyFont="1" applyFill="1" applyBorder="1" applyAlignment="1" applyProtection="0">
      <alignment vertical="bottom"/>
    </xf>
    <xf numFmtId="4" fontId="61" fillId="16" borderId="10" applyNumberFormat="1" applyFont="1" applyFill="1" applyBorder="1" applyAlignment="1" applyProtection="0">
      <alignment horizontal="right" vertical="center"/>
    </xf>
    <xf numFmtId="10" fontId="0" fillId="46" borderId="10" applyNumberFormat="1" applyFont="1" applyFill="1" applyBorder="1" applyAlignment="1" applyProtection="0">
      <alignment vertical="bottom"/>
    </xf>
    <xf numFmtId="0" fontId="0" fillId="16" borderId="75" applyNumberFormat="0" applyFont="1" applyFill="1" applyBorder="1" applyAlignment="1" applyProtection="0">
      <alignment vertical="bottom"/>
    </xf>
    <xf numFmtId="10" fontId="0" fillId="16" borderId="75" applyNumberFormat="1" applyFont="1" applyFill="1" applyBorder="1" applyAlignment="1" applyProtection="0">
      <alignment vertical="bottom"/>
    </xf>
    <xf numFmtId="74" fontId="0" fillId="16" borderId="75" applyNumberFormat="1" applyFont="1" applyFill="1" applyBorder="1" applyAlignment="1" applyProtection="0">
      <alignment vertical="bottom"/>
    </xf>
    <xf numFmtId="10" fontId="16" fillId="16" borderId="75" applyNumberFormat="1" applyFont="1" applyFill="1" applyBorder="1" applyAlignment="1" applyProtection="0">
      <alignment vertical="bottom"/>
    </xf>
    <xf numFmtId="0" fontId="0" applyNumberFormat="1" applyFont="1" applyFill="0" applyBorder="0" applyAlignment="1" applyProtection="0">
      <alignment vertical="bottom"/>
    </xf>
    <xf numFmtId="49" fontId="66" fillId="16" borderId="290" applyNumberFormat="1" applyFont="1" applyFill="1" applyBorder="1" applyAlignment="1" applyProtection="0">
      <alignment vertical="bottom"/>
    </xf>
    <xf numFmtId="4" fontId="66" fillId="16" borderId="290" applyNumberFormat="1" applyFont="1" applyFill="1" applyBorder="1" applyAlignment="1" applyProtection="0">
      <alignment vertical="bottom"/>
    </xf>
    <xf numFmtId="10" fontId="0" fillId="16" borderId="287" applyNumberFormat="1" applyFont="1" applyFill="1" applyBorder="1" applyAlignment="1" applyProtection="0">
      <alignment vertical="bottom"/>
    </xf>
    <xf numFmtId="49" fontId="67" fillId="16" borderId="291" applyNumberFormat="1" applyFont="1" applyFill="1" applyBorder="1" applyAlignment="1" applyProtection="0">
      <alignment horizontal="left" vertical="bottom"/>
    </xf>
    <xf numFmtId="4" fontId="67" fillId="16" borderId="291" applyNumberFormat="1" applyFont="1" applyFill="1" applyBorder="1" applyAlignment="1" applyProtection="0">
      <alignment vertical="bottom"/>
    </xf>
    <xf numFmtId="49" fontId="67" fillId="16" borderId="287" applyNumberFormat="1" applyFont="1" applyFill="1" applyBorder="1" applyAlignment="1" applyProtection="0">
      <alignment horizontal="left" vertical="bottom"/>
    </xf>
    <xf numFmtId="4" fontId="67" fillId="16" borderId="287" applyNumberFormat="1" applyFont="1" applyFill="1" applyBorder="1" applyAlignment="1" applyProtection="0">
      <alignment vertical="bottom"/>
    </xf>
    <xf numFmtId="49" fontId="67" fillId="16" borderId="287" applyNumberFormat="1" applyFont="1" applyFill="1" applyBorder="1" applyAlignment="1" applyProtection="0">
      <alignment vertical="bottom"/>
    </xf>
    <xf numFmtId="49" fontId="66" fillId="16" borderId="290" applyNumberFormat="1" applyFont="1" applyFill="1" applyBorder="1" applyAlignment="1" applyProtection="0">
      <alignment horizontal="left" vertical="bottom"/>
    </xf>
    <xf numFmtId="0" fontId="66" fillId="16" borderId="290" applyNumberFormat="1" applyFont="1" applyFill="1" applyBorder="1" applyAlignment="1" applyProtection="0">
      <alignment vertical="bottom"/>
    </xf>
    <xf numFmtId="0" fontId="0" applyNumberFormat="1" applyFont="1" applyFill="0" applyBorder="0" applyAlignment="1" applyProtection="0">
      <alignment vertical="bottom"/>
    </xf>
    <xf numFmtId="0" fontId="0" fillId="4" applyNumberFormat="1" applyFont="1" applyFill="1" applyBorder="0" applyAlignment="1" applyProtection="0">
      <alignment vertical="bottom"/>
    </xf>
    <xf numFmtId="0" fontId="0" fillId="4" borderId="310" applyNumberFormat="0" applyFont="1" applyFill="1" applyBorder="1" applyAlignment="1" applyProtection="0">
      <alignment vertical="bottom"/>
    </xf>
    <xf numFmtId="49" fontId="68" fillId="47" borderId="311" applyNumberFormat="1" applyFont="1" applyFill="1" applyBorder="1" applyAlignment="1" applyProtection="0">
      <alignment horizontal="center" vertical="center" wrapText="1"/>
    </xf>
    <xf numFmtId="49" fontId="68" fillId="48" borderId="312" applyNumberFormat="1" applyFont="1" applyFill="1" applyBorder="1" applyAlignment="1" applyProtection="0">
      <alignment horizontal="center" vertical="center" wrapText="1"/>
    </xf>
    <xf numFmtId="49" fontId="68" fillId="47" borderId="312" applyNumberFormat="1" applyFont="1" applyFill="1" applyBorder="1" applyAlignment="1" applyProtection="0">
      <alignment horizontal="center" vertical="center" wrapText="1"/>
    </xf>
    <xf numFmtId="49" fontId="68" fillId="47" borderId="313" applyNumberFormat="1" applyFont="1" applyFill="1" applyBorder="1" applyAlignment="1" applyProtection="0">
      <alignment horizontal="center" vertical="center" wrapText="1"/>
    </xf>
    <xf numFmtId="0" fontId="0" fillId="4" borderId="47" applyNumberFormat="0" applyFont="1" applyFill="1" applyBorder="1" applyAlignment="1" applyProtection="0">
      <alignment vertical="bottom"/>
    </xf>
    <xf numFmtId="49" fontId="68" fillId="47" borderId="314" applyNumberFormat="1" applyFont="1" applyFill="1" applyBorder="1" applyAlignment="1" applyProtection="0">
      <alignment horizontal="center" vertical="center" wrapText="1"/>
    </xf>
    <xf numFmtId="0" fontId="0" fillId="4" borderId="315" applyNumberFormat="0" applyFont="1" applyFill="1" applyBorder="1" applyAlignment="1" applyProtection="0">
      <alignment vertical="bottom"/>
    </xf>
    <xf numFmtId="0" fontId="71" fillId="47" borderId="316" applyNumberFormat="0" applyFont="1" applyFill="1" applyBorder="1" applyAlignment="1" applyProtection="0">
      <alignment vertical="bottom"/>
    </xf>
    <xf numFmtId="0" fontId="71" fillId="48" borderId="317" applyNumberFormat="0" applyFont="1" applyFill="1" applyBorder="1" applyAlignment="1" applyProtection="0">
      <alignment vertical="bottom"/>
    </xf>
    <xf numFmtId="0" fontId="72" fillId="47" borderId="317" applyNumberFormat="0" applyFont="1" applyFill="1" applyBorder="1" applyAlignment="1" applyProtection="0">
      <alignment horizontal="center" vertical="bottom"/>
    </xf>
    <xf numFmtId="0" fontId="72" fillId="47" borderId="318" applyNumberFormat="0" applyFont="1" applyFill="1" applyBorder="1" applyAlignment="1" applyProtection="0">
      <alignment horizontal="center" vertical="bottom"/>
    </xf>
    <xf numFmtId="0" fontId="72" fillId="47" borderId="319" applyNumberFormat="0" applyFont="1" applyFill="1" applyBorder="1" applyAlignment="1" applyProtection="0">
      <alignment horizontal="center" vertical="bottom"/>
    </xf>
    <xf numFmtId="49" fontId="73" fillId="47" borderId="320" applyNumberFormat="1" applyFont="1" applyFill="1" applyBorder="1" applyAlignment="1" applyProtection="0">
      <alignment vertical="center" wrapText="1"/>
    </xf>
    <xf numFmtId="61" fontId="74" fillId="48" borderId="321" applyNumberFormat="1" applyFont="1" applyFill="1" applyBorder="1" applyAlignment="1" applyProtection="0">
      <alignment horizontal="center" vertical="center" wrapText="1"/>
    </xf>
    <xf numFmtId="9" fontId="74" fillId="48" borderId="321" applyNumberFormat="1" applyFont="1" applyFill="1" applyBorder="1" applyAlignment="1" applyProtection="0">
      <alignment horizontal="center" vertical="center" wrapText="1"/>
    </xf>
    <xf numFmtId="61" fontId="74" fillId="47" borderId="321" applyNumberFormat="1" applyFont="1" applyFill="1" applyBorder="1" applyAlignment="1" applyProtection="0">
      <alignment horizontal="center" vertical="center" wrapText="1"/>
    </xf>
    <xf numFmtId="0" fontId="75" fillId="47" borderId="321" applyNumberFormat="0" applyFont="1" applyFill="1" applyBorder="1" applyAlignment="1" applyProtection="0">
      <alignment horizontal="center" vertical="center" wrapText="1"/>
    </xf>
    <xf numFmtId="70" fontId="76" fillId="47" borderId="322" applyNumberFormat="1" applyFont="1" applyFill="1" applyBorder="1" applyAlignment="1" applyProtection="0">
      <alignment horizontal="center" vertical="center" wrapText="1"/>
    </xf>
    <xf numFmtId="61" fontId="74" fillId="47" borderId="323" applyNumberFormat="1" applyFont="1" applyFill="1" applyBorder="1" applyAlignment="1" applyProtection="0">
      <alignment horizontal="center" vertical="center" wrapText="1"/>
    </xf>
    <xf numFmtId="49" fontId="74" fillId="47" borderId="320" applyNumberFormat="1" applyFont="1" applyFill="1" applyBorder="1" applyAlignment="1" applyProtection="0">
      <alignment vertical="center" wrapText="1"/>
    </xf>
    <xf numFmtId="61" fontId="76" fillId="47" borderId="321" applyNumberFormat="1" applyFont="1" applyFill="1" applyBorder="1" applyAlignment="1" applyProtection="0">
      <alignment horizontal="center" vertical="center" wrapText="1"/>
    </xf>
    <xf numFmtId="49" fontId="74" fillId="47" borderId="321" applyNumberFormat="1" applyFont="1" applyFill="1" applyBorder="1" applyAlignment="1" applyProtection="0">
      <alignment horizontal="center" vertical="center" wrapText="1"/>
    </xf>
    <xf numFmtId="49" fontId="74" fillId="47" borderId="322" applyNumberFormat="1" applyFont="1" applyFill="1" applyBorder="1" applyAlignment="1" applyProtection="0">
      <alignment horizontal="center" vertical="center" wrapText="1"/>
    </xf>
    <xf numFmtId="49" fontId="74" fillId="47" borderId="323" applyNumberFormat="1" applyFont="1" applyFill="1" applyBorder="1" applyAlignment="1" applyProtection="0">
      <alignment horizontal="center" vertical="center" wrapText="1"/>
    </xf>
    <xf numFmtId="0" fontId="74" fillId="48" borderId="321" applyNumberFormat="0" applyFont="1" applyFill="1" applyBorder="1" applyAlignment="1" applyProtection="0">
      <alignment horizontal="center" vertical="center" wrapText="1"/>
    </xf>
    <xf numFmtId="0" fontId="74" fillId="47" borderId="321" applyNumberFormat="0" applyFont="1" applyFill="1" applyBorder="1" applyAlignment="1" applyProtection="0">
      <alignment horizontal="center" vertical="center" wrapText="1"/>
    </xf>
    <xf numFmtId="70" fontId="74" fillId="47" borderId="322" applyNumberFormat="1" applyFont="1" applyFill="1" applyBorder="1" applyAlignment="1" applyProtection="0">
      <alignment horizontal="center" vertical="center" wrapText="1"/>
    </xf>
    <xf numFmtId="49" fontId="76" fillId="47" borderId="323" applyNumberFormat="1" applyFont="1" applyFill="1" applyBorder="1" applyAlignment="1" applyProtection="0">
      <alignment horizontal="center" vertical="center" wrapText="1"/>
    </xf>
    <xf numFmtId="49" fontId="73" fillId="47" borderId="320" applyNumberFormat="1" applyFont="1" applyFill="1" applyBorder="1" applyAlignment="1" applyProtection="0">
      <alignment vertical="center"/>
    </xf>
    <xf numFmtId="61" fontId="76" fillId="47" borderId="323" applyNumberFormat="1" applyFont="1" applyFill="1" applyBorder="1" applyAlignment="1" applyProtection="0">
      <alignment horizontal="center" vertical="center" wrapText="1"/>
    </xf>
    <xf numFmtId="49" fontId="76" fillId="47" borderId="321" applyNumberFormat="1" applyFont="1" applyFill="1" applyBorder="1" applyAlignment="1" applyProtection="0">
      <alignment horizontal="center" vertical="center" wrapText="1"/>
    </xf>
    <xf numFmtId="0" fontId="76" fillId="47" borderId="324" applyNumberFormat="0" applyFont="1" applyFill="1" applyBorder="1" applyAlignment="1" applyProtection="0">
      <alignment horizontal="right" vertical="center"/>
    </xf>
    <xf numFmtId="0" fontId="76" fillId="48" borderId="325" applyNumberFormat="0" applyFont="1" applyFill="1" applyBorder="1" applyAlignment="1" applyProtection="0">
      <alignment horizontal="right" vertical="center"/>
    </xf>
    <xf numFmtId="77" fontId="77" fillId="47" borderId="325" applyNumberFormat="1" applyFont="1" applyFill="1" applyBorder="1" applyAlignment="1" applyProtection="0">
      <alignment horizontal="right" vertical="center"/>
    </xf>
    <xf numFmtId="70" fontId="77" fillId="47" borderId="326" applyNumberFormat="1" applyFont="1" applyFill="1" applyBorder="1" applyAlignment="1" applyProtection="0">
      <alignment horizontal="center" vertical="center"/>
    </xf>
    <xf numFmtId="77" fontId="77" fillId="47" borderId="327" applyNumberFormat="1" applyFont="1" applyFill="1" applyBorder="1" applyAlignment="1" applyProtection="0">
      <alignment horizontal="right" vertical="center"/>
    </xf>
    <xf numFmtId="0" fontId="78" fillId="4" borderId="44" applyNumberFormat="0" applyFont="1" applyFill="1" applyBorder="1" applyAlignment="1" applyProtection="0">
      <alignment vertical="bottom"/>
    </xf>
    <xf numFmtId="0" fontId="0" fillId="4" borderId="328" applyNumberFormat="0" applyFont="1" applyFill="1" applyBorder="1" applyAlignment="1" applyProtection="0">
      <alignment vertical="bottom"/>
    </xf>
    <xf numFmtId="62" fontId="0" fillId="4" borderId="10" applyNumberFormat="1" applyFont="1" applyFill="1" applyBorder="1" applyAlignment="1" applyProtection="0">
      <alignment vertical="bottom"/>
    </xf>
    <xf numFmtId="62" fontId="0" fillId="4" borderId="75" applyNumberFormat="1" applyFont="1" applyFill="1" applyBorder="1" applyAlignment="1" applyProtection="0">
      <alignment vertical="bottom"/>
    </xf>
    <xf numFmtId="0" fontId="0" fillId="4" applyNumberFormat="1" applyFont="1" applyFill="1" applyBorder="0" applyAlignment="1" applyProtection="0">
      <alignment vertical="bottom"/>
    </xf>
    <xf numFmtId="49" fontId="9" fillId="37" borderId="329" applyNumberFormat="1" applyFont="1" applyFill="1" applyBorder="1" applyAlignment="1" applyProtection="0">
      <alignment horizontal="center" vertical="bottom"/>
    </xf>
    <xf numFmtId="0" fontId="9" fillId="37" borderId="330" applyNumberFormat="0" applyFont="1" applyFill="1" applyBorder="1" applyAlignment="1" applyProtection="0">
      <alignment horizontal="center" vertical="bottom"/>
    </xf>
    <xf numFmtId="0" fontId="9" fillId="37" borderId="331" applyNumberFormat="0" applyFont="1" applyFill="1" applyBorder="1" applyAlignment="1" applyProtection="0">
      <alignment horizontal="center" vertical="bottom"/>
    </xf>
    <xf numFmtId="0" fontId="9" fillId="37" borderId="332" applyNumberFormat="0" applyFont="1" applyFill="1" applyBorder="1" applyAlignment="1" applyProtection="0">
      <alignment horizontal="center" vertical="bottom"/>
    </xf>
    <xf numFmtId="49" fontId="9" fillId="37" borderId="333" applyNumberFormat="1" applyFont="1" applyFill="1" applyBorder="1" applyAlignment="1" applyProtection="0">
      <alignment horizontal="center" vertical="bottom"/>
    </xf>
    <xf numFmtId="0" fontId="9" fillId="37" borderId="334" applyNumberFormat="0" applyFont="1" applyFill="1" applyBorder="1" applyAlignment="1" applyProtection="0">
      <alignment horizontal="center" vertical="bottom"/>
    </xf>
    <xf numFmtId="0" fontId="9" fillId="37" borderId="335" applyNumberFormat="0" applyFont="1" applyFill="1" applyBorder="1" applyAlignment="1" applyProtection="0">
      <alignment horizontal="center" vertical="bottom"/>
    </xf>
    <xf numFmtId="0" fontId="9" fillId="37" borderId="336" applyNumberFormat="0" applyFont="1" applyFill="1" applyBorder="1" applyAlignment="1" applyProtection="0">
      <alignment horizontal="center" vertical="bottom"/>
    </xf>
    <xf numFmtId="0" fontId="9" fillId="37" borderId="337" applyNumberFormat="0" applyFont="1" applyFill="1" applyBorder="1" applyAlignment="1" applyProtection="0">
      <alignment horizontal="center" vertical="bottom"/>
    </xf>
    <xf numFmtId="0" fontId="9" fillId="37" borderId="338" applyNumberFormat="0" applyFont="1" applyFill="1" applyBorder="1" applyAlignment="1" applyProtection="0">
      <alignment horizontal="center" vertical="bottom"/>
    </xf>
    <xf numFmtId="49" fontId="9" fillId="37" borderId="339" applyNumberFormat="1" applyFont="1" applyFill="1" applyBorder="1" applyAlignment="1" applyProtection="0">
      <alignment horizontal="center" vertical="bottom"/>
    </xf>
    <xf numFmtId="0" fontId="9" fillId="37" borderId="97" applyNumberFormat="0" applyFont="1" applyFill="1" applyBorder="1" applyAlignment="1" applyProtection="0">
      <alignment horizontal="center" vertical="bottom"/>
    </xf>
    <xf numFmtId="49" fontId="9" fillId="37" borderId="135" applyNumberFormat="1" applyFont="1" applyFill="1" applyBorder="1" applyAlignment="1" applyProtection="0">
      <alignment horizontal="center" vertical="bottom"/>
    </xf>
    <xf numFmtId="0" fontId="9" fillId="37" borderId="340" applyNumberFormat="0" applyFont="1" applyFill="1" applyBorder="1" applyAlignment="1" applyProtection="0">
      <alignment horizontal="center" vertical="bottom"/>
    </xf>
    <xf numFmtId="0" fontId="9" fillId="37" borderId="17" applyNumberFormat="0" applyFont="1" applyFill="1" applyBorder="1" applyAlignment="1" applyProtection="0">
      <alignment horizontal="center" vertical="bottom"/>
    </xf>
    <xf numFmtId="49" fontId="9" fillId="37" borderId="338" applyNumberFormat="1" applyFont="1" applyFill="1" applyBorder="1" applyAlignment="1" applyProtection="0">
      <alignment vertical="bottom" wrapText="1"/>
    </xf>
    <xf numFmtId="49" fontId="9" fillId="37" borderId="341" applyNumberFormat="1" applyFont="1" applyFill="1" applyBorder="1" applyAlignment="1" applyProtection="0">
      <alignment horizontal="center" vertical="bottom" wrapText="1"/>
    </xf>
    <xf numFmtId="49" fontId="9" fillId="37" borderId="16" applyNumberFormat="1" applyFont="1" applyFill="1" applyBorder="1" applyAlignment="1" applyProtection="0">
      <alignment horizontal="center" vertical="bottom" wrapText="1"/>
    </xf>
    <xf numFmtId="49" fontId="9" fillId="37" borderId="342" applyNumberFormat="1" applyFont="1" applyFill="1" applyBorder="1" applyAlignment="1" applyProtection="0">
      <alignment horizontal="center" vertical="bottom" wrapText="1"/>
    </xf>
    <xf numFmtId="2" fontId="9" fillId="37" borderId="17" applyNumberFormat="1" applyFont="1" applyFill="1" applyBorder="1" applyAlignment="1" applyProtection="0">
      <alignment horizontal="center" vertical="bottom" wrapText="1"/>
    </xf>
    <xf numFmtId="0" fontId="9" fillId="37" borderId="338" applyNumberFormat="1" applyFont="1" applyFill="1" applyBorder="1" applyAlignment="1" applyProtection="0">
      <alignment vertical="bottom"/>
    </xf>
    <xf numFmtId="3" fontId="9" fillId="37" borderId="341" applyNumberFormat="1" applyFont="1" applyFill="1" applyBorder="1" applyAlignment="1" applyProtection="0">
      <alignment vertical="bottom"/>
    </xf>
    <xf numFmtId="3" fontId="9" fillId="37" borderId="16" applyNumberFormat="1" applyFont="1" applyFill="1" applyBorder="1" applyAlignment="1" applyProtection="0">
      <alignment vertical="bottom"/>
    </xf>
    <xf numFmtId="3" fontId="9" fillId="37" borderId="342" applyNumberFormat="1" applyFont="1" applyFill="1" applyBorder="1" applyAlignment="1" applyProtection="0">
      <alignment vertical="bottom"/>
    </xf>
    <xf numFmtId="3" fontId="9" fillId="37" borderId="17" applyNumberFormat="1" applyFont="1" applyFill="1" applyBorder="1" applyAlignment="1" applyProtection="0">
      <alignment horizontal="center" vertical="bottom"/>
    </xf>
    <xf numFmtId="0" fontId="9" fillId="37" borderId="343" applyNumberFormat="0" applyFont="1" applyFill="1" applyBorder="1" applyAlignment="1" applyProtection="0">
      <alignment vertical="bottom"/>
    </xf>
    <xf numFmtId="3" fontId="9" fillId="37" borderId="344" applyNumberFormat="1" applyFont="1" applyFill="1" applyBorder="1" applyAlignment="1" applyProtection="0">
      <alignment vertical="bottom"/>
    </xf>
    <xf numFmtId="3" fontId="9" fillId="37" borderId="19" applyNumberFormat="1" applyFont="1" applyFill="1" applyBorder="1" applyAlignment="1" applyProtection="0">
      <alignment vertical="bottom"/>
    </xf>
    <xf numFmtId="3" fontId="9" fillId="37" borderId="345" applyNumberFormat="1" applyFont="1" applyFill="1" applyBorder="1" applyAlignment="1" applyProtection="0">
      <alignment vertical="bottom"/>
    </xf>
    <xf numFmtId="3" fontId="9" fillId="37" borderId="20" applyNumberFormat="1" applyFont="1" applyFill="1" applyBorder="1" applyAlignment="1" applyProtection="0">
      <alignment horizontal="center" vertical="bottom"/>
    </xf>
    <xf numFmtId="0" fontId="9" fillId="37" borderId="346" applyNumberFormat="0" applyFont="1" applyFill="1" applyBorder="1" applyAlignment="1" applyProtection="0">
      <alignment horizontal="center" vertical="bottom"/>
    </xf>
    <xf numFmtId="49" fontId="9" fillId="37" borderId="347" applyNumberFormat="1" applyFont="1" applyFill="1" applyBorder="1" applyAlignment="1" applyProtection="0">
      <alignment horizontal="center" vertical="bottom"/>
    </xf>
    <xf numFmtId="0" fontId="9" fillId="37" borderId="348" applyNumberFormat="0" applyFont="1" applyFill="1" applyBorder="1" applyAlignment="1" applyProtection="0">
      <alignment horizontal="center" vertical="bottom"/>
    </xf>
    <xf numFmtId="0" fontId="9" fillId="37" borderId="349" applyNumberFormat="0" applyFont="1" applyFill="1" applyBorder="1" applyAlignment="1" applyProtection="0">
      <alignment horizontal="center" vertical="bottom"/>
    </xf>
    <xf numFmtId="0" fontId="9" fillId="37" borderId="350" applyNumberFormat="0" applyFont="1" applyFill="1" applyBorder="1" applyAlignment="1" applyProtection="0">
      <alignment horizontal="center" vertical="bottom"/>
    </xf>
    <xf numFmtId="49" fontId="9" fillId="37" borderId="349" applyNumberFormat="1" applyFont="1" applyFill="1" applyBorder="1" applyAlignment="1" applyProtection="0">
      <alignment vertical="bottom" wrapText="1"/>
    </xf>
    <xf numFmtId="0" fontId="0" fillId="4" borderId="351" applyNumberFormat="0" applyFont="1" applyFill="1" applyBorder="1" applyAlignment="1" applyProtection="0">
      <alignment vertical="bottom"/>
    </xf>
    <xf numFmtId="49" fontId="9" fillId="37" borderId="349" applyNumberFormat="1" applyFont="1" applyFill="1" applyBorder="1" applyAlignment="1" applyProtection="0">
      <alignment vertical="bottom"/>
    </xf>
    <xf numFmtId="3" fontId="9" fillId="37" borderId="52" applyNumberFormat="1" applyFont="1" applyFill="1" applyBorder="1" applyAlignment="1" applyProtection="0">
      <alignment vertical="bottom"/>
    </xf>
    <xf numFmtId="0" fontId="9" fillId="37" borderId="352" applyNumberFormat="0" applyFont="1" applyFill="1" applyBorder="1" applyAlignment="1" applyProtection="0">
      <alignment vertical="bottom"/>
    </xf>
    <xf numFmtId="3" fontId="9" fillId="37" borderId="353" applyNumberFormat="1" applyFont="1" applyFill="1" applyBorder="1" applyAlignment="1" applyProtection="0">
      <alignment vertical="bottom"/>
    </xf>
    <xf numFmtId="3" fontId="9" fillId="37" borderId="54" applyNumberFormat="1" applyFont="1" applyFill="1" applyBorder="1" applyAlignment="1" applyProtection="0">
      <alignment vertical="bottom"/>
    </xf>
    <xf numFmtId="49" fontId="9" fillId="37" borderId="354" applyNumberFormat="1" applyFont="1" applyFill="1" applyBorder="1" applyAlignment="1" applyProtection="0">
      <alignment horizontal="center" vertical="bottom"/>
    </xf>
    <xf numFmtId="0" fontId="9" fillId="37" borderId="355" applyNumberFormat="0" applyFont="1" applyFill="1" applyBorder="1" applyAlignment="1" applyProtection="0">
      <alignment horizontal="center" vertical="bottom"/>
    </xf>
    <xf numFmtId="0" fontId="9" fillId="37" borderId="356" applyNumberFormat="0" applyFont="1" applyFill="1" applyBorder="1" applyAlignment="1" applyProtection="0">
      <alignment horizontal="center" vertical="bottom"/>
    </xf>
    <xf numFmtId="3" fontId="9" fillId="37" borderId="357" applyNumberFormat="1" applyFont="1" applyFill="1" applyBorder="1" applyAlignment="1" applyProtection="0">
      <alignment vertical="bottom"/>
    </xf>
    <xf numFmtId="0" fontId="9" fillId="37" borderId="358" applyNumberFormat="0" applyFont="1" applyFill="1" applyBorder="1" applyAlignment="1" applyProtection="0">
      <alignment horizontal="center" vertical="bottom"/>
    </xf>
    <xf numFmtId="49" fontId="9" fillId="37" borderId="359" applyNumberFormat="1" applyFont="1" applyFill="1" applyBorder="1" applyAlignment="1" applyProtection="0">
      <alignment vertical="bottom" wrapText="1"/>
    </xf>
    <xf numFmtId="49" fontId="9" fillId="37" borderId="360" applyNumberFormat="1" applyFont="1" applyFill="1" applyBorder="1" applyAlignment="1" applyProtection="0">
      <alignment horizontal="center" vertical="bottom"/>
    </xf>
    <xf numFmtId="49" fontId="9" fillId="37" borderId="361" applyNumberFormat="1" applyFont="1" applyFill="1" applyBorder="1" applyAlignment="1" applyProtection="0">
      <alignment horizontal="center" vertical="bottom"/>
    </xf>
    <xf numFmtId="49" fontId="9" fillId="37" borderId="362" applyNumberFormat="1" applyFont="1" applyFill="1" applyBorder="1" applyAlignment="1" applyProtection="0">
      <alignment vertical="bottom"/>
    </xf>
    <xf numFmtId="3" fontId="9" fillId="37" borderId="363" applyNumberFormat="1" applyFont="1" applyFill="1" applyBorder="1" applyAlignment="1" applyProtection="0">
      <alignment vertical="bottom"/>
    </xf>
    <xf numFmtId="3" fontId="9" fillId="37" borderId="364" applyNumberFormat="1" applyFont="1" applyFill="1" applyBorder="1" applyAlignment="1" applyProtection="0">
      <alignment vertical="bottom"/>
    </xf>
    <xf numFmtId="3" fontId="9" fillId="37" borderId="365" applyNumberFormat="1" applyFont="1" applyFill="1" applyBorder="1" applyAlignment="1" applyProtection="0">
      <alignment vertical="bottom"/>
    </xf>
    <xf numFmtId="3" fontId="9" fillId="37" borderId="366" applyNumberFormat="1" applyFont="1" applyFill="1" applyBorder="1" applyAlignment="1" applyProtection="0">
      <alignment vertical="bottom"/>
    </xf>
    <xf numFmtId="0" fontId="0" fillId="4" borderId="367" applyNumberFormat="0" applyFont="1" applyFill="1" applyBorder="1" applyAlignment="1" applyProtection="0">
      <alignment vertical="bottom"/>
    </xf>
    <xf numFmtId="0" fontId="0" fillId="4" applyNumberFormat="1" applyFont="1" applyFill="1" applyBorder="0" applyAlignment="1" applyProtection="0">
      <alignment vertical="bottom"/>
    </xf>
    <xf numFmtId="49" fontId="24" fillId="19" borderId="85" applyNumberFormat="1" applyFont="1" applyFill="1" applyBorder="1" applyAlignment="1" applyProtection="0">
      <alignment horizontal="left" vertical="bottom"/>
    </xf>
    <xf numFmtId="0" fontId="10" fillId="19" borderId="88" applyNumberFormat="1" applyFont="1" applyFill="1" applyBorder="1" applyAlignment="1" applyProtection="0">
      <alignment horizontal="center" vertical="bottom"/>
    </xf>
    <xf numFmtId="0" fontId="24" fillId="19" borderId="85" applyNumberFormat="0" applyFont="1" applyFill="1" applyBorder="1" applyAlignment="1" applyProtection="0">
      <alignment horizontal="left" vertical="bottom"/>
    </xf>
    <xf numFmtId="0" fontId="0" fillId="4" applyNumberFormat="1" applyFont="1" applyFill="1" applyBorder="0" applyAlignment="1" applyProtection="0">
      <alignment vertical="bottom"/>
    </xf>
    <xf numFmtId="49" fontId="20" fillId="18" borderId="368" applyNumberFormat="1" applyFont="1" applyFill="1" applyBorder="1" applyAlignment="1" applyProtection="0">
      <alignment vertical="bottom" wrapText="1"/>
    </xf>
    <xf numFmtId="0" fontId="20" fillId="18" borderId="369" applyNumberFormat="0" applyFont="1" applyFill="1" applyBorder="1" applyAlignment="1" applyProtection="0">
      <alignment vertical="bottom"/>
    </xf>
    <xf numFmtId="49" fontId="20" fillId="18" borderId="369" applyNumberFormat="1" applyFont="1" applyFill="1" applyBorder="1" applyAlignment="1" applyProtection="0">
      <alignment horizontal="center" vertical="bottom" wrapText="1"/>
    </xf>
    <xf numFmtId="0" fontId="20" fillId="18" borderId="369" applyNumberFormat="0" applyFont="1" applyFill="1" applyBorder="1" applyAlignment="1" applyProtection="0">
      <alignment horizontal="center" vertical="bottom" wrapText="1"/>
    </xf>
    <xf numFmtId="9" fontId="20" fillId="18" borderId="369" applyNumberFormat="1" applyFont="1" applyFill="1" applyBorder="1" applyAlignment="1" applyProtection="0">
      <alignment horizontal="center" vertical="bottom"/>
    </xf>
    <xf numFmtId="49" fontId="20" fillId="18" borderId="370" applyNumberFormat="1" applyFont="1" applyFill="1" applyBorder="1" applyAlignment="1" applyProtection="0">
      <alignment horizontal="center" vertical="bottom" wrapText="1"/>
    </xf>
    <xf numFmtId="0" fontId="20" fillId="18" borderId="371" applyNumberFormat="0" applyFont="1" applyFill="1" applyBorder="1" applyAlignment="1" applyProtection="0">
      <alignment vertical="bottom"/>
    </xf>
    <xf numFmtId="0" fontId="20" fillId="18" borderId="372" applyNumberFormat="0" applyFont="1" applyFill="1" applyBorder="1" applyAlignment="1" applyProtection="0">
      <alignment vertical="bottom"/>
    </xf>
    <xf numFmtId="0" fontId="20" fillId="18" borderId="372" applyNumberFormat="0" applyFont="1" applyFill="1" applyBorder="1" applyAlignment="1" applyProtection="0">
      <alignment horizontal="center" vertical="bottom" wrapText="1"/>
    </xf>
    <xf numFmtId="0" fontId="21" fillId="18" borderId="372" applyNumberFormat="0" applyFont="1" applyFill="1" applyBorder="1" applyAlignment="1" applyProtection="0">
      <alignment vertical="bottom"/>
    </xf>
    <xf numFmtId="0" fontId="20" fillId="18" borderId="373" applyNumberFormat="0" applyFont="1" applyFill="1" applyBorder="1" applyAlignment="1" applyProtection="0">
      <alignment horizontal="center" vertical="bottom" wrapText="1"/>
    </xf>
    <xf numFmtId="49" fontId="23" fillId="18" borderId="51" applyNumberFormat="1" applyFont="1" applyFill="1" applyBorder="1" applyAlignment="1" applyProtection="0">
      <alignment vertical="bottom"/>
    </xf>
    <xf numFmtId="0" fontId="20" fillId="18" borderId="16" applyNumberFormat="0" applyFont="1" applyFill="1" applyBorder="1" applyAlignment="1" applyProtection="0">
      <alignment vertical="bottom"/>
    </xf>
    <xf numFmtId="64" fontId="21" fillId="18" borderId="52" applyNumberFormat="1" applyFont="1" applyFill="1" applyBorder="1" applyAlignment="1" applyProtection="0">
      <alignment vertical="bottom"/>
    </xf>
    <xf numFmtId="49" fontId="20" fillId="18" borderId="51" applyNumberFormat="1" applyFont="1" applyFill="1" applyBorder="1" applyAlignment="1" applyProtection="0">
      <alignment horizontal="right" vertical="bottom"/>
    </xf>
    <xf numFmtId="61" fontId="20" fillId="18" borderId="52" applyNumberFormat="1" applyFont="1" applyFill="1" applyBorder="1" applyAlignment="1" applyProtection="0">
      <alignment vertical="bottom"/>
    </xf>
    <xf numFmtId="0" fontId="79" fillId="4" borderId="50" applyNumberFormat="1" applyFont="1" applyFill="1" applyBorder="1" applyAlignment="1" applyProtection="0">
      <alignment horizontal="left" vertical="bottom"/>
    </xf>
    <xf numFmtId="0" fontId="21" fillId="18" borderId="53" applyNumberFormat="0" applyFont="1" applyFill="1" applyBorder="1" applyAlignment="1" applyProtection="0">
      <alignment vertical="bottom"/>
    </xf>
    <xf numFmtId="0" fontId="21" fillId="18" borderId="374" applyNumberFormat="0" applyFont="1" applyFill="1" applyBorder="1" applyAlignment="1" applyProtection="0">
      <alignment vertical="bottom"/>
    </xf>
    <xf numFmtId="61" fontId="21" fillId="18" borderId="374" applyNumberFormat="1" applyFont="1" applyFill="1" applyBorder="1" applyAlignment="1" applyProtection="0">
      <alignment vertical="bottom"/>
    </xf>
    <xf numFmtId="65" fontId="21" fillId="18" borderId="374" applyNumberFormat="1" applyFont="1" applyFill="1" applyBorder="1" applyAlignment="1" applyProtection="0">
      <alignment horizontal="right" vertical="bottom"/>
    </xf>
    <xf numFmtId="64" fontId="21" fillId="18" borderId="54" applyNumberFormat="1" applyFont="1" applyFill="1" applyBorder="1" applyAlignment="1" applyProtection="0">
      <alignment vertical="bottom"/>
    </xf>
    <xf numFmtId="61" fontId="0" fillId="4" borderId="11" applyNumberFormat="1" applyFont="1" applyFill="1" applyBorder="1" applyAlignment="1" applyProtection="0">
      <alignment vertical="bottom"/>
    </xf>
    <xf numFmtId="0" fontId="0" fillId="4" applyNumberFormat="1" applyFont="1" applyFill="1" applyBorder="0" applyAlignment="1" applyProtection="0">
      <alignment vertical="bottom"/>
    </xf>
    <xf numFmtId="49" fontId="20" fillId="18" borderId="368" applyNumberFormat="1" applyFont="1" applyFill="1" applyBorder="1" applyAlignment="1" applyProtection="0">
      <alignment horizontal="center" vertical="bottom" wrapText="1"/>
    </xf>
    <xf numFmtId="0" fontId="20" fillId="18" borderId="372" applyNumberFormat="0" applyFont="1" applyFill="1" applyBorder="1" applyAlignment="1" applyProtection="0">
      <alignment horizontal="center" vertical="center" wrapText="1"/>
    </xf>
    <xf numFmtId="49" fontId="21" fillId="18" borderId="51" applyNumberFormat="1" applyFont="1" applyFill="1" applyBorder="1" applyAlignment="1" applyProtection="0">
      <alignment horizontal="right" vertical="bottom"/>
    </xf>
    <xf numFmtId="49" fontId="21" fillId="18" borderId="16" applyNumberFormat="1" applyFont="1" applyFill="1" applyBorder="1" applyAlignment="1" applyProtection="0">
      <alignment horizontal="center" vertical="center"/>
    </xf>
    <xf numFmtId="49" fontId="80" fillId="18" borderId="52" applyNumberFormat="1" applyFont="1" applyFill="1" applyBorder="1" applyAlignment="1" applyProtection="0">
      <alignment vertical="center" wrapText="1"/>
    </xf>
    <xf numFmtId="0" fontId="79" fillId="4" borderId="178" applyNumberFormat="0" applyFont="1" applyFill="1" applyBorder="1" applyAlignment="1" applyProtection="0">
      <alignment horizontal="left" vertical="bottom"/>
    </xf>
    <xf numFmtId="49" fontId="21" fillId="18" borderId="16" applyNumberFormat="1" applyFont="1" applyFill="1" applyBorder="1" applyAlignment="1" applyProtection="0">
      <alignment horizontal="center" vertical="center" wrapText="1"/>
    </xf>
    <xf numFmtId="49" fontId="21" fillId="18" borderId="16" applyNumberFormat="1" applyFont="1" applyFill="1" applyBorder="1" applyAlignment="1" applyProtection="0">
      <alignment horizontal="center" vertical="bottom"/>
    </xf>
    <xf numFmtId="49" fontId="81" fillId="18" borderId="52" applyNumberFormat="1" applyFont="1" applyFill="1" applyBorder="1" applyAlignment="1" applyProtection="0">
      <alignment vertical="center" wrapText="1"/>
    </xf>
    <xf numFmtId="0" fontId="21" fillId="18" borderId="53" applyNumberFormat="0" applyFont="1" applyFill="1" applyBorder="1" applyAlignment="1" applyProtection="0">
      <alignment horizontal="left" vertical="bottom"/>
    </xf>
    <xf numFmtId="61" fontId="21" fillId="18" borderId="374" applyNumberFormat="1" applyFont="1" applyFill="1" applyBorder="1" applyAlignment="1" applyProtection="0">
      <alignment horizontal="center" vertical="center"/>
    </xf>
    <xf numFmtId="61" fontId="21" fillId="18" borderId="54" applyNumberFormat="1" applyFont="1" applyFill="1" applyBorder="1" applyAlignment="1" applyProtection="0">
      <alignment vertical="bottom"/>
    </xf>
    <xf numFmtId="0" fontId="0" applyNumberFormat="1" applyFont="1" applyFill="0" applyBorder="0" applyAlignment="1" applyProtection="0">
      <alignment vertical="bottom"/>
    </xf>
    <xf numFmtId="49" fontId="28" fillId="16" borderId="287" applyNumberFormat="1" applyFont="1" applyFill="1" applyBorder="1" applyAlignment="1" applyProtection="0">
      <alignment horizontal="center" vertical="bottom"/>
    </xf>
    <xf numFmtId="0" fontId="28" fillId="16" borderId="287" applyNumberFormat="0" applyFont="1" applyFill="1" applyBorder="1" applyAlignment="1" applyProtection="0">
      <alignment horizontal="center" vertical="bottom"/>
    </xf>
    <xf numFmtId="0" fontId="28" fillId="16" borderId="287" applyNumberFormat="0" applyFont="1" applyFill="1" applyBorder="1" applyAlignment="1" applyProtection="0">
      <alignment vertical="bottom"/>
    </xf>
    <xf numFmtId="49" fontId="0" fillId="16" borderId="287" applyNumberFormat="1" applyFont="1" applyFill="1" applyBorder="1" applyAlignment="1" applyProtection="0">
      <alignment vertical="bottom" wrapText="1"/>
    </xf>
    <xf numFmtId="3" fontId="0" fillId="16" borderId="287" applyNumberFormat="1" applyFont="1" applyFill="1" applyBorder="1" applyAlignment="1" applyProtection="0">
      <alignment vertical="bottom" wrapText="1"/>
    </xf>
    <xf numFmtId="4" fontId="0" fillId="16" borderId="287" applyNumberFormat="1" applyFont="1" applyFill="1" applyBorder="1" applyAlignment="1" applyProtection="0">
      <alignment vertical="bottom" wrapText="1"/>
    </xf>
    <xf numFmtId="0" fontId="0" fillId="16" borderId="287" applyNumberFormat="1" applyFont="1" applyFill="1" applyBorder="1" applyAlignment="1" applyProtection="0">
      <alignment vertical="bottom"/>
    </xf>
  </cellXfs>
  <cellStyles count="1">
    <cellStyle name="Normal" xfId="0" builtinId="0"/>
  </cellStyles>
  <dxfs count="6">
    <dxf>
      <font>
        <b val="1"/>
        <color rgb="ffffffff"/>
      </font>
      <fill>
        <patternFill patternType="solid">
          <fgColor indexed="26"/>
          <bgColor indexed="16"/>
        </patternFill>
      </fill>
    </dxf>
    <dxf>
      <font>
        <b val="1"/>
        <color rgb="ff008000"/>
      </font>
      <fill>
        <patternFill patternType="solid">
          <fgColor indexed="26"/>
          <bgColor indexed="27"/>
        </patternFill>
      </fill>
    </dxf>
    <dxf>
      <font>
        <b val="1"/>
        <color rgb="ffa80000"/>
      </font>
      <fill>
        <patternFill patternType="solid">
          <fgColor indexed="26"/>
          <bgColor indexed="29"/>
        </patternFill>
      </fill>
    </dxf>
    <dxf>
      <font>
        <b val="1"/>
        <color rgb="ffff0000"/>
      </font>
    </dxf>
    <dxf>
      <font>
        <b val="1"/>
        <color rgb="ffff0000"/>
      </font>
    </dxf>
    <dxf>
      <font>
        <b val="1"/>
        <color rgb="ffff0000"/>
      </font>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fbfbf"/>
      <rgbColor rgb="ffaaaaaa"/>
      <rgbColor rgb="ffffffff"/>
      <rgbColor rgb="ff504918"/>
      <rgbColor rgb="ff595959"/>
      <rgbColor rgb="ff331919"/>
      <rgbColor rgb="ff462222"/>
      <rgbColor rgb="ff7f7f7f"/>
      <rgbColor rgb="ff24474c"/>
      <rgbColor rgb="ff2c585e"/>
      <rgbColor rgb="ff0f3f67"/>
      <rgbColor rgb="ff134e7f"/>
      <rgbColor rgb="ff324437"/>
      <rgbColor rgb="ff242c38"/>
      <rgbColor rgb="00000000"/>
      <rgbColor rgb="ffa5a5a5"/>
      <rgbColor rgb="ff008000"/>
      <rgbColor rgb="ffd8d8d8"/>
      <rgbColor rgb="ffa80000"/>
      <rgbColor rgb="ff3f3f3f"/>
      <rgbColor rgb="ffff0000"/>
      <rgbColor rgb="ff555555"/>
      <rgbColor rgb="ffecf0f1"/>
      <rgbColor rgb="fffbfbfb"/>
      <rgbColor rgb="ff284c62"/>
      <rgbColor rgb="ff302739"/>
      <rgbColor rgb="ff2b2f49"/>
      <rgbColor rgb="ff00b050"/>
      <rgbColor rgb="ffff6969"/>
      <rgbColor rgb="ff4d2d41"/>
      <rgbColor rgb="ff92d050"/>
      <rgbColor rgb="ff0c1e2e"/>
      <rgbColor rgb="ff3a2231"/>
      <rgbColor rgb="ffb4c6e7"/>
      <rgbColor rgb="ff24273c"/>
      <rgbColor rgb="ff194f6d"/>
      <rgbColor rgb="ff3c4c28"/>
      <rgbColor rgb="ff636246"/>
      <rgbColor rgb="ff1f3f1d"/>
      <rgbColor rgb="ffa5a5a5"/>
      <rgbColor rgb="ff4d7372"/>
      <rgbColor rgb="ff374151"/>
      <rgbColor rgb="ff3d3813"/>
      <rgbColor rgb="fff2f2f2"/>
      <rgbColor rgb="ff262626"/>
      <rgbColor rgb="ff578382"/>
      <rgbColor rgb="ff522828"/>
      <rgbColor rgb="ff21323f"/>
      <rgbColor rgb="ff282741"/>
      <rgbColor rgb="ff343254"/>
      <rgbColor rgb="ff4e3037"/>
      <rgbColor rgb="ff0c0c0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 Id="rId27" Type="http://schemas.openxmlformats.org/officeDocument/2006/relationships/worksheet" Target="worksheets/sheet23.xml"/><Relationship Id="rId28" Type="http://schemas.openxmlformats.org/officeDocument/2006/relationships/worksheet" Target="worksheets/sheet24.xml"/><Relationship Id="rId29" Type="http://schemas.openxmlformats.org/officeDocument/2006/relationships/worksheet" Target="worksheets/sheet25.xml"/><Relationship Id="rId30" Type="http://schemas.openxmlformats.org/officeDocument/2006/relationships/worksheet" Target="worksheets/sheet26.xml"/><Relationship Id="rId31" Type="http://schemas.openxmlformats.org/officeDocument/2006/relationships/worksheet" Target="worksheets/sheet27.xml"/><Relationship Id="rId32" Type="http://schemas.openxmlformats.org/officeDocument/2006/relationships/worksheet" Target="worksheets/sheet28.xml"/><Relationship Id="rId33" Type="http://schemas.openxmlformats.org/officeDocument/2006/relationships/worksheet" Target="worksheets/sheet29.xml"/><Relationship Id="rId34" Type="http://schemas.openxmlformats.org/officeDocument/2006/relationships/worksheet" Target="worksheets/sheet30.xml"/><Relationship Id="rId35" Type="http://schemas.openxmlformats.org/officeDocument/2006/relationships/worksheet" Target="worksheets/sheet31.xml"/><Relationship Id="rId36" Type="http://schemas.openxmlformats.org/officeDocument/2006/relationships/worksheet" Target="worksheets/sheet32.xml"/><Relationship Id="rId37" Type="http://schemas.openxmlformats.org/officeDocument/2006/relationships/worksheet" Target="worksheets/sheet33.xml"/><Relationship Id="rId38" Type="http://schemas.openxmlformats.org/officeDocument/2006/relationships/worksheet" Target="worksheets/sheet34.xml"/><Relationship Id="rId39" Type="http://schemas.openxmlformats.org/officeDocument/2006/relationships/worksheet" Target="worksheets/sheet35.xml"/><Relationship Id="rId40" Type="http://schemas.openxmlformats.org/officeDocument/2006/relationships/worksheet" Target="worksheets/sheet36.xml"/><Relationship Id="rId41" Type="http://schemas.openxmlformats.org/officeDocument/2006/relationships/worksheet" Target="worksheets/sheet37.xml"/><Relationship Id="rId42" Type="http://schemas.openxmlformats.org/officeDocument/2006/relationships/worksheet" Target="worksheets/sheet38.xml"/><Relationship Id="rId43" Type="http://schemas.openxmlformats.org/officeDocument/2006/relationships/worksheet" Target="worksheets/sheet39.xml"/><Relationship Id="rId44" Type="http://schemas.openxmlformats.org/officeDocument/2006/relationships/worksheet" Target="worksheets/sheet40.xml"/><Relationship Id="rId45" Type="http://schemas.openxmlformats.org/officeDocument/2006/relationships/worksheet" Target="worksheets/sheet41.xml"/><Relationship Id="rId46" Type="http://schemas.openxmlformats.org/officeDocument/2006/relationships/worksheet" Target="worksheets/sheet42.xml"/><Relationship Id="rId47" Type="http://schemas.openxmlformats.org/officeDocument/2006/relationships/worksheet" Target="worksheets/sheet43.xml"/><Relationship Id="rId48" Type="http://schemas.openxmlformats.org/officeDocument/2006/relationships/worksheet" Target="worksheets/sheet44.xml"/><Relationship Id="rId49" Type="http://schemas.openxmlformats.org/officeDocument/2006/relationships/worksheet" Target="worksheets/sheet45.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400" u="none">
                <a:solidFill>
                  <a:srgbClr val="D9D9D9"/>
                </a:solidFill>
                <a:latin typeface="Calibri"/>
              </a:defRPr>
            </a:pPr>
            <a:r>
              <a:rPr b="1" i="0" strike="noStrike" sz="1400" u="none">
                <a:solidFill>
                  <a:srgbClr val="D9D9D9"/>
                </a:solidFill>
                <a:latin typeface="Calibri"/>
              </a:rPr>
              <a:t>Income
</a:t>
            </a:r>
          </a:p>
        </c:rich>
      </c:tx>
      <c:layout>
        <c:manualLayout>
          <c:xMode val="edge"/>
          <c:yMode val="edge"/>
          <c:x val="0.454304"/>
          <c:y val="0"/>
          <c:w val="0.0913918"/>
          <c:h val="0.257945"/>
        </c:manualLayout>
      </c:layout>
      <c:overlay val="1"/>
      <c:spPr>
        <a:noFill/>
        <a:effectLst/>
      </c:spPr>
    </c:title>
    <c:autoTitleDeleted val="1"/>
    <c:plotArea>
      <c:layout>
        <c:manualLayout>
          <c:layoutTarget val="inner"/>
          <c:xMode val="edge"/>
          <c:yMode val="edge"/>
          <c:x val="0.20861"/>
          <c:y val="0.257945"/>
          <c:w val="0.78639"/>
          <c:h val="0.658714"/>
        </c:manualLayout>
      </c:layout>
      <c:barChart>
        <c:barDir val="col"/>
        <c:grouping val="clustered"/>
        <c:varyColors val="0"/>
        <c:ser>
          <c:idx val="0"/>
          <c:order val="0"/>
          <c:tx>
            <c:v>Series1</c:v>
          </c:tx>
          <c:spPr>
            <a:noFill/>
            <a:ln w="9525" cap="flat">
              <a:solidFill>
                <a:schemeClr val="accent1"/>
              </a:solidFill>
              <a:prstDash val="solid"/>
              <a:miter lim="800000"/>
            </a:ln>
            <a:effectLst/>
          </c:spPr>
          <c:invertIfNegative val="0"/>
          <c:dLbls>
            <c:numFmt formatCode="&quot; &quot;[$Rp-421]&quot; &quot;#,##0&quot; &quot;;&quot; &quot;[$Rp-421]&quot; '(&quot;#,##0);&quot; &quot;[$Rp-421]&quot; '-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2023'!$A$5:$A$14</c:f>
              <c:strCache>
                <c:ptCount val="10"/>
                <c:pt idx="0">
                  <c:v>Interest Income</c:v>
                </c:pt>
                <c:pt idx="1">
                  <c:v>Cash </c:v>
                </c:pt>
                <c:pt idx="2">
                  <c:v>Sales</c:v>
                </c:pt>
                <c:pt idx="3">
                  <c:v>Sales Car Arya </c:v>
                </c:pt>
                <c:pt idx="4">
                  <c:v>Sales Trekking </c:v>
                </c:pt>
                <c:pt idx="5">
                  <c:v>Sales Riki</c:v>
                </c:pt>
                <c:pt idx="6">
                  <c:v>Sales Dedean</c:v>
                </c:pt>
                <c:pt idx="7">
                  <c:v>Sales Trip Advisor</c:v>
                </c:pt>
                <c:pt idx="8">
                  <c:v>Sales Seaven heaven </c:v>
                </c:pt>
                <c:pt idx="9">
                  <c:v>Sales Karang Putih</c:v>
                </c:pt>
              </c:strCache>
            </c:strRef>
          </c:cat>
          <c:val>
            <c:numRef>
              <c:f>'PnL 2023'!$B$5:$B$14</c:f>
              <c:numCache>
                <c:ptCount val="6"/>
                <c:pt idx="0">
                  <c:v>222969.370000</c:v>
                </c:pt>
                <c:pt idx="1">
                  <c:v>10000000.000000</c:v>
                </c:pt>
                <c:pt idx="2">
                  <c:v>599361172.000000</c:v>
                </c:pt>
                <c:pt idx="7">
                  <c:v>482031651.820000</c:v>
                </c:pt>
                <c:pt idx="8">
                  <c:v>123100000.000000</c:v>
                </c:pt>
                <c:pt idx="9">
                  <c:v>22000000.000000</c:v>
                </c:pt>
              </c:numCache>
            </c:numRef>
          </c:val>
        </c:ser>
        <c:ser>
          <c:idx val="1"/>
          <c:order val="1"/>
          <c:tx>
            <c:v>Series2</c:v>
          </c:tx>
          <c:spPr>
            <a:noFill/>
            <a:ln w="9525" cap="flat">
              <a:solidFill>
                <a:schemeClr val="accent2"/>
              </a:solidFill>
              <a:prstDash val="solid"/>
              <a:miter lim="800000"/>
            </a:ln>
            <a:effectLst/>
          </c:spPr>
          <c:invertIfNegative val="0"/>
          <c:dLbls>
            <c:numFmt formatCode="0.00%"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2023'!$A$5:$A$14</c:f>
              <c:strCache>
                <c:ptCount val="10"/>
                <c:pt idx="0">
                  <c:v>Interest Income</c:v>
                </c:pt>
                <c:pt idx="1">
                  <c:v>Cash </c:v>
                </c:pt>
                <c:pt idx="2">
                  <c:v>Sales</c:v>
                </c:pt>
                <c:pt idx="3">
                  <c:v>Sales Car Arya </c:v>
                </c:pt>
                <c:pt idx="4">
                  <c:v>Sales Trekking </c:v>
                </c:pt>
                <c:pt idx="5">
                  <c:v>Sales Riki</c:v>
                </c:pt>
                <c:pt idx="6">
                  <c:v>Sales Dedean</c:v>
                </c:pt>
                <c:pt idx="7">
                  <c:v>Sales Trip Advisor</c:v>
                </c:pt>
                <c:pt idx="8">
                  <c:v>Sales Seaven heaven </c:v>
                </c:pt>
                <c:pt idx="9">
                  <c:v>Sales Karang Putih</c:v>
                </c:pt>
              </c:strCache>
            </c:strRef>
          </c:cat>
          <c:val>
            <c:numRef>
              <c:f>'PnL 2023'!$C$5:$C$14</c:f>
              <c:numCache>
                <c:ptCount val="0"/>
              </c:numCache>
            </c:numRef>
          </c:val>
        </c:ser>
        <c:ser>
          <c:idx val="2"/>
          <c:order val="2"/>
          <c:tx>
            <c:v>Series3</c:v>
          </c:tx>
          <c:spPr>
            <a:noFill/>
            <a:ln w="9525" cap="flat">
              <a:solidFill>
                <a:schemeClr val="accent3"/>
              </a:solidFill>
              <a:prstDash val="solid"/>
              <a:miter lim="800000"/>
            </a:ln>
            <a:effectLst/>
          </c:spPr>
          <c:invertIfNegative val="0"/>
          <c:dLbls>
            <c:numFmt formatCode="&quot; &quot;[$Rp-421]&quot; &quot;#,##0&quot; &quot;;&quot; &quot;[$Rp-421]&quot; '(&quot;#,##0);&quot; &quot;[$Rp-421]&quot; '-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2023'!$A$5:$A$14</c:f>
              <c:strCache>
                <c:ptCount val="10"/>
                <c:pt idx="0">
                  <c:v>Interest Income</c:v>
                </c:pt>
                <c:pt idx="1">
                  <c:v>Cash </c:v>
                </c:pt>
                <c:pt idx="2">
                  <c:v>Sales</c:v>
                </c:pt>
                <c:pt idx="3">
                  <c:v>Sales Car Arya </c:v>
                </c:pt>
                <c:pt idx="4">
                  <c:v>Sales Trekking </c:v>
                </c:pt>
                <c:pt idx="5">
                  <c:v>Sales Riki</c:v>
                </c:pt>
                <c:pt idx="6">
                  <c:v>Sales Dedean</c:v>
                </c:pt>
                <c:pt idx="7">
                  <c:v>Sales Trip Advisor</c:v>
                </c:pt>
                <c:pt idx="8">
                  <c:v>Sales Seaven heaven </c:v>
                </c:pt>
                <c:pt idx="9">
                  <c:v>Sales Karang Putih</c:v>
                </c:pt>
              </c:strCache>
            </c:strRef>
          </c:cat>
          <c:val>
            <c:numRef>
              <c:f>'PnL 2023'!$D$5:$D$14</c:f>
              <c:numCache>
                <c:ptCount val="5"/>
                <c:pt idx="0">
                  <c:v>324670.000000</c:v>
                </c:pt>
                <c:pt idx="2">
                  <c:v>518199155.000000</c:v>
                </c:pt>
                <c:pt idx="6">
                  <c:v>58350000.000000</c:v>
                </c:pt>
                <c:pt idx="7">
                  <c:v>318561972.000000</c:v>
                </c:pt>
                <c:pt idx="9">
                  <c:v>189117622.000000</c:v>
                </c:pt>
              </c:numCache>
            </c:numRef>
          </c:val>
        </c:ser>
        <c:ser>
          <c:idx val="3"/>
          <c:order val="3"/>
          <c:tx>
            <c:v>Series4</c:v>
          </c:tx>
          <c:spPr>
            <a:noFill/>
            <a:ln w="9525" cap="flat">
              <a:solidFill>
                <a:schemeClr val="accent4"/>
              </a:solidFill>
              <a:prstDash val="solid"/>
              <a:miter lim="800000"/>
            </a:ln>
            <a:effectLst/>
          </c:spPr>
          <c:invertIfNegative val="0"/>
          <c:dLbls>
            <c:numFmt formatCode="0.00%"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2023'!$A$5:$A$14</c:f>
              <c:strCache>
                <c:ptCount val="10"/>
                <c:pt idx="0">
                  <c:v>Interest Income</c:v>
                </c:pt>
                <c:pt idx="1">
                  <c:v>Cash </c:v>
                </c:pt>
                <c:pt idx="2">
                  <c:v>Sales</c:v>
                </c:pt>
                <c:pt idx="3">
                  <c:v>Sales Car Arya </c:v>
                </c:pt>
                <c:pt idx="4">
                  <c:v>Sales Trekking </c:v>
                </c:pt>
                <c:pt idx="5">
                  <c:v>Sales Riki</c:v>
                </c:pt>
                <c:pt idx="6">
                  <c:v>Sales Dedean</c:v>
                </c:pt>
                <c:pt idx="7">
                  <c:v>Sales Trip Advisor</c:v>
                </c:pt>
                <c:pt idx="8">
                  <c:v>Sales Seaven heaven </c:v>
                </c:pt>
                <c:pt idx="9">
                  <c:v>Sales Karang Putih</c:v>
                </c:pt>
              </c:strCache>
            </c:strRef>
          </c:cat>
          <c:val>
            <c:numRef>
              <c:f>'PnL 2023'!$E$5:$E$14</c:f>
              <c:numCache>
                <c:ptCount val="0"/>
              </c:numCache>
            </c:numRef>
          </c:val>
        </c:ser>
        <c:ser>
          <c:idx val="4"/>
          <c:order val="4"/>
          <c:tx>
            <c:v>Series5</c:v>
          </c:tx>
          <c:spPr>
            <a:noFill/>
            <a:ln w="9525" cap="flat">
              <a:solidFill>
                <a:schemeClr val="accent5"/>
              </a:solidFill>
              <a:prstDash val="solid"/>
              <a:miter lim="800000"/>
            </a:ln>
            <a:effectLst/>
          </c:spPr>
          <c:invertIfNegative val="0"/>
          <c:dLbls>
            <c:numFmt formatCode="&quot; &quot;[$Rp-421]&quot; &quot;#,##0&quot; &quot;;&quot; &quot;[$Rp-421]&quot; '(&quot;#,##0);&quot; &quot;[$Rp-421]&quot; '-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2023'!$A$5:$A$14</c:f>
              <c:strCache>
                <c:ptCount val="10"/>
                <c:pt idx="0">
                  <c:v>Interest Income</c:v>
                </c:pt>
                <c:pt idx="1">
                  <c:v>Cash </c:v>
                </c:pt>
                <c:pt idx="2">
                  <c:v>Sales</c:v>
                </c:pt>
                <c:pt idx="3">
                  <c:v>Sales Car Arya </c:v>
                </c:pt>
                <c:pt idx="4">
                  <c:v>Sales Trekking </c:v>
                </c:pt>
                <c:pt idx="5">
                  <c:v>Sales Riki</c:v>
                </c:pt>
                <c:pt idx="6">
                  <c:v>Sales Dedean</c:v>
                </c:pt>
                <c:pt idx="7">
                  <c:v>Sales Trip Advisor</c:v>
                </c:pt>
                <c:pt idx="8">
                  <c:v>Sales Seaven heaven </c:v>
                </c:pt>
                <c:pt idx="9">
                  <c:v>Sales Karang Putih</c:v>
                </c:pt>
              </c:strCache>
            </c:strRef>
          </c:cat>
          <c:val>
            <c:numRef>
              <c:f>'PnL 2023'!$F$5:$F$14</c:f>
              <c:numCache>
                <c:ptCount val="7"/>
                <c:pt idx="0">
                  <c:v>186812.010000</c:v>
                </c:pt>
                <c:pt idx="1">
                  <c:v>30150000.000000</c:v>
                </c:pt>
                <c:pt idx="2">
                  <c:v>808674799.000000</c:v>
                </c:pt>
                <c:pt idx="5">
                  <c:v>115200000.000000</c:v>
                </c:pt>
                <c:pt idx="6">
                  <c:v>148050000.000000</c:v>
                </c:pt>
                <c:pt idx="7">
                  <c:v>468120000.000000</c:v>
                </c:pt>
                <c:pt idx="9">
                  <c:v>256710000.000000</c:v>
                </c:pt>
              </c:numCache>
            </c:numRef>
          </c:val>
        </c:ser>
        <c:ser>
          <c:idx val="5"/>
          <c:order val="5"/>
          <c:tx>
            <c:v>Series25</c:v>
          </c:tx>
          <c:spPr>
            <a:noFill/>
            <a:ln w="9525" cap="flat">
              <a:solidFill>
                <a:srgbClr val="9DC3E6"/>
              </a:solidFill>
              <a:prstDash val="solid"/>
              <a:miter lim="800000"/>
            </a:ln>
            <a:effectLst/>
          </c:spPr>
          <c:invertIfNegative val="0"/>
          <c:dLbls>
            <c:numFmt formatCode="&quot; &quot;[$Rp-421]&quot; &quot;#,##0&quot; &quot;;&quot; &quot;[$Rp-421]&quot; '(&quot;#,##0);&quot; &quot;[$Rp-421]&quot; '-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2023'!$A$5:$A$14</c:f>
              <c:strCache>
                <c:ptCount val="10"/>
                <c:pt idx="0">
                  <c:v>Interest Income</c:v>
                </c:pt>
                <c:pt idx="1">
                  <c:v>Cash </c:v>
                </c:pt>
                <c:pt idx="2">
                  <c:v>Sales</c:v>
                </c:pt>
                <c:pt idx="3">
                  <c:v>Sales Car Arya </c:v>
                </c:pt>
                <c:pt idx="4">
                  <c:v>Sales Trekking </c:v>
                </c:pt>
                <c:pt idx="5">
                  <c:v>Sales Riki</c:v>
                </c:pt>
                <c:pt idx="6">
                  <c:v>Sales Dedean</c:v>
                </c:pt>
                <c:pt idx="7">
                  <c:v>Sales Trip Advisor</c:v>
                </c:pt>
                <c:pt idx="8">
                  <c:v>Sales Seaven heaven </c:v>
                </c:pt>
                <c:pt idx="9">
                  <c:v>Sales Karang Putih</c:v>
                </c:pt>
              </c:strCache>
            </c:strRef>
          </c:cat>
          <c:val>
            <c:numRef>
              <c:f>'PnL 2023'!$Z$5:$Z$14</c:f>
              <c:numCache>
                <c:ptCount val="10"/>
                <c:pt idx="0">
                  <c:v>4213982.440000</c:v>
                </c:pt>
                <c:pt idx="1">
                  <c:v>2103142980.000000</c:v>
                </c:pt>
                <c:pt idx="2">
                  <c:v>14972627584.000000</c:v>
                </c:pt>
                <c:pt idx="3">
                  <c:v>194504965.000000</c:v>
                </c:pt>
                <c:pt idx="4">
                  <c:v>23430410.000000</c:v>
                </c:pt>
                <c:pt idx="5">
                  <c:v>2926180003.000000</c:v>
                </c:pt>
                <c:pt idx="6">
                  <c:v>3341945732.000000</c:v>
                </c:pt>
                <c:pt idx="7">
                  <c:v>10635668365.820000</c:v>
                </c:pt>
                <c:pt idx="8">
                  <c:v>3497506625.000000</c:v>
                </c:pt>
                <c:pt idx="9">
                  <c:v>1935594300.000000</c:v>
                </c:pt>
              </c:numCache>
            </c:numRef>
          </c:val>
        </c:ser>
        <c:gapWidth val="315"/>
        <c:overlap val="-40"/>
        <c:axId val="2094734552"/>
        <c:axId val="2094734553"/>
      </c:barChart>
      <c:catAx>
        <c:axId val="2094734552"/>
        <c:scaling>
          <c:orientation val="minMax"/>
        </c:scaling>
        <c:delete val="0"/>
        <c:axPos val="b"/>
        <c:majorGridlines>
          <c:spPr>
            <a:ln w="12700" cap="flat">
              <a:solidFill>
                <a:srgbClr val="4D4D4D"/>
              </a:solidFill>
              <a:prstDash val="solid"/>
              <a:round/>
            </a:ln>
          </c:spPr>
        </c:majorGridlines>
        <c:numFmt formatCode="General" sourceLinked="1"/>
        <c:majorTickMark val="none"/>
        <c:minorTickMark val="none"/>
        <c:tickLblPos val="low"/>
        <c:spPr>
          <a:ln w="12700" cap="flat">
            <a:noFill/>
            <a:prstDash val="solid"/>
            <a:miter lim="800000"/>
          </a:ln>
        </c:spPr>
        <c:txPr>
          <a:bodyPr rot="0"/>
          <a:lstStyle/>
          <a:p>
            <a:pPr>
              <a:defRPr b="0" i="0" strike="noStrike" sz="900" u="none">
                <a:solidFill>
                  <a:srgbClr val="BFBFBF"/>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4D4D4D"/>
              </a:solidFill>
              <a:prstDash val="solid"/>
              <a:round/>
            </a:ln>
          </c:spPr>
        </c:majorGridlines>
        <c:numFmt formatCode="General" sourceLinked="1"/>
        <c:majorTickMark val="none"/>
        <c:minorTickMark val="none"/>
        <c:tickLblPos val="nextTo"/>
        <c:spPr>
          <a:ln w="12700" cap="flat">
            <a:noFill/>
            <a:prstDash val="solid"/>
            <a:miter lim="800000"/>
          </a:ln>
        </c:spPr>
        <c:txPr>
          <a:bodyPr rot="0"/>
          <a:lstStyle/>
          <a:p>
            <a:pPr>
              <a:defRPr b="0" i="0" strike="noStrike" sz="900" u="none">
                <a:solidFill>
                  <a:srgbClr val="BFBFBF"/>
                </a:solidFill>
                <a:latin typeface="Calibri"/>
              </a:defRPr>
            </a:pPr>
          </a:p>
        </c:txPr>
        <c:crossAx val="2094734552"/>
        <c:crosses val="autoZero"/>
        <c:crossBetween val="between"/>
        <c:majorUnit val="4e+09"/>
        <c:minorUnit val="2e+09"/>
      </c:valAx>
      <c:spPr>
        <a:noFill/>
        <a:ln w="12700" cap="flat">
          <a:noFill/>
          <a:miter lim="400000"/>
        </a:ln>
        <a:effectLst/>
      </c:spPr>
    </c:plotArea>
    <c:plotVisOnly val="1"/>
    <c:dispBlanksAs val="gap"/>
  </c:chart>
  <c:spPr>
    <a:solidFill>
      <a:srgbClr val="404040"/>
    </a:solidFill>
    <a:ln w="12700" cap="flat">
      <a:solidFill>
        <a:srgbClr val="D9D9D9"/>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400" u="none">
                <a:solidFill>
                  <a:srgbClr val="D9D9D9"/>
                </a:solidFill>
                <a:latin typeface="Calibri"/>
              </a:defRPr>
            </a:pPr>
            <a:r>
              <a:rPr b="1" i="0" strike="noStrike" sz="1400" u="none">
                <a:solidFill>
                  <a:srgbClr val="D9D9D9"/>
                </a:solidFill>
                <a:latin typeface="Calibri"/>
              </a:rPr>
              <a:t>Cost of Sales</a:t>
            </a:r>
          </a:p>
        </c:rich>
      </c:tx>
      <c:layout>
        <c:manualLayout>
          <c:xMode val="edge"/>
          <c:yMode val="edge"/>
          <c:x val="0.434525"/>
          <c:y val="0"/>
          <c:w val="0.130951"/>
          <c:h val="0.0432306"/>
        </c:manualLayout>
      </c:layout>
      <c:overlay val="1"/>
      <c:spPr>
        <a:noFill/>
        <a:effectLst/>
      </c:spPr>
    </c:title>
    <c:autoTitleDeleted val="1"/>
    <c:plotArea>
      <c:layout>
        <c:manualLayout>
          <c:layoutTarget val="inner"/>
          <c:xMode val="edge"/>
          <c:yMode val="edge"/>
          <c:x val="0.180472"/>
          <c:y val="0.0432306"/>
          <c:w val="0.810604"/>
          <c:h val="0.923464"/>
        </c:manualLayout>
      </c:layout>
      <c:barChart>
        <c:barDir val="col"/>
        <c:grouping val="clustered"/>
        <c:varyColors val="0"/>
        <c:ser>
          <c:idx val="0"/>
          <c:order val="0"/>
          <c:tx>
            <c:v>Series1</c:v>
          </c:tx>
          <c:spPr>
            <a:noFill/>
            <a:ln w="9525" cap="flat">
              <a:solidFill>
                <a:schemeClr val="accent1"/>
              </a:solidFill>
              <a:prstDash val="solid"/>
              <a:miter lim="800000"/>
            </a:ln>
            <a:effectLst/>
          </c:spPr>
          <c:invertIfNegative val="0"/>
          <c:dLbls>
            <c:numFmt formatCode="&quot; &quot;[$Rp-421]&quot; &quot;#,##0&quot; &quot;;&quot; &quot;[$Rp-421]&quot; '(&quot;#,##0);&quot; &quot;[$Rp-421]&quot; '-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2023'!$A$20:$A$62</c:f>
              <c:strCache>
                <c:ptCount val="43"/>
                <c:pt idx="0">
                  <c:v>Boat Bali Dolphin</c:v>
                </c:pt>
                <c:pt idx="1">
                  <c:v>Boat Bali Wahoo - I Wayan Sudarsa</c:v>
                </c:pt>
                <c:pt idx="2">
                  <c:v>Boat Big Blue - I Made Budiata</c:v>
                </c:pt>
                <c:pt idx="3">
                  <c:v>Boat Risen - I Wayan Jendra</c:v>
                </c:pt>
                <c:pt idx="4">
                  <c:v>Boat Seahorse - Zhao Yilin</c:v>
                </c:pt>
                <c:pt idx="5">
                  <c:v>Boat Seahourse Luxury </c:v>
                </c:pt>
                <c:pt idx="6">
                  <c:v>Boat Dhea</c:v>
                </c:pt>
                <c:pt idx="7">
                  <c:v>Boat Mironia</c:v>
                </c:pt>
                <c:pt idx="8">
                  <c:v>Boat Sunset Cocktail Cruise</c:v>
                </c:pt>
                <c:pt idx="9">
                  <c:v>Boat Big Little Star </c:v>
                </c:pt>
                <c:pt idx="10">
                  <c:v>Boat Small Little Star </c:v>
                </c:pt>
                <c:pt idx="11">
                  <c:v>Boat Jayanadi </c:v>
                </c:pt>
                <c:pt idx="12">
                  <c:v>Boat Sanjaya</c:v>
                </c:pt>
                <c:pt idx="13">
                  <c:v>Boat Sea Dragon </c:v>
                </c:pt>
                <c:pt idx="14">
                  <c:v>Nyoman Boat - I Nyoman Sunartha</c:v>
                </c:pt>
                <c:pt idx="15">
                  <c:v>Boat Lady Manta </c:v>
                </c:pt>
                <c:pt idx="16">
                  <c:v>Petrol Jetski </c:v>
                </c:pt>
                <c:pt idx="17">
                  <c:v>Service Jetski </c:v>
                </c:pt>
                <c:pt idx="18">
                  <c:v>Car Arya</c:v>
                </c:pt>
                <c:pt idx="19">
                  <c:v>Car Kadek</c:v>
                </c:pt>
                <c:pt idx="20">
                  <c:v>Entry Ticket and Other Ticket</c:v>
                </c:pt>
                <c:pt idx="21">
                  <c:v>Food and Baverages</c:v>
                </c:pt>
                <c:pt idx="22">
                  <c:v>Fruit</c:v>
                </c:pt>
                <c:pt idx="23">
                  <c:v>Beverage </c:v>
                </c:pt>
                <c:pt idx="24">
                  <c:v>Shuttle</c:v>
                </c:pt>
                <c:pt idx="25">
                  <c:v>Sekoci and public boat</c:v>
                </c:pt>
                <c:pt idx="26">
                  <c:v>Yacht - PT Pelayaran Wisata -Annecha</c:v>
                </c:pt>
                <c:pt idx="27">
                  <c:v>Yacht Charter - PT Jet Asia Bali</c:v>
                </c:pt>
                <c:pt idx="28">
                  <c:v>Yacht Sayap Bali</c:v>
                </c:pt>
                <c:pt idx="29">
                  <c:v>Yacht King Fish</c:v>
                </c:pt>
                <c:pt idx="30">
                  <c:v>Yacht King Ruizi</c:v>
                </c:pt>
                <c:pt idx="31">
                  <c:v>Paradise Boat </c:v>
                </c:pt>
                <c:pt idx="32">
                  <c:v>Sekoci DTB 2</c:v>
                </c:pt>
                <c:pt idx="33">
                  <c:v>Photographer</c:v>
                </c:pt>
                <c:pt idx="34">
                  <c:v>Boat Karang Putih</c:v>
                </c:pt>
                <c:pt idx="35">
                  <c:v>Boat Dedean 3</c:v>
                </c:pt>
                <c:pt idx="36">
                  <c:v>Boat Seven Heaven</c:v>
                </c:pt>
                <c:pt idx="37">
                  <c:v>Boat Riki J</c:v>
                </c:pt>
                <c:pt idx="38">
                  <c:v>Sekoci Day Trip Bali </c:v>
                </c:pt>
                <c:pt idx="39">
                  <c:v>Salary Boat Crew SH4</c:v>
                </c:pt>
                <c:pt idx="40">
                  <c:v>Salary Boat Crew</c:v>
                </c:pt>
                <c:pt idx="41">
                  <c:v>Tour Expenses</c:v>
                </c:pt>
                <c:pt idx="42">
                  <c:v>Tour Guide</c:v>
                </c:pt>
              </c:strCache>
            </c:strRef>
          </c:cat>
          <c:val>
            <c:numRef>
              <c:f>'PnL 2023'!$B$20:$B$62</c:f>
              <c:numCache>
                <c:ptCount val="20"/>
                <c:pt idx="0">
                  <c:v>23500000.000000</c:v>
                </c:pt>
                <c:pt idx="1">
                  <c:v>24600000.000000</c:v>
                </c:pt>
                <c:pt idx="2">
                  <c:v>5300000.000000</c:v>
                </c:pt>
                <c:pt idx="4">
                  <c:v>15000000.000000</c:v>
                </c:pt>
                <c:pt idx="18">
                  <c:v>4900000.000000</c:v>
                </c:pt>
                <c:pt idx="19">
                  <c:v>97940000.000000</c:v>
                </c:pt>
                <c:pt idx="20">
                  <c:v>2770000.000000</c:v>
                </c:pt>
                <c:pt idx="21">
                  <c:v>78440130.000000</c:v>
                </c:pt>
                <c:pt idx="25">
                  <c:v>14400000.000000</c:v>
                </c:pt>
                <c:pt idx="26">
                  <c:v>16150000.000000</c:v>
                </c:pt>
                <c:pt idx="28">
                  <c:v>18500000.000000</c:v>
                </c:pt>
                <c:pt idx="29">
                  <c:v>51000000.000000</c:v>
                </c:pt>
                <c:pt idx="33">
                  <c:v>11250000.000000</c:v>
                </c:pt>
                <c:pt idx="34">
                  <c:v>33735000.000000</c:v>
                </c:pt>
                <c:pt idx="35">
                  <c:v>67723000.000000</c:v>
                </c:pt>
                <c:pt idx="36">
                  <c:v>24547636.000000</c:v>
                </c:pt>
                <c:pt idx="38">
                  <c:v>2012500.000000</c:v>
                </c:pt>
                <c:pt idx="40">
                  <c:v>34980000.000000</c:v>
                </c:pt>
                <c:pt idx="41">
                  <c:v>20813900.000000</c:v>
                </c:pt>
                <c:pt idx="42">
                  <c:v>152550000.000000</c:v>
                </c:pt>
              </c:numCache>
            </c:numRef>
          </c:val>
        </c:ser>
        <c:ser>
          <c:idx val="1"/>
          <c:order val="1"/>
          <c:tx>
            <c:v>Series2</c:v>
          </c:tx>
          <c:spPr>
            <a:noFill/>
            <a:ln w="9525" cap="flat">
              <a:solidFill>
                <a:schemeClr val="accent2"/>
              </a:solidFill>
              <a:prstDash val="solid"/>
              <a:miter lim="800000"/>
            </a:ln>
            <a:effectLst/>
          </c:spPr>
          <c:invertIfNegative val="0"/>
          <c:dLbls>
            <c:numFmt formatCode="0.00%"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2023'!$A$20:$A$62</c:f>
              <c:strCache>
                <c:ptCount val="43"/>
                <c:pt idx="0">
                  <c:v>Boat Bali Dolphin</c:v>
                </c:pt>
                <c:pt idx="1">
                  <c:v>Boat Bali Wahoo - I Wayan Sudarsa</c:v>
                </c:pt>
                <c:pt idx="2">
                  <c:v>Boat Big Blue - I Made Budiata</c:v>
                </c:pt>
                <c:pt idx="3">
                  <c:v>Boat Risen - I Wayan Jendra</c:v>
                </c:pt>
                <c:pt idx="4">
                  <c:v>Boat Seahorse - Zhao Yilin</c:v>
                </c:pt>
                <c:pt idx="5">
                  <c:v>Boat Seahourse Luxury </c:v>
                </c:pt>
                <c:pt idx="6">
                  <c:v>Boat Dhea</c:v>
                </c:pt>
                <c:pt idx="7">
                  <c:v>Boat Mironia</c:v>
                </c:pt>
                <c:pt idx="8">
                  <c:v>Boat Sunset Cocktail Cruise</c:v>
                </c:pt>
                <c:pt idx="9">
                  <c:v>Boat Big Little Star </c:v>
                </c:pt>
                <c:pt idx="10">
                  <c:v>Boat Small Little Star </c:v>
                </c:pt>
                <c:pt idx="11">
                  <c:v>Boat Jayanadi </c:v>
                </c:pt>
                <c:pt idx="12">
                  <c:v>Boat Sanjaya</c:v>
                </c:pt>
                <c:pt idx="13">
                  <c:v>Boat Sea Dragon </c:v>
                </c:pt>
                <c:pt idx="14">
                  <c:v>Nyoman Boat - I Nyoman Sunartha</c:v>
                </c:pt>
                <c:pt idx="15">
                  <c:v>Boat Lady Manta </c:v>
                </c:pt>
                <c:pt idx="16">
                  <c:v>Petrol Jetski </c:v>
                </c:pt>
                <c:pt idx="17">
                  <c:v>Service Jetski </c:v>
                </c:pt>
                <c:pt idx="18">
                  <c:v>Car Arya</c:v>
                </c:pt>
                <c:pt idx="19">
                  <c:v>Car Kadek</c:v>
                </c:pt>
                <c:pt idx="20">
                  <c:v>Entry Ticket and Other Ticket</c:v>
                </c:pt>
                <c:pt idx="21">
                  <c:v>Food and Baverages</c:v>
                </c:pt>
                <c:pt idx="22">
                  <c:v>Fruit</c:v>
                </c:pt>
                <c:pt idx="23">
                  <c:v>Beverage </c:v>
                </c:pt>
                <c:pt idx="24">
                  <c:v>Shuttle</c:v>
                </c:pt>
                <c:pt idx="25">
                  <c:v>Sekoci and public boat</c:v>
                </c:pt>
                <c:pt idx="26">
                  <c:v>Yacht - PT Pelayaran Wisata -Annecha</c:v>
                </c:pt>
                <c:pt idx="27">
                  <c:v>Yacht Charter - PT Jet Asia Bali</c:v>
                </c:pt>
                <c:pt idx="28">
                  <c:v>Yacht Sayap Bali</c:v>
                </c:pt>
                <c:pt idx="29">
                  <c:v>Yacht King Fish</c:v>
                </c:pt>
                <c:pt idx="30">
                  <c:v>Yacht King Ruizi</c:v>
                </c:pt>
                <c:pt idx="31">
                  <c:v>Paradise Boat </c:v>
                </c:pt>
                <c:pt idx="32">
                  <c:v>Sekoci DTB 2</c:v>
                </c:pt>
                <c:pt idx="33">
                  <c:v>Photographer</c:v>
                </c:pt>
                <c:pt idx="34">
                  <c:v>Boat Karang Putih</c:v>
                </c:pt>
                <c:pt idx="35">
                  <c:v>Boat Dedean 3</c:v>
                </c:pt>
                <c:pt idx="36">
                  <c:v>Boat Seven Heaven</c:v>
                </c:pt>
                <c:pt idx="37">
                  <c:v>Boat Riki J</c:v>
                </c:pt>
                <c:pt idx="38">
                  <c:v>Sekoci Day Trip Bali </c:v>
                </c:pt>
                <c:pt idx="39">
                  <c:v>Salary Boat Crew SH4</c:v>
                </c:pt>
                <c:pt idx="40">
                  <c:v>Salary Boat Crew</c:v>
                </c:pt>
                <c:pt idx="41">
                  <c:v>Tour Expenses</c:v>
                </c:pt>
                <c:pt idx="42">
                  <c:v>Tour Guide</c:v>
                </c:pt>
              </c:strCache>
            </c:strRef>
          </c:cat>
          <c:val>
            <c:numRef>
              <c:f>'PnL 2023'!$C$20:$C$62</c:f>
              <c:numCache>
                <c:ptCount val="0"/>
              </c:numCache>
            </c:numRef>
          </c:val>
        </c:ser>
        <c:ser>
          <c:idx val="2"/>
          <c:order val="2"/>
          <c:tx>
            <c:v>Series3</c:v>
          </c:tx>
          <c:spPr>
            <a:noFill/>
            <a:ln w="9525" cap="flat">
              <a:solidFill>
                <a:schemeClr val="accent3"/>
              </a:solidFill>
              <a:prstDash val="solid"/>
              <a:miter lim="800000"/>
            </a:ln>
            <a:effectLst/>
          </c:spPr>
          <c:invertIfNegative val="0"/>
          <c:dLbls>
            <c:numFmt formatCode="&quot; &quot;[$Rp-421]&quot; &quot;#,##0&quot; &quot;;&quot; &quot;[$Rp-421]&quot; '(&quot;#,##0);&quot; &quot;[$Rp-421]&quot; '-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2023'!$A$20:$A$62</c:f>
              <c:strCache>
                <c:ptCount val="43"/>
                <c:pt idx="0">
                  <c:v>Boat Bali Dolphin</c:v>
                </c:pt>
                <c:pt idx="1">
                  <c:v>Boat Bali Wahoo - I Wayan Sudarsa</c:v>
                </c:pt>
                <c:pt idx="2">
                  <c:v>Boat Big Blue - I Made Budiata</c:v>
                </c:pt>
                <c:pt idx="3">
                  <c:v>Boat Risen - I Wayan Jendra</c:v>
                </c:pt>
                <c:pt idx="4">
                  <c:v>Boat Seahorse - Zhao Yilin</c:v>
                </c:pt>
                <c:pt idx="5">
                  <c:v>Boat Seahourse Luxury </c:v>
                </c:pt>
                <c:pt idx="6">
                  <c:v>Boat Dhea</c:v>
                </c:pt>
                <c:pt idx="7">
                  <c:v>Boat Mironia</c:v>
                </c:pt>
                <c:pt idx="8">
                  <c:v>Boat Sunset Cocktail Cruise</c:v>
                </c:pt>
                <c:pt idx="9">
                  <c:v>Boat Big Little Star </c:v>
                </c:pt>
                <c:pt idx="10">
                  <c:v>Boat Small Little Star </c:v>
                </c:pt>
                <c:pt idx="11">
                  <c:v>Boat Jayanadi </c:v>
                </c:pt>
                <c:pt idx="12">
                  <c:v>Boat Sanjaya</c:v>
                </c:pt>
                <c:pt idx="13">
                  <c:v>Boat Sea Dragon </c:v>
                </c:pt>
                <c:pt idx="14">
                  <c:v>Nyoman Boat - I Nyoman Sunartha</c:v>
                </c:pt>
                <c:pt idx="15">
                  <c:v>Boat Lady Manta </c:v>
                </c:pt>
                <c:pt idx="16">
                  <c:v>Petrol Jetski </c:v>
                </c:pt>
                <c:pt idx="17">
                  <c:v>Service Jetski </c:v>
                </c:pt>
                <c:pt idx="18">
                  <c:v>Car Arya</c:v>
                </c:pt>
                <c:pt idx="19">
                  <c:v>Car Kadek</c:v>
                </c:pt>
                <c:pt idx="20">
                  <c:v>Entry Ticket and Other Ticket</c:v>
                </c:pt>
                <c:pt idx="21">
                  <c:v>Food and Baverages</c:v>
                </c:pt>
                <c:pt idx="22">
                  <c:v>Fruit</c:v>
                </c:pt>
                <c:pt idx="23">
                  <c:v>Beverage </c:v>
                </c:pt>
                <c:pt idx="24">
                  <c:v>Shuttle</c:v>
                </c:pt>
                <c:pt idx="25">
                  <c:v>Sekoci and public boat</c:v>
                </c:pt>
                <c:pt idx="26">
                  <c:v>Yacht - PT Pelayaran Wisata -Annecha</c:v>
                </c:pt>
                <c:pt idx="27">
                  <c:v>Yacht Charter - PT Jet Asia Bali</c:v>
                </c:pt>
                <c:pt idx="28">
                  <c:v>Yacht Sayap Bali</c:v>
                </c:pt>
                <c:pt idx="29">
                  <c:v>Yacht King Fish</c:v>
                </c:pt>
                <c:pt idx="30">
                  <c:v>Yacht King Ruizi</c:v>
                </c:pt>
                <c:pt idx="31">
                  <c:v>Paradise Boat </c:v>
                </c:pt>
                <c:pt idx="32">
                  <c:v>Sekoci DTB 2</c:v>
                </c:pt>
                <c:pt idx="33">
                  <c:v>Photographer</c:v>
                </c:pt>
                <c:pt idx="34">
                  <c:v>Boat Karang Putih</c:v>
                </c:pt>
                <c:pt idx="35">
                  <c:v>Boat Dedean 3</c:v>
                </c:pt>
                <c:pt idx="36">
                  <c:v>Boat Seven Heaven</c:v>
                </c:pt>
                <c:pt idx="37">
                  <c:v>Boat Riki J</c:v>
                </c:pt>
                <c:pt idx="38">
                  <c:v>Sekoci Day Trip Bali </c:v>
                </c:pt>
                <c:pt idx="39">
                  <c:v>Salary Boat Crew SH4</c:v>
                </c:pt>
                <c:pt idx="40">
                  <c:v>Salary Boat Crew</c:v>
                </c:pt>
                <c:pt idx="41">
                  <c:v>Tour Expenses</c:v>
                </c:pt>
                <c:pt idx="42">
                  <c:v>Tour Guide</c:v>
                </c:pt>
              </c:strCache>
            </c:strRef>
          </c:cat>
          <c:val>
            <c:numRef>
              <c:f>'PnL 2023'!$D$20:$D$62</c:f>
              <c:numCache>
                <c:ptCount val="18"/>
                <c:pt idx="0">
                  <c:v>4700000.000000</c:v>
                </c:pt>
                <c:pt idx="2">
                  <c:v>8400000.000000</c:v>
                </c:pt>
                <c:pt idx="4">
                  <c:v>10000000.000000</c:v>
                </c:pt>
                <c:pt idx="14">
                  <c:v>289900000.000000</c:v>
                </c:pt>
                <c:pt idx="18">
                  <c:v>20075000.000000</c:v>
                </c:pt>
                <c:pt idx="19">
                  <c:v>75935000.000000</c:v>
                </c:pt>
                <c:pt idx="21">
                  <c:v>63787850.000000</c:v>
                </c:pt>
                <c:pt idx="25">
                  <c:v>10400000.000000</c:v>
                </c:pt>
                <c:pt idx="28">
                  <c:v>18500000.000000</c:v>
                </c:pt>
                <c:pt idx="29">
                  <c:v>8500000.000000</c:v>
                </c:pt>
                <c:pt idx="33">
                  <c:v>6600000.000000</c:v>
                </c:pt>
                <c:pt idx="34">
                  <c:v>79016000.000000</c:v>
                </c:pt>
                <c:pt idx="35">
                  <c:v>74247861.000000</c:v>
                </c:pt>
                <c:pt idx="36">
                  <c:v>1250000.000000</c:v>
                </c:pt>
                <c:pt idx="38">
                  <c:v>1610000.000000</c:v>
                </c:pt>
                <c:pt idx="40">
                  <c:v>56020000.000000</c:v>
                </c:pt>
                <c:pt idx="41">
                  <c:v>13788876.000000</c:v>
                </c:pt>
                <c:pt idx="42">
                  <c:v>115750000.000000</c:v>
                </c:pt>
              </c:numCache>
            </c:numRef>
          </c:val>
        </c:ser>
        <c:ser>
          <c:idx val="3"/>
          <c:order val="3"/>
          <c:tx>
            <c:v>Series4</c:v>
          </c:tx>
          <c:spPr>
            <a:noFill/>
            <a:ln w="9525" cap="flat">
              <a:solidFill>
                <a:schemeClr val="accent4"/>
              </a:solidFill>
              <a:prstDash val="solid"/>
              <a:miter lim="800000"/>
            </a:ln>
            <a:effectLst/>
          </c:spPr>
          <c:invertIfNegative val="0"/>
          <c:dLbls>
            <c:numFmt formatCode="0.00%"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2023'!$A$20:$A$62</c:f>
              <c:strCache>
                <c:ptCount val="43"/>
                <c:pt idx="0">
                  <c:v>Boat Bali Dolphin</c:v>
                </c:pt>
                <c:pt idx="1">
                  <c:v>Boat Bali Wahoo - I Wayan Sudarsa</c:v>
                </c:pt>
                <c:pt idx="2">
                  <c:v>Boat Big Blue - I Made Budiata</c:v>
                </c:pt>
                <c:pt idx="3">
                  <c:v>Boat Risen - I Wayan Jendra</c:v>
                </c:pt>
                <c:pt idx="4">
                  <c:v>Boat Seahorse - Zhao Yilin</c:v>
                </c:pt>
                <c:pt idx="5">
                  <c:v>Boat Seahourse Luxury </c:v>
                </c:pt>
                <c:pt idx="6">
                  <c:v>Boat Dhea</c:v>
                </c:pt>
                <c:pt idx="7">
                  <c:v>Boat Mironia</c:v>
                </c:pt>
                <c:pt idx="8">
                  <c:v>Boat Sunset Cocktail Cruise</c:v>
                </c:pt>
                <c:pt idx="9">
                  <c:v>Boat Big Little Star </c:v>
                </c:pt>
                <c:pt idx="10">
                  <c:v>Boat Small Little Star </c:v>
                </c:pt>
                <c:pt idx="11">
                  <c:v>Boat Jayanadi </c:v>
                </c:pt>
                <c:pt idx="12">
                  <c:v>Boat Sanjaya</c:v>
                </c:pt>
                <c:pt idx="13">
                  <c:v>Boat Sea Dragon </c:v>
                </c:pt>
                <c:pt idx="14">
                  <c:v>Nyoman Boat - I Nyoman Sunartha</c:v>
                </c:pt>
                <c:pt idx="15">
                  <c:v>Boat Lady Manta </c:v>
                </c:pt>
                <c:pt idx="16">
                  <c:v>Petrol Jetski </c:v>
                </c:pt>
                <c:pt idx="17">
                  <c:v>Service Jetski </c:v>
                </c:pt>
                <c:pt idx="18">
                  <c:v>Car Arya</c:v>
                </c:pt>
                <c:pt idx="19">
                  <c:v>Car Kadek</c:v>
                </c:pt>
                <c:pt idx="20">
                  <c:v>Entry Ticket and Other Ticket</c:v>
                </c:pt>
                <c:pt idx="21">
                  <c:v>Food and Baverages</c:v>
                </c:pt>
                <c:pt idx="22">
                  <c:v>Fruit</c:v>
                </c:pt>
                <c:pt idx="23">
                  <c:v>Beverage </c:v>
                </c:pt>
                <c:pt idx="24">
                  <c:v>Shuttle</c:v>
                </c:pt>
                <c:pt idx="25">
                  <c:v>Sekoci and public boat</c:v>
                </c:pt>
                <c:pt idx="26">
                  <c:v>Yacht - PT Pelayaran Wisata -Annecha</c:v>
                </c:pt>
                <c:pt idx="27">
                  <c:v>Yacht Charter - PT Jet Asia Bali</c:v>
                </c:pt>
                <c:pt idx="28">
                  <c:v>Yacht Sayap Bali</c:v>
                </c:pt>
                <c:pt idx="29">
                  <c:v>Yacht King Fish</c:v>
                </c:pt>
                <c:pt idx="30">
                  <c:v>Yacht King Ruizi</c:v>
                </c:pt>
                <c:pt idx="31">
                  <c:v>Paradise Boat </c:v>
                </c:pt>
                <c:pt idx="32">
                  <c:v>Sekoci DTB 2</c:v>
                </c:pt>
                <c:pt idx="33">
                  <c:v>Photographer</c:v>
                </c:pt>
                <c:pt idx="34">
                  <c:v>Boat Karang Putih</c:v>
                </c:pt>
                <c:pt idx="35">
                  <c:v>Boat Dedean 3</c:v>
                </c:pt>
                <c:pt idx="36">
                  <c:v>Boat Seven Heaven</c:v>
                </c:pt>
                <c:pt idx="37">
                  <c:v>Boat Riki J</c:v>
                </c:pt>
                <c:pt idx="38">
                  <c:v>Sekoci Day Trip Bali </c:v>
                </c:pt>
                <c:pt idx="39">
                  <c:v>Salary Boat Crew SH4</c:v>
                </c:pt>
                <c:pt idx="40">
                  <c:v>Salary Boat Crew</c:v>
                </c:pt>
                <c:pt idx="41">
                  <c:v>Tour Expenses</c:v>
                </c:pt>
                <c:pt idx="42">
                  <c:v>Tour Guide</c:v>
                </c:pt>
              </c:strCache>
            </c:strRef>
          </c:cat>
          <c:val>
            <c:numRef>
              <c:f>'PnL 2023'!$E$20:$E$62</c:f>
              <c:numCache>
                <c:ptCount val="0"/>
              </c:numCache>
            </c:numRef>
          </c:val>
        </c:ser>
        <c:ser>
          <c:idx val="4"/>
          <c:order val="4"/>
          <c:tx>
            <c:v>Series5</c:v>
          </c:tx>
          <c:spPr>
            <a:noFill/>
            <a:ln w="9525" cap="flat">
              <a:solidFill>
                <a:schemeClr val="accent5"/>
              </a:solidFill>
              <a:prstDash val="solid"/>
              <a:miter lim="800000"/>
            </a:ln>
            <a:effectLst/>
          </c:spPr>
          <c:invertIfNegative val="0"/>
          <c:dLbls>
            <c:numFmt formatCode="&quot; &quot;[$Rp-421]&quot; &quot;#,##0&quot; &quot;;&quot; &quot;[$Rp-421]&quot; '(&quot;#,##0);&quot; &quot;[$Rp-421]&quot; '-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2023'!$A$20:$A$62</c:f>
              <c:strCache>
                <c:ptCount val="43"/>
                <c:pt idx="0">
                  <c:v>Boat Bali Dolphin</c:v>
                </c:pt>
                <c:pt idx="1">
                  <c:v>Boat Bali Wahoo - I Wayan Sudarsa</c:v>
                </c:pt>
                <c:pt idx="2">
                  <c:v>Boat Big Blue - I Made Budiata</c:v>
                </c:pt>
                <c:pt idx="3">
                  <c:v>Boat Risen - I Wayan Jendra</c:v>
                </c:pt>
                <c:pt idx="4">
                  <c:v>Boat Seahorse - Zhao Yilin</c:v>
                </c:pt>
                <c:pt idx="5">
                  <c:v>Boat Seahourse Luxury </c:v>
                </c:pt>
                <c:pt idx="6">
                  <c:v>Boat Dhea</c:v>
                </c:pt>
                <c:pt idx="7">
                  <c:v>Boat Mironia</c:v>
                </c:pt>
                <c:pt idx="8">
                  <c:v>Boat Sunset Cocktail Cruise</c:v>
                </c:pt>
                <c:pt idx="9">
                  <c:v>Boat Big Little Star </c:v>
                </c:pt>
                <c:pt idx="10">
                  <c:v>Boat Small Little Star </c:v>
                </c:pt>
                <c:pt idx="11">
                  <c:v>Boat Jayanadi </c:v>
                </c:pt>
                <c:pt idx="12">
                  <c:v>Boat Sanjaya</c:v>
                </c:pt>
                <c:pt idx="13">
                  <c:v>Boat Sea Dragon </c:v>
                </c:pt>
                <c:pt idx="14">
                  <c:v>Nyoman Boat - I Nyoman Sunartha</c:v>
                </c:pt>
                <c:pt idx="15">
                  <c:v>Boat Lady Manta </c:v>
                </c:pt>
                <c:pt idx="16">
                  <c:v>Petrol Jetski </c:v>
                </c:pt>
                <c:pt idx="17">
                  <c:v>Service Jetski </c:v>
                </c:pt>
                <c:pt idx="18">
                  <c:v>Car Arya</c:v>
                </c:pt>
                <c:pt idx="19">
                  <c:v>Car Kadek</c:v>
                </c:pt>
                <c:pt idx="20">
                  <c:v>Entry Ticket and Other Ticket</c:v>
                </c:pt>
                <c:pt idx="21">
                  <c:v>Food and Baverages</c:v>
                </c:pt>
                <c:pt idx="22">
                  <c:v>Fruit</c:v>
                </c:pt>
                <c:pt idx="23">
                  <c:v>Beverage </c:v>
                </c:pt>
                <c:pt idx="24">
                  <c:v>Shuttle</c:v>
                </c:pt>
                <c:pt idx="25">
                  <c:v>Sekoci and public boat</c:v>
                </c:pt>
                <c:pt idx="26">
                  <c:v>Yacht - PT Pelayaran Wisata -Annecha</c:v>
                </c:pt>
                <c:pt idx="27">
                  <c:v>Yacht Charter - PT Jet Asia Bali</c:v>
                </c:pt>
                <c:pt idx="28">
                  <c:v>Yacht Sayap Bali</c:v>
                </c:pt>
                <c:pt idx="29">
                  <c:v>Yacht King Fish</c:v>
                </c:pt>
                <c:pt idx="30">
                  <c:v>Yacht King Ruizi</c:v>
                </c:pt>
                <c:pt idx="31">
                  <c:v>Paradise Boat </c:v>
                </c:pt>
                <c:pt idx="32">
                  <c:v>Sekoci DTB 2</c:v>
                </c:pt>
                <c:pt idx="33">
                  <c:v>Photographer</c:v>
                </c:pt>
                <c:pt idx="34">
                  <c:v>Boat Karang Putih</c:v>
                </c:pt>
                <c:pt idx="35">
                  <c:v>Boat Dedean 3</c:v>
                </c:pt>
                <c:pt idx="36">
                  <c:v>Boat Seven Heaven</c:v>
                </c:pt>
                <c:pt idx="37">
                  <c:v>Boat Riki J</c:v>
                </c:pt>
                <c:pt idx="38">
                  <c:v>Sekoci Day Trip Bali </c:v>
                </c:pt>
                <c:pt idx="39">
                  <c:v>Salary Boat Crew SH4</c:v>
                </c:pt>
                <c:pt idx="40">
                  <c:v>Salary Boat Crew</c:v>
                </c:pt>
                <c:pt idx="41">
                  <c:v>Tour Expenses</c:v>
                </c:pt>
                <c:pt idx="42">
                  <c:v>Tour Guide</c:v>
                </c:pt>
              </c:strCache>
            </c:strRef>
          </c:cat>
          <c:val>
            <c:numRef>
              <c:f>'PnL 2023'!$F$20:$F$62</c:f>
              <c:numCache>
                <c:ptCount val="25"/>
                <c:pt idx="0">
                  <c:v>4700000.000000</c:v>
                </c:pt>
                <c:pt idx="1">
                  <c:v>6000000.000000</c:v>
                </c:pt>
                <c:pt idx="2">
                  <c:v>7500000.000000</c:v>
                </c:pt>
                <c:pt idx="3">
                  <c:v>6500000.000000</c:v>
                </c:pt>
                <c:pt idx="4">
                  <c:v>10000000.000000</c:v>
                </c:pt>
                <c:pt idx="14">
                  <c:v>358350000.000000</c:v>
                </c:pt>
                <c:pt idx="18">
                  <c:v>28000000.000000</c:v>
                </c:pt>
                <c:pt idx="19">
                  <c:v>115320000.000000</c:v>
                </c:pt>
                <c:pt idx="20">
                  <c:v>900000.000000</c:v>
                </c:pt>
                <c:pt idx="21">
                  <c:v>109377850.000000</c:v>
                </c:pt>
                <c:pt idx="25">
                  <c:v>19350000.000000</c:v>
                </c:pt>
                <c:pt idx="26">
                  <c:v>62050000.000000</c:v>
                </c:pt>
                <c:pt idx="27">
                  <c:v>30600000.000000</c:v>
                </c:pt>
                <c:pt idx="28">
                  <c:v>18700000.000000</c:v>
                </c:pt>
                <c:pt idx="29">
                  <c:v>0.000000</c:v>
                </c:pt>
                <c:pt idx="32">
                  <c:v>402500.000000</c:v>
                </c:pt>
                <c:pt idx="33">
                  <c:v>18100000.000000</c:v>
                </c:pt>
                <c:pt idx="34">
                  <c:v>114934300.000000</c:v>
                </c:pt>
                <c:pt idx="35">
                  <c:v>104765500.000000</c:v>
                </c:pt>
                <c:pt idx="36">
                  <c:v>0.000000</c:v>
                </c:pt>
                <c:pt idx="37">
                  <c:v>105765240.000000</c:v>
                </c:pt>
                <c:pt idx="38">
                  <c:v>2415000.000000</c:v>
                </c:pt>
                <c:pt idx="40">
                  <c:v>59260000.000000</c:v>
                </c:pt>
                <c:pt idx="41">
                  <c:v>16682500.000000</c:v>
                </c:pt>
                <c:pt idx="42">
                  <c:v>157335000.000000</c:v>
                </c:pt>
              </c:numCache>
            </c:numRef>
          </c:val>
        </c:ser>
        <c:ser>
          <c:idx val="5"/>
          <c:order val="5"/>
          <c:tx>
            <c:v>Series25</c:v>
          </c:tx>
          <c:spPr>
            <a:noFill/>
            <a:ln w="9525" cap="flat">
              <a:solidFill>
                <a:srgbClr val="9DC3E6"/>
              </a:solidFill>
              <a:prstDash val="solid"/>
              <a:miter lim="800000"/>
            </a:ln>
            <a:effectLst/>
          </c:spPr>
          <c:invertIfNegative val="0"/>
          <c:dLbls>
            <c:numFmt formatCode="&quot; &quot;[$Rp-421]&quot; &quot;#,##0&quot; &quot;;&quot; &quot;[$Rp-421]&quot; '(&quot;#,##0);&quot; &quot;[$Rp-421]&quot; '-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2023'!$A$20:$A$62</c:f>
              <c:strCache>
                <c:ptCount val="43"/>
                <c:pt idx="0">
                  <c:v>Boat Bali Dolphin</c:v>
                </c:pt>
                <c:pt idx="1">
                  <c:v>Boat Bali Wahoo - I Wayan Sudarsa</c:v>
                </c:pt>
                <c:pt idx="2">
                  <c:v>Boat Big Blue - I Made Budiata</c:v>
                </c:pt>
                <c:pt idx="3">
                  <c:v>Boat Risen - I Wayan Jendra</c:v>
                </c:pt>
                <c:pt idx="4">
                  <c:v>Boat Seahorse - Zhao Yilin</c:v>
                </c:pt>
                <c:pt idx="5">
                  <c:v>Boat Seahourse Luxury </c:v>
                </c:pt>
                <c:pt idx="6">
                  <c:v>Boat Dhea</c:v>
                </c:pt>
                <c:pt idx="7">
                  <c:v>Boat Mironia</c:v>
                </c:pt>
                <c:pt idx="8">
                  <c:v>Boat Sunset Cocktail Cruise</c:v>
                </c:pt>
                <c:pt idx="9">
                  <c:v>Boat Big Little Star </c:v>
                </c:pt>
                <c:pt idx="10">
                  <c:v>Boat Small Little Star </c:v>
                </c:pt>
                <c:pt idx="11">
                  <c:v>Boat Jayanadi </c:v>
                </c:pt>
                <c:pt idx="12">
                  <c:v>Boat Sanjaya</c:v>
                </c:pt>
                <c:pt idx="13">
                  <c:v>Boat Sea Dragon </c:v>
                </c:pt>
                <c:pt idx="14">
                  <c:v>Nyoman Boat - I Nyoman Sunartha</c:v>
                </c:pt>
                <c:pt idx="15">
                  <c:v>Boat Lady Manta </c:v>
                </c:pt>
                <c:pt idx="16">
                  <c:v>Petrol Jetski </c:v>
                </c:pt>
                <c:pt idx="17">
                  <c:v>Service Jetski </c:v>
                </c:pt>
                <c:pt idx="18">
                  <c:v>Car Arya</c:v>
                </c:pt>
                <c:pt idx="19">
                  <c:v>Car Kadek</c:v>
                </c:pt>
                <c:pt idx="20">
                  <c:v>Entry Ticket and Other Ticket</c:v>
                </c:pt>
                <c:pt idx="21">
                  <c:v>Food and Baverages</c:v>
                </c:pt>
                <c:pt idx="22">
                  <c:v>Fruit</c:v>
                </c:pt>
                <c:pt idx="23">
                  <c:v>Beverage </c:v>
                </c:pt>
                <c:pt idx="24">
                  <c:v>Shuttle</c:v>
                </c:pt>
                <c:pt idx="25">
                  <c:v>Sekoci and public boat</c:v>
                </c:pt>
                <c:pt idx="26">
                  <c:v>Yacht - PT Pelayaran Wisata -Annecha</c:v>
                </c:pt>
                <c:pt idx="27">
                  <c:v>Yacht Charter - PT Jet Asia Bali</c:v>
                </c:pt>
                <c:pt idx="28">
                  <c:v>Yacht Sayap Bali</c:v>
                </c:pt>
                <c:pt idx="29">
                  <c:v>Yacht King Fish</c:v>
                </c:pt>
                <c:pt idx="30">
                  <c:v>Yacht King Ruizi</c:v>
                </c:pt>
                <c:pt idx="31">
                  <c:v>Paradise Boat </c:v>
                </c:pt>
                <c:pt idx="32">
                  <c:v>Sekoci DTB 2</c:v>
                </c:pt>
                <c:pt idx="33">
                  <c:v>Photographer</c:v>
                </c:pt>
                <c:pt idx="34">
                  <c:v>Boat Karang Putih</c:v>
                </c:pt>
                <c:pt idx="35">
                  <c:v>Boat Dedean 3</c:v>
                </c:pt>
                <c:pt idx="36">
                  <c:v>Boat Seven Heaven</c:v>
                </c:pt>
                <c:pt idx="37">
                  <c:v>Boat Riki J</c:v>
                </c:pt>
                <c:pt idx="38">
                  <c:v>Sekoci Day Trip Bali </c:v>
                </c:pt>
                <c:pt idx="39">
                  <c:v>Salary Boat Crew SH4</c:v>
                </c:pt>
                <c:pt idx="40">
                  <c:v>Salary Boat Crew</c:v>
                </c:pt>
                <c:pt idx="41">
                  <c:v>Tour Expenses</c:v>
                </c:pt>
                <c:pt idx="42">
                  <c:v>Tour Guide</c:v>
                </c:pt>
              </c:strCache>
            </c:strRef>
          </c:cat>
          <c:val>
            <c:numRef>
              <c:f>'PnL 2023'!$Z$20:$Z$62</c:f>
              <c:numCache>
                <c:ptCount val="43"/>
                <c:pt idx="0">
                  <c:v>516500000.000000</c:v>
                </c:pt>
                <c:pt idx="1">
                  <c:v>85600000.000000</c:v>
                </c:pt>
                <c:pt idx="2">
                  <c:v>222300000.000000</c:v>
                </c:pt>
                <c:pt idx="3">
                  <c:v>79100000.000000</c:v>
                </c:pt>
                <c:pt idx="4">
                  <c:v>190500000.000000</c:v>
                </c:pt>
                <c:pt idx="5">
                  <c:v>120000000.000000</c:v>
                </c:pt>
                <c:pt idx="6">
                  <c:v>113500000.000000</c:v>
                </c:pt>
                <c:pt idx="7">
                  <c:v>26558000.000000</c:v>
                </c:pt>
                <c:pt idx="8">
                  <c:v>3170000.000000</c:v>
                </c:pt>
                <c:pt idx="9">
                  <c:v>81285000.000000</c:v>
                </c:pt>
                <c:pt idx="10">
                  <c:v>294924000.000000</c:v>
                </c:pt>
                <c:pt idx="11">
                  <c:v>395298000.000000</c:v>
                </c:pt>
                <c:pt idx="12">
                  <c:v>453980000.000000</c:v>
                </c:pt>
                <c:pt idx="13">
                  <c:v>355212000.000000</c:v>
                </c:pt>
                <c:pt idx="14">
                  <c:v>5867119000.000000</c:v>
                </c:pt>
                <c:pt idx="15">
                  <c:v>158448387.000000</c:v>
                </c:pt>
                <c:pt idx="16">
                  <c:v>138508750.000000</c:v>
                </c:pt>
                <c:pt idx="17">
                  <c:v>51592226.610000</c:v>
                </c:pt>
                <c:pt idx="18">
                  <c:v>529117235.000000</c:v>
                </c:pt>
                <c:pt idx="19">
                  <c:v>2088710000.000000</c:v>
                </c:pt>
                <c:pt idx="20">
                  <c:v>19635000.000000</c:v>
                </c:pt>
                <c:pt idx="21">
                  <c:v>2744292035.000000</c:v>
                </c:pt>
                <c:pt idx="22">
                  <c:v>28056000.000000</c:v>
                </c:pt>
                <c:pt idx="23">
                  <c:v>3785500.000000</c:v>
                </c:pt>
                <c:pt idx="24">
                  <c:v>17850000.000000</c:v>
                </c:pt>
                <c:pt idx="25">
                  <c:v>142314130.000000</c:v>
                </c:pt>
                <c:pt idx="26">
                  <c:v>335970000.000000</c:v>
                </c:pt>
                <c:pt idx="27">
                  <c:v>62550000.000000</c:v>
                </c:pt>
                <c:pt idx="28">
                  <c:v>148200000.000000</c:v>
                </c:pt>
                <c:pt idx="29">
                  <c:v>307000000.000000</c:v>
                </c:pt>
                <c:pt idx="30">
                  <c:v>55500000.000000</c:v>
                </c:pt>
                <c:pt idx="31">
                  <c:v>34000000.000000</c:v>
                </c:pt>
                <c:pt idx="32">
                  <c:v>83515000.000000</c:v>
                </c:pt>
                <c:pt idx="33">
                  <c:v>145150000.000000</c:v>
                </c:pt>
                <c:pt idx="34">
                  <c:v>1037781356.000000</c:v>
                </c:pt>
                <c:pt idx="35">
                  <c:v>1773543858.000000</c:v>
                </c:pt>
                <c:pt idx="36">
                  <c:v>1655425636.000000</c:v>
                </c:pt>
                <c:pt idx="37">
                  <c:v>1634512162.000000</c:v>
                </c:pt>
                <c:pt idx="38">
                  <c:v>402079000.000000</c:v>
                </c:pt>
                <c:pt idx="39">
                  <c:v>11000000.000000</c:v>
                </c:pt>
                <c:pt idx="40">
                  <c:v>934910000.000000</c:v>
                </c:pt>
                <c:pt idx="41">
                  <c:v>361765593.000000</c:v>
                </c:pt>
                <c:pt idx="42">
                  <c:v>2856705175.000000</c:v>
                </c:pt>
              </c:numCache>
            </c:numRef>
          </c:val>
        </c:ser>
        <c:gapWidth val="315"/>
        <c:overlap val="-40"/>
        <c:axId val="2094734552"/>
        <c:axId val="2094734553"/>
      </c:barChart>
      <c:catAx>
        <c:axId val="2094734552"/>
        <c:scaling>
          <c:orientation val="minMax"/>
        </c:scaling>
        <c:delete val="0"/>
        <c:axPos val="b"/>
        <c:majorGridlines>
          <c:spPr>
            <a:ln w="12700" cap="flat">
              <a:solidFill>
                <a:srgbClr val="4D4D4D"/>
              </a:solidFill>
              <a:prstDash val="solid"/>
              <a:round/>
            </a:ln>
          </c:spPr>
        </c:majorGridlines>
        <c:numFmt formatCode="General" sourceLinked="1"/>
        <c:majorTickMark val="none"/>
        <c:minorTickMark val="none"/>
        <c:tickLblPos val="low"/>
        <c:spPr>
          <a:ln w="12700" cap="flat">
            <a:noFill/>
            <a:prstDash val="solid"/>
            <a:miter lim="800000"/>
          </a:ln>
        </c:spPr>
        <c:txPr>
          <a:bodyPr rot="0"/>
          <a:lstStyle/>
          <a:p>
            <a:pPr>
              <a:defRPr b="0" i="0" strike="noStrike" sz="900" u="none">
                <a:solidFill>
                  <a:srgbClr val="BFBFBF"/>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4D4D4D"/>
              </a:solidFill>
              <a:prstDash val="solid"/>
              <a:round/>
            </a:ln>
          </c:spPr>
        </c:majorGridlines>
        <c:numFmt formatCode="General" sourceLinked="1"/>
        <c:majorTickMark val="none"/>
        <c:minorTickMark val="none"/>
        <c:tickLblPos val="nextTo"/>
        <c:spPr>
          <a:ln w="12700" cap="flat">
            <a:noFill/>
            <a:prstDash val="solid"/>
            <a:miter lim="800000"/>
          </a:ln>
        </c:spPr>
        <c:txPr>
          <a:bodyPr rot="0"/>
          <a:lstStyle/>
          <a:p>
            <a:pPr>
              <a:defRPr b="0" i="0" strike="noStrike" sz="900" u="none">
                <a:solidFill>
                  <a:srgbClr val="BFBFBF"/>
                </a:solidFill>
                <a:latin typeface="Calibri"/>
              </a:defRPr>
            </a:pPr>
          </a:p>
        </c:txPr>
        <c:crossAx val="2094734552"/>
        <c:crosses val="autoZero"/>
        <c:crossBetween val="between"/>
        <c:majorUnit val="1.5e+09"/>
        <c:minorUnit val="7.5e+08"/>
      </c:valAx>
      <c:spPr>
        <a:noFill/>
        <a:ln w="12700" cap="flat">
          <a:noFill/>
          <a:miter lim="400000"/>
        </a:ln>
        <a:effectLst/>
      </c:spPr>
    </c:plotArea>
    <c:plotVisOnly val="1"/>
    <c:dispBlanksAs val="gap"/>
  </c:chart>
  <c:spPr>
    <a:solidFill>
      <a:srgbClr val="404040"/>
    </a:solidFill>
    <a:ln w="12700" cap="flat">
      <a:solidFill>
        <a:srgbClr val="D9D9D9"/>
      </a:solidFill>
      <a:prstDash val="solid"/>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400" u="none">
                <a:solidFill>
                  <a:srgbClr val="D9D9D9"/>
                </a:solidFill>
                <a:latin typeface="Calibri"/>
              </a:defRPr>
            </a:pPr>
            <a:r>
              <a:rPr b="1" i="0" strike="noStrike" sz="1400" u="none">
                <a:solidFill>
                  <a:srgbClr val="D9D9D9"/>
                </a:solidFill>
                <a:latin typeface="Calibri"/>
              </a:rPr>
              <a:t>Operations Expenses</a:t>
            </a:r>
          </a:p>
        </c:rich>
      </c:tx>
      <c:layout>
        <c:manualLayout>
          <c:xMode val="edge"/>
          <c:yMode val="edge"/>
          <c:x val="0.388132"/>
          <c:y val="0"/>
          <c:w val="0.223736"/>
          <c:h val="0.031764"/>
        </c:manualLayout>
      </c:layout>
      <c:overlay val="1"/>
      <c:spPr>
        <a:noFill/>
        <a:effectLst/>
      </c:spPr>
    </c:title>
    <c:autoTitleDeleted val="1"/>
    <c:plotArea>
      <c:layout>
        <c:manualLayout>
          <c:layoutTarget val="inner"/>
          <c:xMode val="edge"/>
          <c:yMode val="edge"/>
          <c:x val="0.185847"/>
          <c:y val="0.031764"/>
          <c:w val="0.809153"/>
          <c:h val="0.940449"/>
        </c:manualLayout>
      </c:layout>
      <c:barChart>
        <c:barDir val="col"/>
        <c:grouping val="clustered"/>
        <c:varyColors val="0"/>
        <c:ser>
          <c:idx val="0"/>
          <c:order val="0"/>
          <c:tx>
            <c:v>Series1</c:v>
          </c:tx>
          <c:spPr>
            <a:noFill/>
            <a:ln w="9525" cap="flat">
              <a:solidFill>
                <a:schemeClr val="accent1"/>
              </a:solidFill>
              <a:prstDash val="solid"/>
              <a:miter lim="800000"/>
            </a:ln>
            <a:effectLst/>
          </c:spPr>
          <c:invertIfNegative val="0"/>
          <c:dLbls>
            <c:numFmt formatCode="&quot; &quot;[$Rp-421]&quot; &quot;#,##0&quot; &quot;;&quot; &quot;[$Rp-421]&quot; '(&quot;#,##0);&quot; &quot;[$Rp-421]&quot; '-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2023'!$A$67:$A$116</c:f>
              <c:strCache>
                <c:ptCount val="50"/>
                <c:pt idx="0">
                  <c:v>Advertising</c:v>
                </c:pt>
                <c:pt idx="1">
                  <c:v>2c2p fee</c:v>
                </c:pt>
                <c:pt idx="2">
                  <c:v>Bank Fees</c:v>
                </c:pt>
                <c:pt idx="3">
                  <c:v>Bonus</c:v>
                </c:pt>
                <c:pt idx="4">
                  <c:v>Boat Tour and Supplies</c:v>
                </c:pt>
                <c:pt idx="5">
                  <c:v>Cashlez Fee</c:v>
                </c:pt>
                <c:pt idx="6">
                  <c:v>Commision</c:v>
                </c:pt>
                <c:pt idx="7">
                  <c:v>Refund to Guest</c:v>
                </c:pt>
                <c:pt idx="8">
                  <c:v>Consulting &amp; Accounting</c:v>
                </c:pt>
                <c:pt idx="9">
                  <c:v>Ceremony</c:v>
                </c:pt>
                <c:pt idx="10">
                  <c:v>Diving &amp; Snorkling Gear</c:v>
                </c:pt>
                <c:pt idx="11">
                  <c:v>Donation and Contribution ( CSR )</c:v>
                </c:pt>
                <c:pt idx="12">
                  <c:v>Entertainment</c:v>
                </c:pt>
                <c:pt idx="13">
                  <c:v>Ipay88 Fee</c:v>
                </c:pt>
                <c:pt idx="14">
                  <c:v>Insurance</c:v>
                </c:pt>
                <c:pt idx="15">
                  <c:v>Office Supplies</c:v>
                </c:pt>
                <c:pt idx="16">
                  <c:v>Office Expenses</c:v>
                </c:pt>
                <c:pt idx="17">
                  <c:v>Go Pro and Electronic Supplies</c:v>
                </c:pt>
                <c:pt idx="18">
                  <c:v>Legal expenses</c:v>
                </c:pt>
                <c:pt idx="19">
                  <c:v>Rent</c:v>
                </c:pt>
                <c:pt idx="20">
                  <c:v>Seagrass Office Expenses</c:v>
                </c:pt>
                <c:pt idx="21">
                  <c:v>Pontoon Expenses</c:v>
                </c:pt>
                <c:pt idx="22">
                  <c:v>Jetski Expenses</c:v>
                </c:pt>
                <c:pt idx="23">
                  <c:v>Accounting office expenses</c:v>
                </c:pt>
                <c:pt idx="24">
                  <c:v>Sekoci 8 Metre</c:v>
                </c:pt>
                <c:pt idx="25">
                  <c:v>Medical Expenses</c:v>
                </c:pt>
                <c:pt idx="26">
                  <c:v>Mooring Making - Construction Expenses</c:v>
                </c:pt>
                <c:pt idx="27">
                  <c:v>Shirkage , Spoilage and Loss</c:v>
                </c:pt>
                <c:pt idx="28">
                  <c:v>Software Expenses</c:v>
                </c:pt>
                <c:pt idx="29">
                  <c:v>Telephone &amp; Internet</c:v>
                </c:pt>
                <c:pt idx="30">
                  <c:v>Training Expense</c:v>
                </c:pt>
                <c:pt idx="31">
                  <c:v>Travel Expense</c:v>
                </c:pt>
                <c:pt idx="32">
                  <c:v>Monthly Tax </c:v>
                </c:pt>
                <c:pt idx="33">
                  <c:v>Annual Tax </c:v>
                </c:pt>
                <c:pt idx="34">
                  <c:v>Tour Supplies</c:v>
                </c:pt>
                <c:pt idx="35">
                  <c:v>Travel - International</c:v>
                </c:pt>
                <c:pt idx="36">
                  <c:v>Travel - National</c:v>
                </c:pt>
                <c:pt idx="37">
                  <c:v>Tools and Equipment </c:v>
                </c:pt>
                <c:pt idx="38">
                  <c:v>Employee Meal &amp; Trip Allowance</c:v>
                </c:pt>
                <c:pt idx="39">
                  <c:v>Wages and Salaries</c:v>
                </c:pt>
                <c:pt idx="40">
                  <c:v>Alex Expenses</c:v>
                </c:pt>
                <c:pt idx="41">
                  <c:v>BPJS Kesehatan</c:v>
                </c:pt>
                <c:pt idx="42">
                  <c:v>Uniform </c:v>
                </c:pt>
                <c:pt idx="43">
                  <c:v>Printing &amp; Stationery </c:v>
                </c:pt>
                <c:pt idx="44">
                  <c:v>Staff Expenses</c:v>
                </c:pt>
                <c:pt idx="45">
                  <c:v>Freight And Courier</c:v>
                </c:pt>
                <c:pt idx="46">
                  <c:v>Getyourguide Fee</c:v>
                </c:pt>
                <c:pt idx="47">
                  <c:v>Tour Expenses</c:v>
                </c:pt>
                <c:pt idx="48">
                  <c:v>Website</c:v>
                </c:pt>
                <c:pt idx="49">
                  <c:v>Xendit fee</c:v>
                </c:pt>
              </c:strCache>
            </c:strRef>
          </c:cat>
          <c:val>
            <c:numRef>
              <c:f>'PnL 2023'!$B$67:$B$116</c:f>
              <c:numCache>
                <c:ptCount val="22"/>
                <c:pt idx="0">
                  <c:v>112504882.000000</c:v>
                </c:pt>
                <c:pt idx="1">
                  <c:v>505050.000000</c:v>
                </c:pt>
                <c:pt idx="2">
                  <c:v>331593.870000</c:v>
                </c:pt>
                <c:pt idx="3">
                  <c:v>22700000.000000</c:v>
                </c:pt>
                <c:pt idx="5">
                  <c:v>931499.000000</c:v>
                </c:pt>
                <c:pt idx="6">
                  <c:v>12775000.000000</c:v>
                </c:pt>
                <c:pt idx="7">
                  <c:v>81346989.000000</c:v>
                </c:pt>
                <c:pt idx="8">
                  <c:v>4360000.000000</c:v>
                </c:pt>
                <c:pt idx="10">
                  <c:v>4595000.000000</c:v>
                </c:pt>
                <c:pt idx="11">
                  <c:v>1000000.000000</c:v>
                </c:pt>
                <c:pt idx="13">
                  <c:v>141800.000000</c:v>
                </c:pt>
                <c:pt idx="14">
                  <c:v>2500000.000000</c:v>
                </c:pt>
                <c:pt idx="15">
                  <c:v>2533600.000000</c:v>
                </c:pt>
                <c:pt idx="19">
                  <c:v>1083333.340000</c:v>
                </c:pt>
                <c:pt idx="28">
                  <c:v>1652592.000000</c:v>
                </c:pt>
                <c:pt idx="29">
                  <c:v>200000.000000</c:v>
                </c:pt>
                <c:pt idx="32">
                  <c:v>367136.000000</c:v>
                </c:pt>
                <c:pt idx="33">
                  <c:v>5778520.000000</c:v>
                </c:pt>
                <c:pt idx="36">
                  <c:v>500000.000000</c:v>
                </c:pt>
                <c:pt idx="39">
                  <c:v>83150000.000000</c:v>
                </c:pt>
                <c:pt idx="48">
                  <c:v>71317200.000000</c:v>
                </c:pt>
                <c:pt idx="49">
                  <c:v>10890553.000000</c:v>
                </c:pt>
              </c:numCache>
            </c:numRef>
          </c:val>
        </c:ser>
        <c:ser>
          <c:idx val="1"/>
          <c:order val="1"/>
          <c:tx>
            <c:v>Series2</c:v>
          </c:tx>
          <c:spPr>
            <a:noFill/>
            <a:ln w="9525" cap="flat">
              <a:solidFill>
                <a:schemeClr val="accent2"/>
              </a:solidFill>
              <a:prstDash val="solid"/>
              <a:miter lim="800000"/>
            </a:ln>
            <a:effectLst/>
          </c:spPr>
          <c:invertIfNegative val="0"/>
          <c:dLbls>
            <c:numFmt formatCode="0.00%"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2023'!$A$67:$A$116</c:f>
              <c:strCache>
                <c:ptCount val="50"/>
                <c:pt idx="0">
                  <c:v>Advertising</c:v>
                </c:pt>
                <c:pt idx="1">
                  <c:v>2c2p fee</c:v>
                </c:pt>
                <c:pt idx="2">
                  <c:v>Bank Fees</c:v>
                </c:pt>
                <c:pt idx="3">
                  <c:v>Bonus</c:v>
                </c:pt>
                <c:pt idx="4">
                  <c:v>Boat Tour and Supplies</c:v>
                </c:pt>
                <c:pt idx="5">
                  <c:v>Cashlez Fee</c:v>
                </c:pt>
                <c:pt idx="6">
                  <c:v>Commision</c:v>
                </c:pt>
                <c:pt idx="7">
                  <c:v>Refund to Guest</c:v>
                </c:pt>
                <c:pt idx="8">
                  <c:v>Consulting &amp; Accounting</c:v>
                </c:pt>
                <c:pt idx="9">
                  <c:v>Ceremony</c:v>
                </c:pt>
                <c:pt idx="10">
                  <c:v>Diving &amp; Snorkling Gear</c:v>
                </c:pt>
                <c:pt idx="11">
                  <c:v>Donation and Contribution ( CSR )</c:v>
                </c:pt>
                <c:pt idx="12">
                  <c:v>Entertainment</c:v>
                </c:pt>
                <c:pt idx="13">
                  <c:v>Ipay88 Fee</c:v>
                </c:pt>
                <c:pt idx="14">
                  <c:v>Insurance</c:v>
                </c:pt>
                <c:pt idx="15">
                  <c:v>Office Supplies</c:v>
                </c:pt>
                <c:pt idx="16">
                  <c:v>Office Expenses</c:v>
                </c:pt>
                <c:pt idx="17">
                  <c:v>Go Pro and Electronic Supplies</c:v>
                </c:pt>
                <c:pt idx="18">
                  <c:v>Legal expenses</c:v>
                </c:pt>
                <c:pt idx="19">
                  <c:v>Rent</c:v>
                </c:pt>
                <c:pt idx="20">
                  <c:v>Seagrass Office Expenses</c:v>
                </c:pt>
                <c:pt idx="21">
                  <c:v>Pontoon Expenses</c:v>
                </c:pt>
                <c:pt idx="22">
                  <c:v>Jetski Expenses</c:v>
                </c:pt>
                <c:pt idx="23">
                  <c:v>Accounting office expenses</c:v>
                </c:pt>
                <c:pt idx="24">
                  <c:v>Sekoci 8 Metre</c:v>
                </c:pt>
                <c:pt idx="25">
                  <c:v>Medical Expenses</c:v>
                </c:pt>
                <c:pt idx="26">
                  <c:v>Mooring Making - Construction Expenses</c:v>
                </c:pt>
                <c:pt idx="27">
                  <c:v>Shirkage , Spoilage and Loss</c:v>
                </c:pt>
                <c:pt idx="28">
                  <c:v>Software Expenses</c:v>
                </c:pt>
                <c:pt idx="29">
                  <c:v>Telephone &amp; Internet</c:v>
                </c:pt>
                <c:pt idx="30">
                  <c:v>Training Expense</c:v>
                </c:pt>
                <c:pt idx="31">
                  <c:v>Travel Expense</c:v>
                </c:pt>
                <c:pt idx="32">
                  <c:v>Monthly Tax </c:v>
                </c:pt>
                <c:pt idx="33">
                  <c:v>Annual Tax </c:v>
                </c:pt>
                <c:pt idx="34">
                  <c:v>Tour Supplies</c:v>
                </c:pt>
                <c:pt idx="35">
                  <c:v>Travel - International</c:v>
                </c:pt>
                <c:pt idx="36">
                  <c:v>Travel - National</c:v>
                </c:pt>
                <c:pt idx="37">
                  <c:v>Tools and Equipment </c:v>
                </c:pt>
                <c:pt idx="38">
                  <c:v>Employee Meal &amp; Trip Allowance</c:v>
                </c:pt>
                <c:pt idx="39">
                  <c:v>Wages and Salaries</c:v>
                </c:pt>
                <c:pt idx="40">
                  <c:v>Alex Expenses</c:v>
                </c:pt>
                <c:pt idx="41">
                  <c:v>BPJS Kesehatan</c:v>
                </c:pt>
                <c:pt idx="42">
                  <c:v>Uniform </c:v>
                </c:pt>
                <c:pt idx="43">
                  <c:v>Printing &amp; Stationery </c:v>
                </c:pt>
                <c:pt idx="44">
                  <c:v>Staff Expenses</c:v>
                </c:pt>
                <c:pt idx="45">
                  <c:v>Freight And Courier</c:v>
                </c:pt>
                <c:pt idx="46">
                  <c:v>Getyourguide Fee</c:v>
                </c:pt>
                <c:pt idx="47">
                  <c:v>Tour Expenses</c:v>
                </c:pt>
                <c:pt idx="48">
                  <c:v>Website</c:v>
                </c:pt>
                <c:pt idx="49">
                  <c:v>Xendit fee</c:v>
                </c:pt>
              </c:strCache>
            </c:strRef>
          </c:cat>
          <c:val>
            <c:numRef>
              <c:f>'PnL 2023'!$C$67:$C$116</c:f>
              <c:numCache>
                <c:ptCount val="0"/>
              </c:numCache>
            </c:numRef>
          </c:val>
        </c:ser>
        <c:ser>
          <c:idx val="2"/>
          <c:order val="2"/>
          <c:tx>
            <c:v>Series3</c:v>
          </c:tx>
          <c:spPr>
            <a:noFill/>
            <a:ln w="9525" cap="flat">
              <a:solidFill>
                <a:schemeClr val="accent3"/>
              </a:solidFill>
              <a:prstDash val="solid"/>
              <a:miter lim="800000"/>
            </a:ln>
            <a:effectLst/>
          </c:spPr>
          <c:invertIfNegative val="0"/>
          <c:dLbls>
            <c:numFmt formatCode="&quot; &quot;[$Rp-421]&quot; &quot;#,##0&quot; &quot;;&quot; &quot;[$Rp-421]&quot; '(&quot;#,##0);&quot; &quot;[$Rp-421]&quot; '-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2023'!$A$67:$A$116</c:f>
              <c:strCache>
                <c:ptCount val="50"/>
                <c:pt idx="0">
                  <c:v>Advertising</c:v>
                </c:pt>
                <c:pt idx="1">
                  <c:v>2c2p fee</c:v>
                </c:pt>
                <c:pt idx="2">
                  <c:v>Bank Fees</c:v>
                </c:pt>
                <c:pt idx="3">
                  <c:v>Bonus</c:v>
                </c:pt>
                <c:pt idx="4">
                  <c:v>Boat Tour and Supplies</c:v>
                </c:pt>
                <c:pt idx="5">
                  <c:v>Cashlez Fee</c:v>
                </c:pt>
                <c:pt idx="6">
                  <c:v>Commision</c:v>
                </c:pt>
                <c:pt idx="7">
                  <c:v>Refund to Guest</c:v>
                </c:pt>
                <c:pt idx="8">
                  <c:v>Consulting &amp; Accounting</c:v>
                </c:pt>
                <c:pt idx="9">
                  <c:v>Ceremony</c:v>
                </c:pt>
                <c:pt idx="10">
                  <c:v>Diving &amp; Snorkling Gear</c:v>
                </c:pt>
                <c:pt idx="11">
                  <c:v>Donation and Contribution ( CSR )</c:v>
                </c:pt>
                <c:pt idx="12">
                  <c:v>Entertainment</c:v>
                </c:pt>
                <c:pt idx="13">
                  <c:v>Ipay88 Fee</c:v>
                </c:pt>
                <c:pt idx="14">
                  <c:v>Insurance</c:v>
                </c:pt>
                <c:pt idx="15">
                  <c:v>Office Supplies</c:v>
                </c:pt>
                <c:pt idx="16">
                  <c:v>Office Expenses</c:v>
                </c:pt>
                <c:pt idx="17">
                  <c:v>Go Pro and Electronic Supplies</c:v>
                </c:pt>
                <c:pt idx="18">
                  <c:v>Legal expenses</c:v>
                </c:pt>
                <c:pt idx="19">
                  <c:v>Rent</c:v>
                </c:pt>
                <c:pt idx="20">
                  <c:v>Seagrass Office Expenses</c:v>
                </c:pt>
                <c:pt idx="21">
                  <c:v>Pontoon Expenses</c:v>
                </c:pt>
                <c:pt idx="22">
                  <c:v>Jetski Expenses</c:v>
                </c:pt>
                <c:pt idx="23">
                  <c:v>Accounting office expenses</c:v>
                </c:pt>
                <c:pt idx="24">
                  <c:v>Sekoci 8 Metre</c:v>
                </c:pt>
                <c:pt idx="25">
                  <c:v>Medical Expenses</c:v>
                </c:pt>
                <c:pt idx="26">
                  <c:v>Mooring Making - Construction Expenses</c:v>
                </c:pt>
                <c:pt idx="27">
                  <c:v>Shirkage , Spoilage and Loss</c:v>
                </c:pt>
                <c:pt idx="28">
                  <c:v>Software Expenses</c:v>
                </c:pt>
                <c:pt idx="29">
                  <c:v>Telephone &amp; Internet</c:v>
                </c:pt>
                <c:pt idx="30">
                  <c:v>Training Expense</c:v>
                </c:pt>
                <c:pt idx="31">
                  <c:v>Travel Expense</c:v>
                </c:pt>
                <c:pt idx="32">
                  <c:v>Monthly Tax </c:v>
                </c:pt>
                <c:pt idx="33">
                  <c:v>Annual Tax </c:v>
                </c:pt>
                <c:pt idx="34">
                  <c:v>Tour Supplies</c:v>
                </c:pt>
                <c:pt idx="35">
                  <c:v>Travel - International</c:v>
                </c:pt>
                <c:pt idx="36">
                  <c:v>Travel - National</c:v>
                </c:pt>
                <c:pt idx="37">
                  <c:v>Tools and Equipment </c:v>
                </c:pt>
                <c:pt idx="38">
                  <c:v>Employee Meal &amp; Trip Allowance</c:v>
                </c:pt>
                <c:pt idx="39">
                  <c:v>Wages and Salaries</c:v>
                </c:pt>
                <c:pt idx="40">
                  <c:v>Alex Expenses</c:v>
                </c:pt>
                <c:pt idx="41">
                  <c:v>BPJS Kesehatan</c:v>
                </c:pt>
                <c:pt idx="42">
                  <c:v>Uniform </c:v>
                </c:pt>
                <c:pt idx="43">
                  <c:v>Printing &amp; Stationery </c:v>
                </c:pt>
                <c:pt idx="44">
                  <c:v>Staff Expenses</c:v>
                </c:pt>
                <c:pt idx="45">
                  <c:v>Freight And Courier</c:v>
                </c:pt>
                <c:pt idx="46">
                  <c:v>Getyourguide Fee</c:v>
                </c:pt>
                <c:pt idx="47">
                  <c:v>Tour Expenses</c:v>
                </c:pt>
                <c:pt idx="48">
                  <c:v>Website</c:v>
                </c:pt>
                <c:pt idx="49">
                  <c:v>Xendit fee</c:v>
                </c:pt>
              </c:strCache>
            </c:strRef>
          </c:cat>
          <c:val>
            <c:numRef>
              <c:f>'PnL 2023'!$D$67:$D$116</c:f>
              <c:numCache>
                <c:ptCount val="21"/>
                <c:pt idx="0">
                  <c:v>125000000.000000</c:v>
                </c:pt>
                <c:pt idx="1">
                  <c:v>53280.000000</c:v>
                </c:pt>
                <c:pt idx="2">
                  <c:v>339433.770000</c:v>
                </c:pt>
                <c:pt idx="3">
                  <c:v>12800000.000000</c:v>
                </c:pt>
                <c:pt idx="5">
                  <c:v>496911.000000</c:v>
                </c:pt>
                <c:pt idx="6">
                  <c:v>2100000.000000</c:v>
                </c:pt>
                <c:pt idx="7">
                  <c:v>400000.000000</c:v>
                </c:pt>
                <c:pt idx="8">
                  <c:v>7670000.000000</c:v>
                </c:pt>
                <c:pt idx="13">
                  <c:v>50900.000000</c:v>
                </c:pt>
                <c:pt idx="14">
                  <c:v>2500000.000000</c:v>
                </c:pt>
                <c:pt idx="18">
                  <c:v>500000.000000</c:v>
                </c:pt>
                <c:pt idx="19">
                  <c:v>1083333.320000</c:v>
                </c:pt>
                <c:pt idx="25">
                  <c:v>600400.000000</c:v>
                </c:pt>
                <c:pt idx="28">
                  <c:v>2938199.000000</c:v>
                </c:pt>
                <c:pt idx="30">
                  <c:v>1700000.000000</c:v>
                </c:pt>
                <c:pt idx="31">
                  <c:v>2700000.000000</c:v>
                </c:pt>
                <c:pt idx="32">
                  <c:v>5428282.000000</c:v>
                </c:pt>
                <c:pt idx="33">
                  <c:v>5476997.000000</c:v>
                </c:pt>
                <c:pt idx="34">
                  <c:v>7422929.000000</c:v>
                </c:pt>
                <c:pt idx="39">
                  <c:v>136950000.000000</c:v>
                </c:pt>
                <c:pt idx="49">
                  <c:v>10220279.000000</c:v>
                </c:pt>
              </c:numCache>
            </c:numRef>
          </c:val>
        </c:ser>
        <c:ser>
          <c:idx val="3"/>
          <c:order val="3"/>
          <c:tx>
            <c:v>Series4</c:v>
          </c:tx>
          <c:spPr>
            <a:noFill/>
            <a:ln w="9525" cap="flat">
              <a:solidFill>
                <a:schemeClr val="accent4"/>
              </a:solidFill>
              <a:prstDash val="solid"/>
              <a:miter lim="800000"/>
            </a:ln>
            <a:effectLst/>
          </c:spPr>
          <c:invertIfNegative val="0"/>
          <c:dLbls>
            <c:numFmt formatCode="0.00%"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2023'!$A$67:$A$116</c:f>
              <c:strCache>
                <c:ptCount val="50"/>
                <c:pt idx="0">
                  <c:v>Advertising</c:v>
                </c:pt>
                <c:pt idx="1">
                  <c:v>2c2p fee</c:v>
                </c:pt>
                <c:pt idx="2">
                  <c:v>Bank Fees</c:v>
                </c:pt>
                <c:pt idx="3">
                  <c:v>Bonus</c:v>
                </c:pt>
                <c:pt idx="4">
                  <c:v>Boat Tour and Supplies</c:v>
                </c:pt>
                <c:pt idx="5">
                  <c:v>Cashlez Fee</c:v>
                </c:pt>
                <c:pt idx="6">
                  <c:v>Commision</c:v>
                </c:pt>
                <c:pt idx="7">
                  <c:v>Refund to Guest</c:v>
                </c:pt>
                <c:pt idx="8">
                  <c:v>Consulting &amp; Accounting</c:v>
                </c:pt>
                <c:pt idx="9">
                  <c:v>Ceremony</c:v>
                </c:pt>
                <c:pt idx="10">
                  <c:v>Diving &amp; Snorkling Gear</c:v>
                </c:pt>
                <c:pt idx="11">
                  <c:v>Donation and Contribution ( CSR )</c:v>
                </c:pt>
                <c:pt idx="12">
                  <c:v>Entertainment</c:v>
                </c:pt>
                <c:pt idx="13">
                  <c:v>Ipay88 Fee</c:v>
                </c:pt>
                <c:pt idx="14">
                  <c:v>Insurance</c:v>
                </c:pt>
                <c:pt idx="15">
                  <c:v>Office Supplies</c:v>
                </c:pt>
                <c:pt idx="16">
                  <c:v>Office Expenses</c:v>
                </c:pt>
                <c:pt idx="17">
                  <c:v>Go Pro and Electronic Supplies</c:v>
                </c:pt>
                <c:pt idx="18">
                  <c:v>Legal expenses</c:v>
                </c:pt>
                <c:pt idx="19">
                  <c:v>Rent</c:v>
                </c:pt>
                <c:pt idx="20">
                  <c:v>Seagrass Office Expenses</c:v>
                </c:pt>
                <c:pt idx="21">
                  <c:v>Pontoon Expenses</c:v>
                </c:pt>
                <c:pt idx="22">
                  <c:v>Jetski Expenses</c:v>
                </c:pt>
                <c:pt idx="23">
                  <c:v>Accounting office expenses</c:v>
                </c:pt>
                <c:pt idx="24">
                  <c:v>Sekoci 8 Metre</c:v>
                </c:pt>
                <c:pt idx="25">
                  <c:v>Medical Expenses</c:v>
                </c:pt>
                <c:pt idx="26">
                  <c:v>Mooring Making - Construction Expenses</c:v>
                </c:pt>
                <c:pt idx="27">
                  <c:v>Shirkage , Spoilage and Loss</c:v>
                </c:pt>
                <c:pt idx="28">
                  <c:v>Software Expenses</c:v>
                </c:pt>
                <c:pt idx="29">
                  <c:v>Telephone &amp; Internet</c:v>
                </c:pt>
                <c:pt idx="30">
                  <c:v>Training Expense</c:v>
                </c:pt>
                <c:pt idx="31">
                  <c:v>Travel Expense</c:v>
                </c:pt>
                <c:pt idx="32">
                  <c:v>Monthly Tax </c:v>
                </c:pt>
                <c:pt idx="33">
                  <c:v>Annual Tax </c:v>
                </c:pt>
                <c:pt idx="34">
                  <c:v>Tour Supplies</c:v>
                </c:pt>
                <c:pt idx="35">
                  <c:v>Travel - International</c:v>
                </c:pt>
                <c:pt idx="36">
                  <c:v>Travel - National</c:v>
                </c:pt>
                <c:pt idx="37">
                  <c:v>Tools and Equipment </c:v>
                </c:pt>
                <c:pt idx="38">
                  <c:v>Employee Meal &amp; Trip Allowance</c:v>
                </c:pt>
                <c:pt idx="39">
                  <c:v>Wages and Salaries</c:v>
                </c:pt>
                <c:pt idx="40">
                  <c:v>Alex Expenses</c:v>
                </c:pt>
                <c:pt idx="41">
                  <c:v>BPJS Kesehatan</c:v>
                </c:pt>
                <c:pt idx="42">
                  <c:v>Uniform </c:v>
                </c:pt>
                <c:pt idx="43">
                  <c:v>Printing &amp; Stationery </c:v>
                </c:pt>
                <c:pt idx="44">
                  <c:v>Staff Expenses</c:v>
                </c:pt>
                <c:pt idx="45">
                  <c:v>Freight And Courier</c:v>
                </c:pt>
                <c:pt idx="46">
                  <c:v>Getyourguide Fee</c:v>
                </c:pt>
                <c:pt idx="47">
                  <c:v>Tour Expenses</c:v>
                </c:pt>
                <c:pt idx="48">
                  <c:v>Website</c:v>
                </c:pt>
                <c:pt idx="49">
                  <c:v>Xendit fee</c:v>
                </c:pt>
              </c:strCache>
            </c:strRef>
          </c:cat>
          <c:val>
            <c:numRef>
              <c:f>'PnL 2023'!$E$67:$E$116</c:f>
              <c:numCache>
                <c:ptCount val="0"/>
              </c:numCache>
            </c:numRef>
          </c:val>
        </c:ser>
        <c:ser>
          <c:idx val="4"/>
          <c:order val="4"/>
          <c:tx>
            <c:v>Series5</c:v>
          </c:tx>
          <c:spPr>
            <a:noFill/>
            <a:ln w="9525" cap="flat">
              <a:solidFill>
                <a:schemeClr val="accent5"/>
              </a:solidFill>
              <a:prstDash val="solid"/>
              <a:miter lim="800000"/>
            </a:ln>
            <a:effectLst/>
          </c:spPr>
          <c:invertIfNegative val="0"/>
          <c:dLbls>
            <c:numFmt formatCode="&quot; &quot;[$Rp-421]&quot; &quot;#,##0&quot; &quot;;&quot; &quot;[$Rp-421]&quot; '(&quot;#,##0);&quot; &quot;[$Rp-421]&quot; '-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2023'!$A$67:$A$116</c:f>
              <c:strCache>
                <c:ptCount val="50"/>
                <c:pt idx="0">
                  <c:v>Advertising</c:v>
                </c:pt>
                <c:pt idx="1">
                  <c:v>2c2p fee</c:v>
                </c:pt>
                <c:pt idx="2">
                  <c:v>Bank Fees</c:v>
                </c:pt>
                <c:pt idx="3">
                  <c:v>Bonus</c:v>
                </c:pt>
                <c:pt idx="4">
                  <c:v>Boat Tour and Supplies</c:v>
                </c:pt>
                <c:pt idx="5">
                  <c:v>Cashlez Fee</c:v>
                </c:pt>
                <c:pt idx="6">
                  <c:v>Commision</c:v>
                </c:pt>
                <c:pt idx="7">
                  <c:v>Refund to Guest</c:v>
                </c:pt>
                <c:pt idx="8">
                  <c:v>Consulting &amp; Accounting</c:v>
                </c:pt>
                <c:pt idx="9">
                  <c:v>Ceremony</c:v>
                </c:pt>
                <c:pt idx="10">
                  <c:v>Diving &amp; Snorkling Gear</c:v>
                </c:pt>
                <c:pt idx="11">
                  <c:v>Donation and Contribution ( CSR )</c:v>
                </c:pt>
                <c:pt idx="12">
                  <c:v>Entertainment</c:v>
                </c:pt>
                <c:pt idx="13">
                  <c:v>Ipay88 Fee</c:v>
                </c:pt>
                <c:pt idx="14">
                  <c:v>Insurance</c:v>
                </c:pt>
                <c:pt idx="15">
                  <c:v>Office Supplies</c:v>
                </c:pt>
                <c:pt idx="16">
                  <c:v>Office Expenses</c:v>
                </c:pt>
                <c:pt idx="17">
                  <c:v>Go Pro and Electronic Supplies</c:v>
                </c:pt>
                <c:pt idx="18">
                  <c:v>Legal expenses</c:v>
                </c:pt>
                <c:pt idx="19">
                  <c:v>Rent</c:v>
                </c:pt>
                <c:pt idx="20">
                  <c:v>Seagrass Office Expenses</c:v>
                </c:pt>
                <c:pt idx="21">
                  <c:v>Pontoon Expenses</c:v>
                </c:pt>
                <c:pt idx="22">
                  <c:v>Jetski Expenses</c:v>
                </c:pt>
                <c:pt idx="23">
                  <c:v>Accounting office expenses</c:v>
                </c:pt>
                <c:pt idx="24">
                  <c:v>Sekoci 8 Metre</c:v>
                </c:pt>
                <c:pt idx="25">
                  <c:v>Medical Expenses</c:v>
                </c:pt>
                <c:pt idx="26">
                  <c:v>Mooring Making - Construction Expenses</c:v>
                </c:pt>
                <c:pt idx="27">
                  <c:v>Shirkage , Spoilage and Loss</c:v>
                </c:pt>
                <c:pt idx="28">
                  <c:v>Software Expenses</c:v>
                </c:pt>
                <c:pt idx="29">
                  <c:v>Telephone &amp; Internet</c:v>
                </c:pt>
                <c:pt idx="30">
                  <c:v>Training Expense</c:v>
                </c:pt>
                <c:pt idx="31">
                  <c:v>Travel Expense</c:v>
                </c:pt>
                <c:pt idx="32">
                  <c:v>Monthly Tax </c:v>
                </c:pt>
                <c:pt idx="33">
                  <c:v>Annual Tax </c:v>
                </c:pt>
                <c:pt idx="34">
                  <c:v>Tour Supplies</c:v>
                </c:pt>
                <c:pt idx="35">
                  <c:v>Travel - International</c:v>
                </c:pt>
                <c:pt idx="36">
                  <c:v>Travel - National</c:v>
                </c:pt>
                <c:pt idx="37">
                  <c:v>Tools and Equipment </c:v>
                </c:pt>
                <c:pt idx="38">
                  <c:v>Employee Meal &amp; Trip Allowance</c:v>
                </c:pt>
                <c:pt idx="39">
                  <c:v>Wages and Salaries</c:v>
                </c:pt>
                <c:pt idx="40">
                  <c:v>Alex Expenses</c:v>
                </c:pt>
                <c:pt idx="41">
                  <c:v>BPJS Kesehatan</c:v>
                </c:pt>
                <c:pt idx="42">
                  <c:v>Uniform </c:v>
                </c:pt>
                <c:pt idx="43">
                  <c:v>Printing &amp; Stationery </c:v>
                </c:pt>
                <c:pt idx="44">
                  <c:v>Staff Expenses</c:v>
                </c:pt>
                <c:pt idx="45">
                  <c:v>Freight And Courier</c:v>
                </c:pt>
                <c:pt idx="46">
                  <c:v>Getyourguide Fee</c:v>
                </c:pt>
                <c:pt idx="47">
                  <c:v>Tour Expenses</c:v>
                </c:pt>
                <c:pt idx="48">
                  <c:v>Website</c:v>
                </c:pt>
                <c:pt idx="49">
                  <c:v>Xendit fee</c:v>
                </c:pt>
              </c:strCache>
            </c:strRef>
          </c:cat>
          <c:val>
            <c:numRef>
              <c:f>'PnL 2023'!$F$67:$F$116</c:f>
              <c:numCache>
                <c:ptCount val="24"/>
                <c:pt idx="0">
                  <c:v>41500000.000000</c:v>
                </c:pt>
                <c:pt idx="1">
                  <c:v>0.000000</c:v>
                </c:pt>
                <c:pt idx="2">
                  <c:v>538264.200000</c:v>
                </c:pt>
                <c:pt idx="3">
                  <c:v>12100000.000000</c:v>
                </c:pt>
                <c:pt idx="5">
                  <c:v>-371327.000000</c:v>
                </c:pt>
                <c:pt idx="6">
                  <c:v>0.000000</c:v>
                </c:pt>
                <c:pt idx="7">
                  <c:v>0.000000</c:v>
                </c:pt>
                <c:pt idx="8">
                  <c:v>4360000.000000</c:v>
                </c:pt>
                <c:pt idx="10">
                  <c:v>7213310.000000</c:v>
                </c:pt>
                <c:pt idx="13">
                  <c:v>0.000000</c:v>
                </c:pt>
                <c:pt idx="14">
                  <c:v>2500000.000000</c:v>
                </c:pt>
                <c:pt idx="18">
                  <c:v>16500000.000000</c:v>
                </c:pt>
                <c:pt idx="19">
                  <c:v>1083333.340000</c:v>
                </c:pt>
                <c:pt idx="25">
                  <c:v>0.000000</c:v>
                </c:pt>
                <c:pt idx="28">
                  <c:v>2421468.000000</c:v>
                </c:pt>
                <c:pt idx="29">
                  <c:v>119000.000000</c:v>
                </c:pt>
                <c:pt idx="30">
                  <c:v>0.000000</c:v>
                </c:pt>
                <c:pt idx="31">
                  <c:v>0.000000</c:v>
                </c:pt>
                <c:pt idx="32">
                  <c:v>4819420.000000</c:v>
                </c:pt>
                <c:pt idx="34">
                  <c:v>39146200.000000</c:v>
                </c:pt>
                <c:pt idx="35">
                  <c:v>11345886.000000</c:v>
                </c:pt>
                <c:pt idx="36">
                  <c:v>50000000.000000</c:v>
                </c:pt>
                <c:pt idx="39">
                  <c:v>149833871.000000</c:v>
                </c:pt>
                <c:pt idx="49">
                  <c:v>20169127.000000</c:v>
                </c:pt>
              </c:numCache>
            </c:numRef>
          </c:val>
        </c:ser>
        <c:ser>
          <c:idx val="5"/>
          <c:order val="5"/>
          <c:tx>
            <c:v>Series25</c:v>
          </c:tx>
          <c:spPr>
            <a:noFill/>
            <a:ln w="9525" cap="flat">
              <a:solidFill>
                <a:srgbClr val="9DC3E6"/>
              </a:solidFill>
              <a:prstDash val="solid"/>
              <a:miter lim="800000"/>
            </a:ln>
            <a:effectLst/>
          </c:spPr>
          <c:invertIfNegative val="0"/>
          <c:dLbls>
            <c:numFmt formatCode="&quot; &quot;[$Rp-421]&quot; &quot;#,##0&quot; &quot;;&quot; &quot;[$Rp-421]&quot; '(&quot;#,##0);&quot; &quot;[$Rp-421]&quot; '- &quot;" sourceLinked="0"/>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'PnL 2023'!$A$67:$A$116</c:f>
              <c:strCache>
                <c:ptCount val="50"/>
                <c:pt idx="0">
                  <c:v>Advertising</c:v>
                </c:pt>
                <c:pt idx="1">
                  <c:v>2c2p fee</c:v>
                </c:pt>
                <c:pt idx="2">
                  <c:v>Bank Fees</c:v>
                </c:pt>
                <c:pt idx="3">
                  <c:v>Bonus</c:v>
                </c:pt>
                <c:pt idx="4">
                  <c:v>Boat Tour and Supplies</c:v>
                </c:pt>
                <c:pt idx="5">
                  <c:v>Cashlez Fee</c:v>
                </c:pt>
                <c:pt idx="6">
                  <c:v>Commision</c:v>
                </c:pt>
                <c:pt idx="7">
                  <c:v>Refund to Guest</c:v>
                </c:pt>
                <c:pt idx="8">
                  <c:v>Consulting &amp; Accounting</c:v>
                </c:pt>
                <c:pt idx="9">
                  <c:v>Ceremony</c:v>
                </c:pt>
                <c:pt idx="10">
                  <c:v>Diving &amp; Snorkling Gear</c:v>
                </c:pt>
                <c:pt idx="11">
                  <c:v>Donation and Contribution ( CSR )</c:v>
                </c:pt>
                <c:pt idx="12">
                  <c:v>Entertainment</c:v>
                </c:pt>
                <c:pt idx="13">
                  <c:v>Ipay88 Fee</c:v>
                </c:pt>
                <c:pt idx="14">
                  <c:v>Insurance</c:v>
                </c:pt>
                <c:pt idx="15">
                  <c:v>Office Supplies</c:v>
                </c:pt>
                <c:pt idx="16">
                  <c:v>Office Expenses</c:v>
                </c:pt>
                <c:pt idx="17">
                  <c:v>Go Pro and Electronic Supplies</c:v>
                </c:pt>
                <c:pt idx="18">
                  <c:v>Legal expenses</c:v>
                </c:pt>
                <c:pt idx="19">
                  <c:v>Rent</c:v>
                </c:pt>
                <c:pt idx="20">
                  <c:v>Seagrass Office Expenses</c:v>
                </c:pt>
                <c:pt idx="21">
                  <c:v>Pontoon Expenses</c:v>
                </c:pt>
                <c:pt idx="22">
                  <c:v>Jetski Expenses</c:v>
                </c:pt>
                <c:pt idx="23">
                  <c:v>Accounting office expenses</c:v>
                </c:pt>
                <c:pt idx="24">
                  <c:v>Sekoci 8 Metre</c:v>
                </c:pt>
                <c:pt idx="25">
                  <c:v>Medical Expenses</c:v>
                </c:pt>
                <c:pt idx="26">
                  <c:v>Mooring Making - Construction Expenses</c:v>
                </c:pt>
                <c:pt idx="27">
                  <c:v>Shirkage , Spoilage and Loss</c:v>
                </c:pt>
                <c:pt idx="28">
                  <c:v>Software Expenses</c:v>
                </c:pt>
                <c:pt idx="29">
                  <c:v>Telephone &amp; Internet</c:v>
                </c:pt>
                <c:pt idx="30">
                  <c:v>Training Expense</c:v>
                </c:pt>
                <c:pt idx="31">
                  <c:v>Travel Expense</c:v>
                </c:pt>
                <c:pt idx="32">
                  <c:v>Monthly Tax </c:v>
                </c:pt>
                <c:pt idx="33">
                  <c:v>Annual Tax </c:v>
                </c:pt>
                <c:pt idx="34">
                  <c:v>Tour Supplies</c:v>
                </c:pt>
                <c:pt idx="35">
                  <c:v>Travel - International</c:v>
                </c:pt>
                <c:pt idx="36">
                  <c:v>Travel - National</c:v>
                </c:pt>
                <c:pt idx="37">
                  <c:v>Tools and Equipment </c:v>
                </c:pt>
                <c:pt idx="38">
                  <c:v>Employee Meal &amp; Trip Allowance</c:v>
                </c:pt>
                <c:pt idx="39">
                  <c:v>Wages and Salaries</c:v>
                </c:pt>
                <c:pt idx="40">
                  <c:v>Alex Expenses</c:v>
                </c:pt>
                <c:pt idx="41">
                  <c:v>BPJS Kesehatan</c:v>
                </c:pt>
                <c:pt idx="42">
                  <c:v>Uniform </c:v>
                </c:pt>
                <c:pt idx="43">
                  <c:v>Printing &amp; Stationery </c:v>
                </c:pt>
                <c:pt idx="44">
                  <c:v>Staff Expenses</c:v>
                </c:pt>
                <c:pt idx="45">
                  <c:v>Freight And Courier</c:v>
                </c:pt>
                <c:pt idx="46">
                  <c:v>Getyourguide Fee</c:v>
                </c:pt>
                <c:pt idx="47">
                  <c:v>Tour Expenses</c:v>
                </c:pt>
                <c:pt idx="48">
                  <c:v>Website</c:v>
                </c:pt>
                <c:pt idx="49">
                  <c:v>Xendit fee</c:v>
                </c:pt>
              </c:strCache>
            </c:strRef>
          </c:cat>
          <c:val>
            <c:numRef>
              <c:f>'PnL 2023'!$Z$67:$Z$116</c:f>
              <c:numCache>
                <c:ptCount val="50"/>
                <c:pt idx="0">
                  <c:v>697921458.000000</c:v>
                </c:pt>
                <c:pt idx="1">
                  <c:v>986026.000000</c:v>
                </c:pt>
                <c:pt idx="2">
                  <c:v>6402966.850000</c:v>
                </c:pt>
                <c:pt idx="3">
                  <c:v>511850000.000000</c:v>
                </c:pt>
                <c:pt idx="4">
                  <c:v>3818920.000000</c:v>
                </c:pt>
                <c:pt idx="5">
                  <c:v>12196924.390000</c:v>
                </c:pt>
                <c:pt idx="6">
                  <c:v>1128578300.000000</c:v>
                </c:pt>
                <c:pt idx="7">
                  <c:v>173215070.000000</c:v>
                </c:pt>
                <c:pt idx="8">
                  <c:v>130820000.000000</c:v>
                </c:pt>
                <c:pt idx="9">
                  <c:v>2250000.000000</c:v>
                </c:pt>
                <c:pt idx="10">
                  <c:v>209386060.000000</c:v>
                </c:pt>
                <c:pt idx="11">
                  <c:v>22680000.000000</c:v>
                </c:pt>
                <c:pt idx="12">
                  <c:v>101060176.000000</c:v>
                </c:pt>
                <c:pt idx="13">
                  <c:v>192700.000000</c:v>
                </c:pt>
                <c:pt idx="14">
                  <c:v>55020000.000000</c:v>
                </c:pt>
                <c:pt idx="15">
                  <c:v>17392600.000000</c:v>
                </c:pt>
                <c:pt idx="16">
                  <c:v>4706110.000000</c:v>
                </c:pt>
                <c:pt idx="17">
                  <c:v>42638189.000000</c:v>
                </c:pt>
                <c:pt idx="18">
                  <c:v>274115736.000000</c:v>
                </c:pt>
                <c:pt idx="19">
                  <c:v>9208332.000000</c:v>
                </c:pt>
                <c:pt idx="20">
                  <c:v>285476163.000000</c:v>
                </c:pt>
                <c:pt idx="21">
                  <c:v>61367400.000000</c:v>
                </c:pt>
                <c:pt idx="22">
                  <c:v>504336231.000000</c:v>
                </c:pt>
                <c:pt idx="23">
                  <c:v>109308000.000000</c:v>
                </c:pt>
                <c:pt idx="24">
                  <c:v>45000000.000000</c:v>
                </c:pt>
                <c:pt idx="25">
                  <c:v>600400.000000</c:v>
                </c:pt>
                <c:pt idx="26">
                  <c:v>10050000.000000</c:v>
                </c:pt>
                <c:pt idx="27">
                  <c:v>4000000.000000</c:v>
                </c:pt>
                <c:pt idx="28">
                  <c:v>83189319.000000</c:v>
                </c:pt>
                <c:pt idx="29">
                  <c:v>5204175.000000</c:v>
                </c:pt>
                <c:pt idx="30">
                  <c:v>30831330.000000</c:v>
                </c:pt>
                <c:pt idx="31">
                  <c:v>2700000.000000</c:v>
                </c:pt>
                <c:pt idx="32">
                  <c:v>134507416.000000</c:v>
                </c:pt>
                <c:pt idx="33">
                  <c:v>131199627.000000</c:v>
                </c:pt>
                <c:pt idx="34">
                  <c:v>108714969.000000</c:v>
                </c:pt>
                <c:pt idx="35">
                  <c:v>25087859.000000</c:v>
                </c:pt>
                <c:pt idx="36">
                  <c:v>50500000.000000</c:v>
                </c:pt>
                <c:pt idx="37">
                  <c:v>9021075.000000</c:v>
                </c:pt>
                <c:pt idx="38">
                  <c:v>10640000.000000</c:v>
                </c:pt>
                <c:pt idx="39">
                  <c:v>2092706758.000000</c:v>
                </c:pt>
                <c:pt idx="40">
                  <c:v>55967200.000000</c:v>
                </c:pt>
                <c:pt idx="41">
                  <c:v>17192400.000000</c:v>
                </c:pt>
                <c:pt idx="42">
                  <c:v>94376420.000000</c:v>
                </c:pt>
                <c:pt idx="43">
                  <c:v>66538945.000000</c:v>
                </c:pt>
                <c:pt idx="44">
                  <c:v>880000.000000</c:v>
                </c:pt>
                <c:pt idx="45">
                  <c:v>121000.000000</c:v>
                </c:pt>
                <c:pt idx="46">
                  <c:v>155000.000000</c:v>
                </c:pt>
                <c:pt idx="47">
                  <c:v>7200000.000000</c:v>
                </c:pt>
                <c:pt idx="48">
                  <c:v>71317200.000000</c:v>
                </c:pt>
                <c:pt idx="49">
                  <c:v>160760849.000000</c:v>
                </c:pt>
              </c:numCache>
            </c:numRef>
          </c:val>
        </c:ser>
        <c:gapWidth val="315"/>
        <c:overlap val="-40"/>
        <c:axId val="2094734552"/>
        <c:axId val="2094734553"/>
      </c:barChart>
      <c:catAx>
        <c:axId val="2094734552"/>
        <c:scaling>
          <c:orientation val="minMax"/>
        </c:scaling>
        <c:delete val="0"/>
        <c:axPos val="b"/>
        <c:majorGridlines>
          <c:spPr>
            <a:ln w="12700" cap="flat">
              <a:solidFill>
                <a:srgbClr val="4D4D4D"/>
              </a:solidFill>
              <a:prstDash val="solid"/>
              <a:round/>
            </a:ln>
          </c:spPr>
        </c:majorGridlines>
        <c:numFmt formatCode="General" sourceLinked="1"/>
        <c:majorTickMark val="none"/>
        <c:minorTickMark val="none"/>
        <c:tickLblPos val="low"/>
        <c:spPr>
          <a:ln w="12700" cap="flat">
            <a:noFill/>
            <a:prstDash val="solid"/>
            <a:miter lim="800000"/>
          </a:ln>
        </c:spPr>
        <c:txPr>
          <a:bodyPr rot="0"/>
          <a:lstStyle/>
          <a:p>
            <a:pPr>
              <a:defRPr b="0" i="0" strike="noStrike" sz="900" u="none">
                <a:solidFill>
                  <a:srgbClr val="BFBFBF"/>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4D4D4D"/>
              </a:solidFill>
              <a:prstDash val="solid"/>
              <a:round/>
            </a:ln>
          </c:spPr>
        </c:majorGridlines>
        <c:numFmt formatCode="General" sourceLinked="1"/>
        <c:majorTickMark val="none"/>
        <c:minorTickMark val="none"/>
        <c:tickLblPos val="nextTo"/>
        <c:spPr>
          <a:ln w="12700" cap="flat">
            <a:noFill/>
            <a:prstDash val="solid"/>
            <a:miter lim="800000"/>
          </a:ln>
        </c:spPr>
        <c:txPr>
          <a:bodyPr rot="0"/>
          <a:lstStyle/>
          <a:p>
            <a:pPr>
              <a:defRPr b="0" i="0" strike="noStrike" sz="900" u="none">
                <a:solidFill>
                  <a:srgbClr val="BFBFBF"/>
                </a:solidFill>
                <a:latin typeface="Calibri"/>
              </a:defRPr>
            </a:pPr>
          </a:p>
        </c:txPr>
        <c:crossAx val="2094734552"/>
        <c:crosses val="autoZero"/>
        <c:crossBetween val="between"/>
        <c:majorUnit val="9.375e+08"/>
        <c:minorUnit val="4.6875e+08"/>
      </c:valAx>
      <c:spPr>
        <a:noFill/>
        <a:ln w="12700" cap="flat">
          <a:noFill/>
          <a:miter lim="400000"/>
        </a:ln>
        <a:effectLst/>
      </c:spPr>
    </c:plotArea>
    <c:plotVisOnly val="1"/>
    <c:dispBlanksAs val="gap"/>
  </c:chart>
  <c:spPr>
    <a:solidFill>
      <a:srgbClr val="404040"/>
    </a:solidFill>
    <a:ln w="12700" cap="flat">
      <a:solidFill>
        <a:srgbClr val="D9D9D9"/>
      </a:solidFill>
      <a:prstDash val="solid"/>
      <a:round/>
    </a:ln>
    <a:effectLst/>
  </c:spPr>
</c:chartSpace>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Relationships xmlns="http://schemas.openxmlformats.org/package/2006/relationships"><Relationship Id="rId1" Type="http://schemas.openxmlformats.org/officeDocument/2006/relationships/image" Target="../media/image3.png"/></Relationships>

</file>

<file path=xl/drawings/_rels/drawing1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18</xdr:col>
      <xdr:colOff>14941</xdr:colOff>
      <xdr:row>25</xdr:row>
      <xdr:rowOff>141938</xdr:rowOff>
    </xdr:from>
    <xdr:to>
      <xdr:col>22</xdr:col>
      <xdr:colOff>575233</xdr:colOff>
      <xdr:row>32</xdr:row>
      <xdr:rowOff>15107</xdr:rowOff>
    </xdr:to>
    <xdr:pic>
      <xdr:nvPicPr>
        <xdr:cNvPr id="25" name="Picture 2" descr="Picture 2"/>
        <xdr:cNvPicPr>
          <a:picLocks noChangeAspect="1"/>
        </xdr:cNvPicPr>
      </xdr:nvPicPr>
      <xdr:blipFill>
        <a:blip r:embed="rId1">
          <a:extLst/>
        </a:blip>
        <a:stretch>
          <a:fillRect/>
        </a:stretch>
      </xdr:blipFill>
      <xdr:spPr>
        <a:xfrm>
          <a:off x="19598341" y="5096843"/>
          <a:ext cx="4700493" cy="1607355"/>
        </a:xfrm>
        <a:prstGeom prst="rect">
          <a:avLst/>
        </a:prstGeom>
        <a:ln w="12700" cap="flat">
          <a:noFill/>
          <a:miter lim="400000"/>
        </a:ln>
        <a:effectLst/>
      </xdr:spPr>
    </xdr:pic>
    <xdr:clientData/>
  </xdr:twoCellAnchor>
  <xdr:twoCellAnchor>
    <xdr:from>
      <xdr:col>13</xdr:col>
      <xdr:colOff>83672</xdr:colOff>
      <xdr:row>25</xdr:row>
      <xdr:rowOff>151500</xdr:rowOff>
    </xdr:from>
    <xdr:to>
      <xdr:col>17</xdr:col>
      <xdr:colOff>1157811</xdr:colOff>
      <xdr:row>32</xdr:row>
      <xdr:rowOff>29879</xdr:rowOff>
    </xdr:to>
    <xdr:pic>
      <xdr:nvPicPr>
        <xdr:cNvPr id="26" name="Picture 3" descr="Picture 3"/>
        <xdr:cNvPicPr>
          <a:picLocks noChangeAspect="1"/>
        </xdr:cNvPicPr>
      </xdr:nvPicPr>
      <xdr:blipFill>
        <a:blip r:embed="rId2">
          <a:extLst/>
        </a:blip>
        <a:stretch>
          <a:fillRect/>
        </a:stretch>
      </xdr:blipFill>
      <xdr:spPr>
        <a:xfrm>
          <a:off x="14117172" y="5106405"/>
          <a:ext cx="5163540" cy="1612565"/>
        </a:xfrm>
        <a:prstGeom prst="rect">
          <a:avLst/>
        </a:prstGeom>
        <a:ln w="12700" cap="flat">
          <a:noFill/>
          <a:miter lim="400000"/>
        </a:ln>
        <a:effectLst/>
      </xdr:spPr>
    </xdr:pic>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13</xdr:col>
      <xdr:colOff>76200</xdr:colOff>
      <xdr:row>25</xdr:row>
      <xdr:rowOff>106679</xdr:rowOff>
    </xdr:from>
    <xdr:to>
      <xdr:col>17</xdr:col>
      <xdr:colOff>1218052</xdr:colOff>
      <xdr:row>31</xdr:row>
      <xdr:rowOff>152399</xdr:rowOff>
    </xdr:to>
    <xdr:pic>
      <xdr:nvPicPr>
        <xdr:cNvPr id="42" name="Picture 1" descr="Picture 1"/>
        <xdr:cNvPicPr>
          <a:picLocks noChangeAspect="1"/>
        </xdr:cNvPicPr>
      </xdr:nvPicPr>
      <xdr:blipFill>
        <a:blip r:embed="rId1">
          <a:extLst/>
        </a:blip>
        <a:stretch>
          <a:fillRect/>
        </a:stretch>
      </xdr:blipFill>
      <xdr:spPr>
        <a:xfrm>
          <a:off x="14109700" y="4680584"/>
          <a:ext cx="5231253" cy="1583056"/>
        </a:xfrm>
        <a:prstGeom prst="rect">
          <a:avLst/>
        </a:prstGeom>
        <a:ln w="12700" cap="flat">
          <a:noFill/>
          <a:miter lim="400000"/>
        </a:ln>
        <a:effectLst/>
      </xdr:spPr>
    </xdr:pic>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9.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0.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1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28</xdr:col>
      <xdr:colOff>302472</xdr:colOff>
      <xdr:row>1</xdr:row>
      <xdr:rowOff>78284</xdr:rowOff>
    </xdr:from>
    <xdr:to>
      <xdr:col>37</xdr:col>
      <xdr:colOff>440391</xdr:colOff>
      <xdr:row>13</xdr:row>
      <xdr:rowOff>85014</xdr:rowOff>
    </xdr:to>
    <xdr:graphicFrame>
      <xdr:nvGraphicFramePr>
        <xdr:cNvPr id="62" name="Chart 1"/>
        <xdr:cNvGraphicFramePr/>
      </xdr:nvGraphicFramePr>
      <xdr:xfrm>
        <a:off x="29055272" y="249734"/>
        <a:ext cx="6424420" cy="2064131"/>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27</xdr:col>
      <xdr:colOff>362993</xdr:colOff>
      <xdr:row>20</xdr:row>
      <xdr:rowOff>10578</xdr:rowOff>
    </xdr:from>
    <xdr:to>
      <xdr:col>37</xdr:col>
      <xdr:colOff>635446</xdr:colOff>
      <xdr:row>61</xdr:row>
      <xdr:rowOff>5498</xdr:rowOff>
    </xdr:to>
    <xdr:graphicFrame>
      <xdr:nvGraphicFramePr>
        <xdr:cNvPr id="63" name="Chart 2"/>
        <xdr:cNvGraphicFramePr/>
      </xdr:nvGraphicFramePr>
      <xdr:xfrm>
        <a:off x="28569692" y="3439578"/>
        <a:ext cx="7105055" cy="7028181"/>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27</xdr:col>
      <xdr:colOff>393905</xdr:colOff>
      <xdr:row>67</xdr:row>
      <xdr:rowOff>81410</xdr:rowOff>
    </xdr:from>
    <xdr:to>
      <xdr:col>37</xdr:col>
      <xdr:colOff>460883</xdr:colOff>
      <xdr:row>123</xdr:row>
      <xdr:rowOff>26470</xdr:rowOff>
    </xdr:to>
    <xdr:graphicFrame>
      <xdr:nvGraphicFramePr>
        <xdr:cNvPr id="64" name="Chart 3"/>
        <xdr:cNvGraphicFramePr/>
      </xdr:nvGraphicFramePr>
      <xdr:xfrm>
        <a:off x="28600605" y="11572370"/>
        <a:ext cx="6899579" cy="9565311"/>
      </xdr:xfrm>
      <a:graphic xmlns:a="http://schemas.openxmlformats.org/drawingml/2006/main">
        <a:graphicData uri="http://schemas.openxmlformats.org/drawingml/2006/chart">
          <c:chart xmlns:c="http://schemas.openxmlformats.org/drawingml/2006/chart" r:id="rId3"/>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18.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19.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20.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vmlDrawing" Target="../drawings/vmlDrawing5.vml"/><Relationship Id="rId3" Type="http://schemas.openxmlformats.org/officeDocument/2006/relationships/comments" Target="../comments5.xml"/></Relationships>

</file>

<file path=xl/worksheets/_rels/sheet21.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6.vml"/><Relationship Id="rId3" Type="http://schemas.openxmlformats.org/officeDocument/2006/relationships/comments" Target="../comments6.xml"/></Relationships>

</file>

<file path=xl/worksheets/_rels/sheet22.xml.rels><?xml version="1.0" encoding="UTF-8"?>
<Relationships xmlns="http://schemas.openxmlformats.org/package/2006/relationships"><Relationship Id="rId1" Type="http://schemas.openxmlformats.org/officeDocument/2006/relationships/drawing" Target="../drawings/drawing7.xml"/><Relationship Id="rId2" Type="http://schemas.openxmlformats.org/officeDocument/2006/relationships/vmlDrawing" Target="../drawings/vmlDrawing7.vml"/><Relationship Id="rId3" Type="http://schemas.openxmlformats.org/officeDocument/2006/relationships/comments" Target="../comments7.xml"/></Relationships>

</file>

<file path=xl/worksheets/_rels/sheet23.xml.rels><?xml version="1.0" encoding="UTF-8"?>
<Relationships xmlns="http://schemas.openxmlformats.org/package/2006/relationships"><Relationship Id="rId1" Type="http://schemas.openxmlformats.org/officeDocument/2006/relationships/drawing" Target="../drawings/drawing8.xml"/><Relationship Id="rId2" Type="http://schemas.openxmlformats.org/officeDocument/2006/relationships/vmlDrawing" Target="../drawings/vmlDrawing8.vml"/><Relationship Id="rId3" Type="http://schemas.openxmlformats.org/officeDocument/2006/relationships/comments" Target="../comments8.xml"/></Relationships>

</file>

<file path=xl/worksheets/_rels/sheet25.xml.rels><?xml version="1.0" encoding="UTF-8"?>
<Relationships xmlns="http://schemas.openxmlformats.org/package/2006/relationships"><Relationship Id="rId1" Type="http://schemas.openxmlformats.org/officeDocument/2006/relationships/drawing" Target="../drawings/drawing9.xml"/><Relationship Id="rId2" Type="http://schemas.openxmlformats.org/officeDocument/2006/relationships/vmlDrawing" Target="../drawings/vmlDrawing9.vml"/><Relationship Id="rId3" Type="http://schemas.openxmlformats.org/officeDocument/2006/relationships/comments" Target="../comments9.xml"/></Relationships>

</file>

<file path=xl/worksheets/_rels/sheet26.xml.rels><?xml version="1.0" encoding="UTF-8"?>
<Relationships xmlns="http://schemas.openxmlformats.org/package/2006/relationships"><Relationship Id="rId1" Type="http://schemas.openxmlformats.org/officeDocument/2006/relationships/drawing" Target="../drawings/drawing10.xml"/><Relationship Id="rId2" Type="http://schemas.openxmlformats.org/officeDocument/2006/relationships/vmlDrawing" Target="../drawings/vmlDrawing10.vml"/><Relationship Id="rId3" Type="http://schemas.openxmlformats.org/officeDocument/2006/relationships/comments" Target="../comments10.xml"/></Relationships>

</file>

<file path=xl/worksheets/_rels/sheet37.xml.rels><?xml version="1.0" encoding="UTF-8"?>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158</v>
      </c>
      <c r="C11" s="3"/>
      <c r="D11" s="3"/>
    </row>
    <row r="12">
      <c r="B12" s="4"/>
      <c r="C12" t="s" s="4">
        <v>5</v>
      </c>
      <c r="D12" t="s" s="5">
        <v>158</v>
      </c>
    </row>
    <row r="13">
      <c r="B13" t="s" s="3">
        <v>387</v>
      </c>
      <c r="C13" s="3"/>
      <c r="D13" s="3"/>
    </row>
    <row r="14">
      <c r="B14" s="4"/>
      <c r="C14" t="s" s="4">
        <v>5</v>
      </c>
      <c r="D14" t="s" s="5">
        <v>387</v>
      </c>
    </row>
    <row r="15">
      <c r="B15" t="s" s="3">
        <v>505</v>
      </c>
      <c r="C15" s="3"/>
      <c r="D15" s="3"/>
    </row>
    <row r="16">
      <c r="B16" s="4"/>
      <c r="C16" t="s" s="4">
        <v>5</v>
      </c>
      <c r="D16" t="s" s="5">
        <v>505</v>
      </c>
    </row>
    <row r="17">
      <c r="B17" t="s" s="3">
        <v>571</v>
      </c>
      <c r="C17" s="3"/>
      <c r="D17" s="3"/>
    </row>
    <row r="18">
      <c r="B18" s="4"/>
      <c r="C18" t="s" s="4">
        <v>5</v>
      </c>
      <c r="D18" t="s" s="5">
        <v>571</v>
      </c>
    </row>
    <row r="19">
      <c r="B19" t="s" s="3">
        <v>601</v>
      </c>
      <c r="C19" s="3"/>
      <c r="D19" s="3"/>
    </row>
    <row r="20">
      <c r="B20" s="4"/>
      <c r="C20" t="s" s="4">
        <v>5</v>
      </c>
      <c r="D20" t="s" s="5">
        <v>601</v>
      </c>
    </row>
    <row r="21">
      <c r="B21" t="s" s="3">
        <v>607</v>
      </c>
      <c r="C21" s="3"/>
      <c r="D21" s="3"/>
    </row>
    <row r="22">
      <c r="B22" s="4"/>
      <c r="C22" t="s" s="4">
        <v>5</v>
      </c>
      <c r="D22" t="s" s="5">
        <v>607</v>
      </c>
    </row>
    <row r="23">
      <c r="B23" t="s" s="3">
        <v>612</v>
      </c>
      <c r="C23" s="3"/>
      <c r="D23" s="3"/>
    </row>
    <row r="24">
      <c r="B24" s="4"/>
      <c r="C24" t="s" s="4">
        <v>5</v>
      </c>
      <c r="D24" t="s" s="5">
        <v>612</v>
      </c>
    </row>
    <row r="25">
      <c r="B25" t="s" s="3">
        <v>635</v>
      </c>
      <c r="C25" s="3"/>
      <c r="D25" s="3"/>
    </row>
    <row r="26">
      <c r="B26" s="4"/>
      <c r="C26" t="s" s="4">
        <v>5</v>
      </c>
      <c r="D26" t="s" s="5">
        <v>635</v>
      </c>
    </row>
    <row r="27">
      <c r="B27" t="s" s="3">
        <v>637</v>
      </c>
      <c r="C27" s="3"/>
      <c r="D27" s="3"/>
    </row>
    <row r="28">
      <c r="B28" s="4"/>
      <c r="C28" t="s" s="4">
        <v>5</v>
      </c>
      <c r="D28" t="s" s="5">
        <v>637</v>
      </c>
    </row>
    <row r="29">
      <c r="B29" t="s" s="3">
        <v>648</v>
      </c>
      <c r="C29" s="3"/>
      <c r="D29" s="3"/>
    </row>
    <row r="30">
      <c r="B30" s="4"/>
      <c r="C30" t="s" s="4">
        <v>5</v>
      </c>
      <c r="D30" t="s" s="5">
        <v>648</v>
      </c>
    </row>
    <row r="31">
      <c r="B31" t="s" s="3">
        <v>727</v>
      </c>
      <c r="C31" s="3"/>
      <c r="D31" s="3"/>
    </row>
    <row r="32">
      <c r="B32" s="4"/>
      <c r="C32" t="s" s="4">
        <v>5</v>
      </c>
      <c r="D32" t="s" s="5">
        <v>727</v>
      </c>
    </row>
    <row r="33">
      <c r="B33" t="s" s="3">
        <v>736</v>
      </c>
      <c r="C33" s="3"/>
      <c r="D33" s="3"/>
    </row>
    <row r="34">
      <c r="B34" s="4"/>
      <c r="C34" t="s" s="4">
        <v>5</v>
      </c>
      <c r="D34" t="s" s="5">
        <v>736</v>
      </c>
    </row>
    <row r="35">
      <c r="B35" t="s" s="3">
        <v>817</v>
      </c>
      <c r="C35" s="3"/>
      <c r="D35" s="3"/>
    </row>
    <row r="36">
      <c r="B36" s="4"/>
      <c r="C36" t="s" s="4">
        <v>5</v>
      </c>
      <c r="D36" t="s" s="5">
        <v>817</v>
      </c>
    </row>
    <row r="37">
      <c r="B37" t="s" s="3">
        <v>820</v>
      </c>
      <c r="C37" s="3"/>
      <c r="D37" s="3"/>
    </row>
    <row r="38">
      <c r="B38" s="4"/>
      <c r="C38" t="s" s="4">
        <v>5</v>
      </c>
      <c r="D38" t="s" s="5">
        <v>820</v>
      </c>
    </row>
    <row r="39">
      <c r="B39" t="s" s="3">
        <v>880</v>
      </c>
      <c r="C39" s="3"/>
      <c r="D39" s="3"/>
    </row>
    <row r="40">
      <c r="B40" s="4"/>
      <c r="C40" t="s" s="4">
        <v>5</v>
      </c>
      <c r="D40" t="s" s="5">
        <v>880</v>
      </c>
    </row>
    <row r="41">
      <c r="B41" t="s" s="3">
        <v>930</v>
      </c>
      <c r="C41" s="3"/>
      <c r="D41" s="3"/>
    </row>
    <row r="42">
      <c r="B42" s="4"/>
      <c r="C42" t="s" s="4">
        <v>5</v>
      </c>
      <c r="D42" t="s" s="5">
        <v>930</v>
      </c>
    </row>
    <row r="43">
      <c r="B43" t="s" s="3">
        <v>986</v>
      </c>
      <c r="C43" s="3"/>
      <c r="D43" s="3"/>
    </row>
    <row r="44">
      <c r="B44" s="4"/>
      <c r="C44" t="s" s="4">
        <v>5</v>
      </c>
      <c r="D44" t="s" s="5">
        <v>986</v>
      </c>
    </row>
    <row r="45">
      <c r="B45" t="s" s="3">
        <v>1047</v>
      </c>
      <c r="C45" s="3"/>
      <c r="D45" s="3"/>
    </row>
    <row r="46">
      <c r="B46" s="4"/>
      <c r="C46" t="s" s="4">
        <v>5</v>
      </c>
      <c r="D46" t="s" s="5">
        <v>1047</v>
      </c>
    </row>
    <row r="47">
      <c r="B47" t="s" s="3">
        <v>1054</v>
      </c>
      <c r="C47" s="3"/>
      <c r="D47" s="3"/>
    </row>
    <row r="48">
      <c r="B48" s="4"/>
      <c r="C48" t="s" s="4">
        <v>5</v>
      </c>
      <c r="D48" t="s" s="5">
        <v>1054</v>
      </c>
    </row>
    <row r="49">
      <c r="B49" t="s" s="3">
        <v>1066</v>
      </c>
      <c r="C49" s="3"/>
      <c r="D49" s="3"/>
    </row>
    <row r="50">
      <c r="B50" s="4"/>
      <c r="C50" t="s" s="4">
        <v>5</v>
      </c>
      <c r="D50" t="s" s="5">
        <v>1066</v>
      </c>
    </row>
    <row r="51">
      <c r="B51" t="s" s="3">
        <v>1213</v>
      </c>
      <c r="C51" s="3"/>
      <c r="D51" s="3"/>
    </row>
    <row r="52">
      <c r="B52" s="4"/>
      <c r="C52" t="s" s="4">
        <v>5</v>
      </c>
      <c r="D52" t="s" s="5">
        <v>1213</v>
      </c>
    </row>
    <row r="53">
      <c r="B53" t="s" s="3">
        <v>1229</v>
      </c>
      <c r="C53" s="3"/>
      <c r="D53" s="3"/>
    </row>
    <row r="54">
      <c r="B54" s="4"/>
      <c r="C54" t="s" s="4">
        <v>5</v>
      </c>
      <c r="D54" t="s" s="5">
        <v>1229</v>
      </c>
    </row>
    <row r="55">
      <c r="B55" t="s" s="3">
        <v>1293</v>
      </c>
      <c r="C55" s="3"/>
      <c r="D55" s="3"/>
    </row>
    <row r="56">
      <c r="B56" s="4"/>
      <c r="C56" t="s" s="4">
        <v>5</v>
      </c>
      <c r="D56" t="s" s="5">
        <v>1293</v>
      </c>
    </row>
    <row r="57">
      <c r="B57" t="s" s="3">
        <v>1468</v>
      </c>
      <c r="C57" s="3"/>
      <c r="D57" s="3"/>
    </row>
    <row r="58">
      <c r="B58" s="4"/>
      <c r="C58" t="s" s="4">
        <v>5</v>
      </c>
      <c r="D58" t="s" s="5">
        <v>1468</v>
      </c>
    </row>
    <row r="59">
      <c r="B59" t="s" s="3">
        <v>1505</v>
      </c>
      <c r="C59" s="3"/>
      <c r="D59" s="3"/>
    </row>
    <row r="60">
      <c r="B60" s="4"/>
      <c r="C60" t="s" s="4">
        <v>5</v>
      </c>
      <c r="D60" t="s" s="5">
        <v>1505</v>
      </c>
    </row>
    <row r="61">
      <c r="B61" t="s" s="3">
        <v>1821</v>
      </c>
      <c r="C61" s="3"/>
      <c r="D61" s="3"/>
    </row>
    <row r="62">
      <c r="B62" s="4"/>
      <c r="C62" t="s" s="4">
        <v>5</v>
      </c>
      <c r="D62" t="s" s="5">
        <v>1821</v>
      </c>
    </row>
    <row r="63">
      <c r="B63" t="s" s="3">
        <v>2067</v>
      </c>
      <c r="C63" s="3"/>
      <c r="D63" s="3"/>
    </row>
    <row r="64">
      <c r="B64" s="4"/>
      <c r="C64" t="s" s="4">
        <v>5</v>
      </c>
      <c r="D64" t="s" s="5">
        <v>2067</v>
      </c>
    </row>
    <row r="65">
      <c r="B65" t="s" s="3">
        <v>2157</v>
      </c>
      <c r="C65" s="3"/>
      <c r="D65" s="3"/>
    </row>
    <row r="66">
      <c r="B66" s="4"/>
      <c r="C66" t="s" s="4">
        <v>5</v>
      </c>
      <c r="D66" t="s" s="5">
        <v>2157</v>
      </c>
    </row>
    <row r="67">
      <c r="B67" t="s" s="3">
        <v>2236</v>
      </c>
      <c r="C67" s="3"/>
      <c r="D67" s="3"/>
    </row>
    <row r="68">
      <c r="B68" s="4"/>
      <c r="C68" t="s" s="4">
        <v>5</v>
      </c>
      <c r="D68" t="s" s="5">
        <v>2236</v>
      </c>
    </row>
    <row r="69">
      <c r="B69" t="s" s="3">
        <v>2262</v>
      </c>
      <c r="C69" s="3"/>
      <c r="D69" s="3"/>
    </row>
    <row r="70">
      <c r="B70" s="4"/>
      <c r="C70" t="s" s="4">
        <v>5</v>
      </c>
      <c r="D70" t="s" s="5">
        <v>2262</v>
      </c>
    </row>
    <row r="71">
      <c r="B71" t="s" s="3">
        <v>3618</v>
      </c>
      <c r="C71" s="3"/>
      <c r="D71" s="3"/>
    </row>
    <row r="72">
      <c r="B72" s="4"/>
      <c r="C72" t="s" s="4">
        <v>5</v>
      </c>
      <c r="D72" t="s" s="5">
        <v>3618</v>
      </c>
    </row>
    <row r="73">
      <c r="B73" t="s" s="3">
        <v>3710</v>
      </c>
      <c r="C73" s="3"/>
      <c r="D73" s="3"/>
    </row>
    <row r="74">
      <c r="B74" s="4"/>
      <c r="C74" t="s" s="4">
        <v>5</v>
      </c>
      <c r="D74" t="s" s="5">
        <v>3710</v>
      </c>
    </row>
    <row r="75">
      <c r="B75" t="s" s="3">
        <v>3886</v>
      </c>
      <c r="C75" s="3"/>
      <c r="D75" s="3"/>
    </row>
    <row r="76">
      <c r="B76" s="4"/>
      <c r="C76" t="s" s="4">
        <v>5</v>
      </c>
      <c r="D76" t="s" s="5">
        <v>3886</v>
      </c>
    </row>
    <row r="77">
      <c r="B77" t="s" s="3">
        <v>3981</v>
      </c>
      <c r="C77" s="3"/>
      <c r="D77" s="3"/>
    </row>
    <row r="78">
      <c r="B78" s="4"/>
      <c r="C78" t="s" s="4">
        <v>5</v>
      </c>
      <c r="D78" t="s" s="5">
        <v>3981</v>
      </c>
    </row>
    <row r="79">
      <c r="B79" t="s" s="3">
        <v>3983</v>
      </c>
      <c r="C79" s="3"/>
      <c r="D79" s="3"/>
    </row>
    <row r="80">
      <c r="B80" s="4"/>
      <c r="C80" t="s" s="4">
        <v>5</v>
      </c>
      <c r="D80" t="s" s="5">
        <v>3983</v>
      </c>
    </row>
    <row r="81">
      <c r="B81" t="s" s="3">
        <v>4101</v>
      </c>
      <c r="C81" s="3"/>
      <c r="D81" s="3"/>
    </row>
    <row r="82">
      <c r="B82" s="4"/>
      <c r="C82" t="s" s="4">
        <v>5</v>
      </c>
      <c r="D82" t="s" s="5">
        <v>4101</v>
      </c>
    </row>
    <row r="83">
      <c r="B83" t="s" s="3">
        <v>4103</v>
      </c>
      <c r="C83" s="3"/>
      <c r="D83" s="3"/>
    </row>
    <row r="84">
      <c r="B84" s="4"/>
      <c r="C84" t="s" s="4">
        <v>5</v>
      </c>
      <c r="D84" t="s" s="5">
        <v>4103</v>
      </c>
    </row>
    <row r="85">
      <c r="B85" t="s" s="3">
        <v>4104</v>
      </c>
      <c r="C85" s="3"/>
      <c r="D85" s="3"/>
    </row>
    <row r="86">
      <c r="B86" s="4"/>
      <c r="C86" t="s" s="4">
        <v>5</v>
      </c>
      <c r="D86" t="s" s="5">
        <v>4104</v>
      </c>
    </row>
    <row r="87">
      <c r="B87" t="s" s="3">
        <v>4182</v>
      </c>
      <c r="C87" s="3"/>
      <c r="D87" s="3"/>
    </row>
    <row r="88">
      <c r="B88" s="4"/>
      <c r="C88" t="s" s="4">
        <v>5</v>
      </c>
      <c r="D88" t="s" s="5">
        <v>4182</v>
      </c>
    </row>
    <row r="89">
      <c r="B89" t="s" s="3">
        <v>4201</v>
      </c>
      <c r="C89" s="3"/>
      <c r="D89" s="3"/>
    </row>
    <row r="90">
      <c r="B90" s="4"/>
      <c r="C90" t="s" s="4">
        <v>5</v>
      </c>
      <c r="D90" t="s" s="5">
        <v>4201</v>
      </c>
    </row>
    <row r="91">
      <c r="B91" t="s" s="3">
        <v>4212</v>
      </c>
      <c r="C91" s="3"/>
      <c r="D91" s="3"/>
    </row>
    <row r="92">
      <c r="B92" s="4"/>
      <c r="C92" t="s" s="4">
        <v>5</v>
      </c>
      <c r="D92" t="s" s="5">
        <v>4212</v>
      </c>
    </row>
    <row r="93">
      <c r="B93" t="s" s="3">
        <v>4225</v>
      </c>
      <c r="C93" s="3"/>
      <c r="D93" s="3"/>
    </row>
    <row r="94">
      <c r="B94" s="4"/>
      <c r="C94" t="s" s="4">
        <v>5</v>
      </c>
      <c r="D94" t="s" s="5">
        <v>4225</v>
      </c>
    </row>
    <row r="95">
      <c r="B95" t="s" s="3">
        <v>4255</v>
      </c>
      <c r="C95" s="3"/>
      <c r="D95" s="3"/>
    </row>
    <row r="96">
      <c r="B96" s="4"/>
      <c r="C96" t="s" s="4">
        <v>5</v>
      </c>
      <c r="D96" t="s" s="5">
        <v>4255</v>
      </c>
    </row>
  </sheetData>
  <mergeCells count="1">
    <mergeCell ref="B3:D3"/>
  </mergeCells>
  <hyperlinks>
    <hyperlink ref="D10" location="'RECOMMENDED PRICES'!R1C1" tooltip="" display="RECOMMENDED PRICES"/>
    <hyperlink ref="D12" location="'PnL 2026 Plan-Forecast'!R1C1" tooltip="" display="PnL 2026 Plan-Forecast"/>
    <hyperlink ref="D14" location="'FCF 2025-2026 Forecast'!R1C1" tooltip="" display="FCF 2025-2026 Forecast"/>
    <hyperlink ref="D16" location="'Private Boats 2026 Target'!R1C1" tooltip="" display="Private Boats 2026 Target"/>
    <hyperlink ref="D18" location="'Shared Boats 2026 Target'!R1C1" tooltip="" display="Shared Boats 2026 Target"/>
    <hyperlink ref="D20" location="'Premium Shared 2026 Target'!R1C1" tooltip="" display="Premium Shared 2026 Target"/>
    <hyperlink ref="D22" location="'Premium for Couples 2026 Target'!R1C1" tooltip="" display="Premium for Couples 2026 Target"/>
    <hyperlink ref="D24" location="'Standard Diving Tour 2026'!R1C1" tooltip="" display="Standard Diving Tour 2026"/>
    <hyperlink ref="D26" location="'Premium Diving Tour 2026'!R1C1" tooltip="" display="Premium Diving Tour 2026"/>
    <hyperlink ref="D28" location="'Fishing Tour 2026 Target '!R1C1" tooltip="" display="Fishing Tour 2026 Target "/>
    <hyperlink ref="D30" location="'Project Eldorado ROI in IDR'!R1C1" tooltip="" display="Project Eldorado ROI in IDR"/>
    <hyperlink ref="D32" location="'Project Eldorado ROI in USD'!R1C1" tooltip="" display="Project Eldorado ROI in USD"/>
    <hyperlink ref="D34" location="'Project Eldorado IRR 50-50'!R1C1" tooltip="" display="Project Eldorado IRR 50-50"/>
    <hyperlink ref="D36" location="'Project Eldorado IRR 80-20'!R1C1" tooltip="" display="Project Eldorado IRR 80-20"/>
    <hyperlink ref="D38" location="'Direct Costs 2026'!R1C1" tooltip="" display="Direct Costs 2026"/>
    <hyperlink ref="D40" location="'Trasnfers, Extras, Alco 2026'!R1C1" tooltip="" display="Trasnfers, Extras, Alco 2026"/>
    <hyperlink ref="D42" location="'Boats Data Sheet 2026'!R1C1" tooltip="" display="Boats Data Sheet 2026"/>
    <hyperlink ref="D44" location="'Allocation OH and Target 2026'!R1C1" tooltip="" display="Allocation OH and Target 2026"/>
    <hyperlink ref="D46" location="'Boats Data Sheet 2025'!R1C1" tooltip="" display="Boats Data Sheet 2025"/>
    <hyperlink ref="D48" location="'Allocation OH and Target 2025'!R1C1" tooltip="" display="Allocation OH and Target 2025"/>
    <hyperlink ref="D50" location="'Admin Expenses 2026'!R1C1" tooltip="" display="Admin Expenses 2026"/>
    <hyperlink ref="D52" location="'Admin Expenses 2025'!R1C1" tooltip="" display="Admin Expenses 2025"/>
    <hyperlink ref="D54" location="'Admin Expenses 2024'!R1C1" tooltip="" display="Admin Expenses 2024"/>
    <hyperlink ref="D56" location="'Payroll 2026'!R1C1" tooltip="" display="Payroll 2026"/>
    <hyperlink ref="D58" location="'Payroll 2025'!R1C1" tooltip="" display="Payroll 2025"/>
    <hyperlink ref="D60" location="'Actual Sales 2025'!R1C1" tooltip="" display="Actual Sales 2025"/>
    <hyperlink ref="D62" location="'NEW Actual Sales Jan-Nov 2024'!R1C1" tooltip="" display="NEW Actual Sales Jan-Nov 2024"/>
    <hyperlink ref="D64" location="'OLD Actual Sales Jan-Mar 2024'!R1C1" tooltip="" display="OLD Actual Sales Jan-Mar 2024"/>
    <hyperlink ref="D66" location="'Cash Flow Statement 6M 2025'!R1C1" tooltip="" display="Cash Flow Statement 6M 2025"/>
    <hyperlink ref="D68" location="'Cash Flow Statement 2024'!R1C1" tooltip="" display="Cash Flow Statement 2024"/>
    <hyperlink ref="D70" location="'BS 6M 2025'!R1C1" tooltip="" display="BS 6M 2025"/>
    <hyperlink ref="D72" location="'BS 2024'!R1C1" tooltip="" display="BS 2024"/>
    <hyperlink ref="D74" location="'PnL 6M 2025'!R1C1" tooltip="" display="PnL 6M 2025"/>
    <hyperlink ref="D76" location="'PnL 2025'!R1C1" tooltip="" display="PnL 2025"/>
    <hyperlink ref="D78" location="'PnL 2024'!R1C1" tooltip="" display="PnL 2024"/>
    <hyperlink ref="D80" location="'PnL 2023'!R1C1" tooltip="" display="PnL 2023"/>
    <hyperlink ref="D82" location="'Monthly PnL 2024'!R1C1" tooltip="" display="Monthly PnL 2024"/>
    <hyperlink ref="D84" location="'PnL 2024 (Old)'!R1C1" tooltip="" display="PnL 2024 (Old)"/>
    <hyperlink ref="D86" location="'MOD - Discount Options'!R1C1" tooltip="" display="MOD - Discount Options"/>
    <hyperlink ref="D88" location="'MBT Private Tours'!R1C1" tooltip="" display="MBT Private Tours"/>
    <hyperlink ref="D90" location="'ANC and JA20 Pricing'!R1C1" tooltip="" display="ANC and JA20 Pricing"/>
    <hyperlink ref="D92" location="'Klook - Land Tour Only'!R1C1" tooltip="" display="Klook - Land Tour Only"/>
    <hyperlink ref="D94" location="'Restaurants'!R1C1" tooltip="" display="Restaurants"/>
    <hyperlink ref="D96" location="'Old NP.one and Odoo Boat Prices'!R1C1" tooltip="" display="Old NP.one and Odoo Boat Prices"/>
  </hyperlinks>
</worksheet>
</file>

<file path=xl/worksheets/sheet2.xml><?xml version="1.0" encoding="utf-8"?>
<worksheet xmlns:r="http://schemas.openxmlformats.org/officeDocument/2006/relationships" xmlns="http://schemas.openxmlformats.org/spreadsheetml/2006/main">
  <dimension ref="A1:AB186"/>
  <sheetViews>
    <sheetView workbookViewId="0" showGridLines="0" defaultGridColor="1"/>
  </sheetViews>
  <sheetFormatPr defaultColWidth="8.83333" defaultRowHeight="14.5" customHeight="1" outlineLevelRow="0" outlineLevelCol="0"/>
  <cols>
    <col min="1" max="1" width="4" style="6" customWidth="1"/>
    <col min="2" max="2" width="31.8516" style="6" customWidth="1"/>
    <col min="3" max="3" width="17.6719" style="6" customWidth="1"/>
    <col min="4" max="4" width="17.5" style="6" customWidth="1"/>
    <col min="5" max="5" width="18.8516" style="6" customWidth="1"/>
    <col min="6" max="6" width="20" style="6" customWidth="1"/>
    <col min="7" max="9" width="18.8516" style="6" customWidth="1"/>
    <col min="10" max="10" width="3.5" style="6" customWidth="1"/>
    <col min="11" max="12" width="17.1719" style="6" customWidth="1"/>
    <col min="13" max="13" width="17.6719" style="6" customWidth="1"/>
    <col min="14" max="14" width="16.5" style="6" customWidth="1"/>
    <col min="15" max="15" width="8.5" style="6" customWidth="1"/>
    <col min="16" max="16" width="16.5" style="6" customWidth="1"/>
    <col min="17" max="17" width="5.17188" style="6" customWidth="1"/>
    <col min="18" max="18" width="14.6719" style="6" customWidth="1"/>
    <col min="19" max="19" width="11.6719" style="6" customWidth="1"/>
    <col min="20" max="24" hidden="1" width="8.83333" style="6" customWidth="1"/>
    <col min="25" max="25" width="5.35156" style="6" customWidth="1"/>
    <col min="26" max="26" width="14.8516" style="6" customWidth="1"/>
    <col min="27" max="27" width="6" style="6" customWidth="1"/>
    <col min="28" max="28" width="14.3516" style="6" customWidth="1"/>
    <col min="29" max="16384" width="8.85156" style="6" customWidth="1"/>
  </cols>
  <sheetData>
    <row r="1" ht="14.4" customHeight="1">
      <c r="A1" s="7"/>
      <c r="B1" s="8"/>
      <c r="C1" s="8"/>
      <c r="D1" s="8"/>
      <c r="E1" s="8"/>
      <c r="F1" s="9"/>
      <c r="G1" s="9"/>
      <c r="H1" s="9"/>
      <c r="I1" s="9"/>
      <c r="J1" s="9"/>
      <c r="K1" s="9"/>
      <c r="L1" s="9"/>
      <c r="M1" s="9"/>
      <c r="N1" s="9"/>
      <c r="O1" s="9"/>
      <c r="P1" s="9"/>
      <c r="Q1" s="9"/>
      <c r="R1" s="9"/>
      <c r="S1" s="9"/>
      <c r="T1" s="9"/>
      <c r="U1" s="9"/>
      <c r="V1" s="9"/>
      <c r="W1" s="9"/>
      <c r="X1" t="s" s="10">
        <v>6</v>
      </c>
      <c r="Y1" s="9"/>
      <c r="Z1" s="9"/>
      <c r="AA1" s="9"/>
      <c r="AB1" s="11"/>
    </row>
    <row r="2" ht="40.75" customHeight="1">
      <c r="A2" s="12"/>
      <c r="B2" t="s" s="13">
        <v>7</v>
      </c>
      <c r="C2" t="s" s="14">
        <v>8</v>
      </c>
      <c r="D2" t="s" s="14">
        <v>9</v>
      </c>
      <c r="E2" t="s" s="15">
        <v>10</v>
      </c>
      <c r="F2" s="16"/>
      <c r="G2" s="17"/>
      <c r="H2" s="17"/>
      <c r="I2" s="17"/>
      <c r="J2" s="17"/>
      <c r="K2" s="17"/>
      <c r="L2" s="17"/>
      <c r="M2" s="17"/>
      <c r="N2" s="17"/>
      <c r="O2" s="17"/>
      <c r="P2" s="17"/>
      <c r="Q2" s="17"/>
      <c r="R2" s="17"/>
      <c r="S2" s="17"/>
      <c r="T2" s="17"/>
      <c r="U2" s="17"/>
      <c r="V2" s="17"/>
      <c r="W2" s="17"/>
      <c r="X2" s="17"/>
      <c r="Y2" s="17"/>
      <c r="Z2" s="17"/>
      <c r="AA2" s="17"/>
      <c r="AB2" s="18"/>
    </row>
    <row r="3" ht="15" customHeight="1">
      <c r="A3" s="12"/>
      <c r="B3" t="s" s="19">
        <v>11</v>
      </c>
      <c r="C3" t="s" s="20">
        <v>12</v>
      </c>
      <c r="D3" s="21" cm="1">
        <f t="array" ref="D3">AVERAGE('Allocation OH and Target 2026'!I3:I23)</f>
        <v>0.654761904761905</v>
      </c>
      <c r="E3" s="22" cm="1">
        <f t="array" ref="E3">AVERAGE('Allocation OH and Target 2026'!J3:J23)</f>
        <v>0.804761904761905</v>
      </c>
      <c r="F3" s="16"/>
      <c r="G3" s="17"/>
      <c r="H3" s="17"/>
      <c r="I3" s="17"/>
      <c r="J3" s="17"/>
      <c r="K3" s="17"/>
      <c r="L3" s="17"/>
      <c r="M3" s="17"/>
      <c r="N3" s="17"/>
      <c r="O3" s="17"/>
      <c r="P3" s="17"/>
      <c r="Q3" s="17"/>
      <c r="R3" s="17"/>
      <c r="S3" s="17"/>
      <c r="T3" s="17"/>
      <c r="U3" s="17"/>
      <c r="V3" s="17"/>
      <c r="W3" s="17"/>
      <c r="X3" s="17"/>
      <c r="Y3" s="17"/>
      <c r="Z3" s="17"/>
      <c r="AA3" s="17"/>
      <c r="AB3" s="18"/>
    </row>
    <row r="4" ht="15" customHeight="1">
      <c r="A4" s="12"/>
      <c r="B4" t="s" s="23">
        <v>13</v>
      </c>
      <c r="C4" t="s" s="24">
        <v>12</v>
      </c>
      <c r="D4" s="25" cm="1">
        <f t="array" ref="D4">AVERAGE('Allocation OH and Target 2026'!I35:I53)</f>
        <v>0.6631578947368419</v>
      </c>
      <c r="E4" t="s" s="26">
        <v>14</v>
      </c>
      <c r="F4" s="16"/>
      <c r="G4" s="17"/>
      <c r="H4" s="17"/>
      <c r="I4" s="17"/>
      <c r="J4" s="17"/>
      <c r="K4" s="17"/>
      <c r="L4" s="17"/>
      <c r="M4" s="17"/>
      <c r="N4" s="17"/>
      <c r="O4" s="17"/>
      <c r="P4" s="17"/>
      <c r="Q4" s="17"/>
      <c r="R4" s="17"/>
      <c r="S4" s="17"/>
      <c r="T4" s="17"/>
      <c r="U4" s="17"/>
      <c r="V4" s="17"/>
      <c r="W4" s="17"/>
      <c r="X4" s="17"/>
      <c r="Y4" s="17"/>
      <c r="Z4" s="17"/>
      <c r="AA4" s="17"/>
      <c r="AB4" s="18"/>
    </row>
    <row r="5" ht="15" customHeight="1">
      <c r="A5" s="12"/>
      <c r="B5" t="s" s="27">
        <v>13</v>
      </c>
      <c r="C5" t="s" s="28">
        <v>15</v>
      </c>
      <c r="D5" s="29" cm="1">
        <f t="array" ref="D5">AVERAGE('Allocation OH and Target 2026'!I54,'Allocation OH and Target 2026'!I57:I59,'Allocation OH and Target 2026'!I62:I64,'Allocation OH and Target 2026'!I66,'Allocation OH and Target 2026'!I71:I77,'Allocation OH and Target 2026'!I82:I86,'Allocation OH and Target 2026'!I88:I91)</f>
        <v>0.1325</v>
      </c>
      <c r="E5" t="s" s="30">
        <v>14</v>
      </c>
      <c r="F5" s="16"/>
      <c r="G5" s="31"/>
      <c r="H5" s="31"/>
      <c r="I5" s="17"/>
      <c r="J5" s="17"/>
      <c r="K5" s="17"/>
      <c r="L5" s="17"/>
      <c r="M5" s="17"/>
      <c r="N5" s="17"/>
      <c r="O5" s="17"/>
      <c r="P5" s="17"/>
      <c r="Q5" s="17"/>
      <c r="R5" s="17"/>
      <c r="S5" s="17"/>
      <c r="T5" s="17"/>
      <c r="U5" s="17"/>
      <c r="V5" s="17"/>
      <c r="W5" s="17"/>
      <c r="X5" s="17"/>
      <c r="Y5" s="17"/>
      <c r="Z5" s="17"/>
      <c r="AA5" s="17"/>
      <c r="AB5" s="18"/>
    </row>
    <row r="6" ht="15.5" customHeight="1">
      <c r="A6" s="32"/>
      <c r="B6" s="33"/>
      <c r="C6" s="33"/>
      <c r="D6" s="33"/>
      <c r="E6" s="33"/>
      <c r="F6" s="34"/>
      <c r="G6" s="35"/>
      <c r="H6" s="17"/>
      <c r="I6" s="17"/>
      <c r="J6" s="17"/>
      <c r="K6" s="17"/>
      <c r="L6" s="17"/>
      <c r="M6" s="17"/>
      <c r="N6" s="17"/>
      <c r="O6" s="17"/>
      <c r="P6" s="17"/>
      <c r="Q6" s="17"/>
      <c r="R6" s="17"/>
      <c r="S6" s="17"/>
      <c r="T6" s="17"/>
      <c r="U6" s="17"/>
      <c r="V6" s="17"/>
      <c r="W6" s="17"/>
      <c r="X6" s="17"/>
      <c r="Y6" s="17"/>
      <c r="Z6" s="17"/>
      <c r="AA6" s="17"/>
      <c r="AB6" s="18"/>
    </row>
    <row r="7" ht="33" customHeight="1">
      <c r="A7" s="12"/>
      <c r="B7" t="s" s="36">
        <v>16</v>
      </c>
      <c r="C7" t="s" s="37">
        <v>17</v>
      </c>
      <c r="D7" t="s" s="38">
        <v>18</v>
      </c>
      <c r="E7" t="s" s="38">
        <v>19</v>
      </c>
      <c r="F7" t="s" s="38">
        <v>20</v>
      </c>
      <c r="G7" t="s" s="39">
        <v>21</v>
      </c>
      <c r="H7" s="16"/>
      <c r="I7" s="17"/>
      <c r="J7" s="17"/>
      <c r="K7" s="17"/>
      <c r="L7" s="17"/>
      <c r="M7" s="17"/>
      <c r="N7" s="17"/>
      <c r="O7" s="17"/>
      <c r="P7" s="17"/>
      <c r="Q7" s="17"/>
      <c r="R7" s="17"/>
      <c r="S7" s="17"/>
      <c r="T7" s="17"/>
      <c r="U7" s="17"/>
      <c r="V7" s="17"/>
      <c r="W7" s="17"/>
      <c r="X7" s="17"/>
      <c r="Y7" s="17"/>
      <c r="Z7" s="17"/>
      <c r="AA7" s="17"/>
      <c r="AB7" s="18"/>
    </row>
    <row r="8" ht="25.5" customHeight="1">
      <c r="A8" s="12"/>
      <c r="B8" t="s" s="40">
        <v>22</v>
      </c>
      <c r="C8" s="41" cm="1">
        <f t="array" ref="C8">ROUNDUP(AVERAGE('Shared Boats 2026 Target'!AG5:AG183,'Shared Boats 2026 Target'!AG212:AG367),-4)</f>
        <v>1460000</v>
      </c>
      <c r="D8" s="42">
        <v>1390000</v>
      </c>
      <c r="E8" s="43" cm="1">
        <f t="array" ref="E8">D8/(100%-25%)</f>
        <v>1853333.33333333</v>
      </c>
      <c r="F8" s="43" cm="1">
        <f t="array" ref="F8">D8/(100%-25%)</f>
        <v>1853333.33333333</v>
      </c>
      <c r="G8" s="44" cm="1">
        <f t="array" ref="G8">D8/(100%-20%)</f>
        <v>1737500</v>
      </c>
      <c r="H8" s="16"/>
      <c r="I8" s="45"/>
      <c r="J8" s="17"/>
      <c r="K8" s="17"/>
      <c r="L8" s="17"/>
      <c r="M8" s="17"/>
      <c r="N8" s="17"/>
      <c r="O8" s="17"/>
      <c r="P8" s="17"/>
      <c r="Q8" s="17"/>
      <c r="R8" s="17"/>
      <c r="S8" s="17"/>
      <c r="T8" s="17"/>
      <c r="U8" s="17"/>
      <c r="V8" s="17"/>
      <c r="W8" s="17"/>
      <c r="X8" s="17"/>
      <c r="Y8" s="17"/>
      <c r="Z8" s="17"/>
      <c r="AA8" s="17"/>
      <c r="AB8" s="18"/>
    </row>
    <row r="9" ht="25.5" customHeight="1">
      <c r="A9" s="12"/>
      <c r="B9" t="s" s="46">
        <v>23</v>
      </c>
      <c r="C9" s="47"/>
      <c r="D9" s="48" cm="1">
        <f t="array" ref="D9">D8*110%</f>
        <v>1529000</v>
      </c>
      <c r="E9" s="48" cm="1">
        <f t="array" ref="E9">E8*110%</f>
        <v>2038666.66666666</v>
      </c>
      <c r="F9" s="48" cm="1">
        <f t="array" ref="F9">F8*110%</f>
        <v>2038666.66666666</v>
      </c>
      <c r="G9" s="49" cm="1">
        <f t="array" ref="G9">G8*110%</f>
        <v>1911250</v>
      </c>
      <c r="H9" s="16"/>
      <c r="I9" s="45"/>
      <c r="J9" s="17"/>
      <c r="K9" s="17"/>
      <c r="L9" s="17"/>
      <c r="M9" s="17"/>
      <c r="N9" s="17"/>
      <c r="O9" s="17"/>
      <c r="P9" s="17"/>
      <c r="Q9" s="17"/>
      <c r="R9" s="17"/>
      <c r="S9" s="17"/>
      <c r="T9" s="17"/>
      <c r="U9" s="17"/>
      <c r="V9" s="17"/>
      <c r="W9" s="17"/>
      <c r="X9" s="17"/>
      <c r="Y9" s="17"/>
      <c r="Z9" s="17"/>
      <c r="AA9" s="17"/>
      <c r="AB9" s="18"/>
    </row>
    <row r="10" ht="15.5" customHeight="1">
      <c r="A10" s="32"/>
      <c r="B10" s="33"/>
      <c r="C10" s="33"/>
      <c r="D10" s="33"/>
      <c r="E10" s="50"/>
      <c r="F10" s="33"/>
      <c r="G10" s="33"/>
      <c r="H10" s="17"/>
      <c r="I10" s="17"/>
      <c r="J10" s="17"/>
      <c r="K10" s="17"/>
      <c r="L10" s="17"/>
      <c r="M10" s="17"/>
      <c r="N10" s="17"/>
      <c r="O10" s="17"/>
      <c r="P10" s="17"/>
      <c r="Q10" s="17"/>
      <c r="R10" s="17"/>
      <c r="S10" s="17"/>
      <c r="T10" s="17"/>
      <c r="U10" s="17"/>
      <c r="V10" s="17"/>
      <c r="W10" s="17"/>
      <c r="X10" s="17"/>
      <c r="Y10" s="17"/>
      <c r="Z10" s="17"/>
      <c r="AA10" s="17"/>
      <c r="AB10" s="18"/>
    </row>
    <row r="11" ht="30.5" customHeight="1">
      <c r="A11" s="12"/>
      <c r="B11" t="s" s="51">
        <v>24</v>
      </c>
      <c r="C11" t="s" s="52">
        <v>17</v>
      </c>
      <c r="D11" t="s" s="53">
        <v>18</v>
      </c>
      <c r="E11" t="s" s="53">
        <v>19</v>
      </c>
      <c r="F11" t="s" s="53">
        <v>20</v>
      </c>
      <c r="G11" t="s" s="54">
        <v>21</v>
      </c>
      <c r="H11" s="16"/>
      <c r="I11" s="17"/>
      <c r="J11" s="17"/>
      <c r="K11" s="17"/>
      <c r="L11" s="17"/>
      <c r="M11" s="17"/>
      <c r="N11" s="17"/>
      <c r="O11" s="17"/>
      <c r="P11" s="17"/>
      <c r="Q11" s="17"/>
      <c r="R11" s="17"/>
      <c r="S11" s="17"/>
      <c r="T11" s="17"/>
      <c r="U11" s="17"/>
      <c r="V11" s="17"/>
      <c r="W11" s="17"/>
      <c r="X11" s="17"/>
      <c r="Y11" s="17"/>
      <c r="Z11" s="17"/>
      <c r="AA11" s="17"/>
      <c r="AB11" s="18"/>
    </row>
    <row r="12" ht="25.5" customHeight="1">
      <c r="A12" s="12"/>
      <c r="B12" t="s" s="55">
        <v>22</v>
      </c>
      <c r="C12" s="56" cm="1">
        <f t="array" ref="C12">ROUNDUP(AVERAGE('Premium Shared 2026 Target'!AI1:AI183),-4)</f>
        <v>1910000</v>
      </c>
      <c r="D12" s="57">
        <v>2050000</v>
      </c>
      <c r="E12" s="58" cm="1">
        <f t="array" ref="E12">D12/(100%-25%)</f>
        <v>2733333.33333333</v>
      </c>
      <c r="F12" s="58" cm="1">
        <f t="array" ref="F12">D12/(100%-25%)</f>
        <v>2733333.33333333</v>
      </c>
      <c r="G12" s="59" cm="1">
        <f t="array" ref="G12">D12/(100%-20%)</f>
        <v>2562500</v>
      </c>
      <c r="H12" s="16"/>
      <c r="I12" s="17"/>
      <c r="J12" s="17"/>
      <c r="K12" s="17"/>
      <c r="L12" s="17"/>
      <c r="M12" s="17"/>
      <c r="N12" s="17"/>
      <c r="O12" s="17"/>
      <c r="P12" s="17"/>
      <c r="Q12" s="17"/>
      <c r="R12" s="17"/>
      <c r="S12" s="17"/>
      <c r="T12" s="17"/>
      <c r="U12" s="17"/>
      <c r="V12" s="17"/>
      <c r="W12" s="17"/>
      <c r="X12" s="17"/>
      <c r="Y12" s="17"/>
      <c r="Z12" s="17"/>
      <c r="AA12" s="17"/>
      <c r="AB12" s="18"/>
    </row>
    <row r="13" ht="25.5" customHeight="1">
      <c r="A13" s="12"/>
      <c r="B13" t="s" s="60">
        <v>23</v>
      </c>
      <c r="C13" s="61"/>
      <c r="D13" s="62" cm="1">
        <f t="array" ref="D13">D12*110%</f>
        <v>2255000</v>
      </c>
      <c r="E13" s="62" cm="1">
        <f t="array" ref="E13">E12*110%</f>
        <v>3006666.66666666</v>
      </c>
      <c r="F13" s="62" cm="1">
        <f t="array" ref="F13">F12*110%</f>
        <v>3006666.66666666</v>
      </c>
      <c r="G13" s="63" cm="1">
        <f t="array" ref="G13">G12*110%</f>
        <v>2818750</v>
      </c>
      <c r="H13" s="16"/>
      <c r="I13" s="17"/>
      <c r="J13" s="17"/>
      <c r="K13" s="17"/>
      <c r="L13" s="17"/>
      <c r="M13" s="17"/>
      <c r="N13" s="17"/>
      <c r="O13" s="17"/>
      <c r="P13" s="17"/>
      <c r="Q13" s="17"/>
      <c r="R13" s="17"/>
      <c r="S13" s="17"/>
      <c r="T13" s="17"/>
      <c r="U13" s="17"/>
      <c r="V13" s="17"/>
      <c r="W13" s="17"/>
      <c r="X13" s="17"/>
      <c r="Y13" s="17"/>
      <c r="Z13" s="17"/>
      <c r="AA13" s="17"/>
      <c r="AB13" s="18"/>
    </row>
    <row r="14" ht="15.5" customHeight="1">
      <c r="A14" s="32"/>
      <c r="B14" s="33"/>
      <c r="C14" s="33"/>
      <c r="D14" s="33"/>
      <c r="E14" s="33"/>
      <c r="F14" s="50"/>
      <c r="G14" s="33"/>
      <c r="H14" s="35"/>
      <c r="I14" s="35"/>
      <c r="J14" s="17"/>
      <c r="K14" s="35"/>
      <c r="L14" s="35"/>
      <c r="M14" s="35"/>
      <c r="N14" s="35"/>
      <c r="O14" s="17"/>
      <c r="P14" s="35"/>
      <c r="Q14" s="17"/>
      <c r="R14" s="35"/>
      <c r="S14" s="17"/>
      <c r="T14" s="17"/>
      <c r="U14" s="17"/>
      <c r="V14" s="17"/>
      <c r="W14" s="17"/>
      <c r="X14" s="17"/>
      <c r="Y14" s="17"/>
      <c r="Z14" s="35"/>
      <c r="AA14" s="17"/>
      <c r="AB14" s="18"/>
    </row>
    <row r="15" ht="43.25" customHeight="1">
      <c r="A15" s="12"/>
      <c r="B15" t="s" s="64">
        <v>25</v>
      </c>
      <c r="C15" t="s" s="65">
        <v>26</v>
      </c>
      <c r="D15" t="s" s="66">
        <v>18</v>
      </c>
      <c r="E15" t="s" s="67">
        <v>23</v>
      </c>
      <c r="F15" t="s" s="68">
        <v>27</v>
      </c>
      <c r="G15" t="s" s="69">
        <v>28</v>
      </c>
      <c r="H15" t="s" s="70">
        <v>29</v>
      </c>
      <c r="I15" t="s" s="70">
        <v>30</v>
      </c>
      <c r="J15" s="71"/>
      <c r="K15" t="s" s="72">
        <v>31</v>
      </c>
      <c r="L15" t="s" s="72">
        <v>32</v>
      </c>
      <c r="M15" t="s" s="72">
        <v>33</v>
      </c>
      <c r="N15" t="s" s="72">
        <v>34</v>
      </c>
      <c r="O15" s="71"/>
      <c r="P15" t="s" s="73">
        <v>35</v>
      </c>
      <c r="Q15" s="71"/>
      <c r="R15" t="s" s="73">
        <v>36</v>
      </c>
      <c r="S15" s="16"/>
      <c r="T15" s="17"/>
      <c r="U15" s="17"/>
      <c r="V15" s="17"/>
      <c r="W15" s="17"/>
      <c r="X15" s="17"/>
      <c r="Y15" s="74"/>
      <c r="Z15" t="s" s="73">
        <v>37</v>
      </c>
      <c r="AA15" s="16"/>
      <c r="AB15" s="18"/>
    </row>
    <row r="16" ht="15" customHeight="1">
      <c r="A16" s="12"/>
      <c r="B16" t="s" s="75">
        <v>38</v>
      </c>
      <c r="C16" s="76"/>
      <c r="D16" s="77"/>
      <c r="E16" s="78"/>
      <c r="F16" s="79"/>
      <c r="G16" s="80"/>
      <c r="H16" s="81"/>
      <c r="I16" s="81"/>
      <c r="J16" s="71"/>
      <c r="K16" s="82"/>
      <c r="L16" s="82"/>
      <c r="M16" s="82"/>
      <c r="N16" s="82"/>
      <c r="O16" s="71"/>
      <c r="P16" s="83"/>
      <c r="Q16" s="71"/>
      <c r="R16" s="83"/>
      <c r="S16" s="16"/>
      <c r="T16" s="17"/>
      <c r="U16" s="17"/>
      <c r="V16" s="17"/>
      <c r="W16" s="17"/>
      <c r="X16" s="17"/>
      <c r="Y16" s="74"/>
      <c r="Z16" s="83"/>
      <c r="AA16" s="16"/>
      <c r="AB16" s="18"/>
    </row>
    <row r="17" ht="29.5" customHeight="1">
      <c r="A17" s="12"/>
      <c r="B17" t="s" s="84">
        <v>39</v>
      </c>
      <c r="C17" s="85" cm="1">
        <f t="array" ref="C17">ROUNDUP(AVERAGE('Private Boats 2026 Target'!Z5,'Private Boats 2026 Target'!Z28,'Private Boats 2026 Target'!Z51,'Private Boats 2026 Target'!Z97,'Private Boats 2026 Target'!Z168,'Private Boats 2026 Target'!Z214,'Private Boats 2026 Target'!Z817,'Private Boats 2026 Target'!Z1008,'Private Boats 2026 Target'!Z1031,'Private Boats 2026 Target'!Z1054,'Private Boats 2026 Target'!Z1146),-4)</f>
        <v>12890000</v>
      </c>
      <c r="D17" s="86" cm="1">
        <f t="array" ref="D17">10600000+500000+400000+400000+395000</f>
        <v>12295000</v>
      </c>
      <c r="E17" s="87" cm="1">
        <f t="array" ref="E17">D17*110%</f>
        <v>13524500</v>
      </c>
      <c r="F17" s="88" cm="1">
        <f t="array" ref="F17">12295000</f>
        <v>12295000</v>
      </c>
      <c r="G17" s="89" cm="1">
        <f t="array" ref="G17">_xlfn.IFERROR((D17-F17),"not listed")</f>
        <v>0</v>
      </c>
      <c r="H17" s="90"/>
      <c r="I17" s="90"/>
      <c r="J17" s="71"/>
      <c r="K17" s="91"/>
      <c r="L17" s="91"/>
      <c r="M17" s="91"/>
      <c r="N17" s="91"/>
      <c r="O17" s="71"/>
      <c r="P17" s="92"/>
      <c r="Q17" s="71"/>
      <c r="R17" s="92"/>
      <c r="S17" s="16"/>
      <c r="T17" s="17"/>
      <c r="U17" s="17"/>
      <c r="V17" s="17"/>
      <c r="W17" s="17"/>
      <c r="X17" s="17"/>
      <c r="Y17" s="74"/>
      <c r="Z17" s="92"/>
      <c r="AA17" s="16"/>
      <c r="AB17" s="18"/>
    </row>
    <row r="18" ht="15" customHeight="1">
      <c r="A18" s="12"/>
      <c r="B18" s="93"/>
      <c r="C18" s="94"/>
      <c r="D18" s="86"/>
      <c r="E18" s="87"/>
      <c r="F18" s="95"/>
      <c r="G18" s="89"/>
      <c r="H18" s="90"/>
      <c r="I18" s="90"/>
      <c r="J18" s="71"/>
      <c r="K18" s="91"/>
      <c r="L18" s="91"/>
      <c r="M18" s="91"/>
      <c r="N18" s="91"/>
      <c r="O18" s="71"/>
      <c r="P18" s="92"/>
      <c r="Q18" s="71"/>
      <c r="R18" s="92"/>
      <c r="S18" s="16"/>
      <c r="T18" s="17"/>
      <c r="U18" s="17"/>
      <c r="V18" s="17"/>
      <c r="W18" s="17"/>
      <c r="X18" s="17"/>
      <c r="Y18" s="74"/>
      <c r="Z18" s="92"/>
      <c r="AA18" s="16"/>
      <c r="AB18" s="18"/>
    </row>
    <row r="19" ht="15" customHeight="1">
      <c r="A19" s="12"/>
      <c r="B19" t="s" s="75">
        <v>40</v>
      </c>
      <c r="C19" s="76"/>
      <c r="D19" s="77"/>
      <c r="E19" s="78"/>
      <c r="F19" s="95"/>
      <c r="G19" s="80"/>
      <c r="H19" s="90"/>
      <c r="I19" s="90"/>
      <c r="J19" s="71"/>
      <c r="K19" s="82"/>
      <c r="L19" s="82"/>
      <c r="M19" s="82"/>
      <c r="N19" s="82"/>
      <c r="O19" s="71"/>
      <c r="P19" s="83"/>
      <c r="Q19" s="71"/>
      <c r="R19" s="83"/>
      <c r="S19" s="16"/>
      <c r="T19" s="17"/>
      <c r="U19" s="17"/>
      <c r="V19" s="17"/>
      <c r="W19" s="17"/>
      <c r="X19" s="17"/>
      <c r="Y19" s="74"/>
      <c r="Z19" s="83"/>
      <c r="AA19" s="16"/>
      <c r="AB19" s="18"/>
    </row>
    <row r="20" ht="15" customHeight="1">
      <c r="A20" t="s" s="96">
        <v>41</v>
      </c>
      <c r="B20" t="str" s="84" cm="1">
        <f t="array" ref="B20">'Boats Data Sheet 2025'!C3</f>
        <v>Sweetheart 4</v>
      </c>
      <c r="C20" s="94" cm="1">
        <f t="array" ref="C20">IF(ROUNDUP((AVERAGE('Private Boats 2026 Target'!AC5:AC22)-$C$17),-2)&lt;0,0,ROUNDUP((AVERAGE('Private Boats 2026 Target'!AC5:AC22)-$C$17),-2))</f>
        <v>1190300</v>
      </c>
      <c r="D20" s="86" cm="1">
        <f t="array" ref="D20">13000000-D17</f>
        <v>705000</v>
      </c>
      <c r="E20" s="87" cm="1">
        <f t="array" ref="E20">D20*110%</f>
        <v>775500</v>
      </c>
      <c r="F20" s="95">
        <v>1500000</v>
      </c>
      <c r="G20" s="89" cm="1">
        <f t="array" ref="G20">_xlfn.IFERROR((D20-F20),"not listed")</f>
        <v>-795000</v>
      </c>
      <c r="H20" s="90" cm="1">
        <f t="array" ref="H20">IF(A20="O",ROUND((F20+$F$17)/0.9-$F$17,-3),F20)</f>
        <v>3033000</v>
      </c>
      <c r="I20" s="90" cm="1">
        <f t="array" ref="I20">$F$17+F20</f>
        <v>13795000</v>
      </c>
      <c r="J20" s="71"/>
      <c r="K20" s="91" cm="1">
        <f t="array" ref="K20">$F$17+F20-VLOOKUP(B20,'Private Boats 2026 Target'!$C$2:$AN$1501,38,0)</f>
        <v>3053191.3803971</v>
      </c>
      <c r="L20" s="97" cm="1">
        <f t="array" ref="L20">K20/VLOOKUP(B20,'Private Boats 2026 Target'!$C$2:$AN$1501,38,0)</f>
        <v>0.284234386267624</v>
      </c>
      <c r="M20" s="97">
        <v>0.1</v>
      </c>
      <c r="N20" s="91" cm="1">
        <f t="array" ref="N20">ROUND(($F$17+F20)*M20,-3)</f>
        <v>1380000</v>
      </c>
      <c r="O20" s="71"/>
      <c r="P20" s="98" cm="1">
        <f t="array" ref="P20">($F$17+F20)/14500</f>
        <v>951.379310344828</v>
      </c>
      <c r="Q20" s="71"/>
      <c r="R20" s="92" cm="1">
        <f t="array" ref="R20">IF((C20-VLOOKUP(B20,'Private Boats 2026 Target'!$C$2:$AJ$714,32,0))&lt;0,0,(C20-VLOOKUP(B20,'Private Boats 2026 Target'!$C$2:$AJ$714,32,0)))</f>
        <v>0</v>
      </c>
      <c r="S20" s="16"/>
      <c r="T20" s="17"/>
      <c r="U20" s="17"/>
      <c r="V20" s="17"/>
      <c r="W20" s="17"/>
      <c r="X20" s="17"/>
      <c r="Y20" s="74"/>
      <c r="Z20" s="92" cm="1">
        <f t="array" ref="Z20">($F$17+F20+($E$89-$E$88)-200000)*0.9</f>
        <v>12496500</v>
      </c>
      <c r="AA20" s="16"/>
      <c r="AB20" s="18"/>
    </row>
    <row r="21" ht="15" customHeight="1">
      <c r="A21" t="s" s="96">
        <v>41</v>
      </c>
      <c r="B21" t="str" s="93" cm="1">
        <f t="array" ref="B21">'Boats Data Sheet 2025'!C4</f>
        <v>Riki J</v>
      </c>
      <c r="C21" s="94" cm="1">
        <f t="array" ref="C21">IF(ROUNDUP((AVERAGE('Private Boats 2026 Target'!AC28:AC45)-$C$17),-2)&lt;0,0,ROUNDUP((AVERAGE('Private Boats 2026 Target'!AC28:AC45)-$C$17),-2))</f>
        <v>1886000</v>
      </c>
      <c r="D21" s="86" cm="1">
        <f t="array" ref="D21">14500000-D17</f>
        <v>2205000</v>
      </c>
      <c r="E21" s="87" cm="1">
        <f t="array" ref="E21">D21*110%</f>
        <v>2425500</v>
      </c>
      <c r="F21" s="95">
        <v>2700000</v>
      </c>
      <c r="G21" s="89" cm="1">
        <f t="array" ref="G21">_xlfn.IFERROR((D21-F21),"not listed")</f>
        <v>-495000</v>
      </c>
      <c r="H21" s="90" cm="1">
        <f t="array" ref="H21">IF(A21="O",ROUND((F21+$F$17)/0.9-$F$17,-3),F21)</f>
        <v>4366000</v>
      </c>
      <c r="I21" s="90" cm="1">
        <f t="array" ref="I21">$F$17+F21</f>
        <v>14995000</v>
      </c>
      <c r="J21" s="71"/>
      <c r="K21" s="91" cm="1">
        <f t="array" ref="K21">$F$17+F21-VLOOKUP(B21,'Private Boats 2026 Target'!$C$2:$AN$1501,38,0)</f>
        <v>3698814.6528282</v>
      </c>
      <c r="L21" s="97" cm="1">
        <f t="array" ref="L21">K21/VLOOKUP(B21,'Private Boats 2026 Target'!$C$2:$AN$1501,38,0)</f>
        <v>0.327439267252663</v>
      </c>
      <c r="M21" s="97">
        <v>0.1</v>
      </c>
      <c r="N21" s="91" cm="1">
        <f t="array" ref="N21">ROUND(($F$17+F21)*M21,-3)</f>
        <v>1500000</v>
      </c>
      <c r="O21" s="71"/>
      <c r="P21" s="98" cm="1">
        <f t="array" ref="P21">($F$17+F21)/14500</f>
        <v>1034.137931034480</v>
      </c>
      <c r="Q21" s="71"/>
      <c r="R21" s="92" cm="1">
        <f t="array" ref="R21">IF((C21-VLOOKUP(B21,'Private Boats 2026 Target'!$C$2:$AJ$714,32,0))&lt;0,0,(C21-VLOOKUP(B21,'Private Boats 2026 Target'!$C$2:$AJ$714,32,0)))</f>
        <v>0</v>
      </c>
      <c r="S21" s="16"/>
      <c r="T21" s="17"/>
      <c r="U21" s="17"/>
      <c r="V21" s="17"/>
      <c r="W21" s="17"/>
      <c r="X21" s="17"/>
      <c r="Y21" s="74"/>
      <c r="Z21" s="92" cm="1">
        <f t="array" ref="Z21">($F$17+F21+($E$89-$E$88)-200000)*0.95</f>
        <v>14330750</v>
      </c>
      <c r="AA21" s="16"/>
      <c r="AB21" s="18"/>
    </row>
    <row r="22" ht="15" customHeight="1">
      <c r="A22" t="s" s="99">
        <v>41</v>
      </c>
      <c r="B22" t="str" s="93" cm="1">
        <f t="array" ref="B22">'Boats Data Sheet 2025'!C11</f>
        <v>Sanjaya</v>
      </c>
      <c r="C22" s="94" cm="1">
        <f t="array" ref="C22">IF(ROUNDUP((AVERAGE('Private Boats 2026 Target'!AC51:AC68)-$C$17),-2)&lt;0,0,ROUNDUP((AVERAGE('Private Boats 2026 Target'!AC51:AC68)-$C$17),-2))</f>
        <v>614400</v>
      </c>
      <c r="D22" s="86" cm="1">
        <f t="array" ref="D22">ROUNDUP(C22,-4)</f>
        <v>620000</v>
      </c>
      <c r="E22" s="87" cm="1">
        <f t="array" ref="E22">D22*110%</f>
        <v>682000</v>
      </c>
      <c r="F22" s="95">
        <v>820000</v>
      </c>
      <c r="G22" s="89" cm="1">
        <f t="array" ref="G22">_xlfn.IFERROR((D22-F22),"not listed")</f>
        <v>-200000</v>
      </c>
      <c r="H22" s="90" cm="1">
        <f t="array" ref="H22">IF(A22="O",ROUND((F22+$F$17)/0.9-$F$17,-3),F22)</f>
        <v>2277000</v>
      </c>
      <c r="I22" s="90" cm="1">
        <f t="array" ref="I22">$F$17+F22</f>
        <v>13115000</v>
      </c>
      <c r="J22" s="71"/>
      <c r="K22" s="91" cm="1">
        <f t="array" ref="K22">$F$17+F22-VLOOKUP(B22,'Private Boats 2026 Target'!$C$2:$AN$1501,38,0)</f>
        <v>2744552.8423019</v>
      </c>
      <c r="L22" s="97" cm="1">
        <f t="array" ref="L22">K22/VLOOKUP(B22,'Private Boats 2026 Target'!$C$2:$AN$1501,38,0)</f>
        <v>0.264651350184508</v>
      </c>
      <c r="M22" s="97">
        <v>0.1</v>
      </c>
      <c r="N22" s="91" cm="1">
        <f t="array" ref="N22">ROUND(($F$17+F22)*M22,-3)</f>
        <v>1312000</v>
      </c>
      <c r="O22" s="71"/>
      <c r="P22" s="98" cm="1">
        <f t="array" ref="P22">($F$17+F22)/14500</f>
        <v>904.482758620690</v>
      </c>
      <c r="Q22" s="71"/>
      <c r="R22" s="92" cm="1">
        <f t="array" ref="R22">IF((C22-VLOOKUP(B22,'Private Boats 2026 Target'!$C$2:$AJ$714,32,0))&lt;0,0,(C22-VLOOKUP(B22,'Private Boats 2026 Target'!$C$2:$AJ$714,32,0)))</f>
        <v>0</v>
      </c>
      <c r="S22" s="16"/>
      <c r="T22" s="17"/>
      <c r="U22" s="17"/>
      <c r="V22" s="17"/>
      <c r="W22" s="17"/>
      <c r="X22" s="17"/>
      <c r="Y22" s="74"/>
      <c r="Z22" s="92" cm="1">
        <f t="array" ref="Z22">($F$17+F22+($E$89-$E$88)-200000)*0.95</f>
        <v>12544750</v>
      </c>
      <c r="AA22" s="16"/>
      <c r="AB22" s="18"/>
    </row>
    <row r="23" ht="15" customHeight="1">
      <c r="A23" t="s" s="99">
        <v>41</v>
      </c>
      <c r="B23" t="str" s="84" cm="1">
        <f t="array" ref="B23">'Boats Data Sheet 2025'!C24</f>
        <v>Lady Manta</v>
      </c>
      <c r="C23" s="94" cm="1">
        <f t="array" ref="C23">IF(ROUNDUP((AVERAGE('Shared Boats 2026 Target'!AD143:AD148)-$C$17),-2)&lt;0,0,ROUNDUP((AVERAGE('Shared Boats 2026 Target'!AD143:AD148)-$C$17),-2))</f>
        <v>0</v>
      </c>
      <c r="D23" s="86" cm="1">
        <f t="array" ref="D23">ROUNDUP(C23,-4)</f>
        <v>0</v>
      </c>
      <c r="E23" s="87" cm="1">
        <f t="array" ref="E23">D23*110%</f>
        <v>0</v>
      </c>
      <c r="F23" s="95">
        <v>1200000</v>
      </c>
      <c r="G23" s="89" cm="1">
        <f t="array" ref="G23">_xlfn.IFERROR((D23-F23),"not listed")</f>
        <v>-1200000</v>
      </c>
      <c r="H23" s="90" cm="1">
        <f t="array" ref="H23">IF(A23="O",ROUND((F23+$F$17)/0.9-$F$17,-3),F23)</f>
        <v>2699000</v>
      </c>
      <c r="I23" s="90" cm="1">
        <f t="array" ref="I23">$F$17+F23</f>
        <v>13495000</v>
      </c>
      <c r="J23" s="71"/>
      <c r="K23" s="91" cm="1">
        <f t="array" ref="K23">$F$17+F23-AVERAGE('Shared Boats 2026 Target'!Z143:AA148)</f>
        <v>5167952.60272147</v>
      </c>
      <c r="L23" s="97" cm="1">
        <f t="array" ref="L23">K23/AVERAGE('Shared Boats 2026 Target'!AA143:AA148)</f>
        <v>0.620622455494906</v>
      </c>
      <c r="M23" s="97">
        <v>0.1</v>
      </c>
      <c r="N23" s="91" cm="1">
        <f t="array" ref="N23">ROUND(($F$17+F23)*M23,-3)</f>
        <v>1350000</v>
      </c>
      <c r="O23" s="71"/>
      <c r="P23" s="98" cm="1">
        <f t="array" ref="P23">($F$17+F23)/14500</f>
        <v>930.6896551724139</v>
      </c>
      <c r="Q23" s="71"/>
      <c r="R23" s="92"/>
      <c r="S23" s="16"/>
      <c r="T23" s="17"/>
      <c r="U23" s="17"/>
      <c r="V23" s="17"/>
      <c r="W23" s="17"/>
      <c r="X23" s="17"/>
      <c r="Y23" s="74"/>
      <c r="Z23" s="92" cm="1">
        <f t="array" ref="Z23">($F$17+F23+($E$89-$E$88)-200000)*0.9</f>
        <v>12226500</v>
      </c>
      <c r="AA23" s="16"/>
      <c r="AB23" s="18"/>
    </row>
    <row r="24" ht="15" customHeight="1">
      <c r="A24" t="s" s="99">
        <v>41</v>
      </c>
      <c r="B24" t="str" s="93" cm="1">
        <f t="array" ref="B24">'Boats Data Sheet 2025'!C12</f>
        <v>Jayanadi</v>
      </c>
      <c r="C24" s="94" cm="1">
        <f t="array" ref="C24">IF(ROUNDUP((AVERAGE('Private Boats 2026 Target'!AC74:AC91)-$C$17),-2)&lt;0,0,ROUNDUP((AVERAGE('Private Boats 2026 Target'!AC74:AC91)-$C$17),-2))</f>
        <v>1894500</v>
      </c>
      <c r="D24" s="86" cm="1">
        <f t="array" ref="D24">13000000-D17</f>
        <v>705000</v>
      </c>
      <c r="E24" s="87" cm="1">
        <f t="array" ref="E24">D24*110%</f>
        <v>775500</v>
      </c>
      <c r="F24" s="95">
        <v>1835000</v>
      </c>
      <c r="G24" s="89" cm="1">
        <f t="array" ref="G24">_xlfn.IFERROR((D24-F24),"not listed")</f>
        <v>-1130000</v>
      </c>
      <c r="H24" s="90" cm="1">
        <f t="array" ref="H24">IF(A24="O",ROUND((F24+$F$17)/0.9-$F$17,-3),F24)</f>
        <v>3405000</v>
      </c>
      <c r="I24" s="90" cm="1">
        <f t="array" ref="I24">$F$17+F24</f>
        <v>14130000</v>
      </c>
      <c r="J24" s="71"/>
      <c r="K24" s="91" cm="1">
        <f t="array" ref="K24">$F$17+F24-VLOOKUP(B24,'Private Boats 2026 Target'!$C$2:$AN$1501,38,0)</f>
        <v>2739552.8423019</v>
      </c>
      <c r="L24" s="97" cm="1">
        <f t="array" ref="L24">K24/VLOOKUP(B24,'Private Boats 2026 Target'!$C$2:$AN$1501,38,0)</f>
        <v>0.24051319534461</v>
      </c>
      <c r="M24" s="97">
        <v>0.1</v>
      </c>
      <c r="N24" s="91" cm="1">
        <f t="array" ref="N24">ROUND(($F$17+F24)*M24,-3)</f>
        <v>1413000</v>
      </c>
      <c r="O24" s="71"/>
      <c r="P24" s="98" cm="1">
        <f t="array" ref="P24">($F$17+F24)/14500</f>
        <v>974.482758620690</v>
      </c>
      <c r="Q24" s="71"/>
      <c r="R24" s="92" cm="1">
        <f t="array" ref="R24">IF((C24-VLOOKUP(B24,'Private Boats 2026 Target'!$C$2:$AJ$714,32,0))&lt;0,0,(C24-VLOOKUP(B24,'Private Boats 2026 Target'!$C$2:$AJ$714,32,0)))</f>
        <v>36437.5</v>
      </c>
      <c r="S24" s="16"/>
      <c r="T24" s="17"/>
      <c r="U24" s="17"/>
      <c r="V24" s="17"/>
      <c r="W24" s="17"/>
      <c r="X24" s="17"/>
      <c r="Y24" s="74"/>
      <c r="Z24" s="92" cm="1">
        <f t="array" ref="Z24">($F$17+F24+($E$89-$E$88)-200000)*0.95</f>
        <v>13509000</v>
      </c>
      <c r="AA24" s="16"/>
      <c r="AB24" s="18"/>
    </row>
    <row r="25" ht="15" customHeight="1">
      <c r="A25" t="s" s="99">
        <v>41</v>
      </c>
      <c r="B25" t="str" s="93" cm="1">
        <f t="array" ref="B25">'Boats Data Sheet 2025'!C13</f>
        <v>Sea Dragon</v>
      </c>
      <c r="C25" s="94" cm="1">
        <f t="array" ref="C25">IF(ROUNDUP((AVERAGE('Private Boats 2026 Target'!AC97:AC114)-$C$17),-2)&lt;0,0,ROUNDUP((AVERAGE('Private Boats 2026 Target'!AC97:AC114)-$C$17),-2))</f>
        <v>614400</v>
      </c>
      <c r="D25" s="86" cm="1">
        <f t="array" ref="D25">ROUNDUP(C25,-4)</f>
        <v>620000</v>
      </c>
      <c r="E25" s="87" cm="1">
        <f t="array" ref="E25">D25*110%</f>
        <v>682000</v>
      </c>
      <c r="F25" s="95">
        <v>820000</v>
      </c>
      <c r="G25" s="89" cm="1">
        <f t="array" ref="G25">_xlfn.IFERROR((D25-F25),"not listed")</f>
        <v>-200000</v>
      </c>
      <c r="H25" s="90" cm="1">
        <f t="array" ref="H25">IF(A25="O",ROUND((F25+$F$17)/0.9-$F$17,-3),F25)</f>
        <v>2277000</v>
      </c>
      <c r="I25" s="90" cm="1">
        <f t="array" ref="I25">$F$17+F25</f>
        <v>13115000</v>
      </c>
      <c r="J25" s="71"/>
      <c r="K25" s="91" cm="1">
        <f t="array" ref="K25">$F$17+F25-VLOOKUP(B25,'Private Boats 2026 Target'!$C$2:$AN$1501,38,0)</f>
        <v>2744552.8423019</v>
      </c>
      <c r="L25" s="97" cm="1">
        <f t="array" ref="L25">K25/VLOOKUP(B25,'Private Boats 2026 Target'!$C$2:$AN$1501,38,0)</f>
        <v>0.264651350184508</v>
      </c>
      <c r="M25" s="97">
        <v>0.1</v>
      </c>
      <c r="N25" s="91" cm="1">
        <f t="array" ref="N25">ROUND(($F$17+F25)*M25,-3)</f>
        <v>1312000</v>
      </c>
      <c r="O25" s="71"/>
      <c r="P25" s="98" cm="1">
        <f t="array" ref="P25">($F$17+F25)/14500</f>
        <v>904.482758620690</v>
      </c>
      <c r="Q25" s="71"/>
      <c r="R25" s="92" cm="1">
        <f t="array" ref="R25">IF((C25-VLOOKUP(B25,'Private Boats 2026 Target'!$C$2:$AJ$714,32,0))&lt;0,0,(C25-VLOOKUP(B25,'Private Boats 2026 Target'!$C$2:$AJ$714,32,0)))</f>
        <v>0</v>
      </c>
      <c r="S25" s="16"/>
      <c r="T25" s="17"/>
      <c r="U25" s="17"/>
      <c r="V25" s="17"/>
      <c r="W25" s="17"/>
      <c r="X25" s="17"/>
      <c r="Y25" s="74"/>
      <c r="Z25" s="92" cm="1">
        <f t="array" ref="Z25">($F$17+F25+($E$89-$E$88)-200000)*0.95</f>
        <v>12544750</v>
      </c>
      <c r="AA25" s="16"/>
      <c r="AB25" s="18"/>
    </row>
    <row r="26" ht="15" customHeight="1">
      <c r="A26" t="s" s="99">
        <v>41</v>
      </c>
      <c r="B26" t="s" s="84">
        <v>48</v>
      </c>
      <c r="C26" s="94" cm="1">
        <f t="array" ref="C26">IF(ROUNDUP((AVERAGE('Private Boats 2026 Target'!AC916:AC933)-$C$17),-2)&lt;0,0,ROUNDUP((AVERAGE('Private Boats 2026 Target'!AC916:AC933)-$C$17),-2))</f>
        <v>3359500</v>
      </c>
      <c r="D26" s="86" cm="1">
        <f t="array" ref="D26">ROUNDUP(C26,-4)</f>
        <v>3360000</v>
      </c>
      <c r="E26" s="87" cm="1">
        <f t="array" ref="E26">D26*110%</f>
        <v>3696000</v>
      </c>
      <c r="F26" s="95">
        <v>4460000</v>
      </c>
      <c r="G26" s="89" cm="1">
        <f t="array" ref="G26">_xlfn.IFERROR((D26-F26),"not listed")</f>
        <v>-1100000</v>
      </c>
      <c r="H26" s="90" cm="1">
        <f t="array" ref="H26">IF(A26="O",ROUND((F26+$F$17)/0.9-$F$17,-3),F26)</f>
        <v>6322000</v>
      </c>
      <c r="I26" s="90" cm="1">
        <f t="array" ref="I26">$F$17+F26</f>
        <v>16755000</v>
      </c>
      <c r="J26" s="71"/>
      <c r="K26" s="91" cm="1">
        <f t="array" ref="K26">$F$17+F26-VLOOKUP(B26,'Private Boats 2026 Target'!$C$2:$AN$1501,38,0)</f>
        <v>4284719.5089685</v>
      </c>
      <c r="L26" s="97" cm="1">
        <f t="array" ref="L26">K26/VLOOKUP(B26,'Private Boats 2026 Target'!$C$2:$AN$1501,38,0)</f>
        <v>0.343594477449808</v>
      </c>
      <c r="M26" s="97">
        <v>0.1</v>
      </c>
      <c r="N26" s="91" cm="1">
        <f t="array" ref="N26">ROUND(($F$17+F26)*M26,-3)</f>
        <v>1676000</v>
      </c>
      <c r="O26" s="71"/>
      <c r="P26" s="98" cm="1">
        <f t="array" ref="P26">($F$17+F26)/14500</f>
        <v>1155.517241379310</v>
      </c>
      <c r="Q26" s="71"/>
      <c r="R26" s="92" cm="1">
        <f t="array" ref="R26">IF((C26-VLOOKUP(B26,'Private Boats 2026 Target'!$C$2:$AJ$714,32,0))&lt;0,0,(C26-VLOOKUP(B26,'Private Boats 2026 Target'!$C$2:$AJ$714,32,0)))</f>
      </c>
      <c r="S26" s="16"/>
      <c r="T26" s="17"/>
      <c r="U26" s="17"/>
      <c r="V26" s="17"/>
      <c r="W26" s="17"/>
      <c r="X26" s="17"/>
      <c r="Y26" s="74"/>
      <c r="Z26" s="92" cm="1">
        <f t="array" ref="Z26">($F$17+F26+($E$89-$E$88)-200000)*0.95</f>
        <v>16002750</v>
      </c>
      <c r="AA26" s="16"/>
      <c r="AB26" s="18"/>
    </row>
    <row r="27" ht="15" customHeight="1">
      <c r="A27" t="s" s="99">
        <v>41</v>
      </c>
      <c r="B27" t="s" s="84">
        <v>49</v>
      </c>
      <c r="C27" s="94" cm="1">
        <f t="array" ref="C27">IF(ROUNDUP((AVERAGE('Private Boats 2026 Target'!AC962:AC979)-$C$17),-2)&lt;0,0,ROUNDUP((AVERAGE('Private Boats 2026 Target'!AC962:AC979)-$C$17),-2))</f>
        <v>3359500</v>
      </c>
      <c r="D27" s="86" cm="1">
        <f t="array" ref="D27">ROUNDUP(C27,-4)</f>
        <v>3360000</v>
      </c>
      <c r="E27" s="87" cm="1">
        <f t="array" ref="E27">D27*110%</f>
        <v>3696000</v>
      </c>
      <c r="F27" s="95">
        <v>4460000</v>
      </c>
      <c r="G27" s="89" cm="1">
        <f t="array" ref="G27">_xlfn.IFERROR((D27-F27),"not listed")</f>
        <v>-1100000</v>
      </c>
      <c r="H27" s="90" cm="1">
        <f t="array" ref="H27">IF(A27="O",ROUND((F27+$F$17)/0.9-$F$17,-3),F27)</f>
        <v>6322000</v>
      </c>
      <c r="I27" s="90" cm="1">
        <f t="array" ref="I27">$F$17+F27</f>
        <v>16755000</v>
      </c>
      <c r="J27" s="71"/>
      <c r="K27" s="91" cm="1">
        <f t="array" ref="K27">$F$17+F27-VLOOKUP(B27,'Private Boats 2026 Target'!$C$2:$AN$1501,38,0)</f>
        <v>4284719.5089685</v>
      </c>
      <c r="L27" s="97" cm="1">
        <f t="array" ref="L27">K27/VLOOKUP(B27,'Private Boats 2026 Target'!$C$2:$AN$1501,38,0)</f>
        <v>0.343594477449808</v>
      </c>
      <c r="M27" s="97">
        <v>0.1</v>
      </c>
      <c r="N27" s="91" cm="1">
        <f t="array" ref="N27">ROUND(($F$17+F27)*M27,-3)</f>
        <v>1676000</v>
      </c>
      <c r="O27" s="71"/>
      <c r="P27" s="98" cm="1">
        <f t="array" ref="P27">($F$17+F27)/14500</f>
        <v>1155.517241379310</v>
      </c>
      <c r="Q27" s="71"/>
      <c r="R27" s="92" cm="1">
        <f t="array" ref="R27">IF((C27-VLOOKUP(B27,'Private Boats 2026 Target'!$C$2:$AJ$714,32,0))&lt;0,0,(C27-VLOOKUP(B27,'Private Boats 2026 Target'!$C$2:$AJ$714,32,0)))</f>
      </c>
      <c r="S27" s="16"/>
      <c r="T27" s="17"/>
      <c r="U27" s="17"/>
      <c r="V27" s="17"/>
      <c r="W27" s="17"/>
      <c r="X27" s="17"/>
      <c r="Y27" s="74"/>
      <c r="Z27" s="92" cm="1">
        <f t="array" ref="Z27">($F$17+F27+($E$89-$E$88)-200000)*0.95</f>
        <v>16002750</v>
      </c>
      <c r="AA27" s="16"/>
      <c r="AB27" s="18"/>
    </row>
    <row r="28" ht="14.4" customHeight="1">
      <c r="A28" t="s" s="99">
        <v>41</v>
      </c>
      <c r="B28" t="s" s="84">
        <v>50</v>
      </c>
      <c r="C28" s="94" cm="1">
        <f t="array" ref="C28">IF(ROUNDUP((AVERAGE('Private Boats 2026 Target'!AC1008:AC1025)-$C$17),-2)&lt;0,0,ROUNDUP((AVERAGE('Private Boats 2026 Target'!AC1008:AC1025)-$C$17),-2))</f>
        <v>1085000</v>
      </c>
      <c r="D28" s="86" cm="1">
        <f t="array" ref="D28">ROUNDUP(C28,-4)</f>
        <v>1090000</v>
      </c>
      <c r="E28" s="87" cm="1">
        <f t="array" ref="E28">D28*110%</f>
        <v>1199000</v>
      </c>
      <c r="F28" s="95">
        <v>4160000</v>
      </c>
      <c r="G28" s="89" cm="1">
        <f t="array" ref="G28">_xlfn.IFERROR((D28-F28),"not listed")</f>
        <v>-3070000</v>
      </c>
      <c r="H28" s="90" cm="1">
        <f t="array" ref="H28">IF(A28="O",ROUND((F28+$F$17)/0.9-$F$17,-3),F28)</f>
        <v>5988000</v>
      </c>
      <c r="I28" s="90" cm="1">
        <f t="array" ref="I28">$F$17+F28</f>
        <v>16455000</v>
      </c>
      <c r="J28" s="71"/>
      <c r="K28" s="91" cm="1">
        <f t="array" ref="K28">$F$17+F28-VLOOKUP(B28,'Private Boats 2026 Target'!$C$2:$AN$1501,38,0)</f>
        <v>5797112.5608204</v>
      </c>
      <c r="L28" s="97" cm="1">
        <f t="array" ref="L28">K28/VLOOKUP(B28,'Private Boats 2026 Target'!$C$2:$AN$1501,38,0)</f>
        <v>0.5439269830819899</v>
      </c>
      <c r="M28" s="97">
        <v>0.1</v>
      </c>
      <c r="N28" s="91" cm="1">
        <f t="array" ref="N28">ROUND(($F$17+F28)*M28,-3)</f>
        <v>1646000</v>
      </c>
      <c r="O28" s="71"/>
      <c r="P28" s="98" cm="1">
        <f t="array" ref="P28">($F$17+F28)/14500</f>
        <v>1134.8275862069</v>
      </c>
      <c r="Q28" s="71"/>
      <c r="R28" s="92" cm="1">
        <f t="array" ref="R28">IF((C28-VLOOKUP(B28,'Private Boats 2026 Target'!$C$2:$AJ$714,32,0))&lt;0,0,(C28-VLOOKUP(B28,'Private Boats 2026 Target'!$C$2:$AJ$714,32,0)))</f>
      </c>
      <c r="S28" s="16"/>
      <c r="T28" s="17"/>
      <c r="U28" s="17"/>
      <c r="V28" s="17"/>
      <c r="W28" s="17"/>
      <c r="X28" s="17"/>
      <c r="Y28" s="74"/>
      <c r="Z28" s="92" cm="1">
        <f t="array" ref="Z28">($F$17+F28+($E$89-$E$88)-200000)*0.9</f>
        <v>14890500</v>
      </c>
      <c r="AA28" s="16"/>
      <c r="AB28" s="18"/>
    </row>
    <row r="29" ht="14.4" customHeight="1">
      <c r="A29" t="s" s="99">
        <v>41</v>
      </c>
      <c r="B29" t="s" s="84">
        <v>51</v>
      </c>
      <c r="C29" s="94" cm="1">
        <f t="array" ref="C29">IF(ROUNDUP((AVERAGE('Private Boats 2026 Target'!AC1031:AC1048)-$C$17),-2)&lt;0,0,ROUNDUP((AVERAGE('Private Boats 2026 Target'!AC1031:AC1048)-$C$17),-2))</f>
        <v>1085000</v>
      </c>
      <c r="D29" s="86" cm="1">
        <f t="array" ref="D29">ROUNDUP(C29,-4)</f>
        <v>1090000</v>
      </c>
      <c r="E29" s="87" cm="1">
        <f t="array" ref="E29">D29*110%</f>
        <v>1199000</v>
      </c>
      <c r="F29" s="95">
        <v>4160000</v>
      </c>
      <c r="G29" s="89" cm="1">
        <f t="array" ref="G29">_xlfn.IFERROR((D29-F29),"not listed")</f>
        <v>-3070000</v>
      </c>
      <c r="H29" s="90" cm="1">
        <f t="array" ref="H29">IF(A29="O",ROUND((F29+$F$17)/0.9-$F$17,-3),F29)</f>
        <v>5988000</v>
      </c>
      <c r="I29" s="90" cm="1">
        <f t="array" ref="I29">$F$17+F29</f>
        <v>16455000</v>
      </c>
      <c r="J29" s="71"/>
      <c r="K29" s="91" cm="1">
        <f t="array" ref="K29">$F$17+F29-VLOOKUP(B29,'Private Boats 2026 Target'!$C$2:$AN$1501,38,0)</f>
        <v>5797112.5608204</v>
      </c>
      <c r="L29" s="97" cm="1">
        <f t="array" ref="L29">K29/VLOOKUP(B29,'Private Boats 2026 Target'!$C$2:$AN$1501,38,0)</f>
        <v>0.5439269830819899</v>
      </c>
      <c r="M29" s="97">
        <v>0.1</v>
      </c>
      <c r="N29" s="91" cm="1">
        <f t="array" ref="N29">ROUND(($F$17+F29)*M29,-3)</f>
        <v>1646000</v>
      </c>
      <c r="O29" s="71"/>
      <c r="P29" s="98" cm="1">
        <f t="array" ref="P29">($F$17+F29)/14500</f>
        <v>1134.8275862069</v>
      </c>
      <c r="Q29" s="71"/>
      <c r="R29" s="92" cm="1">
        <f t="array" ref="R29">IF((C29-VLOOKUP(B29,'Private Boats 2026 Target'!$C$2:$AJ$714,32,0))&lt;0,0,(C29-VLOOKUP(B29,'Private Boats 2026 Target'!$C$2:$AJ$714,32,0)))</f>
      </c>
      <c r="S29" s="16"/>
      <c r="T29" s="17"/>
      <c r="U29" s="17"/>
      <c r="V29" s="17"/>
      <c r="W29" s="17"/>
      <c r="X29" s="17"/>
      <c r="Y29" s="74"/>
      <c r="Z29" s="92" cm="1">
        <f t="array" ref="Z29">($F$17+F29+($E$89-$E$88)-200000)*0.9</f>
        <v>14890500</v>
      </c>
      <c r="AA29" s="16"/>
      <c r="AB29" s="18"/>
    </row>
    <row r="30" ht="15" customHeight="1">
      <c r="A30" t="s" s="99">
        <v>41</v>
      </c>
      <c r="B30" t="s" s="84">
        <v>52</v>
      </c>
      <c r="C30" s="94" cm="1">
        <f t="array" ref="C30">IF(ROUNDUP((AVERAGE('Private Boats 2026 Target'!AC1054:AC1071)-$C$17),-2)&lt;0,0,ROUNDUP((AVERAGE('Private Boats 2026 Target'!AC1054:AC1071)-$C$17),-2))</f>
        <v>745700</v>
      </c>
      <c r="D30" s="86" cm="1">
        <f t="array" ref="D30">ROUNDUP(C30,-4)</f>
        <v>750000</v>
      </c>
      <c r="E30" s="87" cm="1">
        <f t="array" ref="E30">D30*110%</f>
        <v>825000</v>
      </c>
      <c r="F30" s="95">
        <v>4160000</v>
      </c>
      <c r="G30" s="89" cm="1">
        <f t="array" ref="G30">_xlfn.IFERROR((D30-F30),"not listed")</f>
        <v>-3410000</v>
      </c>
      <c r="H30" s="90" cm="1">
        <f t="array" ref="H30">IF(A30="O",ROUND((F30+$F$17)/0.9-$F$17,-3),F30)</f>
        <v>5988000</v>
      </c>
      <c r="I30" s="90" cm="1">
        <f t="array" ref="I30">$F$17+F30</f>
        <v>16455000</v>
      </c>
      <c r="J30" s="71"/>
      <c r="K30" s="91" cm="1">
        <f t="array" ref="K30">$F$17+F30-VLOOKUP(B30,'Private Boats 2026 Target'!$C$2:$AN$1501,38,0)</f>
        <v>6067457.3964685</v>
      </c>
      <c r="L30" s="97" cm="1">
        <f t="array" ref="L30">K30/VLOOKUP(B30,'Private Boats 2026 Target'!$C$2:$AN$1501,38,0)</f>
        <v>0.584109026364495</v>
      </c>
      <c r="M30" s="97">
        <v>0.1</v>
      </c>
      <c r="N30" s="91" cm="1">
        <f t="array" ref="N30">ROUND(($F$17+F30)*M30,-3)</f>
        <v>1646000</v>
      </c>
      <c r="O30" s="71"/>
      <c r="P30" s="98" cm="1">
        <f t="array" ref="P30">($F$17+F30)/14500</f>
        <v>1134.8275862069</v>
      </c>
      <c r="Q30" s="71"/>
      <c r="R30" s="92" cm="1">
        <f t="array" ref="R30">IF((C30-VLOOKUP(B30,'Private Boats 2026 Target'!$C$2:$AJ$714,32,0))&lt;0,0,(C30-VLOOKUP(B30,'Private Boats 2026 Target'!$C$2:$AJ$714,32,0)))</f>
      </c>
      <c r="S30" s="16"/>
      <c r="T30" s="17"/>
      <c r="U30" s="17"/>
      <c r="V30" s="17"/>
      <c r="W30" s="17"/>
      <c r="X30" s="17"/>
      <c r="Y30" s="74"/>
      <c r="Z30" s="92" cm="1">
        <f t="array" ref="Z30">($F$17+F30+($E$89-$E$88)-200000)*0.9</f>
        <v>14890500</v>
      </c>
      <c r="AA30" s="16"/>
      <c r="AB30" s="18"/>
    </row>
    <row r="31" ht="15" customHeight="1">
      <c r="A31" t="s" s="99">
        <v>41</v>
      </c>
      <c r="B31" t="s" s="84">
        <v>53</v>
      </c>
      <c r="C31" s="94" cm="1">
        <f t="array" ref="C31">IF(ROUNDUP((AVERAGE('Private Boats 2026 Target'!AC1077:AC1094)-$C$17),-2)&lt;0,0,ROUNDUP((AVERAGE('Private Boats 2026 Target'!AC1100:AC1117)-$C$17),-2))</f>
        <v>986400</v>
      </c>
      <c r="D31" s="86" cm="1">
        <f t="array" ref="D31">ROUNDUP(C31,-4)</f>
        <v>990000</v>
      </c>
      <c r="E31" s="87" cm="1">
        <f t="array" ref="E31">D31*110%</f>
        <v>1089000</v>
      </c>
      <c r="F31" s="95">
        <v>4160000</v>
      </c>
      <c r="G31" s="89" cm="1">
        <f t="array" ref="G31">_xlfn.IFERROR((D31-F31),"not listed")</f>
        <v>-3170000</v>
      </c>
      <c r="H31" s="90" cm="1">
        <f t="array" ref="H31">IF(A31="O",ROUND((F31+$F$17)/0.9-$F$17,-3),F31)</f>
        <v>5988000</v>
      </c>
      <c r="I31" s="90" cm="1">
        <f t="array" ref="I31">$F$17+F31</f>
        <v>16455000</v>
      </c>
      <c r="J31" s="71"/>
      <c r="K31" s="91" cm="1">
        <f t="array" ref="K31">$F$17+F31-VLOOKUP(B31,'Private Boats 2026 Target'!$C$2:$AN$1501,38,0)</f>
        <v>5875612.9647825</v>
      </c>
      <c r="L31" s="97" cm="1">
        <f t="array" ref="L31">K31/VLOOKUP(B31,'Private Boats 2026 Target'!$C$2:$AN$1501,38,0)</f>
        <v>0.555383118627128</v>
      </c>
      <c r="M31" s="97">
        <v>0.1</v>
      </c>
      <c r="N31" s="91" cm="1">
        <f t="array" ref="N31">ROUND(($F$17+F31)*M31,-3)</f>
        <v>1646000</v>
      </c>
      <c r="O31" s="71"/>
      <c r="P31" s="98" cm="1">
        <f t="array" ref="P31">($F$17+F31)/14500</f>
        <v>1134.8275862069</v>
      </c>
      <c r="Q31" s="71"/>
      <c r="R31" s="92" cm="1">
        <f t="array" ref="R31">IF((C31-VLOOKUP(B31,'Private Boats 2026 Target'!$C$2:$AJ$714,32,0))&lt;0,0,(C31-VLOOKUP(B31,'Private Boats 2026 Target'!$C$2:$AJ$714,32,0)))</f>
      </c>
      <c r="S31" s="16"/>
      <c r="T31" s="17"/>
      <c r="U31" s="17"/>
      <c r="V31" s="17"/>
      <c r="W31" s="17"/>
      <c r="X31" s="17"/>
      <c r="Y31" s="74"/>
      <c r="Z31" s="92" cm="1">
        <f t="array" ref="Z31">($F$17+F31+($E$89-$E$88)-200000)*0.9</f>
        <v>14890500</v>
      </c>
      <c r="AA31" s="16"/>
      <c r="AB31" s="18"/>
    </row>
    <row r="32" ht="15" customHeight="1">
      <c r="A32" t="s" s="99">
        <v>41</v>
      </c>
      <c r="B32" t="s" s="84">
        <v>54</v>
      </c>
      <c r="C32" s="94" cm="1">
        <f t="array" ref="C32">IF(ROUNDUP((AVERAGE('Private Boats 2026 Target'!AC1100:AC1117)-$C$17),-2)&lt;0,0,ROUNDUP((AVERAGE('Private Boats 2026 Target'!AC1100:AC1117)-$C$17),-2))</f>
        <v>986400</v>
      </c>
      <c r="D32" s="86" cm="1">
        <f t="array" ref="D32">ROUNDUP(C32,-4)</f>
        <v>990000</v>
      </c>
      <c r="E32" s="87" cm="1">
        <f t="array" ref="E32">D32*110%</f>
        <v>1089000</v>
      </c>
      <c r="F32" s="95">
        <v>4160000</v>
      </c>
      <c r="G32" s="89" cm="1">
        <f t="array" ref="G32">_xlfn.IFERROR((D32-F32),"not listed")</f>
        <v>-3170000</v>
      </c>
      <c r="H32" s="90" cm="1">
        <f t="array" ref="H32">IF(A32="O",ROUND((F32+$F$17)/0.9-$F$17,-3),F32)</f>
        <v>5988000</v>
      </c>
      <c r="I32" s="90" cm="1">
        <f t="array" ref="I32">$F$17+F32</f>
        <v>16455000</v>
      </c>
      <c r="J32" s="71"/>
      <c r="K32" s="91" cm="1">
        <f t="array" ref="K32">$F$17+F32-VLOOKUP(B32,'Private Boats 2026 Target'!$C$2:$AN$1501,38,0)</f>
        <v>5875612.9647825</v>
      </c>
      <c r="L32" s="97" cm="1">
        <f t="array" ref="L32">K32/VLOOKUP(B32,'Private Boats 2026 Target'!$C$2:$AN$1501,38,0)</f>
        <v>0.555383118627128</v>
      </c>
      <c r="M32" s="97">
        <v>0.1</v>
      </c>
      <c r="N32" s="91" cm="1">
        <f t="array" ref="N32">ROUND(($F$17+F32)*M32,-3)</f>
        <v>1646000</v>
      </c>
      <c r="O32" s="71"/>
      <c r="P32" s="98" cm="1">
        <f t="array" ref="P32">($F$17+F32)/14500</f>
        <v>1134.8275862069</v>
      </c>
      <c r="Q32" s="71"/>
      <c r="R32" s="92" cm="1">
        <f t="array" ref="R32">IF((C32-VLOOKUP(B32,'Private Boats 2026 Target'!$C$2:$AJ$714,32,0))&lt;0,0,(C32-VLOOKUP(B32,'Private Boats 2026 Target'!$C$2:$AJ$714,32,0)))</f>
      </c>
      <c r="S32" s="16"/>
      <c r="T32" s="17"/>
      <c r="U32" s="17"/>
      <c r="V32" s="17"/>
      <c r="W32" s="17"/>
      <c r="X32" s="17"/>
      <c r="Y32" s="74"/>
      <c r="Z32" s="92" cm="1">
        <f t="array" ref="Z32">($F$17+F32+($E$89-$E$88)-200000)*0.9</f>
        <v>14890500</v>
      </c>
      <c r="AA32" s="16"/>
      <c r="AB32" s="18"/>
    </row>
    <row r="33" ht="15" customHeight="1">
      <c r="A33" t="s" s="99">
        <v>41</v>
      </c>
      <c r="B33" t="s" s="84">
        <v>55</v>
      </c>
      <c r="C33" s="94" cm="1">
        <f t="array" ref="C33">IF(ROUNDUP((AVERAGE('Private Boats 2026 Target'!AC1123:AC1140)-$C$17),-2)&lt;0,0,ROUNDUP((AVERAGE('Private Boats 2026 Target'!AC1123:AC1140)-$C$17),-2))</f>
        <v>1431200</v>
      </c>
      <c r="D33" s="86" cm="1">
        <f t="array" ref="D33">ROUNDUP(C33,-4)</f>
        <v>1440000</v>
      </c>
      <c r="E33" s="87" cm="1">
        <f t="array" ref="E33">D33*110%</f>
        <v>1584000</v>
      </c>
      <c r="F33" s="95">
        <v>4160000</v>
      </c>
      <c r="G33" s="89" cm="1">
        <f t="array" ref="G33">_xlfn.IFERROR((D33-F33),"not listed")</f>
        <v>-2720000</v>
      </c>
      <c r="H33" s="90" cm="1">
        <f t="array" ref="H33">IF(A33="O",ROUND((F33+$F$17)/0.9-$F$17,-3),F33)</f>
        <v>5988000</v>
      </c>
      <c r="I33" s="90" cm="1">
        <f t="array" ref="I33">$F$17+F33</f>
        <v>16455000</v>
      </c>
      <c r="J33" s="71"/>
      <c r="K33" s="91" cm="1">
        <f t="array" ref="K33">$F$17+F33-VLOOKUP(B33,'Private Boats 2026 Target'!$C$2:$AN$1501,38,0)</f>
        <v>5521186.6348945</v>
      </c>
      <c r="L33" s="97" cm="1">
        <f t="array" ref="L33">K33/VLOOKUP(B33,'Private Boats 2026 Target'!$C$2:$AN$1501,38,0)</f>
        <v>0.504964411823141</v>
      </c>
      <c r="M33" s="97">
        <v>0.1</v>
      </c>
      <c r="N33" s="91" cm="1">
        <f t="array" ref="N33">ROUND(($F$17+F33)*M33,-3)</f>
        <v>1646000</v>
      </c>
      <c r="O33" s="71"/>
      <c r="P33" s="98" cm="1">
        <f t="array" ref="P33">($F$17+F33)/14500</f>
        <v>1134.8275862069</v>
      </c>
      <c r="Q33" s="71"/>
      <c r="R33" s="92" cm="1">
        <f t="array" ref="R33">IF((C33-VLOOKUP(B33,'Private Boats 2026 Target'!$C$2:$AJ$714,32,0))&lt;0,0,(C33-VLOOKUP(B33,'Private Boats 2026 Target'!$C$2:$AJ$714,32,0)))</f>
      </c>
      <c r="S33" s="16"/>
      <c r="T33" s="17"/>
      <c r="U33" s="17"/>
      <c r="V33" s="17"/>
      <c r="W33" s="17"/>
      <c r="X33" s="17"/>
      <c r="Y33" s="74"/>
      <c r="Z33" s="92" cm="1">
        <f t="array" ref="Z33">($F$17+F33+($E$89-$E$88)-200000)*0.9</f>
        <v>14890500</v>
      </c>
      <c r="AA33" s="16"/>
      <c r="AB33" s="18"/>
    </row>
    <row r="34" ht="15" customHeight="1">
      <c r="A34" s="12"/>
      <c r="B34" t="s" s="84">
        <v>56</v>
      </c>
      <c r="C34" s="94" cm="1">
        <f t="array" ref="C34">IF(ROUNDUP((AVERAGE('Private Boats 2026 Target'!AC1286:AC1303)-$C$17),-2)&lt;0,0,ROUNDUP((AVERAGE('Private Boats 2026 Target'!AC1286:AC1303)-$C$17),-2))</f>
        <v>4438800</v>
      </c>
      <c r="D34" s="86" cm="1">
        <f t="array" ref="D34">ROUNDUP(C34,-4)</f>
        <v>4440000</v>
      </c>
      <c r="E34" s="87" cm="1">
        <f t="array" ref="E34">D34*110%</f>
        <v>4884000</v>
      </c>
      <c r="F34" s="95">
        <v>4160000</v>
      </c>
      <c r="G34" s="89" cm="1">
        <f t="array" ref="G34">_xlfn.IFERROR((D34-F34),"not listed")</f>
        <v>280000</v>
      </c>
      <c r="H34" s="90" cm="1">
        <f t="array" ref="H34">IF(A34="O",ROUND((F34+$F$17)/0.9-$F$17,-3),F34)</f>
        <v>4160000</v>
      </c>
      <c r="I34" s="90" cm="1">
        <f t="array" ref="I34">$F$17+F34</f>
        <v>16455000</v>
      </c>
      <c r="J34" s="71"/>
      <c r="K34" s="91" cm="1">
        <f t="array" ref="K34">$F$17+F34-VLOOKUP(B34,'Private Boats 2026 Target'!$C$2:$AN$1501,38,0)</f>
        <v>3124719.5089686</v>
      </c>
      <c r="L34" s="97" cm="1">
        <f t="array" ref="L34">K34/VLOOKUP(B34,'Private Boats 2026 Target'!$C$2:$AN$1501,38,0)</f>
        <v>0.234407633888192</v>
      </c>
      <c r="M34" s="97">
        <v>0.1</v>
      </c>
      <c r="N34" s="91" cm="1">
        <f t="array" ref="N34">ROUND(($F$17+F34)*M34,-3)</f>
        <v>1646000</v>
      </c>
      <c r="O34" s="71"/>
      <c r="P34" s="98" cm="1">
        <f t="array" ref="P34">($F$17+F34)/14500</f>
        <v>1134.8275862069</v>
      </c>
      <c r="Q34" s="71"/>
      <c r="R34" s="92" cm="1">
        <f t="array" ref="R34">IF((C34-VLOOKUP(B34,'Private Boats 2026 Target'!$C$2:$AJ$714,32,0))&lt;0,0,(C34-VLOOKUP(B34,'Private Boats 2026 Target'!$C$2:$AJ$714,32,0)))</f>
      </c>
      <c r="S34" s="16"/>
      <c r="T34" s="17"/>
      <c r="U34" s="17"/>
      <c r="V34" s="17"/>
      <c r="W34" s="17"/>
      <c r="X34" s="17"/>
      <c r="Y34" s="74"/>
      <c r="Z34" s="92" cm="1">
        <f t="array" ref="Z34">($F$17+F34+($E$89-$E$88)-200000)*0.9</f>
        <v>14890500</v>
      </c>
      <c r="AA34" s="16"/>
      <c r="AB34" s="18"/>
    </row>
    <row r="35" ht="15" customHeight="1">
      <c r="A35" s="12"/>
      <c r="B35" t="s" s="84">
        <v>57</v>
      </c>
      <c r="C35" s="94" cm="1">
        <f t="array" ref="C35">IF(ROUNDUP((AVERAGE('Private Boats 2026 Target'!AC1309:AC1326)-$C$17),-2)&lt;0,0,ROUNDUP((AVERAGE('Private Boats 2026 Target'!AC1309:AC1326)-$C$17),-2))</f>
        <v>4438800</v>
      </c>
      <c r="D35" s="86" cm="1">
        <f t="array" ref="D35">ROUNDUP(C35,-4)</f>
        <v>4440000</v>
      </c>
      <c r="E35" s="87" cm="1">
        <f t="array" ref="E35">D35*110%</f>
        <v>4884000</v>
      </c>
      <c r="F35" s="95">
        <v>4160000</v>
      </c>
      <c r="G35" s="89" cm="1">
        <f t="array" ref="G35">_xlfn.IFERROR((D35-F35),"not listed")</f>
        <v>280000</v>
      </c>
      <c r="H35" s="90" cm="1">
        <f t="array" ref="H35">IF(A35="O",ROUND((F35+$F$17)/0.9-$F$17,-3),F35)</f>
        <v>4160000</v>
      </c>
      <c r="I35" s="90" cm="1">
        <f t="array" ref="I35">$F$17+F35</f>
        <v>16455000</v>
      </c>
      <c r="J35" s="71"/>
      <c r="K35" s="91" cm="1">
        <f t="array" ref="K35">$F$17+F35-VLOOKUP(B35,'Private Boats 2026 Target'!$C$2:$AN$1501,38,0)</f>
        <v>3124719.5089686</v>
      </c>
      <c r="L35" s="97" cm="1">
        <f t="array" ref="L35">K35/VLOOKUP(B35,'Private Boats 2026 Target'!$C$2:$AN$1501,38,0)</f>
        <v>0.234407633888192</v>
      </c>
      <c r="M35" s="97">
        <v>0.1</v>
      </c>
      <c r="N35" s="91" cm="1">
        <f t="array" ref="N35">ROUND(($F$17+F35)*M35,-3)</f>
        <v>1646000</v>
      </c>
      <c r="O35" s="71"/>
      <c r="P35" s="98" cm="1">
        <f t="array" ref="P35">($F$17+F35)/14500</f>
        <v>1134.8275862069</v>
      </c>
      <c r="Q35" s="71"/>
      <c r="R35" s="92" cm="1">
        <f t="array" ref="R35">IF((C35-VLOOKUP(B35,'Private Boats 2026 Target'!$C$2:$AJ$714,32,0))&lt;0,0,(C35-VLOOKUP(B35,'Private Boats 2026 Target'!$C$2:$AJ$714,32,0)))</f>
      </c>
      <c r="S35" s="16"/>
      <c r="T35" s="17"/>
      <c r="U35" s="17"/>
      <c r="V35" s="17"/>
      <c r="W35" s="17"/>
      <c r="X35" s="17"/>
      <c r="Y35" s="74"/>
      <c r="Z35" s="92" cm="1">
        <f t="array" ref="Z35">($F$17+F35+($E$89-$E$88)-200000)*0.9</f>
        <v>14890500</v>
      </c>
      <c r="AA35" s="16"/>
      <c r="AB35" s="18"/>
    </row>
    <row r="36" ht="15" customHeight="1">
      <c r="A36" s="12"/>
      <c r="B36" t="s" s="84">
        <v>58</v>
      </c>
      <c r="C36" s="94" cm="1">
        <f t="array" ref="C36">IF(ROUNDUP((AVERAGE('Private Boats 2026 Target'!AC1263:AC1280)-$C$17),-2)&lt;0,0,ROUNDUP((AVERAGE('Private Boats 2026 Target'!AC1263:AC1280)-$C$17),-2))</f>
        <v>0</v>
      </c>
      <c r="D36" s="86" cm="1">
        <f t="array" ref="D36">ROUNDUP(C36,-4)</f>
        <v>0</v>
      </c>
      <c r="E36" s="87" cm="1">
        <f t="array" ref="E36">D36*110%</f>
        <v>0</v>
      </c>
      <c r="F36" s="95">
        <v>4160000</v>
      </c>
      <c r="G36" s="89" cm="1">
        <f t="array" ref="G36">_xlfn.IFERROR((D36-F36),"not listed")</f>
        <v>-4160000</v>
      </c>
      <c r="H36" s="90" cm="1">
        <f t="array" ref="H36">IF(A36="O",ROUND((F36+$F$17)/0.9-$F$17,-3),F36)</f>
        <v>4160000</v>
      </c>
      <c r="I36" s="90" cm="1">
        <f t="array" ref="I36">$F$17+F36</f>
        <v>16455000</v>
      </c>
      <c r="J36" s="71"/>
      <c r="K36" s="91" cm="1">
        <f t="array" ref="K36">$F$17+F36-VLOOKUP(B36,'Private Boats 2026 Target'!$C$2:$AN$1501,38,0)</f>
        <v>6847319.50896855</v>
      </c>
      <c r="L36" s="97" cm="1">
        <f t="array" ref="L36">K36/VLOOKUP(B36,'Private Boats 2026 Target'!$C$2:$AN$1501,38,0)</f>
        <v>0.712692258590444</v>
      </c>
      <c r="M36" s="97">
        <v>0.1</v>
      </c>
      <c r="N36" s="91" cm="1">
        <f t="array" ref="N36">ROUND(($F$17+F36)*M36,-3)</f>
        <v>1646000</v>
      </c>
      <c r="O36" s="71"/>
      <c r="P36" s="98" cm="1">
        <f t="array" ref="P36">($F$17+F36)/14500</f>
        <v>1134.8275862069</v>
      </c>
      <c r="Q36" s="71"/>
      <c r="R36" s="92" cm="1">
        <f t="array" ref="R36">IF((C36-VLOOKUP(B36,'Private Boats 2026 Target'!$C$2:$AJ$714,32,0))&lt;0,0,(C36-VLOOKUP(B36,'Private Boats 2026 Target'!$C$2:$AJ$714,32,0)))</f>
      </c>
      <c r="S36" s="16"/>
      <c r="T36" s="17"/>
      <c r="U36" s="17"/>
      <c r="V36" s="17"/>
      <c r="W36" s="17"/>
      <c r="X36" s="17"/>
      <c r="Y36" s="74"/>
      <c r="Z36" s="92" cm="1">
        <f t="array" ref="Z36">($F$17+F36+($E$89-$E$88)-200000)*0.9</f>
        <v>14890500</v>
      </c>
      <c r="AA36" s="16"/>
      <c r="AB36" s="18"/>
    </row>
    <row r="37" ht="15" customHeight="1">
      <c r="A37" t="s" s="99">
        <v>59</v>
      </c>
      <c r="B37" t="str" s="100" cm="1">
        <f t="array" ref="B37">'Boats Data Sheet 2025'!C19</f>
        <v>Seven Heaven</v>
      </c>
      <c r="C37" s="101" cm="1">
        <f t="array" ref="C37">IF(ROUNDUP((AVERAGE('Private Boats 2026 Target'!AC120:AC139)-$C$17),-2)&lt;0,0,ROUNDUP((AVERAGE('Private Boats 2026 Target'!AC120:AC139)-$C$17),-2))</f>
        <v>2304300</v>
      </c>
      <c r="D37" s="101" cm="1">
        <f t="array" ref="D37">26000000-D17</f>
        <v>13705000</v>
      </c>
      <c r="E37" s="102" cm="1">
        <f t="array" ref="E37">D37*110%</f>
        <v>15075500</v>
      </c>
      <c r="F37" t="s" s="103">
        <v>61</v>
      </c>
      <c r="G37" t="s" s="103">
        <v>61</v>
      </c>
      <c r="H37" t="s" s="103">
        <v>61</v>
      </c>
      <c r="I37" t="s" s="103">
        <v>61</v>
      </c>
      <c r="J37" s="71"/>
      <c r="K37" t="s" s="103">
        <v>61</v>
      </c>
      <c r="L37" t="s" s="103">
        <v>61</v>
      </c>
      <c r="M37" t="s" s="103">
        <v>61</v>
      </c>
      <c r="N37" t="s" s="103">
        <v>61</v>
      </c>
      <c r="O37" s="71"/>
      <c r="P37" t="s" s="104">
        <v>61</v>
      </c>
      <c r="Q37" s="71"/>
      <c r="R37" t="s" s="104">
        <v>61</v>
      </c>
      <c r="S37" s="16"/>
      <c r="T37" s="17"/>
      <c r="U37" s="17"/>
      <c r="V37" s="17"/>
      <c r="W37" s="17"/>
      <c r="X37" s="17"/>
      <c r="Y37" s="74"/>
      <c r="Z37" s="92"/>
      <c r="AA37" s="16"/>
      <c r="AB37" s="18"/>
    </row>
    <row r="38" ht="15" customHeight="1">
      <c r="A38" t="s" s="99">
        <v>59</v>
      </c>
      <c r="B38" t="str" s="100" cm="1">
        <f t="array" ref="B38">'Boats Data Sheet 2025'!C20</f>
        <v>Mironia</v>
      </c>
      <c r="C38" s="101" cm="1">
        <f t="array" ref="C38">IF(ROUNDUP((AVERAGE('Private Boats 2026 Target'!AC145:AC162)-$C$17),-2)&lt;0,0,ROUNDUP((AVERAGE('Private Boats 2026 Target'!AC145:AC162)-$C$17),-2))</f>
        <v>4908400</v>
      </c>
      <c r="D38" s="101" cm="1">
        <f t="array" ref="D38">ROUNDUP(C38,-4)</f>
        <v>4910000</v>
      </c>
      <c r="E38" s="102" cm="1">
        <f t="array" ref="E38">D38*110%</f>
        <v>5401000</v>
      </c>
      <c r="F38" t="s" s="103">
        <v>61</v>
      </c>
      <c r="G38" t="s" s="103">
        <v>61</v>
      </c>
      <c r="H38" t="s" s="103">
        <v>61</v>
      </c>
      <c r="I38" t="s" s="103">
        <v>61</v>
      </c>
      <c r="J38" s="71"/>
      <c r="K38" t="s" s="103">
        <v>61</v>
      </c>
      <c r="L38" t="s" s="103">
        <v>61</v>
      </c>
      <c r="M38" t="s" s="103">
        <v>61</v>
      </c>
      <c r="N38" t="s" s="103">
        <v>61</v>
      </c>
      <c r="O38" s="71"/>
      <c r="P38" t="s" s="104">
        <v>61</v>
      </c>
      <c r="Q38" s="71"/>
      <c r="R38" t="s" s="104">
        <v>61</v>
      </c>
      <c r="S38" s="16"/>
      <c r="T38" s="17"/>
      <c r="U38" s="17"/>
      <c r="V38" s="17"/>
      <c r="W38" s="17"/>
      <c r="X38" s="17"/>
      <c r="Y38" s="74"/>
      <c r="Z38" s="83"/>
      <c r="AA38" s="16"/>
      <c r="AB38" s="18"/>
    </row>
    <row r="39" ht="15" customHeight="1">
      <c r="A39" t="s" s="99">
        <v>41</v>
      </c>
      <c r="B39" t="str" s="93" cm="1">
        <f t="array" ref="B39">'Boats Data Sheet 2025'!C21</f>
        <v>Little Star</v>
      </c>
      <c r="C39" s="94" cm="1">
        <f t="array" ref="C39">IF(ROUNDUP((AVERAGE('Private Boats 2026 Target'!AC168:AC185)-$C$17),-2)&lt;0,0,ROUNDUP((AVERAGE('Private Boats 2026 Target'!AC168:AC185)-$C$17),-2))</f>
        <v>6400</v>
      </c>
      <c r="D39" s="86" cm="1">
        <f t="array" ref="D39">ROUNDUP(C39,-4)</f>
        <v>10000</v>
      </c>
      <c r="E39" s="87" cm="1">
        <f t="array" ref="E39">D39*110%</f>
        <v>11000</v>
      </c>
      <c r="F39" s="95">
        <v>-1000000</v>
      </c>
      <c r="G39" s="89" cm="1">
        <f t="array" ref="G39">_xlfn.IFERROR((D39-F39),"not listed")</f>
        <v>1010000</v>
      </c>
      <c r="H39" s="90" cm="1">
        <f t="array" ref="H39">IF(A39="O",ROUND((F39+$F$17)/0.9-$F$17,-3),F39)</f>
        <v>255000</v>
      </c>
      <c r="I39" s="90" cm="1">
        <f t="array" ref="I39">$F$17+F39</f>
        <v>11295000</v>
      </c>
      <c r="J39" s="71"/>
      <c r="K39" s="91" cm="1">
        <f t="array" ref="K39">$F$17+F39-VLOOKUP(B39,'Private Boats 2026 Target'!$C$2:$AN$1501,38,0)</f>
        <v>1409052.84230188</v>
      </c>
      <c r="L39" s="97" cm="1">
        <f t="array" ref="L39">K39/VLOOKUP(B39,'Private Boats 2026 Target'!$C$2:$AN$1501,38,0)</f>
        <v>0.142530889536938</v>
      </c>
      <c r="M39" t="s" s="105">
        <v>64</v>
      </c>
      <c r="N39" t="s" s="105">
        <v>64</v>
      </c>
      <c r="O39" s="71"/>
      <c r="P39" s="98" cm="1">
        <f t="array" ref="P39">($F$17+F39)/14500</f>
        <v>778.965517241379</v>
      </c>
      <c r="Q39" s="71"/>
      <c r="R39" s="92" cm="1">
        <f t="array" ref="R39">IF((C39-VLOOKUP(B39,'Private Boats 2026 Target'!$C$2:$AJ$714,32,0))&lt;0,0,(C39-VLOOKUP(B39,'Private Boats 2026 Target'!$C$2:$AJ$714,32,0)))</f>
        <v>6400</v>
      </c>
      <c r="S39" s="16"/>
      <c r="T39" s="17"/>
      <c r="U39" s="17"/>
      <c r="V39" s="17"/>
      <c r="W39" s="17"/>
      <c r="X39" s="17"/>
      <c r="Y39" s="74"/>
      <c r="Z39" s="92" cm="1">
        <f t="array" ref="Z39">($F$17+F39+($E$89-$E$88)-200000)*0.95</f>
        <v>10815750</v>
      </c>
      <c r="AA39" t="s" s="106">
        <v>65</v>
      </c>
      <c r="AB39" s="18"/>
    </row>
    <row r="40" ht="15" customHeight="1">
      <c r="A40" t="s" s="99">
        <v>66</v>
      </c>
      <c r="B40" t="str" s="93" cm="1">
        <f t="array" ref="B40">'Boats Data Sheet 2025'!C22</f>
        <v>Rara</v>
      </c>
      <c r="C40" s="94" cm="1">
        <f t="array" ref="C40">IF(ROUNDUP((AVERAGE('Private Boats 2026 Target'!AC191:AC208)-$C$17),-2)&lt;0,0,ROUNDUP((AVERAGE('Private Boats 2026 Target'!AC191:AC208)-$C$17),-2))</f>
        <v>1670500</v>
      </c>
      <c r="D40" s="86" cm="1">
        <f t="array" ref="D40">ROUNDUP(C40,-4)</f>
        <v>1680000</v>
      </c>
      <c r="E40" s="87" cm="1">
        <f t="array" ref="E40">D40*110%</f>
        <v>1848000</v>
      </c>
      <c r="F40" s="95">
        <v>1740000</v>
      </c>
      <c r="G40" s="89" cm="1">
        <f t="array" ref="G40">_xlfn.IFERROR((D40-F40),"not listed")</f>
        <v>-60000</v>
      </c>
      <c r="H40" s="90" cm="1">
        <f t="array" ref="H40">IF(A40="O",ROUND((F40+$F$17)/0.9-$F$17,-3),F40)</f>
        <v>1740000</v>
      </c>
      <c r="I40" s="90" cm="1">
        <f t="array" ref="I40">$F$17+F40</f>
        <v>14035000</v>
      </c>
      <c r="J40" s="71"/>
      <c r="K40" s="91" cm="1">
        <f t="array" ref="K40">$F$17+F40-VLOOKUP(B40,'Private Boats 2026 Target'!$C$2:$AN$1501,38,0)</f>
        <v>2823052.8423019</v>
      </c>
      <c r="L40" s="97" cm="1">
        <f t="array" ref="L40">K40/VLOOKUP(B40,'Private Boats 2026 Target'!$C$2:$AN$1501,38,0)</f>
        <v>0.2517897027693</v>
      </c>
      <c r="M40" t="s" s="105">
        <v>64</v>
      </c>
      <c r="N40" t="s" s="105">
        <v>64</v>
      </c>
      <c r="O40" s="71"/>
      <c r="P40" s="98" cm="1">
        <f t="array" ref="P40">($F$17+F40)/14500</f>
        <v>967.9310344827589</v>
      </c>
      <c r="Q40" s="71"/>
      <c r="R40" s="92" cm="1">
        <f t="array" ref="R40">IF((C40-VLOOKUP(B40,'Private Boats 2026 Target'!$C$2:$AJ$714,32,0))&lt;0,0,(C40-VLOOKUP(B40,'Private Boats 2026 Target'!$C$2:$AJ$714,32,0)))</f>
        <v>233875</v>
      </c>
      <c r="S40" s="16"/>
      <c r="T40" s="17"/>
      <c r="U40" s="17"/>
      <c r="V40" s="17"/>
      <c r="W40" s="17"/>
      <c r="X40" s="17"/>
      <c r="Y40" s="74"/>
      <c r="Z40" s="83"/>
      <c r="AA40" t="s" s="107">
        <v>68</v>
      </c>
      <c r="AB40" s="18"/>
    </row>
    <row r="41" ht="15" customHeight="1">
      <c r="A41" t="s" s="99">
        <v>41</v>
      </c>
      <c r="B41" t="str" s="93" cm="1">
        <f t="array" ref="B41">'Boats Data Sheet 2025'!C23</f>
        <v>Small Sweetheart</v>
      </c>
      <c r="C41" s="94" cm="1">
        <f t="array" ref="C41">IF(ROUNDUP((AVERAGE('Private Boats 2026 Target'!AC214:AC231)-$C$17),-2)&lt;0,0,ROUNDUP((AVERAGE('Private Boats 2026 Target'!AC214:AC231)-$C$17),-2))</f>
        <v>0</v>
      </c>
      <c r="D41" s="86" cm="1">
        <f t="array" ref="D41">ROUNDUP(C41,-4)</f>
        <v>0</v>
      </c>
      <c r="E41" s="87" cm="1">
        <f t="array" ref="E41">D41*110%</f>
        <v>0</v>
      </c>
      <c r="F41" s="95">
        <v>-1100000</v>
      </c>
      <c r="G41" s="89" cm="1">
        <f t="array" ref="G41">_xlfn.IFERROR((D41-F41),"not listed")</f>
        <v>1100000</v>
      </c>
      <c r="H41" s="90" cm="1">
        <f t="array" ref="H41">IF(A41="O",ROUND((F41+$F$17)/0.9-$F$17,-3),F41)</f>
        <v>144000</v>
      </c>
      <c r="I41" s="90" cm="1">
        <f t="array" ref="I41">$F$17+F41</f>
        <v>11195000</v>
      </c>
      <c r="J41" s="71"/>
      <c r="K41" s="91" cm="1">
        <f t="array" ref="K41">$F$17+F41-VLOOKUP(B41,'Private Boats 2026 Target'!$C$2:$AN$1501,38,0)</f>
        <v>1615052.84230188</v>
      </c>
      <c r="L41" s="97" cm="1">
        <f t="array" ref="L41">K41/VLOOKUP(B41,'Private Boats 2026 Target'!$C$2:$AN$1501,38,0)</f>
        <v>0.168586821588476</v>
      </c>
      <c r="M41" t="s" s="105">
        <v>64</v>
      </c>
      <c r="N41" t="s" s="105">
        <v>64</v>
      </c>
      <c r="O41" s="71"/>
      <c r="P41" s="98" cm="1">
        <f t="array" ref="P41">($F$17+F41)/14500</f>
        <v>772.0689655172411</v>
      </c>
      <c r="Q41" s="71"/>
      <c r="R41" s="92" cm="1">
        <f t="array" ref="R41">IF((C41-VLOOKUP(B41,'Private Boats 2026 Target'!$C$2:$AJ$714,32,0))&lt;0,0,(C41-VLOOKUP(B41,'Private Boats 2026 Target'!$C$2:$AJ$714,32,0)))</f>
        <v>0</v>
      </c>
      <c r="S41" s="16"/>
      <c r="T41" s="17"/>
      <c r="U41" s="17"/>
      <c r="V41" s="17"/>
      <c r="W41" s="17"/>
      <c r="X41" s="17"/>
      <c r="Y41" s="74"/>
      <c r="Z41" s="92" cm="1">
        <f t="array" ref="Z41">($F$17+F41+($E$89-$E$88)-200000)*0.95</f>
        <v>10720750</v>
      </c>
      <c r="AA41" s="16"/>
      <c r="AB41" s="18"/>
    </row>
    <row r="42" ht="15" customHeight="1">
      <c r="A42" t="s" s="99">
        <v>41</v>
      </c>
      <c r="B42" t="str" s="100" cm="1">
        <f t="array" ref="B42">'Boats Data Sheet 2025'!C26</f>
        <v>Dedean</v>
      </c>
      <c r="C42" s="101" cm="1">
        <f t="array" ref="C42">IF(ROUNDUP((AVERAGE('Private Boats 2026 Target'!AC237:AC254)-$C$17),-2)&lt;0,0,ROUNDUP((AVERAGE('Private Boats 2026 Target'!AC237:AC254)-$C$17),-2))</f>
        <v>710400</v>
      </c>
      <c r="D42" s="101" cm="1">
        <f t="array" ref="D42">14500000-D17</f>
        <v>2205000</v>
      </c>
      <c r="E42" s="102" cm="1">
        <f t="array" ref="E42">D42*110%</f>
        <v>2425500</v>
      </c>
      <c r="F42" t="s" s="103">
        <v>61</v>
      </c>
      <c r="G42" t="s" s="103">
        <v>61</v>
      </c>
      <c r="H42" t="s" s="103">
        <v>61</v>
      </c>
      <c r="I42" t="s" s="103">
        <v>61</v>
      </c>
      <c r="J42" s="71"/>
      <c r="K42" t="s" s="103">
        <v>61</v>
      </c>
      <c r="L42" t="s" s="103">
        <v>61</v>
      </c>
      <c r="M42" t="s" s="103">
        <v>61</v>
      </c>
      <c r="N42" t="s" s="103">
        <v>61</v>
      </c>
      <c r="O42" s="71"/>
      <c r="P42" s="98" cm="1">
        <f t="array" ref="P42">($F$17+F42)/14500</f>
      </c>
      <c r="Q42" s="71"/>
      <c r="R42" s="92" cm="1">
        <f t="array" ref="R42">IF((C42-VLOOKUP(B42,'Private Boats 2026 Target'!$C$2:$AJ$714,32,0))&lt;0,0,(C42-VLOOKUP(B42,'Private Boats 2026 Target'!$C$2:$AJ$714,32,0)))</f>
        <v>0</v>
      </c>
      <c r="S42" s="16"/>
      <c r="T42" s="17"/>
      <c r="U42" s="17"/>
      <c r="V42" s="17"/>
      <c r="W42" s="17"/>
      <c r="X42" s="17"/>
      <c r="Y42" s="74"/>
      <c r="Z42" s="83"/>
      <c r="AA42" s="16"/>
      <c r="AB42" s="18"/>
    </row>
    <row r="43" ht="15" customHeight="1">
      <c r="A43" t="s" s="99">
        <v>66</v>
      </c>
      <c r="B43" t="str" s="93" cm="1">
        <f t="array" ref="B43">'Boats Data Sheet 2025'!C27</f>
        <v>King Fish</v>
      </c>
      <c r="C43" s="94" cm="1">
        <f t="array" ref="C43">IF(ROUNDUP((AVERAGE('Private Boats 2026 Target'!AC260:AC277)-$C$17),-2)&lt;0,0,ROUNDUP((AVERAGE('Private Boats 2026 Target'!AC260:AC277)-$C$17),-2))</f>
        <v>11948900</v>
      </c>
      <c r="D43" s="86" cm="1">
        <f t="array" ref="D43">ROUNDUP(C43,-4)</f>
        <v>11950000</v>
      </c>
      <c r="E43" s="87" cm="1">
        <f t="array" ref="E43">D43*110%</f>
        <v>13145000</v>
      </c>
      <c r="F43" s="95">
        <v>10840000</v>
      </c>
      <c r="G43" s="89" cm="1">
        <f t="array" ref="G43">_xlfn.IFERROR((D43-F43),"not listed")</f>
        <v>1110000</v>
      </c>
      <c r="H43" s="90" cm="1">
        <f t="array" ref="H43">IF(A43="O",ROUND((F43+$F$17)/0.9-$F$17,-3),F43)</f>
        <v>10840000</v>
      </c>
      <c r="I43" s="90" cm="1">
        <f t="array" ref="I43">$F$17+F43</f>
        <v>23135000</v>
      </c>
      <c r="J43" s="71"/>
      <c r="K43" s="91" cm="1">
        <f t="array" ref="K43">$F$17+F43-VLOOKUP(B43,'Private Boats 2026 Target'!$C$2:$AN$1501,38,0)</f>
        <v>3733052.8423019</v>
      </c>
      <c r="L43" s="97" cm="1">
        <f t="array" ref="L43">K43/VLOOKUP(B43,'Private Boats 2026 Target'!$C$2:$AN$1501,38,0)</f>
        <v>0.192406092644198</v>
      </c>
      <c r="M43" s="97">
        <v>0.05</v>
      </c>
      <c r="N43" s="91" cm="1">
        <f t="array" ref="N43">ROUND(($F$17+F43)*M43,-3)</f>
        <v>1157000</v>
      </c>
      <c r="O43" s="71"/>
      <c r="P43" s="98" cm="1">
        <f t="array" ref="P43">($F$17+F43)/14500</f>
        <v>1595.517241379310</v>
      </c>
      <c r="Q43" s="71"/>
      <c r="R43" s="92" cm="1">
        <f t="array" ref="R43">IF((C43-VLOOKUP(B43,'Private Boats 2026 Target'!$C$2:$AJ$714,32,0))&lt;0,0,(C43-VLOOKUP(B43,'Private Boats 2026 Target'!$C$2:$AJ$714,32,0)))</f>
        <v>10184471.4285714</v>
      </c>
      <c r="S43" s="16"/>
      <c r="T43" s="17"/>
      <c r="U43" s="17"/>
      <c r="V43" s="17"/>
      <c r="W43" s="17"/>
      <c r="X43" s="17"/>
      <c r="Y43" s="74"/>
      <c r="Z43" s="83"/>
      <c r="AA43" t="s" s="107">
        <v>72</v>
      </c>
      <c r="AB43" s="18"/>
    </row>
    <row r="44" ht="15" customHeight="1">
      <c r="A44" t="s" s="99">
        <v>41</v>
      </c>
      <c r="B44" t="str" s="93" cm="1">
        <f t="array" ref="B44">'Boats Data Sheet 2025'!C28</f>
        <v>Big Little Star</v>
      </c>
      <c r="C44" s="94" cm="1">
        <f t="array" ref="C44">IF(ROUNDUP((AVERAGE('Private Boats 2026 Target'!AC283:AC300)-$C$17),-2)&lt;0,0,ROUNDUP((AVERAGE('Private Boats 2026 Target'!AC283:AC300)-$C$17),-2))</f>
        <v>652100</v>
      </c>
      <c r="D44" s="86" cm="1">
        <f t="array" ref="D44">ROUNDUP(C44,-4)</f>
        <v>660000</v>
      </c>
      <c r="E44" s="87" cm="1">
        <f t="array" ref="E44">D44*110%</f>
        <v>726000</v>
      </c>
      <c r="F44" s="95">
        <v>920000</v>
      </c>
      <c r="G44" s="89" cm="1">
        <f t="array" ref="G44">_xlfn.IFERROR((D44-F44),"not listed")</f>
        <v>-260000</v>
      </c>
      <c r="H44" s="90" cm="1">
        <f t="array" ref="H44">IF(A44="O",ROUND((F44+$F$17)/0.9-$F$17,-3),F44)</f>
        <v>2388000</v>
      </c>
      <c r="I44" s="90" cm="1">
        <f t="array" ref="I44">$F$17+F44</f>
        <v>13215000</v>
      </c>
      <c r="J44" s="71"/>
      <c r="K44" s="91" cm="1">
        <f t="array" ref="K44">$F$17+F44-VLOOKUP(B44,'Private Boats 2026 Target'!$C$2:$AN$1501,38,0)</f>
        <v>2814552.8423019</v>
      </c>
      <c r="L44" s="97" cm="1">
        <f t="array" ref="L44">K44/VLOOKUP(B44,'Private Boats 2026 Target'!$C$2:$AN$1501,38,0)</f>
        <v>0.270618445498149</v>
      </c>
      <c r="M44" s="97">
        <v>0.1</v>
      </c>
      <c r="N44" s="91" cm="1">
        <f t="array" ref="N44">ROUND(($F$17+F44)*M44,-3)</f>
        <v>1322000</v>
      </c>
      <c r="O44" s="71"/>
      <c r="P44" s="98" cm="1">
        <f t="array" ref="P44">($F$17+F44)/14500</f>
        <v>911.379310344828</v>
      </c>
      <c r="Q44" s="71"/>
      <c r="R44" s="92" cm="1">
        <f t="array" ref="R44">IF((C44-VLOOKUP(B44,'Private Boats 2026 Target'!$C$2:$AJ$714,32,0))&lt;0,0,(C44-VLOOKUP(B44,'Private Boats 2026 Target'!$C$2:$AJ$714,32,0)))</f>
        <v>652100</v>
      </c>
      <c r="S44" s="16"/>
      <c r="T44" s="17"/>
      <c r="U44" s="17"/>
      <c r="V44" s="17"/>
      <c r="W44" s="17"/>
      <c r="X44" s="17"/>
      <c r="Y44" s="74"/>
      <c r="Z44" s="92" cm="1">
        <f t="array" ref="Z44">($F$17+F44+($E$89-$E$88)-200000)*0.95</f>
        <v>12639750</v>
      </c>
      <c r="AA44" s="16"/>
      <c r="AB44" s="18"/>
    </row>
    <row r="45" ht="15" customHeight="1">
      <c r="A45" t="s" s="99">
        <v>66</v>
      </c>
      <c r="B45" t="str" s="93" cm="1">
        <f t="array" ref="B45">'Boats Data Sheet 2025'!C29</f>
        <v>Dhea</v>
      </c>
      <c r="C45" s="94" cm="1">
        <f t="array" ref="C45">IF(ROUNDUP((AVERAGE('Private Boats 2026 Target'!AC306:AC323)-$C$17),-2)&lt;0,0,ROUNDUP((AVERAGE('Private Boats 2026 Target'!AC306:AC323)-$C$17),-2))</f>
        <v>3628300</v>
      </c>
      <c r="D45" s="86" cm="1">
        <f t="array" ref="D45">ROUNDUP(C45,-4)</f>
        <v>3630000</v>
      </c>
      <c r="E45" s="87" cm="1">
        <f t="array" ref="E45">D45*110%</f>
        <v>3993000</v>
      </c>
      <c r="F45" s="95">
        <v>3340000</v>
      </c>
      <c r="G45" s="89" cm="1">
        <f t="array" ref="G45">_xlfn.IFERROR((D45-F45),"not listed")</f>
        <v>290000</v>
      </c>
      <c r="H45" s="90" cm="1">
        <f t="array" ref="H45">IF(A45="O",ROUND((F45+$F$17)/0.9-$F$17,-3),F45)</f>
        <v>3340000</v>
      </c>
      <c r="I45" s="90" cm="1">
        <f t="array" ref="I45">$F$17+F45</f>
        <v>15635000</v>
      </c>
      <c r="J45" s="71"/>
      <c r="K45" s="91" cm="1">
        <f t="array" ref="K45">$F$17+F45-VLOOKUP(B45,'Private Boats 2026 Target'!$C$2:$AN$1501,38,0)</f>
        <v>2863052.8423019</v>
      </c>
      <c r="L45" s="97" cm="1">
        <f t="array" ref="L45">K45/VLOOKUP(B45,'Private Boats 2026 Target'!$C$2:$AN$1501,38,0)</f>
        <v>0.224167294692903</v>
      </c>
      <c r="M45" s="97">
        <v>0.1</v>
      </c>
      <c r="N45" s="91" cm="1">
        <f t="array" ref="N45">ROUND(($F$17+F45)*M45,-3)</f>
        <v>1564000</v>
      </c>
      <c r="O45" s="71"/>
      <c r="P45" s="98" cm="1">
        <f t="array" ref="P45">($F$17+F45)/14500</f>
        <v>1078.275862068970</v>
      </c>
      <c r="Q45" s="71"/>
      <c r="R45" s="92" cm="1">
        <f t="array" ref="R45">IF((C45-VLOOKUP(B45,'Private Boats 2026 Target'!$C$2:$AJ$714,32,0))&lt;0,0,(C45-VLOOKUP(B45,'Private Boats 2026 Target'!$C$2:$AJ$714,32,0)))</f>
        <v>1770237.5</v>
      </c>
      <c r="S45" s="16"/>
      <c r="T45" s="17"/>
      <c r="U45" s="17"/>
      <c r="V45" s="17"/>
      <c r="W45" s="17"/>
      <c r="X45" s="17"/>
      <c r="Y45" s="74"/>
      <c r="Z45" s="83"/>
      <c r="AA45" t="s" s="108">
        <v>75</v>
      </c>
      <c r="AB45" s="18"/>
    </row>
    <row r="46" ht="15" customHeight="1">
      <c r="A46" t="s" s="99">
        <v>59</v>
      </c>
      <c r="B46" t="str" s="100" cm="1">
        <f t="array" ref="B46">'Boats Data Sheet 2025'!C30</f>
        <v>Big Blue</v>
      </c>
      <c r="C46" s="101" cm="1">
        <f t="array" ref="C46">IF(ROUNDUP((AVERAGE('Private Boats 2026 Target'!AC329:AC346)-$C$17),-2)&lt;0,0,ROUNDUP((AVERAGE('Private Boats 2026 Target'!AC329:AC346)-$C$17),-2))</f>
        <v>0</v>
      </c>
      <c r="D46" s="101" cm="1">
        <f t="array" ref="D46">ROUNDUP(C46,-4)</f>
        <v>0</v>
      </c>
      <c r="E46" s="102" cm="1">
        <f t="array" ref="E46">D46*110%</f>
        <v>0</v>
      </c>
      <c r="F46" t="s" s="103">
        <v>61</v>
      </c>
      <c r="G46" t="s" s="103">
        <v>61</v>
      </c>
      <c r="H46" t="s" s="103">
        <v>61</v>
      </c>
      <c r="I46" t="s" s="103">
        <v>61</v>
      </c>
      <c r="J46" s="71"/>
      <c r="K46" t="s" s="103">
        <v>61</v>
      </c>
      <c r="L46" t="s" s="103">
        <v>61</v>
      </c>
      <c r="M46" t="s" s="103">
        <v>61</v>
      </c>
      <c r="N46" t="s" s="103">
        <v>61</v>
      </c>
      <c r="O46" s="71"/>
      <c r="P46" s="98" cm="1">
        <f t="array" ref="P46">($F$17+F46)/14500</f>
      </c>
      <c r="Q46" s="71"/>
      <c r="R46" s="92" cm="1">
        <f t="array" ref="R46">IF((C46-VLOOKUP(B46,'Private Boats 2026 Target'!$C$2:$AJ$714,32,0))&lt;0,0,(C46-VLOOKUP(B46,'Private Boats 2026 Target'!$C$2:$AJ$714,32,0)))</f>
        <v>0</v>
      </c>
      <c r="S46" s="16"/>
      <c r="T46" s="17"/>
      <c r="U46" s="17"/>
      <c r="V46" s="17"/>
      <c r="W46" s="17"/>
      <c r="X46" s="17"/>
      <c r="Y46" s="74"/>
      <c r="Z46" s="92"/>
      <c r="AA46" s="109"/>
      <c r="AB46" s="18"/>
    </row>
    <row r="47" ht="15" customHeight="1">
      <c r="A47" t="s" s="99">
        <v>66</v>
      </c>
      <c r="B47" t="str" s="93" cm="1">
        <f t="array" ref="B47">'Boats Data Sheet 2025'!C31</f>
        <v>Seahorse</v>
      </c>
      <c r="C47" s="94" cm="1">
        <f t="array" ref="C47">IF(ROUNDUP((AVERAGE('Private Boats 2026 Target'!AC352:AC369)-$C$17),-2)&lt;0,0,ROUNDUP((AVERAGE('Private Boats 2026 Target'!AC352:AC369)-$C$17),-2))</f>
        <v>3206600</v>
      </c>
      <c r="D47" s="86" cm="1">
        <f t="array" ref="D47">ROUNDUP(C47,-4)</f>
        <v>3210000</v>
      </c>
      <c r="E47" s="87" cm="1">
        <f t="array" ref="E47">D47*110%</f>
        <v>3531000</v>
      </c>
      <c r="F47" s="95" cm="1">
        <f t="array" ref="F47">1620000+800000</f>
        <v>2420000</v>
      </c>
      <c r="G47" s="89" cm="1">
        <f t="array" ref="G47">_xlfn.IFERROR((D47-F47),"not listed")</f>
        <v>790000</v>
      </c>
      <c r="H47" s="90" cm="1">
        <f t="array" ref="H47">IF(A47="O",ROUND((F47+$F$17)/0.9-$F$17,-3),F47)</f>
        <v>2420000</v>
      </c>
      <c r="I47" s="90" cm="1">
        <f t="array" ref="I47">$F$17+F47</f>
        <v>14715000</v>
      </c>
      <c r="J47" s="71"/>
      <c r="K47" s="91" cm="1">
        <f t="array" ref="K47">$F$17+F47-VLOOKUP(B47,'Private Boats 2026 Target'!$C$2:$AN$1501,38,0)</f>
        <v>2279052.8423019</v>
      </c>
      <c r="L47" s="97" cm="1">
        <f t="array" ref="L47">K47/VLOOKUP(B47,'Private Boats 2026 Target'!$C$2:$AN$1501,38,0)</f>
        <v>0.183263310257082</v>
      </c>
      <c r="M47" t="s" s="105">
        <v>64</v>
      </c>
      <c r="N47" t="s" s="105">
        <v>64</v>
      </c>
      <c r="O47" s="71"/>
      <c r="P47" s="98" cm="1">
        <f t="array" ref="P47">($F$17+F47)/14500</f>
        <v>1014.8275862069</v>
      </c>
      <c r="Q47" s="71"/>
      <c r="R47" s="92" cm="1">
        <f t="array" ref="R47">IF((C47-VLOOKUP(B47,'Private Boats 2026 Target'!$C$2:$AJ$714,32,0))&lt;0,0,(C47-VLOOKUP(B47,'Private Boats 2026 Target'!$C$2:$AJ$714,32,0)))</f>
        <v>1541016.66666667</v>
      </c>
      <c r="S47" s="16"/>
      <c r="T47" s="17"/>
      <c r="U47" s="17"/>
      <c r="V47" s="17"/>
      <c r="W47" s="17"/>
      <c r="X47" s="17"/>
      <c r="Y47" s="74"/>
      <c r="Z47" s="92"/>
      <c r="AA47" s="109"/>
      <c r="AB47" s="18"/>
    </row>
    <row r="48" ht="15" customHeight="1">
      <c r="A48" t="s" s="99">
        <v>59</v>
      </c>
      <c r="B48" t="str" s="100" cm="1">
        <f t="array" ref="B48">'Boats Data Sheet 2025'!C32</f>
        <v>Paradise Catamaran 4h</v>
      </c>
      <c r="C48" s="101" cm="1">
        <f t="array" ref="C48">IF(ROUNDUP((AVERAGE('Private Boats 2026 Target'!AC375:AC392)-$C$17),-2)&lt;0,0,ROUNDUP((AVERAGE('Private Boats 2026 Target'!AC375:AC392)-$C$17),-2))</f>
        <v>16429300</v>
      </c>
      <c r="D48" s="101" cm="1">
        <f t="array" ref="D48">ROUNDUP(C48,-4)</f>
        <v>16430000</v>
      </c>
      <c r="E48" s="102" cm="1">
        <f t="array" ref="E48">D48*110%</f>
        <v>18073000</v>
      </c>
      <c r="F48" t="s" s="103">
        <v>61</v>
      </c>
      <c r="G48" t="s" s="103">
        <v>61</v>
      </c>
      <c r="H48" t="s" s="103">
        <v>61</v>
      </c>
      <c r="I48" t="s" s="103">
        <v>61</v>
      </c>
      <c r="J48" s="71"/>
      <c r="K48" t="s" s="103">
        <v>61</v>
      </c>
      <c r="L48" t="s" s="103">
        <v>61</v>
      </c>
      <c r="M48" t="s" s="103">
        <v>61</v>
      </c>
      <c r="N48" t="s" s="103">
        <v>61</v>
      </c>
      <c r="O48" s="71"/>
      <c r="P48" t="s" s="104">
        <v>61</v>
      </c>
      <c r="Q48" s="71"/>
      <c r="R48" s="92" cm="1">
        <f t="array" ref="R48">IF((C48-VLOOKUP(B48,'Private Boats 2026 Target'!$C$2:$AJ$714,32,0))&lt;0,0,(C48-VLOOKUP(B48,'Private Boats 2026 Target'!$C$2:$AJ$714,32,0)))</f>
        <v>16429300</v>
      </c>
      <c r="S48" s="16"/>
      <c r="T48" s="17"/>
      <c r="U48" s="17"/>
      <c r="V48" s="17"/>
      <c r="W48" s="17"/>
      <c r="X48" s="17"/>
      <c r="Y48" s="74"/>
      <c r="Z48" s="92"/>
      <c r="AA48" s="16"/>
      <c r="AB48" s="18"/>
    </row>
    <row r="49" ht="15" customHeight="1">
      <c r="A49" t="s" s="99">
        <v>59</v>
      </c>
      <c r="B49" t="str" s="100" cm="1">
        <f t="array" ref="B49">'Boats Data Sheet 2025'!C33</f>
        <v>Paradise Catamaran 8h</v>
      </c>
      <c r="C49" s="101" cm="1">
        <f t="array" ref="C49">IF(ROUNDUP((AVERAGE('Private Boats 2026 Target'!AC398:AC415)-$C$17),-2)&lt;0,0,ROUNDUP((AVERAGE('Private Boats 2026 Target'!AC398:AC415)-$C$17),-2))</f>
        <v>26670100</v>
      </c>
      <c r="D49" s="101" cm="1">
        <f t="array" ref="D49">ROUNDUP(C49,-4)</f>
        <v>26680000</v>
      </c>
      <c r="E49" s="102" cm="1">
        <f t="array" ref="E49">D49*110%</f>
        <v>29348000</v>
      </c>
      <c r="F49" t="s" s="103">
        <v>61</v>
      </c>
      <c r="G49" t="s" s="103">
        <v>61</v>
      </c>
      <c r="H49" t="s" s="103">
        <v>61</v>
      </c>
      <c r="I49" t="s" s="103">
        <v>61</v>
      </c>
      <c r="J49" s="71"/>
      <c r="K49" t="s" s="103">
        <v>61</v>
      </c>
      <c r="L49" t="s" s="103">
        <v>61</v>
      </c>
      <c r="M49" t="s" s="103">
        <v>61</v>
      </c>
      <c r="N49" t="s" s="103">
        <v>61</v>
      </c>
      <c r="O49" s="71"/>
      <c r="P49" t="s" s="104">
        <v>61</v>
      </c>
      <c r="Q49" s="71"/>
      <c r="R49" s="92" cm="1">
        <f t="array" ref="R49">IF((C49-VLOOKUP(B49,'Private Boats 2026 Target'!$C$2:$AJ$714,32,0))&lt;0,0,(C49-VLOOKUP(B49,'Private Boats 2026 Target'!$C$2:$AJ$714,32,0)))</f>
        <v>26670100</v>
      </c>
      <c r="S49" s="16"/>
      <c r="T49" s="17"/>
      <c r="U49" s="17"/>
      <c r="V49" s="17"/>
      <c r="W49" s="17"/>
      <c r="X49" s="17"/>
      <c r="Y49" s="74"/>
      <c r="Z49" s="92"/>
      <c r="AA49" s="16"/>
      <c r="AB49" s="18"/>
    </row>
    <row r="50" ht="15" customHeight="1">
      <c r="A50" t="s" s="99">
        <v>59</v>
      </c>
      <c r="B50" t="str" s="100" cm="1">
        <f t="array" ref="B50">'Boats Data Sheet 2025'!C34</f>
        <v>Rising</v>
      </c>
      <c r="C50" s="101" cm="1">
        <f t="array" ref="C50">IF(ROUNDUP((AVERAGE('Private Boats 2026 Target'!AC421:AC438)-$C$17),-2)&lt;0,0,ROUNDUP((AVERAGE('Private Boats 2026 Target'!AC421:AC438)-$C$17),-2))</f>
        <v>7468600</v>
      </c>
      <c r="D50" s="101" cm="1">
        <f t="array" ref="D50">ROUNDUP(C50,-4)</f>
        <v>7470000</v>
      </c>
      <c r="E50" s="102" cm="1">
        <f t="array" ref="E50">D50*110%</f>
        <v>8217000</v>
      </c>
      <c r="F50" t="s" s="103">
        <v>61</v>
      </c>
      <c r="G50" t="s" s="103">
        <v>61</v>
      </c>
      <c r="H50" t="s" s="103">
        <v>61</v>
      </c>
      <c r="I50" t="s" s="103">
        <v>61</v>
      </c>
      <c r="J50" s="71"/>
      <c r="K50" t="s" s="103">
        <v>61</v>
      </c>
      <c r="L50" t="s" s="103">
        <v>61</v>
      </c>
      <c r="M50" t="s" s="103">
        <v>61</v>
      </c>
      <c r="N50" t="s" s="103">
        <v>61</v>
      </c>
      <c r="O50" s="71"/>
      <c r="P50" t="s" s="104">
        <v>61</v>
      </c>
      <c r="Q50" s="71"/>
      <c r="R50" s="92" cm="1">
        <f t="array" ref="R50">IF((C50-VLOOKUP(B50,'Private Boats 2026 Target'!$C$2:$AJ$714,32,0))&lt;0,0,(C50-VLOOKUP(B50,'Private Boats 2026 Target'!$C$2:$AJ$714,32,0)))</f>
        <v>5803016.66666667</v>
      </c>
      <c r="S50" s="16"/>
      <c r="T50" s="17"/>
      <c r="U50" s="17"/>
      <c r="V50" s="17"/>
      <c r="W50" s="17"/>
      <c r="X50" s="17"/>
      <c r="Y50" s="74"/>
      <c r="Z50" s="92"/>
      <c r="AA50" t="s" s="107">
        <v>81</v>
      </c>
      <c r="AB50" s="18"/>
    </row>
    <row r="51" ht="15" customHeight="1">
      <c r="A51" t="s" s="99">
        <v>59</v>
      </c>
      <c r="B51" t="str" s="100" cm="1">
        <f t="array" ref="B51">'Boats Data Sheet 2025'!C35</f>
        <v>Wahoo</v>
      </c>
      <c r="C51" s="101" cm="1">
        <f t="array" ref="C51">IF(ROUNDUP((AVERAGE('Private Boats 2026 Target'!AC444:AC461)-$C$17),-2)&lt;0,0,ROUNDUP((AVERAGE('Private Boats 2026 Target'!AC444:AC461)-$C$17),-2))</f>
        <v>3628300</v>
      </c>
      <c r="D51" s="101" cm="1">
        <f t="array" ref="D51">ROUNDUP(C51,-4)</f>
        <v>3630000</v>
      </c>
      <c r="E51" s="102" cm="1">
        <f t="array" ref="E51">D51*110%</f>
        <v>3993000</v>
      </c>
      <c r="F51" t="s" s="103">
        <v>61</v>
      </c>
      <c r="G51" t="s" s="103">
        <v>61</v>
      </c>
      <c r="H51" t="s" s="103">
        <v>61</v>
      </c>
      <c r="I51" t="s" s="103">
        <v>61</v>
      </c>
      <c r="J51" s="71"/>
      <c r="K51" t="s" s="103">
        <v>61</v>
      </c>
      <c r="L51" t="s" s="103">
        <v>61</v>
      </c>
      <c r="M51" t="s" s="103">
        <v>61</v>
      </c>
      <c r="N51" t="s" s="103">
        <v>61</v>
      </c>
      <c r="O51" s="71"/>
      <c r="P51" s="98" cm="1">
        <f t="array" ref="P51">($F$17+F51)/14500</f>
      </c>
      <c r="Q51" s="71"/>
      <c r="R51" s="92" cm="1">
        <f t="array" ref="R51">IF((C51-VLOOKUP(B51,'Private Boats 2026 Target'!$C$2:$AJ$714,32,0))&lt;0,0,(C51-VLOOKUP(B51,'Private Boats 2026 Target'!$C$2:$AJ$714,32,0)))</f>
        <v>1962716.66666667</v>
      </c>
      <c r="S51" s="16"/>
      <c r="T51" s="17"/>
      <c r="U51" s="17"/>
      <c r="V51" s="17"/>
      <c r="W51" s="17"/>
      <c r="X51" s="17"/>
      <c r="Y51" s="74"/>
      <c r="Z51" s="92"/>
      <c r="AA51" t="s" s="108">
        <v>83</v>
      </c>
      <c r="AB51" s="18"/>
    </row>
    <row r="52" ht="15" customHeight="1">
      <c r="A52" t="s" s="99">
        <v>66</v>
      </c>
      <c r="B52" t="str" s="93" cm="1">
        <f t="array" ref="B52">'Boats Data Sheet 2025'!C36</f>
        <v>Queen Ruizi 18</v>
      </c>
      <c r="C52" s="94" cm="1">
        <f t="array" ref="C52">IF(ROUNDUP((AVERAGE('Private Boats 2026 Target'!AC467:AC484)-$C$17),-2)&lt;0,0,ROUNDUP((AVERAGE('Private Boats 2026 Target'!AC467:AC484)-$C$17),-2))</f>
        <v>16316300</v>
      </c>
      <c r="D52" s="86" cm="1">
        <f t="array" ref="D52">ROUNDUP(C52,-4)</f>
        <v>16320000</v>
      </c>
      <c r="E52" s="87" cm="1">
        <f t="array" ref="E52">D52*110%</f>
        <v>17952000</v>
      </c>
      <c r="F52" s="95">
        <v>14240000</v>
      </c>
      <c r="G52" s="89" cm="1">
        <f t="array" ref="G52">_xlfn.IFERROR((D52-F52),"not listed")</f>
        <v>2080000</v>
      </c>
      <c r="H52" s="90" cm="1">
        <f t="array" ref="H52">IF(A52="O",ROUND((F52+$F$17)/0.9-$F$17,-3),F52)</f>
        <v>14240000</v>
      </c>
      <c r="I52" s="90" cm="1">
        <f t="array" ref="I52">$F$17+F52</f>
        <v>26535000</v>
      </c>
      <c r="J52" s="71"/>
      <c r="K52" s="91" cm="1">
        <f t="array" ref="K52">$F$17+F52-VLOOKUP(B52,'Private Boats 2026 Target'!$C$2:$AN$1501,38,0)</f>
        <v>3653052.8423019</v>
      </c>
      <c r="L52" s="97" cm="1">
        <f t="array" ref="L52">K52/VLOOKUP(B52,'Private Boats 2026 Target'!$C$2:$AN$1501,38,0)</f>
        <v>0.159647813934966</v>
      </c>
      <c r="M52" t="s" s="105">
        <v>64</v>
      </c>
      <c r="N52" t="s" s="105">
        <v>64</v>
      </c>
      <c r="O52" s="71"/>
      <c r="P52" t="s" s="104">
        <v>61</v>
      </c>
      <c r="Q52" s="71"/>
      <c r="R52" s="92" cm="1">
        <f t="array" ref="R52">IF((C52-VLOOKUP(B52,'Private Boats 2026 Target'!$C$2:$AJ$714,32,0))&lt;0,0,(C52-VLOOKUP(B52,'Private Boats 2026 Target'!$C$2:$AJ$714,32,0)))</f>
        <v>14551871.4285714</v>
      </c>
      <c r="S52" s="16"/>
      <c r="T52" s="17"/>
      <c r="U52" s="17"/>
      <c r="V52" s="17"/>
      <c r="W52" s="17"/>
      <c r="X52" s="17"/>
      <c r="Y52" s="74"/>
      <c r="Z52" s="92"/>
      <c r="AA52" t="s" s="107">
        <v>85</v>
      </c>
      <c r="AB52" s="18"/>
    </row>
    <row r="53" ht="15" customHeight="1">
      <c r="A53" t="s" s="99">
        <v>66</v>
      </c>
      <c r="B53" t="str" s="93" cm="1">
        <f t="array" ref="B53">'Boats Data Sheet 2025'!C37</f>
        <v>Yacht F-13 meters</v>
      </c>
      <c r="C53" s="94" cm="1">
        <f t="array" ref="C53">IF(ROUNDUP((AVERAGE('Private Boats 2026 Target'!AC490:AC507)-$C$17),-2)&lt;0,0,ROUNDUP((AVERAGE('Private Boats 2026 Target'!AC490:AC507)-$C$17),-2))</f>
        <v>13229000</v>
      </c>
      <c r="D53" s="86" cm="1">
        <f t="array" ref="D53">ROUNDUP(C53,-4)</f>
        <v>13230000</v>
      </c>
      <c r="E53" s="87" cm="1">
        <f t="array" ref="E53">D53*110%</f>
        <v>14553000</v>
      </c>
      <c r="F53" s="95">
        <v>11740000</v>
      </c>
      <c r="G53" s="89" cm="1">
        <f t="array" ref="G53">_xlfn.IFERROR((D53-F53),"not listed")</f>
        <v>1490000</v>
      </c>
      <c r="H53" s="90" cm="1">
        <f t="array" ref="H53">IF(A53="O",ROUND((F53+$F$17)/0.9-$F$17,-3),F53)</f>
        <v>11740000</v>
      </c>
      <c r="I53" s="90" cm="1">
        <f t="array" ref="I53">$F$17+F53</f>
        <v>24035000</v>
      </c>
      <c r="J53" s="71"/>
      <c r="K53" s="91" cm="1">
        <f t="array" ref="K53">$F$17+F53-VLOOKUP(B53,'Private Boats 2026 Target'!$C$2:$AN$1501,38,0)</f>
        <v>3613052.8423019</v>
      </c>
      <c r="L53" s="97" cm="1">
        <f t="array" ref="L53">K53/VLOOKUP(B53,'Private Boats 2026 Target'!$C$2:$AN$1501,38,0)</f>
        <v>0.176920095542405</v>
      </c>
      <c r="M53" t="s" s="105">
        <v>64</v>
      </c>
      <c r="N53" t="s" s="105">
        <v>64</v>
      </c>
      <c r="O53" s="71"/>
      <c r="P53" s="98" cm="1">
        <f t="array" ref="P53">($F$17+F53)/14500</f>
        <v>1657.586206896550</v>
      </c>
      <c r="Q53" s="71"/>
      <c r="R53" s="92" cm="1">
        <f t="array" ref="R53">IF((C53-VLOOKUP(B53,'Private Boats 2026 Target'!$C$2:$AJ$714,32,0))&lt;0,0,(C53-VLOOKUP(B53,'Private Boats 2026 Target'!$C$2:$AJ$714,32,0)))</f>
        <v>11563416.6666667</v>
      </c>
      <c r="S53" s="16"/>
      <c r="T53" s="17"/>
      <c r="U53" s="17"/>
      <c r="V53" s="17"/>
      <c r="W53" t="s" s="110">
        <v>87</v>
      </c>
      <c r="X53" s="17"/>
      <c r="Y53" s="74"/>
      <c r="Z53" s="92"/>
      <c r="AA53" t="s" s="108">
        <v>88</v>
      </c>
      <c r="AB53" s="18"/>
    </row>
    <row r="54" ht="15" customHeight="1">
      <c r="A54" t="s" s="99">
        <v>41</v>
      </c>
      <c r="B54" t="str" s="93" cm="1">
        <f t="array" ref="B54">'Boats Data Sheet 2025'!C38</f>
        <v>My Darling</v>
      </c>
      <c r="C54" s="94" cm="1">
        <f t="array" ref="C54">IF(ROUNDUP((AVERAGE('Private Boats 2026 Target'!AC513:AC530)-$C$17),-2)&lt;0,0,ROUNDUP((AVERAGE('Private Boats 2026 Target'!AC513:AC530)-$C$17),-2))</f>
        <v>2566600</v>
      </c>
      <c r="D54" s="86" cm="1">
        <f t="array" ref="D54">12500000-D17</f>
        <v>205000</v>
      </c>
      <c r="E54" s="87" cm="1">
        <f t="array" ref="E54">D54*110%</f>
        <v>225500</v>
      </c>
      <c r="F54" s="95">
        <v>1800000</v>
      </c>
      <c r="G54" s="89" cm="1">
        <f t="array" ref="G54">_xlfn.IFERROR((D54-F54),"not listed")</f>
        <v>-1595000</v>
      </c>
      <c r="H54" s="90" cm="1">
        <f t="array" ref="H54">IF(A54="O",ROUND((F54+$F$17)/0.9-$F$17,-3),F54)</f>
        <v>3366000</v>
      </c>
      <c r="I54" s="90" cm="1">
        <f t="array" ref="I54">$F$17+F54</f>
        <v>14095000</v>
      </c>
      <c r="J54" s="71"/>
      <c r="K54" s="91" cm="1">
        <f t="array" ref="K54">$F$17+F54-VLOOKUP(B54,'Private Boats 2026 Target'!$C$2:$AN$1501,38,0)</f>
        <v>2169052.8423019</v>
      </c>
      <c r="L54" s="97" cm="1">
        <f t="array" ref="L54">K54/VLOOKUP(B54,'Private Boats 2026 Target'!$C$2:$AN$1501,38,0)</f>
        <v>0.181876777887767</v>
      </c>
      <c r="M54" s="97">
        <v>0.1</v>
      </c>
      <c r="N54" s="91" cm="1">
        <f t="array" ref="N54">ROUND(($F$17+F54)*M54,-3)</f>
        <v>1410000</v>
      </c>
      <c r="O54" s="71"/>
      <c r="P54" s="98" cm="1">
        <f t="array" ref="P54">($F$17+F54)/14500</f>
        <v>972.0689655172411</v>
      </c>
      <c r="Q54" s="71"/>
      <c r="R54" s="92" cm="1">
        <f t="array" ref="R54">IF((C54-VLOOKUP(B54,'Private Boats 2026 Target'!$C$2:$AJ$714,32,0))&lt;0,0,(C54-VLOOKUP(B54,'Private Boats 2026 Target'!$C$2:$AJ$714,32,0)))</f>
        <v>901016.66666667</v>
      </c>
      <c r="S54" s="16"/>
      <c r="T54" s="17"/>
      <c r="U54" s="17"/>
      <c r="V54" s="17"/>
      <c r="W54" s="17"/>
      <c r="X54" s="17"/>
      <c r="Y54" s="74"/>
      <c r="Z54" s="92" cm="1">
        <f t="array" ref="Z54">($F$17+F54+($E$89-$E$88)-200000)*0.95</f>
        <v>13475750</v>
      </c>
      <c r="AA54" t="s" s="107">
        <v>90</v>
      </c>
      <c r="AB54" s="18"/>
    </row>
    <row r="55" ht="15" customHeight="1">
      <c r="A55" t="s" s="99">
        <v>59</v>
      </c>
      <c r="B55" t="str" s="100" cm="1">
        <f t="array" ref="B55">'Boats Data Sheet 2025'!C43</f>
        <v>Yacht R42</v>
      </c>
      <c r="C55" s="101" cm="1">
        <f t="array" ref="C55">IF(ROUNDUP((AVERAGE('Private Boats 2026 Target'!AC628:AC645)-$C$17),-2)&lt;0,0,ROUNDUP((AVERAGE('Private Boats 2026 Target'!AC628:AC645)-$C$17),-2))</f>
        <v>11116900</v>
      </c>
      <c r="D55" s="101" cm="1">
        <f t="array" ref="D55">ROUNDUP(C55,-4)</f>
        <v>11120000</v>
      </c>
      <c r="E55" s="102" cm="1">
        <f t="array" ref="E55">D55*110%</f>
        <v>12232000</v>
      </c>
      <c r="F55" t="s" s="103">
        <v>61</v>
      </c>
      <c r="G55" t="s" s="103">
        <v>61</v>
      </c>
      <c r="H55" t="s" s="103">
        <v>61</v>
      </c>
      <c r="I55" t="s" s="103">
        <v>61</v>
      </c>
      <c r="J55" s="71"/>
      <c r="K55" t="s" s="103">
        <v>61</v>
      </c>
      <c r="L55" t="s" s="103">
        <v>61</v>
      </c>
      <c r="M55" t="s" s="103">
        <v>61</v>
      </c>
      <c r="N55" t="s" s="103">
        <v>61</v>
      </c>
      <c r="O55" s="71"/>
      <c r="P55" s="98" cm="1">
        <f t="array" ref="P55">($F$17+F55)/14500</f>
      </c>
      <c r="Q55" s="71"/>
      <c r="R55" s="92" cm="1">
        <f t="array" ref="R55">IF((C55-VLOOKUP(B55,'Private Boats 2026 Target'!$C$2:$AJ$714,32,0))&lt;0,0,(C55-VLOOKUP(B55,'Private Boats 2026 Target'!$C$2:$AJ$714,32,0)))</f>
        <v>9451316.66666667</v>
      </c>
      <c r="S55" s="16"/>
      <c r="T55" s="17"/>
      <c r="U55" s="17"/>
      <c r="V55" s="17"/>
      <c r="W55" s="17"/>
      <c r="X55" s="17"/>
      <c r="Y55" s="74"/>
      <c r="Z55" s="92"/>
      <c r="AA55" t="s" s="107">
        <v>92</v>
      </c>
      <c r="AB55" s="18"/>
    </row>
    <row r="56" ht="15" customHeight="1">
      <c r="A56" t="s" s="99">
        <v>59</v>
      </c>
      <c r="B56" t="str" s="100" cm="1">
        <f t="array" ref="B56">'Boats Data Sheet 2025'!C45</f>
        <v>Yacht S49</v>
      </c>
      <c r="C56" s="101" cm="1">
        <f t="array" ref="C56">IF(ROUNDUP((AVERAGE('Private Boats 2026 Target'!AC651:AC668)-$C$17),-2)&lt;0,0,ROUNDUP((AVERAGE('Private Boats 2026 Target'!AC651:AC668)-$C$17),-2))</f>
        <v>18989500</v>
      </c>
      <c r="D56" s="101" cm="1">
        <f t="array" ref="D56">ROUNDUP(C56,-4)</f>
        <v>18990000</v>
      </c>
      <c r="E56" s="102" cm="1">
        <f t="array" ref="E56">D56*110%</f>
        <v>20889000</v>
      </c>
      <c r="F56" t="s" s="103">
        <v>61</v>
      </c>
      <c r="G56" t="s" s="103">
        <v>61</v>
      </c>
      <c r="H56" t="s" s="103">
        <v>61</v>
      </c>
      <c r="I56" t="s" s="103">
        <v>61</v>
      </c>
      <c r="J56" s="71"/>
      <c r="K56" t="s" s="103">
        <v>61</v>
      </c>
      <c r="L56" t="s" s="103">
        <v>61</v>
      </c>
      <c r="M56" t="s" s="103">
        <v>61</v>
      </c>
      <c r="N56" t="s" s="103">
        <v>61</v>
      </c>
      <c r="O56" s="71"/>
      <c r="P56" s="98" cm="1">
        <f t="array" ref="P56">($F$17+F56)/14500</f>
      </c>
      <c r="Q56" s="71"/>
      <c r="R56" s="92" cm="1">
        <f t="array" ref="R56">IF((C56-VLOOKUP(B56,'Private Boats 2026 Target'!$C$2:$AJ$714,32,0))&lt;0,0,(C56-VLOOKUP(B56,'Private Boats 2026 Target'!$C$2:$AJ$714,32,0)))</f>
        <v>17131437.5</v>
      </c>
      <c r="S56" s="16"/>
      <c r="T56" s="17"/>
      <c r="U56" s="17"/>
      <c r="V56" s="17"/>
      <c r="W56" s="17"/>
      <c r="X56" s="17"/>
      <c r="Y56" s="74"/>
      <c r="Z56" s="92"/>
      <c r="AA56" s="16"/>
      <c r="AB56" s="18"/>
    </row>
    <row r="57" ht="15" customHeight="1">
      <c r="A57" t="s" s="99">
        <v>66</v>
      </c>
      <c r="B57" t="str" s="93" cm="1">
        <f t="array" ref="B57">'Boats Data Sheet 2025'!C53</f>
        <v>Yacht Lux O17</v>
      </c>
      <c r="C57" s="94" cm="1">
        <f t="array" ref="C57">IF(ROUNDUP((AVERAGE('Private Boats 2026 Target'!AC674:AC691)-$C$17),-2)&lt;0,0,ROUNDUP((AVERAGE('Private Boats 2026 Target'!AC674:AC691)-$C$17),-2))</f>
        <v>29881600</v>
      </c>
      <c r="D57" s="86" cm="1">
        <f t="array" ref="D57">ROUNDUP(C57,-4)</f>
        <v>29890000</v>
      </c>
      <c r="E57" s="87" cm="1">
        <f t="array" ref="E57">D57*110%</f>
        <v>32879000</v>
      </c>
      <c r="F57" s="95">
        <v>28040000</v>
      </c>
      <c r="G57" s="89" cm="1">
        <f t="array" ref="G57">_xlfn.IFERROR((D57-F57),"not listed")</f>
        <v>1850000</v>
      </c>
      <c r="H57" s="90" cm="1">
        <f t="array" ref="H57">IF(A57="O",ROUND((F57+$F$17)/0.9-$F$17,-3),F57)</f>
        <v>28040000</v>
      </c>
      <c r="I57" s="90" cm="1">
        <f t="array" ref="I57">$F$17+F57</f>
        <v>40335000</v>
      </c>
      <c r="J57" s="71"/>
      <c r="K57" s="91" cm="1">
        <f t="array" ref="K57">$F$17+F57-VLOOKUP(B57,'Private Boats 2026 Target'!$C$2:$AN$1501,38,0)</f>
        <v>6629052.8423019</v>
      </c>
      <c r="L57" s="97" cm="1">
        <f t="array" ref="L57">K57/VLOOKUP(B57,'Private Boats 2026 Target'!$C$2:$AN$1501,38,0)</f>
        <v>0.196673091881588</v>
      </c>
      <c r="M57" s="97">
        <v>0.05</v>
      </c>
      <c r="N57" s="91" cm="1">
        <f t="array" ref="N57">ROUND(($F$17+F57)*M57,-3)</f>
        <v>2017000</v>
      </c>
      <c r="O57" s="71"/>
      <c r="P57" s="98" cm="1">
        <f t="array" ref="P57">($F$17+F57)/14500</f>
        <v>2781.724137931030</v>
      </c>
      <c r="Q57" s="71"/>
      <c r="R57" s="92" cm="1">
        <f t="array" ref="R57">IF((C57-VLOOKUP(B57,'Private Boats 2026 Target'!$C$2:$AJ$714,32,0))&lt;0,0,(C57-VLOOKUP(B57,'Private Boats 2026 Target'!$C$2:$AJ$714,32,0)))</f>
        <v>28065537.5</v>
      </c>
      <c r="S57" s="16"/>
      <c r="T57" s="17"/>
      <c r="U57" s="17"/>
      <c r="V57" s="17"/>
      <c r="W57" t="s" s="110">
        <v>95</v>
      </c>
      <c r="X57" s="17"/>
      <c r="Y57" s="74"/>
      <c r="Z57" s="92"/>
      <c r="AA57" t="s" s="107">
        <v>96</v>
      </c>
      <c r="AB57" s="18"/>
    </row>
    <row r="58" ht="15" customHeight="1">
      <c r="A58" t="s" s="99">
        <v>59</v>
      </c>
      <c r="B58" t="str" s="100" cm="1">
        <f t="array" ref="B58">'Boats Data Sheet 2025'!C57</f>
        <v>Yacht T13</v>
      </c>
      <c r="C58" s="101" cm="1">
        <f t="array" ref="C58">IF(ROUNDUP((AVERAGE('Private Boats 2026 Target'!AC697:AC714)-$C$17),-2)&lt;0,0,ROUNDUP((AVERAGE('Private Boats 2026 Target'!AC697:AC714)-$C$17),-2))</f>
      </c>
      <c r="D58" s="101" cm="1">
        <f t="array" ref="D58">ROUNDUP(C58,-4)</f>
      </c>
      <c r="E58" s="102" cm="1">
        <f t="array" ref="E58">D58*110%</f>
      </c>
      <c r="F58" t="s" s="103">
        <v>61</v>
      </c>
      <c r="G58" t="s" s="103">
        <v>61</v>
      </c>
      <c r="H58" t="s" s="103">
        <v>61</v>
      </c>
      <c r="I58" t="s" s="103">
        <v>61</v>
      </c>
      <c r="J58" s="71"/>
      <c r="K58" t="s" s="103">
        <v>61</v>
      </c>
      <c r="L58" t="s" s="103">
        <v>61</v>
      </c>
      <c r="M58" t="s" s="103">
        <v>61</v>
      </c>
      <c r="N58" t="s" s="103">
        <v>61</v>
      </c>
      <c r="O58" s="71"/>
      <c r="P58" s="98" cm="1">
        <f t="array" ref="P58">($F$17+F58)/14500</f>
      </c>
      <c r="Q58" s="71"/>
      <c r="R58" s="92" cm="1">
        <f t="array" ref="R58">IF((C58-VLOOKUP(B58,'Private Boats 2026 Target'!$C$2:$AJ$714,32,0))&lt;0,0,(C58-VLOOKUP(B58,'Private Boats 2026 Target'!$C$2:$AJ$714,32,0)))</f>
      </c>
      <c r="S58" s="16"/>
      <c r="T58" s="17"/>
      <c r="U58" s="17"/>
      <c r="V58" s="17"/>
      <c r="W58" s="17"/>
      <c r="X58" s="17"/>
      <c r="Y58" s="74"/>
      <c r="Z58" s="92"/>
      <c r="AA58" t="s" s="108">
        <v>98</v>
      </c>
      <c r="AB58" s="18"/>
    </row>
    <row r="59" ht="15" customHeight="1">
      <c r="A59" t="s" s="99">
        <v>59</v>
      </c>
      <c r="B59" t="s" s="111">
        <v>99</v>
      </c>
      <c r="C59" s="101" cm="1">
        <f t="array" ref="C59">IF(ROUNDUP((AVERAGE('Private Boats 2026 Target'!AC720:AC734)-$C$17),-2)&lt;0,0,ROUNDUP((AVERAGE('Private Boats 2026 Target'!AC720:AC734)-$C$17),-2))</f>
        <v>16542200</v>
      </c>
      <c r="D59" s="101" cm="1">
        <f t="array" ref="D59">ROUNDUP(C59,-4)</f>
        <v>16550000</v>
      </c>
      <c r="E59" s="102" cm="1">
        <f t="array" ref="E59">D59*110%</f>
        <v>18205000</v>
      </c>
      <c r="F59" t="s" s="103">
        <v>61</v>
      </c>
      <c r="G59" t="s" s="103">
        <v>61</v>
      </c>
      <c r="H59" t="s" s="103">
        <v>61</v>
      </c>
      <c r="I59" t="s" s="103">
        <v>61</v>
      </c>
      <c r="J59" s="71"/>
      <c r="K59" t="s" s="103">
        <v>61</v>
      </c>
      <c r="L59" t="s" s="103">
        <v>61</v>
      </c>
      <c r="M59" t="s" s="103">
        <v>61</v>
      </c>
      <c r="N59" t="s" s="103">
        <v>61</v>
      </c>
      <c r="O59" s="71"/>
      <c r="P59" s="98" cm="1">
        <f t="array" ref="P59">($F$17+F59)/14500</f>
      </c>
      <c r="Q59" s="71"/>
      <c r="R59" s="92" cm="1">
        <f t="array" ref="R59">IF((C59-VLOOKUP(B59,'Private Boats 2026 Target'!C717:AJ737,32,0))&lt;0,0,(C59-VLOOKUP(B59,'Private Boats 2026 Target'!C717:AJ737,32,0)))</f>
        <v>14684137.5</v>
      </c>
      <c r="S59" s="16"/>
      <c r="T59" s="17"/>
      <c r="U59" s="17"/>
      <c r="V59" s="17"/>
      <c r="W59" s="17"/>
      <c r="X59" s="17"/>
      <c r="Y59" s="74"/>
      <c r="Z59" s="92"/>
      <c r="AA59" t="s" s="107">
        <v>100</v>
      </c>
      <c r="AB59" s="18"/>
    </row>
    <row r="60" ht="15" customHeight="1">
      <c r="A60" t="s" s="99">
        <v>66</v>
      </c>
      <c r="B60" t="s" s="84">
        <v>101</v>
      </c>
      <c r="C60" s="94" cm="1">
        <f t="array" ref="C60">IF(ROUNDUP((AVERAGE('Private Boats 2026 Target'!AC766:AC810)-$C$17),-2)&lt;0,0,ROUNDUP((AVERAGE('Private Boats 2026 Target'!AC766:AC810)-$C$17),-2))</f>
        <v>35743700</v>
      </c>
      <c r="D60" s="86" cm="1">
        <f t="array" ref="D60">ROUNDUP(C60,-4)</f>
        <v>35750000</v>
      </c>
      <c r="E60" s="87" cm="1">
        <f t="array" ref="E60">D60*110%</f>
        <v>39325000</v>
      </c>
      <c r="F60" s="95">
        <v>29940000</v>
      </c>
      <c r="G60" s="89" cm="1">
        <f t="array" ref="G60">_xlfn.IFERROR((D60-F60),"not listed")</f>
        <v>5810000</v>
      </c>
      <c r="H60" s="90" cm="1">
        <f t="array" ref="H60">IF(A60="O",ROUND((F60+$F$17)/0.9-$F$17,-3),F60)</f>
        <v>29940000</v>
      </c>
      <c r="I60" s="90" cm="1">
        <f t="array" ref="I60">$F$17+F60</f>
        <v>42235000</v>
      </c>
      <c r="J60" s="71"/>
      <c r="K60" s="91" cm="1">
        <f t="array" ref="K60">$F$17+F60-VLOOKUP(B60,'Private Boats 2026 Target'!$C$2:$AN$1501,38,0)</f>
        <v>3873052.8423019</v>
      </c>
      <c r="L60" s="97" cm="1">
        <f t="array" ref="L60">K60/VLOOKUP(B60,'Private Boats 2026 Target'!$C$2:$AN$1501,38,0)</f>
        <v>0.100960799158097</v>
      </c>
      <c r="M60" t="s" s="105">
        <v>64</v>
      </c>
      <c r="N60" t="s" s="105">
        <v>64</v>
      </c>
      <c r="O60" s="71"/>
      <c r="P60" s="98" cm="1">
        <f t="array" ref="P60">($F$17+F60)/14500</f>
        <v>2912.758620689660</v>
      </c>
      <c r="Q60" s="71"/>
      <c r="R60" s="92"/>
      <c r="S60" s="16"/>
      <c r="T60" s="17"/>
      <c r="U60" s="17"/>
      <c r="V60" s="17"/>
      <c r="W60" s="17"/>
      <c r="X60" s="17"/>
      <c r="Y60" s="74"/>
      <c r="Z60" s="92"/>
      <c r="AA60" s="16"/>
      <c r="AB60" s="18"/>
    </row>
    <row r="61" ht="15" customHeight="1">
      <c r="A61" t="s" s="99">
        <v>59</v>
      </c>
      <c r="B61" t="s" s="111">
        <v>102</v>
      </c>
      <c r="C61" s="101" cm="1">
        <f t="array" ref="C61">IF(ROUNDUP((AVERAGE('Private Boats 2026 Target'!AC743:AC760)-$C$17),-2)&lt;0,0,ROUNDUP((AVERAGE('Private Boats 2026 Target'!AC743:AC760)-$C$17),-2))</f>
        <v>16542200</v>
      </c>
      <c r="D61" s="101" cm="1">
        <f t="array" ref="D61">ROUNDUP(C61,-4)</f>
        <v>16550000</v>
      </c>
      <c r="E61" s="102" cm="1">
        <f t="array" ref="E61">D61*110%</f>
        <v>18205000</v>
      </c>
      <c r="F61" t="s" s="103">
        <v>61</v>
      </c>
      <c r="G61" t="s" s="103">
        <v>61</v>
      </c>
      <c r="H61" t="s" s="103">
        <v>61</v>
      </c>
      <c r="I61" t="s" s="103">
        <v>61</v>
      </c>
      <c r="J61" s="71"/>
      <c r="K61" t="s" s="103">
        <v>61</v>
      </c>
      <c r="L61" t="s" s="103">
        <v>61</v>
      </c>
      <c r="M61" t="s" s="103">
        <v>61</v>
      </c>
      <c r="N61" t="s" s="103">
        <v>61</v>
      </c>
      <c r="O61" s="71"/>
      <c r="P61" s="98" cm="1">
        <f t="array" ref="P61">($F$17+F61)/14500</f>
      </c>
      <c r="Q61" s="71"/>
      <c r="R61" s="92"/>
      <c r="S61" s="16"/>
      <c r="T61" s="17"/>
      <c r="U61" s="17"/>
      <c r="V61" s="17"/>
      <c r="W61" s="17"/>
      <c r="X61" s="17"/>
      <c r="Y61" s="74"/>
      <c r="Z61" s="92"/>
      <c r="AA61" s="16"/>
      <c r="AB61" s="18"/>
    </row>
    <row r="62" ht="15" customHeight="1">
      <c r="A62" t="s" s="99">
        <v>41</v>
      </c>
      <c r="B62" t="s" s="84">
        <v>103</v>
      </c>
      <c r="C62" s="94" cm="1">
        <f t="array" ref="C62">IF(ROUNDUP((AVERAGE('Private Boats 2026 Target'!AC817:AC836)-$C$17),-2)&lt;0,0,ROUNDUP((AVERAGE('Private Boats 2026 Target'!AC817:AC836)-$C$17),-2))</f>
        <v>0</v>
      </c>
      <c r="D62" s="86" cm="1">
        <f t="array" ref="D62">ROUNDUP(C62,-4)</f>
        <v>0</v>
      </c>
      <c r="E62" s="87" cm="1">
        <f t="array" ref="E62">D62*110%</f>
        <v>0</v>
      </c>
      <c r="F62" s="95">
        <v>600000</v>
      </c>
      <c r="G62" s="89" cm="1">
        <f t="array" ref="G62">_xlfn.IFERROR((D62-F62),"not listed")</f>
        <v>-600000</v>
      </c>
      <c r="H62" s="90" cm="1">
        <f t="array" ref="H62">IF(A62="O",ROUND((F62+$F$17)/0.9-$F$17,-3),F62)</f>
        <v>2033000</v>
      </c>
      <c r="I62" s="90" cm="1">
        <f t="array" ref="I62">$F$17+F62</f>
        <v>12895000</v>
      </c>
      <c r="J62" s="71"/>
      <c r="K62" s="91" cm="1">
        <f t="array" ref="K62">$F$17+F62-VLOOKUP(B62,'Private Boats 2026 Target'!$C$2:$AN$1501,38,0)</f>
        <v>3865652.84230188</v>
      </c>
      <c r="L62" s="97" cm="1">
        <f t="array" ref="L62">K62/VLOOKUP(B62,'Private Boats 2026 Target'!$C$2:$AN$1501,38,0)</f>
        <v>0.428120967638967</v>
      </c>
      <c r="M62" s="97">
        <v>0.1</v>
      </c>
      <c r="N62" s="91" cm="1">
        <f t="array" ref="N62">ROUND(($F$17+F62)*M62,-3)</f>
        <v>1290000</v>
      </c>
      <c r="O62" s="71"/>
      <c r="P62" s="98" cm="1">
        <f t="array" ref="P62">($F$17+F62)/14500</f>
        <v>889.3103448275861</v>
      </c>
      <c r="Q62" s="71"/>
      <c r="R62" s="92"/>
      <c r="S62" s="16"/>
      <c r="T62" s="17"/>
      <c r="U62" s="17"/>
      <c r="V62" s="17"/>
      <c r="W62" s="17"/>
      <c r="X62" s="17"/>
      <c r="Y62" s="74"/>
      <c r="Z62" s="92" cm="1">
        <f t="array" ref="Z62">($F$17+F62+($E$89-$E$88)-200000)*0.95</f>
        <v>12335750</v>
      </c>
      <c r="AA62" s="16"/>
      <c r="AB62" s="18"/>
    </row>
    <row r="63" ht="15" customHeight="1">
      <c r="A63" t="s" s="99">
        <v>41</v>
      </c>
      <c r="B63" t="s" s="84">
        <v>104</v>
      </c>
      <c r="C63" s="94" cm="1">
        <f t="array" ref="C63">IF(ROUNDUP((AVERAGE('Private Boats 2026 Target'!AC1146:AC1163)-$C$17),-2)&lt;0,0,ROUNDUP((AVERAGE('Private Boats 2026 Target'!AC1146:AC1163)-$C$17),-2))</f>
        <v>184200</v>
      </c>
      <c r="D63" s="86" cm="1">
        <f t="array" ref="D63">ROUNDUP(C63,-4)</f>
        <v>190000</v>
      </c>
      <c r="E63" s="87" cm="1">
        <f t="array" ref="E63">D63*110%</f>
        <v>209000</v>
      </c>
      <c r="F63" s="95">
        <v>3215000</v>
      </c>
      <c r="G63" s="89" cm="1">
        <f t="array" ref="G63">_xlfn.IFERROR((D63-F63),"not listed")</f>
        <v>-3025000</v>
      </c>
      <c r="H63" s="90" cm="1">
        <f t="array" ref="H63">IF(A63="O",ROUND((F63+$F$17)/0.9-$F$17,-3),F63)</f>
        <v>4938000</v>
      </c>
      <c r="I63" s="90" cm="1">
        <f t="array" ref="I63">$F$17+F63</f>
        <v>15510000</v>
      </c>
      <c r="J63" s="71"/>
      <c r="K63" s="91" cm="1">
        <f t="array" ref="K63">$F$17+F63-VLOOKUP(B63,'Private Boats 2026 Target'!$C$2:$AN$1501,38,0)</f>
        <v>5569819.50896855</v>
      </c>
      <c r="L63" s="97" cm="1">
        <f t="array" ref="L63">K63/VLOOKUP(B63,'Private Boats 2026 Target'!$C$2:$AN$1501,38,0)</f>
        <v>0.56033384041607</v>
      </c>
      <c r="M63" s="97">
        <v>0.1</v>
      </c>
      <c r="N63" s="91" cm="1">
        <f t="array" ref="N63">ROUND(($F$17+F63)*M63,-3)</f>
        <v>1551000</v>
      </c>
      <c r="O63" s="71"/>
      <c r="P63" s="98" cm="1">
        <f t="array" ref="P63">($F$17+F63)/14500</f>
        <v>1069.655172413790</v>
      </c>
      <c r="Q63" s="71"/>
      <c r="R63" s="92"/>
      <c r="S63" s="16"/>
      <c r="T63" s="17"/>
      <c r="U63" s="17"/>
      <c r="V63" s="17"/>
      <c r="W63" s="17"/>
      <c r="X63" s="17"/>
      <c r="Y63" s="74"/>
      <c r="Z63" s="92" cm="1">
        <f t="array" ref="Z63">($F$17+F63+($E$89-$E$88)-200000)*0.95</f>
        <v>14820000</v>
      </c>
      <c r="AA63" s="16"/>
      <c r="AB63" s="18"/>
    </row>
    <row r="64" ht="15" customHeight="1">
      <c r="A64" t="s" s="99">
        <v>66</v>
      </c>
      <c r="B64" t="s" s="84">
        <v>105</v>
      </c>
      <c r="C64" s="94" cm="1">
        <f t="array" ref="C64">IF(ROUNDUP((AVERAGE('Private Boats 2026 Target'!AC842:AC886)-$C$17),-2)&lt;0,0,ROUNDUP((AVERAGE('Private Boats 2026 Target'!AC842:AC886)-$C$17),-2))</f>
        <v>33233700</v>
      </c>
      <c r="D64" s="86" cm="1">
        <f t="array" ref="D64">ROUNDUP(C64,-4)</f>
        <v>33240000</v>
      </c>
      <c r="E64" s="87" cm="1">
        <f t="array" ref="E64">D64*110%</f>
        <v>36564000</v>
      </c>
      <c r="F64" s="95">
        <v>27840000</v>
      </c>
      <c r="G64" s="89" cm="1">
        <f t="array" ref="G64">_xlfn.IFERROR((D64-F64),"not listed")</f>
        <v>5400000</v>
      </c>
      <c r="H64" s="90" cm="1">
        <f t="array" ref="H64">IF(A64="O",ROUND((F64+$F$17)/0.9-$F$17,-3),F64)</f>
        <v>27840000</v>
      </c>
      <c r="I64" s="90" cm="1">
        <f t="array" ref="I64">$F$17+F64</f>
        <v>40135000</v>
      </c>
      <c r="J64" s="71"/>
      <c r="K64" s="91" cm="1">
        <f t="array" ref="K64">$F$17+F64-VLOOKUP(B64,'Private Boats 2026 Target'!$C$2:$AN$1501,38,0)</f>
        <v>3773052.8423019</v>
      </c>
      <c r="L64" s="97" cm="1">
        <f t="array" ref="L64">K64/VLOOKUP(B64,'Private Boats 2026 Target'!$C$2:$AN$1501,38,0)</f>
        <v>0.103763773318809</v>
      </c>
      <c r="M64" t="s" s="105">
        <v>64</v>
      </c>
      <c r="N64" t="s" s="105">
        <v>64</v>
      </c>
      <c r="O64" s="71"/>
      <c r="P64" s="98" cm="1">
        <f t="array" ref="P64">($F$17+F64)/14500</f>
        <v>2767.931034482760</v>
      </c>
      <c r="Q64" s="71"/>
      <c r="R64" s="92"/>
      <c r="S64" s="16"/>
      <c r="T64" s="17"/>
      <c r="U64" s="17"/>
      <c r="V64" s="17"/>
      <c r="W64" s="17"/>
      <c r="X64" s="17"/>
      <c r="Y64" s="74"/>
      <c r="Z64" s="92"/>
      <c r="AA64" s="16"/>
      <c r="AB64" s="18"/>
    </row>
    <row r="65" ht="15" customHeight="1">
      <c r="A65" t="s" s="99">
        <v>66</v>
      </c>
      <c r="B65" t="s" s="84">
        <v>106</v>
      </c>
      <c r="C65" s="94" cm="1">
        <f t="array" ref="C65">IF(ROUNDUP((AVERAGE('Private Boats 2026 Target'!AC893:AC910)-$C$17),-2)&lt;0,0,ROUNDUP((AVERAGE('Private Boats 2026 Target'!AC893:AC910)-$C$17),-2))</f>
        <v>35568000</v>
      </c>
      <c r="D65" s="86" cm="1">
        <f t="array" ref="D65">ROUNDUP(C65,-4)</f>
        <v>35570000</v>
      </c>
      <c r="E65" s="87" cm="1">
        <f t="array" ref="E65">D65*110%</f>
        <v>39127000</v>
      </c>
      <c r="F65" s="95">
        <v>30940000</v>
      </c>
      <c r="G65" s="89" cm="1">
        <f t="array" ref="G65">_xlfn.IFERROR((D65-F65),"not listed")</f>
        <v>4630000</v>
      </c>
      <c r="H65" s="90" cm="1">
        <f t="array" ref="H65">IF(A65="O",ROUND((F65+$F$17)/0.9-$F$17,-3),F65)</f>
        <v>30940000</v>
      </c>
      <c r="I65" s="90" cm="1">
        <f t="array" ref="I65">$F$17+F65</f>
        <v>43235000</v>
      </c>
      <c r="J65" s="71"/>
      <c r="K65" s="91" cm="1">
        <f t="array" ref="K65">$F$17+F65-VLOOKUP(B65,'Private Boats 2026 Target'!$C$2:$AN$1501,38,0)</f>
        <v>5013052.8423019</v>
      </c>
      <c r="L65" s="97" cm="1">
        <f t="array" ref="L65">K65/VLOOKUP(B65,'Private Boats 2026 Target'!$C$2:$AN$1501,38,0)</f>
        <v>0.131156396130704</v>
      </c>
      <c r="M65" t="s" s="105">
        <v>64</v>
      </c>
      <c r="N65" t="s" s="105">
        <v>64</v>
      </c>
      <c r="O65" s="71"/>
      <c r="P65" s="98" cm="1">
        <f t="array" ref="P65">($F$17+F65)/14500</f>
        <v>2981.724137931030</v>
      </c>
      <c r="Q65" s="71"/>
      <c r="R65" s="92"/>
      <c r="S65" s="16"/>
      <c r="T65" s="17"/>
      <c r="U65" s="17"/>
      <c r="V65" s="17"/>
      <c r="W65" s="17"/>
      <c r="X65" s="17"/>
      <c r="Y65" s="74"/>
      <c r="Z65" s="92"/>
      <c r="AA65" s="16"/>
      <c r="AB65" s="18"/>
    </row>
    <row r="66" ht="15" customHeight="1">
      <c r="A66" t="s" s="99">
        <v>66</v>
      </c>
      <c r="B66" t="s" s="84">
        <v>107</v>
      </c>
      <c r="C66" s="94" cm="1">
        <f t="array" ref="C66">IF(ROUNDUP((AVERAGE('Private Boats 2026 Target'!AC985:AC994)-$C$17),-2)&lt;0,0,ROUNDUP((AVERAGE('Private Boats 2026 Target'!AC985:AC994)-$C$17),-2))</f>
        <v>8045900</v>
      </c>
      <c r="D66" s="86" cm="1">
        <f t="array" ref="D66">ROUNDUP(C66,-4)</f>
        <v>8050000</v>
      </c>
      <c r="E66" s="87" cm="1">
        <f t="array" ref="E66">D66*110%</f>
        <v>8855000</v>
      </c>
      <c r="F66" s="95">
        <v>7240000</v>
      </c>
      <c r="G66" s="89" cm="1">
        <f t="array" ref="G66">_xlfn.IFERROR((D66-F66),"not listed")</f>
        <v>810000</v>
      </c>
      <c r="H66" s="90" cm="1">
        <f t="array" ref="H66">IF(A66="O",ROUND((F66+$F$17)/0.9-$F$17,-3),F66)</f>
        <v>7240000</v>
      </c>
      <c r="I66" s="90" cm="1">
        <f t="array" ref="I66">$F$17+F66</f>
        <v>19535000</v>
      </c>
      <c r="J66" s="71"/>
      <c r="K66" s="91" cm="1">
        <f t="array" ref="K66">$F$17+F66-VLOOKUP(B66,'Private Boats 2026 Target'!$C$2:$AN$1501,38,0)</f>
        <v>3243052.8423019</v>
      </c>
      <c r="L66" s="97" cm="1">
        <f t="array" ref="L66">K66/VLOOKUP(B66,'Private Boats 2026 Target'!$C$2:$AN$1501,38,0)</f>
        <v>0.19905863988575</v>
      </c>
      <c r="M66" t="s" s="105">
        <v>64</v>
      </c>
      <c r="N66" t="s" s="105">
        <v>64</v>
      </c>
      <c r="O66" s="71"/>
      <c r="P66" s="98" cm="1">
        <f t="array" ref="P66">($F$17+F66)/14500</f>
        <v>1347.241379310340</v>
      </c>
      <c r="Q66" s="71"/>
      <c r="R66" s="92"/>
      <c r="S66" s="16"/>
      <c r="T66" s="17"/>
      <c r="U66" s="17"/>
      <c r="V66" s="17"/>
      <c r="W66" s="17"/>
      <c r="X66" s="17"/>
      <c r="Y66" s="74"/>
      <c r="Z66" s="92"/>
      <c r="AA66" s="16"/>
      <c r="AB66" s="18"/>
    </row>
    <row r="67" ht="15" customHeight="1">
      <c r="A67" t="s" s="99">
        <v>66</v>
      </c>
      <c r="B67" t="s" s="84">
        <v>108</v>
      </c>
      <c r="C67" s="94" cm="1">
        <f t="array" ref="C67">IF(ROUNDUP((AVERAGE('Private Boats 2026 Target'!AC1169:AC1186)-$C$17),-2)&lt;0,0,ROUNDUP((AVERAGE('Private Boats 2026 Target'!AC1169:AC1186)-$C$17),-2))</f>
        <v>4406400</v>
      </c>
      <c r="D67" s="86" cm="1">
        <f t="array" ref="D67">ROUNDUP(C67,-4)</f>
        <v>4410000</v>
      </c>
      <c r="E67" s="87" cm="1">
        <f t="array" ref="E67">D67*110%</f>
        <v>4851000</v>
      </c>
      <c r="F67" s="95">
        <v>4240000</v>
      </c>
      <c r="G67" s="89" cm="1">
        <f t="array" ref="G67">_xlfn.IFERROR((D67-F67),"not listed")</f>
        <v>170000</v>
      </c>
      <c r="H67" s="90" cm="1">
        <f t="array" ref="H67">IF(A67="O",ROUND((F67+$F$17)/0.9-$F$17,-3),F67)</f>
        <v>4240000</v>
      </c>
      <c r="I67" s="90" cm="1">
        <f t="array" ref="I67">$F$17+F67</f>
        <v>16535000</v>
      </c>
      <c r="J67" s="71"/>
      <c r="K67" s="91" cm="1">
        <f t="array" ref="K67">$F$17+F67-VLOOKUP(B67,'Private Boats 2026 Target'!$C$2:$AN$1501,38,0)</f>
        <v>3143052.8423019</v>
      </c>
      <c r="L67" s="97" cm="1">
        <f t="array" ref="L67">K67/VLOOKUP(B67,'Private Boats 2026 Target'!$C$2:$AN$1501,38,0)</f>
        <v>0.234697225525952</v>
      </c>
      <c r="M67" t="s" s="105">
        <v>64</v>
      </c>
      <c r="N67" t="s" s="105">
        <v>64</v>
      </c>
      <c r="O67" s="71"/>
      <c r="P67" s="98" cm="1">
        <f t="array" ref="P67">($F$17+F67)/14500</f>
        <v>1140.344827586210</v>
      </c>
      <c r="Q67" s="71"/>
      <c r="R67" s="92"/>
      <c r="S67" s="16"/>
      <c r="T67" s="17"/>
      <c r="U67" s="17"/>
      <c r="V67" s="17"/>
      <c r="W67" s="17"/>
      <c r="X67" s="17"/>
      <c r="Y67" s="74"/>
      <c r="Z67" s="92"/>
      <c r="AA67" s="16"/>
      <c r="AB67" s="18"/>
    </row>
    <row r="68" ht="15" customHeight="1">
      <c r="A68" t="s" s="99">
        <v>66</v>
      </c>
      <c r="B68" t="s" s="84">
        <v>109</v>
      </c>
      <c r="C68" s="94" cm="1">
        <f t="array" ref="C68">IF(ROUNDUP((AVERAGE('Private Boats 2026 Target'!AC939:AC956)-$C$17),-2)&lt;0,0,ROUNDUP((AVERAGE('Private Boats 2026 Target'!AC939:AC956)-$C$17),-2))</f>
        <v>30058600</v>
      </c>
      <c r="D68" s="86" cm="1">
        <f t="array" ref="D68">ROUNDUP(C68,-4)</f>
        <v>30060000</v>
      </c>
      <c r="E68" s="87" cm="1">
        <f t="array" ref="E68">D68*110%</f>
        <v>33066000</v>
      </c>
      <c r="F68" s="95">
        <v>36490000</v>
      </c>
      <c r="G68" s="89" cm="1">
        <f t="array" ref="G68">_xlfn.IFERROR((D68-F68),"not listed")</f>
        <v>-6430000</v>
      </c>
      <c r="H68" s="90" cm="1">
        <f t="array" ref="H68">IF(A68="O",ROUND((F68+$F$17)/0.9-$F$17,-3),F68)</f>
        <v>36490000</v>
      </c>
      <c r="I68" s="90" cm="1">
        <f t="array" ref="I68">$F$17+F68</f>
        <v>48785000</v>
      </c>
      <c r="J68" s="71"/>
      <c r="K68" s="91" cm="1">
        <f t="array" ref="K68">$F$17+F68-VLOOKUP(B68,'Private Boats 2026 Target'!$C$2:$AN$1501,38,0)</f>
        <v>14953052.8423019</v>
      </c>
      <c r="L68" s="97" cm="1">
        <f t="array" ref="L68">K68/VLOOKUP(B68,'Private Boats 2026 Target'!$C$2:$AN$1501,38,0)</f>
        <v>0.441980261218855</v>
      </c>
      <c r="M68" t="s" s="105">
        <v>64</v>
      </c>
      <c r="N68" t="s" s="105">
        <v>64</v>
      </c>
      <c r="O68" s="71"/>
      <c r="P68" s="98" cm="1">
        <f t="array" ref="P68">($F$17+F68)/14500</f>
        <v>3364.482758620690</v>
      </c>
      <c r="Q68" s="71"/>
      <c r="R68" s="92"/>
      <c r="S68" s="16"/>
      <c r="T68" s="17"/>
      <c r="U68" s="17"/>
      <c r="V68" s="17"/>
      <c r="W68" s="17"/>
      <c r="X68" s="17"/>
      <c r="Y68" s="74"/>
      <c r="Z68" s="92"/>
      <c r="AA68" s="16"/>
      <c r="AB68" s="18"/>
    </row>
    <row r="69" ht="15" customHeight="1">
      <c r="A69" s="12"/>
      <c r="B69" t="s" s="84">
        <v>110</v>
      </c>
      <c r="C69" s="94" cm="1">
        <f t="array" ref="C69">IF(ROUNDUP((AVERAGE('Private Boats 2026 Target'!AC1215:AC1233)-$C$17),-2)&lt;0,0,ROUNDUP((AVERAGE('Private Boats 2026 Target'!AC1215:AC1233)-$C$17),-2))</f>
        <v>23105900</v>
      </c>
      <c r="D69" s="86" cm="1">
        <f t="array" ref="D69">ROUNDUP(C69,-4)</f>
        <v>23110000</v>
      </c>
      <c r="E69" s="87" cm="1">
        <f t="array" ref="E69">D69*110%</f>
        <v>25421000</v>
      </c>
      <c r="F69" s="95">
        <v>21550000</v>
      </c>
      <c r="G69" s="89" cm="1">
        <f t="array" ref="G69">_xlfn.IFERROR((D69-F69),"not listed")</f>
        <v>1560000</v>
      </c>
      <c r="H69" s="90" cm="1">
        <f t="array" ref="H69">IF(A69="O",ROUND((F69+$F$17)/0.9-$F$17,-3),F69)</f>
        <v>21550000</v>
      </c>
      <c r="I69" s="90" cm="1">
        <f t="array" ref="I69">$F$17+F69</f>
        <v>33845000</v>
      </c>
      <c r="J69" s="71"/>
      <c r="K69" s="91" cm="1">
        <f t="array" ref="K69">$F$17+F69-VLOOKUP(B69,'Private Boats 2026 Target'!$C$2:$AN$1501,38,0)</f>
        <v>5553052.8423019</v>
      </c>
      <c r="L69" s="97" cm="1">
        <f t="array" ref="L69">K69/VLOOKUP(B69,'Private Boats 2026 Target'!$C$2:$AN$1501,38,0)</f>
        <v>0.19627679959069</v>
      </c>
      <c r="M69" t="s" s="105">
        <v>64</v>
      </c>
      <c r="N69" t="s" s="105">
        <v>64</v>
      </c>
      <c r="O69" s="71"/>
      <c r="P69" s="98" cm="1">
        <f t="array" ref="P69">($F$17+F69)/14500</f>
        <v>2334.137931034480</v>
      </c>
      <c r="Q69" s="71"/>
      <c r="R69" s="92"/>
      <c r="S69" s="16"/>
      <c r="T69" s="17"/>
      <c r="U69" s="17"/>
      <c r="V69" s="17"/>
      <c r="W69" s="17"/>
      <c r="X69" s="17"/>
      <c r="Y69" s="74"/>
      <c r="Z69" s="92"/>
      <c r="AA69" s="16"/>
      <c r="AB69" s="18"/>
    </row>
    <row r="70" ht="15" customHeight="1">
      <c r="A70" t="s" s="99">
        <v>41</v>
      </c>
      <c r="B70" t="s" s="84">
        <v>111</v>
      </c>
      <c r="C70" s="94" cm="1">
        <f t="array" ref="C70">IF(ROUNDUP((AVERAGE('Private Boats 2026 Target'!AC1239:AC1257)-$C$17),-2)&lt;0,0,ROUNDUP((AVERAGE('Private Boats 2026 Target'!AC1239:AC1257)-$C$17),-2))</f>
        <v>3653400</v>
      </c>
      <c r="D70" s="86" cm="1">
        <f t="array" ref="D70">ROUNDUP(C70,-4)</f>
        <v>3660000</v>
      </c>
      <c r="E70" s="87" cm="1">
        <f t="array" ref="E70">D70*110%</f>
        <v>4026000</v>
      </c>
      <c r="F70" s="95">
        <v>5250000</v>
      </c>
      <c r="G70" s="89" cm="1">
        <f t="array" ref="G70">_xlfn.IFERROR((D70-F70),"not listed")</f>
        <v>-1590000</v>
      </c>
      <c r="H70" s="90" cm="1">
        <f t="array" ref="H70">IF(A70="O",ROUND((F70+$F$17)/0.9-$F$17,-3),F70)</f>
        <v>7199000</v>
      </c>
      <c r="I70" s="90" cm="1">
        <f t="array" ref="I70">$F$17+F70</f>
        <v>17545000</v>
      </c>
      <c r="J70" s="71"/>
      <c r="K70" s="91" cm="1">
        <f t="array" ref="K70">$F$17+F70-VLOOKUP(B70,'Private Boats 2026 Target'!$C$2:$AN$1501,38,0)</f>
        <v>4753052.8423019</v>
      </c>
      <c r="L70" s="97" cm="1">
        <f t="array" ref="L70">K70/VLOOKUP(B70,'Private Boats 2026 Target'!$C$2:$AN$1501,38,0)</f>
        <v>0.371566016002618</v>
      </c>
      <c r="M70" t="s" s="105">
        <v>64</v>
      </c>
      <c r="N70" t="s" s="105">
        <v>64</v>
      </c>
      <c r="O70" s="71"/>
      <c r="P70" s="98" cm="1">
        <f t="array" ref="P70">($F$17+F70)/14500</f>
        <v>1210</v>
      </c>
      <c r="Q70" s="71"/>
      <c r="R70" s="92"/>
      <c r="S70" s="16"/>
      <c r="T70" s="17"/>
      <c r="U70" s="17"/>
      <c r="V70" s="17"/>
      <c r="W70" s="17"/>
      <c r="X70" s="17"/>
      <c r="Y70" s="74"/>
      <c r="Z70" s="92"/>
      <c r="AA70" s="16"/>
      <c r="AB70" s="18"/>
    </row>
    <row r="71" ht="15" customHeight="1">
      <c r="A71" t="s" s="99">
        <v>66</v>
      </c>
      <c r="B71" t="s" s="84">
        <v>112</v>
      </c>
      <c r="C71" s="94" cm="1">
        <f t="array" ref="C71">IF(ROUNDUP((AVERAGE('Private Boats 2026 Target'!AC1192:AC1209)-$C$17),-2)&lt;0,0,ROUNDUP((AVERAGE('Private Boats 2026 Target'!AC1192:AC1209)-$C$17),-2))</f>
        <v>9300900</v>
      </c>
      <c r="D71" s="86" cm="1">
        <f t="array" ref="D71">ROUNDUP(C71,-4)</f>
        <v>9310000</v>
      </c>
      <c r="E71" s="87" cm="1">
        <f t="array" ref="E71">D71*110%</f>
        <v>10241000</v>
      </c>
      <c r="F71" s="95">
        <v>8500000</v>
      </c>
      <c r="G71" s="89" cm="1">
        <f t="array" ref="G71">_xlfn.IFERROR((D71-F71),"not listed")</f>
        <v>810000</v>
      </c>
      <c r="H71" s="90" cm="1">
        <f t="array" ref="H71">IF(A71="O",ROUND((F71+$F$17)/0.9-$F$17,-3),F71)</f>
        <v>8500000</v>
      </c>
      <c r="I71" s="90" cm="1">
        <f t="array" ref="I71">$F$17+F71</f>
        <v>20795000</v>
      </c>
      <c r="J71" s="71"/>
      <c r="K71" s="91" cm="1">
        <f t="array" ref="K71">$F$17+F71-VLOOKUP(B71,'Private Boats 2026 Target'!$C$2:$AN$1501,38,0)</f>
        <v>3503052.8423019</v>
      </c>
      <c r="L71" s="97" cm="1">
        <f t="array" ref="L71">K71/VLOOKUP(B71,'Private Boats 2026 Target'!$C$2:$AN$1501,38,0)</f>
        <v>0.202582902339162</v>
      </c>
      <c r="M71" t="s" s="105">
        <v>64</v>
      </c>
      <c r="N71" t="s" s="105">
        <v>64</v>
      </c>
      <c r="O71" s="71"/>
      <c r="P71" s="98" cm="1">
        <f t="array" ref="P71">($F$17+F71)/14500</f>
        <v>1434.137931034480</v>
      </c>
      <c r="Q71" s="71"/>
      <c r="R71" s="92"/>
      <c r="S71" s="16"/>
      <c r="T71" s="17"/>
      <c r="U71" s="17"/>
      <c r="V71" s="17"/>
      <c r="W71" s="17"/>
      <c r="X71" s="17"/>
      <c r="Y71" s="74"/>
      <c r="Z71" s="92"/>
      <c r="AA71" s="16"/>
      <c r="AB71" s="18"/>
    </row>
    <row r="72" ht="15" customHeight="1">
      <c r="A72" s="12"/>
      <c r="B72" t="s" s="75">
        <v>113</v>
      </c>
      <c r="C72" s="76"/>
      <c r="D72" s="77"/>
      <c r="E72" s="78"/>
      <c r="F72" s="79"/>
      <c r="G72" s="80"/>
      <c r="H72" s="81"/>
      <c r="I72" s="81"/>
      <c r="J72" s="71"/>
      <c r="K72" s="82"/>
      <c r="L72" s="97"/>
      <c r="M72" s="82"/>
      <c r="N72" s="97"/>
      <c r="O72" s="71"/>
      <c r="P72" s="98" cm="1">
        <f t="array" ref="P72">($F$17+F72)/14500</f>
        <v>847.9310344827589</v>
      </c>
      <c r="Q72" s="71"/>
      <c r="R72" s="83"/>
      <c r="S72" s="16"/>
      <c r="T72" s="17"/>
      <c r="U72" s="17"/>
      <c r="V72" s="17"/>
      <c r="W72" s="17"/>
      <c r="X72" s="17"/>
      <c r="Y72" s="74"/>
      <c r="Z72" s="92"/>
      <c r="AA72" s="109"/>
      <c r="AB72" s="18"/>
    </row>
    <row r="73" ht="15" customHeight="1">
      <c r="A73" t="s" s="99">
        <v>66</v>
      </c>
      <c r="B73" t="str" s="93" cm="1">
        <f t="array" ref="B73">'Boats Data Sheet 2025'!C39</f>
        <v>Lux Yacht BM55</v>
      </c>
      <c r="C73" s="94" cm="1">
        <f t="array" ref="C73">IF(ROUNDUP((AVERAGE('Private Boats 2026 Target'!AC536:AC553)-$C$17),-2)&lt;0,0,ROUNDUP((AVERAGE('Private Boats 2026 Target'!AC536:AC553)-$C$17),-2))</f>
        <v>31577000</v>
      </c>
      <c r="D73" s="86" cm="1">
        <f t="array" ref="D73">ROUNDUP(C73,-4)</f>
        <v>31580000</v>
      </c>
      <c r="E73" s="87" cm="1">
        <f t="array" ref="E73">D73*110%</f>
        <v>34738000</v>
      </c>
      <c r="F73" s="95">
        <v>29940000</v>
      </c>
      <c r="G73" s="89" cm="1">
        <f t="array" ref="G73">_xlfn.IFERROR((D73-F73),"not listed")</f>
        <v>1640000</v>
      </c>
      <c r="H73" s="90" cm="1">
        <f t="array" ref="H73">IF(A73="O",ROUND((F73+$F$17)/0.9-$F$17,-3),F73)</f>
        <v>29940000</v>
      </c>
      <c r="I73" s="90" cm="1">
        <f t="array" ref="I73">$F$17+F73</f>
        <v>42235000</v>
      </c>
      <c r="J73" s="71"/>
      <c r="K73" s="91" cm="1">
        <f t="array" ref="K73">$F$17+F73-VLOOKUP(B73,'Private Boats 2026 Target'!$C$2:$AN$1501,38,0)</f>
        <v>4213052.8423019</v>
      </c>
      <c r="L73" s="97" cm="1">
        <f t="array" ref="L73">K73/VLOOKUP(B73,'Private Boats 2026 Target'!$C$2:$AN$1501,38,0)</f>
        <v>0.110805814989644</v>
      </c>
      <c r="M73" t="s" s="105">
        <v>64</v>
      </c>
      <c r="N73" t="s" s="105">
        <v>64</v>
      </c>
      <c r="O73" s="71"/>
      <c r="P73" s="98" cm="1">
        <f t="array" ref="P73">($F$17+F73)/14500</f>
        <v>2912.758620689660</v>
      </c>
      <c r="Q73" s="71"/>
      <c r="R73" s="92" cm="1">
        <f t="array" ref="R73">IF((C73-VLOOKUP(B73,'Private Boats 2026 Target'!$C$2:$AJ$714,32,0))&lt;0,0,(C73-VLOOKUP(B73,'Private Boats 2026 Target'!$C$2:$AJ$714,32,0)))</f>
        <v>29718937.5</v>
      </c>
      <c r="S73" s="16"/>
      <c r="T73" s="17"/>
      <c r="U73" s="17"/>
      <c r="V73" s="17"/>
      <c r="W73" s="17"/>
      <c r="X73" s="17"/>
      <c r="Y73" s="74"/>
      <c r="Z73" s="92"/>
      <c r="AA73" t="s" s="107">
        <v>115</v>
      </c>
      <c r="AB73" s="18"/>
    </row>
    <row r="74" ht="15" customHeight="1">
      <c r="A74" t="s" s="99">
        <v>66</v>
      </c>
      <c r="B74" t="str" s="93" cm="1">
        <f t="array" ref="B74">'Boats Data Sheet 2025'!C40</f>
        <v>Yacht BM49</v>
      </c>
      <c r="C74" s="94" cm="1">
        <f t="array" ref="C74">IF(ROUNDUP((AVERAGE('Private Boats 2026 Target'!AC559:AC576)-$C$17),-2)&lt;0,0,ROUNDUP((AVERAGE('Private Boats 2026 Target'!AC559:AC576)-$C$17),-2))</f>
        <v>15922900</v>
      </c>
      <c r="D74" s="86" cm="1">
        <f t="array" ref="D74">ROUNDUP(C74,-4)</f>
        <v>15930000</v>
      </c>
      <c r="E74" s="87" cm="1">
        <f t="array" ref="E74">D74*110%</f>
        <v>17523000</v>
      </c>
      <c r="F74" s="95">
        <v>14140000</v>
      </c>
      <c r="G74" s="89" cm="1">
        <f t="array" ref="G74">_xlfn.IFERROR((D74-F74),"not listed")</f>
        <v>1790000</v>
      </c>
      <c r="H74" s="90" cm="1">
        <f t="array" ref="H74">IF(A74="O",ROUND((F74+$F$17)/0.9-$F$17,-3),F74)</f>
        <v>14140000</v>
      </c>
      <c r="I74" s="90" cm="1">
        <f t="array" ref="I74">$F$17+F74</f>
        <v>26435000</v>
      </c>
      <c r="J74" s="71"/>
      <c r="K74" s="91" cm="1">
        <f t="array" ref="K74">$F$17+F74-VLOOKUP(B74,'Private Boats 2026 Target'!$C$2:$AN$1501,38,0)</f>
        <v>2098052.8423019</v>
      </c>
      <c r="L74" s="97" cm="1">
        <f t="array" ref="L74">K74/VLOOKUP(B74,'Private Boats 2026 Target'!$C$2:$AN$1501,38,0)</f>
        <v>0.0862085465653098</v>
      </c>
      <c r="M74" t="s" s="105">
        <v>64</v>
      </c>
      <c r="N74" t="s" s="105">
        <v>64</v>
      </c>
      <c r="O74" s="71"/>
      <c r="P74" s="98" cm="1">
        <f t="array" ref="P74">($F$17+F74)/14500</f>
        <v>1823.103448275860</v>
      </c>
      <c r="Q74" s="71"/>
      <c r="R74" s="92" cm="1">
        <f t="array" ref="R74">IF((C74-VLOOKUP(B74,'Private Boats 2026 Target'!$C$2:$AJ$714,32,0))&lt;0,0,(C74-VLOOKUP(B74,'Private Boats 2026 Target'!$C$2:$AJ$714,32,0)))</f>
        <v>15922900</v>
      </c>
      <c r="S74" s="16"/>
      <c r="T74" s="17"/>
      <c r="U74" s="17"/>
      <c r="V74" s="17"/>
      <c r="W74" s="17"/>
      <c r="X74" s="17"/>
      <c r="Y74" s="74"/>
      <c r="Z74" s="92"/>
      <c r="AA74" t="s" s="107">
        <v>115</v>
      </c>
      <c r="AB74" s="18"/>
    </row>
    <row r="75" ht="15" customHeight="1">
      <c r="A75" t="s" s="99">
        <v>66</v>
      </c>
      <c r="B75" t="str" s="93" cm="1">
        <f t="array" ref="B75">'Boats Data Sheet 2025'!C41</f>
        <v>Yacht Lux M13</v>
      </c>
      <c r="C75" s="94" cm="1">
        <f t="array" ref="C75">IF(ROUNDUP((AVERAGE('Private Boats 2026 Target'!AC582:AC599)-$C$17),-2)&lt;0,0,ROUNDUP((AVERAGE('Private Boats 2026 Target'!AC582:AC599)-$C$17),-2))</f>
        <v>22242900</v>
      </c>
      <c r="D75" s="86" cm="1">
        <f t="array" ref="D75">ROUNDUP(C75,-4)</f>
        <v>22250000</v>
      </c>
      <c r="E75" s="87" cm="1">
        <f t="array" ref="E75">D75*110%</f>
        <v>24475000</v>
      </c>
      <c r="F75" s="95">
        <v>21340000</v>
      </c>
      <c r="G75" s="89" cm="1">
        <f t="array" ref="G75">_xlfn.IFERROR((D75-F75),"not listed")</f>
        <v>910000</v>
      </c>
      <c r="H75" s="90" cm="1">
        <f t="array" ref="H75">IF(A75="O",ROUND((F75+$F$17)/0.9-$F$17,-3),F75)</f>
        <v>21340000</v>
      </c>
      <c r="I75" s="90" cm="1">
        <f t="array" ref="I75">$F$17+F75</f>
        <v>33635000</v>
      </c>
      <c r="J75" s="71"/>
      <c r="K75" s="91" cm="1">
        <f t="array" ref="K75">$F$17+F75-VLOOKUP(B75,'Private Boats 2026 Target'!$C$2:$AN$1501,38,0)</f>
        <v>3773052.8423019</v>
      </c>
      <c r="L75" s="97" cm="1">
        <f t="array" ref="L75">K75/VLOOKUP(B75,'Private Boats 2026 Target'!$C$2:$AN$1501,38,0)</f>
        <v>0.126349859986583</v>
      </c>
      <c r="M75" t="s" s="105">
        <v>64</v>
      </c>
      <c r="N75" t="s" s="105">
        <v>64</v>
      </c>
      <c r="O75" s="71"/>
      <c r="P75" s="98" cm="1">
        <f t="array" ref="P75">($F$17+F75)/14500</f>
        <v>2319.655172413790</v>
      </c>
      <c r="Q75" s="71"/>
      <c r="R75" s="92" cm="1">
        <f t="array" ref="R75">IF((C75-VLOOKUP(B75,'Private Boats 2026 Target'!$C$2:$AJ$714,32,0))&lt;0,0,(C75-VLOOKUP(B75,'Private Boats 2026 Target'!$C$2:$AJ$714,32,0)))</f>
        <v>20577316.6666667</v>
      </c>
      <c r="S75" s="16"/>
      <c r="T75" s="17"/>
      <c r="U75" s="17"/>
      <c r="V75" s="17"/>
      <c r="W75" s="17"/>
      <c r="X75" s="17"/>
      <c r="Y75" s="74"/>
      <c r="Z75" s="92"/>
      <c r="AA75" t="s" s="107">
        <v>115</v>
      </c>
      <c r="AB75" s="18"/>
    </row>
    <row r="76" ht="15.5" customHeight="1">
      <c r="A76" t="s" s="99">
        <v>66</v>
      </c>
      <c r="B76" t="str" s="112" cm="1">
        <f t="array" ref="B76">'Boats Data Sheet 2025'!C42</f>
        <v>Premium Yacht BM42</v>
      </c>
      <c r="C76" s="113" cm="1">
        <f t="array" ref="C76">IF(ROUNDUP((AVERAGE('Private Boats 2026 Target'!AC605:AC622)-$C$17),-2)&lt;0,0,ROUNDUP((AVERAGE('Private Boats 2026 Target'!AC605:AC622)-$C$17),-2))</f>
        <v>20298300</v>
      </c>
      <c r="D76" s="114" cm="1">
        <f t="array" ref="D76">ROUNDUP(C76,-4)</f>
        <v>20300000</v>
      </c>
      <c r="E76" s="115" cm="1">
        <f t="array" ref="E76">D76*110%</f>
        <v>22330000</v>
      </c>
      <c r="F76" s="116">
        <v>18740000</v>
      </c>
      <c r="G76" s="117" cm="1">
        <f t="array" ref="G76">_xlfn.IFERROR((D76-F76),"not listed")</f>
        <v>1560000</v>
      </c>
      <c r="H76" s="118" cm="1">
        <f t="array" ref="H76">IF(A76="O",ROUND((F76+$F$17)/0.9-$F$17,-3),F76)</f>
        <v>18740000</v>
      </c>
      <c r="I76" s="118" cm="1">
        <f t="array" ref="I76">$F$17+F76</f>
        <v>31035000</v>
      </c>
      <c r="J76" s="71"/>
      <c r="K76" s="119" cm="1">
        <f t="array" ref="K76">$F$17+F76-VLOOKUP(B76,'Private Boats 2026 Target'!$C$2:$AN$1501,38,0)</f>
        <v>2873052.8423019</v>
      </c>
      <c r="L76" s="120" cm="1">
        <f t="array" ref="L76">K76/VLOOKUP(B76,'Private Boats 2026 Target'!$C$2:$AN$1501,38,0)</f>
        <v>0.102018970002809</v>
      </c>
      <c r="M76" t="s" s="121">
        <v>64</v>
      </c>
      <c r="N76" t="s" s="121">
        <v>64</v>
      </c>
      <c r="O76" s="71"/>
      <c r="P76" s="122" cm="1">
        <f t="array" ref="P76">($F$17+F76)/14500</f>
        <v>2140.344827586210</v>
      </c>
      <c r="Q76" s="71"/>
      <c r="R76" s="123" cm="1">
        <f t="array" ref="R76">IF((C76-VLOOKUP(B76,'Private Boats 2026 Target'!$C$2:$AJ$714,32,0))&lt;0,0,(C76-VLOOKUP(B76,'Private Boats 2026 Target'!$C$2:$AJ$714,32,0)))</f>
        <v>18533871.4285714</v>
      </c>
      <c r="S76" s="16"/>
      <c r="T76" s="17"/>
      <c r="U76" s="17"/>
      <c r="V76" s="17"/>
      <c r="W76" s="17"/>
      <c r="X76" s="17"/>
      <c r="Y76" s="74"/>
      <c r="Z76" s="92"/>
      <c r="AA76" t="s" s="107">
        <v>115</v>
      </c>
      <c r="AB76" s="18"/>
    </row>
    <row r="77" ht="15.5" customHeight="1">
      <c r="A77" s="32"/>
      <c r="B77" s="33"/>
      <c r="C77" s="33"/>
      <c r="D77" s="124"/>
      <c r="E77" s="125"/>
      <c r="F77" s="126"/>
      <c r="G77" s="124"/>
      <c r="H77" s="124"/>
      <c r="I77" s="124"/>
      <c r="J77" s="17"/>
      <c r="K77" s="124"/>
      <c r="L77" s="124"/>
      <c r="M77" s="124"/>
      <c r="N77" s="124"/>
      <c r="O77" s="17"/>
      <c r="P77" s="124"/>
      <c r="Q77" s="17"/>
      <c r="R77" s="124"/>
      <c r="S77" s="17"/>
      <c r="T77" s="17"/>
      <c r="U77" s="17"/>
      <c r="V77" s="17"/>
      <c r="W77" s="17"/>
      <c r="X77" s="17"/>
      <c r="Y77" s="17"/>
      <c r="Z77" s="127"/>
      <c r="AA77" s="17"/>
      <c r="AB77" s="18"/>
    </row>
    <row r="78" ht="30.5" customHeight="1">
      <c r="A78" s="12"/>
      <c r="B78" t="s" s="64">
        <v>119</v>
      </c>
      <c r="C78" t="s" s="128">
        <v>120</v>
      </c>
      <c r="D78" s="129"/>
      <c r="E78" t="s" s="130">
        <v>121</v>
      </c>
      <c r="F78" t="s" s="131">
        <v>122</v>
      </c>
      <c r="G78" s="132"/>
      <c r="H78" s="17"/>
      <c r="I78" s="17"/>
      <c r="J78" s="17"/>
      <c r="K78" s="17"/>
      <c r="L78" s="17"/>
      <c r="M78" s="17"/>
      <c r="N78" s="17"/>
      <c r="O78" s="17"/>
      <c r="P78" s="17"/>
      <c r="Q78" s="17"/>
      <c r="R78" s="17"/>
      <c r="S78" s="17"/>
      <c r="T78" s="17"/>
      <c r="U78" s="17"/>
      <c r="V78" s="17"/>
      <c r="W78" s="17"/>
      <c r="X78" s="17"/>
      <c r="Y78" s="17"/>
      <c r="Z78" s="17"/>
      <c r="AA78" s="17"/>
      <c r="AB78" s="18"/>
    </row>
    <row r="79" ht="15" customHeight="1">
      <c r="A79" s="12"/>
      <c r="B79" t="s" s="84">
        <v>123</v>
      </c>
      <c r="C79" s="133" cm="1">
        <f t="array" ref="C79">ROUND(F17+AVERAGE(F39,F41,F62)-400000,-4)</f>
        <v>11400000</v>
      </c>
      <c r="D79" s="129"/>
      <c r="E79" t="s" s="134">
        <v>124</v>
      </c>
      <c r="F79" s="135" cm="1">
        <f t="array" ref="F79">ROUNDUP('Private Boats 2026 Target'!AA6,-3)+50000</f>
        <v>290000</v>
      </c>
      <c r="G79" s="132"/>
      <c r="H79" s="17"/>
      <c r="I79" s="17"/>
      <c r="J79" s="17"/>
      <c r="K79" s="17"/>
      <c r="L79" s="17"/>
      <c r="M79" s="17"/>
      <c r="N79" s="17"/>
      <c r="O79" s="17"/>
      <c r="P79" s="17"/>
      <c r="Q79" s="17"/>
      <c r="R79" s="17"/>
      <c r="S79" s="17"/>
      <c r="T79" s="17"/>
      <c r="U79" s="17"/>
      <c r="V79" s="17"/>
      <c r="W79" s="17"/>
      <c r="X79" s="17"/>
      <c r="Y79" s="17"/>
      <c r="Z79" s="17"/>
      <c r="AA79" s="17"/>
      <c r="AB79" s="18"/>
    </row>
    <row r="80" ht="15" customHeight="1">
      <c r="A80" s="12"/>
      <c r="B80" t="s" s="84">
        <v>125</v>
      </c>
      <c r="C80" s="133" cm="1">
        <f t="array" ref="C80">ROUND(F17+AVERAGE(F22,F20,F24,F23,F25,F44)-400000,-4)</f>
        <v>13080000</v>
      </c>
      <c r="D80" s="129"/>
      <c r="E80" t="s" s="134">
        <v>126</v>
      </c>
      <c r="F80" s="135" cm="1">
        <f t="array" ref="F80">ROUNDUP('Private Boats 2026 Target'!AA12,-3)+50000</f>
        <v>1389000</v>
      </c>
      <c r="G80" s="132"/>
      <c r="H80" s="17"/>
      <c r="I80" s="17"/>
      <c r="J80" s="17"/>
      <c r="K80" s="17"/>
      <c r="L80" s="17"/>
      <c r="M80" s="17"/>
      <c r="N80" s="17"/>
      <c r="O80" s="17"/>
      <c r="P80" s="17"/>
      <c r="Q80" s="17"/>
      <c r="R80" s="17"/>
      <c r="S80" s="17"/>
      <c r="T80" s="17"/>
      <c r="U80" s="17"/>
      <c r="V80" s="17"/>
      <c r="W80" s="17"/>
      <c r="X80" s="17"/>
      <c r="Y80" s="17"/>
      <c r="Z80" s="17"/>
      <c r="AA80" s="17"/>
      <c r="AB80" s="18"/>
    </row>
    <row r="81" ht="15.5" customHeight="1">
      <c r="A81" s="12"/>
      <c r="B81" t="s" s="136">
        <v>127</v>
      </c>
      <c r="C81" s="137" cm="1">
        <f t="array" ref="C81">ROUND(F17+AVERAGE(F26:F29,F63)-400000,-4)</f>
        <v>15990000</v>
      </c>
      <c r="D81" s="129"/>
      <c r="E81" s="138"/>
      <c r="F81" s="139"/>
      <c r="G81" s="132"/>
      <c r="H81" s="17"/>
      <c r="I81" s="17"/>
      <c r="J81" s="17"/>
      <c r="K81" s="17"/>
      <c r="L81" s="17"/>
      <c r="M81" s="17"/>
      <c r="N81" s="17"/>
      <c r="O81" s="17"/>
      <c r="P81" s="17"/>
      <c r="Q81" s="17"/>
      <c r="R81" s="17"/>
      <c r="S81" s="17"/>
      <c r="T81" s="17"/>
      <c r="U81" s="17"/>
      <c r="V81" s="17"/>
      <c r="W81" s="17"/>
      <c r="X81" s="17"/>
      <c r="Y81" s="17"/>
      <c r="Z81" s="17"/>
      <c r="AA81" s="17"/>
      <c r="AB81" s="18"/>
    </row>
    <row r="82" ht="15.5" customHeight="1">
      <c r="A82" s="32"/>
      <c r="B82" s="33"/>
      <c r="C82" s="33"/>
      <c r="D82" s="140"/>
      <c r="E82" s="141"/>
      <c r="F82" s="141"/>
      <c r="G82" s="35"/>
      <c r="H82" s="35"/>
      <c r="I82" s="35"/>
      <c r="J82" s="17"/>
      <c r="K82" s="17"/>
      <c r="L82" s="17"/>
      <c r="M82" s="17"/>
      <c r="N82" s="17"/>
      <c r="O82" s="17"/>
      <c r="P82" s="17"/>
      <c r="Q82" s="17"/>
      <c r="R82" s="17"/>
      <c r="S82" s="17"/>
      <c r="T82" s="17"/>
      <c r="U82" s="17"/>
      <c r="V82" s="17"/>
      <c r="W82" s="17"/>
      <c r="X82" s="17"/>
      <c r="Y82" s="17"/>
      <c r="Z82" s="17"/>
      <c r="AA82" s="17"/>
      <c r="AB82" s="18"/>
    </row>
    <row r="83" ht="30.5" customHeight="1">
      <c r="A83" s="12"/>
      <c r="B83" s="142"/>
      <c r="C83" s="143"/>
      <c r="D83" t="s" s="65">
        <v>128</v>
      </c>
      <c r="E83" t="s" s="65">
        <v>129</v>
      </c>
      <c r="F83" t="s" s="65">
        <v>130</v>
      </c>
      <c r="G83" t="s" s="65">
        <v>131</v>
      </c>
      <c r="H83" t="s" s="65">
        <v>132</v>
      </c>
      <c r="I83" t="s" s="128">
        <v>133</v>
      </c>
      <c r="J83" s="16"/>
      <c r="K83" s="17"/>
      <c r="L83" s="17"/>
      <c r="M83" s="144"/>
      <c r="N83" s="17"/>
      <c r="O83" s="17"/>
      <c r="P83" s="17"/>
      <c r="Q83" s="17"/>
      <c r="R83" s="17"/>
      <c r="S83" s="17"/>
      <c r="T83" s="17"/>
      <c r="U83" s="17"/>
      <c r="V83" s="17"/>
      <c r="W83" s="17"/>
      <c r="X83" s="17"/>
      <c r="Y83" s="17"/>
      <c r="Z83" s="17"/>
      <c r="AA83" s="17"/>
      <c r="AB83" s="18"/>
    </row>
    <row r="84" ht="15.5" customHeight="1">
      <c r="A84" s="12"/>
      <c r="B84" t="s" s="145">
        <v>134</v>
      </c>
      <c r="C84" s="146"/>
      <c r="D84" s="147">
        <v>0.25</v>
      </c>
      <c r="E84" s="148">
        <v>0.25</v>
      </c>
      <c r="F84" s="148">
        <v>0.25</v>
      </c>
      <c r="G84" s="148">
        <v>0.15</v>
      </c>
      <c r="H84" s="148">
        <v>0.2</v>
      </c>
      <c r="I84" s="149">
        <v>0.2</v>
      </c>
      <c r="J84" s="16"/>
      <c r="K84" s="17"/>
      <c r="L84" s="17"/>
      <c r="M84" s="17"/>
      <c r="N84" s="17"/>
      <c r="O84" s="17"/>
      <c r="P84" s="17"/>
      <c r="Q84" s="17"/>
      <c r="R84" s="17"/>
      <c r="S84" s="17"/>
      <c r="T84" s="17"/>
      <c r="U84" s="17"/>
      <c r="V84" s="17"/>
      <c r="W84" s="17"/>
      <c r="X84" s="17"/>
      <c r="Y84" s="17"/>
      <c r="Z84" s="17"/>
      <c r="AA84" s="17"/>
      <c r="AB84" s="18"/>
    </row>
    <row r="85" ht="15.5" customHeight="1">
      <c r="A85" s="32"/>
      <c r="B85" s="33"/>
      <c r="C85" s="33"/>
      <c r="D85" s="33"/>
      <c r="E85" s="33"/>
      <c r="F85" s="150"/>
      <c r="G85" s="33"/>
      <c r="H85" s="33"/>
      <c r="I85" s="33"/>
      <c r="J85" s="17"/>
      <c r="K85" s="151"/>
      <c r="L85" s="35"/>
      <c r="M85" s="35"/>
      <c r="N85" s="17"/>
      <c r="O85" s="17"/>
      <c r="P85" s="17"/>
      <c r="Q85" s="17"/>
      <c r="R85" s="17"/>
      <c r="S85" s="17"/>
      <c r="T85" s="17"/>
      <c r="U85" s="17"/>
      <c r="V85" s="17"/>
      <c r="W85" s="17"/>
      <c r="X85" s="17"/>
      <c r="Y85" s="17"/>
      <c r="Z85" s="17"/>
      <c r="AA85" s="17"/>
      <c r="AB85" s="18"/>
    </row>
    <row r="86" ht="19.75" customHeight="1">
      <c r="A86" s="12"/>
      <c r="B86" t="s" s="152">
        <v>135</v>
      </c>
      <c r="C86" s="153"/>
      <c r="D86" s="153"/>
      <c r="E86" s="153"/>
      <c r="F86" s="154"/>
      <c r="G86" t="s" s="155">
        <v>136</v>
      </c>
      <c r="H86" s="156"/>
      <c r="I86" s="157"/>
      <c r="J86" s="71"/>
      <c r="K86" t="s" s="155">
        <v>137</v>
      </c>
      <c r="L86" s="156"/>
      <c r="M86" s="157"/>
      <c r="N86" s="16"/>
      <c r="O86" s="17"/>
      <c r="P86" s="17"/>
      <c r="Q86" s="17"/>
      <c r="R86" s="17"/>
      <c r="S86" s="17"/>
      <c r="T86" s="17"/>
      <c r="U86" s="17"/>
      <c r="V86" s="17"/>
      <c r="W86" s="17"/>
      <c r="X86" s="17"/>
      <c r="Y86" s="17"/>
      <c r="Z86" s="17"/>
      <c r="AA86" s="17"/>
      <c r="AB86" s="18"/>
    </row>
    <row r="87" ht="46.25" customHeight="1">
      <c r="A87" s="12"/>
      <c r="B87" t="s" s="75">
        <v>138</v>
      </c>
      <c r="C87" t="s" s="158">
        <v>139</v>
      </c>
      <c r="D87" t="s" s="159">
        <v>140</v>
      </c>
      <c r="E87" t="s" s="159">
        <v>141</v>
      </c>
      <c r="F87" t="s" s="159">
        <v>142</v>
      </c>
      <c r="G87" t="s" s="66">
        <v>143</v>
      </c>
      <c r="H87" t="s" s="66">
        <v>144</v>
      </c>
      <c r="I87" t="s" s="67">
        <v>145</v>
      </c>
      <c r="J87" s="160"/>
      <c r="K87" t="s" s="66">
        <v>19</v>
      </c>
      <c r="L87" t="s" s="66">
        <v>146</v>
      </c>
      <c r="M87" t="s" s="67">
        <v>21</v>
      </c>
      <c r="N87" s="16"/>
      <c r="O87" t="s" s="161">
        <v>147</v>
      </c>
      <c r="P87" s="162"/>
      <c r="Q87" s="163"/>
      <c r="R87" t="s" s="161">
        <v>148</v>
      </c>
      <c r="S87" s="162"/>
      <c r="T87" s="164"/>
      <c r="U87" s="164"/>
      <c r="V87" s="164"/>
      <c r="W87" s="164"/>
      <c r="X87" s="164"/>
      <c r="Y87" s="163"/>
      <c r="Z87" t="s" s="161">
        <v>149</v>
      </c>
      <c r="AA87" s="17"/>
      <c r="AB87" t="s" s="165">
        <v>150</v>
      </c>
    </row>
    <row r="88" ht="15.5" customHeight="1">
      <c r="A88" s="166">
        <v>1</v>
      </c>
      <c r="B88" s="167">
        <v>1</v>
      </c>
      <c r="C88" s="94" cm="1">
        <f t="array" ref="C88">ROUNDUP('Private Boats 2026 Target'!AA120,-2)</f>
        <v>0</v>
      </c>
      <c r="D88" s="168">
        <v>0</v>
      </c>
      <c r="E88" s="86" cm="1">
        <f t="array" ref="E88">ROUND($D$17*(100%+($E$84-$D$84))+D88,-3)</f>
        <v>12295000</v>
      </c>
      <c r="F88" s="86" cm="1">
        <f t="array" ref="F88">ROUND(($D$17*(100%+($F$84-$D$84))+D88)/(100%),-4)</f>
        <v>12300000</v>
      </c>
      <c r="G88" s="86" cm="1">
        <f t="array" ref="G88">ROUND(($D$17*(100%+($G$84-$D$84))+SUM($D$88:D88))/(100%-25%)/$A88,-3)</f>
        <v>14754000</v>
      </c>
      <c r="H88" s="86" cm="1">
        <f t="array" ref="H88">($D$17*(100%+($H$84-$D$84))+SUM($D$88:D88))/(100%-20%)/$A88</f>
        <v>14600312.5</v>
      </c>
      <c r="I88" s="87" cm="1">
        <f t="array" ref="I88">($D$17*(100%+($I$84-$D$84))+SUM($D$88:D88))/(100%-20%)/$A88</f>
        <v>14600312.5</v>
      </c>
      <c r="J88" s="160"/>
      <c r="K88" s="86" cm="1">
        <f t="array" ref="K88">($D$17*(100%+($G$84-$D$84))+SUM($D$88:D88))/(100%-25%)</f>
        <v>14754000</v>
      </c>
      <c r="L88" s="86" cm="1">
        <f t="array" ref="L88">($D$17*(100%+($H$84-$D$84))+SUM($D$88:D88))/(100%-20%)</f>
        <v>14600312.5</v>
      </c>
      <c r="M88" s="87" cm="1">
        <f t="array" ref="M88">($D$17*(100%+($I$84-$D$84))+SUM($D$88:D88))/(100%-20%)</f>
        <v>14600312.5</v>
      </c>
      <c r="N88" s="16"/>
      <c r="O88" s="169">
        <v>1</v>
      </c>
      <c r="P88" s="170" cm="1">
        <f t="array" ref="P88">E88</f>
        <v>12295000</v>
      </c>
      <c r="Q88" s="17"/>
      <c r="R88" s="169">
        <v>1</v>
      </c>
      <c r="S88" s="170" cm="1">
        <f t="array" ref="S88">E111</f>
        <v>13025000</v>
      </c>
      <c r="T88" s="17"/>
      <c r="U88" s="17"/>
      <c r="V88" s="17"/>
      <c r="W88" s="17"/>
      <c r="X88" s="171"/>
      <c r="Y88" s="172"/>
      <c r="Z88" s="173" cm="1">
        <f t="array" ref="Z88">ROUND((K88+$F$22/0.75)/A88,-3)</f>
        <v>15847000</v>
      </c>
      <c r="AA88" s="172"/>
      <c r="AB88" s="174" cm="1">
        <f t="array" ref="AB88">ROUND((K88+7205000/0.75)/A88,-3)</f>
        <v>24361000</v>
      </c>
    </row>
    <row r="89" ht="15.5" customHeight="1">
      <c r="A89" s="166">
        <v>2</v>
      </c>
      <c r="B89" s="167">
        <v>2</v>
      </c>
      <c r="C89" s="94" cm="1">
        <f t="array" ref="C89">ROUNDUP('Private Boats 2026 Target'!AA121,-2)</f>
        <v>195800</v>
      </c>
      <c r="D89" s="86" cm="1">
        <f t="array" ref="D89">$F$79</f>
        <v>290000</v>
      </c>
      <c r="E89" s="86" cm="1">
        <f t="array" ref="E89">ROUND(E88+D89,-3)</f>
        <v>12585000</v>
      </c>
      <c r="F89" s="86" cm="1">
        <f t="array" ref="F89">F88+D89</f>
        <v>12590000</v>
      </c>
      <c r="G89" s="86" cm="1">
        <f t="array" ref="G89">ROUND(($D$17*(100%+($G$84-$D$84))+SUM($D$88:D89))/(100%-25%)/$A89,-3)</f>
        <v>7570000</v>
      </c>
      <c r="H89" s="86" cm="1">
        <f t="array" ref="H89">($D$17*(100%+($H$84-$D$84))+SUM($D$88:D89))/(100%-20%)/$A89</f>
        <v>7481406.25</v>
      </c>
      <c r="I89" s="87" cm="1">
        <f t="array" ref="I89">($D$17*(100%+($I$84-$D$84))+SUM($D$88:D89))/(100%-20%)/$A89</f>
        <v>7481406.25</v>
      </c>
      <c r="J89" s="160"/>
      <c r="K89" s="86" cm="1">
        <f t="array" ref="K89">($D$17*(100%+($G$84-$D$84))+SUM($D$88:D89))/(100%-25%)</f>
        <v>15140666.6666667</v>
      </c>
      <c r="L89" s="86" cm="1">
        <f t="array" ref="L89">($D$17*(100%+($H$84-$D$84))+SUM($D$88:D89))/(100%-20%)</f>
        <v>14962812.5</v>
      </c>
      <c r="M89" s="87" cm="1">
        <f t="array" ref="M89">($D$17*(100%+($I$84-$D$84))+SUM($D$88:D89))/(100%-20%)</f>
        <v>14962812.5</v>
      </c>
      <c r="N89" s="16"/>
      <c r="O89" s="175">
        <v>2</v>
      </c>
      <c r="P89" s="170" cm="1">
        <f t="array" ref="P89">E89</f>
        <v>12585000</v>
      </c>
      <c r="Q89" s="17"/>
      <c r="R89" s="175">
        <v>2</v>
      </c>
      <c r="S89" s="170" cm="1">
        <f t="array" ref="S89">E112</f>
        <v>13344000</v>
      </c>
      <c r="T89" s="17"/>
      <c r="U89" s="17"/>
      <c r="V89" s="17"/>
      <c r="W89" s="17"/>
      <c r="X89" s="171"/>
      <c r="Y89" s="172"/>
      <c r="Z89" s="173" cm="1">
        <f t="array" ref="Z89">ROUND((K89+$F$22/0.75)/A89,-3)</f>
        <v>8117000</v>
      </c>
      <c r="AA89" s="172"/>
      <c r="AB89" s="174" cm="1">
        <f t="array" ref="AB89">ROUND((K89+7205000/0.75)/A89,-3)</f>
        <v>12374000</v>
      </c>
    </row>
    <row r="90" ht="15.5" customHeight="1">
      <c r="A90" s="166">
        <v>3</v>
      </c>
      <c r="B90" s="167">
        <v>3</v>
      </c>
      <c r="C90" s="94" cm="1">
        <f t="array" ref="C90">ROUNDUP('Private Boats 2026 Target'!AA122,-2)</f>
        <v>195800</v>
      </c>
      <c r="D90" s="86" cm="1">
        <f t="array" ref="D90">$F$79</f>
        <v>290000</v>
      </c>
      <c r="E90" s="86" cm="1">
        <f t="array" ref="E90">ROUND(E89+D90,-3)</f>
        <v>12875000</v>
      </c>
      <c r="F90" s="86" cm="1">
        <f t="array" ref="F90">F89+D90</f>
        <v>12880000</v>
      </c>
      <c r="G90" s="86" cm="1">
        <f t="array" ref="G90">ROUND(($D$17*(100%+($G$84-$D$84))+SUM($D$88:D90))/(100%-25%)/$A90,-3)</f>
        <v>5176000</v>
      </c>
      <c r="H90" s="86" cm="1">
        <f t="array" ref="H90">($D$17*(100%+($H$84-$D$84))+SUM($D$88:D90))/(100%-20%)/$A90</f>
        <v>5108437.5</v>
      </c>
      <c r="I90" s="87" cm="1">
        <f t="array" ref="I90">($D$17*(100%+($I$84-$D$84))+SUM($D$88:D90))/(100%-20%)/$A90</f>
        <v>5108437.5</v>
      </c>
      <c r="J90" s="160"/>
      <c r="K90" s="86" cm="1">
        <f t="array" ref="K90">($D$17*(100%+($G$84-$D$84))+SUM($D$88:D90))/(100%-25%)</f>
        <v>15527333.3333333</v>
      </c>
      <c r="L90" s="86" cm="1">
        <f t="array" ref="L90">($D$17*(100%+($H$84-$D$84))+SUM($D$88:D90))/(100%-20%)</f>
        <v>15325312.5</v>
      </c>
      <c r="M90" s="87" cm="1">
        <f t="array" ref="M90">($D$17*(100%+($I$84-$D$84))+SUM($D$88:D90))/(100%-20%)</f>
        <v>15325312.5</v>
      </c>
      <c r="N90" s="16"/>
      <c r="O90" s="169">
        <v>3</v>
      </c>
      <c r="P90" s="170" cm="1">
        <f t="array" ref="P90">E90</f>
        <v>12875000</v>
      </c>
      <c r="Q90" s="17"/>
      <c r="R90" s="169">
        <v>3</v>
      </c>
      <c r="S90" s="170" cm="1">
        <f t="array" ref="S90">E113</f>
        <v>13663000</v>
      </c>
      <c r="T90" s="17"/>
      <c r="U90" s="17"/>
      <c r="V90" s="17"/>
      <c r="W90" s="17"/>
      <c r="X90" s="171"/>
      <c r="Y90" s="172"/>
      <c r="Z90" s="173" cm="1">
        <f t="array" ref="Z90">ROUND((K90+$F$22/0.75)/A90,-3)</f>
        <v>5540000</v>
      </c>
      <c r="AA90" s="172"/>
      <c r="AB90" s="174" cm="1">
        <f t="array" ref="AB90">ROUND((K90+7205000/0.75)/A90,-3)</f>
        <v>8378000</v>
      </c>
    </row>
    <row r="91" ht="15.5" customHeight="1">
      <c r="A91" s="166">
        <v>4</v>
      </c>
      <c r="B91" s="167">
        <v>4</v>
      </c>
      <c r="C91" s="94" cm="1">
        <f t="array" ref="C91">ROUNDUP('Private Boats 2026 Target'!AA123,-2)</f>
        <v>195800</v>
      </c>
      <c r="D91" s="86" cm="1">
        <f t="array" ref="D91">$F$79</f>
        <v>290000</v>
      </c>
      <c r="E91" s="86" cm="1">
        <f t="array" ref="E91">ROUND(E90+D91,-3)</f>
        <v>13165000</v>
      </c>
      <c r="F91" s="86" cm="1">
        <f t="array" ref="F91">F90+D91</f>
        <v>13170000</v>
      </c>
      <c r="G91" s="86" cm="1">
        <f t="array" ref="G91">ROUND(($D$17*(100%+($G$84-$D$84))+SUM($D$88:D91))/(100%-25%)/$A91,-3)</f>
        <v>3979000</v>
      </c>
      <c r="H91" s="86" cm="1">
        <f t="array" ref="H91">($D$17*(100%+($H$84-$D$84))+SUM($D$88:D91))/(100%-20%)/$A91</f>
        <v>3921953.125</v>
      </c>
      <c r="I91" s="87" cm="1">
        <f t="array" ref="I91">($D$17*(100%+($I$84-$D$84))+SUM($D$88:D91))/(100%-20%)/$A91</f>
        <v>3921953.125</v>
      </c>
      <c r="J91" s="160"/>
      <c r="K91" s="86" cm="1">
        <f t="array" ref="K91">($D$17*(100%+($G$84-$D$84))+SUM($D$88:D91))/(100%-25%)</f>
        <v>15914000</v>
      </c>
      <c r="L91" s="86" cm="1">
        <f t="array" ref="L91">($D$17*(100%+($H$84-$D$84))+SUM($D$88:D91))/(100%-20%)</f>
        <v>15687812.5</v>
      </c>
      <c r="M91" s="87" cm="1">
        <f t="array" ref="M91">($D$17*(100%+($I$84-$D$84))+SUM($D$88:D91))/(100%-20%)</f>
        <v>15687812.5</v>
      </c>
      <c r="N91" s="16"/>
      <c r="O91" s="175">
        <v>4</v>
      </c>
      <c r="P91" s="170" cm="1">
        <f t="array" ref="P91">E91</f>
        <v>13165000</v>
      </c>
      <c r="Q91" s="17"/>
      <c r="R91" s="175">
        <v>4</v>
      </c>
      <c r="S91" s="170" cm="1">
        <f t="array" ref="S91">E114</f>
        <v>13982000</v>
      </c>
      <c r="T91" s="17"/>
      <c r="U91" s="17"/>
      <c r="V91" s="17"/>
      <c r="W91" s="17"/>
      <c r="X91" s="171"/>
      <c r="Y91" s="172"/>
      <c r="Z91" s="173" cm="1">
        <f t="array" ref="Z91">ROUND((K91+$F$22/0.75)/A91,-3)</f>
        <v>4252000</v>
      </c>
      <c r="AA91" s="172"/>
      <c r="AB91" s="174" cm="1">
        <f t="array" ref="AB91">ROUND((K91+7205000/0.75)/A91,-3)</f>
        <v>6380000</v>
      </c>
    </row>
    <row r="92" ht="15.5" customHeight="1">
      <c r="A92" s="166">
        <v>5</v>
      </c>
      <c r="B92" s="167">
        <v>5</v>
      </c>
      <c r="C92" s="94" cm="1">
        <f t="array" ref="C92">ROUNDUP('Private Boats 2026 Target'!AA124,-2)</f>
        <v>195800</v>
      </c>
      <c r="D92" s="86" cm="1">
        <f t="array" ref="D92">$F$79</f>
        <v>290000</v>
      </c>
      <c r="E92" s="86" cm="1">
        <f t="array" ref="E92">ROUND(E91+D92,-3)</f>
        <v>13455000</v>
      </c>
      <c r="F92" s="86" cm="1">
        <f t="array" ref="F92">F91+D92</f>
        <v>13460000</v>
      </c>
      <c r="G92" s="86" cm="1">
        <f t="array" ref="G92">ROUND(($D$17*(100%+($G$84-$D$84))+SUM($D$88:D92))/(100%-25%)/$A92,-3)</f>
        <v>3260000</v>
      </c>
      <c r="H92" s="86" cm="1">
        <f t="array" ref="H92">($D$17*(100%+($H$84-$D$84))+SUM($D$88:D92))/(100%-20%)/$A92</f>
        <v>3210062.5</v>
      </c>
      <c r="I92" s="87" cm="1">
        <f t="array" ref="I92">($D$17*(100%+($I$84-$D$84))+SUM($D$88:D92))/(100%-20%)/$A92</f>
        <v>3210062.5</v>
      </c>
      <c r="J92" s="160"/>
      <c r="K92" s="86" cm="1">
        <f t="array" ref="K92">($D$17*(100%+($G$84-$D$84))+SUM($D$88:D92))/(100%-25%)</f>
        <v>16300666.6666667</v>
      </c>
      <c r="L92" s="86" cm="1">
        <f t="array" ref="L92">($D$17*(100%+($H$84-$D$84))+SUM($D$88:D92))/(100%-20%)</f>
        <v>16050312.5</v>
      </c>
      <c r="M92" s="87" cm="1">
        <f t="array" ref="M92">($D$17*(100%+($I$84-$D$84))+SUM($D$88:D92))/(100%-20%)</f>
        <v>16050312.5</v>
      </c>
      <c r="N92" s="16"/>
      <c r="O92" s="169">
        <v>5</v>
      </c>
      <c r="P92" s="170" cm="1">
        <f t="array" ref="P92">E92</f>
        <v>13455000</v>
      </c>
      <c r="Q92" s="176"/>
      <c r="R92" s="169">
        <v>5</v>
      </c>
      <c r="S92" s="170" cm="1">
        <f t="array" ref="S92">E115</f>
        <v>14301000</v>
      </c>
      <c r="T92" s="17"/>
      <c r="U92" s="17"/>
      <c r="V92" s="17"/>
      <c r="W92" s="17"/>
      <c r="X92" s="171"/>
      <c r="Y92" s="172"/>
      <c r="Z92" s="173" cm="1">
        <f t="array" ref="Z92">ROUND((K92+$F$22/0.75)/A92,-3)</f>
        <v>3479000</v>
      </c>
      <c r="AA92" s="172"/>
      <c r="AB92" s="174" cm="1">
        <f t="array" ref="AB92">ROUND((K92+7205000/0.75)/A92,-3)</f>
        <v>5181000</v>
      </c>
    </row>
    <row r="93" ht="15.5" customHeight="1">
      <c r="A93" s="166">
        <v>6</v>
      </c>
      <c r="B93" t="s" s="84">
        <v>151</v>
      </c>
      <c r="C93" s="94" cm="1">
        <f t="array" ref="C93">ROUNDUP('Private Boats 2026 Target'!AA125,-2)</f>
        <v>195800</v>
      </c>
      <c r="D93" s="86" cm="1">
        <f t="array" ref="D93">$F$79</f>
        <v>290000</v>
      </c>
      <c r="E93" s="86" cm="1">
        <f t="array" ref="E93">ROUND(E92+D93,-3)</f>
        <v>13745000</v>
      </c>
      <c r="F93" s="86" cm="1">
        <f t="array" ref="F93">F92+D93</f>
        <v>13750000</v>
      </c>
      <c r="G93" s="86" cm="1">
        <f t="array" ref="G93">ROUND(($D$17*(100%+($G$84-$D$84))+SUM($D$88:D93))/(100%-25%)/$A93,-3)</f>
        <v>2781000</v>
      </c>
      <c r="H93" s="86" cm="1">
        <f t="array" ref="H93">($D$17*(100%+($H$84-$D$84))+SUM($D$88:D93))/(100%-20%)/$A93</f>
        <v>2735468.75</v>
      </c>
      <c r="I93" s="87" cm="1">
        <f t="array" ref="I93">($D$17*(100%+($I$84-$D$84))+SUM($D$88:D93))/(100%-20%)/$A93</f>
        <v>2735468.75</v>
      </c>
      <c r="J93" s="160"/>
      <c r="K93" s="86" cm="1">
        <f t="array" ref="K93">($D$17*(100%+($G$84-$D$84))+SUM($D$88:D93))/(100%-25%)</f>
        <v>16687333.3333333</v>
      </c>
      <c r="L93" s="86" cm="1">
        <f t="array" ref="L93">($D$17*(100%+($H$84-$D$84))+SUM($D$88:D93))/(100%-20%)</f>
        <v>16412812.5</v>
      </c>
      <c r="M93" s="87" cm="1">
        <f t="array" ref="M93">($D$17*(100%+($I$84-$D$84))+SUM($D$88:D93))/(100%-20%)</f>
        <v>16412812.5</v>
      </c>
      <c r="N93" s="16"/>
      <c r="O93" s="175">
        <v>6</v>
      </c>
      <c r="P93" s="170" cm="1">
        <f t="array" ref="P93">E93</f>
        <v>13745000</v>
      </c>
      <c r="Q93" s="17"/>
      <c r="R93" s="175">
        <v>6</v>
      </c>
      <c r="S93" s="170" cm="1">
        <f t="array" ref="S93">E116</f>
        <v>14620000</v>
      </c>
      <c r="T93" s="17"/>
      <c r="U93" s="17"/>
      <c r="V93" s="17"/>
      <c r="W93" s="17"/>
      <c r="X93" s="171"/>
      <c r="Y93" s="172"/>
      <c r="Z93" s="173" cm="1">
        <f t="array" ref="Z93">ROUND((K93+$F$22/0.75)/A93,-3)</f>
        <v>2963000</v>
      </c>
      <c r="AA93" s="172"/>
      <c r="AB93" s="174" cm="1">
        <f t="array" ref="AB93">ROUND((K93+7205000/0.75)/A93,-3)</f>
        <v>4382000</v>
      </c>
    </row>
    <row r="94" ht="15.5" customHeight="1">
      <c r="A94" s="166">
        <v>7</v>
      </c>
      <c r="B94" s="167">
        <v>7</v>
      </c>
      <c r="C94" s="94" cm="1">
        <f t="array" ref="C94">ROUNDUP('Private Boats 2026 Target'!AA126,-2)</f>
        <v>195800</v>
      </c>
      <c r="D94" s="86" cm="1">
        <f t="array" ref="D94">$F$79</f>
        <v>290000</v>
      </c>
      <c r="E94" s="86" cm="1">
        <f t="array" ref="E94">ROUND(E93+D94,-3)</f>
        <v>14035000</v>
      </c>
      <c r="F94" s="86" cm="1">
        <f t="array" ref="F94">F93+D94</f>
        <v>14040000</v>
      </c>
      <c r="G94" s="86" cm="1">
        <f t="array" ref="G94">ROUND(($D$17*(100%+($G$84-$D$84))+SUM($D$88:D94))/(100%-25%)/$A94,-3)</f>
        <v>2439000</v>
      </c>
      <c r="H94" s="86" cm="1">
        <f t="array" ref="H94">($D$17*(100%+($H$84-$D$84))+SUM($D$88:D94))/(100%-20%)/$A94</f>
        <v>2396473.21428571</v>
      </c>
      <c r="I94" s="87" cm="1">
        <f t="array" ref="I94">($D$17*(100%+($I$84-$D$84))+SUM($D$88:D94))/(100%-20%)/$A94</f>
        <v>2396473.21428571</v>
      </c>
      <c r="J94" s="160"/>
      <c r="K94" s="86" cm="1">
        <f t="array" ref="K94">($D$17*(100%+($G$84-$D$84))+SUM($D$88:D94))/(100%-25%)</f>
        <v>17074000</v>
      </c>
      <c r="L94" s="86" cm="1">
        <f t="array" ref="L94">($D$17*(100%+($H$84-$D$84))+SUM($D$88:D94))/(100%-20%)</f>
        <v>16775312.5</v>
      </c>
      <c r="M94" s="87" cm="1">
        <f t="array" ref="M94">($D$17*(100%+($I$84-$D$84))+SUM($D$88:D94))/(100%-20%)</f>
        <v>16775312.5</v>
      </c>
      <c r="N94" s="16"/>
      <c r="O94" s="169">
        <v>7</v>
      </c>
      <c r="P94" s="170" cm="1">
        <f t="array" ref="P94">E94</f>
        <v>14035000</v>
      </c>
      <c r="Q94" s="17"/>
      <c r="R94" s="169">
        <v>7</v>
      </c>
      <c r="S94" s="170" cm="1">
        <f t="array" ref="S94">E117</f>
        <v>14939000</v>
      </c>
      <c r="T94" s="17"/>
      <c r="U94" s="17"/>
      <c r="V94" s="17"/>
      <c r="W94" s="17"/>
      <c r="X94" s="171"/>
      <c r="Y94" s="172"/>
      <c r="Z94" s="173" cm="1">
        <f t="array" ref="Z94">ROUND((K94+$F$22/0.75)/A94,-3)</f>
        <v>2595000</v>
      </c>
      <c r="AA94" s="172"/>
      <c r="AB94" s="174" cm="1">
        <f t="array" ref="AB94">ROUND((K94+7205000/0.75)/A94,-3)</f>
        <v>3812000</v>
      </c>
    </row>
    <row r="95" ht="15.5" customHeight="1">
      <c r="A95" s="166">
        <v>8</v>
      </c>
      <c r="B95" s="167">
        <v>8</v>
      </c>
      <c r="C95" s="94" cm="1">
        <f t="array" ref="C95">ROUNDUP('Private Boats 2026 Target'!AA127,-2)</f>
        <v>1294600</v>
      </c>
      <c r="D95" s="86" cm="1">
        <f t="array" ref="D95">$F$80</f>
        <v>1389000</v>
      </c>
      <c r="E95" s="86" cm="1">
        <f t="array" ref="E95">ROUND(E94+D95,-3)</f>
        <v>15424000</v>
      </c>
      <c r="F95" s="86" cm="1">
        <f t="array" ref="F95">F94+D95</f>
        <v>15429000</v>
      </c>
      <c r="G95" s="86" cm="1">
        <f t="array" ref="G95">ROUND(($D$17*(100%+($G$84-$D$84))+SUM($D$88:D95))/(100%-25%)/$A95,-3)</f>
        <v>2366000</v>
      </c>
      <c r="H95" s="86" cm="1">
        <f t="array" ref="H95">($D$17*(100%+($H$84-$D$84))+SUM($D$88:D95))/(100%-20%)/$A95</f>
        <v>2313945.3125</v>
      </c>
      <c r="I95" s="87" cm="1">
        <f t="array" ref="I95">($D$17*(100%+($I$84-$D$84))+SUM($D$88:D95))/(100%-20%)/$A95</f>
        <v>2313945.3125</v>
      </c>
      <c r="J95" s="160"/>
      <c r="K95" s="86" cm="1">
        <f t="array" ref="K95">($D$17*(100%+($G$84-$D$84))+SUM($D$88:D95))/(100%-25%)</f>
        <v>18926000</v>
      </c>
      <c r="L95" s="86" cm="1">
        <f t="array" ref="L95">($D$17*(100%+($H$84-$D$84))+SUM($D$88:D95))/(100%-20%)</f>
        <v>18511562.5</v>
      </c>
      <c r="M95" s="87" cm="1">
        <f t="array" ref="M95">($D$17*(100%+($I$84-$D$84))+SUM($D$88:D95))/(100%-20%)</f>
        <v>18511562.5</v>
      </c>
      <c r="N95" s="16"/>
      <c r="O95" s="175">
        <v>8</v>
      </c>
      <c r="P95" s="170" cm="1">
        <f t="array" ref="P95">E95</f>
        <v>15424000</v>
      </c>
      <c r="Q95" s="17"/>
      <c r="R95" s="175">
        <v>8</v>
      </c>
      <c r="S95" s="170" cm="1">
        <f t="array" ref="S95">E118</f>
        <v>16466000</v>
      </c>
      <c r="T95" s="17"/>
      <c r="U95" s="17"/>
      <c r="V95" s="17"/>
      <c r="W95" s="17"/>
      <c r="X95" s="171"/>
      <c r="Y95" s="172"/>
      <c r="Z95" s="173" cm="1">
        <f t="array" ref="Z95">ROUND((K95+$F$22/0.75)/A95,-3)</f>
        <v>2502000</v>
      </c>
      <c r="AA95" s="172"/>
      <c r="AB95" s="174" cm="1">
        <f t="array" ref="AB95">ROUND((K95+7205000/0.75)/A95,-3)</f>
        <v>3567000</v>
      </c>
    </row>
    <row r="96" ht="15.5" customHeight="1">
      <c r="A96" s="166">
        <v>9</v>
      </c>
      <c r="B96" s="167">
        <v>9</v>
      </c>
      <c r="C96" s="94" cm="1">
        <f t="array" ref="C96">ROUNDUP('Private Boats 2026 Target'!AA128,-2)</f>
        <v>195800</v>
      </c>
      <c r="D96" s="86" cm="1">
        <f t="array" ref="D96">$F$79</f>
        <v>290000</v>
      </c>
      <c r="E96" s="86" cm="1">
        <f t="array" ref="E96">ROUND(E95+D96,-3)</f>
        <v>15714000</v>
      </c>
      <c r="F96" s="86" cm="1">
        <f t="array" ref="F96">F95+D96</f>
        <v>15719000</v>
      </c>
      <c r="G96" s="86" cm="1">
        <f t="array" ref="G96">ROUND(($D$17*(100%+($G$84-$D$84))+SUM($D$88:D96))/(100%-25%)/$A96,-3)</f>
        <v>2146000</v>
      </c>
      <c r="H96" s="86" cm="1">
        <f t="array" ref="H96">($D$17*(100%+($H$84-$D$84))+SUM($D$88:D96))/(100%-20%)/$A96</f>
        <v>2097118.05555556</v>
      </c>
      <c r="I96" s="87" cm="1">
        <f t="array" ref="I96">($D$17*(100%+($I$84-$D$84))+SUM($D$88:D96))/(100%-20%)/$A96</f>
        <v>2097118.05555556</v>
      </c>
      <c r="J96" s="160"/>
      <c r="K96" s="86" cm="1">
        <f t="array" ref="K96">($D$17*(100%+($G$84-$D$84))+SUM($D$88:D96))/(100%-25%)</f>
        <v>19312666.6666667</v>
      </c>
      <c r="L96" s="86" cm="1">
        <f t="array" ref="L96">($D$17*(100%+($H$84-$D$84))+SUM($D$88:D96))/(100%-20%)</f>
        <v>18874062.5</v>
      </c>
      <c r="M96" s="87" cm="1">
        <f t="array" ref="M96">($D$17*(100%+($I$84-$D$84))+SUM($D$88:D96))/(100%-20%)</f>
        <v>18874062.5</v>
      </c>
      <c r="N96" s="16"/>
      <c r="O96" s="169">
        <v>9</v>
      </c>
      <c r="P96" s="170" cm="1">
        <f t="array" ref="P96">E96</f>
        <v>15714000</v>
      </c>
      <c r="Q96" s="17"/>
      <c r="R96" s="169">
        <v>9</v>
      </c>
      <c r="S96" s="170" cm="1">
        <f t="array" ref="S96">E119</f>
        <v>16785000</v>
      </c>
      <c r="T96" s="17"/>
      <c r="U96" s="17"/>
      <c r="V96" s="17"/>
      <c r="W96" s="17"/>
      <c r="X96" s="171"/>
      <c r="Y96" s="172"/>
      <c r="Z96" s="173" cm="1">
        <f t="array" ref="Z96">ROUND((K96+$F$22/0.75)/A96,-3)</f>
        <v>2267000</v>
      </c>
      <c r="AA96" s="172"/>
      <c r="AB96" s="174" cm="1">
        <f t="array" ref="AB96">ROUND((K96+7205000/0.75)/A96,-3)</f>
        <v>3213000</v>
      </c>
    </row>
    <row r="97" ht="15.5" customHeight="1">
      <c r="A97" s="166">
        <v>10</v>
      </c>
      <c r="B97" s="167">
        <v>10</v>
      </c>
      <c r="C97" s="94" cm="1">
        <f t="array" ref="C97">ROUNDUP('Private Boats 2026 Target'!AA129,-2)</f>
        <v>195800</v>
      </c>
      <c r="D97" s="86" cm="1">
        <f t="array" ref="D97">$F$79</f>
        <v>290000</v>
      </c>
      <c r="E97" s="86" cm="1">
        <f t="array" ref="E97">ROUND(E96+D97,-3)</f>
        <v>16004000</v>
      </c>
      <c r="F97" s="86" cm="1">
        <f t="array" ref="F97">F96+D97</f>
        <v>16009000</v>
      </c>
      <c r="G97" s="86" cm="1">
        <f t="array" ref="G97">ROUND(($D$17*(100%+($G$84-$D$84))+SUM($D$88:D97))/(100%-25%)/$A97,-3)</f>
        <v>1970000</v>
      </c>
      <c r="H97" s="86" cm="1">
        <f t="array" ref="H97">($D$17*(100%+($H$84-$D$84))+SUM($D$88:D97))/(100%-20%)/$A97</f>
        <v>1923656.25</v>
      </c>
      <c r="I97" s="87" cm="1">
        <f t="array" ref="I97">($D$17*(100%+($I$84-$D$84))+SUM($D$88:D97))/(100%-20%)/$A97</f>
        <v>1923656.25</v>
      </c>
      <c r="J97" s="160"/>
      <c r="K97" s="86" cm="1">
        <f t="array" ref="K97">($D$17*(100%+($G$84-$D$84))+SUM($D$88:D97))/(100%-25%)</f>
        <v>19699333.3333333</v>
      </c>
      <c r="L97" s="86" cm="1">
        <f t="array" ref="L97">($D$17*(100%+($H$84-$D$84))+SUM($D$88:D97))/(100%-20%)</f>
        <v>19236562.5</v>
      </c>
      <c r="M97" s="87" cm="1">
        <f t="array" ref="M97">($D$17*(100%+($I$84-$D$84))+SUM($D$88:D97))/(100%-20%)</f>
        <v>19236562.5</v>
      </c>
      <c r="N97" s="16"/>
      <c r="O97" s="175">
        <v>10</v>
      </c>
      <c r="P97" s="170" cm="1">
        <f t="array" ref="P97">E97</f>
        <v>16004000</v>
      </c>
      <c r="Q97" s="17"/>
      <c r="R97" s="175">
        <v>10</v>
      </c>
      <c r="S97" s="170" cm="1">
        <f t="array" ref="S97">E120</f>
        <v>17104000</v>
      </c>
      <c r="T97" s="17"/>
      <c r="U97" s="17"/>
      <c r="V97" s="17"/>
      <c r="W97" s="17"/>
      <c r="X97" s="171"/>
      <c r="Y97" s="172"/>
      <c r="Z97" s="173" cm="1">
        <f t="array" ref="Z97">ROUND((K97+$F$22/0.75)/A97,-3)</f>
        <v>2079000</v>
      </c>
      <c r="AA97" s="172"/>
      <c r="AB97" s="174" cm="1">
        <f t="array" ref="AB97">ROUND((K97+7205000/0.75)/A97,-3)</f>
        <v>2931000</v>
      </c>
    </row>
    <row r="98" ht="15.5" customHeight="1">
      <c r="A98" s="166">
        <v>11</v>
      </c>
      <c r="B98" s="167">
        <v>11</v>
      </c>
      <c r="C98" s="94" cm="1">
        <f t="array" ref="C98">ROUNDUP('Private Boats 2026 Target'!AA130,-2)</f>
        <v>195800</v>
      </c>
      <c r="D98" s="86" cm="1">
        <f t="array" ref="D98">$F$79</f>
        <v>290000</v>
      </c>
      <c r="E98" s="86" cm="1">
        <f t="array" ref="E98">ROUND(E97+D98,-3)</f>
        <v>16294000</v>
      </c>
      <c r="F98" s="86" cm="1">
        <f t="array" ref="F98">F97+D98</f>
        <v>16299000</v>
      </c>
      <c r="G98" s="86" cm="1">
        <f t="array" ref="G98">ROUND(($D$17*(100%+($G$84-$D$84))+SUM($D$88:D98))/(100%-25%)/$A98,-3)</f>
        <v>1826000</v>
      </c>
      <c r="H98" s="86" cm="1">
        <f t="array" ref="H98">($D$17*(100%+($H$84-$D$84))+SUM($D$88:D98))/(100%-20%)/$A98</f>
        <v>1781732.95454545</v>
      </c>
      <c r="I98" s="87" cm="1">
        <f t="array" ref="I98">($D$17*(100%+($I$84-$D$84))+SUM($D$88:D98))/(100%-20%)/$A98</f>
        <v>1781732.95454545</v>
      </c>
      <c r="J98" s="160"/>
      <c r="K98" s="86" cm="1">
        <f t="array" ref="K98">($D$17*(100%+($G$84-$D$84))+SUM($D$88:D98))/(100%-25%)</f>
        <v>20086000</v>
      </c>
      <c r="L98" s="86" cm="1">
        <f t="array" ref="L98">($D$17*(100%+($H$84-$D$84))+SUM($D$88:D98))/(100%-20%)</f>
        <v>19599062.5</v>
      </c>
      <c r="M98" s="87" cm="1">
        <f t="array" ref="M98">($D$17*(100%+($I$84-$D$84))+SUM($D$88:D98))/(100%-20%)</f>
        <v>19599062.5</v>
      </c>
      <c r="N98" s="16"/>
      <c r="O98" s="169">
        <v>11</v>
      </c>
      <c r="P98" s="170" cm="1">
        <f t="array" ref="P98">E98</f>
        <v>16294000</v>
      </c>
      <c r="Q98" s="17"/>
      <c r="R98" s="169">
        <v>11</v>
      </c>
      <c r="S98" s="170" cm="1">
        <f t="array" ref="S98">E121</f>
        <v>17423000</v>
      </c>
      <c r="T98" s="17"/>
      <c r="U98" s="17"/>
      <c r="V98" s="17"/>
      <c r="W98" s="17"/>
      <c r="X98" s="171"/>
      <c r="Y98" s="172"/>
      <c r="Z98" s="173" cm="1">
        <f t="array" ref="Z98">ROUND((K98+$F$22/0.75)/A98,-3)</f>
        <v>1925000</v>
      </c>
      <c r="AA98" s="172"/>
      <c r="AB98" s="174" cm="1">
        <f t="array" ref="AB98">ROUND((K98+7205000/0.75)/A98,-3)</f>
        <v>2699000</v>
      </c>
    </row>
    <row r="99" ht="15.5" customHeight="1">
      <c r="A99" s="166">
        <v>12</v>
      </c>
      <c r="B99" s="167">
        <v>12</v>
      </c>
      <c r="C99" s="94" cm="1">
        <f t="array" ref="C99">ROUNDUP('Private Boats 2026 Target'!AA131,-2)</f>
        <v>195800</v>
      </c>
      <c r="D99" s="86" cm="1">
        <f t="array" ref="D99">$F$79</f>
        <v>290000</v>
      </c>
      <c r="E99" s="86" cm="1">
        <f t="array" ref="E99">ROUND(E98+D99,-3)</f>
        <v>16584000</v>
      </c>
      <c r="F99" s="86" cm="1">
        <f t="array" ref="F99">F98+D99</f>
        <v>16589000</v>
      </c>
      <c r="G99" s="86" cm="1">
        <f t="array" ref="G99">ROUND(($D$17*(100%+($G$84-$D$84))+SUM($D$88:D99))/(100%-25%)/$A99,-3)</f>
        <v>1706000</v>
      </c>
      <c r="H99" s="86" cm="1">
        <f t="array" ref="H99">($D$17*(100%+($H$84-$D$84))+SUM($D$88:D99))/(100%-20%)/$A99</f>
        <v>1663463.54166667</v>
      </c>
      <c r="I99" s="87" cm="1">
        <f t="array" ref="I99">($D$17*(100%+($I$84-$D$84))+SUM($D$88:D99))/(100%-20%)/$A99</f>
        <v>1663463.54166667</v>
      </c>
      <c r="J99" s="160"/>
      <c r="K99" s="86" cm="1">
        <f t="array" ref="K99">($D$17*(100%+($G$84-$D$84))+SUM($D$88:D99))/(100%-25%)</f>
        <v>20472666.6666667</v>
      </c>
      <c r="L99" s="86" cm="1">
        <f t="array" ref="L99">($D$17*(100%+($H$84-$D$84))+SUM($D$88:D99))/(100%-20%)</f>
        <v>19961562.5</v>
      </c>
      <c r="M99" s="87" cm="1">
        <f t="array" ref="M99">($D$17*(100%+($I$84-$D$84))+SUM($D$88:D99))/(100%-20%)</f>
        <v>19961562.5</v>
      </c>
      <c r="N99" s="16"/>
      <c r="O99" s="175">
        <v>12</v>
      </c>
      <c r="P99" s="170" cm="1">
        <f t="array" ref="P99">E99</f>
        <v>16584000</v>
      </c>
      <c r="Q99" s="17"/>
      <c r="R99" s="175">
        <v>12</v>
      </c>
      <c r="S99" s="170" cm="1">
        <f t="array" ref="S99">E122</f>
        <v>17742000</v>
      </c>
      <c r="T99" s="17"/>
      <c r="U99" s="17"/>
      <c r="V99" s="17"/>
      <c r="W99" s="17"/>
      <c r="X99" s="171"/>
      <c r="Y99" s="172"/>
      <c r="Z99" s="173" cm="1">
        <f t="array" ref="Z99">ROUND((K99+$F$22/0.75)/A99,-3)</f>
        <v>1797000</v>
      </c>
      <c r="AA99" s="172"/>
      <c r="AB99" s="174" cm="1">
        <f t="array" ref="AB99">ROUND((K99+7205000/0.75)/A99,-3)</f>
        <v>2507000</v>
      </c>
    </row>
    <row r="100" ht="15.5" customHeight="1">
      <c r="A100" s="166">
        <v>13</v>
      </c>
      <c r="B100" s="167">
        <v>13</v>
      </c>
      <c r="C100" s="94" cm="1">
        <f t="array" ref="C100">ROUNDUP('Private Boats 2026 Target'!AA132,-2)</f>
        <v>195800</v>
      </c>
      <c r="D100" s="86" cm="1">
        <f t="array" ref="D100">$F$79</f>
        <v>290000</v>
      </c>
      <c r="E100" s="86" cm="1">
        <f t="array" ref="E100">ROUND(E99+D100,-3)</f>
        <v>16874000</v>
      </c>
      <c r="F100" s="86" cm="1">
        <f t="array" ref="F100">F99+D100</f>
        <v>16879000</v>
      </c>
      <c r="G100" s="86" cm="1">
        <f t="array" ref="G100">ROUND(($D$17*(100%+($G$84-$D$84))+SUM($D$88:D100))/(100%-25%)/$A100,-3)</f>
        <v>1605000</v>
      </c>
      <c r="H100" s="86" cm="1">
        <f t="array" ref="H100">($D$17*(100%+($H$84-$D$84))+SUM($D$88:D100))/(100%-20%)/$A100</f>
        <v>1563389.42307692</v>
      </c>
      <c r="I100" s="87" cm="1">
        <f t="array" ref="I100">($D$17*(100%+($I$84-$D$84))+SUM($D$88:D100))/(100%-20%)/$A100</f>
        <v>1563389.42307692</v>
      </c>
      <c r="J100" s="160"/>
      <c r="K100" s="86" cm="1">
        <f t="array" ref="K100">($D$17*(100%+($G$84-$D$84))+SUM($D$88:D100))/(100%-25%)</f>
        <v>20859333.3333333</v>
      </c>
      <c r="L100" s="86" cm="1">
        <f t="array" ref="L100">($D$17*(100%+($H$84-$D$84))+SUM($D$88:D100))/(100%-20%)</f>
        <v>20324062.5</v>
      </c>
      <c r="M100" s="87" cm="1">
        <f t="array" ref="M100">($D$17*(100%+($I$84-$D$84))+SUM($D$88:D100))/(100%-20%)</f>
        <v>20324062.5</v>
      </c>
      <c r="N100" s="16"/>
      <c r="O100" s="169">
        <v>13</v>
      </c>
      <c r="P100" s="170" cm="1">
        <f t="array" ref="P100">E100</f>
        <v>16874000</v>
      </c>
      <c r="Q100" s="17"/>
      <c r="R100" s="169">
        <v>13</v>
      </c>
      <c r="S100" s="170" cm="1">
        <f t="array" ref="S100">E123</f>
        <v>18061000</v>
      </c>
      <c r="T100" s="17"/>
      <c r="U100" s="17"/>
      <c r="V100" s="17"/>
      <c r="W100" s="17"/>
      <c r="X100" s="171"/>
      <c r="Y100" s="172"/>
      <c r="Z100" s="173" cm="1">
        <f t="array" ref="Z100">ROUND((K100+$F$22/0.75)/A100,-3)</f>
        <v>1689000</v>
      </c>
      <c r="AA100" s="172"/>
      <c r="AB100" s="174" cm="1">
        <f t="array" ref="AB100">ROUND((K100+7205000/0.75)/A100,-3)</f>
        <v>2344000</v>
      </c>
    </row>
    <row r="101" ht="15.5" customHeight="1">
      <c r="A101" s="166">
        <v>14</v>
      </c>
      <c r="B101" s="167">
        <v>14</v>
      </c>
      <c r="C101" s="94" cm="1">
        <f t="array" ref="C101">ROUNDUP('Private Boats 2026 Target'!AA133,-2)</f>
        <v>195800</v>
      </c>
      <c r="D101" s="86" cm="1">
        <f t="array" ref="D101">$F$79</f>
        <v>290000</v>
      </c>
      <c r="E101" s="86" cm="1">
        <f t="array" ref="E101">ROUND(E100+D101,-3)</f>
        <v>17164000</v>
      </c>
      <c r="F101" s="86" cm="1">
        <f t="array" ref="F101">F100+D101</f>
        <v>17169000</v>
      </c>
      <c r="G101" s="86" cm="1">
        <f t="array" ref="G101">ROUND(($D$17*(100%+($G$84-$D$84))+SUM($D$88:D101))/(100%-25%)/$A101,-3)</f>
        <v>1518000</v>
      </c>
      <c r="H101" s="86" cm="1">
        <f t="array" ref="H101">($D$17*(100%+($H$84-$D$84))+SUM($D$88:D101))/(100%-20%)/$A101</f>
        <v>1477611.60714286</v>
      </c>
      <c r="I101" s="87" cm="1">
        <f t="array" ref="I101">($D$17*(100%+($I$84-$D$84))+SUM($D$88:D101))/(100%-20%)/$A101</f>
        <v>1477611.60714286</v>
      </c>
      <c r="J101" s="160"/>
      <c r="K101" s="86" cm="1">
        <f t="array" ref="K101">($D$17*(100%+($G$84-$D$84))+SUM($D$88:D101))/(100%-25%)</f>
        <v>21246000</v>
      </c>
      <c r="L101" s="86" cm="1">
        <f t="array" ref="L101">($D$17*(100%+($H$84-$D$84))+SUM($D$88:D101))/(100%-20%)</f>
        <v>20686562.5</v>
      </c>
      <c r="M101" s="87" cm="1">
        <f t="array" ref="M101">($D$17*(100%+($I$84-$D$84))+SUM($D$88:D101))/(100%-20%)</f>
        <v>20686562.5</v>
      </c>
      <c r="N101" s="16"/>
      <c r="O101" s="175">
        <v>14</v>
      </c>
      <c r="P101" s="170" cm="1">
        <f t="array" ref="P101">E101</f>
        <v>17164000</v>
      </c>
      <c r="Q101" s="17"/>
      <c r="R101" s="175">
        <v>14</v>
      </c>
      <c r="S101" s="170" cm="1">
        <f t="array" ref="S101">E124</f>
        <v>18380000</v>
      </c>
      <c r="T101" s="17"/>
      <c r="U101" s="17"/>
      <c r="V101" s="17"/>
      <c r="W101" s="17"/>
      <c r="X101" s="171"/>
      <c r="Y101" s="172"/>
      <c r="Z101" s="173" cm="1">
        <f t="array" ref="Z101">ROUND((K101+$F$22/0.75)/A101,-3)</f>
        <v>1596000</v>
      </c>
      <c r="AA101" s="172"/>
      <c r="AB101" s="174" cm="1">
        <f t="array" ref="AB101">ROUND((K101+7205000/0.75)/A101,-3)</f>
        <v>2204000</v>
      </c>
    </row>
    <row r="102" ht="15.5" customHeight="1">
      <c r="A102" s="166">
        <v>15</v>
      </c>
      <c r="B102" s="167">
        <v>15</v>
      </c>
      <c r="C102" s="94" cm="1">
        <f t="array" ref="C102">ROUNDUP('Private Boats 2026 Target'!AA134,-2)</f>
        <v>195800</v>
      </c>
      <c r="D102" s="86" cm="1">
        <f t="array" ref="D102">$F$79</f>
        <v>290000</v>
      </c>
      <c r="E102" s="86" cm="1">
        <f t="array" ref="E102">ROUND(E101+D102,-3)</f>
        <v>17454000</v>
      </c>
      <c r="F102" s="86" cm="1">
        <f t="array" ref="F102">F101+D102</f>
        <v>17459000</v>
      </c>
      <c r="G102" s="86" cm="1">
        <f t="array" ref="G102">ROUND(($D$17*(100%+($G$84-$D$84))+SUM($D$88:D102))/(100%-25%)/$A102,-3)</f>
        <v>1442000</v>
      </c>
      <c r="H102" s="86" cm="1">
        <f t="array" ref="H102">($D$17*(100%+($H$84-$D$84))+SUM($D$88:D102))/(100%-20%)/$A102</f>
        <v>1403270.83333333</v>
      </c>
      <c r="I102" s="87" cm="1">
        <f t="array" ref="I102">($D$17*(100%+($I$84-$D$84))+SUM($D$88:D102))/(100%-20%)/$A102</f>
        <v>1403270.83333333</v>
      </c>
      <c r="J102" s="160"/>
      <c r="K102" s="86" cm="1">
        <f t="array" ref="K102">($D$17*(100%+($G$84-$D$84))+SUM($D$88:D102))/(100%-25%)</f>
        <v>21632666.6666667</v>
      </c>
      <c r="L102" s="86" cm="1">
        <f t="array" ref="L102">($D$17*(100%+($H$84-$D$84))+SUM($D$88:D102))/(100%-20%)</f>
        <v>21049062.5</v>
      </c>
      <c r="M102" s="87" cm="1">
        <f t="array" ref="M102">($D$17*(100%+($I$84-$D$84))+SUM($D$88:D102))/(100%-20%)</f>
        <v>21049062.5</v>
      </c>
      <c r="N102" s="16"/>
      <c r="O102" s="169">
        <v>15</v>
      </c>
      <c r="P102" s="170" cm="1">
        <f t="array" ref="P102">E102</f>
        <v>17454000</v>
      </c>
      <c r="Q102" s="17"/>
      <c r="R102" s="169">
        <v>15</v>
      </c>
      <c r="S102" s="170" cm="1">
        <f t="array" ref="S102">E125</f>
        <v>18699000</v>
      </c>
      <c r="T102" s="17"/>
      <c r="U102" s="17"/>
      <c r="V102" s="17"/>
      <c r="W102" s="17"/>
      <c r="X102" s="171"/>
      <c r="Y102" s="172"/>
      <c r="Z102" s="173" cm="1">
        <f t="array" ref="Z102">ROUND((K102+$F$22/0.75)/A102,-3)</f>
        <v>1515000</v>
      </c>
      <c r="AA102" s="172"/>
      <c r="AB102" s="174" cm="1">
        <f t="array" ref="AB102">ROUND((K102+7205000/0.75)/A102,-3)</f>
        <v>2083000</v>
      </c>
    </row>
    <row r="103" ht="15.5" customHeight="1">
      <c r="A103" s="166">
        <v>16</v>
      </c>
      <c r="B103" s="167">
        <v>16</v>
      </c>
      <c r="C103" s="94" cm="1">
        <f t="array" ref="C103">ROUNDUP('Private Boats 2026 Target'!AA135,-2)</f>
        <v>195800</v>
      </c>
      <c r="D103" s="86" cm="1">
        <f t="array" ref="D103">$F$80</f>
        <v>1389000</v>
      </c>
      <c r="E103" s="86" cm="1">
        <f t="array" ref="E103">ROUND(E102+D103,-3)</f>
        <v>18843000</v>
      </c>
      <c r="F103" s="86" cm="1">
        <f t="array" ref="F103">F102+D103</f>
        <v>18848000</v>
      </c>
      <c r="G103" s="86" cm="1">
        <f t="array" ref="G103">ROUND(($D$17*(100%+($G$84-$D$84))+SUM($D$88:D103))/(100%-25%)/$A103,-3)</f>
        <v>1468000</v>
      </c>
      <c r="H103" s="86" cm="1">
        <f t="array" ref="H103">($D$17*(100%+($H$84-$D$84))+SUM($D$88:D103))/(100%-20%)/$A103</f>
        <v>1424082.03125</v>
      </c>
      <c r="I103" s="87" cm="1">
        <f t="array" ref="I103">($D$17*(100%+($I$84-$D$84))+SUM($D$88:D103))/(100%-20%)/$A103</f>
        <v>1424082.03125</v>
      </c>
      <c r="J103" s="160"/>
      <c r="K103" s="86" cm="1">
        <f t="array" ref="K103">($D$17*(100%+($G$84-$D$84))+SUM($D$88:D103))/(100%-25%)</f>
        <v>23484666.6666667</v>
      </c>
      <c r="L103" s="86" cm="1">
        <f t="array" ref="L103">($D$17*(100%+($H$84-$D$84))+SUM($D$88:D103))/(100%-20%)</f>
        <v>22785312.5</v>
      </c>
      <c r="M103" s="87" cm="1">
        <f t="array" ref="M103">($D$17*(100%+($I$84-$D$84))+SUM($D$88:D103))/(100%-20%)</f>
        <v>22785312.5</v>
      </c>
      <c r="N103" s="16"/>
      <c r="O103" s="175">
        <v>16</v>
      </c>
      <c r="P103" s="170" cm="1">
        <f t="array" ref="P103">E103</f>
        <v>18843000</v>
      </c>
      <c r="Q103" s="17"/>
      <c r="R103" s="175">
        <v>16</v>
      </c>
      <c r="S103" s="170" cm="1">
        <f t="array" ref="S103">E126</f>
        <v>20227000</v>
      </c>
      <c r="T103" s="17"/>
      <c r="U103" s="17"/>
      <c r="V103" s="17"/>
      <c r="W103" s="17"/>
      <c r="X103" s="171"/>
      <c r="Y103" s="172"/>
      <c r="Z103" s="173" cm="1">
        <f t="array" ref="Z103">ROUND((K103+$F$22/0.75)/A103,-3)</f>
        <v>1536000</v>
      </c>
      <c r="AA103" s="172"/>
      <c r="AB103" s="174" cm="1">
        <f t="array" ref="AB103">ROUND((K103+7205000/0.75)/A103,-3)</f>
        <v>2068000</v>
      </c>
    </row>
    <row r="104" ht="15.5" customHeight="1">
      <c r="A104" s="166">
        <v>17</v>
      </c>
      <c r="B104" s="167">
        <v>17</v>
      </c>
      <c r="C104" s="94" cm="1">
        <f t="array" ref="C104">ROUNDUP('Private Boats 2026 Target'!AA136,-2)</f>
        <v>195800</v>
      </c>
      <c r="D104" s="86" cm="1">
        <f t="array" ref="D104">$F$79</f>
        <v>290000</v>
      </c>
      <c r="E104" s="86" cm="1">
        <f t="array" ref="E104">ROUND(E103+D104,-3)</f>
        <v>19133000</v>
      </c>
      <c r="F104" s="86" cm="1">
        <f t="array" ref="F104">F103+D104</f>
        <v>19138000</v>
      </c>
      <c r="G104" s="86" cm="1">
        <f t="array" ref="G104">ROUND(($D$17*(100%+($G$84-$D$84))+SUM($D$88:D104))/(100%-25%)/$A104,-3)</f>
        <v>1404000</v>
      </c>
      <c r="H104" s="86" cm="1">
        <f t="array" ref="H104">($D$17*(100%+($H$84-$D$84))+SUM($D$88:D104))/(100%-20%)/$A104</f>
        <v>1361636.02941176</v>
      </c>
      <c r="I104" s="87" cm="1">
        <f t="array" ref="I104">($D$17*(100%+($I$84-$D$84))+SUM($D$88:D104))/(100%-20%)/$A104</f>
        <v>1361636.02941176</v>
      </c>
      <c r="J104" s="160"/>
      <c r="K104" s="86" cm="1">
        <f t="array" ref="K104">($D$17*(100%+($G$84-$D$84))+SUM($D$88:D104))/(100%-25%)</f>
        <v>23871333.3333333</v>
      </c>
      <c r="L104" s="86" cm="1">
        <f t="array" ref="L104">($D$17*(100%+($H$84-$D$84))+SUM($D$88:D104))/(100%-20%)</f>
        <v>23147812.5</v>
      </c>
      <c r="M104" s="87" cm="1">
        <f t="array" ref="M104">($D$17*(100%+($I$84-$D$84))+SUM($D$88:D104))/(100%-20%)</f>
        <v>23147812.5</v>
      </c>
      <c r="N104" s="16"/>
      <c r="O104" s="169">
        <v>17</v>
      </c>
      <c r="P104" s="170" cm="1">
        <f t="array" ref="P104">E104</f>
        <v>19133000</v>
      </c>
      <c r="Q104" s="17"/>
      <c r="R104" s="169">
        <v>17</v>
      </c>
      <c r="S104" s="170" cm="1">
        <f t="array" ref="S104">E127</f>
        <v>20546000</v>
      </c>
      <c r="T104" s="17"/>
      <c r="U104" s="17"/>
      <c r="V104" s="17"/>
      <c r="W104" s="17"/>
      <c r="X104" s="171"/>
      <c r="Y104" s="172"/>
      <c r="Z104" s="173" cm="1">
        <f t="array" ref="Z104">ROUND((K104+$F$22/0.75)/A104,-3)</f>
        <v>1469000</v>
      </c>
      <c r="AA104" s="172"/>
      <c r="AB104" s="174" cm="1">
        <f t="array" ref="AB104">ROUND((K104+7205000/0.75)/A104,-3)</f>
        <v>1969000</v>
      </c>
    </row>
    <row r="105" ht="15.5" customHeight="1">
      <c r="A105" s="166">
        <v>18</v>
      </c>
      <c r="B105" s="167">
        <v>18</v>
      </c>
      <c r="C105" s="94" cm="1">
        <f t="array" ref="C105">ROUNDUP('Private Boats 2026 Target'!AA137,-2)</f>
        <v>195800</v>
      </c>
      <c r="D105" s="86" cm="1">
        <f t="array" ref="D105">$F$79</f>
        <v>290000</v>
      </c>
      <c r="E105" s="86" cm="1">
        <f t="array" ref="E105">ROUND(E104+D105,-3)</f>
        <v>19423000</v>
      </c>
      <c r="F105" s="86" cm="1">
        <f t="array" ref="F105">F104+D105</f>
        <v>19428000</v>
      </c>
      <c r="G105" s="86" cm="1">
        <f t="array" ref="G105">ROUND(($D$17*(100%+($G$84-$D$84))+SUM($D$88:D105))/(100%-25%)/$A105,-3)</f>
        <v>1348000</v>
      </c>
      <c r="H105" s="86" cm="1">
        <f t="array" ref="H105">($D$17*(100%+($H$84-$D$84))+SUM($D$88:D105))/(100%-20%)/$A105</f>
        <v>1306128.47222222</v>
      </c>
      <c r="I105" s="87" cm="1">
        <f t="array" ref="I105">($D$17*(100%+($I$84-$D$84))+SUM($D$88:D105))/(100%-20%)/$A105</f>
        <v>1306128.47222222</v>
      </c>
      <c r="J105" s="160"/>
      <c r="K105" s="86" cm="1">
        <f t="array" ref="K105">($D$17*(100%+($G$84-$D$84))+SUM($D$88:D105))/(100%-25%)</f>
        <v>24258000</v>
      </c>
      <c r="L105" s="86" cm="1">
        <f t="array" ref="L105">($D$17*(100%+($H$84-$D$84))+SUM($D$88:D105))/(100%-20%)</f>
        <v>23510312.5</v>
      </c>
      <c r="M105" s="87" cm="1">
        <f t="array" ref="M105">($D$17*(100%+($I$84-$D$84))+SUM($D$88:D105))/(100%-20%)</f>
        <v>23510312.5</v>
      </c>
      <c r="N105" s="16"/>
      <c r="O105" s="175">
        <v>18</v>
      </c>
      <c r="P105" s="170" cm="1">
        <f t="array" ref="P105">E105</f>
        <v>19423000</v>
      </c>
      <c r="Q105" s="17"/>
      <c r="R105" s="175">
        <v>18</v>
      </c>
      <c r="S105" s="170" cm="1">
        <f t="array" ref="S105">E128</f>
        <v>20865000</v>
      </c>
      <c r="T105" s="17"/>
      <c r="U105" s="17"/>
      <c r="V105" s="17"/>
      <c r="W105" s="17"/>
      <c r="X105" s="171"/>
      <c r="Y105" s="172"/>
      <c r="Z105" s="173" cm="1">
        <f t="array" ref="Z105">ROUND((K105+$F$22/0.75)/A105,-3)</f>
        <v>1408000</v>
      </c>
      <c r="AA105" s="172"/>
      <c r="AB105" s="174" cm="1">
        <f t="array" ref="AB105">ROUND((K105+7205000/0.75)/A105,-3)</f>
        <v>1881000</v>
      </c>
    </row>
    <row r="106" ht="15.5" customHeight="1">
      <c r="A106" s="166">
        <v>19</v>
      </c>
      <c r="B106" s="167">
        <v>19</v>
      </c>
      <c r="C106" s="94" cm="1">
        <f t="array" ref="C106">ROUNDUP('Private Boats 2026 Target'!AA138,-2)</f>
        <v>195800</v>
      </c>
      <c r="D106" s="86" cm="1">
        <f t="array" ref="D106">$F$79</f>
        <v>290000</v>
      </c>
      <c r="E106" s="86" cm="1">
        <f t="array" ref="E106">ROUND(E105+D106,-3)</f>
        <v>19713000</v>
      </c>
      <c r="F106" s="86" cm="1">
        <f t="array" ref="F106">F105+D106</f>
        <v>19718000</v>
      </c>
      <c r="G106" s="86" cm="1">
        <f t="array" ref="G106">ROUND(($D$17*(100%+($G$84-$D$84))+SUM($D$88:D106))/(100%-25%)/$A106,-3)</f>
        <v>1297000</v>
      </c>
      <c r="H106" s="86" cm="1">
        <f t="array" ref="H106">($D$17*(100%+($H$84-$D$84))+SUM($D$88:D106))/(100%-20%)/$A106</f>
        <v>1256463.81578947</v>
      </c>
      <c r="I106" s="87" cm="1">
        <f t="array" ref="I106">($D$17*(100%+($I$84-$D$84))+SUM($D$88:D106))/(100%-20%)/$A106</f>
        <v>1256463.81578947</v>
      </c>
      <c r="J106" s="160"/>
      <c r="K106" s="86" cm="1">
        <f t="array" ref="K106">($D$17*(100%+($G$84-$D$84))+SUM($D$88:D106))/(100%-25%)</f>
        <v>24644666.6666667</v>
      </c>
      <c r="L106" s="86" cm="1">
        <f t="array" ref="L106">($D$17*(100%+($H$84-$D$84))+SUM($D$88:D106))/(100%-20%)</f>
        <v>23872812.5</v>
      </c>
      <c r="M106" s="87" cm="1">
        <f t="array" ref="M106">($D$17*(100%+($I$84-$D$84))+SUM($D$88:D106))/(100%-20%)</f>
        <v>23872812.5</v>
      </c>
      <c r="N106" s="16"/>
      <c r="O106" s="169">
        <v>19</v>
      </c>
      <c r="P106" s="170" cm="1">
        <f t="array" ref="P106">E106</f>
        <v>19713000</v>
      </c>
      <c r="Q106" s="17"/>
      <c r="R106" s="169">
        <v>19</v>
      </c>
      <c r="S106" s="170" cm="1">
        <f t="array" ref="S106">E129</f>
        <v>21184000</v>
      </c>
      <c r="T106" s="17"/>
      <c r="U106" s="17"/>
      <c r="V106" s="17"/>
      <c r="W106" s="17"/>
      <c r="X106" s="171"/>
      <c r="Y106" s="172"/>
      <c r="Z106" s="173" cm="1">
        <f t="array" ref="Z106">ROUND((K106+$F$22/0.75)/A106,-3)</f>
        <v>1355000</v>
      </c>
      <c r="AA106" s="172"/>
      <c r="AB106" s="174" cm="1">
        <f t="array" ref="AB106">ROUND((K106+7205000/0.75)/A106,-3)</f>
        <v>1803000</v>
      </c>
    </row>
    <row r="107" ht="15.5" customHeight="1">
      <c r="A107" s="166">
        <v>20</v>
      </c>
      <c r="B107" t="s" s="136">
        <v>152</v>
      </c>
      <c r="C107" s="113" cm="1">
        <f t="array" ref="C107">ROUNDUP('Private Boats 2026 Target'!AA139,-2)</f>
        <v>195800</v>
      </c>
      <c r="D107" s="114" cm="1">
        <f t="array" ref="D107">$F$79</f>
        <v>290000</v>
      </c>
      <c r="E107" s="114" cm="1">
        <f t="array" ref="E107">ROUND(E106+D107,-3)</f>
        <v>20003000</v>
      </c>
      <c r="F107" s="114" cm="1">
        <f t="array" ref="F107">F106+D107</f>
        <v>20008000</v>
      </c>
      <c r="G107" s="114" cm="1">
        <f t="array" ref="G107">ROUND(($D$17*(100%+($G$84-$D$84))+SUM($D$88:D107))/(100%-25%)/$A107,-3)</f>
        <v>1252000</v>
      </c>
      <c r="H107" s="114" cm="1">
        <f t="array" ref="H107">($D$17*(100%+($H$84-$D$84))+SUM($D$88:D107))/(100%-20%)/$A107</f>
        <v>1211765.625</v>
      </c>
      <c r="I107" s="115" cm="1">
        <f t="array" ref="I107">($D$17*(100%+($I$84-$D$84))+SUM($D$88:D107))/(100%-20%)/$A107</f>
        <v>1211765.625</v>
      </c>
      <c r="J107" s="160"/>
      <c r="K107" s="114" cm="1">
        <f t="array" ref="K107">($D$17*(100%+($G$84-$D$84))+SUM($D$88:D107))/(100%-25%)</f>
        <v>25031333.3333333</v>
      </c>
      <c r="L107" s="114" cm="1">
        <f t="array" ref="L107">($D$17*(100%+($H$84-$D$84))+SUM($D$88:D107))/(100%-20%)</f>
        <v>24235312.5</v>
      </c>
      <c r="M107" s="115" cm="1">
        <f t="array" ref="M107">($D$17*(100%+($I$84-$D$84))+SUM($D$88:D107))/(100%-20%)</f>
        <v>24235312.5</v>
      </c>
      <c r="N107" s="16"/>
      <c r="O107" s="175">
        <v>20</v>
      </c>
      <c r="P107" s="170" cm="1">
        <f t="array" ref="P107">E107</f>
        <v>20003000</v>
      </c>
      <c r="Q107" s="17"/>
      <c r="R107" s="175">
        <v>20</v>
      </c>
      <c r="S107" s="170" cm="1">
        <f t="array" ref="S107">E130</f>
        <v>21503000</v>
      </c>
      <c r="T107" s="17"/>
      <c r="U107" s="17"/>
      <c r="V107" s="17"/>
      <c r="W107" s="17"/>
      <c r="X107" s="171"/>
      <c r="Y107" s="172"/>
      <c r="Z107" s="173" cm="1">
        <f t="array" ref="Z107">ROUND((K107+$F$22/0.75)/A107,-3)</f>
        <v>1306000</v>
      </c>
      <c r="AA107" s="172"/>
      <c r="AB107" s="174" cm="1">
        <f t="array" ref="AB107">ROUND((K107+7205000/0.75)/A107,-3)</f>
        <v>1732000</v>
      </c>
    </row>
    <row r="108" ht="15.5" customHeight="1">
      <c r="A108" s="32"/>
      <c r="B108" s="33"/>
      <c r="C108" s="33"/>
      <c r="D108" s="33"/>
      <c r="E108" s="33"/>
      <c r="F108" s="33"/>
      <c r="G108" s="33"/>
      <c r="H108" s="33"/>
      <c r="I108" s="33"/>
      <c r="J108" s="17"/>
      <c r="K108" s="33"/>
      <c r="L108" s="33"/>
      <c r="M108" s="33"/>
      <c r="N108" s="17"/>
      <c r="O108" s="169">
        <v>21</v>
      </c>
      <c r="P108" s="170" cm="1">
        <f t="array" ref="P108">P107+$F$79</f>
        <v>20293000</v>
      </c>
      <c r="Q108" s="17"/>
      <c r="R108" s="169">
        <v>21</v>
      </c>
      <c r="S108" s="173" cm="1">
        <f t="array" ref="S108">S107+(P108-P107)*110%</f>
        <v>21822000</v>
      </c>
      <c r="T108" s="17"/>
      <c r="U108" s="17"/>
      <c r="V108" s="17"/>
      <c r="W108" s="17"/>
      <c r="X108" s="17"/>
      <c r="Y108" s="17"/>
      <c r="Z108" s="177"/>
      <c r="AA108" s="17"/>
      <c r="AB108" s="178"/>
    </row>
    <row r="109" ht="15.65" customHeight="1">
      <c r="A109" s="12"/>
      <c r="B109" t="s" s="179">
        <v>153</v>
      </c>
      <c r="C109" s="180"/>
      <c r="D109" s="180"/>
      <c r="E109" s="180"/>
      <c r="F109" s="181"/>
      <c r="G109" t="s" s="155">
        <v>136</v>
      </c>
      <c r="H109" s="156"/>
      <c r="I109" s="157"/>
      <c r="J109" s="71"/>
      <c r="K109" t="s" s="155">
        <v>137</v>
      </c>
      <c r="L109" s="156"/>
      <c r="M109" s="157"/>
      <c r="N109" s="182"/>
      <c r="O109" s="175">
        <v>22</v>
      </c>
      <c r="P109" s="170" cm="1">
        <f t="array" ref="P109">P108+$F$79</f>
        <v>20583000</v>
      </c>
      <c r="Q109" s="17"/>
      <c r="R109" s="175">
        <v>22</v>
      </c>
      <c r="S109" s="173" cm="1">
        <f t="array" ref="S109">S108+(P109-P108)*110%</f>
        <v>22141000</v>
      </c>
      <c r="T109" s="17"/>
      <c r="U109" s="17"/>
      <c r="V109" s="17"/>
      <c r="W109" s="17"/>
      <c r="X109" s="17"/>
      <c r="Y109" s="17"/>
      <c r="Z109" s="17"/>
      <c r="AA109" s="17"/>
      <c r="AB109" s="18"/>
    </row>
    <row r="110" ht="46" customHeight="1">
      <c r="A110" s="12"/>
      <c r="B110" t="s" s="75">
        <v>138</v>
      </c>
      <c r="C110" t="s" s="158">
        <v>139</v>
      </c>
      <c r="D110" t="s" s="159">
        <v>140</v>
      </c>
      <c r="E110" t="s" s="159">
        <v>141</v>
      </c>
      <c r="F110" t="s" s="159">
        <v>142</v>
      </c>
      <c r="G110" t="s" s="66">
        <v>143</v>
      </c>
      <c r="H110" t="s" s="66">
        <v>144</v>
      </c>
      <c r="I110" t="s" s="67">
        <v>145</v>
      </c>
      <c r="J110" s="160"/>
      <c r="K110" t="s" s="66">
        <v>19</v>
      </c>
      <c r="L110" t="s" s="66">
        <v>146</v>
      </c>
      <c r="M110" t="s" s="67">
        <v>21</v>
      </c>
      <c r="N110" s="182"/>
      <c r="O110" s="169">
        <v>23</v>
      </c>
      <c r="P110" s="170" cm="1">
        <f t="array" ref="P110">P109+$F$79</f>
        <v>20873000</v>
      </c>
      <c r="Q110" s="17"/>
      <c r="R110" s="169">
        <v>23</v>
      </c>
      <c r="S110" s="173" cm="1">
        <f t="array" ref="S110">S109+(P110-P109)*110%</f>
        <v>22460000</v>
      </c>
      <c r="T110" s="17"/>
      <c r="U110" s="17"/>
      <c r="V110" s="17"/>
      <c r="W110" s="17"/>
      <c r="X110" s="17"/>
      <c r="Y110" s="17"/>
      <c r="Z110" t="s" s="183">
        <v>149</v>
      </c>
      <c r="AA110" s="17"/>
      <c r="AB110" t="s" s="184">
        <v>150</v>
      </c>
    </row>
    <row r="111" ht="15.5" customHeight="1">
      <c r="A111" s="166">
        <v>1</v>
      </c>
      <c r="B111" s="167">
        <v>1</v>
      </c>
      <c r="C111" s="94" cm="1">
        <f t="array" ref="C111">_xlfn.IFERROR(C88*110%,"N/A")</f>
        <v>0</v>
      </c>
      <c r="D111" s="86" cm="1">
        <f t="array" ref="D111">_xlfn.IFERROR(D88*110%,"N/A")</f>
        <v>0</v>
      </c>
      <c r="E111" s="86" cm="1">
        <f t="array" ref="E111">ROUND(_xlfn.IFERROR(E88*110%,"N/A")-500000,-3)</f>
        <v>13025000</v>
      </c>
      <c r="F111" s="86" cm="1">
        <f t="array" ref="F111">_xlfn.IFERROR(F88*110%,"N/A")-500000</f>
        <v>13030000</v>
      </c>
      <c r="G111" s="86" cm="1">
        <f t="array" ref="G111">ROUND((($D$17*(100%+($G$84-$D$84))+SUM($D$88:D88))*110%/(100%-25%)-500000)/$A88,-4)</f>
        <v>15730000</v>
      </c>
      <c r="H111" s="86" cm="1">
        <f t="array" ref="H111">ROUND(((($D$17*(100%+($H$84-$D$84))+SUM($D$88:D88))*110%)/(100%-20%)-500000)/$A88,-4)</f>
        <v>15560000</v>
      </c>
      <c r="I111" s="87" cm="1">
        <f t="array" ref="I111">ROUND((((($D$17*(100%+($I$84-$D$84))+SUM($D$88:D88))*110%)/(100%-20%)-500000)/$A88),-4)</f>
        <v>15560000</v>
      </c>
      <c r="J111" s="160"/>
      <c r="K111" s="86" cm="1">
        <f t="array" ref="K111">G111*$A111</f>
        <v>15730000</v>
      </c>
      <c r="L111" s="86" cm="1">
        <f t="array" ref="L111">H111*$A111</f>
        <v>15560000</v>
      </c>
      <c r="M111" s="87" cm="1">
        <f t="array" ref="M111">I111*$A111</f>
        <v>15560000</v>
      </c>
      <c r="N111" s="182"/>
      <c r="O111" s="175">
        <v>24</v>
      </c>
      <c r="P111" s="170" cm="1">
        <f t="array" ref="P111">P110+$F$79</f>
        <v>21163000</v>
      </c>
      <c r="Q111" s="17"/>
      <c r="R111" s="175">
        <v>24</v>
      </c>
      <c r="S111" s="173" cm="1">
        <f t="array" ref="S111">S110+(P111-P110)*110%</f>
        <v>22779000</v>
      </c>
      <c r="T111" s="17"/>
      <c r="U111" s="17"/>
      <c r="V111" s="17"/>
      <c r="W111" s="17"/>
      <c r="X111" s="171"/>
      <c r="Y111" s="172"/>
      <c r="Z111" s="173" cm="1">
        <f t="array" ref="Z111">ROUND((K111+$F$22*110%/0.75)/A111,-3)</f>
        <v>16933000</v>
      </c>
      <c r="AA111" s="172"/>
      <c r="AB111" s="174" cm="1">
        <f t="array" ref="AB111">ROUND((K111+7205000*110%/0.75)/A111,-3)</f>
        <v>26297000</v>
      </c>
    </row>
    <row r="112" ht="15.5" customHeight="1">
      <c r="A112" s="166">
        <v>2</v>
      </c>
      <c r="B112" s="167">
        <v>2</v>
      </c>
      <c r="C112" s="94" cm="1">
        <f t="array" ref="C112">_xlfn.IFERROR(C89*110%,"N/A")</f>
        <v>215380</v>
      </c>
      <c r="D112" s="86" cm="1">
        <f t="array" ref="D112">_xlfn.IFERROR(D89*110%,"N/A")</f>
        <v>319000</v>
      </c>
      <c r="E112" s="86" cm="1">
        <f t="array" ref="E112">ROUND(_xlfn.IFERROR(E89*110%,"N/A")-500000,-3)</f>
        <v>13344000</v>
      </c>
      <c r="F112" s="86" cm="1">
        <f t="array" ref="F112">_xlfn.IFERROR(F89*110%,"N/A")-500000</f>
        <v>13349000</v>
      </c>
      <c r="G112" s="86" cm="1">
        <f t="array" ref="G112">ROUND((($D$17*(100%+($G$84-$D$84))+SUM($D$88:D89))*110%/(100%-25%)-500000)/$A89,-4)</f>
        <v>8080000</v>
      </c>
      <c r="H112" s="86" cm="1">
        <f t="array" ref="H112">ROUND(((($D$17*(100%+($H$84-$D$84))+SUM($D$88:D89))*110%)/(100%-20%)-500000)/$A89,-4)</f>
        <v>7980000</v>
      </c>
      <c r="I112" s="87" cm="1">
        <f t="array" ref="I112">ROUND((((($D$17*(100%+($I$84-$D$84))+SUM($D$88:D89))*110%)/(100%-20%)-500000)/$A89),-4)</f>
        <v>7980000</v>
      </c>
      <c r="J112" s="160"/>
      <c r="K112" s="86" cm="1">
        <f t="array" ref="K112">G112*$A112</f>
        <v>16160000</v>
      </c>
      <c r="L112" s="86" cm="1">
        <f t="array" ref="L112">H112*$A112</f>
        <v>15960000</v>
      </c>
      <c r="M112" s="87" cm="1">
        <f t="array" ref="M112">I112*$A112</f>
        <v>15960000</v>
      </c>
      <c r="N112" s="182"/>
      <c r="O112" s="169">
        <v>25</v>
      </c>
      <c r="P112" s="170" cm="1">
        <f t="array" ref="P112">P111+$F$79</f>
        <v>21453000</v>
      </c>
      <c r="Q112" s="17"/>
      <c r="R112" s="169">
        <v>25</v>
      </c>
      <c r="S112" s="173" cm="1">
        <f t="array" ref="S112">S111+(P112-P111)*110%</f>
        <v>23098000</v>
      </c>
      <c r="T112" s="17"/>
      <c r="U112" s="17"/>
      <c r="V112" s="17"/>
      <c r="W112" s="17"/>
      <c r="X112" s="171"/>
      <c r="Y112" s="172"/>
      <c r="Z112" s="173" cm="1">
        <f t="array" ref="Z112">ROUND((K112+$F$22*110%/0.75)/A112,-3)</f>
        <v>8681000</v>
      </c>
      <c r="AA112" s="172"/>
      <c r="AB112" s="174" cm="1">
        <f t="array" ref="AB112">ROUND((K112+7205000*110%/0.75)/A112,-3)</f>
        <v>13364000</v>
      </c>
    </row>
    <row r="113" ht="15.5" customHeight="1">
      <c r="A113" s="166">
        <v>3</v>
      </c>
      <c r="B113" s="167">
        <v>3</v>
      </c>
      <c r="C113" s="94" cm="1">
        <f t="array" ref="C113">_xlfn.IFERROR(C90*110%,"N/A")</f>
        <v>215380</v>
      </c>
      <c r="D113" s="86" cm="1">
        <f t="array" ref="D113">_xlfn.IFERROR(D90*110%,"N/A")</f>
        <v>319000</v>
      </c>
      <c r="E113" s="86" cm="1">
        <f t="array" ref="E113">ROUND(_xlfn.IFERROR(E90*110%,"N/A")-500000,-3)</f>
        <v>13663000</v>
      </c>
      <c r="F113" s="86" cm="1">
        <f t="array" ref="F113">_xlfn.IFERROR(F90*110%,"N/A")-500000</f>
        <v>13668000</v>
      </c>
      <c r="G113" s="86" cm="1">
        <f t="array" ref="G113">ROUND((($D$17*(100%+($G$84-$D$84))+SUM($D$88:D90))*110%/(100%-25%)-500000)/$A90,-4)</f>
        <v>5530000</v>
      </c>
      <c r="H113" s="86" cm="1">
        <f t="array" ref="H113">ROUND(((($D$17*(100%+($H$84-$D$84))+SUM($D$88:D90))*110%)/(100%-20%)-500000)/$A90,-4)</f>
        <v>5450000</v>
      </c>
      <c r="I113" s="87" cm="1">
        <f t="array" ref="I113">ROUND((((($D$17*(100%+($I$84-$D$84))+SUM($D$88:D90))*110%)/(100%-20%)-500000)/$A90),-4)</f>
        <v>5450000</v>
      </c>
      <c r="J113" s="160"/>
      <c r="K113" s="86" cm="1">
        <f t="array" ref="K113">G113*$A113</f>
        <v>16590000</v>
      </c>
      <c r="L113" s="86" cm="1">
        <f t="array" ref="L113">H113*$A113</f>
        <v>16350000</v>
      </c>
      <c r="M113" s="87" cm="1">
        <f t="array" ref="M113">I113*$A113</f>
        <v>16350000</v>
      </c>
      <c r="N113" s="182"/>
      <c r="O113" s="175">
        <v>26</v>
      </c>
      <c r="P113" s="170" cm="1">
        <f t="array" ref="P113">P112+$F$79</f>
        <v>21743000</v>
      </c>
      <c r="Q113" s="17"/>
      <c r="R113" s="175">
        <v>26</v>
      </c>
      <c r="S113" s="173" cm="1">
        <f t="array" ref="S113">S112+(P113-P112)*110%</f>
        <v>23417000</v>
      </c>
      <c r="T113" s="17"/>
      <c r="U113" s="17"/>
      <c r="V113" s="17"/>
      <c r="W113" s="17"/>
      <c r="X113" s="171"/>
      <c r="Y113" s="172"/>
      <c r="Z113" s="173" cm="1">
        <f t="array" ref="Z113">ROUND((K113+$F$22*110%/0.75)/A113,-3)</f>
        <v>5931000</v>
      </c>
      <c r="AA113" s="172"/>
      <c r="AB113" s="174" cm="1">
        <f t="array" ref="AB113">ROUND((K113+7205000*110%/0.75)/A113,-3)</f>
        <v>9052000</v>
      </c>
    </row>
    <row r="114" ht="15.5" customHeight="1">
      <c r="A114" s="166">
        <v>4</v>
      </c>
      <c r="B114" s="167">
        <v>4</v>
      </c>
      <c r="C114" s="94" cm="1">
        <f t="array" ref="C114">_xlfn.IFERROR(C91*110%,"N/A")</f>
        <v>215380</v>
      </c>
      <c r="D114" s="86" cm="1">
        <f t="array" ref="D114">_xlfn.IFERROR(D91*110%,"N/A")</f>
        <v>319000</v>
      </c>
      <c r="E114" s="86" cm="1">
        <f t="array" ref="E114">ROUND(_xlfn.IFERROR(E91*110%,"N/A")-500000,-3)</f>
        <v>13982000</v>
      </c>
      <c r="F114" s="86" cm="1">
        <f t="array" ref="F114">_xlfn.IFERROR(F91*110%,"N/A")-500000</f>
        <v>13987000</v>
      </c>
      <c r="G114" s="86" cm="1">
        <f t="array" ref="G114">ROUND((($D$17*(100%+($G$84-$D$84))+SUM($D$88:D91))*110%/(100%-25%)-500000)/$A91,-4)</f>
        <v>4250000</v>
      </c>
      <c r="H114" s="86" cm="1">
        <f t="array" ref="H114">ROUND(((($D$17*(100%+($H$84-$D$84))+SUM($D$88:D91))*110%)/(100%-20%)-500000)/$A91,-4)</f>
        <v>4190000</v>
      </c>
      <c r="I114" s="87" cm="1">
        <f t="array" ref="I114">ROUND((((($D$17*(100%+($I$84-$D$84))+SUM($D$88:D91))*110%)/(100%-20%)-500000)/$A91),-4)</f>
        <v>4190000</v>
      </c>
      <c r="J114" s="160"/>
      <c r="K114" s="86" cm="1">
        <f t="array" ref="K114">G114*$A114</f>
        <v>17000000</v>
      </c>
      <c r="L114" s="86" cm="1">
        <f t="array" ref="L114">H114*$A114</f>
        <v>16760000</v>
      </c>
      <c r="M114" s="87" cm="1">
        <f t="array" ref="M114">I114*$A114</f>
        <v>16760000</v>
      </c>
      <c r="N114" s="182"/>
      <c r="O114" s="169">
        <v>27</v>
      </c>
      <c r="P114" s="170" cm="1">
        <f t="array" ref="P114">P113+$F$80</f>
        <v>23132000</v>
      </c>
      <c r="Q114" s="17"/>
      <c r="R114" s="169">
        <v>27</v>
      </c>
      <c r="S114" s="173" cm="1">
        <f t="array" ref="S114">S113+(P114-P113)*110%</f>
        <v>24944900</v>
      </c>
      <c r="T114" s="17"/>
      <c r="U114" s="17"/>
      <c r="V114" s="17"/>
      <c r="W114" s="17"/>
      <c r="X114" s="171"/>
      <c r="Y114" s="172"/>
      <c r="Z114" s="173" cm="1">
        <f t="array" ref="Z114">ROUND((K114+$F$22*110%/0.75)/A114,-3)</f>
        <v>4551000</v>
      </c>
      <c r="AA114" s="172"/>
      <c r="AB114" s="174" cm="1">
        <f t="array" ref="AB114">ROUND((K114+7205000*110%/0.75)/A114,-3)</f>
        <v>6892000</v>
      </c>
    </row>
    <row r="115" ht="15.5" customHeight="1">
      <c r="A115" s="166">
        <v>5</v>
      </c>
      <c r="B115" s="167">
        <v>5</v>
      </c>
      <c r="C115" s="94" cm="1">
        <f t="array" ref="C115">_xlfn.IFERROR(C92*110%,"N/A")</f>
        <v>215380</v>
      </c>
      <c r="D115" s="86" cm="1">
        <f t="array" ref="D115">_xlfn.IFERROR(D92*110%,"N/A")</f>
        <v>319000</v>
      </c>
      <c r="E115" s="86" cm="1">
        <f t="array" ref="E115">ROUND(_xlfn.IFERROR(E92*110%,"N/A")-500000,-3)</f>
        <v>14301000</v>
      </c>
      <c r="F115" s="86" cm="1">
        <f t="array" ref="F115">_xlfn.IFERROR(F92*110%,"N/A")-500000</f>
        <v>14306000</v>
      </c>
      <c r="G115" s="86" cm="1">
        <f t="array" ref="G115">ROUND((($D$17*(100%+($G$84-$D$84))+SUM($D$88:D92))*110%/(100%-25%)-500000)/$A92,-4)</f>
        <v>3490000</v>
      </c>
      <c r="H115" s="86" cm="1">
        <f t="array" ref="H115">ROUND(((($D$17*(100%+($H$84-$D$84))+SUM($D$88:D92))*110%)/(100%-20%)-500000)/$A92,-4)</f>
        <v>3430000</v>
      </c>
      <c r="I115" s="87" cm="1">
        <f t="array" ref="I115">ROUND((((($D$17*(100%+($I$84-$D$84))+SUM($D$88:D92))*110%)/(100%-20%)-500000)/$A92),-4)</f>
        <v>3430000</v>
      </c>
      <c r="J115" s="160"/>
      <c r="K115" s="86" cm="1">
        <f t="array" ref="K115">G115*$A115</f>
        <v>17450000</v>
      </c>
      <c r="L115" s="86" cm="1">
        <f t="array" ref="L115">H115*$A115</f>
        <v>17150000</v>
      </c>
      <c r="M115" s="87" cm="1">
        <f t="array" ref="M115">I115*$A115</f>
        <v>17150000</v>
      </c>
      <c r="N115" s="182"/>
      <c r="O115" s="175">
        <v>28</v>
      </c>
      <c r="P115" s="170" cm="1">
        <f t="array" ref="P115">P114+$F$79</f>
        <v>23422000</v>
      </c>
      <c r="Q115" s="17"/>
      <c r="R115" s="175">
        <v>28</v>
      </c>
      <c r="S115" s="173" cm="1">
        <f t="array" ref="S115">S114+(P115-P114)*110%</f>
        <v>25263900</v>
      </c>
      <c r="T115" s="17"/>
      <c r="U115" s="17"/>
      <c r="V115" s="17"/>
      <c r="W115" s="17"/>
      <c r="X115" s="171"/>
      <c r="Y115" s="172"/>
      <c r="Z115" s="173" cm="1">
        <f t="array" ref="Z115">ROUND((K115+$F$22*110%/0.75)/A115,-3)</f>
        <v>3731000</v>
      </c>
      <c r="AA115" s="172"/>
      <c r="AB115" s="174" cm="1">
        <f t="array" ref="AB115">ROUND((K115+7205000*110%/0.75)/A115,-3)</f>
        <v>5603000</v>
      </c>
    </row>
    <row r="116" ht="15.5" customHeight="1">
      <c r="A116" s="166">
        <v>6</v>
      </c>
      <c r="B116" t="s" s="84">
        <v>151</v>
      </c>
      <c r="C116" s="94" cm="1">
        <f t="array" ref="C116">_xlfn.IFERROR(C93*110%,"N/A")</f>
        <v>215380</v>
      </c>
      <c r="D116" s="86" cm="1">
        <f t="array" ref="D116">_xlfn.IFERROR(D93*110%,"N/A")</f>
        <v>319000</v>
      </c>
      <c r="E116" s="86" cm="1">
        <f t="array" ref="E116">ROUND(_xlfn.IFERROR(E93*110%,"N/A")-500000,-3)</f>
        <v>14620000</v>
      </c>
      <c r="F116" s="86" cm="1">
        <f t="array" ref="F116">_xlfn.IFERROR(F93*110%,"N/A")-500000</f>
        <v>14625000</v>
      </c>
      <c r="G116" s="86" cm="1">
        <f t="array" ref="G116">ROUND((($D$17*(100%+($G$84-$D$84))+SUM($D$88:D93))*110%/(100%-25%)-500000)/$A93,-4)</f>
        <v>2980000</v>
      </c>
      <c r="H116" s="86" cm="1">
        <f t="array" ref="H116">ROUND(((($D$17*(100%+($H$84-$D$84))+SUM($D$88:D93))*110%)/(100%-20%)-500000)/$A93,-4)</f>
        <v>2930000</v>
      </c>
      <c r="I116" s="87" cm="1">
        <f t="array" ref="I116">ROUND((((($D$17*(100%+($I$84-$D$84))+SUM($D$88:D93))*110%)/(100%-20%)-500000)/$A93),-4)</f>
        <v>2930000</v>
      </c>
      <c r="J116" s="160"/>
      <c r="K116" s="86" cm="1">
        <f t="array" ref="K116">G116*$A116</f>
        <v>17880000</v>
      </c>
      <c r="L116" s="86" cm="1">
        <f t="array" ref="L116">H116*$A116</f>
        <v>17580000</v>
      </c>
      <c r="M116" s="87" cm="1">
        <f t="array" ref="M116">I116*$A116</f>
        <v>17580000</v>
      </c>
      <c r="N116" s="182"/>
      <c r="O116" s="169">
        <v>29</v>
      </c>
      <c r="P116" s="170" cm="1">
        <f t="array" ref="P116">P115+$F$79</f>
        <v>23712000</v>
      </c>
      <c r="Q116" s="17"/>
      <c r="R116" s="169">
        <v>29</v>
      </c>
      <c r="S116" s="173" cm="1">
        <f t="array" ref="S116">S115+(P116-P115)*110%</f>
        <v>25582900</v>
      </c>
      <c r="T116" s="17"/>
      <c r="U116" s="17"/>
      <c r="V116" s="17"/>
      <c r="W116" s="17"/>
      <c r="X116" s="171"/>
      <c r="Y116" s="172"/>
      <c r="Z116" s="173" cm="1">
        <f t="array" ref="Z116">ROUND((K116+$F$22*110%/0.75)/A116,-3)</f>
        <v>3180000</v>
      </c>
      <c r="AA116" s="172"/>
      <c r="AB116" s="174" cm="1">
        <f t="array" ref="AB116">ROUND((K116+7205000*110%/0.75)/A116,-3)</f>
        <v>4741000</v>
      </c>
    </row>
    <row r="117" ht="15.5" customHeight="1">
      <c r="A117" s="166">
        <v>7</v>
      </c>
      <c r="B117" s="167">
        <v>7</v>
      </c>
      <c r="C117" s="94" cm="1">
        <f t="array" ref="C117">_xlfn.IFERROR(C94*110%,"N/A")</f>
        <v>215380</v>
      </c>
      <c r="D117" s="86" cm="1">
        <f t="array" ref="D117">_xlfn.IFERROR(D94*110%,"N/A")</f>
        <v>319000</v>
      </c>
      <c r="E117" s="86" cm="1">
        <f t="array" ref="E117">ROUND(_xlfn.IFERROR(E94*110%,"N/A")-500000,-3)</f>
        <v>14939000</v>
      </c>
      <c r="F117" s="86" cm="1">
        <f t="array" ref="F117">_xlfn.IFERROR(F94*110%,"N/A")-500000</f>
        <v>14944000</v>
      </c>
      <c r="G117" s="86" cm="1">
        <f t="array" ref="G117">ROUND((($D$17*(100%+($G$84-$D$84))+SUM($D$88:D94))*110%/(100%-25%)-500000)/$A94,-4)</f>
        <v>2610000</v>
      </c>
      <c r="H117" s="86" cm="1">
        <f t="array" ref="H117">ROUND(((($D$17*(100%+($H$84-$D$84))+SUM($D$88:D94))*110%)/(100%-20%)-500000)/$A94,-4)</f>
        <v>2560000</v>
      </c>
      <c r="I117" s="87" cm="1">
        <f t="array" ref="I117">ROUND((((($D$17*(100%+($I$84-$D$84))+SUM($D$88:D94))*110%)/(100%-20%)-500000)/$A94),-4)</f>
        <v>2560000</v>
      </c>
      <c r="J117" s="160"/>
      <c r="K117" s="86" cm="1">
        <f t="array" ref="K117">G117*$A117</f>
        <v>18270000</v>
      </c>
      <c r="L117" s="86" cm="1">
        <f t="array" ref="L117">H117*$A117</f>
        <v>17920000</v>
      </c>
      <c r="M117" s="87" cm="1">
        <f t="array" ref="M117">I117*$A117</f>
        <v>17920000</v>
      </c>
      <c r="N117" s="182"/>
      <c r="O117" s="175">
        <v>30</v>
      </c>
      <c r="P117" s="170" cm="1">
        <f t="array" ref="P117">P116+$F$79</f>
        <v>24002000</v>
      </c>
      <c r="Q117" s="17"/>
      <c r="R117" s="175">
        <v>30</v>
      </c>
      <c r="S117" s="173" cm="1">
        <f t="array" ref="S117">S116+(P117-P116)*110%</f>
        <v>25901900</v>
      </c>
      <c r="T117" s="17"/>
      <c r="U117" s="17"/>
      <c r="V117" s="17"/>
      <c r="W117" s="17"/>
      <c r="X117" s="171"/>
      <c r="Y117" s="172"/>
      <c r="Z117" s="173" cm="1">
        <f t="array" ref="Z117">ROUND((K117+$F$22*110%/0.75)/A117,-3)</f>
        <v>2782000</v>
      </c>
      <c r="AA117" s="172"/>
      <c r="AB117" s="174" cm="1">
        <f t="array" ref="AB117">ROUND((K117+7205000*110%/0.75)/A117,-3)</f>
        <v>4120000</v>
      </c>
    </row>
    <row r="118" ht="15.5" customHeight="1">
      <c r="A118" s="166">
        <v>8</v>
      </c>
      <c r="B118" s="167">
        <v>8</v>
      </c>
      <c r="C118" s="94" cm="1">
        <f t="array" ref="C118">_xlfn.IFERROR(C95*110%,"N/A")</f>
        <v>1424060</v>
      </c>
      <c r="D118" s="86" cm="1">
        <f t="array" ref="D118">_xlfn.IFERROR(D95*110%,"N/A")</f>
        <v>1527900</v>
      </c>
      <c r="E118" s="86" cm="1">
        <f t="array" ref="E118">ROUND(_xlfn.IFERROR(E95*110%,"N/A")-500000,-3)</f>
        <v>16466000</v>
      </c>
      <c r="F118" s="86" cm="1">
        <f t="array" ref="F118">_xlfn.IFERROR(F95*110%,"N/A")-500000</f>
        <v>16471900</v>
      </c>
      <c r="G118" s="86" cm="1">
        <f t="array" ref="G118">ROUND((($D$17*(100%+($G$84-$D$84))+SUM($D$88:D95))*110%/(100%-25%)-500000)/$A95,-4)</f>
        <v>2540000</v>
      </c>
      <c r="H118" s="86" cm="1">
        <f t="array" ref="H118">ROUND(((($D$17*(100%+($H$84-$D$84))+SUM($D$88:D95))*110%)/(100%-20%)-500000)/$A95,-4)</f>
        <v>2480000</v>
      </c>
      <c r="I118" s="87" cm="1">
        <f t="array" ref="I118">ROUND((((($D$17*(100%+($I$84-$D$84))+SUM($D$88:D95))*110%)/(100%-20%)-500000)/$A95),-4)</f>
        <v>2480000</v>
      </c>
      <c r="J118" s="160"/>
      <c r="K118" s="86" cm="1">
        <f t="array" ref="K118">G118*$A118</f>
        <v>20320000</v>
      </c>
      <c r="L118" s="86" cm="1">
        <f t="array" ref="L118">H118*$A118</f>
        <v>19840000</v>
      </c>
      <c r="M118" s="87" cm="1">
        <f t="array" ref="M118">I118*$A118</f>
        <v>19840000</v>
      </c>
      <c r="N118" s="182"/>
      <c r="O118" s="169">
        <v>31</v>
      </c>
      <c r="P118" s="170" cm="1">
        <f t="array" ref="P118">P117+1010000</f>
        <v>25012000</v>
      </c>
      <c r="Q118" s="17"/>
      <c r="R118" s="169">
        <v>31</v>
      </c>
      <c r="S118" s="173" cm="1">
        <f t="array" ref="S118">S117+(P118-P117)*110%</f>
        <v>27012900</v>
      </c>
      <c r="T118" s="17"/>
      <c r="U118" s="17"/>
      <c r="V118" s="17"/>
      <c r="W118" s="17"/>
      <c r="X118" s="171"/>
      <c r="Y118" s="172"/>
      <c r="Z118" s="173" cm="1">
        <f t="array" ref="Z118">ROUND((K118+$F$22*110%/0.75)/A118,-3)</f>
        <v>2690000</v>
      </c>
      <c r="AA118" s="172"/>
      <c r="AB118" s="174" cm="1">
        <f t="array" ref="AB118">ROUND((K118+7205000*110%/0.75)/A118,-3)</f>
        <v>3861000</v>
      </c>
    </row>
    <row r="119" ht="15.5" customHeight="1">
      <c r="A119" s="166">
        <v>9</v>
      </c>
      <c r="B119" s="167">
        <v>9</v>
      </c>
      <c r="C119" s="94" cm="1">
        <f t="array" ref="C119">_xlfn.IFERROR(C96*110%,"N/A")</f>
        <v>215380</v>
      </c>
      <c r="D119" s="86" cm="1">
        <f t="array" ref="D119">_xlfn.IFERROR(D96*110%,"N/A")</f>
        <v>319000</v>
      </c>
      <c r="E119" s="86" cm="1">
        <f t="array" ref="E119">ROUND(_xlfn.IFERROR(E96*110%,"N/A")-500000,-3)</f>
        <v>16785000</v>
      </c>
      <c r="F119" s="86" cm="1">
        <f t="array" ref="F119">_xlfn.IFERROR(F96*110%,"N/A")-500000</f>
        <v>16790900</v>
      </c>
      <c r="G119" s="86" cm="1">
        <f t="array" ref="G119">ROUND((($D$17*(100%+($G$84-$D$84))+SUM($D$88:D96))*110%/(100%-25%)-500000)/$A96,-4)</f>
        <v>2300000</v>
      </c>
      <c r="H119" s="86" cm="1">
        <f t="array" ref="H119">ROUND(((($D$17*(100%+($H$84-$D$84))+SUM($D$88:D96))*110%)/(100%-20%)-500000)/$A96,-4)</f>
        <v>2250000</v>
      </c>
      <c r="I119" s="87" cm="1">
        <f t="array" ref="I119">ROUND((((($D$17*(100%+($I$84-$D$84))+SUM($D$88:D96))*110%)/(100%-20%)-500000)/$A96),-4)</f>
        <v>2250000</v>
      </c>
      <c r="J119" s="160"/>
      <c r="K119" s="86" cm="1">
        <f t="array" ref="K119">G119*$A119</f>
        <v>20700000</v>
      </c>
      <c r="L119" s="86" cm="1">
        <f t="array" ref="L119">H119*$A119</f>
        <v>20250000</v>
      </c>
      <c r="M119" s="87" cm="1">
        <f t="array" ref="M119">I119*$A119</f>
        <v>20250000</v>
      </c>
      <c r="N119" s="182"/>
      <c r="O119" s="175">
        <v>32</v>
      </c>
      <c r="P119" s="170" cm="1">
        <f t="array" ref="P119">P118+1010000</f>
        <v>26022000</v>
      </c>
      <c r="Q119" s="17"/>
      <c r="R119" s="175">
        <v>32</v>
      </c>
      <c r="S119" s="173" cm="1">
        <f t="array" ref="S119">S118+(P119-P118)*110%</f>
        <v>28123900</v>
      </c>
      <c r="T119" s="17"/>
      <c r="U119" s="17"/>
      <c r="V119" s="17"/>
      <c r="W119" s="17"/>
      <c r="X119" s="171"/>
      <c r="Y119" s="172"/>
      <c r="Z119" s="173" cm="1">
        <f t="array" ref="Z119">ROUND((K119+$F$22*110%/0.75)/A119,-3)</f>
        <v>2434000</v>
      </c>
      <c r="AA119" s="172"/>
      <c r="AB119" s="174" cm="1">
        <f t="array" ref="AB119">ROUND((K119+7205000*110%/0.75)/A119,-3)</f>
        <v>3474000</v>
      </c>
    </row>
    <row r="120" ht="15.5" customHeight="1">
      <c r="A120" s="166">
        <v>10</v>
      </c>
      <c r="B120" s="167">
        <v>10</v>
      </c>
      <c r="C120" s="94" cm="1">
        <f t="array" ref="C120">_xlfn.IFERROR(C97*110%,"N/A")</f>
        <v>215380</v>
      </c>
      <c r="D120" s="86" cm="1">
        <f t="array" ref="D120">_xlfn.IFERROR(D97*110%,"N/A")</f>
        <v>319000</v>
      </c>
      <c r="E120" s="86" cm="1">
        <f t="array" ref="E120">ROUND(_xlfn.IFERROR(E97*110%,"N/A")-500000,-3)</f>
        <v>17104000</v>
      </c>
      <c r="F120" s="86" cm="1">
        <f t="array" ref="F120">_xlfn.IFERROR(F97*110%,"N/A")-500000</f>
        <v>17109900</v>
      </c>
      <c r="G120" s="86" cm="1">
        <f t="array" ref="G120">ROUND((($D$17*(100%+($G$84-$D$84))+SUM($D$88:D97))*110%/(100%-25%)-500000)/$A97,-4)</f>
        <v>2120000</v>
      </c>
      <c r="H120" s="86" cm="1">
        <f t="array" ref="H120">ROUND(((($D$17*(100%+($H$84-$D$84))+SUM($D$88:D97))*110%)/(100%-20%)-500000)/$A97,-4)</f>
        <v>2070000</v>
      </c>
      <c r="I120" s="87" cm="1">
        <f t="array" ref="I120">ROUND((((($D$17*(100%+($I$84-$D$84))+SUM($D$88:D97))*110%)/(100%-20%)-500000)/$A97),-4)</f>
        <v>2070000</v>
      </c>
      <c r="J120" s="160"/>
      <c r="K120" s="86" cm="1">
        <f t="array" ref="K120">G120*$A120</f>
        <v>21200000</v>
      </c>
      <c r="L120" s="86" cm="1">
        <f t="array" ref="L120">H120*$A120</f>
        <v>20700000</v>
      </c>
      <c r="M120" s="87" cm="1">
        <f t="array" ref="M120">I120*$A120</f>
        <v>20700000</v>
      </c>
      <c r="N120" s="182"/>
      <c r="O120" s="169">
        <v>33</v>
      </c>
      <c r="P120" s="170" cm="1">
        <f t="array" ref="P120">P119+1010000</f>
        <v>27032000</v>
      </c>
      <c r="Q120" s="17"/>
      <c r="R120" s="169">
        <v>33</v>
      </c>
      <c r="S120" s="173" cm="1">
        <f t="array" ref="S120">S119+(P120-P119)*110%</f>
        <v>29234900</v>
      </c>
      <c r="T120" s="17"/>
      <c r="U120" s="17"/>
      <c r="V120" s="17"/>
      <c r="W120" s="17"/>
      <c r="X120" s="171"/>
      <c r="Y120" s="172"/>
      <c r="Z120" s="173" cm="1">
        <f t="array" ref="Z120">ROUND((K120+$F$22*110%/0.75)/A120,-3)</f>
        <v>2240000</v>
      </c>
      <c r="AA120" s="172"/>
      <c r="AB120" s="174" cm="1">
        <f t="array" ref="AB120">ROUND((K120+7205000*110%/0.75)/A120,-3)</f>
        <v>3177000</v>
      </c>
    </row>
    <row r="121" ht="15.5" customHeight="1">
      <c r="A121" s="166">
        <v>11</v>
      </c>
      <c r="B121" s="167">
        <v>11</v>
      </c>
      <c r="C121" s="94" cm="1">
        <f t="array" ref="C121">_xlfn.IFERROR(C98*110%,"N/A")</f>
        <v>215380</v>
      </c>
      <c r="D121" s="86" cm="1">
        <f t="array" ref="D121">_xlfn.IFERROR(D98*110%,"N/A")</f>
        <v>319000</v>
      </c>
      <c r="E121" s="86" cm="1">
        <f t="array" ref="E121">ROUND(_xlfn.IFERROR(E98*110%,"N/A")-500000,-3)</f>
        <v>17423000</v>
      </c>
      <c r="F121" s="86" cm="1">
        <f t="array" ref="F121">_xlfn.IFERROR(F98*110%,"N/A")-500000</f>
        <v>17428900</v>
      </c>
      <c r="G121" s="86" cm="1">
        <f t="array" ref="G121">ROUND((($D$17*(100%+($G$84-$D$84))+SUM($D$88:D98))*110%/(100%-25%)-500000)/$A98,-4)</f>
        <v>1960000</v>
      </c>
      <c r="H121" s="86" cm="1">
        <f t="array" ref="H121">ROUND(((($D$17*(100%+($H$84-$D$84))+SUM($D$88:D98))*110%)/(100%-20%)-500000)/$A98,-4)</f>
        <v>1910000</v>
      </c>
      <c r="I121" s="87" cm="1">
        <f t="array" ref="I121">ROUND((((($D$17*(100%+($I$84-$D$84))+SUM($D$88:D98))*110%)/(100%-20%)-500000)/$A98),-4)</f>
        <v>1910000</v>
      </c>
      <c r="J121" s="160"/>
      <c r="K121" s="86" cm="1">
        <f t="array" ref="K121">G121*$A121</f>
        <v>21560000</v>
      </c>
      <c r="L121" s="86" cm="1">
        <f t="array" ref="L121">H121*$A121</f>
        <v>21010000</v>
      </c>
      <c r="M121" s="87" cm="1">
        <f t="array" ref="M121">I121*$A121</f>
        <v>21010000</v>
      </c>
      <c r="N121" s="182"/>
      <c r="O121" s="175">
        <v>34</v>
      </c>
      <c r="P121" s="170" cm="1">
        <f t="array" ref="P121">P120+1010000</f>
        <v>28042000</v>
      </c>
      <c r="Q121" s="17"/>
      <c r="R121" s="175">
        <v>34</v>
      </c>
      <c r="S121" s="173" cm="1">
        <f t="array" ref="S121">S120+(P121-P120)*110%</f>
        <v>30345900</v>
      </c>
      <c r="T121" s="17"/>
      <c r="U121" s="17"/>
      <c r="V121" s="17"/>
      <c r="W121" s="17"/>
      <c r="X121" s="171"/>
      <c r="Y121" s="172"/>
      <c r="Z121" s="173" cm="1">
        <f t="array" ref="Z121">ROUND((K121+$F$22*110%/0.75)/A121,-3)</f>
        <v>2069000</v>
      </c>
      <c r="AA121" s="172"/>
      <c r="AB121" s="174" cm="1">
        <f t="array" ref="AB121">ROUND((K121+7205000*110%/0.75)/A121,-3)</f>
        <v>2921000</v>
      </c>
    </row>
    <row r="122" ht="15.5" customHeight="1">
      <c r="A122" s="166">
        <v>12</v>
      </c>
      <c r="B122" s="167">
        <v>12</v>
      </c>
      <c r="C122" s="94" cm="1">
        <f t="array" ref="C122">_xlfn.IFERROR(C99*110%,"N/A")</f>
        <v>215380</v>
      </c>
      <c r="D122" s="86" cm="1">
        <f t="array" ref="D122">_xlfn.IFERROR(D99*110%,"N/A")</f>
        <v>319000</v>
      </c>
      <c r="E122" s="86" cm="1">
        <f t="array" ref="E122">ROUND(_xlfn.IFERROR(E99*110%,"N/A")-500000,-3)</f>
        <v>17742000</v>
      </c>
      <c r="F122" s="86" cm="1">
        <f t="array" ref="F122">_xlfn.IFERROR(F99*110%,"N/A")-500000</f>
        <v>17747900</v>
      </c>
      <c r="G122" s="86" cm="1">
        <f t="array" ref="G122">ROUND((($D$17*(100%+($G$84-$D$84))+SUM($D$88:D99))*110%/(100%-25%)-500000)/$A99,-4)</f>
        <v>1830000</v>
      </c>
      <c r="H122" s="86" cm="1">
        <f t="array" ref="H122">ROUND(((($D$17*(100%+($H$84-$D$84))+SUM($D$88:D99))*110%)/(100%-20%)-500000)/$A99,-4)</f>
        <v>1790000</v>
      </c>
      <c r="I122" s="87" cm="1">
        <f t="array" ref="I122">ROUND((((($D$17*(100%+($I$84-$D$84))+SUM($D$88:D99))*110%)/(100%-20%)-500000)/$A99),-4)</f>
        <v>1790000</v>
      </c>
      <c r="J122" s="160"/>
      <c r="K122" s="86" cm="1">
        <f t="array" ref="K122">G122*$A122</f>
        <v>21960000</v>
      </c>
      <c r="L122" s="86" cm="1">
        <f t="array" ref="L122">H122*$A122</f>
        <v>21480000</v>
      </c>
      <c r="M122" s="87" cm="1">
        <f t="array" ref="M122">I122*$A122</f>
        <v>21480000</v>
      </c>
      <c r="N122" s="182"/>
      <c r="O122" s="169">
        <v>35</v>
      </c>
      <c r="P122" s="170" cm="1">
        <f t="array" ref="P122">P121+1010000</f>
        <v>29052000</v>
      </c>
      <c r="Q122" s="17"/>
      <c r="R122" s="169">
        <v>35</v>
      </c>
      <c r="S122" s="173" cm="1">
        <f t="array" ref="S122">S121+(P122-P121)*110%</f>
        <v>31456900</v>
      </c>
      <c r="T122" s="17"/>
      <c r="U122" s="17"/>
      <c r="V122" s="17"/>
      <c r="W122" s="17"/>
      <c r="X122" s="171"/>
      <c r="Y122" s="172"/>
      <c r="Z122" s="173" cm="1">
        <f t="array" ref="Z122">ROUND((K122+$F$22*110%/0.75)/A122,-3)</f>
        <v>1930000</v>
      </c>
      <c r="AA122" s="172"/>
      <c r="AB122" s="174" cm="1">
        <f t="array" ref="AB122">ROUND((K122+7205000*110%/0.75)/A122,-3)</f>
        <v>2711000</v>
      </c>
    </row>
    <row r="123" ht="15.5" customHeight="1">
      <c r="A123" s="166">
        <v>13</v>
      </c>
      <c r="B123" s="167">
        <v>13</v>
      </c>
      <c r="C123" s="94" cm="1">
        <f t="array" ref="C123">_xlfn.IFERROR(C100*110%,"N/A")</f>
        <v>215380</v>
      </c>
      <c r="D123" s="86" cm="1">
        <f t="array" ref="D123">_xlfn.IFERROR(D100*110%,"N/A")</f>
        <v>319000</v>
      </c>
      <c r="E123" s="86" cm="1">
        <f t="array" ref="E123">ROUND(_xlfn.IFERROR(E100*110%,"N/A")-500000,-3)</f>
        <v>18061000</v>
      </c>
      <c r="F123" s="86" cm="1">
        <f t="array" ref="F123">_xlfn.IFERROR(F100*110%,"N/A")-500000</f>
        <v>18066900</v>
      </c>
      <c r="G123" s="86" cm="1">
        <f t="array" ref="G123">ROUND((($D$17*(100%+($G$84-$D$84))+SUM($D$88:D100))*110%/(100%-25%)-500000)/$A100,-4)</f>
        <v>1730000</v>
      </c>
      <c r="H123" s="86" cm="1">
        <f t="array" ref="H123">ROUND(((($D$17*(100%+($H$84-$D$84))+SUM($D$88:D100))*110%)/(100%-20%)-500000)/$A100,-4)</f>
        <v>1680000</v>
      </c>
      <c r="I123" s="87" cm="1">
        <f t="array" ref="I123">ROUND((((($D$17*(100%+($I$84-$D$84))+SUM($D$88:D100))*110%)/(100%-20%)-500000)/$A100),-4)</f>
        <v>1680000</v>
      </c>
      <c r="J123" s="160"/>
      <c r="K123" s="86" cm="1">
        <f t="array" ref="K123">G123*$A123</f>
        <v>22490000</v>
      </c>
      <c r="L123" s="86" cm="1">
        <f t="array" ref="L123">H123*$A123</f>
        <v>21840000</v>
      </c>
      <c r="M123" s="87" cm="1">
        <f t="array" ref="M123">I123*$A123</f>
        <v>21840000</v>
      </c>
      <c r="N123" s="182"/>
      <c r="O123" s="175">
        <v>36</v>
      </c>
      <c r="P123" s="170" cm="1">
        <f t="array" ref="P123">P122+1010000</f>
        <v>30062000</v>
      </c>
      <c r="Q123" s="17"/>
      <c r="R123" s="175">
        <v>36</v>
      </c>
      <c r="S123" s="173" cm="1">
        <f t="array" ref="S123">S122+(P123-P122)*110%</f>
        <v>32567900</v>
      </c>
      <c r="T123" s="17"/>
      <c r="U123" s="17"/>
      <c r="V123" s="17"/>
      <c r="W123" s="17"/>
      <c r="X123" s="171"/>
      <c r="Y123" s="172"/>
      <c r="Z123" s="173" cm="1">
        <f t="array" ref="Z123">ROUND((K123+$F$22*110%/0.75)/A123,-3)</f>
        <v>1823000</v>
      </c>
      <c r="AA123" s="172"/>
      <c r="AB123" s="174" cm="1">
        <f t="array" ref="AB123">ROUND((K123+7205000*110%/0.75)/A123,-3)</f>
        <v>2543000</v>
      </c>
    </row>
    <row r="124" ht="15.5" customHeight="1">
      <c r="A124" s="166">
        <v>14</v>
      </c>
      <c r="B124" s="167">
        <v>14</v>
      </c>
      <c r="C124" s="94" cm="1">
        <f t="array" ref="C124">_xlfn.IFERROR(C101*110%,"N/A")</f>
        <v>215380</v>
      </c>
      <c r="D124" s="86" cm="1">
        <f t="array" ref="D124">_xlfn.IFERROR(D101*110%,"N/A")</f>
        <v>319000</v>
      </c>
      <c r="E124" s="86" cm="1">
        <f t="array" ref="E124">ROUND(_xlfn.IFERROR(E101*110%,"N/A")-500000,-3)</f>
        <v>18380000</v>
      </c>
      <c r="F124" s="86" cm="1">
        <f t="array" ref="F124">_xlfn.IFERROR(F101*110%,"N/A")-500000</f>
        <v>18385900</v>
      </c>
      <c r="G124" s="86" cm="1">
        <f t="array" ref="G124">ROUND((($D$17*(100%+($G$84-$D$84))+SUM($D$88:D101))*110%/(100%-25%)-500000)/$A101,-4)</f>
        <v>1630000</v>
      </c>
      <c r="H124" s="86" cm="1">
        <f t="array" ref="H124">ROUND(((($D$17*(100%+($H$84-$D$84))+SUM($D$88:D101))*110%)/(100%-20%)-500000)/$A101,-4)</f>
        <v>1590000</v>
      </c>
      <c r="I124" s="87" cm="1">
        <f t="array" ref="I124">ROUND((((($D$17*(100%+($I$84-$D$84))+SUM($D$88:D101))*110%)/(100%-20%)-500000)/$A101),-4)</f>
        <v>1590000</v>
      </c>
      <c r="J124" s="160"/>
      <c r="K124" s="86" cm="1">
        <f t="array" ref="K124">G124*$A124</f>
        <v>22820000</v>
      </c>
      <c r="L124" s="86" cm="1">
        <f t="array" ref="L124">H124*$A124</f>
        <v>22260000</v>
      </c>
      <c r="M124" s="87" cm="1">
        <f t="array" ref="M124">I124*$A124</f>
        <v>22260000</v>
      </c>
      <c r="N124" s="182"/>
      <c r="O124" s="169">
        <v>37</v>
      </c>
      <c r="P124" s="170" cm="1">
        <f t="array" ref="P124">P123+1010000</f>
        <v>31072000</v>
      </c>
      <c r="Q124" s="17"/>
      <c r="R124" s="169">
        <v>37</v>
      </c>
      <c r="S124" s="173" cm="1">
        <f t="array" ref="S124">S123+(P124-P123)*110%</f>
        <v>33678900</v>
      </c>
      <c r="T124" s="17"/>
      <c r="U124" s="17"/>
      <c r="V124" s="17"/>
      <c r="W124" s="17"/>
      <c r="X124" s="171"/>
      <c r="Y124" s="172"/>
      <c r="Z124" s="173" cm="1">
        <f t="array" ref="Z124">ROUND((K124+$F$22*110%/0.75)/A124,-3)</f>
        <v>1716000</v>
      </c>
      <c r="AA124" s="172"/>
      <c r="AB124" s="174" cm="1">
        <f t="array" ref="AB124">ROUND((K124+7205000*110%/0.75)/A124,-3)</f>
        <v>2385000</v>
      </c>
    </row>
    <row r="125" ht="15.5" customHeight="1">
      <c r="A125" s="166">
        <v>15</v>
      </c>
      <c r="B125" s="167">
        <v>15</v>
      </c>
      <c r="C125" s="94" cm="1">
        <f t="array" ref="C125">_xlfn.IFERROR(C102*110%,"N/A")</f>
        <v>215380</v>
      </c>
      <c r="D125" s="86" cm="1">
        <f t="array" ref="D125">_xlfn.IFERROR(D102*110%,"N/A")</f>
        <v>319000</v>
      </c>
      <c r="E125" s="86" cm="1">
        <f t="array" ref="E125">ROUND(_xlfn.IFERROR(E102*110%,"N/A")-500000,-3)</f>
        <v>18699000</v>
      </c>
      <c r="F125" s="86" cm="1">
        <f t="array" ref="F125">_xlfn.IFERROR(F102*110%,"N/A")-500000</f>
        <v>18704900</v>
      </c>
      <c r="G125" s="86" cm="1">
        <f t="array" ref="G125">ROUND((($D$17*(100%+($G$84-$D$84))+SUM($D$88:D102))*110%/(100%-25%)-500000)/$A102,-4)</f>
        <v>1550000</v>
      </c>
      <c r="H125" s="86" cm="1">
        <f t="array" ref="H125">ROUND(((($D$17*(100%+($H$84-$D$84))+SUM($D$88:D102))*110%)/(100%-20%)-500000)/$A102,-4)</f>
        <v>1510000</v>
      </c>
      <c r="I125" s="87" cm="1">
        <f t="array" ref="I125">ROUND((((($D$17*(100%+($I$84-$D$84))+SUM($D$88:D102))*110%)/(100%-20%)-500000)/$A102),-4)</f>
        <v>1510000</v>
      </c>
      <c r="J125" s="160"/>
      <c r="K125" s="86" cm="1">
        <f t="array" ref="K125">G125*$A125</f>
        <v>23250000</v>
      </c>
      <c r="L125" s="86" cm="1">
        <f t="array" ref="L125">H125*$A125</f>
        <v>22650000</v>
      </c>
      <c r="M125" s="87" cm="1">
        <f t="array" ref="M125">I125*$A125</f>
        <v>22650000</v>
      </c>
      <c r="N125" s="182"/>
      <c r="O125" s="175">
        <v>38</v>
      </c>
      <c r="P125" s="170" cm="1">
        <f t="array" ref="P125">P124+1010000</f>
        <v>32082000</v>
      </c>
      <c r="Q125" s="17"/>
      <c r="R125" s="175">
        <v>38</v>
      </c>
      <c r="S125" s="173" cm="1">
        <f t="array" ref="S125">S124+(P125-P124)*110%</f>
        <v>34789900</v>
      </c>
      <c r="T125" s="17"/>
      <c r="U125" s="17"/>
      <c r="V125" s="17"/>
      <c r="W125" s="17"/>
      <c r="X125" s="171"/>
      <c r="Y125" s="172"/>
      <c r="Z125" s="173" cm="1">
        <f t="array" ref="Z125">ROUND((K125+$F$22*110%/0.75)/A125,-3)</f>
        <v>1630000</v>
      </c>
      <c r="AA125" s="172"/>
      <c r="AB125" s="174" cm="1">
        <f t="array" ref="AB125">ROUND((K125+7205000*110%/0.75)/A125,-3)</f>
        <v>2254000</v>
      </c>
    </row>
    <row r="126" ht="15.5" customHeight="1">
      <c r="A126" s="166">
        <v>16</v>
      </c>
      <c r="B126" s="167">
        <v>16</v>
      </c>
      <c r="C126" s="94" cm="1">
        <f t="array" ref="C126">_xlfn.IFERROR(C103*110%,"N/A")</f>
        <v>215380</v>
      </c>
      <c r="D126" s="86" cm="1">
        <f t="array" ref="D126">_xlfn.IFERROR(D103*110%,"N/A")</f>
        <v>1527900</v>
      </c>
      <c r="E126" s="86" cm="1">
        <f t="array" ref="E126">ROUND(_xlfn.IFERROR(E103*110%,"N/A")-500000,-3)</f>
        <v>20227000</v>
      </c>
      <c r="F126" s="86" cm="1">
        <f t="array" ref="F126">_xlfn.IFERROR(F103*110%,"N/A")-500000</f>
        <v>20232800</v>
      </c>
      <c r="G126" s="86" cm="1">
        <f t="array" ref="G126">ROUND((($D$17*(100%+($G$84-$D$84))+SUM($D$88:D103))*110%/(100%-25%)-500000)/$A103,-4)</f>
        <v>1580000</v>
      </c>
      <c r="H126" s="86" cm="1">
        <f t="array" ref="H126">ROUND(((($D$17*(100%+($H$84-$D$84))+SUM($D$88:D103))*110%)/(100%-20%)-500000)/$A103,-4)</f>
        <v>1540000</v>
      </c>
      <c r="I126" s="87" cm="1">
        <f t="array" ref="I126">ROUND((((($D$17*(100%+($I$84-$D$84))+SUM($D$88:D103))*110%)/(100%-20%)-500000)/$A103),-4)</f>
        <v>1540000</v>
      </c>
      <c r="J126" s="160"/>
      <c r="K126" s="86" cm="1">
        <f t="array" ref="K126">G126*$A126</f>
        <v>25280000</v>
      </c>
      <c r="L126" s="86" cm="1">
        <f t="array" ref="L126">H126*$A126</f>
        <v>24640000</v>
      </c>
      <c r="M126" s="87" cm="1">
        <f t="array" ref="M126">I126*$A126</f>
        <v>24640000</v>
      </c>
      <c r="N126" s="182"/>
      <c r="O126" s="169">
        <v>39</v>
      </c>
      <c r="P126" s="170" cm="1">
        <f t="array" ref="P126">P125+1010000</f>
        <v>33092000</v>
      </c>
      <c r="Q126" s="17"/>
      <c r="R126" s="169">
        <v>39</v>
      </c>
      <c r="S126" s="173" cm="1">
        <f t="array" ref="S126">S125+(P126-P125)*110%</f>
        <v>35900900</v>
      </c>
      <c r="T126" s="17"/>
      <c r="U126" s="17"/>
      <c r="V126" s="17"/>
      <c r="W126" s="17"/>
      <c r="X126" s="171"/>
      <c r="Y126" s="172"/>
      <c r="Z126" s="173" cm="1">
        <f t="array" ref="Z126">ROUND((K126+$F$22*110%/0.75)/A126,-3)</f>
        <v>1655000</v>
      </c>
      <c r="AA126" s="172"/>
      <c r="AB126" s="174" cm="1">
        <f t="array" ref="AB126">ROUND((K126+7205000*110%/0.75)/A126,-3)</f>
        <v>2240000</v>
      </c>
    </row>
    <row r="127" ht="15.5" customHeight="1">
      <c r="A127" s="166">
        <v>17</v>
      </c>
      <c r="B127" s="167">
        <v>17</v>
      </c>
      <c r="C127" s="94" cm="1">
        <f t="array" ref="C127">_xlfn.IFERROR(C104*110%,"N/A")</f>
        <v>215380</v>
      </c>
      <c r="D127" s="86" cm="1">
        <f t="array" ref="D127">_xlfn.IFERROR(D104*110%,"N/A")</f>
        <v>319000</v>
      </c>
      <c r="E127" s="86" cm="1">
        <f t="array" ref="E127">ROUND(_xlfn.IFERROR(E104*110%,"N/A")-500000,-3)</f>
        <v>20546000</v>
      </c>
      <c r="F127" s="86" cm="1">
        <f t="array" ref="F127">_xlfn.IFERROR(F104*110%,"N/A")-500000</f>
        <v>20551800</v>
      </c>
      <c r="G127" s="86" cm="1">
        <f t="array" ref="G127">ROUND((($D$17*(100%+($G$84-$D$84))+SUM($D$88:D104))*110%/(100%-25%)-500000)/$A104,-4)</f>
        <v>1520000</v>
      </c>
      <c r="H127" s="86" cm="1">
        <f t="array" ref="H127">ROUND(((($D$17*(100%+($H$84-$D$84))+SUM($D$88:D104))*110%)/(100%-20%)-500000)/$A104,-4)</f>
        <v>1470000</v>
      </c>
      <c r="I127" s="87" cm="1">
        <f t="array" ref="I127">ROUND((((($D$17*(100%+($I$84-$D$84))+SUM($D$88:D104))*110%)/(100%-20%)-500000)/$A104),-4)</f>
        <v>1470000</v>
      </c>
      <c r="J127" s="160"/>
      <c r="K127" s="86" cm="1">
        <f t="array" ref="K127">G127*$A127</f>
        <v>25840000</v>
      </c>
      <c r="L127" s="86" cm="1">
        <f t="array" ref="L127">H127*$A127</f>
        <v>24990000</v>
      </c>
      <c r="M127" s="87" cm="1">
        <f t="array" ref="M127">I127*$A127</f>
        <v>24990000</v>
      </c>
      <c r="N127" s="182"/>
      <c r="O127" s="175">
        <v>40</v>
      </c>
      <c r="P127" s="170" cm="1">
        <f t="array" ref="P127">P126+1010000</f>
        <v>34102000</v>
      </c>
      <c r="Q127" s="17"/>
      <c r="R127" s="175">
        <v>40</v>
      </c>
      <c r="S127" s="173" cm="1">
        <f t="array" ref="S127">S126+(P127-P126)*110%</f>
        <v>37011900</v>
      </c>
      <c r="T127" s="17"/>
      <c r="U127" s="17"/>
      <c r="V127" s="17"/>
      <c r="W127" s="17"/>
      <c r="X127" s="171"/>
      <c r="Y127" s="172"/>
      <c r="Z127" s="173" cm="1">
        <f t="array" ref="Z127">ROUND((K127+$F$22*110%/0.75)/A127,-3)</f>
        <v>1591000</v>
      </c>
      <c r="AA127" s="172"/>
      <c r="AB127" s="174" cm="1">
        <f t="array" ref="AB127">ROUND((K127+7205000*110%/0.75)/A127,-3)</f>
        <v>2142000</v>
      </c>
    </row>
    <row r="128" ht="15.5" customHeight="1">
      <c r="A128" s="166">
        <v>18</v>
      </c>
      <c r="B128" s="167">
        <v>18</v>
      </c>
      <c r="C128" s="94" cm="1">
        <f t="array" ref="C128">_xlfn.IFERROR(C105*110%,"N/A")</f>
        <v>215380</v>
      </c>
      <c r="D128" s="86" cm="1">
        <f t="array" ref="D128">_xlfn.IFERROR(D105*110%,"N/A")</f>
        <v>319000</v>
      </c>
      <c r="E128" s="86" cm="1">
        <f t="array" ref="E128">ROUND(_xlfn.IFERROR(E105*110%,"N/A")-500000,-3)</f>
        <v>20865000</v>
      </c>
      <c r="F128" s="86" cm="1">
        <f t="array" ref="F128">_xlfn.IFERROR(F105*110%,"N/A")-500000</f>
        <v>20870800</v>
      </c>
      <c r="G128" s="86" cm="1">
        <f t="array" ref="G128">ROUND((($D$17*(100%+($G$84-$D$84))+SUM($D$88:D105))*110%/(100%-25%)-500000)/$A105,-4)</f>
        <v>1450000</v>
      </c>
      <c r="H128" s="86" cm="1">
        <f t="array" ref="H128">ROUND(((($D$17*(100%+($H$84-$D$84))+SUM($D$88:D105))*110%)/(100%-20%)-500000)/$A105,-4)</f>
        <v>1410000</v>
      </c>
      <c r="I128" s="87" cm="1">
        <f t="array" ref="I128">ROUND((((($D$17*(100%+($I$84-$D$84))+SUM($D$88:D105))*110%)/(100%-20%)-500000)/$A105),-4)</f>
        <v>1410000</v>
      </c>
      <c r="J128" s="160"/>
      <c r="K128" s="86" cm="1">
        <f t="array" ref="K128">G128*$A128</f>
        <v>26100000</v>
      </c>
      <c r="L128" s="86" cm="1">
        <f t="array" ref="L128">H128*$A128</f>
        <v>25380000</v>
      </c>
      <c r="M128" s="87" cm="1">
        <f t="array" ref="M128">I128*$A128</f>
        <v>25380000</v>
      </c>
      <c r="N128" s="182"/>
      <c r="O128" s="169">
        <v>41</v>
      </c>
      <c r="P128" s="170" cm="1">
        <f t="array" ref="P128">P127+1010000</f>
        <v>35112000</v>
      </c>
      <c r="Q128" s="17"/>
      <c r="R128" s="169">
        <v>41</v>
      </c>
      <c r="S128" s="173" cm="1">
        <f t="array" ref="S128">S127+(P128-P127)*110%</f>
        <v>38122900</v>
      </c>
      <c r="T128" s="17"/>
      <c r="U128" s="17"/>
      <c r="V128" s="17"/>
      <c r="W128" s="17"/>
      <c r="X128" s="171"/>
      <c r="Y128" s="172"/>
      <c r="Z128" s="173" cm="1">
        <f t="array" ref="Z128">ROUND((K128+$F$22*110%/0.75)/A128,-3)</f>
        <v>1517000</v>
      </c>
      <c r="AA128" s="172"/>
      <c r="AB128" s="174" cm="1">
        <f t="array" ref="AB128">ROUND((K128+7205000*110%/0.75)/A128,-3)</f>
        <v>2037000</v>
      </c>
    </row>
    <row r="129" ht="15.5" customHeight="1">
      <c r="A129" s="166">
        <v>19</v>
      </c>
      <c r="B129" s="167">
        <v>19</v>
      </c>
      <c r="C129" s="94" cm="1">
        <f t="array" ref="C129">_xlfn.IFERROR(C106*110%,"N/A")</f>
        <v>215380</v>
      </c>
      <c r="D129" s="86" cm="1">
        <f t="array" ref="D129">_xlfn.IFERROR(D106*110%,"N/A")</f>
        <v>319000</v>
      </c>
      <c r="E129" s="86" cm="1">
        <f t="array" ref="E129">ROUND(_xlfn.IFERROR(E106*110%,"N/A")-500000,-3)</f>
        <v>21184000</v>
      </c>
      <c r="F129" s="86" cm="1">
        <f t="array" ref="F129">_xlfn.IFERROR(F106*110%,"N/A")-500000</f>
        <v>21189800</v>
      </c>
      <c r="G129" s="86" cm="1">
        <f t="array" ref="G129">ROUND((($D$17*(100%+($G$84-$D$84))+SUM($D$88:D106))*110%/(100%-25%)-500000)/$A106,-4)</f>
        <v>1400000</v>
      </c>
      <c r="H129" s="86" cm="1">
        <f t="array" ref="H129">ROUND(((($D$17*(100%+($H$84-$D$84))+SUM($D$88:D106))*110%)/(100%-20%)-500000)/$A106,-4)</f>
        <v>1360000</v>
      </c>
      <c r="I129" s="87" cm="1">
        <f t="array" ref="I129">ROUND((((($D$17*(100%+($I$84-$D$84))+SUM($D$88:D106))*110%)/(100%-20%)-500000)/$A106),-4)</f>
        <v>1360000</v>
      </c>
      <c r="J129" s="160"/>
      <c r="K129" s="86" cm="1">
        <f t="array" ref="K129">G129*$A129</f>
        <v>26600000</v>
      </c>
      <c r="L129" s="86" cm="1">
        <f t="array" ref="L129">H129*$A129</f>
        <v>25840000</v>
      </c>
      <c r="M129" s="87" cm="1">
        <f t="array" ref="M129">I129*$A129</f>
        <v>25840000</v>
      </c>
      <c r="N129" s="182"/>
      <c r="O129" s="175">
        <v>42</v>
      </c>
      <c r="P129" s="170" cm="1">
        <f t="array" ref="P129">P128+1010000</f>
        <v>36122000</v>
      </c>
      <c r="Q129" s="17"/>
      <c r="R129" s="175">
        <v>42</v>
      </c>
      <c r="S129" s="173" cm="1">
        <f t="array" ref="S129">S128+(P129-P128)*110%</f>
        <v>39233900</v>
      </c>
      <c r="T129" s="17"/>
      <c r="U129" s="17"/>
      <c r="V129" s="17"/>
      <c r="W129" s="17"/>
      <c r="X129" s="171"/>
      <c r="Y129" s="172"/>
      <c r="Z129" s="173" cm="1">
        <f t="array" ref="Z129">ROUND((K129+$F$22*110%/0.75)/A129,-3)</f>
        <v>1463000</v>
      </c>
      <c r="AA129" s="172"/>
      <c r="AB129" s="174" cm="1">
        <f t="array" ref="AB129">ROUND((K129+7205000*110%/0.75)/A129,-3)</f>
        <v>1956000</v>
      </c>
    </row>
    <row r="130" ht="15.5" customHeight="1">
      <c r="A130" s="166">
        <v>20</v>
      </c>
      <c r="B130" t="s" s="136">
        <v>152</v>
      </c>
      <c r="C130" s="113" cm="1">
        <f t="array" ref="C130">_xlfn.IFERROR(C107*110%,"N/A")</f>
        <v>215380</v>
      </c>
      <c r="D130" s="114" cm="1">
        <f t="array" ref="D130">_xlfn.IFERROR(D107*110%,"N/A")</f>
        <v>319000</v>
      </c>
      <c r="E130" s="114" cm="1">
        <f t="array" ref="E130">ROUND(_xlfn.IFERROR(E107*110%,"N/A")-500000,-3)</f>
        <v>21503000</v>
      </c>
      <c r="F130" s="114" cm="1">
        <f t="array" ref="F130">_xlfn.IFERROR(F107*110%,"N/A")-500000</f>
        <v>21508800</v>
      </c>
      <c r="G130" s="114" cm="1">
        <f t="array" ref="G130">ROUND((($D$17*(100%+($G$84-$D$84))+SUM($D$88:D107))*110%/(100%-25%)-500000)/$A107,-4)</f>
        <v>1350000</v>
      </c>
      <c r="H130" s="114" cm="1">
        <f t="array" ref="H130">ROUND(((($D$17*(100%+($H$84-$D$84))+SUM($D$88:D107))*110%)/(100%-20%)-500000)/$A107,-4)</f>
        <v>1310000</v>
      </c>
      <c r="I130" s="115" cm="1">
        <f t="array" ref="I130">ROUND((((($D$17*(100%+($I$84-$D$84))+SUM($D$88:D107))*110%)/(100%-20%)-500000)/$A107),-4)</f>
        <v>1310000</v>
      </c>
      <c r="J130" s="160"/>
      <c r="K130" s="114" cm="1">
        <f t="array" ref="K130">G130*$A130</f>
        <v>27000000</v>
      </c>
      <c r="L130" s="114" cm="1">
        <f t="array" ref="L130">H130*$A130</f>
        <v>26200000</v>
      </c>
      <c r="M130" s="115" cm="1">
        <f t="array" ref="M130">I130*$A130</f>
        <v>26200000</v>
      </c>
      <c r="N130" s="182"/>
      <c r="O130" s="169">
        <v>43</v>
      </c>
      <c r="P130" s="170" cm="1">
        <f t="array" ref="P130">P129+1010000</f>
        <v>37132000</v>
      </c>
      <c r="Q130" s="17"/>
      <c r="R130" s="169">
        <v>43</v>
      </c>
      <c r="S130" s="173" cm="1">
        <f t="array" ref="S130">S129+(P130-P129)*110%</f>
        <v>40344900</v>
      </c>
      <c r="T130" s="17"/>
      <c r="U130" s="17"/>
      <c r="V130" s="17"/>
      <c r="W130" s="17"/>
      <c r="X130" s="171"/>
      <c r="Y130" s="172"/>
      <c r="Z130" s="173" cm="1">
        <f t="array" ref="Z130">ROUND((K130+$F$22*110%/0.75)/A130,-3)</f>
        <v>1410000</v>
      </c>
      <c r="AA130" s="172"/>
      <c r="AB130" s="174" cm="1">
        <f t="array" ref="AB130">ROUND((K130+7205000*110%/0.75)/A130,-3)</f>
        <v>1878000</v>
      </c>
    </row>
    <row r="131" ht="15.5" customHeight="1">
      <c r="A131" s="32"/>
      <c r="B131" s="33"/>
      <c r="C131" s="33"/>
      <c r="D131" s="33"/>
      <c r="E131" s="33"/>
      <c r="F131" s="33"/>
      <c r="G131" s="33"/>
      <c r="H131" s="33"/>
      <c r="I131" s="33"/>
      <c r="J131" s="17"/>
      <c r="K131" s="33"/>
      <c r="L131" s="33"/>
      <c r="M131" s="33"/>
      <c r="N131" s="176"/>
      <c r="O131" s="175">
        <v>44</v>
      </c>
      <c r="P131" s="170" cm="1">
        <f t="array" ref="P131">P130+1010000</f>
        <v>38142000</v>
      </c>
      <c r="Q131" s="17"/>
      <c r="R131" s="175">
        <v>44</v>
      </c>
      <c r="S131" s="173" cm="1">
        <f t="array" ref="S131">S130+(P131-P130)*110%</f>
        <v>41455900</v>
      </c>
      <c r="T131" s="17"/>
      <c r="U131" s="17"/>
      <c r="V131" s="17"/>
      <c r="W131" s="17"/>
      <c r="X131" s="17"/>
      <c r="Y131" s="17"/>
      <c r="Z131" s="185"/>
      <c r="AA131" s="17"/>
      <c r="AB131" s="178"/>
    </row>
    <row r="132" ht="18.65" customHeight="1">
      <c r="A132" s="12"/>
      <c r="B132" t="s" s="152">
        <v>154</v>
      </c>
      <c r="C132" s="153"/>
      <c r="D132" s="153"/>
      <c r="E132" s="153"/>
      <c r="F132" s="154"/>
      <c r="G132" t="s" s="155">
        <v>155</v>
      </c>
      <c r="H132" s="156"/>
      <c r="I132" s="157"/>
      <c r="J132" s="71"/>
      <c r="K132" t="s" s="155">
        <v>156</v>
      </c>
      <c r="L132" s="156"/>
      <c r="M132" s="157"/>
      <c r="N132" s="182"/>
      <c r="O132" s="186">
        <v>45</v>
      </c>
      <c r="P132" s="170" cm="1">
        <f t="array" ref="P132">P131+1010000</f>
        <v>39152000</v>
      </c>
      <c r="Q132" s="17"/>
      <c r="R132" s="186">
        <v>45</v>
      </c>
      <c r="S132" s="173" cm="1">
        <f t="array" ref="S132">S131+(P132-P131)*110%</f>
        <v>42566900</v>
      </c>
      <c r="T132" s="17"/>
      <c r="U132" s="17"/>
      <c r="V132" s="17"/>
      <c r="W132" s="17"/>
      <c r="X132" s="17"/>
      <c r="Y132" s="17"/>
      <c r="Z132" s="17"/>
      <c r="AA132" s="17"/>
      <c r="AB132" s="18"/>
    </row>
    <row r="133" ht="46" customHeight="1">
      <c r="A133" s="187"/>
      <c r="B133" t="s" s="75">
        <v>138</v>
      </c>
      <c r="C133" t="s" s="158">
        <v>139</v>
      </c>
      <c r="D133" t="s" s="159">
        <v>140</v>
      </c>
      <c r="E133" t="s" s="159">
        <v>141</v>
      </c>
      <c r="F133" t="s" s="159">
        <v>142</v>
      </c>
      <c r="G133" t="s" s="66">
        <v>143</v>
      </c>
      <c r="H133" t="s" s="66">
        <v>144</v>
      </c>
      <c r="I133" t="s" s="67">
        <v>145</v>
      </c>
      <c r="J133" s="160"/>
      <c r="K133" t="s" s="66">
        <v>19</v>
      </c>
      <c r="L133" t="s" s="66">
        <v>146</v>
      </c>
      <c r="M133" t="s" s="67">
        <v>21</v>
      </c>
      <c r="N133" s="16"/>
      <c r="O133" s="17"/>
      <c r="P133" s="185"/>
      <c r="Q133" s="17"/>
      <c r="R133" s="17"/>
      <c r="S133" s="185"/>
      <c r="T133" s="17"/>
      <c r="U133" s="17"/>
      <c r="V133" s="17"/>
      <c r="W133" s="17"/>
      <c r="X133" s="17"/>
      <c r="Y133" s="17"/>
      <c r="Z133" t="s" s="183">
        <v>149</v>
      </c>
      <c r="AA133" s="17"/>
      <c r="AB133" t="s" s="184">
        <v>150</v>
      </c>
    </row>
    <row r="134" ht="15.5" customHeight="1">
      <c r="A134" s="166">
        <v>1</v>
      </c>
      <c r="B134" s="167">
        <v>1</v>
      </c>
      <c r="C134" s="94" cm="1">
        <f t="array" ref="C134">C88</f>
        <v>0</v>
      </c>
      <c r="D134" s="86" cm="1">
        <f t="array" ref="D134">D88</f>
        <v>0</v>
      </c>
      <c r="E134" s="86" cm="1">
        <f t="array" ref="E134">F134</f>
        <v>13195000</v>
      </c>
      <c r="F134" s="86" cm="1">
        <f t="array" ref="F134">($D$17*(100%+($F$84-$D$84))+SUM($D$88:D88))/(100%)+IF($A134&lt;6,'Trasnfers, Extras, Alco 2026'!$C$118,IF($A134&lt;11,'Trasnfers, Extras, Alco 2026'!$C$118*2,IF($A134&lt;16,'Trasnfers, Extras, Alco 2026'!$C$118*3,'Trasnfers, Extras, Alco 2026'!$C$118*4)))</f>
        <v>13195000</v>
      </c>
      <c r="G134" s="86" cm="1">
        <f t="array" ref="G134">ROUND(($D$17*(100%+($G$84-$D$84))+SUM($D$88:D88))/(100%-25%)/$A134+IF($A134&lt;6,'Trasnfers, Extras, Alco 2026'!$C$118,IF($A134&lt;11,'Trasnfers, Extras, Alco 2026'!$C$118*2,IF($A134&lt;16,'Trasnfers, Extras, Alco 2026'!$C$118*3,'Trasnfers, Extras, Alco 2026'!$C$118*4)))/$A134,-4)</f>
        <v>15650000</v>
      </c>
      <c r="H134" s="86" cm="1">
        <f t="array" ref="H134">($D$17*(100%+($H$84-$D$84))+SUM($D$88:D88))/(100%-20%)/$A134+IF($A134&lt;6,'Trasnfers, Extras, Alco 2026'!$C$118,IF($A134&lt;11,'Trasnfers, Extras, Alco 2026'!$C$118*2,IF($A134&lt;16,'Trasnfers, Extras, Alco 2026'!$C$118*3,'Trasnfers, Extras, Alco 2026'!$C$118*4)))/$A134</f>
        <v>15500312.5</v>
      </c>
      <c r="I134" s="87" cm="1">
        <f t="array" ref="I134">($D$17*(100%+($I$84-$D$84))+SUM($D$88:D88))/(100%-20%)/$A134+IF($A134&lt;6,'Trasnfers, Extras, Alco 2026'!$C$118,IF($A134&lt;11,'Trasnfers, Extras, Alco 2026'!$C$118*2,IF($A134&lt;16,'Trasnfers, Extras, Alco 2026'!$C$118*3,'Trasnfers, Extras, Alco 2026'!$C$118*4)))/$A134</f>
        <v>15500312.5</v>
      </c>
      <c r="J134" s="160"/>
      <c r="K134" s="86" cm="1">
        <f t="array" ref="K134">($D$17*(100%+($G$84-$D$84))+SUM($D$88:D88))/(100%-25%)+IF($A134&lt;6,'Trasnfers, Extras, Alco 2026'!$C$118,IF($A134&lt;11,'Trasnfers, Extras, Alco 2026'!$C$118*2,IF($A134&lt;16,'Trasnfers, Extras, Alco 2026'!$C$118*3,'Trasnfers, Extras, Alco 2026'!$C$118*4)))</f>
        <v>15654000</v>
      </c>
      <c r="L134" s="86" cm="1">
        <f t="array" ref="L134">($D$17*(100%+($H$84-$D$84))+SUM($D$88:D88))/(100%-20%)+IF($A134&lt;6,'Trasnfers, Extras, Alco 2026'!$C$118,IF($A134&lt;11,'Trasnfers, Extras, Alco 2026'!$C$118*2,IF($A134&lt;16,'Trasnfers, Extras, Alco 2026'!$C$118*3,'Trasnfers, Extras, Alco 2026'!$C$118*4)))</f>
        <v>15500312.5</v>
      </c>
      <c r="M134" s="87" cm="1">
        <f t="array" ref="M134">($D$17*(100%+($I$84-$D$84))+SUM($D$88:D88))/(100%-20%)+IF($A134&lt;6,'Trasnfers, Extras, Alco 2026'!$C$118,IF($A134&lt;11,'Trasnfers, Extras, Alco 2026'!$C$118*2,IF($A134&lt;16,'Trasnfers, Extras, Alco 2026'!$C$118*3,'Trasnfers, Extras, Alco 2026'!$C$118*4)))</f>
        <v>15500312.5</v>
      </c>
      <c r="N134" s="188"/>
      <c r="O134" s="17"/>
      <c r="P134" s="17"/>
      <c r="Q134" s="17"/>
      <c r="R134" s="17"/>
      <c r="S134" s="17"/>
      <c r="T134" s="17"/>
      <c r="U134" s="17"/>
      <c r="V134" s="17"/>
      <c r="W134" s="17"/>
      <c r="X134" s="17"/>
      <c r="Y134" s="172"/>
      <c r="Z134" s="173" cm="1">
        <f t="array" ref="Z134">ROUND((K134+$F$22/0.75)/A134,-3)</f>
        <v>16747000</v>
      </c>
      <c r="AA134" s="172"/>
      <c r="AB134" s="174" cm="1">
        <f t="array" ref="AB134">ROUND((K134+7205000/0.75)/A134,-3)</f>
        <v>25261000</v>
      </c>
    </row>
    <row r="135" ht="15.5" customHeight="1">
      <c r="A135" s="166">
        <v>2</v>
      </c>
      <c r="B135" s="167">
        <v>2</v>
      </c>
      <c r="C135" s="94" cm="1">
        <f t="array" ref="C135">C89</f>
        <v>195800</v>
      </c>
      <c r="D135" s="86" cm="1">
        <f t="array" ref="D135">D89</f>
        <v>290000</v>
      </c>
      <c r="E135" s="86" cm="1">
        <f t="array" ref="E135">F135</f>
        <v>13485000</v>
      </c>
      <c r="F135" s="86" cm="1">
        <f t="array" ref="F135">($D$17*(100%+($F$84-$D$84))+SUM($D$88:D89))/(100%)+IF($A135&lt;6,'Trasnfers, Extras, Alco 2026'!$C$118,IF($A135&lt;11,'Trasnfers, Extras, Alco 2026'!$C$118*2,IF($A135&lt;16,'Trasnfers, Extras, Alco 2026'!$C$118*3,'Trasnfers, Extras, Alco 2026'!$C$118*4)))</f>
        <v>13485000</v>
      </c>
      <c r="G135" s="86" cm="1">
        <f t="array" ref="G135">ROUND(($D$17*(100%+($G$84-$D$84))+SUM($D$88:D89))/(100%-25%)/$A135+IF($A135&lt;6,'Trasnfers, Extras, Alco 2026'!$C$118,IF($A135&lt;11,'Trasnfers, Extras, Alco 2026'!$C$118*2,IF($A135&lt;16,'Trasnfers, Extras, Alco 2026'!$C$118*3,'Trasnfers, Extras, Alco 2026'!$C$118*4)))/$A135,-4)</f>
        <v>8020000</v>
      </c>
      <c r="H135" s="86" cm="1">
        <f t="array" ref="H135">($D$17*(100%+($H$84-$D$84))+SUM($D$88:D89))/(100%-20%)/$A135+IF($A135&lt;6,'Trasnfers, Extras, Alco 2026'!$C$118,IF($A135&lt;11,'Trasnfers, Extras, Alco 2026'!$C$118*2,IF($A135&lt;16,'Trasnfers, Extras, Alco 2026'!$C$118*3,'Trasnfers, Extras, Alco 2026'!$C$118*4)))/$A135</f>
        <v>7931406.25</v>
      </c>
      <c r="I135" s="87" cm="1">
        <f t="array" ref="I135">($D$17*(100%+($I$84-$D$84))+SUM($D$88:D89))/(100%-20%)/$A135+IF($A135&lt;6,'Trasnfers, Extras, Alco 2026'!$C$118,IF($A135&lt;11,'Trasnfers, Extras, Alco 2026'!$C$118*2,IF($A135&lt;16,'Trasnfers, Extras, Alco 2026'!$C$118*3,'Trasnfers, Extras, Alco 2026'!$C$118*4)))/$A135</f>
        <v>7931406.25</v>
      </c>
      <c r="J135" s="160"/>
      <c r="K135" s="86" cm="1">
        <f t="array" ref="K135">($D$17*(100%+($G$84-$D$84))+SUM($D$88:D89))/(100%-25%)+IF($A135&lt;6,'Trasnfers, Extras, Alco 2026'!$C$118,IF($A135&lt;11,'Trasnfers, Extras, Alco 2026'!$C$118*2,IF($A135&lt;16,'Trasnfers, Extras, Alco 2026'!$C$118*3,'Trasnfers, Extras, Alco 2026'!$C$118*4)))</f>
        <v>16040666.6666667</v>
      </c>
      <c r="L135" s="86" cm="1">
        <f t="array" ref="L135">($D$17*(100%+($H$84-$D$84))+SUM($D$88:D89))/(100%-20%)+IF($A135&lt;6,'Trasnfers, Extras, Alco 2026'!$C$118,IF($A135&lt;11,'Trasnfers, Extras, Alco 2026'!$C$118*2,IF($A135&lt;16,'Trasnfers, Extras, Alco 2026'!$C$118*3,'Trasnfers, Extras, Alco 2026'!$C$118*4)))</f>
        <v>15862812.5</v>
      </c>
      <c r="M135" s="87" cm="1">
        <f t="array" ref="M135">($D$17*(100%+($I$84-$D$84))+SUM($D$88:D89))/(100%-20%)+IF($A135&lt;6,'Trasnfers, Extras, Alco 2026'!$C$118,IF($A135&lt;11,'Trasnfers, Extras, Alco 2026'!$C$118*2,IF($A135&lt;16,'Trasnfers, Extras, Alco 2026'!$C$118*3,'Trasnfers, Extras, Alco 2026'!$C$118*4)))</f>
        <v>15862812.5</v>
      </c>
      <c r="N135" s="188"/>
      <c r="O135" s="17"/>
      <c r="P135" s="17"/>
      <c r="Q135" s="17"/>
      <c r="R135" s="17"/>
      <c r="S135" s="17"/>
      <c r="T135" s="17"/>
      <c r="U135" s="17"/>
      <c r="V135" s="17"/>
      <c r="W135" s="17"/>
      <c r="X135" s="17"/>
      <c r="Y135" s="172"/>
      <c r="Z135" s="173" cm="1">
        <f t="array" ref="Z135">ROUND((K135+$F$22/0.75)/A135,-3)</f>
        <v>8567000</v>
      </c>
      <c r="AA135" s="172"/>
      <c r="AB135" s="174" cm="1">
        <f t="array" ref="AB135">ROUND((K135+7205000/0.75)/A135,-3)</f>
        <v>12824000</v>
      </c>
    </row>
    <row r="136" ht="15.5" customHeight="1">
      <c r="A136" s="166">
        <v>3</v>
      </c>
      <c r="B136" s="167">
        <v>3</v>
      </c>
      <c r="C136" s="94" cm="1">
        <f t="array" ref="C136">C90</f>
        <v>195800</v>
      </c>
      <c r="D136" s="86" cm="1">
        <f t="array" ref="D136">D90</f>
        <v>290000</v>
      </c>
      <c r="E136" s="86" cm="1">
        <f t="array" ref="E136">F136</f>
        <v>13775000</v>
      </c>
      <c r="F136" s="86" cm="1">
        <f t="array" ref="F136">($D$17*(100%+($F$84-$D$84))+SUM($D$88:D90))/(100%)+IF($A136&lt;6,'Trasnfers, Extras, Alco 2026'!$C$118,IF($A136&lt;11,'Trasnfers, Extras, Alco 2026'!$C$118*2,IF($A136&lt;16,'Trasnfers, Extras, Alco 2026'!$C$118*3,'Trasnfers, Extras, Alco 2026'!$C$118*4)))</f>
        <v>13775000</v>
      </c>
      <c r="G136" s="86" cm="1">
        <f t="array" ref="G136">ROUND(($D$17*(100%+($G$84-$D$84))+SUM($D$88:D90))/(100%-25%)/$A136+IF($A136&lt;6,'Trasnfers, Extras, Alco 2026'!$C$118,IF($A136&lt;11,'Trasnfers, Extras, Alco 2026'!$C$118*2,IF($A136&lt;16,'Trasnfers, Extras, Alco 2026'!$C$118*3,'Trasnfers, Extras, Alco 2026'!$C$118*4)))/$A136,-4)</f>
        <v>5480000</v>
      </c>
      <c r="H136" s="86" cm="1">
        <f t="array" ref="H136">($D$17*(100%+($H$84-$D$84))+SUM($D$88:D90))/(100%-20%)/$A136+IF($A136&lt;6,'Trasnfers, Extras, Alco 2026'!$C$118,IF($A136&lt;11,'Trasnfers, Extras, Alco 2026'!$C$118*2,IF($A136&lt;16,'Trasnfers, Extras, Alco 2026'!$C$118*3,'Trasnfers, Extras, Alco 2026'!$C$118*4)))/$A136</f>
        <v>5408437.5</v>
      </c>
      <c r="I136" s="87" cm="1">
        <f t="array" ref="I136">($D$17*(100%+($I$84-$D$84))+SUM($D$88:D90))/(100%-20%)/$A136+IF($A136&lt;6,'Trasnfers, Extras, Alco 2026'!$C$118,IF($A136&lt;11,'Trasnfers, Extras, Alco 2026'!$C$118*2,IF($A136&lt;16,'Trasnfers, Extras, Alco 2026'!$C$118*3,'Trasnfers, Extras, Alco 2026'!$C$118*4)))/$A136</f>
        <v>5408437.5</v>
      </c>
      <c r="J136" s="160"/>
      <c r="K136" s="86" cm="1">
        <f t="array" ref="K136">($D$17*(100%+($G$84-$D$84))+SUM($D$88:D90))/(100%-25%)+IF($A136&lt;6,'Trasnfers, Extras, Alco 2026'!$C$118,IF($A136&lt;11,'Trasnfers, Extras, Alco 2026'!$C$118*2,IF($A136&lt;16,'Trasnfers, Extras, Alco 2026'!$C$118*3,'Trasnfers, Extras, Alco 2026'!$C$118*4)))</f>
        <v>16427333.3333333</v>
      </c>
      <c r="L136" s="86" cm="1">
        <f t="array" ref="L136">($D$17*(100%+($H$84-$D$84))+SUM($D$88:D90))/(100%-20%)+IF($A136&lt;6,'Trasnfers, Extras, Alco 2026'!$C$118,IF($A136&lt;11,'Trasnfers, Extras, Alco 2026'!$C$118*2,IF($A136&lt;16,'Trasnfers, Extras, Alco 2026'!$C$118*3,'Trasnfers, Extras, Alco 2026'!$C$118*4)))</f>
        <v>16225312.5</v>
      </c>
      <c r="M136" s="87" cm="1">
        <f t="array" ref="M136">($D$17*(100%+($I$84-$D$84))+SUM($D$88:D90))/(100%-20%)+IF($A136&lt;6,'Trasnfers, Extras, Alco 2026'!$C$118,IF($A136&lt;11,'Trasnfers, Extras, Alco 2026'!$C$118*2,IF($A136&lt;16,'Trasnfers, Extras, Alco 2026'!$C$118*3,'Trasnfers, Extras, Alco 2026'!$C$118*4)))</f>
        <v>16225312.5</v>
      </c>
      <c r="N136" s="188"/>
      <c r="O136" s="17"/>
      <c r="P136" s="17"/>
      <c r="Q136" s="17"/>
      <c r="R136" s="17"/>
      <c r="S136" s="17"/>
      <c r="T136" s="17"/>
      <c r="U136" s="17"/>
      <c r="V136" s="17"/>
      <c r="W136" s="17"/>
      <c r="X136" s="17"/>
      <c r="Y136" s="172"/>
      <c r="Z136" s="173" cm="1">
        <f t="array" ref="Z136">ROUND((K136+$F$22/0.75)/A136,-3)</f>
        <v>5840000</v>
      </c>
      <c r="AA136" s="172"/>
      <c r="AB136" s="174" cm="1">
        <f t="array" ref="AB136">ROUND((K136+7205000/0.75)/A136,-3)</f>
        <v>8678000</v>
      </c>
    </row>
    <row r="137" ht="15.5" customHeight="1">
      <c r="A137" s="166">
        <v>4</v>
      </c>
      <c r="B137" s="167">
        <v>4</v>
      </c>
      <c r="C137" s="94" cm="1">
        <f t="array" ref="C137">C91</f>
        <v>195800</v>
      </c>
      <c r="D137" s="86" cm="1">
        <f t="array" ref="D137">D91</f>
        <v>290000</v>
      </c>
      <c r="E137" s="86" cm="1">
        <f t="array" ref="E137">F137</f>
        <v>14065000</v>
      </c>
      <c r="F137" s="86" cm="1">
        <f t="array" ref="F137">($D$17*(100%+($F$84-$D$84))+SUM($D$88:D91))/(100%)+IF($A137&lt;6,'Trasnfers, Extras, Alco 2026'!$C$118,IF($A137&lt;11,'Trasnfers, Extras, Alco 2026'!$C$118*2,IF($A137&lt;16,'Trasnfers, Extras, Alco 2026'!$C$118*3,'Trasnfers, Extras, Alco 2026'!$C$118*4)))</f>
        <v>14065000</v>
      </c>
      <c r="G137" s="86" cm="1">
        <f t="array" ref="G137">ROUND(($D$17*(100%+($G$84-$D$84))+SUM($D$88:D91))/(100%-25%)/$A137+IF($A137&lt;6,'Trasnfers, Extras, Alco 2026'!$C$118,IF($A137&lt;11,'Trasnfers, Extras, Alco 2026'!$C$118*2,IF($A137&lt;16,'Trasnfers, Extras, Alco 2026'!$C$118*3,'Trasnfers, Extras, Alco 2026'!$C$118*4)))/$A137,-4)</f>
        <v>4200000</v>
      </c>
      <c r="H137" s="86" cm="1">
        <f t="array" ref="H137">($D$17*(100%+($H$84-$D$84))+SUM($D$88:D91))/(100%-20%)/$A137+IF($A137&lt;6,'Trasnfers, Extras, Alco 2026'!$C$118,IF($A137&lt;11,'Trasnfers, Extras, Alco 2026'!$C$118*2,IF($A137&lt;16,'Trasnfers, Extras, Alco 2026'!$C$118*3,'Trasnfers, Extras, Alco 2026'!$C$118*4)))/$A137</f>
        <v>4146953.125</v>
      </c>
      <c r="I137" s="87" cm="1">
        <f t="array" ref="I137">($D$17*(100%+($I$84-$D$84))+SUM($D$88:D91))/(100%-20%)/$A137+IF($A137&lt;6,'Trasnfers, Extras, Alco 2026'!$C$118,IF($A137&lt;11,'Trasnfers, Extras, Alco 2026'!$C$118*2,IF($A137&lt;16,'Trasnfers, Extras, Alco 2026'!$C$118*3,'Trasnfers, Extras, Alco 2026'!$C$118*4)))/$A137</f>
        <v>4146953.125</v>
      </c>
      <c r="J137" s="160"/>
      <c r="K137" s="86" cm="1">
        <f t="array" ref="K137">($D$17*(100%+($G$84-$D$84))+SUM($D$88:D91))/(100%-25%)+IF($A137&lt;6,'Trasnfers, Extras, Alco 2026'!$C$118,IF($A137&lt;11,'Trasnfers, Extras, Alco 2026'!$C$118*2,IF($A137&lt;16,'Trasnfers, Extras, Alco 2026'!$C$118*3,'Trasnfers, Extras, Alco 2026'!$C$118*4)))</f>
        <v>16814000</v>
      </c>
      <c r="L137" s="86" cm="1">
        <f t="array" ref="L137">($D$17*(100%+($H$84-$D$84))+SUM($D$88:D91))/(100%-20%)+IF($A137&lt;6,'Trasnfers, Extras, Alco 2026'!$C$118,IF($A137&lt;11,'Trasnfers, Extras, Alco 2026'!$C$118*2,IF($A137&lt;16,'Trasnfers, Extras, Alco 2026'!$C$118*3,'Trasnfers, Extras, Alco 2026'!$C$118*4)))</f>
        <v>16587812.5</v>
      </c>
      <c r="M137" s="87" cm="1">
        <f t="array" ref="M137">($D$17*(100%+($I$84-$D$84))+SUM($D$88:D91))/(100%-20%)+IF($A137&lt;6,'Trasnfers, Extras, Alco 2026'!$C$118,IF($A137&lt;11,'Trasnfers, Extras, Alco 2026'!$C$118*2,IF($A137&lt;16,'Trasnfers, Extras, Alco 2026'!$C$118*3,'Trasnfers, Extras, Alco 2026'!$C$118*4)))</f>
        <v>16587812.5</v>
      </c>
      <c r="N137" s="188"/>
      <c r="O137" s="17"/>
      <c r="P137" s="17"/>
      <c r="Q137" s="17"/>
      <c r="R137" s="17"/>
      <c r="S137" s="17"/>
      <c r="T137" s="17"/>
      <c r="U137" s="17"/>
      <c r="V137" s="17"/>
      <c r="W137" s="17"/>
      <c r="X137" s="17"/>
      <c r="Y137" s="172"/>
      <c r="Z137" s="173" cm="1">
        <f t="array" ref="Z137">ROUND((K137+$F$22/0.75)/A137,-3)</f>
        <v>4477000</v>
      </c>
      <c r="AA137" s="172"/>
      <c r="AB137" s="174" cm="1">
        <f t="array" ref="AB137">ROUND((K137+7205000/0.75)/A137,-3)</f>
        <v>6605000</v>
      </c>
    </row>
    <row r="138" ht="15.5" customHeight="1">
      <c r="A138" s="166">
        <v>5</v>
      </c>
      <c r="B138" s="167">
        <v>5</v>
      </c>
      <c r="C138" s="94" cm="1">
        <f t="array" ref="C138">C92</f>
        <v>195800</v>
      </c>
      <c r="D138" s="86" cm="1">
        <f t="array" ref="D138">D92</f>
        <v>290000</v>
      </c>
      <c r="E138" s="86" cm="1">
        <f t="array" ref="E138">F138</f>
        <v>14355000</v>
      </c>
      <c r="F138" s="86" cm="1">
        <f t="array" ref="F138">($D$17*(100%+($F$84-$D$84))+SUM($D$88:D92))/(100%)+IF($A138&lt;6,'Trasnfers, Extras, Alco 2026'!$C$118,IF($A138&lt;11,'Trasnfers, Extras, Alco 2026'!$C$118*2,IF($A138&lt;16,'Trasnfers, Extras, Alco 2026'!$C$118*3,'Trasnfers, Extras, Alco 2026'!$C$118*4)))</f>
        <v>14355000</v>
      </c>
      <c r="G138" s="86" cm="1">
        <f t="array" ref="G138">ROUND(($D$17*(100%+($G$84-$D$84))+SUM($D$88:D92))/(100%-25%)/$A138+IF($A138&lt;6,'Trasnfers, Extras, Alco 2026'!$C$118,IF($A138&lt;11,'Trasnfers, Extras, Alco 2026'!$C$118*2,IF($A138&lt;16,'Trasnfers, Extras, Alco 2026'!$C$118*3,'Trasnfers, Extras, Alco 2026'!$C$118*4)))/$A138,-4)</f>
        <v>3440000</v>
      </c>
      <c r="H138" s="86" cm="1">
        <f t="array" ref="H138">($D$17*(100%+($H$84-$D$84))+SUM($D$88:D92))/(100%-20%)/$A138+IF($A138&lt;6,'Trasnfers, Extras, Alco 2026'!$C$118,IF($A138&lt;11,'Trasnfers, Extras, Alco 2026'!$C$118*2,IF($A138&lt;16,'Trasnfers, Extras, Alco 2026'!$C$118*3,'Trasnfers, Extras, Alco 2026'!$C$118*4)))/$A138</f>
        <v>3390062.5</v>
      </c>
      <c r="I138" s="87" cm="1">
        <f t="array" ref="I138">($D$17*(100%+($I$84-$D$84))+SUM($D$88:D92))/(100%-20%)/$A138+IF($A138&lt;6,'Trasnfers, Extras, Alco 2026'!$C$118,IF($A138&lt;11,'Trasnfers, Extras, Alco 2026'!$C$118*2,IF($A138&lt;16,'Trasnfers, Extras, Alco 2026'!$C$118*3,'Trasnfers, Extras, Alco 2026'!$C$118*4)))/$A138</f>
        <v>3390062.5</v>
      </c>
      <c r="J138" s="160"/>
      <c r="K138" s="86" cm="1">
        <f t="array" ref="K138">($D$17*(100%+($G$84-$D$84))+SUM($D$88:D92))/(100%-25%)+IF($A138&lt;6,'Trasnfers, Extras, Alco 2026'!$C$118,IF($A138&lt;11,'Trasnfers, Extras, Alco 2026'!$C$118*2,IF($A138&lt;16,'Trasnfers, Extras, Alco 2026'!$C$118*3,'Trasnfers, Extras, Alco 2026'!$C$118*4)))</f>
        <v>17200666.6666667</v>
      </c>
      <c r="L138" s="86" cm="1">
        <f t="array" ref="L138">($D$17*(100%+($H$84-$D$84))+SUM($D$88:D92))/(100%-20%)+IF($A138&lt;6,'Trasnfers, Extras, Alco 2026'!$C$118,IF($A138&lt;11,'Trasnfers, Extras, Alco 2026'!$C$118*2,IF($A138&lt;16,'Trasnfers, Extras, Alco 2026'!$C$118*3,'Trasnfers, Extras, Alco 2026'!$C$118*4)))</f>
        <v>16950312.5</v>
      </c>
      <c r="M138" s="87" cm="1">
        <f t="array" ref="M138">($D$17*(100%+($I$84-$D$84))+SUM($D$88:D92))/(100%-20%)+IF($A138&lt;6,'Trasnfers, Extras, Alco 2026'!$C$118,IF($A138&lt;11,'Trasnfers, Extras, Alco 2026'!$C$118*2,IF($A138&lt;16,'Trasnfers, Extras, Alco 2026'!$C$118*3,'Trasnfers, Extras, Alco 2026'!$C$118*4)))</f>
        <v>16950312.5</v>
      </c>
      <c r="N138" s="188"/>
      <c r="O138" s="17"/>
      <c r="P138" s="17"/>
      <c r="Q138" s="17"/>
      <c r="R138" s="17"/>
      <c r="S138" s="17"/>
      <c r="T138" s="17"/>
      <c r="U138" s="17"/>
      <c r="V138" s="17"/>
      <c r="W138" s="17"/>
      <c r="X138" s="17"/>
      <c r="Y138" s="172"/>
      <c r="Z138" s="173" cm="1">
        <f t="array" ref="Z138">ROUND((K138+$F$22/0.75)/A138,-3)</f>
        <v>3659000</v>
      </c>
      <c r="AA138" s="172"/>
      <c r="AB138" s="174" cm="1">
        <f t="array" ref="AB138">ROUND((K138+7205000/0.75)/A138,-3)</f>
        <v>5361000</v>
      </c>
    </row>
    <row r="139" ht="15.5" customHeight="1">
      <c r="A139" s="166">
        <v>6</v>
      </c>
      <c r="B139" t="s" s="84">
        <v>151</v>
      </c>
      <c r="C139" s="94" cm="1">
        <f t="array" ref="C139">C93</f>
        <v>195800</v>
      </c>
      <c r="D139" s="86" cm="1">
        <f t="array" ref="D139">D93</f>
        <v>290000</v>
      </c>
      <c r="E139" s="86" cm="1">
        <f t="array" ref="E139">F139</f>
        <v>15545000</v>
      </c>
      <c r="F139" s="86" cm="1">
        <f t="array" ref="F139">($D$17*(100%+($F$84-$D$84))+SUM($D$88:D93))/(100%)+IF($A139&lt;6,'Trasnfers, Extras, Alco 2026'!$C$118,IF($A139&lt;11,'Trasnfers, Extras, Alco 2026'!$C$118*2,IF($A139&lt;16,'Trasnfers, Extras, Alco 2026'!$C$118*3,'Trasnfers, Extras, Alco 2026'!$C$118*4)))</f>
        <v>15545000</v>
      </c>
      <c r="G139" s="86" cm="1">
        <f t="array" ref="G139">ROUND(($D$17*(100%+($G$84-$D$84))+SUM($D$88:D93))/(100%-25%)/$A139+IF($A139&lt;6,'Trasnfers, Extras, Alco 2026'!$C$118,IF($A139&lt;11,'Trasnfers, Extras, Alco 2026'!$C$118*2,IF($A139&lt;16,'Trasnfers, Extras, Alco 2026'!$C$118*3,'Trasnfers, Extras, Alco 2026'!$C$118*4)))/$A139,-4)</f>
        <v>3080000</v>
      </c>
      <c r="H139" s="86" cm="1">
        <f t="array" ref="H139">($D$17*(100%+($H$84-$D$84))+SUM($D$88:D93))/(100%-20%)/$A139+IF($A139&lt;6,'Trasnfers, Extras, Alco 2026'!$C$118,IF($A139&lt;11,'Trasnfers, Extras, Alco 2026'!$C$118*2,IF($A139&lt;16,'Trasnfers, Extras, Alco 2026'!$C$118*3,'Trasnfers, Extras, Alco 2026'!$C$118*4)))/$A139</f>
        <v>3035468.75</v>
      </c>
      <c r="I139" s="87" cm="1">
        <f t="array" ref="I139">($D$17*(100%+($I$84-$D$84))+SUM($D$88:D93))/(100%-20%)/$A139+IF($A139&lt;6,'Trasnfers, Extras, Alco 2026'!$C$118,IF($A139&lt;11,'Trasnfers, Extras, Alco 2026'!$C$118*2,IF($A139&lt;16,'Trasnfers, Extras, Alco 2026'!$C$118*3,'Trasnfers, Extras, Alco 2026'!$C$118*4)))/$A139</f>
        <v>3035468.75</v>
      </c>
      <c r="J139" s="160"/>
      <c r="K139" s="86" cm="1">
        <f t="array" ref="K139">($D$17*(100%+($G$84-$D$84))+SUM($D$88:D93))/(100%-25%)+IF($A139&lt;6,'Trasnfers, Extras, Alco 2026'!$C$118,IF($A139&lt;11,'Trasnfers, Extras, Alco 2026'!$C$118*2,IF($A139&lt;16,'Trasnfers, Extras, Alco 2026'!$C$118*3,'Trasnfers, Extras, Alco 2026'!$C$118*4)))</f>
        <v>18487333.3333333</v>
      </c>
      <c r="L139" s="86" cm="1">
        <f t="array" ref="L139">($D$17*(100%+($H$84-$D$84))+SUM($D$88:D93))/(100%-20%)+IF($A139&lt;6,'Trasnfers, Extras, Alco 2026'!$C$118,IF($A139&lt;11,'Trasnfers, Extras, Alco 2026'!$C$118*2,IF($A139&lt;16,'Trasnfers, Extras, Alco 2026'!$C$118*3,'Trasnfers, Extras, Alco 2026'!$C$118*4)))</f>
        <v>18212812.5</v>
      </c>
      <c r="M139" s="87" cm="1">
        <f t="array" ref="M139">($D$17*(100%+($I$84-$D$84))+SUM($D$88:D93))/(100%-20%)+IF($A139&lt;6,'Trasnfers, Extras, Alco 2026'!$C$118,IF($A139&lt;11,'Trasnfers, Extras, Alco 2026'!$C$118*2,IF($A139&lt;16,'Trasnfers, Extras, Alco 2026'!$C$118*3,'Trasnfers, Extras, Alco 2026'!$C$118*4)))</f>
        <v>18212812.5</v>
      </c>
      <c r="N139" s="188"/>
      <c r="O139" s="17"/>
      <c r="P139" s="17"/>
      <c r="Q139" s="17"/>
      <c r="R139" s="17"/>
      <c r="S139" s="17"/>
      <c r="T139" s="17"/>
      <c r="U139" s="17"/>
      <c r="V139" s="17"/>
      <c r="W139" s="17"/>
      <c r="X139" s="17"/>
      <c r="Y139" s="172"/>
      <c r="Z139" s="173" cm="1">
        <f t="array" ref="Z139">ROUND((K139+$F$22/0.75)/A139,-3)</f>
        <v>3263000</v>
      </c>
      <c r="AA139" s="172"/>
      <c r="AB139" s="174" cm="1">
        <f t="array" ref="AB139">ROUND((K139+7205000/0.75)/A139,-3)</f>
        <v>4682000</v>
      </c>
    </row>
    <row r="140" ht="15.5" customHeight="1">
      <c r="A140" s="166">
        <v>7</v>
      </c>
      <c r="B140" s="167">
        <v>7</v>
      </c>
      <c r="C140" s="94" cm="1">
        <f t="array" ref="C140">C94</f>
        <v>195800</v>
      </c>
      <c r="D140" s="86" cm="1">
        <f t="array" ref="D140">D94</f>
        <v>290000</v>
      </c>
      <c r="E140" s="86" cm="1">
        <f t="array" ref="E140">F140</f>
        <v>15835000</v>
      </c>
      <c r="F140" s="86" cm="1">
        <f t="array" ref="F140">($D$17*(100%+($F$84-$D$84))+SUM($D$88:D94))/(100%)+IF($A140&lt;6,'Trasnfers, Extras, Alco 2026'!$C$118,IF($A140&lt;11,'Trasnfers, Extras, Alco 2026'!$C$118*2,IF($A140&lt;16,'Trasnfers, Extras, Alco 2026'!$C$118*3,'Trasnfers, Extras, Alco 2026'!$C$118*4)))</f>
        <v>15835000</v>
      </c>
      <c r="G140" s="86" cm="1">
        <f t="array" ref="G140">ROUND(($D$17*(100%+($G$84-$D$84))+SUM($D$88:D94))/(100%-25%)/$A140+IF($A140&lt;6,'Trasnfers, Extras, Alco 2026'!$C$118,IF($A140&lt;11,'Trasnfers, Extras, Alco 2026'!$C$118*2,IF($A140&lt;16,'Trasnfers, Extras, Alco 2026'!$C$118*3,'Trasnfers, Extras, Alco 2026'!$C$118*4)))/$A140,-4)</f>
        <v>2700000</v>
      </c>
      <c r="H140" s="86" cm="1">
        <f t="array" ref="H140">($D$17*(100%+($H$84-$D$84))+SUM($D$88:D94))/(100%-20%)/$A140+IF($A140&lt;6,'Trasnfers, Extras, Alco 2026'!$C$118,IF($A140&lt;11,'Trasnfers, Extras, Alco 2026'!$C$118*2,IF($A140&lt;16,'Trasnfers, Extras, Alco 2026'!$C$118*3,'Trasnfers, Extras, Alco 2026'!$C$118*4)))/$A140</f>
        <v>2653616.07142857</v>
      </c>
      <c r="I140" s="87" cm="1">
        <f t="array" ref="I140">($D$17*(100%+($I$84-$D$84))+SUM($D$88:D94))/(100%-20%)/$A140+IF($A140&lt;6,'Trasnfers, Extras, Alco 2026'!$C$118,IF($A140&lt;11,'Trasnfers, Extras, Alco 2026'!$C$118*2,IF($A140&lt;16,'Trasnfers, Extras, Alco 2026'!$C$118*3,'Trasnfers, Extras, Alco 2026'!$C$118*4)))/$A140</f>
        <v>2653616.07142857</v>
      </c>
      <c r="J140" s="160"/>
      <c r="K140" s="86" cm="1">
        <f t="array" ref="K140">($D$17*(100%+($G$84-$D$84))+SUM($D$88:D94))/(100%-25%)+IF($A140&lt;6,'Trasnfers, Extras, Alco 2026'!$C$118,IF($A140&lt;11,'Trasnfers, Extras, Alco 2026'!$C$118*2,IF($A140&lt;16,'Trasnfers, Extras, Alco 2026'!$C$118*3,'Trasnfers, Extras, Alco 2026'!$C$118*4)))</f>
        <v>18874000</v>
      </c>
      <c r="L140" s="86" cm="1">
        <f t="array" ref="L140">($D$17*(100%+($H$84-$D$84))+SUM($D$88:D94))/(100%-20%)+IF($A140&lt;6,'Trasnfers, Extras, Alco 2026'!$C$118,IF($A140&lt;11,'Trasnfers, Extras, Alco 2026'!$C$118*2,IF($A140&lt;16,'Trasnfers, Extras, Alco 2026'!$C$118*3,'Trasnfers, Extras, Alco 2026'!$C$118*4)))</f>
        <v>18575312.5</v>
      </c>
      <c r="M140" s="87" cm="1">
        <f t="array" ref="M140">($D$17*(100%+($I$84-$D$84))+SUM($D$88:D94))/(100%-20%)+IF($A140&lt;6,'Trasnfers, Extras, Alco 2026'!$C$118,IF($A140&lt;11,'Trasnfers, Extras, Alco 2026'!$C$118*2,IF($A140&lt;16,'Trasnfers, Extras, Alco 2026'!$C$118*3,'Trasnfers, Extras, Alco 2026'!$C$118*4)))</f>
        <v>18575312.5</v>
      </c>
      <c r="N140" s="188"/>
      <c r="O140" s="17"/>
      <c r="P140" s="17"/>
      <c r="Q140" s="17"/>
      <c r="R140" s="17"/>
      <c r="S140" s="17"/>
      <c r="T140" s="17"/>
      <c r="U140" s="17"/>
      <c r="V140" s="17"/>
      <c r="W140" s="17"/>
      <c r="X140" s="17"/>
      <c r="Y140" s="172"/>
      <c r="Z140" s="173" cm="1">
        <f t="array" ref="Z140">ROUND((K140+$F$22/0.75)/A140,-3)</f>
        <v>2852000</v>
      </c>
      <c r="AA140" s="172"/>
      <c r="AB140" s="174" cm="1">
        <f t="array" ref="AB140">ROUND((K140+7205000/0.75)/A140,-3)</f>
        <v>4069000</v>
      </c>
    </row>
    <row r="141" ht="15.5" customHeight="1">
      <c r="A141" s="166">
        <v>8</v>
      </c>
      <c r="B141" s="167">
        <v>8</v>
      </c>
      <c r="C141" s="94" cm="1">
        <f t="array" ref="C141">C95</f>
        <v>1294600</v>
      </c>
      <c r="D141" s="86" cm="1">
        <f t="array" ref="D141">D95</f>
        <v>1389000</v>
      </c>
      <c r="E141" s="86" cm="1">
        <f t="array" ref="E141">F141</f>
        <v>17224000</v>
      </c>
      <c r="F141" s="86" cm="1">
        <f t="array" ref="F141">($D$17*(100%+($F$84-$D$84))+SUM($D$88:D95))/(100%)+IF($A141&lt;6,'Trasnfers, Extras, Alco 2026'!$C$118,IF($A141&lt;11,'Trasnfers, Extras, Alco 2026'!$C$118*2,IF($A141&lt;16,'Trasnfers, Extras, Alco 2026'!$C$118*3,'Trasnfers, Extras, Alco 2026'!$C$118*4)))</f>
        <v>17224000</v>
      </c>
      <c r="G141" s="86" cm="1">
        <f t="array" ref="G141">ROUND(($D$17*(100%+($G$84-$D$84))+SUM($D$88:D95))/(100%-25%)/$A141+IF($A141&lt;6,'Trasnfers, Extras, Alco 2026'!$C$118,IF($A141&lt;11,'Trasnfers, Extras, Alco 2026'!$C$118*2,IF($A141&lt;16,'Trasnfers, Extras, Alco 2026'!$C$118*3,'Trasnfers, Extras, Alco 2026'!$C$118*4)))/$A141,-4)</f>
        <v>2590000</v>
      </c>
      <c r="H141" s="86" cm="1">
        <f t="array" ref="H141">($D$17*(100%+($H$84-$D$84))+SUM($D$88:D95))/(100%-20%)/$A141+IF($A141&lt;6,'Trasnfers, Extras, Alco 2026'!$C$118,IF($A141&lt;11,'Trasnfers, Extras, Alco 2026'!$C$118*2,IF($A141&lt;16,'Trasnfers, Extras, Alco 2026'!$C$118*3,'Trasnfers, Extras, Alco 2026'!$C$118*4)))/$A141</f>
        <v>2538945.3125</v>
      </c>
      <c r="I141" s="87" cm="1">
        <f t="array" ref="I141">($D$17*(100%+($I$84-$D$84))+SUM($D$88:D95))/(100%-20%)/$A141+IF($A141&lt;6,'Trasnfers, Extras, Alco 2026'!$C$118,IF($A141&lt;11,'Trasnfers, Extras, Alco 2026'!$C$118*2,IF($A141&lt;16,'Trasnfers, Extras, Alco 2026'!$C$118*3,'Trasnfers, Extras, Alco 2026'!$C$118*4)))/$A141</f>
        <v>2538945.3125</v>
      </c>
      <c r="J141" s="160"/>
      <c r="K141" s="86" cm="1">
        <f t="array" ref="K141">($D$17*(100%+($G$84-$D$84))+SUM($D$88:D95))/(100%-25%)+IF($A141&lt;6,'Trasnfers, Extras, Alco 2026'!$C$118,IF($A141&lt;11,'Trasnfers, Extras, Alco 2026'!$C$118*2,IF($A141&lt;16,'Trasnfers, Extras, Alco 2026'!$C$118*3,'Trasnfers, Extras, Alco 2026'!$C$118*4)))</f>
        <v>20726000</v>
      </c>
      <c r="L141" s="86" cm="1">
        <f t="array" ref="L141">($D$17*(100%+($H$84-$D$84))+SUM($D$88:D95))/(100%-20%)+IF($A141&lt;6,'Trasnfers, Extras, Alco 2026'!$C$118,IF($A141&lt;11,'Trasnfers, Extras, Alco 2026'!$C$118*2,IF($A141&lt;16,'Trasnfers, Extras, Alco 2026'!$C$118*3,'Trasnfers, Extras, Alco 2026'!$C$118*4)))</f>
        <v>20311562.5</v>
      </c>
      <c r="M141" s="87" cm="1">
        <f t="array" ref="M141">($D$17*(100%+($I$84-$D$84))+SUM($D$88:D95))/(100%-20%)+IF($A141&lt;6,'Trasnfers, Extras, Alco 2026'!$C$118,IF($A141&lt;11,'Trasnfers, Extras, Alco 2026'!$C$118*2,IF($A141&lt;16,'Trasnfers, Extras, Alco 2026'!$C$118*3,'Trasnfers, Extras, Alco 2026'!$C$118*4)))</f>
        <v>20311562.5</v>
      </c>
      <c r="N141" s="188"/>
      <c r="O141" s="17"/>
      <c r="P141" s="17"/>
      <c r="Q141" s="17"/>
      <c r="R141" s="17"/>
      <c r="S141" s="17"/>
      <c r="T141" s="17"/>
      <c r="U141" s="17"/>
      <c r="V141" s="17"/>
      <c r="W141" s="17"/>
      <c r="X141" s="17"/>
      <c r="Y141" s="172"/>
      <c r="Z141" s="173" cm="1">
        <f t="array" ref="Z141">ROUND((K141+$F$22/0.75)/A141,-3)</f>
        <v>2727000</v>
      </c>
      <c r="AA141" s="172"/>
      <c r="AB141" s="174" cm="1">
        <f t="array" ref="AB141">ROUND((K141+7205000/0.75)/A141,-3)</f>
        <v>3792000</v>
      </c>
    </row>
    <row r="142" ht="15.5" customHeight="1">
      <c r="A142" s="166">
        <v>9</v>
      </c>
      <c r="B142" s="167">
        <v>9</v>
      </c>
      <c r="C142" s="94" cm="1">
        <f t="array" ref="C142">C96</f>
        <v>195800</v>
      </c>
      <c r="D142" s="86" cm="1">
        <f t="array" ref="D142">D96</f>
        <v>290000</v>
      </c>
      <c r="E142" s="86" cm="1">
        <f t="array" ref="E142">F142</f>
        <v>17514000</v>
      </c>
      <c r="F142" s="86" cm="1">
        <f t="array" ref="F142">($D$17*(100%+($F$84-$D$84))+SUM($D$88:D96))/(100%)+IF($A142&lt;6,'Trasnfers, Extras, Alco 2026'!$C$118,IF($A142&lt;11,'Trasnfers, Extras, Alco 2026'!$C$118*2,IF($A142&lt;16,'Trasnfers, Extras, Alco 2026'!$C$118*3,'Trasnfers, Extras, Alco 2026'!$C$118*4)))</f>
        <v>17514000</v>
      </c>
      <c r="G142" s="86" cm="1">
        <f t="array" ref="G142">ROUND(($D$17*(100%+($G$84-$D$84))+SUM($D$88:D96))/(100%-25%)/$A142+IF($A142&lt;6,'Trasnfers, Extras, Alco 2026'!$C$118,IF($A142&lt;11,'Trasnfers, Extras, Alco 2026'!$C$118*2,IF($A142&lt;16,'Trasnfers, Extras, Alco 2026'!$C$118*3,'Trasnfers, Extras, Alco 2026'!$C$118*4)))/$A142,-4)</f>
        <v>2350000</v>
      </c>
      <c r="H142" s="86" cm="1">
        <f t="array" ref="H142">($D$17*(100%+($H$84-$D$84))+SUM($D$88:D96))/(100%-20%)/$A142+IF($A142&lt;6,'Trasnfers, Extras, Alco 2026'!$C$118,IF($A142&lt;11,'Trasnfers, Extras, Alco 2026'!$C$118*2,IF($A142&lt;16,'Trasnfers, Extras, Alco 2026'!$C$118*3,'Trasnfers, Extras, Alco 2026'!$C$118*4)))/$A142</f>
        <v>2297118.05555556</v>
      </c>
      <c r="I142" s="87" cm="1">
        <f t="array" ref="I142">($D$17*(100%+($I$84-$D$84))+SUM($D$88:D96))/(100%-20%)/$A142+IF($A142&lt;6,'Trasnfers, Extras, Alco 2026'!$C$118,IF($A142&lt;11,'Trasnfers, Extras, Alco 2026'!$C$118*2,IF($A142&lt;16,'Trasnfers, Extras, Alco 2026'!$C$118*3,'Trasnfers, Extras, Alco 2026'!$C$118*4)))/$A142</f>
        <v>2297118.05555556</v>
      </c>
      <c r="J142" s="160"/>
      <c r="K142" s="86" cm="1">
        <f t="array" ref="K142">($D$17*(100%+($G$84-$D$84))+SUM($D$88:D96))/(100%-25%)+IF($A142&lt;6,'Trasnfers, Extras, Alco 2026'!$C$118,IF($A142&lt;11,'Trasnfers, Extras, Alco 2026'!$C$118*2,IF($A142&lt;16,'Trasnfers, Extras, Alco 2026'!$C$118*3,'Trasnfers, Extras, Alco 2026'!$C$118*4)))</f>
        <v>21112666.6666667</v>
      </c>
      <c r="L142" s="86" cm="1">
        <f t="array" ref="L142">($D$17*(100%+($H$84-$D$84))+SUM($D$88:D96))/(100%-20%)+IF($A142&lt;6,'Trasnfers, Extras, Alco 2026'!$C$118,IF($A142&lt;11,'Trasnfers, Extras, Alco 2026'!$C$118*2,IF($A142&lt;16,'Trasnfers, Extras, Alco 2026'!$C$118*3,'Trasnfers, Extras, Alco 2026'!$C$118*4)))</f>
        <v>20674062.5</v>
      </c>
      <c r="M142" s="87" cm="1">
        <f t="array" ref="M142">($D$17*(100%+($I$84-$D$84))+SUM($D$88:D96))/(100%-20%)+IF($A142&lt;6,'Trasnfers, Extras, Alco 2026'!$C$118,IF($A142&lt;11,'Trasnfers, Extras, Alco 2026'!$C$118*2,IF($A142&lt;16,'Trasnfers, Extras, Alco 2026'!$C$118*3,'Trasnfers, Extras, Alco 2026'!$C$118*4)))</f>
        <v>20674062.5</v>
      </c>
      <c r="N142" s="188"/>
      <c r="O142" s="17"/>
      <c r="P142" s="17"/>
      <c r="Q142" s="17"/>
      <c r="R142" s="17"/>
      <c r="S142" s="17"/>
      <c r="T142" s="17"/>
      <c r="U142" s="17"/>
      <c r="V142" s="17"/>
      <c r="W142" s="17"/>
      <c r="X142" s="17"/>
      <c r="Y142" s="172"/>
      <c r="Z142" s="173" cm="1">
        <f t="array" ref="Z142">ROUND((K142+$F$22/0.75)/A142,-3)</f>
        <v>2467000</v>
      </c>
      <c r="AA142" s="172"/>
      <c r="AB142" s="174" cm="1">
        <f t="array" ref="AB142">ROUND((K142+7205000/0.75)/A142,-3)</f>
        <v>3413000</v>
      </c>
    </row>
    <row r="143" ht="15.5" customHeight="1">
      <c r="A143" s="166">
        <v>10</v>
      </c>
      <c r="B143" s="167">
        <v>10</v>
      </c>
      <c r="C143" s="94" cm="1">
        <f t="array" ref="C143">C97</f>
        <v>195800</v>
      </c>
      <c r="D143" s="86" cm="1">
        <f t="array" ref="D143">D97</f>
        <v>290000</v>
      </c>
      <c r="E143" s="86" cm="1">
        <f t="array" ref="E143">F143</f>
        <v>17804000</v>
      </c>
      <c r="F143" s="86" cm="1">
        <f t="array" ref="F143">($D$17*(100%+($F$84-$D$84))+SUM($D$88:D97))/(100%)+IF($A143&lt;6,'Trasnfers, Extras, Alco 2026'!$C$118,IF($A143&lt;11,'Trasnfers, Extras, Alco 2026'!$C$118*2,IF($A143&lt;16,'Trasnfers, Extras, Alco 2026'!$C$118*3,'Trasnfers, Extras, Alco 2026'!$C$118*4)))</f>
        <v>17804000</v>
      </c>
      <c r="G143" s="86" cm="1">
        <f t="array" ref="G143">ROUND(($D$17*(100%+($G$84-$D$84))+SUM($D$88:D97))/(100%-25%)/$A143+IF($A143&lt;6,'Trasnfers, Extras, Alco 2026'!$C$118,IF($A143&lt;11,'Trasnfers, Extras, Alco 2026'!$C$118*2,IF($A143&lt;16,'Trasnfers, Extras, Alco 2026'!$C$118*3,'Trasnfers, Extras, Alco 2026'!$C$118*4)))/$A143,-4)</f>
        <v>2150000</v>
      </c>
      <c r="H143" s="86" cm="1">
        <f t="array" ref="H143">($D$17*(100%+($H$84-$D$84))+SUM($D$88:D97))/(100%-20%)/$A143+IF($A143&lt;6,'Trasnfers, Extras, Alco 2026'!$C$118,IF($A143&lt;11,'Trasnfers, Extras, Alco 2026'!$C$118*2,IF($A143&lt;16,'Trasnfers, Extras, Alco 2026'!$C$118*3,'Trasnfers, Extras, Alco 2026'!$C$118*4)))/$A143</f>
        <v>2103656.25</v>
      </c>
      <c r="I143" s="87" cm="1">
        <f t="array" ref="I143">($D$17*(100%+($I$84-$D$84))+SUM($D$88:D97))/(100%-20%)/$A143+IF($A143&lt;6,'Trasnfers, Extras, Alco 2026'!$C$118,IF($A143&lt;11,'Trasnfers, Extras, Alco 2026'!$C$118*2,IF($A143&lt;16,'Trasnfers, Extras, Alco 2026'!$C$118*3,'Trasnfers, Extras, Alco 2026'!$C$118*4)))/$A143</f>
        <v>2103656.25</v>
      </c>
      <c r="J143" s="160"/>
      <c r="K143" s="86" cm="1">
        <f t="array" ref="K143">($D$17*(100%+($G$84-$D$84))+SUM($D$88:D97))/(100%-25%)+IF($A143&lt;6,'Trasnfers, Extras, Alco 2026'!$C$118,IF($A143&lt;11,'Trasnfers, Extras, Alco 2026'!$C$118*2,IF($A143&lt;16,'Trasnfers, Extras, Alco 2026'!$C$118*3,'Trasnfers, Extras, Alco 2026'!$C$118*4)))</f>
        <v>21499333.3333333</v>
      </c>
      <c r="L143" s="86" cm="1">
        <f t="array" ref="L143">($D$17*(100%+($H$84-$D$84))+SUM($D$88:D97))/(100%-20%)+IF($A143&lt;6,'Trasnfers, Extras, Alco 2026'!$C$118,IF($A143&lt;11,'Trasnfers, Extras, Alco 2026'!$C$118*2,IF($A143&lt;16,'Trasnfers, Extras, Alco 2026'!$C$118*3,'Trasnfers, Extras, Alco 2026'!$C$118*4)))</f>
        <v>21036562.5</v>
      </c>
      <c r="M143" s="87" cm="1">
        <f t="array" ref="M143">($D$17*(100%+($I$84-$D$84))+SUM($D$88:D97))/(100%-20%)+IF($A143&lt;6,'Trasnfers, Extras, Alco 2026'!$C$118,IF($A143&lt;11,'Trasnfers, Extras, Alco 2026'!$C$118*2,IF($A143&lt;16,'Trasnfers, Extras, Alco 2026'!$C$118*3,'Trasnfers, Extras, Alco 2026'!$C$118*4)))</f>
        <v>21036562.5</v>
      </c>
      <c r="N143" s="188"/>
      <c r="O143" s="17"/>
      <c r="P143" s="17"/>
      <c r="Q143" s="17"/>
      <c r="R143" s="17"/>
      <c r="S143" s="17"/>
      <c r="T143" s="17"/>
      <c r="U143" s="17"/>
      <c r="V143" s="17"/>
      <c r="W143" s="17"/>
      <c r="X143" s="17"/>
      <c r="Y143" s="172"/>
      <c r="Z143" s="173" cm="1">
        <f t="array" ref="Z143">ROUND((K143+$F$22/0.75)/A143,-3)</f>
        <v>2259000</v>
      </c>
      <c r="AA143" s="172"/>
      <c r="AB143" s="174" cm="1">
        <f t="array" ref="AB143">ROUND((K143+7205000/0.75)/A143,-3)</f>
        <v>3111000</v>
      </c>
    </row>
    <row r="144" ht="15.5" customHeight="1">
      <c r="A144" s="166">
        <v>11</v>
      </c>
      <c r="B144" s="167">
        <v>11</v>
      </c>
      <c r="C144" s="94" cm="1">
        <f t="array" ref="C144">C98</f>
        <v>195800</v>
      </c>
      <c r="D144" s="86" cm="1">
        <f t="array" ref="D144">D98</f>
        <v>290000</v>
      </c>
      <c r="E144" s="86" cm="1">
        <f t="array" ref="E144">F144</f>
        <v>18994000</v>
      </c>
      <c r="F144" s="86" cm="1">
        <f t="array" ref="F144">($D$17*(100%+($F$84-$D$84))+SUM($D$88:D98))/(100%)+IF($A144&lt;6,'Trasnfers, Extras, Alco 2026'!$C$118,IF($A144&lt;11,'Trasnfers, Extras, Alco 2026'!$C$118*2,IF($A144&lt;16,'Trasnfers, Extras, Alco 2026'!$C$118*3,'Trasnfers, Extras, Alco 2026'!$C$118*4)))</f>
        <v>18994000</v>
      </c>
      <c r="G144" s="86" cm="1">
        <f t="array" ref="G144">ROUND(($D$17*(100%+($G$84-$D$84))+SUM($D$88:D98))/(100%-25%)/$A144+IF($A144&lt;6,'Trasnfers, Extras, Alco 2026'!$C$118,IF($A144&lt;11,'Trasnfers, Extras, Alco 2026'!$C$118*2,IF($A144&lt;16,'Trasnfers, Extras, Alco 2026'!$C$118*3,'Trasnfers, Extras, Alco 2026'!$C$118*4)))/$A144,-4)</f>
        <v>2070000</v>
      </c>
      <c r="H144" s="86" cm="1">
        <f t="array" ref="H144">($D$17*(100%+($H$84-$D$84))+SUM($D$88:D98))/(100%-20%)/$A144+IF($A144&lt;6,'Trasnfers, Extras, Alco 2026'!$C$118,IF($A144&lt;11,'Trasnfers, Extras, Alco 2026'!$C$118*2,IF($A144&lt;16,'Trasnfers, Extras, Alco 2026'!$C$118*3,'Trasnfers, Extras, Alco 2026'!$C$118*4)))/$A144</f>
        <v>2027187.5</v>
      </c>
      <c r="I144" s="87" cm="1">
        <f t="array" ref="I144">($D$17*(100%+($I$84-$D$84))+SUM($D$88:D98))/(100%-20%)/$A144+IF($A144&lt;6,'Trasnfers, Extras, Alco 2026'!$C$118,IF($A144&lt;11,'Trasnfers, Extras, Alco 2026'!$C$118*2,IF($A144&lt;16,'Trasnfers, Extras, Alco 2026'!$C$118*3,'Trasnfers, Extras, Alco 2026'!$C$118*4)))/$A144</f>
        <v>2027187.5</v>
      </c>
      <c r="J144" s="160"/>
      <c r="K144" s="86" cm="1">
        <f t="array" ref="K144">($D$17*(100%+($G$84-$D$84))+SUM($D$88:D98))/(100%-25%)+IF($A144&lt;6,'Trasnfers, Extras, Alco 2026'!$C$118,IF($A144&lt;11,'Trasnfers, Extras, Alco 2026'!$C$118*2,IF($A144&lt;16,'Trasnfers, Extras, Alco 2026'!$C$118*3,'Trasnfers, Extras, Alco 2026'!$C$118*4)))</f>
        <v>22786000</v>
      </c>
      <c r="L144" s="86" cm="1">
        <f t="array" ref="L144">($D$17*(100%+($H$84-$D$84))+SUM($D$88:D98))/(100%-20%)+IF($A144&lt;6,'Trasnfers, Extras, Alco 2026'!$C$118,IF($A144&lt;11,'Trasnfers, Extras, Alco 2026'!$C$118*2,IF($A144&lt;16,'Trasnfers, Extras, Alco 2026'!$C$118*3,'Trasnfers, Extras, Alco 2026'!$C$118*4)))</f>
        <v>22299062.5</v>
      </c>
      <c r="M144" s="87" cm="1">
        <f t="array" ref="M144">($D$17*(100%+($I$84-$D$84))+SUM($D$88:D98))/(100%-20%)+IF($A144&lt;6,'Trasnfers, Extras, Alco 2026'!$C$118,IF($A144&lt;11,'Trasnfers, Extras, Alco 2026'!$C$118*2,IF($A144&lt;16,'Trasnfers, Extras, Alco 2026'!$C$118*3,'Trasnfers, Extras, Alco 2026'!$C$118*4)))</f>
        <v>22299062.5</v>
      </c>
      <c r="N144" s="188"/>
      <c r="O144" s="17"/>
      <c r="P144" s="17"/>
      <c r="Q144" s="17"/>
      <c r="R144" s="17"/>
      <c r="S144" s="17"/>
      <c r="T144" s="17"/>
      <c r="U144" s="17"/>
      <c r="V144" s="17"/>
      <c r="W144" s="17"/>
      <c r="X144" s="17"/>
      <c r="Y144" s="172"/>
      <c r="Z144" s="173" cm="1">
        <f t="array" ref="Z144">ROUND((K144+$F$22/0.75)/A144,-3)</f>
        <v>2171000</v>
      </c>
      <c r="AA144" s="172"/>
      <c r="AB144" s="174" cm="1">
        <f t="array" ref="AB144">ROUND((K144+7205000/0.75)/A144,-3)</f>
        <v>2945000</v>
      </c>
    </row>
    <row r="145" ht="15.5" customHeight="1">
      <c r="A145" s="166">
        <v>12</v>
      </c>
      <c r="B145" s="167">
        <v>12</v>
      </c>
      <c r="C145" s="94" cm="1">
        <f t="array" ref="C145">C99</f>
        <v>195800</v>
      </c>
      <c r="D145" s="86" cm="1">
        <f t="array" ref="D145">D99</f>
        <v>290000</v>
      </c>
      <c r="E145" s="86" cm="1">
        <f t="array" ref="E145">F145</f>
        <v>19284000</v>
      </c>
      <c r="F145" s="86" cm="1">
        <f t="array" ref="F145">($D$17*(100%+($F$84-$D$84))+SUM($D$88:D99))/(100%)+IF($A145&lt;6,'Trasnfers, Extras, Alco 2026'!$C$118,IF($A145&lt;11,'Trasnfers, Extras, Alco 2026'!$C$118*2,IF($A145&lt;16,'Trasnfers, Extras, Alco 2026'!$C$118*3,'Trasnfers, Extras, Alco 2026'!$C$118*4)))</f>
        <v>19284000</v>
      </c>
      <c r="G145" s="86" cm="1">
        <f t="array" ref="G145">ROUND(($D$17*(100%+($G$84-$D$84))+SUM($D$88:D99))/(100%-25%)/$A145+IF($A145&lt;6,'Trasnfers, Extras, Alco 2026'!$C$118,IF($A145&lt;11,'Trasnfers, Extras, Alco 2026'!$C$118*2,IF($A145&lt;16,'Trasnfers, Extras, Alco 2026'!$C$118*3,'Trasnfers, Extras, Alco 2026'!$C$118*4)))/$A145,-4)</f>
        <v>1930000</v>
      </c>
      <c r="H145" s="86" cm="1">
        <f t="array" ref="H145">($D$17*(100%+($H$84-$D$84))+SUM($D$88:D99))/(100%-20%)/$A145+IF($A145&lt;6,'Trasnfers, Extras, Alco 2026'!$C$118,IF($A145&lt;11,'Trasnfers, Extras, Alco 2026'!$C$118*2,IF($A145&lt;16,'Trasnfers, Extras, Alco 2026'!$C$118*3,'Trasnfers, Extras, Alco 2026'!$C$118*4)))/$A145</f>
        <v>1888463.54166667</v>
      </c>
      <c r="I145" s="87" cm="1">
        <f t="array" ref="I145">($D$17*(100%+($I$84-$D$84))+SUM($D$88:D99))/(100%-20%)/$A145+IF($A145&lt;6,'Trasnfers, Extras, Alco 2026'!$C$118,IF($A145&lt;11,'Trasnfers, Extras, Alco 2026'!$C$118*2,IF($A145&lt;16,'Trasnfers, Extras, Alco 2026'!$C$118*3,'Trasnfers, Extras, Alco 2026'!$C$118*4)))/$A145</f>
        <v>1888463.54166667</v>
      </c>
      <c r="J145" s="160"/>
      <c r="K145" s="86" cm="1">
        <f t="array" ref="K145">($D$17*(100%+($G$84-$D$84))+SUM($D$88:D99))/(100%-25%)+IF($A145&lt;6,'Trasnfers, Extras, Alco 2026'!$C$118,IF($A145&lt;11,'Trasnfers, Extras, Alco 2026'!$C$118*2,IF($A145&lt;16,'Trasnfers, Extras, Alco 2026'!$C$118*3,'Trasnfers, Extras, Alco 2026'!$C$118*4)))</f>
        <v>23172666.6666667</v>
      </c>
      <c r="L145" s="86" cm="1">
        <f t="array" ref="L145">($D$17*(100%+($H$84-$D$84))+SUM($D$88:D99))/(100%-20%)+IF($A145&lt;6,'Trasnfers, Extras, Alco 2026'!$C$118,IF($A145&lt;11,'Trasnfers, Extras, Alco 2026'!$C$118*2,IF($A145&lt;16,'Trasnfers, Extras, Alco 2026'!$C$118*3,'Trasnfers, Extras, Alco 2026'!$C$118*4)))</f>
        <v>22661562.5</v>
      </c>
      <c r="M145" s="87" cm="1">
        <f t="array" ref="M145">($D$17*(100%+($I$84-$D$84))+SUM($D$88:D99))/(100%-20%)+IF($A145&lt;6,'Trasnfers, Extras, Alco 2026'!$C$118,IF($A145&lt;11,'Trasnfers, Extras, Alco 2026'!$C$118*2,IF($A145&lt;16,'Trasnfers, Extras, Alco 2026'!$C$118*3,'Trasnfers, Extras, Alco 2026'!$C$118*4)))</f>
        <v>22661562.5</v>
      </c>
      <c r="N145" s="188"/>
      <c r="O145" s="17"/>
      <c r="P145" s="17"/>
      <c r="Q145" s="17"/>
      <c r="R145" s="17"/>
      <c r="S145" s="17"/>
      <c r="T145" s="17"/>
      <c r="U145" s="17"/>
      <c r="V145" s="17"/>
      <c r="W145" s="17"/>
      <c r="X145" s="17"/>
      <c r="Y145" s="172"/>
      <c r="Z145" s="173" cm="1">
        <f t="array" ref="Z145">ROUND((K145+$F$22/0.75)/A145,-3)</f>
        <v>2022000</v>
      </c>
      <c r="AA145" s="172"/>
      <c r="AB145" s="174" cm="1">
        <f t="array" ref="AB145">ROUND((K145+7205000/0.75)/A145,-3)</f>
        <v>2732000</v>
      </c>
    </row>
    <row r="146" ht="15.5" customHeight="1">
      <c r="A146" s="166">
        <v>13</v>
      </c>
      <c r="B146" s="167">
        <v>13</v>
      </c>
      <c r="C146" s="94" cm="1">
        <f t="array" ref="C146">C100</f>
        <v>195800</v>
      </c>
      <c r="D146" s="86" cm="1">
        <f t="array" ref="D146">D100</f>
        <v>290000</v>
      </c>
      <c r="E146" s="86" cm="1">
        <f t="array" ref="E146">F146</f>
        <v>19574000</v>
      </c>
      <c r="F146" s="86" cm="1">
        <f t="array" ref="F146">($D$17*(100%+($F$84-$D$84))+SUM($D$88:D100))/(100%)+IF($A146&lt;6,'Trasnfers, Extras, Alco 2026'!$C$118,IF($A146&lt;11,'Trasnfers, Extras, Alco 2026'!$C$118*2,IF($A146&lt;16,'Trasnfers, Extras, Alco 2026'!$C$118*3,'Trasnfers, Extras, Alco 2026'!$C$118*4)))</f>
        <v>19574000</v>
      </c>
      <c r="G146" s="86" cm="1">
        <f t="array" ref="G146">ROUND(($D$17*(100%+($G$84-$D$84))+SUM($D$88:D100))/(100%-25%)/$A146+IF($A146&lt;6,'Trasnfers, Extras, Alco 2026'!$C$118,IF($A146&lt;11,'Trasnfers, Extras, Alco 2026'!$C$118*2,IF($A146&lt;16,'Trasnfers, Extras, Alco 2026'!$C$118*3,'Trasnfers, Extras, Alco 2026'!$C$118*4)))/$A146,-4)</f>
        <v>1810000</v>
      </c>
      <c r="H146" s="86" cm="1">
        <f t="array" ref="H146">($D$17*(100%+($H$84-$D$84))+SUM($D$88:D100))/(100%-20%)/$A146+IF($A146&lt;6,'Trasnfers, Extras, Alco 2026'!$C$118,IF($A146&lt;11,'Trasnfers, Extras, Alco 2026'!$C$118*2,IF($A146&lt;16,'Trasnfers, Extras, Alco 2026'!$C$118*3,'Trasnfers, Extras, Alco 2026'!$C$118*4)))/$A146</f>
        <v>1771081.73076923</v>
      </c>
      <c r="I146" s="87" cm="1">
        <f t="array" ref="I146">($D$17*(100%+($I$84-$D$84))+SUM($D$88:D100))/(100%-20%)/$A146+IF($A146&lt;6,'Trasnfers, Extras, Alco 2026'!$C$118,IF($A146&lt;11,'Trasnfers, Extras, Alco 2026'!$C$118*2,IF($A146&lt;16,'Trasnfers, Extras, Alco 2026'!$C$118*3,'Trasnfers, Extras, Alco 2026'!$C$118*4)))/$A146</f>
        <v>1771081.73076923</v>
      </c>
      <c r="J146" s="160"/>
      <c r="K146" s="86" cm="1">
        <f t="array" ref="K146">($D$17*(100%+($G$84-$D$84))+SUM($D$88:D100))/(100%-25%)+IF($A146&lt;6,'Trasnfers, Extras, Alco 2026'!$C$118,IF($A146&lt;11,'Trasnfers, Extras, Alco 2026'!$C$118*2,IF($A146&lt;16,'Trasnfers, Extras, Alco 2026'!$C$118*3,'Trasnfers, Extras, Alco 2026'!$C$118*4)))</f>
        <v>23559333.3333333</v>
      </c>
      <c r="L146" s="86" cm="1">
        <f t="array" ref="L146">($D$17*(100%+($H$84-$D$84))+SUM($D$88:D100))/(100%-20%)+IF($A146&lt;6,'Trasnfers, Extras, Alco 2026'!$C$118,IF($A146&lt;11,'Trasnfers, Extras, Alco 2026'!$C$118*2,IF($A146&lt;16,'Trasnfers, Extras, Alco 2026'!$C$118*3,'Trasnfers, Extras, Alco 2026'!$C$118*4)))</f>
        <v>23024062.5</v>
      </c>
      <c r="M146" s="87" cm="1">
        <f t="array" ref="M146">($D$17*(100%+($I$84-$D$84))+SUM($D$88:D100))/(100%-20%)+IF($A146&lt;6,'Trasnfers, Extras, Alco 2026'!$C$118,IF($A146&lt;11,'Trasnfers, Extras, Alco 2026'!$C$118*2,IF($A146&lt;16,'Trasnfers, Extras, Alco 2026'!$C$118*3,'Trasnfers, Extras, Alco 2026'!$C$118*4)))</f>
        <v>23024062.5</v>
      </c>
      <c r="N146" s="188"/>
      <c r="O146" s="17"/>
      <c r="P146" s="17"/>
      <c r="Q146" s="17"/>
      <c r="R146" s="17"/>
      <c r="S146" s="17"/>
      <c r="T146" s="17"/>
      <c r="U146" s="17"/>
      <c r="V146" s="17"/>
      <c r="W146" s="17"/>
      <c r="X146" s="17"/>
      <c r="Y146" s="172"/>
      <c r="Z146" s="173" cm="1">
        <f t="array" ref="Z146">ROUND((K146+$F$22/0.75)/A146,-3)</f>
        <v>1896000</v>
      </c>
      <c r="AA146" s="172"/>
      <c r="AB146" s="174" cm="1">
        <f t="array" ref="AB146">ROUND((K146+7205000/0.75)/A146,-3)</f>
        <v>2551000</v>
      </c>
    </row>
    <row r="147" ht="15.5" customHeight="1">
      <c r="A147" s="166">
        <v>14</v>
      </c>
      <c r="B147" s="167">
        <v>14</v>
      </c>
      <c r="C147" s="94" cm="1">
        <f t="array" ref="C147">C101</f>
        <v>195800</v>
      </c>
      <c r="D147" s="86" cm="1">
        <f t="array" ref="D147">D101</f>
        <v>290000</v>
      </c>
      <c r="E147" s="86" cm="1">
        <f t="array" ref="E147">F147</f>
        <v>19864000</v>
      </c>
      <c r="F147" s="86" cm="1">
        <f t="array" ref="F147">($D$17*(100%+($F$84-$D$84))+SUM($D$88:D101))/(100%)+IF($A147&lt;6,'Trasnfers, Extras, Alco 2026'!$C$118,IF($A147&lt;11,'Trasnfers, Extras, Alco 2026'!$C$118*2,IF($A147&lt;16,'Trasnfers, Extras, Alco 2026'!$C$118*3,'Trasnfers, Extras, Alco 2026'!$C$118*4)))</f>
        <v>19864000</v>
      </c>
      <c r="G147" s="86" cm="1">
        <f t="array" ref="G147">ROUND(($D$17*(100%+($G$84-$D$84))+SUM($D$88:D101))/(100%-25%)/$A147+IF($A147&lt;6,'Trasnfers, Extras, Alco 2026'!$C$118,IF($A147&lt;11,'Trasnfers, Extras, Alco 2026'!$C$118*2,IF($A147&lt;16,'Trasnfers, Extras, Alco 2026'!$C$118*3,'Trasnfers, Extras, Alco 2026'!$C$118*4)))/$A147,-4)</f>
        <v>1710000</v>
      </c>
      <c r="H147" s="86" cm="1">
        <f t="array" ref="H147">($D$17*(100%+($H$84-$D$84))+SUM($D$88:D101))/(100%-20%)/$A147+IF($A147&lt;6,'Trasnfers, Extras, Alco 2026'!$C$118,IF($A147&lt;11,'Trasnfers, Extras, Alco 2026'!$C$118*2,IF($A147&lt;16,'Trasnfers, Extras, Alco 2026'!$C$118*3,'Trasnfers, Extras, Alco 2026'!$C$118*4)))/$A147</f>
        <v>1670468.75</v>
      </c>
      <c r="I147" s="87" cm="1">
        <f t="array" ref="I147">($D$17*(100%+($I$84-$D$84))+SUM($D$88:D101))/(100%-20%)/$A147+IF($A147&lt;6,'Trasnfers, Extras, Alco 2026'!$C$118,IF($A147&lt;11,'Trasnfers, Extras, Alco 2026'!$C$118*2,IF($A147&lt;16,'Trasnfers, Extras, Alco 2026'!$C$118*3,'Trasnfers, Extras, Alco 2026'!$C$118*4)))/$A147</f>
        <v>1670468.75</v>
      </c>
      <c r="J147" s="160"/>
      <c r="K147" s="86" cm="1">
        <f t="array" ref="K147">($D$17*(100%+($G$84-$D$84))+SUM($D$88:D101))/(100%-25%)+IF($A147&lt;6,'Trasnfers, Extras, Alco 2026'!$C$118,IF($A147&lt;11,'Trasnfers, Extras, Alco 2026'!$C$118*2,IF($A147&lt;16,'Trasnfers, Extras, Alco 2026'!$C$118*3,'Trasnfers, Extras, Alco 2026'!$C$118*4)))</f>
        <v>23946000</v>
      </c>
      <c r="L147" s="86" cm="1">
        <f t="array" ref="L147">($D$17*(100%+($H$84-$D$84))+SUM($D$88:D101))/(100%-20%)+IF($A147&lt;6,'Trasnfers, Extras, Alco 2026'!$C$118,IF($A147&lt;11,'Trasnfers, Extras, Alco 2026'!$C$118*2,IF($A147&lt;16,'Trasnfers, Extras, Alco 2026'!$C$118*3,'Trasnfers, Extras, Alco 2026'!$C$118*4)))</f>
        <v>23386562.5</v>
      </c>
      <c r="M147" s="87" cm="1">
        <f t="array" ref="M147">($D$17*(100%+($I$84-$D$84))+SUM($D$88:D101))/(100%-20%)+IF($A147&lt;6,'Trasnfers, Extras, Alco 2026'!$C$118,IF($A147&lt;11,'Trasnfers, Extras, Alco 2026'!$C$118*2,IF($A147&lt;16,'Trasnfers, Extras, Alco 2026'!$C$118*3,'Trasnfers, Extras, Alco 2026'!$C$118*4)))</f>
        <v>23386562.5</v>
      </c>
      <c r="N147" s="188"/>
      <c r="O147" s="17"/>
      <c r="P147" s="17"/>
      <c r="Q147" s="17"/>
      <c r="R147" s="17"/>
      <c r="S147" s="17"/>
      <c r="T147" s="17"/>
      <c r="U147" s="17"/>
      <c r="V147" s="17"/>
      <c r="W147" s="17"/>
      <c r="X147" s="17"/>
      <c r="Y147" s="172"/>
      <c r="Z147" s="173" cm="1">
        <f t="array" ref="Z147">ROUND((K147+$F$22/0.75)/A147,-3)</f>
        <v>1789000</v>
      </c>
      <c r="AA147" s="172"/>
      <c r="AB147" s="174" cm="1">
        <f t="array" ref="AB147">ROUND((K147+7205000/0.75)/A147,-3)</f>
        <v>2397000</v>
      </c>
    </row>
    <row r="148" ht="15.5" customHeight="1">
      <c r="A148" s="166">
        <v>15</v>
      </c>
      <c r="B148" s="167">
        <v>15</v>
      </c>
      <c r="C148" s="94" cm="1">
        <f t="array" ref="C148">C102</f>
        <v>195800</v>
      </c>
      <c r="D148" s="86" cm="1">
        <f t="array" ref="D148">D102</f>
        <v>290000</v>
      </c>
      <c r="E148" s="86" cm="1">
        <f t="array" ref="E148">F148</f>
        <v>20154000</v>
      </c>
      <c r="F148" s="86" cm="1">
        <f t="array" ref="F148">($D$17*(100%+($F$84-$D$84))+SUM($D$88:D102))/(100%)+IF($A148&lt;6,'Trasnfers, Extras, Alco 2026'!$C$118,IF($A148&lt;11,'Trasnfers, Extras, Alco 2026'!$C$118*2,IF($A148&lt;16,'Trasnfers, Extras, Alco 2026'!$C$118*3,'Trasnfers, Extras, Alco 2026'!$C$118*4)))</f>
        <v>20154000</v>
      </c>
      <c r="G148" s="86" cm="1">
        <f t="array" ref="G148">ROUND(($D$17*(100%+($G$84-$D$84))+SUM($D$88:D102))/(100%-25%)/$A148+IF($A148&lt;6,'Trasnfers, Extras, Alco 2026'!$C$118,IF($A148&lt;11,'Trasnfers, Extras, Alco 2026'!$C$118*2,IF($A148&lt;16,'Trasnfers, Extras, Alco 2026'!$C$118*3,'Trasnfers, Extras, Alco 2026'!$C$118*4)))/$A148,-4)</f>
        <v>1620000</v>
      </c>
      <c r="H148" s="86" cm="1">
        <f t="array" ref="H148">($D$17*(100%+($H$84-$D$84))+SUM($D$88:D102))/(100%-20%)/$A148+IF($A148&lt;6,'Trasnfers, Extras, Alco 2026'!$C$118,IF($A148&lt;11,'Trasnfers, Extras, Alco 2026'!$C$118*2,IF($A148&lt;16,'Trasnfers, Extras, Alco 2026'!$C$118*3,'Trasnfers, Extras, Alco 2026'!$C$118*4)))/$A148</f>
        <v>1583270.83333333</v>
      </c>
      <c r="I148" s="87" cm="1">
        <f t="array" ref="I148">($D$17*(100%+($I$84-$D$84))+SUM($D$88:D102))/(100%-20%)/$A148+IF($A148&lt;6,'Trasnfers, Extras, Alco 2026'!$C$118,IF($A148&lt;11,'Trasnfers, Extras, Alco 2026'!$C$118*2,IF($A148&lt;16,'Trasnfers, Extras, Alco 2026'!$C$118*3,'Trasnfers, Extras, Alco 2026'!$C$118*4)))/$A148</f>
        <v>1583270.83333333</v>
      </c>
      <c r="J148" s="160"/>
      <c r="K148" s="86" cm="1">
        <f t="array" ref="K148">($D$17*(100%+($G$84-$D$84))+SUM($D$88:D102))/(100%-25%)+IF($A148&lt;6,'Trasnfers, Extras, Alco 2026'!$C$118,IF($A148&lt;11,'Trasnfers, Extras, Alco 2026'!$C$118*2,IF($A148&lt;16,'Trasnfers, Extras, Alco 2026'!$C$118*3,'Trasnfers, Extras, Alco 2026'!$C$118*4)))</f>
        <v>24332666.6666667</v>
      </c>
      <c r="L148" s="86" cm="1">
        <f t="array" ref="L148">($D$17*(100%+($H$84-$D$84))+SUM($D$88:D102))/(100%-20%)+IF($A148&lt;6,'Trasnfers, Extras, Alco 2026'!$C$118,IF($A148&lt;11,'Trasnfers, Extras, Alco 2026'!$C$118*2,IF($A148&lt;16,'Trasnfers, Extras, Alco 2026'!$C$118*3,'Trasnfers, Extras, Alco 2026'!$C$118*4)))</f>
        <v>23749062.5</v>
      </c>
      <c r="M148" s="87" cm="1">
        <f t="array" ref="M148">($D$17*(100%+($I$84-$D$84))+SUM($D$88:D102))/(100%-20%)+IF($A148&lt;6,'Trasnfers, Extras, Alco 2026'!$C$118,IF($A148&lt;11,'Trasnfers, Extras, Alco 2026'!$C$118*2,IF($A148&lt;16,'Trasnfers, Extras, Alco 2026'!$C$118*3,'Trasnfers, Extras, Alco 2026'!$C$118*4)))</f>
        <v>23749062.5</v>
      </c>
      <c r="N148" s="188"/>
      <c r="O148" s="17"/>
      <c r="P148" s="17"/>
      <c r="Q148" s="17"/>
      <c r="R148" s="17"/>
      <c r="S148" s="17"/>
      <c r="T148" s="17"/>
      <c r="U148" s="17"/>
      <c r="V148" s="17"/>
      <c r="W148" s="17"/>
      <c r="X148" s="17"/>
      <c r="Y148" s="172"/>
      <c r="Z148" s="173" cm="1">
        <f t="array" ref="Z148">ROUND((K148+$F$22/0.75)/A148,-3)</f>
        <v>1695000</v>
      </c>
      <c r="AA148" s="172"/>
      <c r="AB148" s="174" cm="1">
        <f t="array" ref="AB148">ROUND((K148+7205000/0.75)/A148,-3)</f>
        <v>2263000</v>
      </c>
    </row>
    <row r="149" ht="15.5" customHeight="1">
      <c r="A149" s="166">
        <v>16</v>
      </c>
      <c r="B149" s="167">
        <v>16</v>
      </c>
      <c r="C149" s="94" cm="1">
        <f t="array" ref="C149">C103</f>
        <v>195800</v>
      </c>
      <c r="D149" s="86" cm="1">
        <f t="array" ref="D149">D103</f>
        <v>1389000</v>
      </c>
      <c r="E149" s="86" cm="1">
        <f t="array" ref="E149">F149</f>
        <v>22443000</v>
      </c>
      <c r="F149" s="86" cm="1">
        <f t="array" ref="F149">($D$17*(100%+($F$84-$D$84))+SUM($D$88:D103))/(100%)+IF($A149&lt;6,'Trasnfers, Extras, Alco 2026'!$C$118,IF($A149&lt;11,'Trasnfers, Extras, Alco 2026'!$C$118*2,IF($A149&lt;16,'Trasnfers, Extras, Alco 2026'!$C$118*3,'Trasnfers, Extras, Alco 2026'!$C$118*4)))</f>
        <v>22443000</v>
      </c>
      <c r="G149" s="86" cm="1">
        <f t="array" ref="G149">ROUND(($D$17*(100%+($G$84-$D$84))+SUM($D$88:D103))/(100%-25%)/$A149+IF($A149&lt;6,'Trasnfers, Extras, Alco 2026'!$C$118,IF($A149&lt;11,'Trasnfers, Extras, Alco 2026'!$C$118*2,IF($A149&lt;16,'Trasnfers, Extras, Alco 2026'!$C$118*3,'Trasnfers, Extras, Alco 2026'!$C$118*4)))/$A149,-4)</f>
        <v>1690000</v>
      </c>
      <c r="H149" s="86" cm="1">
        <f t="array" ref="H149">($D$17*(100%+($H$84-$D$84))+SUM($D$88:D103))/(100%-20%)/$A149+IF($A149&lt;6,'Trasnfers, Extras, Alco 2026'!$C$118,IF($A149&lt;11,'Trasnfers, Extras, Alco 2026'!$C$118*2,IF($A149&lt;16,'Trasnfers, Extras, Alco 2026'!$C$118*3,'Trasnfers, Extras, Alco 2026'!$C$118*4)))/$A149</f>
        <v>1649082.03125</v>
      </c>
      <c r="I149" s="87" cm="1">
        <f t="array" ref="I149">($D$17*(100%+($I$84-$D$84))+SUM($D$88:D103))/(100%-20%)/$A149+IF($A149&lt;6,'Trasnfers, Extras, Alco 2026'!$C$118,IF($A149&lt;11,'Trasnfers, Extras, Alco 2026'!$C$118*2,IF($A149&lt;16,'Trasnfers, Extras, Alco 2026'!$C$118*3,'Trasnfers, Extras, Alco 2026'!$C$118*4)))/$A149</f>
        <v>1649082.03125</v>
      </c>
      <c r="J149" s="160"/>
      <c r="K149" s="86" cm="1">
        <f t="array" ref="K149">($D$17*(100%+($G$84-$D$84))+SUM($D$88:D103))/(100%-25%)+IF($A149&lt;6,'Trasnfers, Extras, Alco 2026'!$C$118,IF($A149&lt;11,'Trasnfers, Extras, Alco 2026'!$C$118*2,IF($A149&lt;16,'Trasnfers, Extras, Alco 2026'!$C$118*3,'Trasnfers, Extras, Alco 2026'!$C$118*4)))</f>
        <v>27084666.6666667</v>
      </c>
      <c r="L149" s="86" cm="1">
        <f t="array" ref="L149">($D$17*(100%+($H$84-$D$84))+SUM($D$88:D103))/(100%-20%)+IF($A149&lt;6,'Trasnfers, Extras, Alco 2026'!$C$118,IF($A149&lt;11,'Trasnfers, Extras, Alco 2026'!$C$118*2,IF($A149&lt;16,'Trasnfers, Extras, Alco 2026'!$C$118*3,'Trasnfers, Extras, Alco 2026'!$C$118*4)))</f>
        <v>26385312.5</v>
      </c>
      <c r="M149" s="87" cm="1">
        <f t="array" ref="M149">($D$17*(100%+($I$84-$D$84))+SUM($D$88:D103))/(100%-20%)+IF($A149&lt;6,'Trasnfers, Extras, Alco 2026'!$C$118,IF($A149&lt;11,'Trasnfers, Extras, Alco 2026'!$C$118*2,IF($A149&lt;16,'Trasnfers, Extras, Alco 2026'!$C$118*3,'Trasnfers, Extras, Alco 2026'!$C$118*4)))</f>
        <v>26385312.5</v>
      </c>
      <c r="N149" s="188"/>
      <c r="O149" s="17"/>
      <c r="P149" s="17"/>
      <c r="Q149" s="17"/>
      <c r="R149" s="17"/>
      <c r="S149" s="17"/>
      <c r="T149" s="17"/>
      <c r="U149" s="17"/>
      <c r="V149" s="17"/>
      <c r="W149" s="17"/>
      <c r="X149" s="17"/>
      <c r="Y149" s="172"/>
      <c r="Z149" s="173" cm="1">
        <f t="array" ref="Z149">ROUND((K149+$F$22/0.75)/A149,-3)</f>
        <v>1761000</v>
      </c>
      <c r="AA149" s="172"/>
      <c r="AB149" s="174" cm="1">
        <f t="array" ref="AB149">ROUND((K149+7205000/0.75)/A149,-3)</f>
        <v>2293000</v>
      </c>
    </row>
    <row r="150" ht="15.5" customHeight="1">
      <c r="A150" s="166">
        <v>17</v>
      </c>
      <c r="B150" s="167">
        <v>17</v>
      </c>
      <c r="C150" s="94" cm="1">
        <f t="array" ref="C150">C104</f>
        <v>195800</v>
      </c>
      <c r="D150" s="86" cm="1">
        <f t="array" ref="D150">D104</f>
        <v>290000</v>
      </c>
      <c r="E150" s="86" cm="1">
        <f t="array" ref="E150">F150</f>
        <v>22733000</v>
      </c>
      <c r="F150" s="86" cm="1">
        <f t="array" ref="F150">($D$17*(100%+($F$84-$D$84))+SUM($D$88:D104))/(100%)+IF($A150&lt;6,'Trasnfers, Extras, Alco 2026'!$C$118,IF($A150&lt;11,'Trasnfers, Extras, Alco 2026'!$C$118*2,IF($A150&lt;16,'Trasnfers, Extras, Alco 2026'!$C$118*3,'Trasnfers, Extras, Alco 2026'!$C$118*4)))</f>
        <v>22733000</v>
      </c>
      <c r="G150" s="86" cm="1">
        <f t="array" ref="G150">ROUND(($D$17*(100%+($G$84-$D$84))+SUM($D$88:D104))/(100%-25%)/$A150+IF($A150&lt;6,'Trasnfers, Extras, Alco 2026'!$C$118,IF($A150&lt;11,'Trasnfers, Extras, Alco 2026'!$C$118*2,IF($A150&lt;16,'Trasnfers, Extras, Alco 2026'!$C$118*3,'Trasnfers, Extras, Alco 2026'!$C$118*4)))/$A150,-4)</f>
        <v>1620000</v>
      </c>
      <c r="H150" s="86" cm="1">
        <f t="array" ref="H150">($D$17*(100%+($H$84-$D$84))+SUM($D$88:D104))/(100%-20%)/$A150+IF($A150&lt;6,'Trasnfers, Extras, Alco 2026'!$C$118,IF($A150&lt;11,'Trasnfers, Extras, Alco 2026'!$C$118*2,IF($A150&lt;16,'Trasnfers, Extras, Alco 2026'!$C$118*3,'Trasnfers, Extras, Alco 2026'!$C$118*4)))/$A150</f>
        <v>1573400.73529412</v>
      </c>
      <c r="I150" s="87" cm="1">
        <f t="array" ref="I150">($D$17*(100%+($I$84-$D$84))+SUM($D$88:D104))/(100%-20%)/$A150+IF($A150&lt;6,'Trasnfers, Extras, Alco 2026'!$C$118,IF($A150&lt;11,'Trasnfers, Extras, Alco 2026'!$C$118*2,IF($A150&lt;16,'Trasnfers, Extras, Alco 2026'!$C$118*3,'Trasnfers, Extras, Alco 2026'!$C$118*4)))/$A150</f>
        <v>1573400.73529412</v>
      </c>
      <c r="J150" s="160"/>
      <c r="K150" s="86" cm="1">
        <f t="array" ref="K150">($D$17*(100%+($G$84-$D$84))+SUM($D$88:D104))/(100%-25%)+IF($A150&lt;6,'Trasnfers, Extras, Alco 2026'!$C$118,IF($A150&lt;11,'Trasnfers, Extras, Alco 2026'!$C$118*2,IF($A150&lt;16,'Trasnfers, Extras, Alco 2026'!$C$118*3,'Trasnfers, Extras, Alco 2026'!$C$118*4)))</f>
        <v>27471333.3333333</v>
      </c>
      <c r="L150" s="86" cm="1">
        <f t="array" ref="L150">($D$17*(100%+($H$84-$D$84))+SUM($D$88:D104))/(100%-20%)+IF($A150&lt;6,'Trasnfers, Extras, Alco 2026'!$C$118,IF($A150&lt;11,'Trasnfers, Extras, Alco 2026'!$C$118*2,IF($A150&lt;16,'Trasnfers, Extras, Alco 2026'!$C$118*3,'Trasnfers, Extras, Alco 2026'!$C$118*4)))</f>
        <v>26747812.5</v>
      </c>
      <c r="M150" s="87" cm="1">
        <f t="array" ref="M150">($D$17*(100%+($I$84-$D$84))+SUM($D$88:D104))/(100%-20%)+IF($A150&lt;6,'Trasnfers, Extras, Alco 2026'!$C$118,IF($A150&lt;11,'Trasnfers, Extras, Alco 2026'!$C$118*2,IF($A150&lt;16,'Trasnfers, Extras, Alco 2026'!$C$118*3,'Trasnfers, Extras, Alco 2026'!$C$118*4)))</f>
        <v>26747812.5</v>
      </c>
      <c r="N150" s="188"/>
      <c r="O150" s="17"/>
      <c r="P150" s="17"/>
      <c r="Q150" s="17"/>
      <c r="R150" s="17"/>
      <c r="S150" s="17"/>
      <c r="T150" s="17"/>
      <c r="U150" s="17"/>
      <c r="V150" s="17"/>
      <c r="W150" s="17"/>
      <c r="X150" s="17"/>
      <c r="Y150" s="172"/>
      <c r="Z150" s="173" cm="1">
        <f t="array" ref="Z150">ROUND((K150+$F$22/0.75)/A150,-3)</f>
        <v>1680000</v>
      </c>
      <c r="AA150" s="172"/>
      <c r="AB150" s="174" cm="1">
        <f t="array" ref="AB150">ROUND((K150+7205000/0.75)/A150,-3)</f>
        <v>2181000</v>
      </c>
    </row>
    <row r="151" ht="15.5" customHeight="1">
      <c r="A151" s="166">
        <v>18</v>
      </c>
      <c r="B151" s="167">
        <v>18</v>
      </c>
      <c r="C151" s="94" cm="1">
        <f t="array" ref="C151">C105</f>
        <v>195800</v>
      </c>
      <c r="D151" s="86" cm="1">
        <f t="array" ref="D151">D105</f>
        <v>290000</v>
      </c>
      <c r="E151" s="86" cm="1">
        <f t="array" ref="E151">F151</f>
        <v>23023000</v>
      </c>
      <c r="F151" s="86" cm="1">
        <f t="array" ref="F151">($D$17*(100%+($F$84-$D$84))+SUM($D$88:D105))/(100%)+IF($A151&lt;6,'Trasnfers, Extras, Alco 2026'!$C$118,IF($A151&lt;11,'Trasnfers, Extras, Alco 2026'!$C$118*2,IF($A151&lt;16,'Trasnfers, Extras, Alco 2026'!$C$118*3,'Trasnfers, Extras, Alco 2026'!$C$118*4)))</f>
        <v>23023000</v>
      </c>
      <c r="G151" s="86" cm="1">
        <f t="array" ref="G151">ROUND(($D$17*(100%+($G$84-$D$84))+SUM($D$88:D105))/(100%-25%)/$A151+IF($A151&lt;6,'Trasnfers, Extras, Alco 2026'!$C$118,IF($A151&lt;11,'Trasnfers, Extras, Alco 2026'!$C$118*2,IF($A151&lt;16,'Trasnfers, Extras, Alco 2026'!$C$118*3,'Trasnfers, Extras, Alco 2026'!$C$118*4)))/$A151,-4)</f>
        <v>1550000</v>
      </c>
      <c r="H151" s="86" cm="1">
        <f t="array" ref="H151">($D$17*(100%+($H$84-$D$84))+SUM($D$88:D105))/(100%-20%)/$A151+IF($A151&lt;6,'Trasnfers, Extras, Alco 2026'!$C$118,IF($A151&lt;11,'Trasnfers, Extras, Alco 2026'!$C$118*2,IF($A151&lt;16,'Trasnfers, Extras, Alco 2026'!$C$118*3,'Trasnfers, Extras, Alco 2026'!$C$118*4)))/$A151</f>
        <v>1506128.47222222</v>
      </c>
      <c r="I151" s="87" cm="1">
        <f t="array" ref="I151">($D$17*(100%+($I$84-$D$84))+SUM($D$88:D105))/(100%-20%)/$A151+IF($A151&lt;6,'Trasnfers, Extras, Alco 2026'!$C$118,IF($A151&lt;11,'Trasnfers, Extras, Alco 2026'!$C$118*2,IF($A151&lt;16,'Trasnfers, Extras, Alco 2026'!$C$118*3,'Trasnfers, Extras, Alco 2026'!$C$118*4)))/$A151</f>
        <v>1506128.47222222</v>
      </c>
      <c r="J151" s="160"/>
      <c r="K151" s="86" cm="1">
        <f t="array" ref="K151">($D$17*(100%+($G$84-$D$84))+SUM($D$88:D105))/(100%-25%)+IF($A151&lt;6,'Trasnfers, Extras, Alco 2026'!$C$118,IF($A151&lt;11,'Trasnfers, Extras, Alco 2026'!$C$118*2,IF($A151&lt;16,'Trasnfers, Extras, Alco 2026'!$C$118*3,'Trasnfers, Extras, Alco 2026'!$C$118*4)))</f>
        <v>27858000</v>
      </c>
      <c r="L151" s="86" cm="1">
        <f t="array" ref="L151">($D$17*(100%+($H$84-$D$84))+SUM($D$88:D105))/(100%-20%)+IF($A151&lt;6,'Trasnfers, Extras, Alco 2026'!$C$118,IF($A151&lt;11,'Trasnfers, Extras, Alco 2026'!$C$118*2,IF($A151&lt;16,'Trasnfers, Extras, Alco 2026'!$C$118*3,'Trasnfers, Extras, Alco 2026'!$C$118*4)))</f>
        <v>27110312.5</v>
      </c>
      <c r="M151" s="87" cm="1">
        <f t="array" ref="M151">($D$17*(100%+($I$84-$D$84))+SUM($D$88:D105))/(100%-20%)+IF($A151&lt;6,'Trasnfers, Extras, Alco 2026'!$C$118,IF($A151&lt;11,'Trasnfers, Extras, Alco 2026'!$C$118*2,IF($A151&lt;16,'Trasnfers, Extras, Alco 2026'!$C$118*3,'Trasnfers, Extras, Alco 2026'!$C$118*4)))</f>
        <v>27110312.5</v>
      </c>
      <c r="N151" s="188"/>
      <c r="O151" s="17"/>
      <c r="P151" s="17"/>
      <c r="Q151" s="17"/>
      <c r="R151" s="17"/>
      <c r="S151" s="17"/>
      <c r="T151" s="17"/>
      <c r="U151" s="17"/>
      <c r="V151" s="17"/>
      <c r="W151" s="17"/>
      <c r="X151" s="17"/>
      <c r="Y151" s="172"/>
      <c r="Z151" s="173" cm="1">
        <f t="array" ref="Z151">ROUND((K151+$F$22/0.75)/A151,-3)</f>
        <v>1608000</v>
      </c>
      <c r="AA151" s="172"/>
      <c r="AB151" s="174" cm="1">
        <f t="array" ref="AB151">ROUND((K151+7205000/0.75)/A151,-3)</f>
        <v>2081000</v>
      </c>
    </row>
    <row r="152" ht="15.5" customHeight="1">
      <c r="A152" s="166">
        <v>19</v>
      </c>
      <c r="B152" s="167">
        <v>19</v>
      </c>
      <c r="C152" s="94" cm="1">
        <f t="array" ref="C152">C106</f>
        <v>195800</v>
      </c>
      <c r="D152" s="86" cm="1">
        <f t="array" ref="D152">D106</f>
        <v>290000</v>
      </c>
      <c r="E152" s="86" cm="1">
        <f t="array" ref="E152">F152</f>
        <v>23313000</v>
      </c>
      <c r="F152" s="86" cm="1">
        <f t="array" ref="F152">($D$17*(100%+($F$84-$D$84))+SUM($D$88:D106))/(100%)+IF($A152&lt;6,'Trasnfers, Extras, Alco 2026'!$C$118,IF($A152&lt;11,'Trasnfers, Extras, Alco 2026'!$C$118*2,IF($A152&lt;16,'Trasnfers, Extras, Alco 2026'!$C$118*3,'Trasnfers, Extras, Alco 2026'!$C$118*4)))</f>
        <v>23313000</v>
      </c>
      <c r="G152" s="86" cm="1">
        <f t="array" ref="G152">ROUND(($D$17*(100%+($G$84-$D$84))+SUM($D$88:D106))/(100%-25%)/$A152+IF($A152&lt;6,'Trasnfers, Extras, Alco 2026'!$C$118,IF($A152&lt;11,'Trasnfers, Extras, Alco 2026'!$C$118*2,IF($A152&lt;16,'Trasnfers, Extras, Alco 2026'!$C$118*3,'Trasnfers, Extras, Alco 2026'!$C$118*4)))/$A152,-4)</f>
        <v>1490000</v>
      </c>
      <c r="H152" s="86" cm="1">
        <f t="array" ref="H152">($D$17*(100%+($H$84-$D$84))+SUM($D$88:D106))/(100%-20%)/$A152+IF($A152&lt;6,'Trasnfers, Extras, Alco 2026'!$C$118,IF($A152&lt;11,'Trasnfers, Extras, Alco 2026'!$C$118*2,IF($A152&lt;16,'Trasnfers, Extras, Alco 2026'!$C$118*3,'Trasnfers, Extras, Alco 2026'!$C$118*4)))/$A152</f>
        <v>1445937.5</v>
      </c>
      <c r="I152" s="87" cm="1">
        <f t="array" ref="I152">($D$17*(100%+($I$84-$D$84))+SUM($D$88:D106))/(100%-20%)/$A152+IF($A152&lt;6,'Trasnfers, Extras, Alco 2026'!$C$118,IF($A152&lt;11,'Trasnfers, Extras, Alco 2026'!$C$118*2,IF($A152&lt;16,'Trasnfers, Extras, Alco 2026'!$C$118*3,'Trasnfers, Extras, Alco 2026'!$C$118*4)))/$A152</f>
        <v>1445937.5</v>
      </c>
      <c r="J152" s="160"/>
      <c r="K152" s="86" cm="1">
        <f t="array" ref="K152">($D$17*(100%+($G$84-$D$84))+SUM($D$88:D106))/(100%-25%)+IF($A152&lt;6,'Trasnfers, Extras, Alco 2026'!$C$118,IF($A152&lt;11,'Trasnfers, Extras, Alco 2026'!$C$118*2,IF($A152&lt;16,'Trasnfers, Extras, Alco 2026'!$C$118*3,'Trasnfers, Extras, Alco 2026'!$C$118*4)))</f>
        <v>28244666.6666667</v>
      </c>
      <c r="L152" s="86" cm="1">
        <f t="array" ref="L152">($D$17*(100%+($H$84-$D$84))+SUM($D$88:D106))/(100%-20%)+IF($A152&lt;6,'Trasnfers, Extras, Alco 2026'!$C$118,IF($A152&lt;11,'Trasnfers, Extras, Alco 2026'!$C$118*2,IF($A152&lt;16,'Trasnfers, Extras, Alco 2026'!$C$118*3,'Trasnfers, Extras, Alco 2026'!$C$118*4)))</f>
        <v>27472812.5</v>
      </c>
      <c r="M152" s="87" cm="1">
        <f t="array" ref="M152">($D$17*(100%+($I$84-$D$84))+SUM($D$88:D106))/(100%-20%)+IF($A152&lt;6,'Trasnfers, Extras, Alco 2026'!$C$118,IF($A152&lt;11,'Trasnfers, Extras, Alco 2026'!$C$118*2,IF($A152&lt;16,'Trasnfers, Extras, Alco 2026'!$C$118*3,'Trasnfers, Extras, Alco 2026'!$C$118*4)))</f>
        <v>27472812.5</v>
      </c>
      <c r="N152" s="188"/>
      <c r="O152" s="17"/>
      <c r="P152" s="17"/>
      <c r="Q152" s="17"/>
      <c r="R152" s="17"/>
      <c r="S152" s="17"/>
      <c r="T152" s="17"/>
      <c r="U152" s="17"/>
      <c r="V152" s="17"/>
      <c r="W152" s="17"/>
      <c r="X152" s="17"/>
      <c r="Y152" s="172"/>
      <c r="Z152" s="173" cm="1">
        <f t="array" ref="Z152">ROUND((K152+$F$22/0.75)/A152,-3)</f>
        <v>1544000</v>
      </c>
      <c r="AA152" s="172"/>
      <c r="AB152" s="174" cm="1">
        <f t="array" ref="AB152">ROUND((K152+7205000/0.75)/A152,-3)</f>
        <v>1992000</v>
      </c>
    </row>
    <row r="153" ht="15.5" customHeight="1">
      <c r="A153" s="166">
        <v>20</v>
      </c>
      <c r="B153" t="s" s="136">
        <v>152</v>
      </c>
      <c r="C153" s="113" cm="1">
        <f t="array" ref="C153">C107</f>
        <v>195800</v>
      </c>
      <c r="D153" s="114" cm="1">
        <f t="array" ref="D153">D107</f>
        <v>290000</v>
      </c>
      <c r="E153" s="114" cm="1">
        <f t="array" ref="E153">F153</f>
        <v>23603000</v>
      </c>
      <c r="F153" s="114" cm="1">
        <f t="array" ref="F153">($D$17*(100%+($F$84-$D$84))+SUM($D$88:D107))/(100%)+IF($A153&lt;6,'Trasnfers, Extras, Alco 2026'!$C$118,IF($A153&lt;11,'Trasnfers, Extras, Alco 2026'!$C$118*2,IF($A153&lt;16,'Trasnfers, Extras, Alco 2026'!$C$118*3,'Trasnfers, Extras, Alco 2026'!$C$118*4)))</f>
        <v>23603000</v>
      </c>
      <c r="G153" s="114" cm="1">
        <f t="array" ref="G153">ROUND(($D$17*(100%+($G$84-$D$84))+SUM($D$88:D107))/(100%-25%)/$A153+IF($A153&lt;6,'Trasnfers, Extras, Alco 2026'!$C$118,IF($A153&lt;11,'Trasnfers, Extras, Alco 2026'!$C$118*2,IF($A153&lt;16,'Trasnfers, Extras, Alco 2026'!$C$118*3,'Trasnfers, Extras, Alco 2026'!$C$118*4)))/$A153,-4)</f>
        <v>1430000</v>
      </c>
      <c r="H153" s="114" cm="1">
        <f t="array" ref="H153">($D$17*(100%+($H$84-$D$84))+SUM($D$88:D107))/(100%-20%)/$A153+IF($A153&lt;6,'Trasnfers, Extras, Alco 2026'!$C$118,IF($A153&lt;11,'Trasnfers, Extras, Alco 2026'!$C$118*2,IF($A153&lt;16,'Trasnfers, Extras, Alco 2026'!$C$118*3,'Trasnfers, Extras, Alco 2026'!$C$118*4)))/$A153</f>
        <v>1391765.625</v>
      </c>
      <c r="I153" s="115" cm="1">
        <f t="array" ref="I153">($D$17*(100%+($I$84-$D$84))+SUM($D$88:D107))/(100%-20%)/$A153+IF($A153&lt;6,'Trasnfers, Extras, Alco 2026'!$C$118,IF($A153&lt;11,'Trasnfers, Extras, Alco 2026'!$C$118*2,IF($A153&lt;16,'Trasnfers, Extras, Alco 2026'!$C$118*3,'Trasnfers, Extras, Alco 2026'!$C$118*4)))/$A153</f>
        <v>1391765.625</v>
      </c>
      <c r="J153" s="160"/>
      <c r="K153" s="114" cm="1">
        <f t="array" ref="K153">($D$17*(100%+($G$84-$D$84))+SUM($D$88:D107))/(100%-25%)+IF($A153&lt;6,'Trasnfers, Extras, Alco 2026'!$C$118,IF($A153&lt;11,'Trasnfers, Extras, Alco 2026'!$C$118*2,IF($A153&lt;16,'Trasnfers, Extras, Alco 2026'!$C$118*3,'Trasnfers, Extras, Alco 2026'!$C$118*4)))</f>
        <v>28631333.3333333</v>
      </c>
      <c r="L153" s="114" cm="1">
        <f t="array" ref="L153">($D$17*(100%+($H$84-$D$84))+SUM($D$88:D107))/(100%-20%)+IF($A153&lt;6,'Trasnfers, Extras, Alco 2026'!$C$118,IF($A153&lt;11,'Trasnfers, Extras, Alco 2026'!$C$118*2,IF($A153&lt;16,'Trasnfers, Extras, Alco 2026'!$C$118*3,'Trasnfers, Extras, Alco 2026'!$C$118*4)))</f>
        <v>27835312.5</v>
      </c>
      <c r="M153" s="115" cm="1">
        <f t="array" ref="M153">($D$17*(100%+($I$84-$D$84))+SUM($D$88:D107))/(100%-20%)+IF($A153&lt;6,'Trasnfers, Extras, Alco 2026'!$C$118,IF($A153&lt;11,'Trasnfers, Extras, Alco 2026'!$C$118*2,IF($A153&lt;16,'Trasnfers, Extras, Alco 2026'!$C$118*3,'Trasnfers, Extras, Alco 2026'!$C$118*4)))</f>
        <v>27835312.5</v>
      </c>
      <c r="N153" s="188"/>
      <c r="O153" s="17"/>
      <c r="P153" s="17"/>
      <c r="Q153" s="17"/>
      <c r="R153" s="17"/>
      <c r="S153" s="17"/>
      <c r="T153" s="17"/>
      <c r="U153" s="17"/>
      <c r="V153" s="17"/>
      <c r="W153" s="17"/>
      <c r="X153" s="17"/>
      <c r="Y153" s="172"/>
      <c r="Z153" s="173" cm="1">
        <f t="array" ref="Z153">ROUND((K153+$F$22/0.75)/A153,-3)</f>
        <v>1486000</v>
      </c>
      <c r="AA153" s="172"/>
      <c r="AB153" s="174" cm="1">
        <f t="array" ref="AB153">ROUND((K153+7205000/0.75)/A153,-3)</f>
        <v>1912000</v>
      </c>
    </row>
    <row r="154" ht="15.5" customHeight="1">
      <c r="A154" s="32"/>
      <c r="B154" s="33"/>
      <c r="C154" s="33"/>
      <c r="D154" s="33"/>
      <c r="E154" s="33"/>
      <c r="F154" s="33"/>
      <c r="G154" s="33"/>
      <c r="H154" s="33"/>
      <c r="I154" s="33"/>
      <c r="J154" s="17"/>
      <c r="K154" s="33"/>
      <c r="L154" s="33"/>
      <c r="M154" s="33"/>
      <c r="N154" s="17"/>
      <c r="O154" s="17"/>
      <c r="P154" s="17"/>
      <c r="Q154" s="17"/>
      <c r="R154" s="17"/>
      <c r="S154" s="17"/>
      <c r="T154" s="17"/>
      <c r="U154" s="17"/>
      <c r="V154" s="17"/>
      <c r="W154" s="17"/>
      <c r="X154" s="17"/>
      <c r="Y154" s="17"/>
      <c r="Z154" s="185"/>
      <c r="AA154" s="17"/>
      <c r="AB154" s="178"/>
    </row>
    <row r="155" ht="18.65" customHeight="1">
      <c r="A155" s="12"/>
      <c r="B155" t="s" s="189">
        <v>157</v>
      </c>
      <c r="C155" s="190"/>
      <c r="D155" s="190"/>
      <c r="E155" s="190"/>
      <c r="F155" s="191"/>
      <c r="G155" t="s" s="155">
        <v>155</v>
      </c>
      <c r="H155" s="156"/>
      <c r="I155" s="157"/>
      <c r="J155" s="71"/>
      <c r="K155" t="s" s="155">
        <v>156</v>
      </c>
      <c r="L155" s="156"/>
      <c r="M155" s="157"/>
      <c r="N155" s="16"/>
      <c r="O155" s="17"/>
      <c r="P155" s="17"/>
      <c r="Q155" s="17"/>
      <c r="R155" s="17"/>
      <c r="S155" s="17"/>
      <c r="T155" s="17"/>
      <c r="U155" s="17"/>
      <c r="V155" s="17"/>
      <c r="W155" s="17"/>
      <c r="X155" s="17"/>
      <c r="Y155" s="17"/>
      <c r="Z155" s="17"/>
      <c r="AA155" s="17"/>
      <c r="AB155" s="18"/>
    </row>
    <row r="156" ht="46" customHeight="1">
      <c r="A156" s="187"/>
      <c r="B156" t="s" s="75">
        <v>138</v>
      </c>
      <c r="C156" t="s" s="158">
        <v>139</v>
      </c>
      <c r="D156" t="s" s="159">
        <v>140</v>
      </c>
      <c r="E156" t="s" s="159">
        <v>141</v>
      </c>
      <c r="F156" t="s" s="159">
        <v>142</v>
      </c>
      <c r="G156" t="s" s="66">
        <v>143</v>
      </c>
      <c r="H156" t="s" s="66">
        <v>144</v>
      </c>
      <c r="I156" t="s" s="67">
        <v>145</v>
      </c>
      <c r="J156" s="160"/>
      <c r="K156" t="s" s="66">
        <v>19</v>
      </c>
      <c r="L156" t="s" s="66">
        <v>146</v>
      </c>
      <c r="M156" t="s" s="67">
        <v>21</v>
      </c>
      <c r="N156" s="16"/>
      <c r="O156" s="17"/>
      <c r="P156" s="17"/>
      <c r="Q156" s="17"/>
      <c r="R156" s="17"/>
      <c r="S156" s="17"/>
      <c r="T156" s="17"/>
      <c r="U156" s="17"/>
      <c r="V156" s="17"/>
      <c r="W156" s="17"/>
      <c r="X156" s="17"/>
      <c r="Y156" s="17"/>
      <c r="Z156" t="s" s="183">
        <v>149</v>
      </c>
      <c r="AA156" s="17"/>
      <c r="AB156" t="s" s="184">
        <v>150</v>
      </c>
    </row>
    <row r="157" ht="15.5" customHeight="1">
      <c r="A157" s="166">
        <v>1</v>
      </c>
      <c r="B157" s="167">
        <v>1</v>
      </c>
      <c r="C157" s="94" cm="1">
        <f t="array" ref="C157">_xlfn.IFERROR(C134*110%,"N/A")</f>
        <v>0</v>
      </c>
      <c r="D157" s="86" cm="1">
        <f t="array" ref="D157">_xlfn.IFERROR(D134*110%,"N/A")</f>
        <v>0</v>
      </c>
      <c r="E157" s="86" cm="1">
        <f t="array" ref="E157">F157</f>
        <v>14014500</v>
      </c>
      <c r="F157" s="86" cm="1">
        <f t="array" ref="F157">_xlfn.IFERROR(F134*110%,"N/A")-500000</f>
        <v>14014500</v>
      </c>
      <c r="G157" s="86" cm="1">
        <f t="array" ref="G157">_xlfn.IFERROR(ROUND(G134*110%,-4),"N/A")</f>
        <v>17220000</v>
      </c>
      <c r="H157" s="86" cm="1">
        <f t="array" ref="H157">_xlfn.IFERROR(H134*110%,"N/A")</f>
        <v>17050343.75</v>
      </c>
      <c r="I157" s="87" cm="1">
        <f t="array" ref="I157">_xlfn.IFERROR(I134*110%,"N/A")</f>
        <v>17050343.75</v>
      </c>
      <c r="J157" s="160"/>
      <c r="K157" s="86" cm="1">
        <f t="array" ref="K157">_xlfn.IFERROR(K134*110%,"N/A")</f>
        <v>17219400</v>
      </c>
      <c r="L157" s="86" cm="1">
        <f t="array" ref="L157">_xlfn.IFERROR(L134*110%,"N/A")</f>
        <v>17050343.75</v>
      </c>
      <c r="M157" s="87" cm="1">
        <f t="array" ref="M157">_xlfn.IFERROR(M134*110%,"N/A")</f>
        <v>17050343.75</v>
      </c>
      <c r="N157" s="188"/>
      <c r="O157" s="17"/>
      <c r="P157" s="17"/>
      <c r="Q157" s="17"/>
      <c r="R157" s="17"/>
      <c r="S157" s="17"/>
      <c r="T157" s="17"/>
      <c r="U157" s="17"/>
      <c r="V157" s="17"/>
      <c r="W157" s="17"/>
      <c r="X157" s="17"/>
      <c r="Y157" s="172"/>
      <c r="Z157" s="173" cm="1">
        <f t="array" ref="Z157">ROUND((K157+$F$22*110%/0.75)/A157,-3)</f>
        <v>18422000</v>
      </c>
      <c r="AA157" s="172"/>
      <c r="AB157" s="174" cm="1">
        <f t="array" ref="AB157">ROUND((K157+7205000*110%/0.75)/A157,-3)</f>
        <v>27787000</v>
      </c>
    </row>
    <row r="158" ht="15.5" customHeight="1">
      <c r="A158" s="166">
        <v>2</v>
      </c>
      <c r="B158" s="167">
        <v>2</v>
      </c>
      <c r="C158" s="94" cm="1">
        <f t="array" ref="C158">_xlfn.IFERROR(C135*110%,"N/A")</f>
        <v>215380</v>
      </c>
      <c r="D158" s="86" cm="1">
        <f t="array" ref="D158">_xlfn.IFERROR(D135*110%,"N/A")</f>
        <v>319000</v>
      </c>
      <c r="E158" s="86" cm="1">
        <f t="array" ref="E158">F158</f>
        <v>14333500</v>
      </c>
      <c r="F158" s="86" cm="1">
        <f t="array" ref="F158">_xlfn.IFERROR(F135*110%,"N/A")-500000</f>
        <v>14333500</v>
      </c>
      <c r="G158" s="86" cm="1">
        <f t="array" ref="G158">_xlfn.IFERROR(ROUND(G135*110%,-4),"N/A")</f>
        <v>8820000</v>
      </c>
      <c r="H158" s="86" cm="1">
        <f t="array" ref="H158">_xlfn.IFERROR(H135*110%,"N/A")</f>
        <v>8724546.875</v>
      </c>
      <c r="I158" s="87" cm="1">
        <f t="array" ref="I158">_xlfn.IFERROR(I135*110%,"N/A")</f>
        <v>8724546.875</v>
      </c>
      <c r="J158" s="160"/>
      <c r="K158" s="86" cm="1">
        <f t="array" ref="K158">_xlfn.IFERROR(K135*110%,"N/A")</f>
        <v>17644733.3333334</v>
      </c>
      <c r="L158" s="86" cm="1">
        <f t="array" ref="L158">_xlfn.IFERROR(L135*110%,"N/A")</f>
        <v>17449093.75</v>
      </c>
      <c r="M158" s="87" cm="1">
        <f t="array" ref="M158">_xlfn.IFERROR(M135*110%,"N/A")</f>
        <v>17449093.75</v>
      </c>
      <c r="N158" s="188"/>
      <c r="O158" s="17"/>
      <c r="P158" s="17"/>
      <c r="Q158" s="17"/>
      <c r="R158" s="17"/>
      <c r="S158" s="17"/>
      <c r="T158" s="17"/>
      <c r="U158" s="17"/>
      <c r="V158" s="17"/>
      <c r="W158" s="17"/>
      <c r="X158" s="17"/>
      <c r="Y158" s="172"/>
      <c r="Z158" s="173" cm="1">
        <f t="array" ref="Z158">ROUND((K158+$F$22*110%/0.75)/A158,-3)</f>
        <v>9424000</v>
      </c>
      <c r="AA158" s="172"/>
      <c r="AB158" s="174" cm="1">
        <f t="array" ref="AB158">ROUND((K158+7205000*110%/0.75)/A158,-3)</f>
        <v>14106000</v>
      </c>
    </row>
    <row r="159" ht="15.5" customHeight="1">
      <c r="A159" s="166">
        <v>3</v>
      </c>
      <c r="B159" s="167">
        <v>3</v>
      </c>
      <c r="C159" s="94" cm="1">
        <f t="array" ref="C159">_xlfn.IFERROR(C136*110%,"N/A")</f>
        <v>215380</v>
      </c>
      <c r="D159" s="86" cm="1">
        <f t="array" ref="D159">_xlfn.IFERROR(D136*110%,"N/A")</f>
        <v>319000</v>
      </c>
      <c r="E159" s="86" cm="1">
        <f t="array" ref="E159">F159</f>
        <v>14652500</v>
      </c>
      <c r="F159" s="86" cm="1">
        <f t="array" ref="F159">_xlfn.IFERROR(F136*110%,"N/A")-500000</f>
        <v>14652500</v>
      </c>
      <c r="G159" s="86" cm="1">
        <f t="array" ref="G159">_xlfn.IFERROR(ROUND(G136*110%,-4),"N/A")</f>
        <v>6030000</v>
      </c>
      <c r="H159" s="86" cm="1">
        <f t="array" ref="H159">_xlfn.IFERROR(H136*110%,"N/A")</f>
        <v>5949281.25</v>
      </c>
      <c r="I159" s="87" cm="1">
        <f t="array" ref="I159">_xlfn.IFERROR(I136*110%,"N/A")</f>
        <v>5949281.25</v>
      </c>
      <c r="J159" s="160"/>
      <c r="K159" s="86" cm="1">
        <f t="array" ref="K159">_xlfn.IFERROR(K136*110%,"N/A")</f>
        <v>18070066.6666666</v>
      </c>
      <c r="L159" s="86" cm="1">
        <f t="array" ref="L159">_xlfn.IFERROR(L136*110%,"N/A")</f>
        <v>17847843.75</v>
      </c>
      <c r="M159" s="87" cm="1">
        <f t="array" ref="M159">_xlfn.IFERROR(M136*110%,"N/A")</f>
        <v>17847843.75</v>
      </c>
      <c r="N159" s="188"/>
      <c r="O159" s="17"/>
      <c r="P159" s="17"/>
      <c r="Q159" s="17"/>
      <c r="R159" s="17"/>
      <c r="S159" s="17"/>
      <c r="T159" s="17"/>
      <c r="U159" s="17"/>
      <c r="V159" s="17"/>
      <c r="W159" s="17"/>
      <c r="X159" s="17"/>
      <c r="Y159" s="172"/>
      <c r="Z159" s="173" cm="1">
        <f t="array" ref="Z159">ROUND((K159+$F$22*110%/0.75)/A159,-3)</f>
        <v>6424000</v>
      </c>
      <c r="AA159" s="172"/>
      <c r="AB159" s="174" cm="1">
        <f t="array" ref="AB159">ROUND((K159+7205000*110%/0.75)/A159,-3)</f>
        <v>9546000</v>
      </c>
    </row>
    <row r="160" ht="15.5" customHeight="1">
      <c r="A160" s="166">
        <v>4</v>
      </c>
      <c r="B160" s="167">
        <v>4</v>
      </c>
      <c r="C160" s="94" cm="1">
        <f t="array" ref="C160">_xlfn.IFERROR(C137*110%,"N/A")</f>
        <v>215380</v>
      </c>
      <c r="D160" s="86" cm="1">
        <f t="array" ref="D160">_xlfn.IFERROR(D137*110%,"N/A")</f>
        <v>319000</v>
      </c>
      <c r="E160" s="86" cm="1">
        <f t="array" ref="E160">F160</f>
        <v>14971500</v>
      </c>
      <c r="F160" s="86" cm="1">
        <f t="array" ref="F160">_xlfn.IFERROR(F137*110%,"N/A")-500000</f>
        <v>14971500</v>
      </c>
      <c r="G160" s="86" cm="1">
        <f t="array" ref="G160">_xlfn.IFERROR(ROUND(G137*110%,-4),"N/A")</f>
        <v>4620000</v>
      </c>
      <c r="H160" s="86" cm="1">
        <f t="array" ref="H160">_xlfn.IFERROR(H137*110%,"N/A")</f>
        <v>4561648.4375</v>
      </c>
      <c r="I160" s="87" cm="1">
        <f t="array" ref="I160">_xlfn.IFERROR(I137*110%,"N/A")</f>
        <v>4561648.4375</v>
      </c>
      <c r="J160" s="160"/>
      <c r="K160" s="86" cm="1">
        <f t="array" ref="K160">_xlfn.IFERROR(K137*110%,"N/A")</f>
        <v>18495400</v>
      </c>
      <c r="L160" s="86" cm="1">
        <f t="array" ref="L160">_xlfn.IFERROR(L137*110%,"N/A")</f>
        <v>18246593.75</v>
      </c>
      <c r="M160" s="87" cm="1">
        <f t="array" ref="M160">_xlfn.IFERROR(M137*110%,"N/A")</f>
        <v>18246593.75</v>
      </c>
      <c r="N160" s="188"/>
      <c r="O160" s="17"/>
      <c r="P160" s="17"/>
      <c r="Q160" s="17"/>
      <c r="R160" s="17"/>
      <c r="S160" s="17"/>
      <c r="T160" s="17"/>
      <c r="U160" s="17"/>
      <c r="V160" s="17"/>
      <c r="W160" s="17"/>
      <c r="X160" s="17"/>
      <c r="Y160" s="172"/>
      <c r="Z160" s="173" cm="1">
        <f t="array" ref="Z160">ROUND((K160+$F$22*110%/0.75)/A160,-3)</f>
        <v>4925000</v>
      </c>
      <c r="AA160" s="172"/>
      <c r="AB160" s="174" cm="1">
        <f t="array" ref="AB160">ROUND((K160+7205000*110%/0.75)/A160,-3)</f>
        <v>7266000</v>
      </c>
    </row>
    <row r="161" ht="15.5" customHeight="1">
      <c r="A161" s="166">
        <v>5</v>
      </c>
      <c r="B161" s="167">
        <v>5</v>
      </c>
      <c r="C161" s="94" cm="1">
        <f t="array" ref="C161">_xlfn.IFERROR(C138*110%,"N/A")</f>
        <v>215380</v>
      </c>
      <c r="D161" s="86" cm="1">
        <f t="array" ref="D161">_xlfn.IFERROR(D138*110%,"N/A")</f>
        <v>319000</v>
      </c>
      <c r="E161" s="86" cm="1">
        <f t="array" ref="E161">F161</f>
        <v>15290500</v>
      </c>
      <c r="F161" s="86" cm="1">
        <f t="array" ref="F161">_xlfn.IFERROR(F138*110%,"N/A")-500000</f>
        <v>15290500</v>
      </c>
      <c r="G161" s="86" cm="1">
        <f t="array" ref="G161">_xlfn.IFERROR(ROUND(G138*110%,-4),"N/A")</f>
        <v>3780000</v>
      </c>
      <c r="H161" s="86" cm="1">
        <f t="array" ref="H161">_xlfn.IFERROR(H138*110%,"N/A")</f>
        <v>3729068.75</v>
      </c>
      <c r="I161" s="87" cm="1">
        <f t="array" ref="I161">_xlfn.IFERROR(I138*110%,"N/A")</f>
        <v>3729068.75</v>
      </c>
      <c r="J161" s="160"/>
      <c r="K161" s="86" cm="1">
        <f t="array" ref="K161">_xlfn.IFERROR(K138*110%,"N/A")</f>
        <v>18920733.3333334</v>
      </c>
      <c r="L161" s="86" cm="1">
        <f t="array" ref="L161">_xlfn.IFERROR(L138*110%,"N/A")</f>
        <v>18645343.75</v>
      </c>
      <c r="M161" s="87" cm="1">
        <f t="array" ref="M161">_xlfn.IFERROR(M138*110%,"N/A")</f>
        <v>18645343.75</v>
      </c>
      <c r="N161" s="188"/>
      <c r="O161" s="17"/>
      <c r="P161" s="17"/>
      <c r="Q161" s="17"/>
      <c r="R161" s="17"/>
      <c r="S161" s="17"/>
      <c r="T161" s="17"/>
      <c r="U161" s="17"/>
      <c r="V161" s="17"/>
      <c r="W161" s="17"/>
      <c r="X161" s="17"/>
      <c r="Y161" s="172"/>
      <c r="Z161" s="173" cm="1">
        <f t="array" ref="Z161">ROUND((K161+$F$22*110%/0.75)/A161,-3)</f>
        <v>4025000</v>
      </c>
      <c r="AA161" s="172"/>
      <c r="AB161" s="174" cm="1">
        <f t="array" ref="AB161">ROUND((K161+7205000*110%/0.75)/A161,-3)</f>
        <v>5898000</v>
      </c>
    </row>
    <row r="162" ht="15.5" customHeight="1">
      <c r="A162" s="166">
        <v>6</v>
      </c>
      <c r="B162" t="s" s="84">
        <v>151</v>
      </c>
      <c r="C162" s="94" cm="1">
        <f t="array" ref="C162">_xlfn.IFERROR(C139*110%,"N/A")</f>
        <v>215380</v>
      </c>
      <c r="D162" s="86" cm="1">
        <f t="array" ref="D162">_xlfn.IFERROR(D139*110%,"N/A")</f>
        <v>319000</v>
      </c>
      <c r="E162" s="86" cm="1">
        <f t="array" ref="E162">F162</f>
        <v>16599500</v>
      </c>
      <c r="F162" s="86" cm="1">
        <f t="array" ref="F162">_xlfn.IFERROR(F139*110%,"N/A")-500000</f>
        <v>16599500</v>
      </c>
      <c r="G162" s="86" cm="1">
        <f t="array" ref="G162">_xlfn.IFERROR(ROUND(G139*110%,-4),"N/A")</f>
        <v>3390000</v>
      </c>
      <c r="H162" s="86" cm="1">
        <f t="array" ref="H162">_xlfn.IFERROR(H139*110%,"N/A")</f>
        <v>3339015.625</v>
      </c>
      <c r="I162" s="87" cm="1">
        <f t="array" ref="I162">_xlfn.IFERROR(I139*110%,"N/A")</f>
        <v>3339015.625</v>
      </c>
      <c r="J162" s="160"/>
      <c r="K162" s="86" cm="1">
        <f t="array" ref="K162">_xlfn.IFERROR(K139*110%,"N/A")</f>
        <v>20336066.6666666</v>
      </c>
      <c r="L162" s="86" cm="1">
        <f t="array" ref="L162">_xlfn.IFERROR(L139*110%,"N/A")</f>
        <v>20034093.75</v>
      </c>
      <c r="M162" s="87" cm="1">
        <f t="array" ref="M162">_xlfn.IFERROR(M139*110%,"N/A")</f>
        <v>20034093.75</v>
      </c>
      <c r="N162" s="188"/>
      <c r="O162" s="17"/>
      <c r="P162" s="17"/>
      <c r="Q162" s="17"/>
      <c r="R162" s="17"/>
      <c r="S162" s="17"/>
      <c r="T162" s="17"/>
      <c r="U162" s="17"/>
      <c r="V162" s="17"/>
      <c r="W162" s="17"/>
      <c r="X162" s="17"/>
      <c r="Y162" s="172"/>
      <c r="Z162" s="173" cm="1">
        <f t="array" ref="Z162">ROUND((K162+$F$22*110%/0.75)/A162,-3)</f>
        <v>3590000</v>
      </c>
      <c r="AA162" s="172"/>
      <c r="AB162" s="174" cm="1">
        <f t="array" ref="AB162">ROUND((K162+7205000*110%/0.75)/A162,-3)</f>
        <v>5151000</v>
      </c>
    </row>
    <row r="163" ht="15.5" customHeight="1">
      <c r="A163" s="166">
        <v>7</v>
      </c>
      <c r="B163" s="167">
        <v>7</v>
      </c>
      <c r="C163" s="94" cm="1">
        <f t="array" ref="C163">_xlfn.IFERROR(C140*110%,"N/A")</f>
        <v>215380</v>
      </c>
      <c r="D163" s="86" cm="1">
        <f t="array" ref="D163">_xlfn.IFERROR(D140*110%,"N/A")</f>
        <v>319000</v>
      </c>
      <c r="E163" s="86" cm="1">
        <f t="array" ref="E163">F163</f>
        <v>16918500</v>
      </c>
      <c r="F163" s="86" cm="1">
        <f t="array" ref="F163">_xlfn.IFERROR(F140*110%,"N/A")-500000</f>
        <v>16918500</v>
      </c>
      <c r="G163" s="86" cm="1">
        <f t="array" ref="G163">_xlfn.IFERROR(ROUND(G140*110%,-4),"N/A")</f>
        <v>2970000</v>
      </c>
      <c r="H163" s="86" cm="1">
        <f t="array" ref="H163">_xlfn.IFERROR(H140*110%,"N/A")</f>
        <v>2918977.67857143</v>
      </c>
      <c r="I163" s="87" cm="1">
        <f t="array" ref="I163">_xlfn.IFERROR(I140*110%,"N/A")</f>
        <v>2918977.67857143</v>
      </c>
      <c r="J163" s="160"/>
      <c r="K163" s="86" cm="1">
        <f t="array" ref="K163">_xlfn.IFERROR(K140*110%,"N/A")</f>
        <v>20761400</v>
      </c>
      <c r="L163" s="86" cm="1">
        <f t="array" ref="L163">_xlfn.IFERROR(L140*110%,"N/A")</f>
        <v>20432843.75</v>
      </c>
      <c r="M163" s="87" cm="1">
        <f t="array" ref="M163">_xlfn.IFERROR(M140*110%,"N/A")</f>
        <v>20432843.75</v>
      </c>
      <c r="N163" s="188"/>
      <c r="O163" s="17"/>
      <c r="P163" s="17"/>
      <c r="Q163" s="17"/>
      <c r="R163" s="17"/>
      <c r="S163" s="17"/>
      <c r="T163" s="17"/>
      <c r="U163" s="17"/>
      <c r="V163" s="17"/>
      <c r="W163" s="17"/>
      <c r="X163" s="17"/>
      <c r="Y163" s="172"/>
      <c r="Z163" s="173" cm="1">
        <f t="array" ref="Z163">ROUND((K163+$F$22*110%/0.75)/A163,-3)</f>
        <v>3138000</v>
      </c>
      <c r="AA163" s="172"/>
      <c r="AB163" s="174" cm="1">
        <f t="array" ref="AB163">ROUND((K163+7205000*110%/0.75)/A163,-3)</f>
        <v>4476000</v>
      </c>
    </row>
    <row r="164" ht="15.5" customHeight="1">
      <c r="A164" s="166">
        <v>8</v>
      </c>
      <c r="B164" s="167">
        <v>8</v>
      </c>
      <c r="C164" s="94" cm="1">
        <f t="array" ref="C164">_xlfn.IFERROR(C141*110%,"N/A")</f>
        <v>1424060</v>
      </c>
      <c r="D164" s="86" cm="1">
        <f t="array" ref="D164">_xlfn.IFERROR(D141*110%,"N/A")</f>
        <v>1527900</v>
      </c>
      <c r="E164" s="86" cm="1">
        <f t="array" ref="E164">F164</f>
        <v>18446400</v>
      </c>
      <c r="F164" s="86" cm="1">
        <f t="array" ref="F164">_xlfn.IFERROR(F141*110%,"N/A")-500000</f>
        <v>18446400</v>
      </c>
      <c r="G164" s="86" cm="1">
        <f t="array" ref="G164">_xlfn.IFERROR(ROUND(G141*110%,-4),"N/A")</f>
        <v>2850000</v>
      </c>
      <c r="H164" s="86" cm="1">
        <f t="array" ref="H164">_xlfn.IFERROR(H141*110%,"N/A")</f>
        <v>2792839.84375</v>
      </c>
      <c r="I164" s="87" cm="1">
        <f t="array" ref="I164">_xlfn.IFERROR(I141*110%,"N/A")</f>
        <v>2792839.84375</v>
      </c>
      <c r="J164" s="160"/>
      <c r="K164" s="86" cm="1">
        <f t="array" ref="K164">_xlfn.IFERROR(K141*110%,"N/A")</f>
        <v>22798600</v>
      </c>
      <c r="L164" s="86" cm="1">
        <f t="array" ref="L164">_xlfn.IFERROR(L141*110%,"N/A")</f>
        <v>22342718.75</v>
      </c>
      <c r="M164" s="87" cm="1">
        <f t="array" ref="M164">_xlfn.IFERROR(M141*110%,"N/A")</f>
        <v>22342718.75</v>
      </c>
      <c r="N164" s="188"/>
      <c r="O164" s="17"/>
      <c r="P164" s="17"/>
      <c r="Q164" s="17"/>
      <c r="R164" s="17"/>
      <c r="S164" s="17"/>
      <c r="T164" s="17"/>
      <c r="U164" s="17"/>
      <c r="V164" s="17"/>
      <c r="W164" s="17"/>
      <c r="X164" s="17"/>
      <c r="Y164" s="172"/>
      <c r="Z164" s="173" cm="1">
        <f t="array" ref="Z164">ROUND((K164+$F$22*110%/0.75)/A164,-3)</f>
        <v>3000000</v>
      </c>
      <c r="AA164" s="172"/>
      <c r="AB164" s="174" cm="1">
        <f t="array" ref="AB164">ROUND((K164+7205000*110%/0.75)/A164,-3)</f>
        <v>4171000</v>
      </c>
    </row>
    <row r="165" ht="15.5" customHeight="1">
      <c r="A165" s="166">
        <v>9</v>
      </c>
      <c r="B165" s="167">
        <v>9</v>
      </c>
      <c r="C165" s="94" cm="1">
        <f t="array" ref="C165">_xlfn.IFERROR(C142*110%,"N/A")</f>
        <v>215380</v>
      </c>
      <c r="D165" s="86" cm="1">
        <f t="array" ref="D165">_xlfn.IFERROR(D142*110%,"N/A")</f>
        <v>319000</v>
      </c>
      <c r="E165" s="86" cm="1">
        <f t="array" ref="E165">F165</f>
        <v>18765400</v>
      </c>
      <c r="F165" s="86" cm="1">
        <f t="array" ref="F165">_xlfn.IFERROR(F142*110%,"N/A")-500000</f>
        <v>18765400</v>
      </c>
      <c r="G165" s="86" cm="1">
        <f t="array" ref="G165">_xlfn.IFERROR(ROUND(G142*110%,-4),"N/A")</f>
        <v>2590000</v>
      </c>
      <c r="H165" s="86" cm="1">
        <f t="array" ref="H165">_xlfn.IFERROR(H142*110%,"N/A")</f>
        <v>2526829.86111112</v>
      </c>
      <c r="I165" s="87" cm="1">
        <f t="array" ref="I165">_xlfn.IFERROR(I142*110%,"N/A")</f>
        <v>2526829.86111112</v>
      </c>
      <c r="J165" s="160"/>
      <c r="K165" s="86" cm="1">
        <f t="array" ref="K165">_xlfn.IFERROR(K142*110%,"N/A")</f>
        <v>23223933.3333334</v>
      </c>
      <c r="L165" s="86" cm="1">
        <f t="array" ref="L165">_xlfn.IFERROR(L142*110%,"N/A")</f>
        <v>22741468.75</v>
      </c>
      <c r="M165" s="87" cm="1">
        <f t="array" ref="M165">_xlfn.IFERROR(M142*110%,"N/A")</f>
        <v>22741468.75</v>
      </c>
      <c r="N165" s="188"/>
      <c r="O165" s="17"/>
      <c r="P165" s="17"/>
      <c r="Q165" s="17"/>
      <c r="R165" s="17"/>
      <c r="S165" s="17"/>
      <c r="T165" s="17"/>
      <c r="U165" s="17"/>
      <c r="V165" s="17"/>
      <c r="W165" s="17"/>
      <c r="X165" s="17"/>
      <c r="Y165" s="172"/>
      <c r="Z165" s="173" cm="1">
        <f t="array" ref="Z165">ROUND((K165+$F$22*110%/0.75)/A165,-3)</f>
        <v>2714000</v>
      </c>
      <c r="AA165" s="172"/>
      <c r="AB165" s="174" cm="1">
        <f t="array" ref="AB165">ROUND((K165+7205000*110%/0.75)/A165,-3)</f>
        <v>3755000</v>
      </c>
    </row>
    <row r="166" ht="15.5" customHeight="1">
      <c r="A166" s="166">
        <v>10</v>
      </c>
      <c r="B166" s="167">
        <v>10</v>
      </c>
      <c r="C166" s="94" cm="1">
        <f t="array" ref="C166">_xlfn.IFERROR(C143*110%,"N/A")</f>
        <v>215380</v>
      </c>
      <c r="D166" s="86" cm="1">
        <f t="array" ref="D166">_xlfn.IFERROR(D143*110%,"N/A")</f>
        <v>319000</v>
      </c>
      <c r="E166" s="86" cm="1">
        <f t="array" ref="E166">F166</f>
        <v>19084400</v>
      </c>
      <c r="F166" s="86" cm="1">
        <f t="array" ref="F166">_xlfn.IFERROR(F143*110%,"N/A")-500000</f>
        <v>19084400</v>
      </c>
      <c r="G166" s="86" cm="1">
        <f t="array" ref="G166">_xlfn.IFERROR(ROUND(G143*110%,-4),"N/A")</f>
        <v>2370000</v>
      </c>
      <c r="H166" s="86" cm="1">
        <f t="array" ref="H166">_xlfn.IFERROR(H143*110%,"N/A")</f>
        <v>2314021.875</v>
      </c>
      <c r="I166" s="87" cm="1">
        <f t="array" ref="I166">_xlfn.IFERROR(I143*110%,"N/A")</f>
        <v>2314021.875</v>
      </c>
      <c r="J166" s="160"/>
      <c r="K166" s="86" cm="1">
        <f t="array" ref="K166">_xlfn.IFERROR(K143*110%,"N/A")</f>
        <v>23649266.6666666</v>
      </c>
      <c r="L166" s="86" cm="1">
        <f t="array" ref="L166">_xlfn.IFERROR(L143*110%,"N/A")</f>
        <v>23140218.75</v>
      </c>
      <c r="M166" s="87" cm="1">
        <f t="array" ref="M166">_xlfn.IFERROR(M143*110%,"N/A")</f>
        <v>23140218.75</v>
      </c>
      <c r="N166" s="188"/>
      <c r="O166" s="17"/>
      <c r="P166" s="17"/>
      <c r="Q166" s="17"/>
      <c r="R166" s="17"/>
      <c r="S166" s="17"/>
      <c r="T166" s="17"/>
      <c r="U166" s="17"/>
      <c r="V166" s="17"/>
      <c r="W166" s="17"/>
      <c r="X166" s="17"/>
      <c r="Y166" s="172"/>
      <c r="Z166" s="173" cm="1">
        <f t="array" ref="Z166">ROUND((K166+$F$22*110%/0.75)/A166,-3)</f>
        <v>2485000</v>
      </c>
      <c r="AA166" s="172"/>
      <c r="AB166" s="174" cm="1">
        <f t="array" ref="AB166">ROUND((K166+7205000*110%/0.75)/A166,-3)</f>
        <v>3422000</v>
      </c>
    </row>
    <row r="167" ht="15.5" customHeight="1">
      <c r="A167" s="166">
        <v>11</v>
      </c>
      <c r="B167" s="167">
        <v>11</v>
      </c>
      <c r="C167" s="94" cm="1">
        <f t="array" ref="C167">_xlfn.IFERROR(C144*110%,"N/A")</f>
        <v>215380</v>
      </c>
      <c r="D167" s="86" cm="1">
        <f t="array" ref="D167">_xlfn.IFERROR(D144*110%,"N/A")</f>
        <v>319000</v>
      </c>
      <c r="E167" s="86" cm="1">
        <f t="array" ref="E167">F167</f>
        <v>20393400</v>
      </c>
      <c r="F167" s="86" cm="1">
        <f t="array" ref="F167">_xlfn.IFERROR(F144*110%,"N/A")-500000</f>
        <v>20393400</v>
      </c>
      <c r="G167" s="86" cm="1">
        <f t="array" ref="G167">_xlfn.IFERROR(ROUND(G144*110%,-4),"N/A")</f>
        <v>2280000</v>
      </c>
      <c r="H167" s="86" cm="1">
        <f t="array" ref="H167">_xlfn.IFERROR(H144*110%,"N/A")</f>
        <v>2229906.25</v>
      </c>
      <c r="I167" s="87" cm="1">
        <f t="array" ref="I167">_xlfn.IFERROR(I144*110%,"N/A")</f>
        <v>2229906.25</v>
      </c>
      <c r="J167" s="160"/>
      <c r="K167" s="86" cm="1">
        <f t="array" ref="K167">_xlfn.IFERROR(K144*110%,"N/A")</f>
        <v>25064600</v>
      </c>
      <c r="L167" s="86" cm="1">
        <f t="array" ref="L167">_xlfn.IFERROR(L144*110%,"N/A")</f>
        <v>24528968.75</v>
      </c>
      <c r="M167" s="87" cm="1">
        <f t="array" ref="M167">_xlfn.IFERROR(M144*110%,"N/A")</f>
        <v>24528968.75</v>
      </c>
      <c r="N167" s="188"/>
      <c r="O167" s="17"/>
      <c r="P167" s="17"/>
      <c r="Q167" s="17"/>
      <c r="R167" s="17"/>
      <c r="S167" s="17"/>
      <c r="T167" s="17"/>
      <c r="U167" s="17"/>
      <c r="V167" s="17"/>
      <c r="W167" s="17"/>
      <c r="X167" s="17"/>
      <c r="Y167" s="172"/>
      <c r="Z167" s="173" cm="1">
        <f t="array" ref="Z167">ROUND((K167+$F$22*110%/0.75)/A167,-3)</f>
        <v>2388000</v>
      </c>
      <c r="AA167" s="172"/>
      <c r="AB167" s="174" cm="1">
        <f t="array" ref="AB167">ROUND((K167+7205000*110%/0.75)/A167,-3)</f>
        <v>3239000</v>
      </c>
    </row>
    <row r="168" ht="15.5" customHeight="1">
      <c r="A168" s="166">
        <v>12</v>
      </c>
      <c r="B168" s="167">
        <v>12</v>
      </c>
      <c r="C168" s="94" cm="1">
        <f t="array" ref="C168">_xlfn.IFERROR(C145*110%,"N/A")</f>
        <v>215380</v>
      </c>
      <c r="D168" s="86" cm="1">
        <f t="array" ref="D168">_xlfn.IFERROR(D145*110%,"N/A")</f>
        <v>319000</v>
      </c>
      <c r="E168" s="86" cm="1">
        <f t="array" ref="E168">F168</f>
        <v>20712400</v>
      </c>
      <c r="F168" s="86" cm="1">
        <f t="array" ref="F168">_xlfn.IFERROR(F145*110%,"N/A")-500000</f>
        <v>20712400</v>
      </c>
      <c r="G168" s="86" cm="1">
        <f t="array" ref="G168">_xlfn.IFERROR(ROUND(G145*110%,-4),"N/A")</f>
        <v>2120000</v>
      </c>
      <c r="H168" s="86" cm="1">
        <f t="array" ref="H168">_xlfn.IFERROR(H145*110%,"N/A")</f>
        <v>2077309.89583334</v>
      </c>
      <c r="I168" s="87" cm="1">
        <f t="array" ref="I168">_xlfn.IFERROR(I145*110%,"N/A")</f>
        <v>2077309.89583334</v>
      </c>
      <c r="J168" s="160"/>
      <c r="K168" s="86" cm="1">
        <f t="array" ref="K168">_xlfn.IFERROR(K145*110%,"N/A")</f>
        <v>25489933.3333334</v>
      </c>
      <c r="L168" s="86" cm="1">
        <f t="array" ref="L168">_xlfn.IFERROR(L145*110%,"N/A")</f>
        <v>24927718.75</v>
      </c>
      <c r="M168" s="87" cm="1">
        <f t="array" ref="M168">_xlfn.IFERROR(M145*110%,"N/A")</f>
        <v>24927718.75</v>
      </c>
      <c r="N168" s="188"/>
      <c r="O168" s="17"/>
      <c r="P168" s="17"/>
      <c r="Q168" s="17"/>
      <c r="R168" s="17"/>
      <c r="S168" s="17"/>
      <c r="T168" s="17"/>
      <c r="U168" s="17"/>
      <c r="V168" s="17"/>
      <c r="W168" s="17"/>
      <c r="X168" s="17"/>
      <c r="Y168" s="172"/>
      <c r="Z168" s="173" cm="1">
        <f t="array" ref="Z168">ROUND((K168+$F$22*110%/0.75)/A168,-3)</f>
        <v>2224000</v>
      </c>
      <c r="AA168" s="172"/>
      <c r="AB168" s="174" cm="1">
        <f t="array" ref="AB168">ROUND((K168+7205000*110%/0.75)/A168,-3)</f>
        <v>3005000</v>
      </c>
    </row>
    <row r="169" ht="15.5" customHeight="1">
      <c r="A169" s="166">
        <v>13</v>
      </c>
      <c r="B169" s="167">
        <v>13</v>
      </c>
      <c r="C169" s="94" cm="1">
        <f t="array" ref="C169">_xlfn.IFERROR(C146*110%,"N/A")</f>
        <v>215380</v>
      </c>
      <c r="D169" s="86" cm="1">
        <f t="array" ref="D169">_xlfn.IFERROR(D146*110%,"N/A")</f>
        <v>319000</v>
      </c>
      <c r="E169" s="86" cm="1">
        <f t="array" ref="E169">F169</f>
        <v>21031400</v>
      </c>
      <c r="F169" s="86" cm="1">
        <f t="array" ref="F169">_xlfn.IFERROR(F146*110%,"N/A")-500000</f>
        <v>21031400</v>
      </c>
      <c r="G169" s="86" cm="1">
        <f t="array" ref="G169">_xlfn.IFERROR(ROUND(G146*110%,-4),"N/A")</f>
        <v>1990000</v>
      </c>
      <c r="H169" s="86" cm="1">
        <f t="array" ref="H169">_xlfn.IFERROR(H146*110%,"N/A")</f>
        <v>1948189.90384615</v>
      </c>
      <c r="I169" s="87" cm="1">
        <f t="array" ref="I169">_xlfn.IFERROR(I146*110%,"N/A")</f>
        <v>1948189.90384615</v>
      </c>
      <c r="J169" s="160"/>
      <c r="K169" s="86" cm="1">
        <f t="array" ref="K169">_xlfn.IFERROR(K146*110%,"N/A")</f>
        <v>25915266.6666666</v>
      </c>
      <c r="L169" s="86" cm="1">
        <f t="array" ref="L169">_xlfn.IFERROR(L146*110%,"N/A")</f>
        <v>25326468.75</v>
      </c>
      <c r="M169" s="87" cm="1">
        <f t="array" ref="M169">_xlfn.IFERROR(M146*110%,"N/A")</f>
        <v>25326468.75</v>
      </c>
      <c r="N169" s="188"/>
      <c r="O169" s="17"/>
      <c r="P169" s="17"/>
      <c r="Q169" s="17"/>
      <c r="R169" s="17"/>
      <c r="S169" s="17"/>
      <c r="T169" s="17"/>
      <c r="U169" s="17"/>
      <c r="V169" s="17"/>
      <c r="W169" s="17"/>
      <c r="X169" s="17"/>
      <c r="Y169" s="172"/>
      <c r="Z169" s="173" cm="1">
        <f t="array" ref="Z169">ROUND((K169+$F$22*110%/0.75)/A169,-3)</f>
        <v>2086000</v>
      </c>
      <c r="AA169" s="172"/>
      <c r="AB169" s="174" cm="1">
        <f t="array" ref="AB169">ROUND((K169+7205000*110%/0.75)/A169,-3)</f>
        <v>2806000</v>
      </c>
    </row>
    <row r="170" ht="15.5" customHeight="1">
      <c r="A170" s="166">
        <v>14</v>
      </c>
      <c r="B170" s="167">
        <v>14</v>
      </c>
      <c r="C170" s="94" cm="1">
        <f t="array" ref="C170">_xlfn.IFERROR(C147*110%,"N/A")</f>
        <v>215380</v>
      </c>
      <c r="D170" s="86" cm="1">
        <f t="array" ref="D170">_xlfn.IFERROR(D147*110%,"N/A")</f>
        <v>319000</v>
      </c>
      <c r="E170" s="86" cm="1">
        <f t="array" ref="E170">F170</f>
        <v>21350400</v>
      </c>
      <c r="F170" s="86" cm="1">
        <f t="array" ref="F170">_xlfn.IFERROR(F147*110%,"N/A")-500000</f>
        <v>21350400</v>
      </c>
      <c r="G170" s="86" cm="1">
        <f t="array" ref="G170">_xlfn.IFERROR(ROUND(G147*110%,-4),"N/A")</f>
        <v>1880000</v>
      </c>
      <c r="H170" s="86" cm="1">
        <f t="array" ref="H170">_xlfn.IFERROR(H147*110%,"N/A")</f>
        <v>1837515.625</v>
      </c>
      <c r="I170" s="87" cm="1">
        <f t="array" ref="I170">_xlfn.IFERROR(I147*110%,"N/A")</f>
        <v>1837515.625</v>
      </c>
      <c r="J170" s="160"/>
      <c r="K170" s="86" cm="1">
        <f t="array" ref="K170">_xlfn.IFERROR(K147*110%,"N/A")</f>
        <v>26340600</v>
      </c>
      <c r="L170" s="86" cm="1">
        <f t="array" ref="L170">_xlfn.IFERROR(L147*110%,"N/A")</f>
        <v>25725218.75</v>
      </c>
      <c r="M170" s="87" cm="1">
        <f t="array" ref="M170">_xlfn.IFERROR(M147*110%,"N/A")</f>
        <v>25725218.75</v>
      </c>
      <c r="N170" s="188"/>
      <c r="O170" s="17"/>
      <c r="P170" s="17"/>
      <c r="Q170" s="17"/>
      <c r="R170" s="17"/>
      <c r="S170" s="17"/>
      <c r="T170" s="17"/>
      <c r="U170" s="17"/>
      <c r="V170" s="17"/>
      <c r="W170" s="17"/>
      <c r="X170" s="17"/>
      <c r="Y170" s="172"/>
      <c r="Z170" s="173" cm="1">
        <f t="array" ref="Z170">ROUND((K170+$F$22*110%/0.75)/A170,-3)</f>
        <v>1967000</v>
      </c>
      <c r="AA170" s="172"/>
      <c r="AB170" s="174" cm="1">
        <f t="array" ref="AB170">ROUND((K170+7205000*110%/0.75)/A170,-3)</f>
        <v>2636000</v>
      </c>
    </row>
    <row r="171" ht="15.5" customHeight="1">
      <c r="A171" s="166">
        <v>15</v>
      </c>
      <c r="B171" s="167">
        <v>15</v>
      </c>
      <c r="C171" s="94" cm="1">
        <f t="array" ref="C171">_xlfn.IFERROR(C148*110%,"N/A")</f>
        <v>215380</v>
      </c>
      <c r="D171" s="86" cm="1">
        <f t="array" ref="D171">_xlfn.IFERROR(D148*110%,"N/A")</f>
        <v>319000</v>
      </c>
      <c r="E171" s="86" cm="1">
        <f t="array" ref="E171">F171</f>
        <v>21669400</v>
      </c>
      <c r="F171" s="86" cm="1">
        <f t="array" ref="F171">_xlfn.IFERROR(F148*110%,"N/A")-500000</f>
        <v>21669400</v>
      </c>
      <c r="G171" s="86" cm="1">
        <f t="array" ref="G171">_xlfn.IFERROR(ROUND(G148*110%,-4),"N/A")</f>
        <v>1780000</v>
      </c>
      <c r="H171" s="86" cm="1">
        <f t="array" ref="H171">_xlfn.IFERROR(H148*110%,"N/A")</f>
        <v>1741597.91666666</v>
      </c>
      <c r="I171" s="87" cm="1">
        <f t="array" ref="I171">_xlfn.IFERROR(I148*110%,"N/A")</f>
        <v>1741597.91666666</v>
      </c>
      <c r="J171" s="160"/>
      <c r="K171" s="86" cm="1">
        <f t="array" ref="K171">_xlfn.IFERROR(K148*110%,"N/A")</f>
        <v>26765933.3333334</v>
      </c>
      <c r="L171" s="86" cm="1">
        <f t="array" ref="L171">_xlfn.IFERROR(L148*110%,"N/A")</f>
        <v>26123968.75</v>
      </c>
      <c r="M171" s="87" cm="1">
        <f t="array" ref="M171">_xlfn.IFERROR(M148*110%,"N/A")</f>
        <v>26123968.75</v>
      </c>
      <c r="N171" s="188"/>
      <c r="O171" s="17"/>
      <c r="P171" s="17"/>
      <c r="Q171" s="17"/>
      <c r="R171" s="17"/>
      <c r="S171" s="17"/>
      <c r="T171" s="17"/>
      <c r="U171" s="17"/>
      <c r="V171" s="17"/>
      <c r="W171" s="17"/>
      <c r="X171" s="17"/>
      <c r="Y171" s="172"/>
      <c r="Z171" s="173" cm="1">
        <f t="array" ref="Z171">ROUND((K171+$F$22*110%/0.75)/A171,-3)</f>
        <v>1865000</v>
      </c>
      <c r="AA171" s="172"/>
      <c r="AB171" s="174" cm="1">
        <f t="array" ref="AB171">ROUND((K171+7205000*110%/0.75)/A171,-3)</f>
        <v>2489000</v>
      </c>
    </row>
    <row r="172" ht="15.5" customHeight="1">
      <c r="A172" s="166">
        <v>16</v>
      </c>
      <c r="B172" s="167">
        <v>16</v>
      </c>
      <c r="C172" s="94" cm="1">
        <f t="array" ref="C172">_xlfn.IFERROR(C149*110%,"N/A")</f>
        <v>215380</v>
      </c>
      <c r="D172" s="86" cm="1">
        <f t="array" ref="D172">_xlfn.IFERROR(D149*110%,"N/A")</f>
        <v>1527900</v>
      </c>
      <c r="E172" s="86" cm="1">
        <f t="array" ref="E172">F172</f>
        <v>24187300</v>
      </c>
      <c r="F172" s="86" cm="1">
        <f t="array" ref="F172">_xlfn.IFERROR(F149*110%,"N/A")-500000</f>
        <v>24187300</v>
      </c>
      <c r="G172" s="86" cm="1">
        <f t="array" ref="G172">_xlfn.IFERROR(ROUND(G149*110%,-4),"N/A")</f>
        <v>1860000</v>
      </c>
      <c r="H172" s="86" cm="1">
        <f t="array" ref="H172">_xlfn.IFERROR(H149*110%,"N/A")</f>
        <v>1813990.234375</v>
      </c>
      <c r="I172" s="87" cm="1">
        <f t="array" ref="I172">_xlfn.IFERROR(I149*110%,"N/A")</f>
        <v>1813990.234375</v>
      </c>
      <c r="J172" s="160"/>
      <c r="K172" s="86" cm="1">
        <f t="array" ref="K172">_xlfn.IFERROR(K149*110%,"N/A")</f>
        <v>29793133.3333334</v>
      </c>
      <c r="L172" s="86" cm="1">
        <f t="array" ref="L172">_xlfn.IFERROR(L149*110%,"N/A")</f>
        <v>29023843.75</v>
      </c>
      <c r="M172" s="87" cm="1">
        <f t="array" ref="M172">_xlfn.IFERROR(M149*110%,"N/A")</f>
        <v>29023843.75</v>
      </c>
      <c r="N172" s="188"/>
      <c r="O172" s="17"/>
      <c r="P172" s="17"/>
      <c r="Q172" s="17"/>
      <c r="R172" s="17"/>
      <c r="S172" s="17"/>
      <c r="T172" s="17"/>
      <c r="U172" s="17"/>
      <c r="V172" s="17"/>
      <c r="W172" s="17"/>
      <c r="X172" s="17"/>
      <c r="Y172" s="172"/>
      <c r="Z172" s="173" cm="1">
        <f t="array" ref="Z172">ROUND((K172+$F$22*110%/0.75)/A172,-3)</f>
        <v>1937000</v>
      </c>
      <c r="AA172" s="172"/>
      <c r="AB172" s="174" cm="1">
        <f t="array" ref="AB172">ROUND((K172+7205000*110%/0.75)/A172,-3)</f>
        <v>2523000</v>
      </c>
    </row>
    <row r="173" ht="15.5" customHeight="1">
      <c r="A173" s="166">
        <v>17</v>
      </c>
      <c r="B173" s="167">
        <v>17</v>
      </c>
      <c r="C173" s="94" cm="1">
        <f t="array" ref="C173">_xlfn.IFERROR(C150*110%,"N/A")</f>
        <v>215380</v>
      </c>
      <c r="D173" s="86" cm="1">
        <f t="array" ref="D173">_xlfn.IFERROR(D150*110%,"N/A")</f>
        <v>319000</v>
      </c>
      <c r="E173" s="86" cm="1">
        <f t="array" ref="E173">F173</f>
        <v>24506300</v>
      </c>
      <c r="F173" s="86" cm="1">
        <f t="array" ref="F173">_xlfn.IFERROR(F150*110%,"N/A")-500000</f>
        <v>24506300</v>
      </c>
      <c r="G173" s="86" cm="1">
        <f t="array" ref="G173">_xlfn.IFERROR(ROUND(G150*110%,-4),"N/A")</f>
        <v>1780000</v>
      </c>
      <c r="H173" s="86" cm="1">
        <f t="array" ref="H173">_xlfn.IFERROR(H150*110%,"N/A")</f>
        <v>1730740.80882353</v>
      </c>
      <c r="I173" s="87" cm="1">
        <f t="array" ref="I173">_xlfn.IFERROR(I150*110%,"N/A")</f>
        <v>1730740.80882353</v>
      </c>
      <c r="J173" s="160"/>
      <c r="K173" s="86" cm="1">
        <f t="array" ref="K173">_xlfn.IFERROR(K150*110%,"N/A")</f>
        <v>30218466.6666666</v>
      </c>
      <c r="L173" s="86" cm="1">
        <f t="array" ref="L173">_xlfn.IFERROR(L150*110%,"N/A")</f>
        <v>29422593.75</v>
      </c>
      <c r="M173" s="87" cm="1">
        <f t="array" ref="M173">_xlfn.IFERROR(M150*110%,"N/A")</f>
        <v>29422593.75</v>
      </c>
      <c r="N173" s="188"/>
      <c r="O173" s="17"/>
      <c r="P173" s="17"/>
      <c r="Q173" s="17"/>
      <c r="R173" s="17"/>
      <c r="S173" s="17"/>
      <c r="T173" s="17"/>
      <c r="U173" s="17"/>
      <c r="V173" s="17"/>
      <c r="W173" s="17"/>
      <c r="X173" s="17"/>
      <c r="Y173" s="172"/>
      <c r="Z173" s="173" cm="1">
        <f t="array" ref="Z173">ROUND((K173+$F$22*110%/0.75)/A173,-3)</f>
        <v>1848000</v>
      </c>
      <c r="AA173" s="172"/>
      <c r="AB173" s="174" cm="1">
        <f t="array" ref="AB173">ROUND((K173+7205000*110%/0.75)/A173,-3)</f>
        <v>2399000</v>
      </c>
    </row>
    <row r="174" ht="15.5" customHeight="1">
      <c r="A174" s="166">
        <v>18</v>
      </c>
      <c r="B174" s="167">
        <v>18</v>
      </c>
      <c r="C174" s="94" cm="1">
        <f t="array" ref="C174">_xlfn.IFERROR(C151*110%,"N/A")</f>
        <v>215380</v>
      </c>
      <c r="D174" s="86" cm="1">
        <f t="array" ref="D174">_xlfn.IFERROR(D151*110%,"N/A")</f>
        <v>319000</v>
      </c>
      <c r="E174" s="86" cm="1">
        <f t="array" ref="E174">F174</f>
        <v>24825300</v>
      </c>
      <c r="F174" s="86" cm="1">
        <f t="array" ref="F174">_xlfn.IFERROR(F151*110%,"N/A")-500000</f>
        <v>24825300</v>
      </c>
      <c r="G174" s="86" cm="1">
        <f t="array" ref="G174">_xlfn.IFERROR(ROUND(G151*110%,-4),"N/A")</f>
        <v>1710000</v>
      </c>
      <c r="H174" s="86" cm="1">
        <f t="array" ref="H174">_xlfn.IFERROR(H151*110%,"N/A")</f>
        <v>1656741.31944444</v>
      </c>
      <c r="I174" s="87" cm="1">
        <f t="array" ref="I174">_xlfn.IFERROR(I151*110%,"N/A")</f>
        <v>1656741.31944444</v>
      </c>
      <c r="J174" s="160"/>
      <c r="K174" s="86" cm="1">
        <f t="array" ref="K174">_xlfn.IFERROR(K151*110%,"N/A")</f>
        <v>30643800</v>
      </c>
      <c r="L174" s="86" cm="1">
        <f t="array" ref="L174">_xlfn.IFERROR(L151*110%,"N/A")</f>
        <v>29821343.75</v>
      </c>
      <c r="M174" s="87" cm="1">
        <f t="array" ref="M174">_xlfn.IFERROR(M151*110%,"N/A")</f>
        <v>29821343.75</v>
      </c>
      <c r="N174" s="188"/>
      <c r="O174" s="17"/>
      <c r="P174" s="17"/>
      <c r="Q174" s="17"/>
      <c r="R174" s="17"/>
      <c r="S174" s="17"/>
      <c r="T174" s="17"/>
      <c r="U174" s="17"/>
      <c r="V174" s="17"/>
      <c r="W174" s="17"/>
      <c r="X174" s="17"/>
      <c r="Y174" s="172"/>
      <c r="Z174" s="173" cm="1">
        <f t="array" ref="Z174">ROUND((K174+$F$22*110%/0.75)/A174,-3)</f>
        <v>1769000</v>
      </c>
      <c r="AA174" s="172"/>
      <c r="AB174" s="174" cm="1">
        <f t="array" ref="AB174">ROUND((K174+7205000*110%/0.75)/A174,-3)</f>
        <v>2290000</v>
      </c>
    </row>
    <row r="175" ht="15.5" customHeight="1">
      <c r="A175" s="166">
        <v>19</v>
      </c>
      <c r="B175" s="167">
        <v>19</v>
      </c>
      <c r="C175" s="94" cm="1">
        <f t="array" ref="C175">_xlfn.IFERROR(C152*110%,"N/A")</f>
        <v>215380</v>
      </c>
      <c r="D175" s="86" cm="1">
        <f t="array" ref="D175">_xlfn.IFERROR(D152*110%,"N/A")</f>
        <v>319000</v>
      </c>
      <c r="E175" s="86" cm="1">
        <f t="array" ref="E175">F175</f>
        <v>25144300</v>
      </c>
      <c r="F175" s="86" cm="1">
        <f t="array" ref="F175">_xlfn.IFERROR(F152*110%,"N/A")-500000</f>
        <v>25144300</v>
      </c>
      <c r="G175" s="86" cm="1">
        <f t="array" ref="G175">_xlfn.IFERROR(ROUND(G152*110%,-4),"N/A")</f>
        <v>1640000</v>
      </c>
      <c r="H175" s="86" cm="1">
        <f t="array" ref="H175">_xlfn.IFERROR(H152*110%,"N/A")</f>
        <v>1590531.25</v>
      </c>
      <c r="I175" s="87" cm="1">
        <f t="array" ref="I175">_xlfn.IFERROR(I152*110%,"N/A")</f>
        <v>1590531.25</v>
      </c>
      <c r="J175" s="160"/>
      <c r="K175" s="86" cm="1">
        <f t="array" ref="K175">_xlfn.IFERROR(K152*110%,"N/A")</f>
        <v>31069133.3333334</v>
      </c>
      <c r="L175" s="86" cm="1">
        <f t="array" ref="L175">_xlfn.IFERROR(L152*110%,"N/A")</f>
        <v>30220093.75</v>
      </c>
      <c r="M175" s="87" cm="1">
        <f t="array" ref="M175">_xlfn.IFERROR(M152*110%,"N/A")</f>
        <v>30220093.75</v>
      </c>
      <c r="N175" s="188"/>
      <c r="O175" s="17"/>
      <c r="P175" s="17"/>
      <c r="Q175" s="17"/>
      <c r="R175" s="17"/>
      <c r="S175" s="17"/>
      <c r="T175" s="17"/>
      <c r="U175" s="17"/>
      <c r="V175" s="17"/>
      <c r="W175" s="17"/>
      <c r="X175" s="17"/>
      <c r="Y175" s="172"/>
      <c r="Z175" s="173" cm="1">
        <f t="array" ref="Z175">ROUND((K175+$F$22*110%/0.75)/A175,-3)</f>
        <v>1699000</v>
      </c>
      <c r="AA175" s="172"/>
      <c r="AB175" s="174" cm="1">
        <f t="array" ref="AB175">ROUND((K175+7205000*110%/0.75)/A175,-3)</f>
        <v>2191000</v>
      </c>
    </row>
    <row r="176" ht="15.5" customHeight="1">
      <c r="A176" s="166">
        <v>20</v>
      </c>
      <c r="B176" t="s" s="136">
        <v>152</v>
      </c>
      <c r="C176" s="113" cm="1">
        <f t="array" ref="C176">_xlfn.IFERROR(C153*110%,"N/A")</f>
        <v>215380</v>
      </c>
      <c r="D176" s="114" cm="1">
        <f t="array" ref="D176">_xlfn.IFERROR(D153*110%,"N/A")</f>
        <v>319000</v>
      </c>
      <c r="E176" s="114" cm="1">
        <f t="array" ref="E176">F176</f>
        <v>25463300</v>
      </c>
      <c r="F176" s="114" cm="1">
        <f t="array" ref="F176">_xlfn.IFERROR(F153*110%,"N/A")-500000</f>
        <v>25463300</v>
      </c>
      <c r="G176" s="114" cm="1">
        <f t="array" ref="G176">_xlfn.IFERROR(ROUND(G153*110%,-4),"N/A")</f>
        <v>1570000</v>
      </c>
      <c r="H176" s="114" cm="1">
        <f t="array" ref="H176">_xlfn.IFERROR(H153*110%,"N/A")</f>
        <v>1530942.1875</v>
      </c>
      <c r="I176" s="115" cm="1">
        <f t="array" ref="I176">_xlfn.IFERROR(I153*110%,"N/A")</f>
        <v>1530942.1875</v>
      </c>
      <c r="J176" s="160"/>
      <c r="K176" s="114" cm="1">
        <f t="array" ref="K176">_xlfn.IFERROR(K153*110%,"N/A")</f>
        <v>31494466.6666666</v>
      </c>
      <c r="L176" s="114" cm="1">
        <f t="array" ref="L176">_xlfn.IFERROR(L153*110%,"N/A")</f>
        <v>30618843.75</v>
      </c>
      <c r="M176" s="115" cm="1">
        <f t="array" ref="M176">_xlfn.IFERROR(M153*110%,"N/A")</f>
        <v>30618843.75</v>
      </c>
      <c r="N176" s="188"/>
      <c r="O176" s="17"/>
      <c r="P176" s="17"/>
      <c r="Q176" s="17"/>
      <c r="R176" s="17"/>
      <c r="S176" s="17"/>
      <c r="T176" s="17"/>
      <c r="U176" s="17"/>
      <c r="V176" s="17"/>
      <c r="W176" s="17"/>
      <c r="X176" s="17"/>
      <c r="Y176" s="172"/>
      <c r="Z176" s="173" cm="1">
        <f t="array" ref="Z176">ROUND((K176+$F$22*110%/0.75)/A176,-3)</f>
        <v>1635000</v>
      </c>
      <c r="AA176" s="172"/>
      <c r="AB176" s="174" cm="1">
        <f t="array" ref="AB176">ROUND((K176+7205000*110%/0.75)/A176,-3)</f>
        <v>2103000</v>
      </c>
    </row>
    <row r="177" ht="15" customHeight="1">
      <c r="A177" s="32"/>
      <c r="B177" s="124"/>
      <c r="C177" s="124"/>
      <c r="D177" s="124"/>
      <c r="E177" s="124"/>
      <c r="F177" s="124"/>
      <c r="G177" s="124"/>
      <c r="H177" s="124"/>
      <c r="I177" s="124"/>
      <c r="J177" s="17"/>
      <c r="K177" s="124"/>
      <c r="L177" s="124"/>
      <c r="M177" s="124"/>
      <c r="N177" s="17"/>
      <c r="O177" s="17"/>
      <c r="P177" s="17"/>
      <c r="Q177" s="17"/>
      <c r="R177" s="17"/>
      <c r="S177" s="17"/>
      <c r="T177" s="17"/>
      <c r="U177" s="17"/>
      <c r="V177" s="17"/>
      <c r="W177" s="17"/>
      <c r="X177" s="17"/>
      <c r="Y177" s="17"/>
      <c r="Z177" s="185"/>
      <c r="AA177" s="17"/>
      <c r="AB177" s="178"/>
    </row>
    <row r="178" ht="13.55" customHeight="1">
      <c r="A178" s="32"/>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8"/>
    </row>
    <row r="179" ht="13.55" customHeight="1">
      <c r="A179" s="32"/>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8"/>
    </row>
    <row r="180" ht="13.55" customHeight="1">
      <c r="A180" s="32"/>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8"/>
    </row>
    <row r="181" ht="13.55" customHeight="1">
      <c r="A181" s="32"/>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8"/>
    </row>
    <row r="182" ht="13.55" customHeight="1">
      <c r="A182" s="32"/>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8"/>
    </row>
    <row r="183" ht="13.55" customHeight="1">
      <c r="A183" s="32"/>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8"/>
    </row>
    <row r="184" ht="13.55" customHeight="1">
      <c r="A184" s="32"/>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8"/>
    </row>
    <row r="185" ht="13.55" customHeight="1">
      <c r="A185" s="32"/>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8"/>
    </row>
    <row r="186" ht="16" customHeight="1">
      <c r="A186" s="192"/>
      <c r="B186" s="193"/>
      <c r="C186" s="193"/>
      <c r="D186" s="193"/>
      <c r="E186" s="194"/>
      <c r="F186" s="193"/>
      <c r="G186" s="193"/>
      <c r="H186" s="193"/>
      <c r="I186" s="193"/>
      <c r="J186" s="193"/>
      <c r="K186" s="193"/>
      <c r="L186" s="193"/>
      <c r="M186" s="193"/>
      <c r="N186" s="193"/>
      <c r="O186" s="193"/>
      <c r="P186" s="193"/>
      <c r="Q186" s="193"/>
      <c r="R186" s="193"/>
      <c r="S186" s="193"/>
      <c r="T186" s="193"/>
      <c r="U186" s="193"/>
      <c r="V186" s="193"/>
      <c r="W186" s="193"/>
      <c r="X186" s="193"/>
      <c r="Y186" s="193"/>
      <c r="Z186" s="193"/>
      <c r="AA186" s="193"/>
      <c r="AB186" s="195"/>
    </row>
  </sheetData>
  <mergeCells count="18">
    <mergeCell ref="G86:I86"/>
    <mergeCell ref="K86:M86"/>
    <mergeCell ref="G132:I132"/>
    <mergeCell ref="K132:M132"/>
    <mergeCell ref="B9:C9"/>
    <mergeCell ref="G109:I109"/>
    <mergeCell ref="K109:M109"/>
    <mergeCell ref="B83:C83"/>
    <mergeCell ref="B84:C84"/>
    <mergeCell ref="B86:F86"/>
    <mergeCell ref="B109:F109"/>
    <mergeCell ref="B13:C13"/>
    <mergeCell ref="O87:P87"/>
    <mergeCell ref="R87:S87"/>
    <mergeCell ref="B155:F155"/>
    <mergeCell ref="B132:F132"/>
    <mergeCell ref="G155:I155"/>
    <mergeCell ref="K155:M155"/>
  </mergeCells>
  <conditionalFormatting sqref="G17 G20:G36 G39:G41 G43:G45 G47 G52:G54 G57 G60 G62:G71 G73:G76">
    <cfRule type="cellIs" dxfId="0" priority="1" operator="equal" stopIfTrue="1">
      <formula>"not listed"</formula>
    </cfRule>
    <cfRule type="cellIs" dxfId="1" priority="2" operator="lessThan" stopIfTrue="1">
      <formula>0</formula>
    </cfRule>
    <cfRule type="cellIs" dxfId="2" priority="3" operator="greaterThan" stopIfTrue="1">
      <formula>0</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349"/>
  <sheetViews>
    <sheetView workbookViewId="0" showGridLines="0" defaultGridColor="1"/>
  </sheetViews>
  <sheetFormatPr defaultColWidth="8.83333" defaultRowHeight="12.5" customHeight="1" outlineLevelRow="0" outlineLevelCol="0"/>
  <cols>
    <col min="1" max="1" width="3.85156" style="196" customWidth="1"/>
    <col min="2" max="2" width="39.1719" style="196" customWidth="1"/>
    <col min="3" max="3" width="18.5" style="196" customWidth="1"/>
    <col min="4" max="4" width="8.17188" style="196" customWidth="1"/>
    <col min="5" max="5" width="2.17188" style="196" customWidth="1"/>
    <col min="6" max="6" width="8.85156" style="196" customWidth="1"/>
    <col min="7" max="7" width="14.3516" style="196" customWidth="1"/>
    <col min="8" max="8" width="18.8516" style="196" customWidth="1"/>
    <col min="9" max="11" width="8.85156" style="196" customWidth="1"/>
    <col min="12" max="16384" width="8.85156" style="196" customWidth="1"/>
  </cols>
  <sheetData>
    <row r="1" ht="13" customHeight="1">
      <c r="A1" s="7"/>
      <c r="B1" s="8"/>
      <c r="C1" s="8"/>
      <c r="D1" s="8"/>
      <c r="E1" s="8"/>
      <c r="F1" s="8"/>
      <c r="G1" s="9"/>
      <c r="H1" s="9"/>
      <c r="I1" s="9"/>
      <c r="J1" s="9"/>
      <c r="K1" s="11"/>
    </row>
    <row r="2" ht="26.5" customHeight="1">
      <c r="A2" s="12"/>
      <c r="B2" t="s" s="197">
        <v>159</v>
      </c>
      <c r="C2" t="s" s="198">
        <v>160</v>
      </c>
      <c r="D2" t="s" s="199">
        <v>161</v>
      </c>
      <c r="E2" s="200"/>
      <c r="F2" t="s" s="201">
        <v>162</v>
      </c>
      <c r="G2" s="16"/>
      <c r="H2" s="17"/>
      <c r="I2" s="17"/>
      <c r="J2" s="17"/>
      <c r="K2" s="18"/>
    </row>
    <row r="3" ht="13" customHeight="1">
      <c r="A3" s="12"/>
      <c r="B3" s="202"/>
      <c r="C3" s="203"/>
      <c r="D3" s="204"/>
      <c r="E3" s="203"/>
      <c r="F3" s="205"/>
      <c r="G3" s="16"/>
      <c r="H3" s="17"/>
      <c r="I3" s="17"/>
      <c r="J3" s="17"/>
      <c r="K3" s="18"/>
    </row>
    <row r="4" ht="13" customHeight="1">
      <c r="A4" s="12"/>
      <c r="B4" t="s" s="206">
        <v>163</v>
      </c>
      <c r="C4" s="207" cm="1">
        <f t="array" ref="C4">SUM(C24,C80,C93,C108,C117,C119,C121,C144)</f>
        <v>94173590837.55769</v>
      </c>
      <c r="D4" s="208"/>
      <c r="E4" s="207"/>
      <c r="F4" s="209"/>
      <c r="G4" s="16"/>
      <c r="H4" s="210"/>
      <c r="I4" s="17"/>
      <c r="J4" s="17"/>
      <c r="K4" s="18"/>
    </row>
    <row r="5" ht="13" customHeight="1">
      <c r="A5" s="12"/>
      <c r="B5" s="202"/>
      <c r="C5" s="203"/>
      <c r="D5" s="204"/>
      <c r="E5" s="203"/>
      <c r="F5" s="205"/>
      <c r="G5" s="16"/>
      <c r="H5" s="17"/>
      <c r="I5" s="17"/>
      <c r="J5" s="17"/>
      <c r="K5" s="18"/>
    </row>
    <row r="6" ht="14" customHeight="1">
      <c r="A6" s="12"/>
      <c r="B6" t="s" s="211">
        <v>164</v>
      </c>
      <c r="C6" s="212" cm="1">
        <f t="array" ref="C6">F6*'RECOMMENDED PRICES'!$M$93</f>
        <v>25637952.6031016</v>
      </c>
      <c r="D6" s="208" cm="1">
        <f t="array" ref="D6">F6/$F$24</f>
        <v>0.000662947236555068</v>
      </c>
      <c r="E6" s="212"/>
      <c r="F6" s="213" cm="1">
        <f t="array" ref="F6">$F$24*'Actual Sales 2025'!D7</f>
        <v>1.56206942613288</v>
      </c>
      <c r="G6" s="16"/>
      <c r="H6" s="214"/>
      <c r="I6" s="215"/>
      <c r="J6" s="17"/>
      <c r="K6" s="18"/>
    </row>
    <row r="7" ht="14" customHeight="1">
      <c r="A7" s="12"/>
      <c r="B7" t="s" s="216">
        <v>165</v>
      </c>
      <c r="C7" s="217" cm="1">
        <f t="array" ref="C7">-C6*20%</f>
        <v>-5127590.52062032</v>
      </c>
      <c r="D7" s="208"/>
      <c r="E7" s="212"/>
      <c r="F7" s="213"/>
      <c r="G7" s="16"/>
      <c r="H7" s="214"/>
      <c r="I7" s="215"/>
      <c r="J7" s="17"/>
      <c r="K7" s="18"/>
    </row>
    <row r="8" ht="14" customHeight="1">
      <c r="A8" s="12"/>
      <c r="B8" t="s" s="211">
        <v>166</v>
      </c>
      <c r="C8" s="212" cm="1">
        <f t="array" ref="C8">F8*'RECOMMENDED PRICES'!$E$93</f>
        <v>9640449.173907589</v>
      </c>
      <c r="D8" s="208" cm="1">
        <f t="array" ref="D8">F8/$F$24</f>
        <v>0.000297667320129956</v>
      </c>
      <c r="E8" s="212"/>
      <c r="F8" s="213" cm="1">
        <f t="array" ref="F8">$F$24*'Actual Sales 2025'!D8</f>
        <v>0.701378623056209</v>
      </c>
      <c r="G8" s="16"/>
      <c r="H8" s="214"/>
      <c r="I8" s="215"/>
      <c r="J8" s="17"/>
      <c r="K8" s="18"/>
    </row>
    <row r="9" ht="14" customHeight="1">
      <c r="A9" s="12"/>
      <c r="B9" t="s" s="211">
        <v>167</v>
      </c>
      <c r="C9" s="212" cm="1">
        <f t="array" ref="C9">F9*'RECOMMENDED PRICES'!$E$93</f>
        <v>0</v>
      </c>
      <c r="D9" s="208" cm="1">
        <f t="array" ref="D9">F9/$F$24</f>
        <v>0</v>
      </c>
      <c r="E9" s="212"/>
      <c r="F9" s="213" cm="1">
        <f t="array" ref="F9">$F$24*0</f>
        <v>0</v>
      </c>
      <c r="G9" s="16"/>
      <c r="H9" s="214"/>
      <c r="I9" s="215"/>
      <c r="J9" s="17"/>
      <c r="K9" s="18"/>
    </row>
    <row r="10" ht="14" customHeight="1">
      <c r="A10" s="12"/>
      <c r="B10" t="s" s="211">
        <v>168</v>
      </c>
      <c r="C10" s="212" cm="1">
        <f t="array" ref="C10">F10*'RECOMMENDED PRICES'!$F$93</f>
        <v>80709442.2305062</v>
      </c>
      <c r="D10" s="208" cm="1">
        <f t="array" ref="D10">F10/$F$24</f>
        <v>0.00249115230419696</v>
      </c>
      <c r="E10" s="212"/>
      <c r="F10" s="213" cm="1">
        <f t="array" ref="F10">$F$24*'Actual Sales 2025'!D9</f>
        <v>5.86977761676409</v>
      </c>
      <c r="G10" s="16"/>
      <c r="H10" s="214"/>
      <c r="I10" s="215"/>
      <c r="J10" s="17"/>
      <c r="K10" s="18"/>
    </row>
    <row r="11" ht="14" customHeight="1">
      <c r="A11" s="12"/>
      <c r="B11" t="s" s="211">
        <v>169</v>
      </c>
      <c r="C11" s="212" cm="1">
        <f t="array" ref="C11">F11*'RECOMMENDED PRICES'!$E$93</f>
        <v>26627741023.9905</v>
      </c>
      <c r="D11" s="208" cm="1">
        <f t="array" ref="D11">F11/$F$24</f>
        <v>0.822182469793884</v>
      </c>
      <c r="E11" s="212"/>
      <c r="F11" s="213" cm="1">
        <f t="array" ref="F11">$F$24*('Actual Sales 2025'!D19+'Actual Sales 2025'!D10+'Actual Sales 2025'!D16)</f>
        <v>1937.267444451840</v>
      </c>
      <c r="G11" s="16"/>
      <c r="H11" s="214"/>
      <c r="I11" s="215"/>
      <c r="J11" s="17"/>
      <c r="K11" s="18"/>
    </row>
    <row r="12" ht="14" customHeight="1">
      <c r="A12" s="12"/>
      <c r="B12" t="s" s="216">
        <v>170</v>
      </c>
      <c r="C12" s="217" cm="1">
        <f t="array" ref="C12">-C11*10%</f>
        <v>-2662774102.39905</v>
      </c>
      <c r="D12" s="208"/>
      <c r="E12" s="212"/>
      <c r="F12" s="213"/>
      <c r="G12" s="16"/>
      <c r="H12" s="214"/>
      <c r="I12" s="215"/>
      <c r="J12" s="17"/>
      <c r="K12" s="18"/>
    </row>
    <row r="13" ht="14" customHeight="1">
      <c r="A13" s="12"/>
      <c r="B13" t="s" s="211">
        <v>171</v>
      </c>
      <c r="C13" s="212" cm="1">
        <f t="array" ref="C13">F13*'RECOMMENDED PRICES'!L93</f>
        <v>235718925.989461</v>
      </c>
      <c r="D13" s="208" cm="1">
        <f t="array" ref="D13">F13/$F$24</f>
        <v>0.00609522971696021</v>
      </c>
      <c r="E13" s="212"/>
      <c r="F13" s="213" cm="1">
        <f t="array" ref="F13">$F$24*'Actual Sales 2025'!D11</f>
        <v>14.3618850205875</v>
      </c>
      <c r="G13" s="16"/>
      <c r="H13" s="214"/>
      <c r="I13" s="215"/>
      <c r="J13" s="17"/>
      <c r="K13" s="18"/>
    </row>
    <row r="14" ht="14" customHeight="1">
      <c r="A14" s="12"/>
      <c r="B14" t="s" s="216">
        <v>172</v>
      </c>
      <c r="C14" s="217" cm="1">
        <f t="array" ref="C14">-C13*20%</f>
        <v>-47143785.1978922</v>
      </c>
      <c r="D14" s="208"/>
      <c r="E14" s="212"/>
      <c r="F14" s="213"/>
      <c r="G14" s="16"/>
      <c r="H14" s="214"/>
      <c r="I14" s="215"/>
      <c r="J14" s="17"/>
      <c r="K14" s="18"/>
    </row>
    <row r="15" ht="14" customHeight="1">
      <c r="A15" s="12"/>
      <c r="B15" t="s" s="211">
        <v>173</v>
      </c>
      <c r="C15" s="212" cm="1">
        <f t="array" ref="C15">F15*'RECOMMENDED PRICES'!K93</f>
        <v>6158214171.54495</v>
      </c>
      <c r="D15" s="208" cm="1">
        <f t="array" ref="D15">F15/$F$24</f>
        <v>0.156619733299493</v>
      </c>
      <c r="E15" s="212"/>
      <c r="F15" s="213" cm="1">
        <f t="array" ref="F15">$F$24*'Actual Sales 2025'!D12</f>
        <v>369.035246586930</v>
      </c>
      <c r="G15" s="16"/>
      <c r="H15" s="214"/>
      <c r="I15" s="215"/>
      <c r="J15" s="17"/>
      <c r="K15" s="18"/>
    </row>
    <row r="16" ht="14" customHeight="1">
      <c r="A16" s="12"/>
      <c r="B16" t="s" s="216">
        <v>174</v>
      </c>
      <c r="C16" s="217" cm="1">
        <f t="array" ref="C16">-C15*25%</f>
        <v>-1539553542.88624</v>
      </c>
      <c r="D16" s="208"/>
      <c r="E16" s="212"/>
      <c r="F16" s="213"/>
      <c r="G16" s="16"/>
      <c r="H16" s="214"/>
      <c r="I16" s="215"/>
      <c r="J16" s="17"/>
      <c r="K16" s="18"/>
    </row>
    <row r="17" ht="14" customHeight="1">
      <c r="A17" s="12"/>
      <c r="B17" t="s" s="211">
        <v>175</v>
      </c>
      <c r="C17" s="212" cm="1">
        <f t="array" ref="C17">F17*'RECOMMENDED PRICES'!$E$93</f>
        <v>48842468.191963</v>
      </c>
      <c r="D17" s="208" cm="1">
        <f t="array" ref="D17">F17/$F$24</f>
        <v>0.00150810469024455</v>
      </c>
      <c r="E17" s="212"/>
      <c r="F17" s="213" cm="1">
        <f t="array" ref="F17">$F$24*'Actual Sales 2025'!D15</f>
        <v>3.55347167638872</v>
      </c>
      <c r="G17" s="16"/>
      <c r="H17" s="214"/>
      <c r="I17" s="215"/>
      <c r="J17" s="17"/>
      <c r="K17" s="18"/>
    </row>
    <row r="18" ht="14" customHeight="1">
      <c r="A18" s="12"/>
      <c r="B18" t="s" s="211">
        <v>176</v>
      </c>
      <c r="C18" s="212">
        <v>0</v>
      </c>
      <c r="D18" s="208">
        <v>0</v>
      </c>
      <c r="E18" s="212"/>
      <c r="F18" s="213" cm="1">
        <f t="array" ref="F18">$F$24*0</f>
        <v>0</v>
      </c>
      <c r="G18" s="16"/>
      <c r="H18" s="214"/>
      <c r="I18" s="215"/>
      <c r="J18" s="17"/>
      <c r="K18" s="18"/>
    </row>
    <row r="19" ht="14" customHeight="1">
      <c r="A19" s="12"/>
      <c r="B19" t="s" s="211">
        <v>177</v>
      </c>
      <c r="C19" s="212" cm="1">
        <f t="array" ref="C19">F19*'RECOMMENDED PRICES'!$E$93</f>
        <v>103799653.392486</v>
      </c>
      <c r="D19" s="208">
        <v>0</v>
      </c>
      <c r="E19" s="212"/>
      <c r="F19" s="213" cm="1">
        <f t="array" ref="F19">$F$24*'Actual Sales 2025'!D14</f>
        <v>7.55181181465884</v>
      </c>
      <c r="G19" s="16"/>
      <c r="H19" s="214"/>
      <c r="I19" s="215"/>
      <c r="J19" s="17"/>
      <c r="K19" s="18"/>
    </row>
    <row r="20" ht="14" customHeight="1">
      <c r="A20" s="12"/>
      <c r="B20" t="s" s="211">
        <v>178</v>
      </c>
      <c r="C20" s="212" cm="1">
        <f t="array" ref="C20">F20*'RECOMMENDED PRICES'!$E$93</f>
        <v>52488951.8544711</v>
      </c>
      <c r="D20" s="208" cm="1">
        <f t="array" ref="D20">F20/$F$24</f>
        <v>0.00162069685271912</v>
      </c>
      <c r="E20" s="212"/>
      <c r="F20" s="213" cm="1">
        <f t="array" ref="F20">$F$24*'Actual Sales 2025'!D17</f>
        <v>3.81876695921943</v>
      </c>
      <c r="G20" s="16"/>
      <c r="H20" s="214"/>
      <c r="I20" s="215"/>
      <c r="J20" s="214"/>
      <c r="K20" s="218"/>
    </row>
    <row r="21" ht="14" customHeight="1">
      <c r="A21" s="12"/>
      <c r="B21" t="s" s="211">
        <v>179</v>
      </c>
      <c r="C21" s="212" cm="1">
        <f t="array" ref="C21">F21*'RECOMMENDED PRICES'!$E$93</f>
        <v>13096721.8565645</v>
      </c>
      <c r="D21" s="208" cm="1">
        <f t="array" ref="D21">F21/$F$24</f>
        <v>0.000404386354536509</v>
      </c>
      <c r="E21" s="212"/>
      <c r="F21" s="213" cm="1">
        <f t="array" ref="F21">$F$24*'Actual Sales 2025'!D18</f>
        <v>0.952835347876649</v>
      </c>
      <c r="G21" s="16"/>
      <c r="H21" s="214"/>
      <c r="I21" s="215"/>
      <c r="J21" s="214"/>
      <c r="K21" s="218"/>
    </row>
    <row r="22" ht="14" customHeight="1">
      <c r="A22" s="12"/>
      <c r="B22" t="s" s="211">
        <v>180</v>
      </c>
      <c r="C22" s="212" cm="1">
        <f t="array" ref="C22">F22*'RECOMMENDED PRICES'!$K$93</f>
        <v>193161097.733622</v>
      </c>
      <c r="D22" s="208" cm="1">
        <f t="array" ref="D22">F22/$F$24</f>
        <v>0.00491259945954224</v>
      </c>
      <c r="E22" s="212"/>
      <c r="F22" s="213" cm="1">
        <f t="array" ref="F22">$F$24*'Actual Sales 2025'!D13</f>
        <v>11.5753124765464</v>
      </c>
      <c r="G22" s="16"/>
      <c r="H22" s="214"/>
      <c r="I22" s="215"/>
      <c r="J22" s="17"/>
      <c r="K22" s="18"/>
    </row>
    <row r="23" ht="14" customHeight="1">
      <c r="A23" s="12"/>
      <c r="B23" t="s" s="216">
        <v>181</v>
      </c>
      <c r="C23" s="217" cm="1">
        <f t="array" ref="C23">-C22*25%</f>
        <v>-48290274.4334055</v>
      </c>
      <c r="D23" s="208"/>
      <c r="E23" s="212"/>
      <c r="F23" s="213"/>
      <c r="G23" s="16"/>
      <c r="H23" s="214"/>
      <c r="I23" s="215"/>
      <c r="J23" s="17"/>
      <c r="K23" s="18"/>
    </row>
    <row r="24" ht="13" customHeight="1">
      <c r="A24" s="12"/>
      <c r="B24" t="s" s="206">
        <v>182</v>
      </c>
      <c r="C24" s="207" cm="1">
        <f t="array" ref="C24">SUM(C6:C22)</f>
        <v>29294451837.5577</v>
      </c>
      <c r="D24" s="219" cm="1">
        <f t="array" ref="D24">F24/$F$24</f>
        <v>1</v>
      </c>
      <c r="E24" s="207"/>
      <c r="F24" s="220" cm="1">
        <f t="array" ref="F24">'Allocation OH and Target 2026'!K92</f>
        <v>2356.25</v>
      </c>
      <c r="G24" s="16"/>
      <c r="H24" s="214"/>
      <c r="I24" s="215"/>
      <c r="J24" s="17"/>
      <c r="K24" s="18"/>
    </row>
    <row r="25" ht="13" customHeight="1">
      <c r="A25" s="12"/>
      <c r="B25" s="202"/>
      <c r="C25" s="207"/>
      <c r="D25" s="204"/>
      <c r="E25" s="207"/>
      <c r="F25" s="220"/>
      <c r="G25" s="16"/>
      <c r="H25" s="17"/>
      <c r="I25" s="17"/>
      <c r="J25" s="17"/>
      <c r="K25" s="18"/>
    </row>
    <row r="26" ht="13" customHeight="1">
      <c r="A26" s="12"/>
      <c r="B26" t="s" s="221">
        <v>183</v>
      </c>
      <c r="C26" s="222" cm="1">
        <f t="array" ref="C26">_xlfn.IFERROR((VLOOKUP(B26,'RECOMMENDED PRICES'!$B$20:$F$58,5,0)*F26),0)</f>
        <v>42000000</v>
      </c>
      <c r="D26" s="208" cm="1">
        <f t="array" ref="D26">C26/$C$80</f>
        <v>0.00428877550864112</v>
      </c>
      <c r="E26" s="207"/>
      <c r="F26" s="223" cm="1">
        <f t="array" ref="F26">VLOOKUP(B26,'Allocation OH and Target 2026'!$C$35:$K$87,9,0)</f>
        <v>28</v>
      </c>
      <c r="G26" s="16"/>
      <c r="H26" s="17"/>
      <c r="I26" s="17"/>
      <c r="J26" s="17"/>
      <c r="K26" s="18"/>
    </row>
    <row r="27" ht="13" customHeight="1">
      <c r="A27" s="12"/>
      <c r="B27" t="s" s="221">
        <v>184</v>
      </c>
      <c r="C27" s="222" cm="1">
        <f t="array" ref="C27">_xlfn.IFERROR((VLOOKUP(B27,'RECOMMENDED PRICES'!$B$20:$F$58,5,0)*F27),0)</f>
        <v>153900000</v>
      </c>
      <c r="D27" s="208" cm="1">
        <f t="array" ref="D27">C27/$C$80</f>
        <v>0.0157152988280921</v>
      </c>
      <c r="E27" s="207"/>
      <c r="F27" s="223" cm="1">
        <f t="array" ref="F27">VLOOKUP(B27,'Allocation OH and Target 2026'!$C$35:$K$91,9,0)</f>
        <v>57</v>
      </c>
      <c r="G27" s="16"/>
      <c r="H27" s="17"/>
      <c r="I27" s="17"/>
      <c r="J27" s="17"/>
      <c r="K27" s="18"/>
    </row>
    <row r="28" ht="13" customHeight="1">
      <c r="A28" s="12"/>
      <c r="B28" t="s" s="221">
        <v>185</v>
      </c>
      <c r="C28" s="222" cm="1">
        <f t="array" ref="C28">_xlfn.IFERROR((VLOOKUP(B28,'RECOMMENDED PRICES'!$B$20:$F$58,5,0)*F28),0)</f>
        <v>55760000</v>
      </c>
      <c r="D28" s="208" cm="1">
        <f t="array" ref="D28">C28/$C$80</f>
        <v>0.00569386005623402</v>
      </c>
      <c r="E28" s="207"/>
      <c r="F28" s="223" cm="1">
        <f t="array" ref="F28">VLOOKUP(B28,'Allocation OH and Target 2026'!$C$35:$K$91,9,0)</f>
        <v>68</v>
      </c>
      <c r="G28" s="16"/>
      <c r="H28" s="17"/>
      <c r="I28" s="17"/>
      <c r="J28" s="17"/>
      <c r="K28" s="18"/>
    </row>
    <row r="29" ht="13" customHeight="1">
      <c r="A29" s="12"/>
      <c r="B29" t="s" s="221">
        <v>186</v>
      </c>
      <c r="C29" s="222" cm="1">
        <f t="array" ref="C29">_xlfn.IFERROR((VLOOKUP(B29,'RECOMMENDED PRICES'!$B$20:$F$58,5,0)*F29),0)</f>
        <v>130285000</v>
      </c>
      <c r="D29" s="208" cm="1">
        <f t="array" ref="D29">C29/$C$80</f>
        <v>0.0133038837415073</v>
      </c>
      <c r="E29" s="207"/>
      <c r="F29" s="223" cm="1">
        <f t="array" ref="F29">VLOOKUP(B29,'Allocation OH and Target 2026'!$C$35:$K$91,9,0)</f>
        <v>71</v>
      </c>
      <c r="G29" s="16"/>
      <c r="H29" s="17"/>
      <c r="I29" s="17"/>
      <c r="J29" s="17"/>
      <c r="K29" s="18"/>
    </row>
    <row r="30" ht="13" customHeight="1">
      <c r="A30" s="12"/>
      <c r="B30" t="s" s="221">
        <v>187</v>
      </c>
      <c r="C30" s="222" cm="1">
        <f t="array" ref="C30">_xlfn.IFERROR((VLOOKUP(B30,'RECOMMENDED PRICES'!$B$20:$F$76,5,0)*F30),0)</f>
        <v>55760000</v>
      </c>
      <c r="D30" s="208" cm="1">
        <f t="array" ref="D30">C30/$C$80</f>
        <v>0.00569386005623402</v>
      </c>
      <c r="E30" s="207"/>
      <c r="F30" s="223" cm="1">
        <f t="array" ref="F30">VLOOKUP(B30,'Allocation OH and Target 2026'!$C$35:$K$91,9,0)</f>
        <v>68</v>
      </c>
      <c r="G30" s="16"/>
      <c r="H30" s="17"/>
      <c r="I30" s="17"/>
      <c r="J30" s="17"/>
      <c r="K30" s="18"/>
    </row>
    <row r="31" ht="13" customHeight="1">
      <c r="A31" s="12"/>
      <c r="B31" t="s" s="221">
        <v>48</v>
      </c>
      <c r="C31" s="222" cm="1">
        <f t="array" ref="C31">_xlfn.IFERROR((VLOOKUP(B31,'RECOMMENDED PRICES'!$B$20:$F$76,5,0)*F31),0)</f>
        <v>379100000</v>
      </c>
      <c r="D31" s="208" cm="1">
        <f t="array" ref="D31">C31/$C$80</f>
        <v>0.0387113046506154</v>
      </c>
      <c r="E31" s="207"/>
      <c r="F31" s="223" cm="1">
        <f t="array" ref="F31">VLOOKUP(B31,'Allocation OH and Target 2026'!$C$35:$K$91,9,0)</f>
        <v>85</v>
      </c>
      <c r="G31" s="16"/>
      <c r="H31" s="17"/>
      <c r="I31" s="17"/>
      <c r="J31" s="17"/>
      <c r="K31" s="18"/>
    </row>
    <row r="32" ht="13" customHeight="1">
      <c r="A32" s="12"/>
      <c r="B32" t="s" s="221">
        <v>49</v>
      </c>
      <c r="C32" s="222" cm="1">
        <f t="array" ref="C32">_xlfn.IFERROR((VLOOKUP(B32,'RECOMMENDED PRICES'!$B$20:$F$76,5,0)*F32),0)</f>
        <v>361260000</v>
      </c>
      <c r="D32" s="208" cm="1">
        <f t="array" ref="D32">C32/$C$80</f>
        <v>0.0368895961964688</v>
      </c>
      <c r="E32" s="207"/>
      <c r="F32" s="223" cm="1">
        <f t="array" ref="F32">VLOOKUP(B32,'Allocation OH and Target 2026'!$C$35:$K$91,9,0)</f>
        <v>81</v>
      </c>
      <c r="G32" s="16"/>
      <c r="H32" s="17"/>
      <c r="I32" s="17"/>
      <c r="J32" s="17"/>
      <c r="K32" s="18"/>
    </row>
    <row r="33" ht="13" customHeight="1">
      <c r="A33" s="12"/>
      <c r="B33" t="s" s="221">
        <v>50</v>
      </c>
      <c r="C33" s="222" cm="1">
        <f t="array" ref="C33">_xlfn.IFERROR((VLOOKUP(B33,'RECOMMENDED PRICES'!$B$20:$F$76,5,0)*F33),0)</f>
        <v>224640000</v>
      </c>
      <c r="D33" s="208" cm="1">
        <f t="array" ref="D33">C33/$C$80</f>
        <v>0.0229388221490748</v>
      </c>
      <c r="E33" s="207"/>
      <c r="F33" s="223" cm="1">
        <f t="array" ref="F33">VLOOKUP(B33,'Allocation OH and Target 2026'!$C$35:$K$91,9,0)</f>
        <v>54</v>
      </c>
      <c r="G33" s="16"/>
      <c r="H33" s="17"/>
      <c r="I33" s="17"/>
      <c r="J33" s="17"/>
      <c r="K33" s="18"/>
    </row>
    <row r="34" ht="13" customHeight="1">
      <c r="A34" s="12"/>
      <c r="B34" t="s" s="221">
        <v>51</v>
      </c>
      <c r="C34" s="222" cm="1">
        <f t="array" ref="C34">_xlfn.IFERROR((VLOOKUP(B34,'RECOMMENDED PRICES'!$B$20:$F$76,5,0)*F34),0)</f>
        <v>224640000</v>
      </c>
      <c r="D34" s="208" cm="1">
        <f t="array" ref="D34">C34/$C$80</f>
        <v>0.0229388221490748</v>
      </c>
      <c r="E34" s="207"/>
      <c r="F34" s="223" cm="1">
        <f t="array" ref="F34">VLOOKUP(B34,'Allocation OH and Target 2026'!$C$35:$K$91,9,0)</f>
        <v>54</v>
      </c>
      <c r="G34" s="16"/>
      <c r="H34" s="17"/>
      <c r="I34" s="17"/>
      <c r="J34" s="17"/>
      <c r="K34" s="18"/>
    </row>
    <row r="35" ht="13" customHeight="1">
      <c r="A35" s="12"/>
      <c r="B35" t="s" s="221">
        <v>52</v>
      </c>
      <c r="C35" s="222" cm="1">
        <f t="array" ref="C35">_xlfn.IFERROR((VLOOKUP(B35,'RECOMMENDED PRICES'!$B$20:$F$76,5,0)*F35),0)</f>
        <v>266240000</v>
      </c>
      <c r="D35" s="208" cm="1">
        <f t="array" ref="D35">C35/$C$80</f>
        <v>0.0271867521766812</v>
      </c>
      <c r="E35" s="207"/>
      <c r="F35" s="223" cm="1">
        <f t="array" ref="F35">VLOOKUP(B35,'Allocation OH and Target 2026'!$C$35:$K$91,9,0)</f>
        <v>64</v>
      </c>
      <c r="G35" s="16"/>
      <c r="H35" s="17"/>
      <c r="I35" s="17"/>
      <c r="J35" s="17"/>
      <c r="K35" s="18"/>
    </row>
    <row r="36" ht="13" customHeight="1">
      <c r="A36" s="12"/>
      <c r="B36" t="s" s="221">
        <v>53</v>
      </c>
      <c r="C36" s="222" cm="1">
        <f t="array" ref="C36">_xlfn.IFERROR((VLOOKUP(B36,'RECOMMENDED PRICES'!$B$20:$F$76,5,0)*F36),0)</f>
        <v>327946666.666667</v>
      </c>
      <c r="D36" s="208" cm="1">
        <f t="array" ref="D36">C36/$C$80</f>
        <v>0.0334878483842975</v>
      </c>
      <c r="E36" s="207"/>
      <c r="F36" s="223" cm="1">
        <f t="array" ref="F36">VLOOKUP(B36,'Allocation OH and Target 2026'!$C$35:$K$91,9,0)</f>
        <v>78.8333333333333</v>
      </c>
      <c r="G36" s="16"/>
      <c r="H36" s="17"/>
      <c r="I36" s="17"/>
      <c r="J36" s="17"/>
      <c r="K36" s="18"/>
    </row>
    <row r="37" ht="13" customHeight="1">
      <c r="A37" s="12"/>
      <c r="B37" t="s" s="221">
        <v>54</v>
      </c>
      <c r="C37" s="222" cm="1">
        <f t="array" ref="C37">_xlfn.IFERROR((VLOOKUP(B37,'RECOMMENDED PRICES'!$B$20:$F$76,5,0)*F37),0)</f>
        <v>298133333.333333</v>
      </c>
      <c r="D37" s="208" cm="1">
        <f t="array" ref="D37">C37/$C$80</f>
        <v>0.0304434985311794</v>
      </c>
      <c r="E37" s="207"/>
      <c r="F37" s="223" cm="1">
        <f t="array" ref="F37">VLOOKUP(B37,'Allocation OH and Target 2026'!$C$35:$K$91,9,0)</f>
        <v>71.6666666666667</v>
      </c>
      <c r="G37" s="16"/>
      <c r="H37" s="17"/>
      <c r="I37" s="17"/>
      <c r="J37" s="17"/>
      <c r="K37" s="18"/>
    </row>
    <row r="38" ht="13" customHeight="1">
      <c r="A38" s="12"/>
      <c r="B38" t="s" s="221">
        <v>55</v>
      </c>
      <c r="C38" s="222" cm="1">
        <f t="array" ref="C38">_xlfn.IFERROR((VLOOKUP(B38,'RECOMMENDED PRICES'!$B$20:$F$76,5,0)*F38),0)</f>
        <v>252720000</v>
      </c>
      <c r="D38" s="208" cm="1">
        <f t="array" ref="D38">C38/$C$80</f>
        <v>0.0258061749177091</v>
      </c>
      <c r="E38" s="207"/>
      <c r="F38" s="223" cm="1">
        <f t="array" ref="F38">VLOOKUP(B38,'Allocation OH and Target 2026'!$C$35:$K$91,9,0)</f>
        <v>60.75</v>
      </c>
      <c r="G38" s="16"/>
      <c r="H38" s="17"/>
      <c r="I38" s="17"/>
      <c r="J38" s="17"/>
      <c r="K38" s="18"/>
    </row>
    <row r="39" ht="13" customHeight="1">
      <c r="A39" s="12"/>
      <c r="B39" t="s" s="221">
        <v>56</v>
      </c>
      <c r="C39" s="222" cm="1">
        <f t="array" ref="C39">_xlfn.IFERROR((VLOOKUP(B39,'RECOMMENDED PRICES'!$B$20:$F$76,5,0)*F39),0)</f>
        <v>299520000</v>
      </c>
      <c r="D39" s="208" cm="1">
        <f t="array" ref="D39">C39/$C$80</f>
        <v>0.0305850961987664</v>
      </c>
      <c r="E39" s="207"/>
      <c r="F39" s="223" cm="1">
        <f t="array" ref="F39">VLOOKUP(B39,'Allocation OH and Target 2026'!$C$35:$K$91,9,0)</f>
        <v>72</v>
      </c>
      <c r="G39" s="16"/>
      <c r="H39" s="17"/>
      <c r="I39" s="17"/>
      <c r="J39" s="17"/>
      <c r="K39" s="18"/>
    </row>
    <row r="40" ht="13" customHeight="1">
      <c r="A40" s="12"/>
      <c r="B40" t="s" s="221">
        <v>57</v>
      </c>
      <c r="C40" s="222" cm="1">
        <f t="array" ref="C40">_xlfn.IFERROR((VLOOKUP(B40,'RECOMMENDED PRICES'!$B$20:$F$76,5,0)*F40),0)</f>
        <v>262080000</v>
      </c>
      <c r="D40" s="208" cm="1">
        <f t="array" ref="D40">C40/$C$80</f>
        <v>0.0267619591739206</v>
      </c>
      <c r="E40" s="207"/>
      <c r="F40" s="223" cm="1">
        <f t="array" ref="F40">VLOOKUP(B40,'Allocation OH and Target 2026'!$C$35:$K$91,9,0)</f>
        <v>63</v>
      </c>
      <c r="G40" s="16"/>
      <c r="H40" s="17"/>
      <c r="I40" s="17"/>
      <c r="J40" s="17"/>
      <c r="K40" s="18"/>
    </row>
    <row r="41" ht="13" customHeight="1">
      <c r="A41" s="12"/>
      <c r="B41" t="s" s="221">
        <v>58</v>
      </c>
      <c r="C41" s="222" cm="1">
        <f t="array" ref="C41">_xlfn.IFERROR((VLOOKUP(B41,'RECOMMENDED PRICES'!$B$20:$F$76,5,0)*F41),0)</f>
        <v>424320000</v>
      </c>
      <c r="D41" s="208" cm="1">
        <f t="array" ref="D41">C41/$C$80</f>
        <v>0.0433288862815857</v>
      </c>
      <c r="E41" s="207"/>
      <c r="F41" s="223" cm="1">
        <f t="array" ref="F41">VLOOKUP(B41,'Allocation OH and Target 2026'!$C$35:$K$91,9,0)</f>
        <v>102</v>
      </c>
      <c r="G41" s="16"/>
      <c r="H41" s="17"/>
      <c r="I41" s="17"/>
      <c r="J41" s="17"/>
      <c r="K41" s="18"/>
    </row>
    <row r="42" ht="13" customHeight="1">
      <c r="A42" s="12"/>
      <c r="B42" t="s" s="221">
        <v>104</v>
      </c>
      <c r="C42" s="222" cm="1">
        <f t="array" ref="C42">_xlfn.IFERROR((VLOOKUP(B42,'RECOMMENDED PRICES'!$B$20:$F$76,5,0)*F42),0)</f>
        <v>437240000</v>
      </c>
      <c r="D42" s="208" cm="1">
        <f t="array" ref="D42">C42/$C$80</f>
        <v>0.0446481953190058</v>
      </c>
      <c r="E42" s="207"/>
      <c r="F42" s="223" cm="1">
        <f t="array" ref="F42">VLOOKUP(B42,'Allocation OH and Target 2026'!$C$35:$K$91,9,0)</f>
        <v>136</v>
      </c>
      <c r="G42" s="16"/>
      <c r="H42" s="17"/>
      <c r="I42" s="17"/>
      <c r="J42" s="17"/>
      <c r="K42" s="18"/>
    </row>
    <row r="43" ht="13" customHeight="1">
      <c r="A43" s="12"/>
      <c r="B43" t="s" s="221">
        <v>188</v>
      </c>
      <c r="C43" s="222" cm="1">
        <f t="array" ref="C43">_xlfn.IFERROR((VLOOKUP(B43,'RECOMMENDED PRICES'!$B$20:$F$76,5,0)*F43),0)</f>
        <v>0</v>
      </c>
      <c r="D43" s="208" cm="1">
        <f t="array" ref="D43">C43/$C$80</f>
        <v>0</v>
      </c>
      <c r="E43" s="207"/>
      <c r="F43" s="223" cm="1">
        <f t="array" ref="F43">VLOOKUP(B43,'Allocation OH and Target 2026'!$C$35:$K$91,9,0)</f>
        <v>0</v>
      </c>
      <c r="G43" s="16"/>
      <c r="H43" s="17"/>
      <c r="I43" s="17"/>
      <c r="J43" s="17"/>
      <c r="K43" s="18"/>
    </row>
    <row r="44" ht="13" customHeight="1">
      <c r="A44" s="12"/>
      <c r="B44" t="s" s="221">
        <v>189</v>
      </c>
      <c r="C44" s="222" cm="1">
        <f t="array" ref="C44">_xlfn.IFERROR((VLOOKUP(B44,'RECOMMENDED PRICES'!$B$20:$F$76,5,0)*F44),0)</f>
        <v>0</v>
      </c>
      <c r="D44" s="208" cm="1">
        <f t="array" ref="D44">C44/$C$80</f>
        <v>0</v>
      </c>
      <c r="E44" s="207"/>
      <c r="F44" s="223" cm="1">
        <f t="array" ref="F44">VLOOKUP(B44,'Allocation OH and Target 2026'!$C$35:$K$91,9,0)</f>
        <v>0</v>
      </c>
      <c r="G44" s="16"/>
      <c r="H44" s="17"/>
      <c r="I44" s="17"/>
      <c r="J44" s="17"/>
      <c r="K44" s="18"/>
    </row>
    <row r="45" ht="13" customHeight="1">
      <c r="A45" s="12"/>
      <c r="B45" t="s" s="221">
        <v>190</v>
      </c>
      <c r="C45" s="222" cm="1">
        <f t="array" ref="C45">_xlfn.IFERROR((VLOOKUP(B45,'RECOMMENDED PRICES'!$B$20:$F$76,5,0)*F45),0)</f>
        <v>0</v>
      </c>
      <c r="D45" s="208" cm="1">
        <f t="array" ref="D45">C45/$C$80</f>
        <v>0</v>
      </c>
      <c r="E45" s="207"/>
      <c r="F45" s="223" cm="1">
        <f t="array" ref="F45">VLOOKUP(B45,'Allocation OH and Target 2026'!$C$35:$K$91,9,0)</f>
        <v>0</v>
      </c>
      <c r="G45" s="16"/>
      <c r="H45" s="17"/>
      <c r="I45" s="17"/>
      <c r="J45" s="17"/>
      <c r="K45" s="18"/>
    </row>
    <row r="46" ht="13" customHeight="1">
      <c r="A46" s="12"/>
      <c r="B46" t="s" s="221">
        <v>191</v>
      </c>
      <c r="C46" s="222" cm="1">
        <f t="array" ref="C46">_xlfn.IFERROR((VLOOKUP(B46,'RECOMMENDED PRICES'!$B$20:$F$76,5,0)*F46),0)</f>
        <v>-204000000</v>
      </c>
      <c r="D46" s="208" cm="1">
        <f t="array" ref="D46">C46/$C$80</f>
        <v>-0.0208311953276854</v>
      </c>
      <c r="E46" s="207"/>
      <c r="F46" s="223" cm="1">
        <f t="array" ref="F46">VLOOKUP(B46,'Allocation OH and Target 2026'!$C$35:$K$91,9,0)</f>
        <v>204</v>
      </c>
      <c r="G46" s="16"/>
      <c r="H46" s="17"/>
      <c r="I46" s="17"/>
      <c r="J46" s="17"/>
      <c r="K46" s="18"/>
    </row>
    <row r="47" ht="13" customHeight="1">
      <c r="A47" s="12"/>
      <c r="B47" t="s" s="221">
        <v>192</v>
      </c>
      <c r="C47" s="222" cm="1">
        <f t="array" ref="C47">_xlfn.IFERROR((VLOOKUP(B47,'RECOMMENDED PRICES'!$B$20:$F$76,5,0)*F47),0)</f>
        <v>10440000</v>
      </c>
      <c r="D47" s="208" cm="1">
        <f t="array" ref="D47">C47/$C$80</f>
        <v>0.00106606705500508</v>
      </c>
      <c r="E47" s="207"/>
      <c r="F47" s="223" cm="1">
        <f t="array" ref="F47">VLOOKUP(B47,'Allocation OH and Target 2026'!$C$35:$K$91,9,0)</f>
        <v>6</v>
      </c>
      <c r="G47" s="16"/>
      <c r="H47" s="17"/>
      <c r="I47" s="17"/>
      <c r="J47" s="17"/>
      <c r="K47" s="18"/>
    </row>
    <row r="48" ht="13" customHeight="1">
      <c r="A48" s="12"/>
      <c r="B48" t="s" s="221">
        <v>193</v>
      </c>
      <c r="C48" s="222" cm="1">
        <f t="array" ref="C48">_xlfn.IFERROR((VLOOKUP(B48,'RECOMMENDED PRICES'!$B$20:$F$76,5,0)*F48),0)</f>
        <v>-224400000</v>
      </c>
      <c r="D48" s="208" cm="1">
        <f t="array" ref="D48">C48/$C$80</f>
        <v>-0.022914314860454</v>
      </c>
      <c r="E48" s="207"/>
      <c r="F48" s="223" cm="1">
        <f t="array" ref="F48">VLOOKUP(B48,'Allocation OH and Target 2026'!$C$35:$K$91,9,0)</f>
        <v>204</v>
      </c>
      <c r="G48" s="16"/>
      <c r="H48" s="17"/>
      <c r="I48" s="17"/>
      <c r="J48" s="17"/>
      <c r="K48" s="18"/>
    </row>
    <row r="49" ht="13" customHeight="1">
      <c r="A49" s="12"/>
      <c r="B49" t="s" s="221">
        <v>194</v>
      </c>
      <c r="C49" s="222" cm="1">
        <f t="array" ref="C49">_xlfn.IFERROR((VLOOKUP(B49,'RECOMMENDED PRICES'!$B$20:$F$76,5,0)*F49),0)</f>
        <v>0</v>
      </c>
      <c r="D49" s="208" cm="1">
        <f t="array" ref="D49">C49/$C$80</f>
        <v>0</v>
      </c>
      <c r="E49" s="207"/>
      <c r="F49" s="223" cm="1">
        <f t="array" ref="F49">VLOOKUP(B49,'Allocation OH and Target 2026'!$C$35:$K$91,9,0)</f>
        <v>0</v>
      </c>
      <c r="G49" s="16"/>
      <c r="H49" s="17"/>
      <c r="I49" s="17"/>
      <c r="J49" s="17"/>
      <c r="K49" s="18"/>
    </row>
    <row r="50" ht="13" customHeight="1">
      <c r="A50" s="12"/>
      <c r="B50" t="s" s="221">
        <v>195</v>
      </c>
      <c r="C50" s="222" cm="1">
        <f t="array" ref="C50">_xlfn.IFERROR((VLOOKUP(B50,'RECOMMENDED PRICES'!$B$20:$F$76,5,0)*F50),0)</f>
        <v>32520000</v>
      </c>
      <c r="D50" s="208" cm="1">
        <f t="array" ref="D50">C50/$C$80</f>
        <v>0.00332073760811926</v>
      </c>
      <c r="E50" s="207"/>
      <c r="F50" s="223" cm="1">
        <f t="array" ref="F50">VLOOKUP(B50,'Allocation OH and Target 2026'!$C$35:$K$91,9,0)</f>
        <v>3</v>
      </c>
      <c r="G50" s="16"/>
      <c r="H50" s="17"/>
      <c r="I50" s="17"/>
      <c r="J50" s="17"/>
      <c r="K50" s="18"/>
    </row>
    <row r="51" ht="13" customHeight="1">
      <c r="A51" s="12"/>
      <c r="B51" t="s" s="221">
        <v>196</v>
      </c>
      <c r="C51" s="222" cm="1">
        <f t="array" ref="C51">_xlfn.IFERROR((VLOOKUP(B51,'RECOMMENDED PRICES'!$B$20:$F$76,5,0)*F51),0)</f>
        <v>125120000</v>
      </c>
      <c r="D51" s="208" cm="1">
        <f t="array" ref="D51">C51/$C$80</f>
        <v>0.0127764664676471</v>
      </c>
      <c r="E51" s="207"/>
      <c r="F51" s="223" cm="1">
        <f t="array" ref="F51">VLOOKUP(B51,'Allocation OH and Target 2026'!$C$35:$K$91,9,0)</f>
        <v>136</v>
      </c>
      <c r="G51" s="16"/>
      <c r="H51" s="17"/>
      <c r="I51" s="17"/>
      <c r="J51" s="17"/>
      <c r="K51" s="18"/>
    </row>
    <row r="52" ht="13" customHeight="1">
      <c r="A52" s="12"/>
      <c r="B52" t="s" s="221">
        <v>197</v>
      </c>
      <c r="C52" s="222" cm="1">
        <f t="array" ref="C52">_xlfn.IFERROR((VLOOKUP(B52,'RECOMMENDED PRICES'!$B$20:$F$76,5,0)*F52),0)</f>
        <v>10020000</v>
      </c>
      <c r="D52" s="208" cm="1">
        <f t="array" ref="D52">C52/$C$80</f>
        <v>0.00102317929991867</v>
      </c>
      <c r="E52" s="207"/>
      <c r="F52" s="223" cm="1">
        <f t="array" ref="F52">VLOOKUP(B52,'Allocation OH and Target 2026'!$C$35:$K$91,9,0)</f>
        <v>3</v>
      </c>
      <c r="G52" s="16"/>
      <c r="H52" s="17"/>
      <c r="I52" s="17"/>
      <c r="J52" s="17"/>
      <c r="K52" s="18"/>
    </row>
    <row r="53" ht="13" customHeight="1">
      <c r="A53" s="12"/>
      <c r="B53" t="s" s="221">
        <v>198</v>
      </c>
      <c r="C53" s="222" cm="1">
        <f t="array" ref="C53">_xlfn.IFERROR((VLOOKUP(B53,'RECOMMENDED PRICES'!$B$20:$F$76,5,0)*F53),0)</f>
        <v>0</v>
      </c>
      <c r="D53" s="208" cm="1">
        <f t="array" ref="D53">C53/$C$80</f>
        <v>0</v>
      </c>
      <c r="E53" s="207"/>
      <c r="F53" s="223" cm="1">
        <f t="array" ref="F53">VLOOKUP(B53,'Allocation OH and Target 2026'!$C$35:$K$91,9,0)</f>
        <v>0</v>
      </c>
      <c r="G53" s="16"/>
      <c r="H53" s="17"/>
      <c r="I53" s="17"/>
      <c r="J53" s="17"/>
      <c r="K53" s="18"/>
    </row>
    <row r="54" ht="13" customHeight="1">
      <c r="A54" s="12"/>
      <c r="B54" t="s" s="221">
        <v>199</v>
      </c>
      <c r="C54" s="222" cm="1">
        <f t="array" ref="C54">_xlfn.IFERROR((VLOOKUP(B54,'RECOMMENDED PRICES'!$B$20:$F$76,5,0)*F54),0)</f>
        <v>7260000</v>
      </c>
      <c r="D54" s="208" cm="1">
        <f t="array" ref="D54">C54/$C$80</f>
        <v>0.000741345480779393</v>
      </c>
      <c r="E54" s="207"/>
      <c r="F54" s="223" cm="1">
        <f t="array" ref="F54">VLOOKUP(B54,'Allocation OH and Target 2026'!$C$35:$K$91,9,0)</f>
        <v>3</v>
      </c>
      <c r="G54" s="16"/>
      <c r="H54" s="17"/>
      <c r="I54" s="17"/>
      <c r="J54" s="17"/>
      <c r="K54" s="18"/>
    </row>
    <row r="55" ht="13" customHeight="1">
      <c r="A55" s="12"/>
      <c r="B55" t="s" s="221">
        <v>200</v>
      </c>
      <c r="C55" s="222" cm="1">
        <f t="array" ref="C55">_xlfn.IFERROR((VLOOKUP(B55,'RECOMMENDED PRICES'!$B$20:$F$76,5,0)*F55),0)</f>
        <v>0</v>
      </c>
      <c r="D55" s="208" cm="1">
        <f t="array" ref="D55">C55/$C$80</f>
        <v>0</v>
      </c>
      <c r="E55" s="207"/>
      <c r="F55" s="223" cm="1">
        <f t="array" ref="F55">VLOOKUP(B55,'Allocation OH and Target 2026'!$C$35:$K$91,9,0)</f>
        <v>0</v>
      </c>
      <c r="G55" s="16"/>
      <c r="H55" s="17"/>
      <c r="I55" s="17"/>
      <c r="J55" s="17"/>
      <c r="K55" s="18"/>
    </row>
    <row r="56" ht="13" customHeight="1">
      <c r="A56" s="12"/>
      <c r="B56" t="s" s="221">
        <v>201</v>
      </c>
      <c r="C56" s="222" cm="1">
        <f t="array" ref="C56">_xlfn.IFERROR((VLOOKUP(B56,'RECOMMENDED PRICES'!$B$20:$F$76,5,0)*F56),0)</f>
        <v>0</v>
      </c>
      <c r="D56" s="208" cm="1">
        <f t="array" ref="D56">C56/$C$80</f>
        <v>0</v>
      </c>
      <c r="E56" s="207"/>
      <c r="F56" s="223" cm="1">
        <f t="array" ref="F56">VLOOKUP(B56,'Allocation OH and Target 2026'!$C$35:$K$91,9,0)</f>
        <v>0</v>
      </c>
      <c r="G56" s="16"/>
      <c r="H56" s="17"/>
      <c r="I56" s="17"/>
      <c r="J56" s="17"/>
      <c r="K56" s="18"/>
    </row>
    <row r="57" ht="13" customHeight="1">
      <c r="A57" s="12"/>
      <c r="B57" t="s" s="221">
        <v>202</v>
      </c>
      <c r="C57" s="222" cm="1">
        <f t="array" ref="C57">_xlfn.IFERROR((VLOOKUP(B57,'RECOMMENDED PRICES'!$B$20:$F$76,5,0)*F57),0)</f>
        <v>0</v>
      </c>
      <c r="D57" s="208" cm="1">
        <f t="array" ref="D57">C57/$C$80</f>
        <v>0</v>
      </c>
      <c r="E57" s="207"/>
      <c r="F57" s="223" cm="1">
        <f t="array" ref="F57">VLOOKUP(B57,'Allocation OH and Target 2026'!$C$35:$K$91,9,0)</f>
        <v>0</v>
      </c>
      <c r="G57" s="16"/>
      <c r="H57" s="17"/>
      <c r="I57" s="17"/>
      <c r="J57" s="17"/>
      <c r="K57" s="18"/>
    </row>
    <row r="58" ht="13" customHeight="1">
      <c r="A58" s="12"/>
      <c r="B58" t="s" s="221">
        <v>203</v>
      </c>
      <c r="C58" s="222" cm="1">
        <f t="array" ref="C58">_xlfn.IFERROR((VLOOKUP(B58,'RECOMMENDED PRICES'!$B$20:$F$76,5,0)*F58),0)</f>
        <v>0</v>
      </c>
      <c r="D58" s="208" cm="1">
        <f t="array" ref="D58">C58/$C$80</f>
        <v>0</v>
      </c>
      <c r="E58" s="207"/>
      <c r="F58" s="223" cm="1">
        <f t="array" ref="F58">VLOOKUP(B58,'Allocation OH and Target 2026'!$C$35:$K$91,9,0)</f>
        <v>0</v>
      </c>
      <c r="G58" s="16"/>
      <c r="H58" s="17"/>
      <c r="I58" s="17"/>
      <c r="J58" s="17"/>
      <c r="K58" s="18"/>
    </row>
    <row r="59" ht="13" customHeight="1">
      <c r="A59" s="12"/>
      <c r="B59" t="s" s="221">
        <v>204</v>
      </c>
      <c r="C59" s="222" cm="1">
        <f t="array" ref="C59">_xlfn.IFERROR((VLOOKUP(B59,'RECOMMENDED PRICES'!$B$20:$F$76,5,0)*F59),0)</f>
        <v>242080000</v>
      </c>
      <c r="D59" s="208" cm="1">
        <f t="array" ref="D59">C59/$C$80</f>
        <v>0.0247196851221867</v>
      </c>
      <c r="E59" s="207"/>
      <c r="F59" s="223" cm="1">
        <f t="array" ref="F59">VLOOKUP(B59,'Allocation OH and Target 2026'!$C$35:$K$91,9,0)</f>
        <v>17</v>
      </c>
      <c r="G59" s="16"/>
      <c r="H59" s="17"/>
      <c r="I59" s="17"/>
      <c r="J59" s="17"/>
      <c r="K59" s="18"/>
    </row>
    <row r="60" ht="13" customHeight="1">
      <c r="A60" s="12"/>
      <c r="B60" t="s" s="221">
        <v>205</v>
      </c>
      <c r="C60" s="222" cm="1">
        <f t="array" ref="C60">_xlfn.IFERROR((VLOOKUP(B60,'RECOMMENDED PRICES'!$B$20:$F$76,5,0)*F60),0)</f>
        <v>362780000</v>
      </c>
      <c r="D60" s="208" cm="1">
        <f t="array" ref="D60">C60/$C$80</f>
        <v>0.0370448090244006</v>
      </c>
      <c r="E60" s="207"/>
      <c r="F60" s="223" cm="1">
        <f t="array" ref="F60">VLOOKUP(B60,'Allocation OH and Target 2026'!$C$35:$K$91,9,0)</f>
        <v>17</v>
      </c>
      <c r="G60" s="16"/>
      <c r="H60" s="17"/>
      <c r="I60" s="17"/>
      <c r="J60" s="17"/>
      <c r="K60" s="18"/>
    </row>
    <row r="61" ht="13" customHeight="1">
      <c r="A61" s="12"/>
      <c r="B61" t="s" s="221">
        <v>206</v>
      </c>
      <c r="C61" s="222" cm="1">
        <f t="array" ref="C61">_xlfn.IFERROR((VLOOKUP(B61,'RECOMMENDED PRICES'!$B$20:$F$76,5,0)*F61),0)</f>
        <v>35220000</v>
      </c>
      <c r="D61" s="208" cm="1">
        <f t="array" ref="D61">C61/$C$80</f>
        <v>0.00359644460510334</v>
      </c>
      <c r="E61" s="207"/>
      <c r="F61" s="223" cm="1">
        <f t="array" ref="F61">VLOOKUP(B61,'Allocation OH and Target 2026'!$C$35:$K$91,9,0)</f>
        <v>3</v>
      </c>
      <c r="G61" s="16"/>
      <c r="H61" s="17"/>
      <c r="I61" s="17"/>
      <c r="J61" s="17"/>
      <c r="K61" s="18"/>
    </row>
    <row r="62" ht="13" customHeight="1">
      <c r="A62" s="12"/>
      <c r="B62" t="s" s="221">
        <v>207</v>
      </c>
      <c r="C62" s="222" cm="1">
        <f t="array" ref="C62">_xlfn.IFERROR((VLOOKUP(B62,'RECOMMENDED PRICES'!$B$20:$F$76,5,0)*F62),0)</f>
        <v>214200000</v>
      </c>
      <c r="D62" s="208" cm="1">
        <f t="array" ref="D62">C62/$C$80</f>
        <v>0.0218727550940697</v>
      </c>
      <c r="E62" s="207"/>
      <c r="F62" s="223" cm="1">
        <f t="array" ref="F62">VLOOKUP(B62,'Allocation OH and Target 2026'!$C$35:$K$91,9,0)</f>
        <v>119</v>
      </c>
      <c r="G62" s="16"/>
      <c r="H62" s="17"/>
      <c r="I62" s="17"/>
      <c r="J62" s="17"/>
      <c r="K62" s="18"/>
    </row>
    <row r="63" ht="13" customHeight="1">
      <c r="A63" s="12"/>
      <c r="B63" t="s" s="221">
        <v>208</v>
      </c>
      <c r="C63" s="222" cm="1">
        <f t="array" ref="C63">_xlfn.IFERROR((VLOOKUP(B63,'RECOMMENDED PRICES'!$B$20:$F$76,5,0)*F63),0)</f>
        <v>508980000</v>
      </c>
      <c r="D63" s="208" cm="1">
        <f t="array" ref="D63">C63/$C$80</f>
        <v>0.0519738323425751</v>
      </c>
      <c r="E63" s="207"/>
      <c r="F63" s="223" cm="1">
        <f t="array" ref="F63">VLOOKUP(B63,'Allocation OH and Target 2026'!$C$35:$K$91,9,0)</f>
        <v>17</v>
      </c>
      <c r="G63" s="16"/>
      <c r="H63" s="17"/>
      <c r="I63" s="17"/>
      <c r="J63" s="17"/>
      <c r="K63" s="18"/>
    </row>
    <row r="64" ht="13" customHeight="1">
      <c r="A64" s="12"/>
      <c r="B64" t="s" s="221">
        <v>209</v>
      </c>
      <c r="C64" s="222" cm="1">
        <f t="array" ref="C64">_xlfn.IFERROR((VLOOKUP(B64,'RECOMMENDED PRICES'!$B$20:$F$76,5,0)*F64),0)</f>
        <v>42420000</v>
      </c>
      <c r="D64" s="208" cm="1">
        <f t="array" ref="D64">C64/$C$80</f>
        <v>0.00433166326372753</v>
      </c>
      <c r="E64" s="207"/>
      <c r="F64" s="223" cm="1">
        <f t="array" ref="F64">VLOOKUP(B64,'Allocation OH and Target 2026'!$C$35:$K$91,9,0)</f>
        <v>3</v>
      </c>
      <c r="G64" s="16"/>
      <c r="H64" s="17"/>
      <c r="I64" s="17"/>
      <c r="J64" s="17"/>
      <c r="K64" s="18"/>
    </row>
    <row r="65" ht="13" customHeight="1">
      <c r="A65" s="12"/>
      <c r="B65" t="s" s="221">
        <v>210</v>
      </c>
      <c r="C65" s="222" cm="1">
        <f t="array" ref="C65">_xlfn.IFERROR((VLOOKUP(B65,'RECOMMENDED PRICES'!$B$20:$F$76,5,0)*F65),0)</f>
        <v>0</v>
      </c>
      <c r="D65" s="208" cm="1">
        <f t="array" ref="D65">C65/$C$80</f>
        <v>0</v>
      </c>
      <c r="E65" s="207"/>
      <c r="F65" s="223" cm="1">
        <f t="array" ref="F65">VLOOKUP(B65,'Allocation OH and Target 2026'!$C$35:$K$91,9,0)</f>
        <v>0</v>
      </c>
      <c r="G65" s="16"/>
      <c r="H65" s="17"/>
      <c r="I65" s="17"/>
      <c r="J65" s="17"/>
      <c r="K65" s="18"/>
    </row>
    <row r="66" ht="13" customHeight="1">
      <c r="A66" s="12"/>
      <c r="B66" t="s" s="221">
        <v>211</v>
      </c>
      <c r="C66" s="222" cm="1">
        <f t="array" ref="C66">_xlfn.IFERROR((VLOOKUP(B66,'RECOMMENDED PRICES'!$B$20:$F$76,5,0)*F66),0)</f>
        <v>0</v>
      </c>
      <c r="D66" s="208" cm="1">
        <f t="array" ref="D66">C66/$C$80</f>
        <v>0</v>
      </c>
      <c r="E66" s="207"/>
      <c r="F66" s="223" cm="1">
        <f t="array" ref="F66">VLOOKUP(B66,'Allocation OH and Target 2026'!$C$35:$K$91,9,0)</f>
        <v>0</v>
      </c>
      <c r="G66" s="16"/>
      <c r="H66" s="17"/>
      <c r="I66" s="17"/>
      <c r="J66" s="17"/>
      <c r="K66" s="18"/>
    </row>
    <row r="67" ht="13" customHeight="1">
      <c r="A67" s="12"/>
      <c r="B67" t="s" s="221">
        <v>212</v>
      </c>
      <c r="C67" s="222" cm="1">
        <f t="array" ref="C67">_xlfn.IFERROR((VLOOKUP(B67,'RECOMMENDED PRICES'!$B$20:$F$76,5,0)*F67),0)</f>
        <v>56220000</v>
      </c>
      <c r="D67" s="208" cm="1">
        <f t="array" ref="D67">C67/$C$80</f>
        <v>0.00574083235942389</v>
      </c>
      <c r="E67" s="207"/>
      <c r="F67" s="223" cm="1">
        <f t="array" ref="F67">VLOOKUP(B67,'Allocation OH and Target 2026'!$C$35:$K$91,9,0)</f>
        <v>3</v>
      </c>
      <c r="G67" s="16"/>
      <c r="H67" s="17"/>
      <c r="I67" s="17"/>
      <c r="J67" s="17"/>
      <c r="K67" s="18"/>
    </row>
    <row r="68" ht="13" customHeight="1">
      <c r="A68" s="12"/>
      <c r="B68" t="s" s="221">
        <v>213</v>
      </c>
      <c r="C68" s="222" cm="1">
        <f t="array" ref="C68">_xlfn.IFERROR((VLOOKUP(B68,'RECOMMENDED PRICES'!$B$20:$F$76,5,0)*F68),0)</f>
        <v>84120000</v>
      </c>
      <c r="D68" s="208" cm="1">
        <f t="array" ref="D68">C68/$C$80</f>
        <v>0.00858980466159264</v>
      </c>
      <c r="E68" s="207"/>
      <c r="F68" s="223" cm="1">
        <f t="array" ref="F68">VLOOKUP(B68,'Allocation OH and Target 2026'!$C$35:$K$91,9,0)</f>
        <v>3</v>
      </c>
      <c r="G68" s="16"/>
      <c r="H68" s="17"/>
      <c r="I68" s="17"/>
      <c r="J68" s="17"/>
      <c r="K68" s="18"/>
    </row>
    <row r="69" ht="13" customHeight="1">
      <c r="A69" s="12"/>
      <c r="B69" t="s" s="221">
        <v>99</v>
      </c>
      <c r="C69" s="222" cm="1">
        <f t="array" ref="C69">_xlfn.IFERROR((VLOOKUP(B69,'RECOMMENDED PRICES'!$B$20:$F$76,5,0)*F69),0)</f>
        <v>0</v>
      </c>
      <c r="D69" s="208" cm="1">
        <f t="array" ref="D69">C69/$C$80</f>
        <v>0</v>
      </c>
      <c r="E69" s="207"/>
      <c r="F69" s="223" cm="1">
        <f t="array" ref="F69">VLOOKUP(B69,'Allocation OH and Target 2026'!$C$35:$K$91,9,0)</f>
        <v>0</v>
      </c>
      <c r="G69" s="16"/>
      <c r="H69" s="17"/>
      <c r="I69" s="17"/>
      <c r="J69" s="17"/>
      <c r="K69" s="18"/>
    </row>
    <row r="70" ht="13" customHeight="1">
      <c r="A70" s="12"/>
      <c r="B70" t="s" s="221">
        <v>101</v>
      </c>
      <c r="C70" s="222" cm="1">
        <f t="array" ref="C70">_xlfn.IFERROR((VLOOKUP(B70,'RECOMMENDED PRICES'!$B$20:$F$76,5,0)*F70),0)</f>
        <v>508980000</v>
      </c>
      <c r="D70" s="208" cm="1">
        <f t="array" ref="D70">C70/$C$80</f>
        <v>0.0519738323425751</v>
      </c>
      <c r="E70" s="207"/>
      <c r="F70" s="223" cm="1">
        <f t="array" ref="F70">VLOOKUP(B70,'Allocation OH and Target 2026'!$C$35:$K$91,9,0)</f>
        <v>17</v>
      </c>
      <c r="G70" s="16"/>
      <c r="H70" s="17"/>
      <c r="I70" s="17"/>
      <c r="J70" s="17"/>
      <c r="K70" s="18"/>
    </row>
    <row r="71" ht="13" customHeight="1">
      <c r="A71" s="12"/>
      <c r="B71" t="s" s="221">
        <v>102</v>
      </c>
      <c r="C71" s="222" cm="1">
        <f t="array" ref="C71">_xlfn.IFERROR((VLOOKUP(B71,'RECOMMENDED PRICES'!$B$20:$F$76,5,0)*F71),0)</f>
        <v>0</v>
      </c>
      <c r="D71" s="208" cm="1">
        <f t="array" ref="D71">C71/$C$80</f>
        <v>0</v>
      </c>
      <c r="E71" s="207"/>
      <c r="F71" s="223" cm="1">
        <f t="array" ref="F71">VLOOKUP(B71,'Allocation OH and Target 2026'!$C$35:$K$91,9,0)</f>
        <v>0</v>
      </c>
      <c r="G71" s="16"/>
      <c r="H71" s="17"/>
      <c r="I71" s="17"/>
      <c r="J71" s="17"/>
      <c r="K71" s="18"/>
    </row>
    <row r="72" ht="13" customHeight="1">
      <c r="A72" s="12"/>
      <c r="B72" t="s" s="221">
        <v>103</v>
      </c>
      <c r="C72" s="222" cm="1">
        <f t="array" ref="C72">_xlfn.IFERROR((VLOOKUP(B72,'RECOMMENDED PRICES'!$B$20:$F$76,5,0)*F72),0)</f>
        <v>71400000</v>
      </c>
      <c r="D72" s="208" cm="1">
        <f t="array" ref="D72">C72/$C$80</f>
        <v>0.0072909183646899</v>
      </c>
      <c r="E72" s="207"/>
      <c r="F72" s="223" cm="1">
        <f t="array" ref="F72">VLOOKUP(B72,'Allocation OH and Target 2026'!$C$35:$K$91,9,0)</f>
        <v>119</v>
      </c>
      <c r="G72" s="16"/>
      <c r="H72" s="17"/>
      <c r="I72" s="17"/>
      <c r="J72" s="17"/>
      <c r="K72" s="18"/>
    </row>
    <row r="73" ht="13" customHeight="1">
      <c r="A73" s="12"/>
      <c r="B73" t="s" s="221">
        <v>105</v>
      </c>
      <c r="C73" s="222" cm="1">
        <f t="array" ref="C73">_xlfn.IFERROR((VLOOKUP(B73,'RECOMMENDED PRICES'!$B$20:$F$76,5,0)*F73),0)</f>
        <v>1586880000</v>
      </c>
      <c r="D73" s="208" cm="1">
        <f t="array" ref="D73">C73/$C$80</f>
        <v>0.162042192360772</v>
      </c>
      <c r="E73" s="207"/>
      <c r="F73" s="223" cm="1">
        <f t="array" ref="F73">VLOOKUP(B73,'Allocation OH and Target 2026'!$C$35:$K$91,9,0)</f>
        <v>57</v>
      </c>
      <c r="G73" s="16"/>
      <c r="H73" s="17"/>
      <c r="I73" s="17"/>
      <c r="J73" s="17"/>
      <c r="K73" s="18"/>
    </row>
    <row r="74" ht="13" customHeight="1">
      <c r="A74" s="12"/>
      <c r="B74" t="s" s="221">
        <v>106</v>
      </c>
      <c r="C74" s="222" cm="1">
        <f t="array" ref="C74">_xlfn.IFERROR((VLOOKUP(B74,'RECOMMENDED PRICES'!$B$20:$F$76,5,0)*F74),0)</f>
        <v>1237600000</v>
      </c>
      <c r="D74" s="208" cm="1">
        <f t="array" ref="D74">C74/$C$80</f>
        <v>0.126375918321292</v>
      </c>
      <c r="E74" s="207"/>
      <c r="F74" s="223" cm="1">
        <f t="array" ref="F74">VLOOKUP(B74,'Allocation OH and Target 2026'!$C$35:$K$91,9,0)</f>
        <v>40</v>
      </c>
      <c r="G74" s="16"/>
      <c r="H74" s="17"/>
      <c r="I74" s="17"/>
      <c r="J74" s="17"/>
      <c r="K74" s="18"/>
    </row>
    <row r="75" ht="13" customHeight="1">
      <c r="A75" s="12"/>
      <c r="B75" t="s" s="221">
        <v>107</v>
      </c>
      <c r="C75" s="222" cm="1">
        <f t="array" ref="C75">_xlfn.IFERROR((VLOOKUP(B75,'RECOMMENDED PRICES'!$B$20:$F$76,5,0)*F75),0)</f>
        <v>21720000</v>
      </c>
      <c r="D75" s="208" cm="1">
        <f t="array" ref="D75">C75/$C$80</f>
        <v>0.00221790962018298</v>
      </c>
      <c r="E75" s="207"/>
      <c r="F75" s="223" cm="1">
        <f t="array" ref="F75">VLOOKUP(B75,'Allocation OH and Target 2026'!$C$35:$K$91,9,0)</f>
        <v>3</v>
      </c>
      <c r="G75" s="16"/>
      <c r="H75" s="17"/>
      <c r="I75" s="17"/>
      <c r="J75" s="17"/>
      <c r="K75" s="18"/>
    </row>
    <row r="76" ht="13" customHeight="1">
      <c r="A76" s="12"/>
      <c r="B76" t="s" s="221">
        <v>108</v>
      </c>
      <c r="C76" s="222" cm="1">
        <f t="array" ref="C76">_xlfn.IFERROR((VLOOKUP(B76,'RECOMMENDED PRICES'!$B$20:$F$76,5,0)*F76),0)</f>
        <v>0</v>
      </c>
      <c r="D76" s="208" cm="1">
        <f t="array" ref="D76">C76/$C$80</f>
        <v>0</v>
      </c>
      <c r="E76" s="207"/>
      <c r="F76" s="223" cm="1">
        <f t="array" ref="F76">VLOOKUP(B76,'Allocation OH and Target 2026'!$C$35:$K$91,9,0)</f>
        <v>0</v>
      </c>
      <c r="G76" s="16"/>
      <c r="H76" s="17"/>
      <c r="I76" s="17"/>
      <c r="J76" s="17"/>
      <c r="K76" s="18"/>
    </row>
    <row r="77" ht="13" customHeight="1">
      <c r="A77" s="12"/>
      <c r="B77" t="s" s="221">
        <v>110</v>
      </c>
      <c r="C77" s="222" cm="1">
        <f t="array" ref="C77">_xlfn.IFERROR((VLOOKUP(B77,'RECOMMENDED PRICES'!$B$20:$F$76,5,0)*F77),0)</f>
        <v>64650000</v>
      </c>
      <c r="D77" s="208" cm="1">
        <f t="array" ref="D77">C77/$C$80</f>
        <v>0.00660165087222972</v>
      </c>
      <c r="E77" s="207"/>
      <c r="F77" s="223" cm="1">
        <f t="array" ref="F77">VLOOKUP(B77,'Allocation OH and Target 2026'!$C$35:$K$91,9,0)</f>
        <v>3</v>
      </c>
      <c r="G77" s="16"/>
      <c r="H77" s="17"/>
      <c r="I77" s="17"/>
      <c r="J77" s="17"/>
      <c r="K77" s="18"/>
    </row>
    <row r="78" ht="13" customHeight="1">
      <c r="A78" s="12"/>
      <c r="B78" t="s" s="221">
        <v>111</v>
      </c>
      <c r="C78" s="222" cm="1">
        <f t="array" ref="C78">_xlfn.IFERROR((VLOOKUP(B78,'RECOMMENDED PRICES'!$B$20:$F$76,5,0)*F78),0)</f>
        <v>803250000</v>
      </c>
      <c r="D78" s="208" cm="1">
        <f t="array" ref="D78">C78/$C$80</f>
        <v>0.0820228316027614</v>
      </c>
      <c r="E78" s="207"/>
      <c r="F78" s="223" cm="1">
        <f t="array" ref="F78">VLOOKUP(B78,'Allocation OH and Target 2026'!$C$35:$K$91,9,0)</f>
        <v>153</v>
      </c>
      <c r="G78" s="16"/>
      <c r="H78" s="17"/>
      <c r="I78" s="17"/>
      <c r="J78" s="17"/>
      <c r="K78" s="18"/>
    </row>
    <row r="79" ht="13" customHeight="1">
      <c r="A79" s="12"/>
      <c r="B79" t="s" s="221">
        <v>214</v>
      </c>
      <c r="C79" s="222" cm="1">
        <f t="array" ref="C79">_xlfn.IFERROR((VLOOKUP(B79,'RECOMMENDED PRICES'!$B$20:$F$76,5,0)*F79),0)</f>
        <v>0</v>
      </c>
      <c r="D79" s="208" cm="1">
        <f t="array" ref="D79">C79/$C$80</f>
        <v>0</v>
      </c>
      <c r="E79" s="207"/>
      <c r="F79" s="223" cm="1">
        <f t="array" ref="F79">VLOOKUP(B79,'Allocation OH and Target 2026'!$C$35:$K$91,9,0)</f>
        <v>3</v>
      </c>
      <c r="G79" s="16"/>
      <c r="H79" s="17"/>
      <c r="I79" s="17"/>
      <c r="J79" s="17"/>
      <c r="K79" s="18"/>
    </row>
    <row r="80" ht="13" customHeight="1">
      <c r="A80" s="12"/>
      <c r="B80" t="s" s="206">
        <v>215</v>
      </c>
      <c r="C80" s="207" cm="1">
        <f t="array" ref="C80">SUM(C26:C79)</f>
        <v>9793005000</v>
      </c>
      <c r="D80" s="219" cm="1">
        <f t="array" ref="D80">C80/$C$80</f>
        <v>1</v>
      </c>
      <c r="E80" s="207"/>
      <c r="F80" s="220"/>
      <c r="G80" s="16"/>
      <c r="H80" s="17"/>
      <c r="I80" s="17"/>
      <c r="J80" s="17"/>
      <c r="K80" s="18"/>
    </row>
    <row r="81" ht="13" customHeight="1">
      <c r="A81" s="12"/>
      <c r="B81" s="202"/>
      <c r="C81" s="207"/>
      <c r="D81" s="204"/>
      <c r="E81" s="207"/>
      <c r="F81" s="220"/>
      <c r="G81" s="16"/>
      <c r="H81" s="17"/>
      <c r="I81" s="17"/>
      <c r="J81" s="17"/>
      <c r="K81" s="18"/>
    </row>
    <row r="82" ht="9" customHeight="1" hidden="1">
      <c r="A82" s="12"/>
      <c r="B82" t="s" s="211">
        <v>216</v>
      </c>
      <c r="C82" s="212">
        <v>0</v>
      </c>
      <c r="D82" s="224" cm="1">
        <f t="array" ref="D82">C82/$C$93</f>
      </c>
      <c r="E82" s="212"/>
      <c r="F82" s="213">
        <v>0</v>
      </c>
      <c r="G82" s="16"/>
      <c r="H82" s="171"/>
      <c r="I82" s="17"/>
      <c r="J82" s="17"/>
      <c r="K82" s="18"/>
    </row>
    <row r="83" ht="9" customHeight="1" hidden="1">
      <c r="A83" s="12"/>
      <c r="B83" t="s" s="211">
        <v>217</v>
      </c>
      <c r="C83" s="212">
        <v>0</v>
      </c>
      <c r="D83" s="224" cm="1">
        <f t="array" ref="D83">C83/$C$93</f>
      </c>
      <c r="E83" s="212"/>
      <c r="F83" s="213">
        <v>0</v>
      </c>
      <c r="G83" s="16"/>
      <c r="H83" s="17"/>
      <c r="I83" s="17"/>
      <c r="J83" s="17"/>
      <c r="K83" s="18"/>
    </row>
    <row r="84" ht="9" customHeight="1" hidden="1">
      <c r="A84" s="12"/>
      <c r="B84" t="s" s="211">
        <v>218</v>
      </c>
      <c r="C84" s="212">
        <v>0</v>
      </c>
      <c r="D84" s="224" cm="1">
        <f t="array" ref="D84">C84/$C$93</f>
      </c>
      <c r="E84" s="212"/>
      <c r="F84" s="213">
        <v>0</v>
      </c>
      <c r="G84" s="16"/>
      <c r="H84" s="17"/>
      <c r="I84" s="17"/>
      <c r="J84" s="17"/>
      <c r="K84" s="18"/>
    </row>
    <row r="85" ht="9" customHeight="1" hidden="1">
      <c r="A85" s="12"/>
      <c r="B85" t="s" s="211">
        <v>219</v>
      </c>
      <c r="C85" s="212">
        <v>0</v>
      </c>
      <c r="D85" s="224" cm="1">
        <f t="array" ref="D85">C85/$C$93</f>
      </c>
      <c r="E85" s="212"/>
      <c r="F85" s="213">
        <v>0</v>
      </c>
      <c r="G85" s="16"/>
      <c r="H85" s="17"/>
      <c r="I85" s="17"/>
      <c r="J85" s="17"/>
      <c r="K85" s="18"/>
    </row>
    <row r="86" ht="9" customHeight="1" hidden="1">
      <c r="A86" s="12"/>
      <c r="B86" t="s" s="211">
        <v>220</v>
      </c>
      <c r="C86" s="212">
        <v>0</v>
      </c>
      <c r="D86" s="224" cm="1">
        <f t="array" ref="D86">C86/$C$93</f>
      </c>
      <c r="E86" s="212"/>
      <c r="F86" s="213">
        <v>0</v>
      </c>
      <c r="G86" s="16"/>
      <c r="H86" s="17"/>
      <c r="I86" s="17"/>
      <c r="J86" s="17"/>
      <c r="K86" s="18"/>
    </row>
    <row r="87" ht="9" customHeight="1" hidden="1">
      <c r="A87" s="12"/>
      <c r="B87" t="s" s="211">
        <v>221</v>
      </c>
      <c r="C87" s="212">
        <v>0</v>
      </c>
      <c r="D87" s="224" cm="1">
        <f t="array" ref="D87">C87/$C$93</f>
      </c>
      <c r="E87" s="212"/>
      <c r="F87" s="213">
        <v>0</v>
      </c>
      <c r="G87" s="16"/>
      <c r="H87" s="17"/>
      <c r="I87" s="17"/>
      <c r="J87" s="17"/>
      <c r="K87" s="18"/>
    </row>
    <row r="88" ht="9" customHeight="1" hidden="1">
      <c r="A88" s="12"/>
      <c r="B88" t="s" s="211">
        <v>222</v>
      </c>
      <c r="C88" s="212">
        <v>0</v>
      </c>
      <c r="D88" s="224" cm="1">
        <f t="array" ref="D88">C88/$C$93</f>
      </c>
      <c r="E88" s="212"/>
      <c r="F88" s="213">
        <v>0</v>
      </c>
      <c r="G88" s="16"/>
      <c r="H88" s="17"/>
      <c r="I88" s="17"/>
      <c r="J88" s="17"/>
      <c r="K88" s="18"/>
    </row>
    <row r="89" ht="9" customHeight="1" hidden="1">
      <c r="A89" s="12"/>
      <c r="B89" t="s" s="211">
        <v>223</v>
      </c>
      <c r="C89" s="212">
        <v>0</v>
      </c>
      <c r="D89" s="224" cm="1">
        <f t="array" ref="D89">C89/$C$93</f>
      </c>
      <c r="E89" s="212"/>
      <c r="F89" s="213">
        <v>0</v>
      </c>
      <c r="G89" s="16"/>
      <c r="H89" s="17"/>
      <c r="I89" s="17"/>
      <c r="J89" s="17"/>
      <c r="K89" s="18"/>
    </row>
    <row r="90" ht="9" customHeight="1" hidden="1">
      <c r="A90" s="12"/>
      <c r="B90" t="s" s="211">
        <v>224</v>
      </c>
      <c r="C90" s="212">
        <v>0</v>
      </c>
      <c r="D90" s="224" cm="1">
        <f t="array" ref="D90">C90/$C$93</f>
      </c>
      <c r="E90" s="212"/>
      <c r="F90" s="213">
        <v>0</v>
      </c>
      <c r="G90" s="16"/>
      <c r="H90" s="17"/>
      <c r="I90" s="17"/>
      <c r="J90" s="17"/>
      <c r="K90" s="18"/>
    </row>
    <row r="91" ht="9" customHeight="1" hidden="1">
      <c r="A91" s="12"/>
      <c r="B91" t="s" s="211">
        <v>225</v>
      </c>
      <c r="C91" s="212">
        <v>0</v>
      </c>
      <c r="D91" s="224" cm="1">
        <f t="array" ref="D91">C91/$C$93</f>
      </c>
      <c r="E91" s="212"/>
      <c r="F91" s="213">
        <v>0</v>
      </c>
      <c r="G91" s="16"/>
      <c r="H91" s="17"/>
      <c r="I91" s="17"/>
      <c r="J91" s="17"/>
      <c r="K91" s="18"/>
    </row>
    <row r="92" ht="9" customHeight="1" hidden="1">
      <c r="A92" s="12"/>
      <c r="B92" t="s" s="211">
        <v>226</v>
      </c>
      <c r="C92" s="212">
        <v>0</v>
      </c>
      <c r="D92" s="224" cm="1">
        <f t="array" ref="D92">C92/$C$93</f>
      </c>
      <c r="E92" s="212"/>
      <c r="F92" s="213">
        <v>0</v>
      </c>
      <c r="G92" s="16"/>
      <c r="H92" s="17"/>
      <c r="I92" s="17"/>
      <c r="J92" s="17"/>
      <c r="K92" s="18"/>
    </row>
    <row r="93" ht="13" customHeight="1">
      <c r="A93" s="12"/>
      <c r="B93" t="s" s="206">
        <v>227</v>
      </c>
      <c r="C93" s="207" cm="1">
        <f t="array" ref="C93">SUM(C82:C92)</f>
        <v>0</v>
      </c>
      <c r="D93" s="225" cm="1">
        <f t="array" ref="D93">C93/$C$93</f>
      </c>
      <c r="E93" s="207"/>
      <c r="F93" s="220" cm="1">
        <f t="array" ref="F93">SUM(F82:F92)</f>
        <v>0</v>
      </c>
      <c r="G93" s="16"/>
      <c r="H93" s="17"/>
      <c r="I93" s="17"/>
      <c r="J93" s="17"/>
      <c r="K93" s="18"/>
    </row>
    <row r="94" ht="13" customHeight="1">
      <c r="A94" s="12"/>
      <c r="B94" s="202"/>
      <c r="C94" s="207"/>
      <c r="D94" s="204"/>
      <c r="E94" s="207"/>
      <c r="F94" s="220"/>
      <c r="G94" s="16"/>
      <c r="H94" s="17"/>
      <c r="I94" s="17"/>
      <c r="J94" s="17"/>
      <c r="K94" s="18"/>
    </row>
    <row r="95" ht="14" customHeight="1">
      <c r="A95" s="12"/>
      <c r="B95" t="s" s="221">
        <v>228</v>
      </c>
      <c r="C95" s="212" cm="1">
        <f t="array" ref="C95">D95*$C$108</f>
        <v>5497288271.37917</v>
      </c>
      <c r="D95" s="208" cm="1">
        <f t="array" ref="D95">F95/$F$108</f>
        <v>0.120902480149658</v>
      </c>
      <c r="E95" s="212"/>
      <c r="F95" s="213" cm="1">
        <f t="array" ref="F95">$F$108*'Actual Sales 2025'!D22</f>
        <v>3765.2659393008</v>
      </c>
      <c r="G95" s="16"/>
      <c r="H95" s="17"/>
      <c r="I95" s="17"/>
      <c r="J95" s="17"/>
      <c r="K95" s="18"/>
    </row>
    <row r="96" ht="14" customHeight="1">
      <c r="A96" s="12"/>
      <c r="B96" t="s" s="221">
        <v>229</v>
      </c>
      <c r="C96" s="212" cm="1">
        <f t="array" ref="C96">D96*$C$108</f>
        <v>55063901.0174885</v>
      </c>
      <c r="D96" s="208" cm="1">
        <f t="array" ref="D96">F96/$F$108</f>
        <v>0.0012110265773018</v>
      </c>
      <c r="E96" s="212"/>
      <c r="F96" s="213" cm="1">
        <f t="array" ref="F96">$F$108*'Actual Sales 2025'!D23</f>
        <v>37.715000696910</v>
      </c>
      <c r="G96" s="16"/>
      <c r="H96" s="17"/>
      <c r="I96" s="17"/>
      <c r="J96" s="17"/>
      <c r="K96" s="18"/>
    </row>
    <row r="97" ht="14" customHeight="1">
      <c r="A97" s="12"/>
      <c r="B97" t="s" s="221">
        <v>230</v>
      </c>
      <c r="C97" s="212" cm="1">
        <f t="array" ref="C97">D97*$C$108</f>
        <v>8094153084.76935</v>
      </c>
      <c r="D97" s="208" cm="1">
        <f t="array" ref="D97">F97/$F$108</f>
        <v>0.178015620493212</v>
      </c>
      <c r="E97" s="212"/>
      <c r="F97" s="213" cm="1">
        <f t="array" ref="F97">$F$108*'Actual Sales 2025'!D24</f>
        <v>5543.9404690201</v>
      </c>
      <c r="G97" s="16"/>
      <c r="H97" s="17"/>
      <c r="I97" s="17"/>
      <c r="J97" s="17"/>
      <c r="K97" s="18"/>
    </row>
    <row r="98" ht="14" customHeight="1">
      <c r="A98" s="12"/>
      <c r="B98" t="s" s="221">
        <v>231</v>
      </c>
      <c r="C98" s="212" cm="1">
        <f t="array" ref="C98">D98*$C$108</f>
        <v>15091085.5467674</v>
      </c>
      <c r="D98" s="208" cm="1">
        <f t="array" ref="D98">F98/$F$108</f>
        <v>0.000331899944242343</v>
      </c>
      <c r="E98" s="212"/>
      <c r="F98" s="213" cm="1">
        <f t="array" ref="F98">$F$108*'Actual Sales 2025'!D25</f>
        <v>10.3363599635393</v>
      </c>
      <c r="G98" s="16"/>
      <c r="H98" s="17"/>
      <c r="I98" s="17"/>
      <c r="J98" s="17"/>
      <c r="K98" s="18"/>
    </row>
    <row r="99" ht="14" customHeight="1">
      <c r="A99" s="12"/>
      <c r="B99" t="s" s="221">
        <v>232</v>
      </c>
      <c r="C99" s="212" cm="1">
        <f t="array" ref="C99">D99*$C$108</f>
        <v>5726988324.98519</v>
      </c>
      <c r="D99" s="208" cm="1">
        <f t="array" ref="D99">F99/$F$108</f>
        <v>0.125954299301305</v>
      </c>
      <c r="E99" s="212"/>
      <c r="F99" s="213" cm="1">
        <f t="array" ref="F99">$F$108*'Actual Sales 2025'!D26</f>
        <v>3922.594743140540</v>
      </c>
      <c r="G99" s="16"/>
      <c r="H99" s="17"/>
      <c r="I99" s="17"/>
      <c r="J99" s="17"/>
      <c r="K99" s="18"/>
    </row>
    <row r="100" ht="14" customHeight="1">
      <c r="A100" s="12"/>
      <c r="B100" t="s" s="221">
        <v>233</v>
      </c>
      <c r="C100" s="212" cm="1">
        <f t="array" ref="C100">D100*$C$108</f>
        <v>4691946644.69942</v>
      </c>
      <c r="D100" s="208" cm="1">
        <f t="array" ref="D100">F100/$F$108</f>
        <v>0.103190511042949</v>
      </c>
      <c r="E100" s="212"/>
      <c r="F100" s="213" cm="1">
        <f t="array" ref="F100">$F$108*'Actual Sales 2025'!D27</f>
        <v>3213.662085410560</v>
      </c>
      <c r="G100" s="16"/>
      <c r="H100" s="17"/>
      <c r="I100" s="17"/>
      <c r="J100" s="17"/>
      <c r="K100" s="18"/>
    </row>
    <row r="101" ht="14" customHeight="1">
      <c r="A101" s="12"/>
      <c r="B101" t="s" s="221">
        <v>234</v>
      </c>
      <c r="C101" s="212" cm="1">
        <f t="array" ref="C101">D101*$C$108</f>
        <v>18201840897.204</v>
      </c>
      <c r="D101" s="208" cm="1">
        <f t="array" ref="D101">F101/$F$108</f>
        <v>0.400315137050169</v>
      </c>
      <c r="E101" s="212"/>
      <c r="F101" s="213" cm="1">
        <f t="array" ref="F101">$F$108*'Actual Sales 2025'!D28</f>
        <v>12467.0143131534</v>
      </c>
      <c r="G101" s="16"/>
      <c r="H101" s="17"/>
      <c r="I101" s="17"/>
      <c r="J101" s="17"/>
      <c r="K101" s="18"/>
    </row>
    <row r="102" ht="14" customHeight="1">
      <c r="A102" s="12"/>
      <c r="B102" t="s" s="221">
        <v>235</v>
      </c>
      <c r="C102" s="212" cm="1">
        <f t="array" ref="C102">D102*$C$108</f>
        <v>211095172.364388</v>
      </c>
      <c r="D102" s="208" cm="1">
        <f t="array" ref="D102">F102/$F$108</f>
        <v>0.00464263990290454</v>
      </c>
      <c r="E102" s="212"/>
      <c r="F102" s="213" cm="1">
        <f t="array" ref="F102">$F$108*'Actual Sales 2025'!D29</f>
        <v>144.585734496156</v>
      </c>
      <c r="G102" s="16"/>
      <c r="H102" s="17"/>
      <c r="I102" s="17"/>
      <c r="J102" s="17"/>
      <c r="K102" s="18"/>
    </row>
    <row r="103" ht="14" customHeight="1">
      <c r="A103" s="12"/>
      <c r="B103" t="s" s="221">
        <v>236</v>
      </c>
      <c r="C103" s="212" cm="1">
        <f t="array" ref="C103">D103*$C$108</f>
        <v>88674749.3654965</v>
      </c>
      <c r="D103" s="208" cm="1">
        <f t="array" ref="D103">F103/$F$108</f>
        <v>0.00195023375083951</v>
      </c>
      <c r="E103" s="212"/>
      <c r="F103" s="213" cm="1">
        <f t="array" ref="F103">$F$108*'Actual Sales 2025'!D30</f>
        <v>60.7361297023949</v>
      </c>
      <c r="G103" s="16"/>
      <c r="H103" s="17"/>
      <c r="I103" s="17"/>
      <c r="J103" s="17"/>
      <c r="K103" s="18"/>
    </row>
    <row r="104" ht="14" customHeight="1">
      <c r="A104" s="12"/>
      <c r="B104" t="s" s="221">
        <v>237</v>
      </c>
      <c r="C104" s="212" cm="1">
        <f t="array" ref="C104">D104*$C$108</f>
        <v>246721556.549042</v>
      </c>
      <c r="D104" s="208" cm="1">
        <f t="array" ref="D104">F104/$F$108</f>
        <v>0.00542617498312122</v>
      </c>
      <c r="E104" s="212"/>
      <c r="F104" s="213" cm="1">
        <f t="array" ref="F104">$F$108*'Actual Sales 2025'!D31</f>
        <v>168.987367499344</v>
      </c>
      <c r="G104" s="16"/>
      <c r="H104" s="17"/>
      <c r="I104" s="17"/>
      <c r="J104" s="17"/>
      <c r="K104" s="18"/>
    </row>
    <row r="105" ht="14" customHeight="1">
      <c r="A105" s="12"/>
      <c r="B105" t="s" s="221">
        <v>238</v>
      </c>
      <c r="C105" s="212" cm="1">
        <f t="array" ref="C105">D105*$C$108</f>
        <v>451279948.542906</v>
      </c>
      <c r="D105" s="208" cm="1">
        <f t="array" ref="D105">F105/$F$108</f>
        <v>0.009925050739054491</v>
      </c>
      <c r="E105" s="212"/>
      <c r="F105" s="213" cm="1">
        <f t="array" ref="F105">$F$108*'Actual Sales 2025'!D32</f>
        <v>309.095855166374</v>
      </c>
      <c r="G105" s="16"/>
      <c r="H105" s="17"/>
      <c r="I105" s="17"/>
      <c r="J105" s="17"/>
      <c r="K105" s="18"/>
    </row>
    <row r="106" ht="14" customHeight="1">
      <c r="A106" s="12"/>
      <c r="B106" t="s" s="221">
        <v>239</v>
      </c>
      <c r="C106" s="212" cm="1">
        <f t="array" ref="C106">D106*$C$108</f>
        <v>591972816.8407</v>
      </c>
      <c r="D106" s="208" cm="1">
        <f t="array" ref="D106">F106/$F$108</f>
        <v>0.0130193248387289</v>
      </c>
      <c r="E106" s="212"/>
      <c r="F106" s="213" cm="1">
        <f t="array" ref="F106">$F$108*'Actual Sales 2025'!D33</f>
        <v>405.460833452534</v>
      </c>
      <c r="G106" s="16"/>
      <c r="H106" s="17"/>
      <c r="I106" s="17"/>
      <c r="J106" s="17"/>
      <c r="K106" s="18"/>
    </row>
    <row r="107" ht="14" customHeight="1">
      <c r="A107" s="12"/>
      <c r="B107" t="s" s="221">
        <v>240</v>
      </c>
      <c r="C107" s="212" cm="1">
        <f t="array" ref="C107">D107*$C$108</f>
        <v>1596663546.73622</v>
      </c>
      <c r="D107" s="208" cm="1">
        <f t="array" ref="D107">F107/$F$108</f>
        <v>0.0351156012265167</v>
      </c>
      <c r="E107" s="212"/>
      <c r="F107" s="213" cm="1">
        <f t="array" ref="F107">$F$108*'Actual Sales 2025'!D34</f>
        <v>1093.605168997410</v>
      </c>
      <c r="G107" s="16"/>
      <c r="H107" s="17"/>
      <c r="I107" s="17"/>
      <c r="J107" s="17"/>
      <c r="K107" s="18"/>
    </row>
    <row r="108" ht="13" customHeight="1">
      <c r="A108" s="12"/>
      <c r="B108" t="s" s="206">
        <v>241</v>
      </c>
      <c r="C108" s="207" cm="1">
        <f t="array" ref="C108">'RECOMMENDED PRICES'!C8*F108</f>
        <v>45468780000</v>
      </c>
      <c r="D108" s="219" cm="1">
        <f t="array" ref="D108">SUM(D95:D107)</f>
        <v>1</v>
      </c>
      <c r="E108" s="207"/>
      <c r="F108" s="220" cm="1">
        <f t="array" ref="F108">'Allocation OH and Target 2026'!M24</f>
        <v>31143</v>
      </c>
      <c r="G108" s="109"/>
      <c r="H108" s="17"/>
      <c r="I108" s="17"/>
      <c r="J108" s="17"/>
      <c r="K108" s="18"/>
    </row>
    <row r="109" ht="13" customHeight="1">
      <c r="A109" s="12"/>
      <c r="B109" s="202"/>
      <c r="C109" s="207"/>
      <c r="D109" s="204"/>
      <c r="E109" s="207"/>
      <c r="F109" s="220"/>
      <c r="G109" s="16"/>
      <c r="H109" s="17"/>
      <c r="I109" s="17"/>
      <c r="J109" s="17"/>
      <c r="K109" s="18"/>
    </row>
    <row r="110" ht="14" customHeight="1">
      <c r="A110" s="12"/>
      <c r="B110" t="s" s="211">
        <v>242</v>
      </c>
      <c r="C110" s="212" cm="1">
        <f t="array" ref="C110">'Trasnfers, Extras, Alco 2026'!G4</f>
        <v>4600800000</v>
      </c>
      <c r="D110" s="208" cm="1">
        <f t="array" ref="D110">C110/$C$117</f>
        <v>0.916941535211408</v>
      </c>
      <c r="E110" s="212"/>
      <c r="F110" s="213" cm="1">
        <f t="array" ref="F110">'Trasnfers, Extras, Alco 2026'!E4</f>
        <v>7668</v>
      </c>
      <c r="G110" s="16"/>
      <c r="H110" s="17"/>
      <c r="I110" s="17"/>
      <c r="J110" s="17"/>
      <c r="K110" s="18"/>
    </row>
    <row r="111" ht="14" customHeight="1">
      <c r="A111" s="12"/>
      <c r="B111" t="s" s="211">
        <v>243</v>
      </c>
      <c r="C111" s="212" cm="1">
        <f t="array" ref="C111">'Trasnfers, Extras, Alco 2026'!G5</f>
        <v>60600000</v>
      </c>
      <c r="D111" s="208" cm="1">
        <f t="array" ref="D111">C111/$C$117</f>
        <v>0.0120776075973334</v>
      </c>
      <c r="E111" s="212"/>
      <c r="F111" s="213" cm="1">
        <f t="array" ref="F111">'Trasnfers, Extras, Alco 2026'!E5</f>
        <v>202</v>
      </c>
      <c r="G111" s="16"/>
      <c r="H111" s="17"/>
      <c r="I111" s="17"/>
      <c r="J111" s="17"/>
      <c r="K111" s="18"/>
    </row>
    <row r="112" ht="14" customHeight="1">
      <c r="A112" s="12"/>
      <c r="B112" t="s" s="211">
        <v>244</v>
      </c>
      <c r="C112" s="212" cm="1">
        <f t="array" ref="C112">'Trasnfers, Extras, Alco 2026'!G6</f>
        <v>0</v>
      </c>
      <c r="D112" s="208" cm="1">
        <f t="array" ref="D112">C112/$C$117</f>
        <v>0</v>
      </c>
      <c r="E112" s="212"/>
      <c r="F112" s="213" cm="1">
        <f t="array" ref="F112">'Trasnfers, Extras, Alco 2026'!E6</f>
        <v>4477</v>
      </c>
      <c r="G112" s="16"/>
      <c r="H112" s="17"/>
      <c r="I112" s="17"/>
      <c r="J112" s="17"/>
      <c r="K112" s="18"/>
    </row>
    <row r="113" ht="14" customHeight="1">
      <c r="A113" s="12"/>
      <c r="B113" t="s" s="211">
        <v>245</v>
      </c>
      <c r="C113" s="212" cm="1">
        <f t="array" ref="C113">'Trasnfers, Extras, Alco 2026'!G7</f>
        <v>137400000</v>
      </c>
      <c r="D113" s="208" cm="1">
        <f t="array" ref="D113">C113/$C$117</f>
        <v>0.0273838825721717</v>
      </c>
      <c r="E113" s="212"/>
      <c r="F113" s="213" cm="1">
        <f t="array" ref="F113">'Trasnfers, Extras, Alco 2026'!E7</f>
        <v>458</v>
      </c>
      <c r="G113" s="16"/>
      <c r="H113" s="17"/>
      <c r="I113" s="17"/>
      <c r="J113" s="17"/>
      <c r="K113" s="18"/>
    </row>
    <row r="114" ht="14" customHeight="1">
      <c r="A114" s="12"/>
      <c r="B114" t="s" s="211">
        <v>246</v>
      </c>
      <c r="C114" s="212" cm="1">
        <f t="array" ref="C114">'Trasnfers, Extras, Alco 2026'!G8</f>
        <v>18900000</v>
      </c>
      <c r="D114" s="208" cm="1">
        <f t="array" ref="D114">C114/$C$117</f>
        <v>0.00376677860708912</v>
      </c>
      <c r="E114" s="212"/>
      <c r="F114" s="213" cm="1">
        <f t="array" ref="F114">'Trasnfers, Extras, Alco 2026'!E8</f>
        <v>27</v>
      </c>
      <c r="G114" s="16"/>
      <c r="H114" s="17"/>
      <c r="I114" s="17"/>
      <c r="J114" s="17"/>
      <c r="K114" s="18"/>
    </row>
    <row r="115" ht="14" customHeight="1">
      <c r="A115" s="12"/>
      <c r="B115" t="s" s="211">
        <v>247</v>
      </c>
      <c r="C115" s="212" cm="1">
        <f t="array" ref="C115">'Trasnfers, Extras, Alco 2026'!G9</f>
        <v>9450000</v>
      </c>
      <c r="D115" s="208" cm="1">
        <f t="array" ref="D115">C115/$C$117</f>
        <v>0.00188338930354456</v>
      </c>
      <c r="E115" s="212"/>
      <c r="F115" s="213" cm="1">
        <f t="array" ref="F115">'Trasnfers, Extras, Alco 2026'!E9</f>
        <v>27</v>
      </c>
      <c r="G115" s="16"/>
      <c r="H115" s="17"/>
      <c r="I115" s="17"/>
      <c r="J115" s="17"/>
      <c r="K115" s="18"/>
    </row>
    <row r="116" ht="14" customHeight="1">
      <c r="A116" s="12"/>
      <c r="B116" t="s" s="211">
        <v>248</v>
      </c>
      <c r="C116" s="212" cm="1">
        <f t="array" ref="C116">'Trasnfers, Extras, Alco 2026'!G10</f>
        <v>190400000</v>
      </c>
      <c r="D116" s="208" cm="1">
        <f t="array" ref="D116">C116/$C$117</f>
        <v>0.0379468067084533</v>
      </c>
      <c r="E116" s="212"/>
      <c r="F116" s="213" cm="1">
        <f t="array" ref="F116">'Trasnfers, Extras, Alco 2026'!E10</f>
        <v>544</v>
      </c>
      <c r="G116" s="16"/>
      <c r="H116" s="17"/>
      <c r="I116" s="17"/>
      <c r="J116" s="17"/>
      <c r="K116" s="18"/>
    </row>
    <row r="117" ht="13" customHeight="1">
      <c r="A117" s="12"/>
      <c r="B117" t="s" s="206">
        <v>249</v>
      </c>
      <c r="C117" s="207" cm="1">
        <f t="array" ref="C117">SUM(C110:C116)</f>
        <v>5017550000</v>
      </c>
      <c r="D117" s="219" cm="1">
        <f t="array" ref="D117">C117/$C$117</f>
        <v>1</v>
      </c>
      <c r="E117" s="207"/>
      <c r="F117" s="220" cm="1">
        <f t="array" ref="F117">SUM(F110:F116)</f>
        <v>13403</v>
      </c>
      <c r="G117" s="16"/>
      <c r="H117" s="17"/>
      <c r="I117" s="17"/>
      <c r="J117" s="17"/>
      <c r="K117" s="18"/>
    </row>
    <row r="118" ht="13" customHeight="1">
      <c r="A118" s="12"/>
      <c r="B118" s="202"/>
      <c r="C118" s="207"/>
      <c r="D118" s="204"/>
      <c r="E118" s="207"/>
      <c r="F118" s="220"/>
      <c r="G118" s="16"/>
      <c r="H118" s="17"/>
      <c r="I118" s="17"/>
      <c r="J118" s="17"/>
      <c r="K118" s="18"/>
    </row>
    <row r="119" ht="13" customHeight="1">
      <c r="A119" s="12"/>
      <c r="B119" t="s" s="206">
        <v>250</v>
      </c>
      <c r="C119" s="226" cm="1">
        <f t="array" ref="C119">'Trasnfers, Extras, Alco 2026'!G118</f>
        <v>2353500000</v>
      </c>
      <c r="D119" s="225">
        <v>1</v>
      </c>
      <c r="E119" s="226"/>
      <c r="F119" s="227" cm="1">
        <f t="array" ref="F119">'Trasnfers, Extras, Alco 2026'!E118</f>
        <v>2615</v>
      </c>
      <c r="G119" s="16"/>
      <c r="H119" s="17"/>
      <c r="I119" s="17"/>
      <c r="J119" s="17"/>
      <c r="K119" s="18"/>
    </row>
    <row r="120" ht="13" customHeight="1">
      <c r="A120" s="12"/>
      <c r="B120" s="202"/>
      <c r="C120" s="207"/>
      <c r="D120" s="204"/>
      <c r="E120" s="207"/>
      <c r="F120" s="220"/>
      <c r="G120" s="16"/>
      <c r="H120" s="17"/>
      <c r="I120" s="17"/>
      <c r="J120" s="17"/>
      <c r="K120" s="18"/>
    </row>
    <row r="121" ht="13" customHeight="1">
      <c r="A121" s="12"/>
      <c r="B121" t="s" s="206">
        <v>251</v>
      </c>
      <c r="C121" s="207" cm="1">
        <f t="array" ref="C121">'Trasnfers, Extras, Alco 2026'!G111</f>
        <v>1537440000</v>
      </c>
      <c r="D121" s="225">
        <v>1</v>
      </c>
      <c r="E121" s="207"/>
      <c r="F121" t="s" s="228">
        <v>252</v>
      </c>
      <c r="G121" s="16"/>
      <c r="H121" s="17"/>
      <c r="I121" s="17"/>
      <c r="J121" s="17"/>
      <c r="K121" s="18"/>
    </row>
    <row r="122" ht="13" customHeight="1">
      <c r="A122" s="12"/>
      <c r="B122" s="202"/>
      <c r="C122" s="207"/>
      <c r="D122" s="204"/>
      <c r="E122" s="207"/>
      <c r="F122" s="220"/>
      <c r="G122" s="16"/>
      <c r="H122" s="17"/>
      <c r="I122" s="17"/>
      <c r="J122" s="17"/>
      <c r="K122" s="18"/>
    </row>
    <row r="123" ht="14" customHeight="1">
      <c r="A123" s="12"/>
      <c r="B123" t="s" s="221">
        <v>253</v>
      </c>
      <c r="C123" s="212" cm="1">
        <f t="array" ref="C123">'Trasnfers, Extras, Alco 2026'!G37</f>
        <v>6000000</v>
      </c>
      <c r="D123" s="224" cm="1">
        <f t="array" ref="D123">C123/$C$144</f>
        <v>0.00846424702058505</v>
      </c>
      <c r="E123" s="212"/>
      <c r="F123" s="213" cm="1">
        <f t="array" ref="F123">'Trasnfers, Extras, Alco 2026'!E37</f>
        <v>12</v>
      </c>
      <c r="G123" s="16"/>
      <c r="H123" s="17"/>
      <c r="I123" s="17"/>
      <c r="J123" s="17"/>
      <c r="K123" s="18"/>
    </row>
    <row r="124" ht="14" customHeight="1">
      <c r="A124" s="12"/>
      <c r="B124" t="s" s="221">
        <v>254</v>
      </c>
      <c r="C124" s="212" cm="1">
        <f t="array" ref="C124">'Trasnfers, Extras, Alco 2026'!G38</f>
        <v>0</v>
      </c>
      <c r="D124" s="224" cm="1">
        <f t="array" ref="D124">C124/$C$144</f>
        <v>0</v>
      </c>
      <c r="E124" s="212"/>
      <c r="F124" s="213" cm="1">
        <f t="array" ref="F124">'Trasnfers, Extras, Alco 2026'!E38</f>
        <v>8.4</v>
      </c>
      <c r="G124" s="16"/>
      <c r="H124" s="17"/>
      <c r="I124" s="17"/>
      <c r="J124" s="17"/>
      <c r="K124" s="18"/>
    </row>
    <row r="125" ht="14" customHeight="1">
      <c r="A125" s="12"/>
      <c r="B125" t="s" s="221">
        <v>255</v>
      </c>
      <c r="C125" s="212" cm="1">
        <f t="array" ref="C125">'Trasnfers, Extras, Alco 2026'!G39</f>
        <v>0</v>
      </c>
      <c r="D125" s="224" cm="1">
        <f t="array" ref="D125">C125/$C$144</f>
        <v>0</v>
      </c>
      <c r="E125" s="212"/>
      <c r="F125" s="213" cm="1">
        <f t="array" ref="F125">'Trasnfers, Extras, Alco 2026'!E39</f>
        <v>13.2</v>
      </c>
      <c r="G125" s="16"/>
      <c r="H125" s="17"/>
      <c r="I125" s="17"/>
      <c r="J125" s="17"/>
      <c r="K125" s="18"/>
    </row>
    <row r="126" ht="14" customHeight="1">
      <c r="A126" s="12"/>
      <c r="B126" t="s" s="221">
        <v>256</v>
      </c>
      <c r="C126" s="212" cm="1">
        <f t="array" ref="C126">'Trasnfers, Extras, Alco 2026'!G40</f>
        <v>0</v>
      </c>
      <c r="D126" s="224" cm="1">
        <f t="array" ref="D126">C126/$C$144</f>
        <v>0</v>
      </c>
      <c r="E126" s="212"/>
      <c r="F126" s="213" cm="1">
        <f t="array" ref="F126">'Trasnfers, Extras, Alco 2026'!E40</f>
        <v>440.4</v>
      </c>
      <c r="G126" s="16"/>
      <c r="H126" s="17"/>
      <c r="I126" s="17"/>
      <c r="J126" s="17"/>
      <c r="K126" s="18"/>
    </row>
    <row r="127" ht="14" customHeight="1">
      <c r="A127" s="12"/>
      <c r="B127" t="s" s="221">
        <v>257</v>
      </c>
      <c r="C127" s="212" cm="1">
        <f t="array" ref="C127">'Trasnfers, Extras, Alco 2026'!G41</f>
        <v>0</v>
      </c>
      <c r="D127" s="224" cm="1">
        <f t="array" ref="D127">C127/$C$144</f>
        <v>0</v>
      </c>
      <c r="E127" s="212"/>
      <c r="F127" s="213" cm="1">
        <f t="array" ref="F127">'Trasnfers, Extras, Alco 2026'!E41</f>
        <v>192</v>
      </c>
      <c r="G127" s="16"/>
      <c r="H127" s="17"/>
      <c r="I127" s="17"/>
      <c r="J127" s="17"/>
      <c r="K127" s="18"/>
    </row>
    <row r="128" ht="14" customHeight="1">
      <c r="A128" s="12"/>
      <c r="B128" t="s" s="221">
        <v>258</v>
      </c>
      <c r="C128" s="212" cm="1">
        <f t="array" ref="C128">'Trasnfers, Extras, Alco 2026'!G42</f>
        <v>0</v>
      </c>
      <c r="D128" s="224" cm="1">
        <f t="array" ref="D128">C128/$C$144</f>
        <v>0</v>
      </c>
      <c r="E128" s="212"/>
      <c r="F128" s="213" cm="1">
        <f t="array" ref="F128">'Trasnfers, Extras, Alco 2026'!E42</f>
        <v>324</v>
      </c>
      <c r="G128" s="16"/>
      <c r="H128" s="17"/>
      <c r="I128" s="17"/>
      <c r="J128" s="17"/>
      <c r="K128" s="18"/>
    </row>
    <row r="129" ht="14" customHeight="1">
      <c r="A129" s="12"/>
      <c r="B129" t="s" s="221">
        <v>259</v>
      </c>
      <c r="C129" s="212" cm="1">
        <f t="array" ref="C129">'Trasnfers, Extras, Alco 2026'!G43</f>
        <v>12600000</v>
      </c>
      <c r="D129" s="224" cm="1">
        <f t="array" ref="D129">C129/$C$144</f>
        <v>0.0177749187432286</v>
      </c>
      <c r="E129" s="212"/>
      <c r="F129" s="213" cm="1">
        <f t="array" ref="F129">'Trasnfers, Extras, Alco 2026'!E43</f>
        <v>8.4</v>
      </c>
      <c r="G129" s="16"/>
      <c r="H129" s="17"/>
      <c r="I129" s="17"/>
      <c r="J129" s="17"/>
      <c r="K129" s="18"/>
    </row>
    <row r="130" ht="14" customHeight="1">
      <c r="A130" s="12"/>
      <c r="B130" t="s" s="221">
        <v>260</v>
      </c>
      <c r="C130" s="212" cm="1">
        <f t="array" ref="C130">'Trasnfers, Extras, Alco 2026'!G44</f>
        <v>96000000</v>
      </c>
      <c r="D130" s="224" cm="1">
        <f t="array" ref="D130">C130/$C$144</f>
        <v>0.135427952329361</v>
      </c>
      <c r="E130" s="212"/>
      <c r="F130" s="213" cm="1">
        <f t="array" ref="F130">'Trasnfers, Extras, Alco 2026'!E44</f>
        <v>24</v>
      </c>
      <c r="G130" s="16"/>
      <c r="H130" s="17"/>
      <c r="I130" s="17"/>
      <c r="J130" s="17"/>
      <c r="K130" s="18"/>
    </row>
    <row r="131" ht="14" customHeight="1">
      <c r="A131" s="12"/>
      <c r="B131" t="s" s="221">
        <v>261</v>
      </c>
      <c r="C131" s="212" cm="1">
        <f t="array" ref="C131">'Trasnfers, Extras, Alco 2026'!G45</f>
        <v>76560000</v>
      </c>
      <c r="D131" s="224" cm="1">
        <f t="array" ref="D131">C131/$C$144</f>
        <v>0.108003791982665</v>
      </c>
      <c r="E131" s="212"/>
      <c r="F131" s="213" cm="1">
        <f t="array" ref="F131">'Trasnfers, Extras, Alco 2026'!E45</f>
        <v>34.8</v>
      </c>
      <c r="G131" s="16"/>
      <c r="H131" s="17"/>
      <c r="I131" s="17"/>
      <c r="J131" s="17"/>
      <c r="K131" s="18"/>
    </row>
    <row r="132" ht="14" customHeight="1">
      <c r="A132" s="12"/>
      <c r="B132" t="s" s="221">
        <v>262</v>
      </c>
      <c r="C132" s="212" cm="1">
        <f t="array" ref="C132">'Trasnfers, Extras, Alco 2026'!G46</f>
        <v>60000000</v>
      </c>
      <c r="D132" s="224" cm="1">
        <f t="array" ref="D132">C132/$C$144</f>
        <v>0.0846424702058505</v>
      </c>
      <c r="E132" s="212"/>
      <c r="F132" s="213" cm="1">
        <f t="array" ref="F132">'Trasnfers, Extras, Alco 2026'!E46</f>
        <v>24</v>
      </c>
      <c r="G132" s="16"/>
      <c r="H132" s="17"/>
      <c r="I132" s="17"/>
      <c r="J132" s="17"/>
      <c r="K132" s="18"/>
    </row>
    <row r="133" ht="14" customHeight="1">
      <c r="A133" s="12"/>
      <c r="B133" t="s" s="221">
        <v>263</v>
      </c>
      <c r="C133" s="212" cm="1">
        <f t="array" ref="C133">'Trasnfers, Extras, Alco 2026'!G47</f>
        <v>11520000</v>
      </c>
      <c r="D133" s="224" cm="1">
        <f t="array" ref="D133">C133/$C$144</f>
        <v>0.0162513542795233</v>
      </c>
      <c r="E133" s="212"/>
      <c r="F133" s="213" cm="1">
        <f t="array" ref="F133">'Trasnfers, Extras, Alco 2026'!E47</f>
        <v>38.4</v>
      </c>
      <c r="G133" s="16"/>
      <c r="H133" s="17"/>
      <c r="I133" s="17"/>
      <c r="J133" s="17"/>
      <c r="K133" s="18"/>
    </row>
    <row r="134" ht="14" customHeight="1">
      <c r="A134" s="12"/>
      <c r="B134" t="s" s="221">
        <v>264</v>
      </c>
      <c r="C134" s="212" cm="1">
        <f t="array" ref="C134">'Trasnfers, Extras, Alco 2026'!G48</f>
        <v>69000000</v>
      </c>
      <c r="D134" s="224" cm="1">
        <f t="array" ref="D134">C134/$C$144</f>
        <v>0.0973388407367281</v>
      </c>
      <c r="E134" s="212"/>
      <c r="F134" s="213" cm="1">
        <f t="array" ref="F134">'Trasnfers, Extras, Alco 2026'!E48</f>
        <v>30</v>
      </c>
      <c r="G134" s="16"/>
      <c r="H134" s="17"/>
      <c r="I134" s="17"/>
      <c r="J134" s="17"/>
      <c r="K134" s="18"/>
    </row>
    <row r="135" ht="14" customHeight="1">
      <c r="A135" s="12"/>
      <c r="B135" t="s" s="221">
        <v>265</v>
      </c>
      <c r="C135" s="212" cm="1">
        <f t="array" ref="C135">'Trasnfers, Extras, Alco 2026'!G49</f>
        <v>75504000</v>
      </c>
      <c r="D135" s="224" cm="1">
        <f t="array" ref="D135">C135/$C$144</f>
        <v>0.106514084507042</v>
      </c>
      <c r="E135" s="212"/>
      <c r="F135" s="213" cm="1">
        <f t="array" ref="F135">'Trasnfers, Extras, Alco 2026'!E49</f>
        <v>31.2</v>
      </c>
      <c r="G135" s="16"/>
      <c r="H135" s="17"/>
      <c r="I135" s="17"/>
      <c r="J135" s="17"/>
      <c r="K135" s="18"/>
    </row>
    <row r="136" ht="14" customHeight="1">
      <c r="A136" s="12"/>
      <c r="B136" t="s" s="221">
        <v>266</v>
      </c>
      <c r="C136" s="212" cm="1">
        <f t="array" ref="C136">'Trasnfers, Extras, Alco 2026'!G50</f>
        <v>122640000</v>
      </c>
      <c r="D136" s="224" cm="1">
        <f t="array" ref="D136">C136/$C$144</f>
        <v>0.173009209100758</v>
      </c>
      <c r="E136" s="212"/>
      <c r="F136" s="213" cm="1">
        <f t="array" ref="F136">'Trasnfers, Extras, Alco 2026'!E50</f>
        <v>87.59999999999999</v>
      </c>
      <c r="G136" s="16"/>
      <c r="H136" s="17"/>
      <c r="I136" s="17"/>
      <c r="J136" s="17"/>
      <c r="K136" s="18"/>
    </row>
    <row r="137" ht="14" customHeight="1">
      <c r="A137" s="12"/>
      <c r="B137" t="s" s="221">
        <v>267</v>
      </c>
      <c r="C137" s="212" cm="1">
        <f t="array" ref="C137">'Trasnfers, Extras, Alco 2026'!G51</f>
        <v>87480000</v>
      </c>
      <c r="D137" s="224" cm="1">
        <f t="array" ref="D137">C137/$C$144</f>
        <v>0.12340872156013</v>
      </c>
      <c r="E137" s="212"/>
      <c r="F137" s="213" cm="1">
        <f t="array" ref="F137">'Trasnfers, Extras, Alco 2026'!E51</f>
        <v>291.6</v>
      </c>
      <c r="G137" s="16"/>
      <c r="H137" s="17"/>
      <c r="I137" s="17"/>
      <c r="J137" s="17"/>
      <c r="K137" s="18"/>
    </row>
    <row r="138" ht="14" customHeight="1">
      <c r="A138" s="12"/>
      <c r="B138" t="s" s="221">
        <v>268</v>
      </c>
      <c r="C138" s="212" cm="1">
        <f t="array" ref="C138">'Trasnfers, Extras, Alco 2026'!G52</f>
        <v>10560000</v>
      </c>
      <c r="D138" s="224" cm="1">
        <f t="array" ref="D138">C138/$C$144</f>
        <v>0.0148970747562297</v>
      </c>
      <c r="E138" s="212"/>
      <c r="F138" s="213" cm="1">
        <f t="array" ref="F138">'Trasnfers, Extras, Alco 2026'!E52</f>
        <v>9.6</v>
      </c>
      <c r="G138" s="16"/>
      <c r="H138" s="17"/>
      <c r="I138" s="17"/>
      <c r="J138" s="17"/>
      <c r="K138" s="18"/>
    </row>
    <row r="139" ht="14" customHeight="1">
      <c r="A139" s="12"/>
      <c r="B139" t="s" s="221">
        <v>269</v>
      </c>
      <c r="C139" s="212" cm="1">
        <f t="array" ref="C139">'Trasnfers, Extras, Alco 2026'!G53</f>
        <v>24000000</v>
      </c>
      <c r="D139" s="224" cm="1">
        <f t="array" ref="D139">C139/$C$144</f>
        <v>0.0338569880823402</v>
      </c>
      <c r="E139" s="212"/>
      <c r="F139" s="213" cm="1">
        <f t="array" ref="F139">'Trasnfers, Extras, Alco 2026'!E53</f>
        <v>24</v>
      </c>
      <c r="G139" s="16"/>
      <c r="H139" s="17"/>
      <c r="I139" s="17"/>
      <c r="J139" s="17"/>
      <c r="K139" s="18"/>
    </row>
    <row r="140" ht="14" customHeight="1">
      <c r="A140" s="12"/>
      <c r="B140" t="s" s="221">
        <v>270</v>
      </c>
      <c r="C140" s="212" cm="1">
        <f t="array" ref="C140">'Trasnfers, Extras, Alco 2026'!G54</f>
        <v>2400000</v>
      </c>
      <c r="D140" s="224" cm="1">
        <f t="array" ref="D140">C140/$C$144</f>
        <v>0.00338569880823402</v>
      </c>
      <c r="E140" s="212"/>
      <c r="F140" s="213" cm="1">
        <f t="array" ref="F140">'Trasnfers, Extras, Alco 2026'!E54</f>
        <v>2.4</v>
      </c>
      <c r="G140" s="16"/>
      <c r="H140" s="17"/>
      <c r="I140" s="17"/>
      <c r="J140" s="17"/>
      <c r="K140" s="18"/>
    </row>
    <row r="141" ht="14" customHeight="1">
      <c r="A141" s="12"/>
      <c r="B141" t="s" s="221">
        <v>271</v>
      </c>
      <c r="C141" s="212" cm="1">
        <f t="array" ref="C141">'Trasnfers, Extras, Alco 2026'!G55</f>
        <v>24840000</v>
      </c>
      <c r="D141" s="224" cm="1">
        <f t="array" ref="D141">C141/$C$144</f>
        <v>0.0350419826652221</v>
      </c>
      <c r="E141" s="212"/>
      <c r="F141" s="213" cm="1">
        <f t="array" ref="F141">'Trasnfers, Extras, Alco 2026'!E55</f>
        <v>10.8</v>
      </c>
      <c r="G141" s="16"/>
      <c r="H141" s="17"/>
      <c r="I141" s="17"/>
      <c r="J141" s="17"/>
      <c r="K141" s="18"/>
    </row>
    <row r="142" ht="14" customHeight="1">
      <c r="A142" s="12"/>
      <c r="B142" t="s" s="221">
        <v>272</v>
      </c>
      <c r="C142" s="212" cm="1">
        <f t="array" ref="C142">'Trasnfers, Extras, Alco 2026'!G56</f>
        <v>29040000</v>
      </c>
      <c r="D142" s="224" cm="1">
        <f t="array" ref="D142">C142/$C$144</f>
        <v>0.0409669555796316</v>
      </c>
      <c r="E142" s="212"/>
      <c r="F142" s="213" cm="1">
        <f t="array" ref="F142">'Trasnfers, Extras, Alco 2026'!E56</f>
        <v>12</v>
      </c>
      <c r="G142" s="16"/>
      <c r="H142" s="17"/>
      <c r="I142" s="17"/>
      <c r="J142" s="17"/>
      <c r="K142" s="18"/>
    </row>
    <row r="143" ht="14" customHeight="1">
      <c r="A143" s="12"/>
      <c r="B143" t="s" s="221">
        <v>273</v>
      </c>
      <c r="C143" s="212" cm="1">
        <f t="array" ref="C143">'Trasnfers, Extras, Alco 2026'!G57</f>
        <v>720000</v>
      </c>
      <c r="D143" s="224" cm="1">
        <f t="array" ref="D143">C143/$C$144</f>
        <v>0.00101570964247021</v>
      </c>
      <c r="E143" s="212"/>
      <c r="F143" s="213" cm="1">
        <f t="array" ref="F143">'Trasnfers, Extras, Alco 2026'!E57</f>
        <v>2.4</v>
      </c>
      <c r="G143" s="16"/>
      <c r="H143" s="17"/>
      <c r="I143" s="17"/>
      <c r="J143" s="17"/>
      <c r="K143" s="18"/>
    </row>
    <row r="144" ht="13" customHeight="1">
      <c r="A144" s="12"/>
      <c r="B144" t="s" s="206">
        <v>274</v>
      </c>
      <c r="C144" s="207" cm="1">
        <f t="array" ref="C144">SUM(C123:C143)</f>
        <v>708864000</v>
      </c>
      <c r="D144" s="225" cm="1">
        <f t="array" ref="D144">C144/$C$144</f>
        <v>1</v>
      </c>
      <c r="E144" s="207"/>
      <c r="F144" s="220" cm="1">
        <f t="array" ref="F144">SUM(F123:F143)</f>
        <v>1621.2</v>
      </c>
      <c r="G144" s="16"/>
      <c r="H144" s="17"/>
      <c r="I144" s="17"/>
      <c r="J144" s="17"/>
      <c r="K144" s="18"/>
    </row>
    <row r="145" ht="13.5" customHeight="1">
      <c r="A145" s="12"/>
      <c r="B145" s="229"/>
      <c r="C145" s="230"/>
      <c r="D145" s="231"/>
      <c r="E145" s="230"/>
      <c r="F145" s="232"/>
      <c r="G145" s="16"/>
      <c r="H145" s="17"/>
      <c r="I145" s="17"/>
      <c r="J145" s="17"/>
      <c r="K145" s="18"/>
    </row>
    <row r="146" ht="13" customHeight="1">
      <c r="A146" s="12"/>
      <c r="B146" s="233"/>
      <c r="C146" s="234"/>
      <c r="D146" s="235"/>
      <c r="E146" s="234"/>
      <c r="F146" s="236"/>
      <c r="G146" s="16"/>
      <c r="H146" s="17"/>
      <c r="I146" s="17"/>
      <c r="J146" s="17"/>
      <c r="K146" s="18"/>
    </row>
    <row r="147" ht="13" customHeight="1">
      <c r="A147" s="12"/>
      <c r="B147" t="s" s="206">
        <v>275</v>
      </c>
      <c r="C147" s="207" cm="1">
        <f t="array" ref="C147">SUM(C203,C205,C207,C230,C240,C242,C244,C246,C248)</f>
        <v>59894507187.4838</v>
      </c>
      <c r="D147" s="204"/>
      <c r="E147" s="207"/>
      <c r="F147" s="220"/>
      <c r="G147" s="16"/>
      <c r="H147" s="17"/>
      <c r="I147" s="17"/>
      <c r="J147" s="17"/>
      <c r="K147" s="18"/>
    </row>
    <row r="148" ht="14" customHeight="1">
      <c r="A148" s="12"/>
      <c r="B148" s="237"/>
      <c r="C148" s="212"/>
      <c r="D148" s="224"/>
      <c r="E148" s="212"/>
      <c r="F148" s="213"/>
      <c r="G148" s="16"/>
      <c r="H148" s="17"/>
      <c r="I148" s="17"/>
      <c r="J148" s="17"/>
      <c r="K148" s="18"/>
    </row>
    <row r="149" ht="13" customHeight="1">
      <c r="A149" s="12"/>
      <c r="B149" t="s" s="221">
        <v>183</v>
      </c>
      <c r="C149" s="222" cm="1">
        <f t="array" ref="C149">_xlfn.IFERROR((VLOOKUP(B149,'Private Boats 2026 Target'!$C$2:$AF$1501,30,0)*F149),0)</f>
        <v>195572533.333333</v>
      </c>
      <c r="D149" s="208" cm="1">
        <f t="array" ref="D149">C149/$C$203</f>
        <v>0.00854504949932634</v>
      </c>
      <c r="E149" s="207"/>
      <c r="F149" s="223" cm="1">
        <f t="array" ref="F149">VLOOKUP(B149,'Allocation OH and Target 2026'!$C$35:$K$91,9,0)</f>
        <v>28</v>
      </c>
      <c r="G149" s="16"/>
      <c r="H149" s="17"/>
      <c r="I149" s="17"/>
      <c r="J149" s="17"/>
      <c r="K149" s="18"/>
    </row>
    <row r="150" ht="13" customHeight="1">
      <c r="A150" s="12"/>
      <c r="B150" t="s" s="221">
        <v>184</v>
      </c>
      <c r="C150" s="222" cm="1">
        <f t="array" ref="C150">_xlfn.IFERROR((VLOOKUP(B150,'Private Boats 2026 Target'!$C$2:$AF$1501,30,0)*F150),0)</f>
        <v>417082300</v>
      </c>
      <c r="D150" s="208" cm="1">
        <f t="array" ref="D150">C150/$C$203</f>
        <v>0.0182233611133851</v>
      </c>
      <c r="E150" s="207"/>
      <c r="F150" s="223" cm="1">
        <f t="array" ref="F150">VLOOKUP(B150,'Allocation OH and Target 2026'!$C$35:$K$91,9,0)</f>
        <v>57</v>
      </c>
      <c r="G150" s="16"/>
      <c r="H150" s="17"/>
      <c r="I150" s="17"/>
      <c r="J150" s="17"/>
      <c r="K150" s="18"/>
    </row>
    <row r="151" ht="13" customHeight="1">
      <c r="A151" s="12"/>
      <c r="B151" t="s" s="221">
        <v>185</v>
      </c>
      <c r="C151" s="222" cm="1">
        <f t="array" ref="C151">_xlfn.IFERROR((VLOOKUP(B151,'Private Boats 2026 Target'!$C$2:$AF$1501,30,0)*F151),0)</f>
        <v>520880000</v>
      </c>
      <c r="D151" s="208" cm="1">
        <f t="array" ref="D151">C151/$C$203</f>
        <v>0.022758540309047</v>
      </c>
      <c r="E151" s="207"/>
      <c r="F151" s="223" cm="1">
        <f t="array" ref="F151">VLOOKUP(B151,'Allocation OH and Target 2026'!$C$35:$K$91,9,0)</f>
        <v>68</v>
      </c>
      <c r="G151" s="16"/>
      <c r="H151" s="17"/>
      <c r="I151" s="17"/>
      <c r="J151" s="17"/>
      <c r="K151" s="18"/>
    </row>
    <row r="152" ht="13" customHeight="1">
      <c r="A152" s="12"/>
      <c r="B152" t="s" s="221">
        <v>186</v>
      </c>
      <c r="C152" s="222" cm="1">
        <f t="array" ref="C152">_xlfn.IFERROR((VLOOKUP(B152,'Private Boats 2026 Target'!$C$2:$AF$1501,30,0)*F152),0)</f>
        <v>616280000</v>
      </c>
      <c r="D152" s="208" cm="1">
        <f t="array" ref="D152">C152/$C$203</f>
        <v>0.0269268031440245</v>
      </c>
      <c r="E152" s="207"/>
      <c r="F152" s="223" cm="1">
        <f t="array" ref="F152">VLOOKUP(B152,'Allocation OH and Target 2026'!$C$35:$K$91,9,0)</f>
        <v>71</v>
      </c>
      <c r="G152" s="16"/>
      <c r="H152" s="17"/>
      <c r="I152" s="17"/>
      <c r="J152" s="17"/>
      <c r="K152" s="18"/>
    </row>
    <row r="153" ht="13" customHeight="1">
      <c r="A153" s="12"/>
      <c r="B153" t="s" s="221">
        <v>187</v>
      </c>
      <c r="C153" s="222" cm="1">
        <f t="array" ref="C153">_xlfn.IFERROR((VLOOKUP(B153,'Private Boats 2026 Target'!$C$2:$AF$1501,30,0)*F153),0)</f>
        <v>520880000</v>
      </c>
      <c r="D153" s="208" cm="1">
        <f t="array" ref="D153">C153/$C$203</f>
        <v>0.022758540309047</v>
      </c>
      <c r="E153" s="207"/>
      <c r="F153" s="223" cm="1">
        <f t="array" ref="F153">VLOOKUP(B153,'Allocation OH and Target 2026'!$C$35:$K$91,9,0)</f>
        <v>68</v>
      </c>
      <c r="G153" s="16"/>
      <c r="H153" s="17"/>
      <c r="I153" s="17"/>
      <c r="J153" s="17"/>
      <c r="K153" s="18"/>
    </row>
    <row r="154" ht="13" customHeight="1">
      <c r="A154" s="12"/>
      <c r="B154" t="s" s="221">
        <v>48</v>
      </c>
      <c r="C154" s="222" cm="1">
        <f t="array" ref="C154">_xlfn.IFERROR((VLOOKUP(B154,'Private Boats 2026 Target'!$C$2:$AF$1501,30,0)*F154),0)</f>
        <v>837023333.3333319</v>
      </c>
      <c r="D154" s="208" cm="1">
        <f t="array" ref="D154">C154/$C$203</f>
        <v>0.0365716273830432</v>
      </c>
      <c r="E154" s="207"/>
      <c r="F154" s="223" cm="1">
        <f t="array" ref="F154">VLOOKUP(B154,'Allocation OH and Target 2026'!$C$35:$K$91,9,0)</f>
        <v>85</v>
      </c>
      <c r="G154" s="16"/>
      <c r="H154" s="17"/>
      <c r="I154" s="17"/>
      <c r="J154" s="17"/>
      <c r="K154" s="18"/>
    </row>
    <row r="155" ht="13" customHeight="1">
      <c r="A155" s="12"/>
      <c r="B155" t="s" s="221">
        <v>49</v>
      </c>
      <c r="C155" s="222" cm="1">
        <f t="array" ref="C155">_xlfn.IFERROR((VLOOKUP(B155,'Private Boats 2026 Target'!$C$2:$AF$1501,30,0)*F155),0)</f>
        <v>797633999.999999</v>
      </c>
      <c r="D155" s="208" cm="1">
        <f t="array" ref="D155">C155/$C$203</f>
        <v>0.0348506096238412</v>
      </c>
      <c r="E155" s="207"/>
      <c r="F155" s="223" cm="1">
        <f t="array" ref="F155">VLOOKUP(B155,'Allocation OH and Target 2026'!$C$35:$K$91,9,0)</f>
        <v>81</v>
      </c>
      <c r="G155" s="16"/>
      <c r="H155" s="17"/>
      <c r="I155" s="17"/>
      <c r="J155" s="17"/>
      <c r="K155" s="18"/>
    </row>
    <row r="156" ht="13" customHeight="1">
      <c r="A156" s="12"/>
      <c r="B156" t="s" s="221">
        <v>50</v>
      </c>
      <c r="C156" s="222" cm="1">
        <f t="array" ref="C156">_xlfn.IFERROR((VLOOKUP(B156,'Private Boats 2026 Target'!$C$2:$AF$1501,30,0)*F156),0)</f>
        <v>377175600</v>
      </c>
      <c r="D156" s="208" cm="1">
        <f t="array" ref="D156">C156/$C$203</f>
        <v>0.0164797383201294</v>
      </c>
      <c r="E156" s="207"/>
      <c r="F156" s="223" cm="1">
        <f t="array" ref="F156">VLOOKUP(B156,'Allocation OH and Target 2026'!$C$35:$K$91,9,0)</f>
        <v>54</v>
      </c>
      <c r="G156" s="16"/>
      <c r="H156" s="17"/>
      <c r="I156" s="17"/>
      <c r="J156" s="17"/>
      <c r="K156" s="18"/>
    </row>
    <row r="157" ht="13" customHeight="1">
      <c r="A157" s="12"/>
      <c r="B157" t="s" s="221">
        <v>51</v>
      </c>
      <c r="C157" s="222" cm="1">
        <f t="array" ref="C157">_xlfn.IFERROR((VLOOKUP(B157,'Private Boats 2026 Target'!$C$2:$AF$1501,30,0)*F157),0)</f>
        <v>377175600</v>
      </c>
      <c r="D157" s="208" cm="1">
        <f t="array" ref="D157">C157/$C$203</f>
        <v>0.0164797383201294</v>
      </c>
      <c r="E157" s="207"/>
      <c r="F157" s="223" cm="1">
        <f t="array" ref="F157">VLOOKUP(B157,'Allocation OH and Target 2026'!$C$35:$K$91,9,0)</f>
        <v>54</v>
      </c>
      <c r="G157" s="16"/>
      <c r="H157" s="17"/>
      <c r="I157" s="17"/>
      <c r="J157" s="17"/>
      <c r="K157" s="18"/>
    </row>
    <row r="158" ht="13" customHeight="1">
      <c r="A158" s="12"/>
      <c r="B158" t="s" s="221">
        <v>52</v>
      </c>
      <c r="C158" s="222" cm="1">
        <f t="array" ref="C158">_xlfn.IFERROR((VLOOKUP(B158,'Private Boats 2026 Target'!$C$2:$AF$1501,30,0)*F158),0)</f>
        <v>447022933.333333</v>
      </c>
      <c r="D158" s="208" cm="1">
        <f t="array" ref="D158">C158/$C$203</f>
        <v>0.0195315417127459</v>
      </c>
      <c r="E158" s="207"/>
      <c r="F158" s="223" cm="1">
        <f t="array" ref="F158">VLOOKUP(B158,'Allocation OH and Target 2026'!$C$35:$K$91,9,0)</f>
        <v>64</v>
      </c>
      <c r="G158" s="16"/>
      <c r="H158" s="17"/>
      <c r="I158" s="17"/>
      <c r="J158" s="17"/>
      <c r="K158" s="18"/>
    </row>
    <row r="159" ht="13" customHeight="1">
      <c r="A159" s="12"/>
      <c r="B159" t="s" s="221">
        <v>53</v>
      </c>
      <c r="C159" s="222" cm="1">
        <f t="array" ref="C159">_xlfn.IFERROR((VLOOKUP(B159,'Private Boats 2026 Target'!$C$2:$AF$1501,30,0)*F159),0)</f>
        <v>550629811.111111</v>
      </c>
      <c r="D159" s="208" cm="1">
        <f t="array" ref="D159">C159/$C$203</f>
        <v>0.0240583834117938</v>
      </c>
      <c r="E159" s="207"/>
      <c r="F159" s="223" cm="1">
        <f t="array" ref="F159">VLOOKUP(B159,'Allocation OH and Target 2026'!$C$35:$K$91,9,0)</f>
        <v>78.8333333333333</v>
      </c>
      <c r="G159" s="16"/>
      <c r="H159" s="17"/>
      <c r="I159" s="17"/>
      <c r="J159" s="17"/>
      <c r="K159" s="18"/>
    </row>
    <row r="160" ht="13" customHeight="1">
      <c r="A160" s="12"/>
      <c r="B160" t="s" s="221">
        <v>54</v>
      </c>
      <c r="C160" s="222" cm="1">
        <f t="array" ref="C160">_xlfn.IFERROR((VLOOKUP(B160,'Private Boats 2026 Target'!$C$2:$AF$1501,30,0)*F160),0)</f>
        <v>500572555.555556</v>
      </c>
      <c r="D160" s="208" cm="1">
        <f t="array" ref="D160">C160/$C$203</f>
        <v>0.0218712576470853</v>
      </c>
      <c r="E160" s="207"/>
      <c r="F160" s="223" cm="1">
        <f t="array" ref="F160">VLOOKUP(B160,'Allocation OH and Target 2026'!$C$35:$K$91,9,0)</f>
        <v>71.6666666666667</v>
      </c>
      <c r="G160" s="16"/>
      <c r="H160" s="17"/>
      <c r="I160" s="17"/>
      <c r="J160" s="17"/>
      <c r="K160" s="18"/>
    </row>
    <row r="161" ht="13" customHeight="1">
      <c r="A161" s="12"/>
      <c r="B161" t="s" s="221">
        <v>55</v>
      </c>
      <c r="C161" s="222" cm="1">
        <f t="array" ref="C161">_xlfn.IFERROR((VLOOKUP(B161,'Private Boats 2026 Target'!$C$2:$AF$1501,30,0)*F161),0)</f>
        <v>424322550</v>
      </c>
      <c r="D161" s="208" cm="1">
        <f t="array" ref="D161">C161/$C$203</f>
        <v>0.0185397056101456</v>
      </c>
      <c r="E161" s="207"/>
      <c r="F161" s="223" cm="1">
        <f t="array" ref="F161">VLOOKUP(B161,'Allocation OH and Target 2026'!$C$35:$K$91,9,0)</f>
        <v>60.75</v>
      </c>
      <c r="G161" s="16"/>
      <c r="H161" s="17"/>
      <c r="I161" s="17"/>
      <c r="J161" s="17"/>
      <c r="K161" s="18"/>
    </row>
    <row r="162" ht="13" customHeight="1">
      <c r="A162" s="12"/>
      <c r="B162" t="s" s="221">
        <v>56</v>
      </c>
      <c r="C162" s="222" cm="1">
        <f t="array" ref="C162">_xlfn.IFERROR((VLOOKUP(B162,'Private Boats 2026 Target'!$C$2:$AF$1501,30,0)*F162),0)</f>
        <v>770927999.999998</v>
      </c>
      <c r="D162" s="208" cm="1">
        <f t="array" ref="D162">C162/$C$203</f>
        <v>0.0336837581849427</v>
      </c>
      <c r="E162" s="207"/>
      <c r="F162" s="223" cm="1">
        <f t="array" ref="F162">VLOOKUP(B162,'Allocation OH and Target 2026'!$C$35:$K$91,9,0)</f>
        <v>72</v>
      </c>
      <c r="G162" s="16"/>
      <c r="H162" s="17"/>
      <c r="I162" s="17"/>
      <c r="J162" s="17"/>
      <c r="K162" s="18"/>
    </row>
    <row r="163" ht="13" customHeight="1">
      <c r="A163" s="12"/>
      <c r="B163" t="s" s="221">
        <v>57</v>
      </c>
      <c r="C163" s="222" cm="1">
        <f t="array" ref="C163">_xlfn.IFERROR((VLOOKUP(B163,'Private Boats 2026 Target'!$C$2:$AF$1501,30,0)*F163),0)</f>
        <v>674561999.999998</v>
      </c>
      <c r="D163" s="208" cm="1">
        <f t="array" ref="D163">C163/$C$203</f>
        <v>0.0294732884118249</v>
      </c>
      <c r="E163" s="207"/>
      <c r="F163" s="223" cm="1">
        <f t="array" ref="F163">VLOOKUP(B163,'Allocation OH and Target 2026'!$C$35:$K$91,9,0)</f>
        <v>63</v>
      </c>
      <c r="G163" s="16"/>
      <c r="H163" s="17"/>
      <c r="I163" s="17"/>
      <c r="J163" s="17"/>
      <c r="K163" s="18"/>
    </row>
    <row r="164" ht="13" customHeight="1">
      <c r="A164" s="12"/>
      <c r="B164" t="s" s="221">
        <v>58</v>
      </c>
      <c r="C164" s="222" cm="1">
        <f t="array" ref="C164">_xlfn.IFERROR((VLOOKUP(B164,'Private Boats 2026 Target'!$C$2:$AF$1501,30,0)*F164),0)</f>
        <v>712442800</v>
      </c>
      <c r="D164" s="208" cm="1">
        <f t="array" ref="D164">C164/$C$203</f>
        <v>0.0311283946046888</v>
      </c>
      <c r="E164" s="207"/>
      <c r="F164" s="223" cm="1">
        <f t="array" ref="F164">VLOOKUP(B164,'Allocation OH and Target 2026'!$C$35:$K$91,9,0)</f>
        <v>102</v>
      </c>
      <c r="G164" s="16"/>
      <c r="H164" s="17"/>
      <c r="I164" s="17"/>
      <c r="J164" s="17"/>
      <c r="K164" s="18"/>
    </row>
    <row r="165" ht="13" customHeight="1">
      <c r="A165" s="12"/>
      <c r="B165" t="s" s="221">
        <v>104</v>
      </c>
      <c r="C165" s="222" cm="1">
        <f t="array" ref="C165">_xlfn.IFERROR((VLOOKUP(B165,'Private Boats 2026 Target'!$C$2:$AF$1501,30,0)*F165),0)</f>
        <v>995143733.333333</v>
      </c>
      <c r="D165" s="208" cm="1">
        <f t="array" ref="D165">C165/$C$203</f>
        <v>0.0434803002003575</v>
      </c>
      <c r="E165" s="207"/>
      <c r="F165" s="223" cm="1">
        <f t="array" ref="F165">VLOOKUP(B165,'Allocation OH and Target 2026'!$C$35:$K$91,9,0)</f>
        <v>136</v>
      </c>
      <c r="G165" s="16"/>
      <c r="H165" s="17"/>
      <c r="I165" s="17"/>
      <c r="J165" s="17"/>
      <c r="K165" s="18"/>
    </row>
    <row r="166" ht="13" customHeight="1">
      <c r="A166" s="12"/>
      <c r="B166" t="s" s="221">
        <v>188</v>
      </c>
      <c r="C166" s="222" cm="1">
        <f t="array" ref="C166">_xlfn.IFERROR((VLOOKUP(B166,'Private Boats 2026 Target'!$C$2:$AF$1501,30,0)*F166),0)</f>
        <v>0</v>
      </c>
      <c r="D166" s="208" cm="1">
        <f t="array" ref="D166">C166/$C$203</f>
        <v>0</v>
      </c>
      <c r="E166" s="207"/>
      <c r="F166" s="223" cm="1">
        <f t="array" ref="F166">VLOOKUP(B166,'Allocation OH and Target 2026'!$C$35:$K$91,9,0)</f>
        <v>0</v>
      </c>
      <c r="G166" s="16"/>
      <c r="H166" s="17"/>
      <c r="I166" s="17"/>
      <c r="J166" s="17"/>
      <c r="K166" s="18"/>
    </row>
    <row r="167" ht="13" customHeight="1">
      <c r="A167" s="12"/>
      <c r="B167" t="s" s="221">
        <v>189</v>
      </c>
      <c r="C167" s="222" cm="1">
        <f t="array" ref="C167">_xlfn.IFERROR((VLOOKUP(B167,'Private Boats 2026 Target'!$C$2:$AF$1501,30,0)*F167),0)</f>
        <v>0</v>
      </c>
      <c r="D167" s="208" cm="1">
        <f t="array" ref="D167">C167/$C$203</f>
        <v>0</v>
      </c>
      <c r="E167" s="207"/>
      <c r="F167" s="223" cm="1">
        <f t="array" ref="F167">VLOOKUP(B167,'Allocation OH and Target 2026'!$C$35:$K$91,9,0)</f>
        <v>0</v>
      </c>
      <c r="G167" s="16"/>
      <c r="H167" s="17"/>
      <c r="I167" s="17"/>
      <c r="J167" s="17"/>
      <c r="K167" s="18"/>
    </row>
    <row r="168" ht="13" customHeight="1">
      <c r="A168" s="12"/>
      <c r="B168" t="s" s="221">
        <v>190</v>
      </c>
      <c r="C168" s="222" cm="1">
        <f t="array" ref="C168">_xlfn.IFERROR((VLOOKUP(B168,'Private Boats 2026 Target'!$C$2:$AF$1501,30,0)*F168),0)</f>
        <v>0</v>
      </c>
      <c r="D168" s="208" cm="1">
        <f t="array" ref="D168">C168/$C$203</f>
        <v>0</v>
      </c>
      <c r="E168" s="207"/>
      <c r="F168" s="223" cm="1">
        <f t="array" ref="F168">VLOOKUP(B168,'Allocation OH and Target 2026'!$C$35:$K$91,9,0)</f>
        <v>0</v>
      </c>
      <c r="G168" s="16"/>
      <c r="H168" s="17"/>
      <c r="I168" s="17"/>
      <c r="J168" s="17"/>
      <c r="K168" s="18"/>
    </row>
    <row r="169" ht="13" customHeight="1">
      <c r="A169" s="12"/>
      <c r="B169" t="s" s="221">
        <v>191</v>
      </c>
      <c r="C169" s="222" cm="1">
        <f t="array" ref="C169">_xlfn.IFERROR((VLOOKUP(B169,'Private Boats 2026 Target'!$C$2:$AF$1501,30,0)*F169),0)</f>
        <v>1463802000</v>
      </c>
      <c r="D169" s="208" cm="1">
        <f t="array" ref="D169">C169/$C$203</f>
        <v>0.0639571433371672</v>
      </c>
      <c r="E169" s="207"/>
      <c r="F169" s="223" cm="1">
        <f t="array" ref="F169">VLOOKUP(B169,'Allocation OH and Target 2026'!$C$35:$K$91,9,0)</f>
        <v>204</v>
      </c>
      <c r="G169" s="16"/>
      <c r="H169" s="17"/>
      <c r="I169" s="17"/>
      <c r="J169" s="17"/>
      <c r="K169" s="18"/>
    </row>
    <row r="170" ht="13" customHeight="1">
      <c r="A170" s="12"/>
      <c r="B170" t="s" s="221">
        <v>192</v>
      </c>
      <c r="C170" s="222" cm="1">
        <f t="array" ref="C170">_xlfn.IFERROR((VLOOKUP(B170,'Private Boats 2026 Target'!$C$2:$AF$1501,30,0)*F170),0)</f>
        <v>51009000</v>
      </c>
      <c r="D170" s="208" cm="1">
        <f t="array" ref="D170">C170/$C$203</f>
        <v>0.00222870984223656</v>
      </c>
      <c r="E170" s="207"/>
      <c r="F170" s="223" cm="1">
        <f t="array" ref="F170">VLOOKUP(B170,'Allocation OH and Target 2026'!$C$35:$K$91,9,0)</f>
        <v>6</v>
      </c>
      <c r="G170" s="16"/>
      <c r="H170" s="17"/>
      <c r="I170" s="17"/>
      <c r="J170" s="17"/>
      <c r="K170" s="18"/>
    </row>
    <row r="171" ht="13" customHeight="1">
      <c r="A171" s="12"/>
      <c r="B171" t="s" s="221">
        <v>193</v>
      </c>
      <c r="C171" s="222" cm="1">
        <f t="array" ref="C171">_xlfn.IFERROR((VLOOKUP(B171,'Private Boats 2026 Target'!$C$2:$AF$1501,30,0)*F171),0)</f>
        <v>1401378000</v>
      </c>
      <c r="D171" s="208" cm="1">
        <f t="array" ref="D171">C171/$C$203</f>
        <v>0.0612296838066574</v>
      </c>
      <c r="E171" s="207"/>
      <c r="F171" s="223" cm="1">
        <f t="array" ref="F171">VLOOKUP(B171,'Allocation OH and Target 2026'!$C$35:$K$91,9,0)</f>
        <v>204</v>
      </c>
      <c r="G171" s="16"/>
      <c r="H171" s="17"/>
      <c r="I171" s="17"/>
      <c r="J171" s="17"/>
      <c r="K171" s="18"/>
    </row>
    <row r="172" ht="13" customHeight="1">
      <c r="A172" s="12"/>
      <c r="B172" t="s" s="221">
        <v>194</v>
      </c>
      <c r="C172" s="222" cm="1">
        <f t="array" ref="C172">_xlfn.IFERROR((VLOOKUP(B172,'Private Boats 2026 Target'!$C$2:$AF$1501,30,0)*F172),0)</f>
        <v>0</v>
      </c>
      <c r="D172" s="208" cm="1">
        <f t="array" ref="D172">C172/$C$203</f>
        <v>0</v>
      </c>
      <c r="E172" s="207"/>
      <c r="F172" s="223" cm="1">
        <f t="array" ref="F172">VLOOKUP(B172,'Allocation OH and Target 2026'!$C$35:$K$91,9,0)</f>
        <v>0</v>
      </c>
      <c r="G172" s="16"/>
      <c r="H172" s="17"/>
      <c r="I172" s="17"/>
      <c r="J172" s="17"/>
      <c r="K172" s="18"/>
    </row>
    <row r="173" ht="13" customHeight="1">
      <c r="A173" s="12"/>
      <c r="B173" t="s" s="221">
        <v>195</v>
      </c>
      <c r="C173" s="222" cm="1">
        <f t="array" ref="C173">_xlfn.IFERROR((VLOOKUP(B173,'Private Boats 2026 Target'!$C$2:$AF$1501,30,0)*F173),0)</f>
        <v>50074500</v>
      </c>
      <c r="D173" s="208" cm="1">
        <f t="array" ref="D173">C173/$C$203</f>
        <v>0.00218787921729645</v>
      </c>
      <c r="E173" s="207"/>
      <c r="F173" s="223" cm="1">
        <f t="array" ref="F173">VLOOKUP(B173,'Allocation OH and Target 2026'!$C$35:$K$91,9,0)</f>
        <v>3</v>
      </c>
      <c r="G173" s="16"/>
      <c r="H173" s="17"/>
      <c r="I173" s="17"/>
      <c r="J173" s="17"/>
      <c r="K173" s="18"/>
    </row>
    <row r="174" ht="13" customHeight="1">
      <c r="A174" s="12"/>
      <c r="B174" t="s" s="221">
        <v>196</v>
      </c>
      <c r="C174" s="222" cm="1">
        <f t="array" ref="C174">_xlfn.IFERROR((VLOOKUP(B174,'Private Boats 2026 Target'!$C$2:$AF$1501,30,0)*F174),0)</f>
        <v>1045840000</v>
      </c>
      <c r="D174" s="208" cm="1">
        <f t="array" ref="D174">C174/$C$203</f>
        <v>0.0456953459468855</v>
      </c>
      <c r="E174" s="207"/>
      <c r="F174" s="223" cm="1">
        <f t="array" ref="F174">VLOOKUP(B174,'Allocation OH and Target 2026'!$C$35:$K$91,9,0)</f>
        <v>136</v>
      </c>
      <c r="G174" s="16"/>
      <c r="H174" s="17"/>
      <c r="I174" s="17"/>
      <c r="J174" s="17"/>
      <c r="K174" s="18"/>
    </row>
    <row r="175" ht="13" customHeight="1">
      <c r="A175" s="12"/>
      <c r="B175" t="s" s="221">
        <v>197</v>
      </c>
      <c r="C175" s="222" cm="1">
        <f t="array" ref="C175">_xlfn.IFERROR((VLOOKUP(B175,'Private Boats 2026 Target'!$C$2:$AF$1501,30,0)*F175),0)</f>
        <v>30184500</v>
      </c>
      <c r="D175" s="208" cm="1">
        <f t="array" ref="D175">C175/$C$203</f>
        <v>0.00131883573943793</v>
      </c>
      <c r="E175" s="207"/>
      <c r="F175" s="223" cm="1">
        <f t="array" ref="F175">VLOOKUP(B175,'Allocation OH and Target 2026'!$C$35:$K$91,9,0)</f>
        <v>3</v>
      </c>
      <c r="G175" s="16"/>
      <c r="H175" s="17"/>
      <c r="I175" s="17"/>
      <c r="J175" s="17"/>
      <c r="K175" s="18"/>
    </row>
    <row r="176" ht="13" customHeight="1">
      <c r="A176" s="12"/>
      <c r="B176" t="s" s="221">
        <v>198</v>
      </c>
      <c r="C176" s="222" cm="1">
        <f t="array" ref="C176">_xlfn.IFERROR((VLOOKUP(B176,'Private Boats 2026 Target'!$C$2:$AF$1501,30,0)*F176),0)</f>
        <v>0</v>
      </c>
      <c r="D176" s="208" cm="1">
        <f t="array" ref="D176">C176/$C$203</f>
        <v>0</v>
      </c>
      <c r="E176" s="207"/>
      <c r="F176" s="223" cm="1">
        <f t="array" ref="F176">VLOOKUP(B176,'Allocation OH and Target 2026'!$C$35:$K$91,9,0)</f>
        <v>0</v>
      </c>
      <c r="G176" s="16"/>
      <c r="H176" s="17"/>
      <c r="I176" s="17"/>
      <c r="J176" s="17"/>
      <c r="K176" s="18"/>
    </row>
    <row r="177" ht="13" customHeight="1">
      <c r="A177" s="12"/>
      <c r="B177" t="s" s="221">
        <v>199</v>
      </c>
      <c r="C177" s="222" cm="1">
        <f t="array" ref="C177">_xlfn.IFERROR((VLOOKUP(B177,'Private Boats 2026 Target'!$C$2:$AF$1501,30,0)*F177),0)</f>
        <v>29176500</v>
      </c>
      <c r="D177" s="208" cm="1">
        <f t="array" ref="D177">C177/$C$203</f>
        <v>0.00127479371703062</v>
      </c>
      <c r="E177" s="207"/>
      <c r="F177" s="223" cm="1">
        <f t="array" ref="F177">VLOOKUP(B177,'Allocation OH and Target 2026'!$C$35:$K$91,9,0)</f>
        <v>3</v>
      </c>
      <c r="G177" s="16"/>
      <c r="H177" s="17"/>
      <c r="I177" s="17"/>
      <c r="J177" s="17"/>
      <c r="K177" s="18"/>
    </row>
    <row r="178" ht="13" customHeight="1">
      <c r="A178" s="12"/>
      <c r="B178" t="s" s="221">
        <v>200</v>
      </c>
      <c r="C178" s="222" cm="1">
        <f t="array" ref="C178">_xlfn.IFERROR((VLOOKUP(B178,'Private Boats 2026 Target'!$C$2:$AF$1501,30,0)*F178),0)</f>
        <v>0</v>
      </c>
      <c r="D178" s="208" cm="1">
        <f t="array" ref="D178">C178/$C$203</f>
        <v>0</v>
      </c>
      <c r="E178" s="207"/>
      <c r="F178" s="223" cm="1">
        <f t="array" ref="F178">VLOOKUP(B178,'Allocation OH and Target 2026'!$C$35:$K$91,9,0)</f>
        <v>0</v>
      </c>
      <c r="G178" s="16"/>
      <c r="H178" s="17"/>
      <c r="I178" s="17"/>
      <c r="J178" s="17"/>
      <c r="K178" s="18"/>
    </row>
    <row r="179" ht="13" customHeight="1">
      <c r="A179" s="12"/>
      <c r="B179" t="s" s="221">
        <v>201</v>
      </c>
      <c r="C179" s="222" cm="1">
        <f t="array" ref="C179">_xlfn.IFERROR((VLOOKUP(B179,'Private Boats 2026 Target'!$C$2:$AF$1501,30,0)*F179),0)</f>
        <v>0</v>
      </c>
      <c r="D179" s="208" cm="1">
        <f t="array" ref="D179">C179/$C$203</f>
        <v>0</v>
      </c>
      <c r="E179" s="207"/>
      <c r="F179" s="223" cm="1">
        <f t="array" ref="F179">VLOOKUP(B179,'Allocation OH and Target 2026'!$C$35:$K$91,9,0)</f>
        <v>0</v>
      </c>
      <c r="G179" s="16"/>
      <c r="H179" s="17"/>
      <c r="I179" s="17"/>
      <c r="J179" s="17"/>
      <c r="K179" s="18"/>
    </row>
    <row r="180" ht="13" customHeight="1">
      <c r="A180" s="12"/>
      <c r="B180" t="s" s="221">
        <v>202</v>
      </c>
      <c r="C180" s="222" cm="1">
        <f t="array" ref="C180">_xlfn.IFERROR((VLOOKUP(B180,'Private Boats 2026 Target'!$C$2:$AF$1501,30,0)*F180),0)</f>
        <v>0</v>
      </c>
      <c r="D180" s="208" cm="1">
        <f t="array" ref="D180">C180/$C$203</f>
        <v>0</v>
      </c>
      <c r="E180" s="207"/>
      <c r="F180" s="223" cm="1">
        <f t="array" ref="F180">VLOOKUP(B180,'Allocation OH and Target 2026'!$C$35:$K$91,9,0)</f>
        <v>0</v>
      </c>
      <c r="G180" s="16"/>
      <c r="H180" s="17"/>
      <c r="I180" s="17"/>
      <c r="J180" s="17"/>
      <c r="K180" s="18"/>
    </row>
    <row r="181" ht="13" customHeight="1">
      <c r="A181" s="12"/>
      <c r="B181" t="s" s="221">
        <v>203</v>
      </c>
      <c r="C181" s="222" cm="1">
        <f t="array" ref="C181">_xlfn.IFERROR((VLOOKUP(B181,'Private Boats 2026 Target'!$C$2:$AF$1501,30,0)*F181),0)</f>
        <v>0</v>
      </c>
      <c r="D181" s="208" cm="1">
        <f t="array" ref="D181">C181/$C$203</f>
        <v>0</v>
      </c>
      <c r="E181" s="207"/>
      <c r="F181" s="223" cm="1">
        <f t="array" ref="F181">VLOOKUP(B181,'Allocation OH and Target 2026'!$C$35:$K$91,9,0)</f>
        <v>0</v>
      </c>
      <c r="G181" s="16"/>
      <c r="H181" s="17"/>
      <c r="I181" s="17"/>
      <c r="J181" s="17"/>
      <c r="K181" s="18"/>
    </row>
    <row r="182" ht="13" customHeight="1">
      <c r="A182" s="12"/>
      <c r="B182" t="s" s="221">
        <v>204</v>
      </c>
      <c r="C182" s="222" cm="1">
        <f t="array" ref="C182">_xlfn.IFERROR((VLOOKUP(B182,'Private Boats 2026 Target'!$C$2:$AF$1501,30,0)*F182),0)</f>
        <v>342915500</v>
      </c>
      <c r="D182" s="208" cm="1">
        <f t="array" ref="D182">C182/$C$203</f>
        <v>0.0149828294988232</v>
      </c>
      <c r="E182" s="207"/>
      <c r="F182" s="223" cm="1">
        <f t="array" ref="F182">VLOOKUP(B182,'Allocation OH and Target 2026'!$C$35:$K$91,9,0)</f>
        <v>17</v>
      </c>
      <c r="G182" s="16"/>
      <c r="H182" s="17"/>
      <c r="I182" s="17"/>
      <c r="J182" s="17"/>
      <c r="K182" s="18"/>
    </row>
    <row r="183" ht="13" customHeight="1">
      <c r="A183" s="12"/>
      <c r="B183" t="s" s="221">
        <v>205</v>
      </c>
      <c r="C183" s="222" cm="1">
        <f t="array" ref="C183">_xlfn.IFERROR((VLOOKUP(B183,'Private Boats 2026 Target'!$C$2:$AF$1501,30,0)*F183),0)</f>
        <v>461575500</v>
      </c>
      <c r="D183" s="208" cm="1">
        <f t="array" ref="D183">C183/$C$203</f>
        <v>0.0201673794778424</v>
      </c>
      <c r="E183" s="207"/>
      <c r="F183" s="223" cm="1">
        <f t="array" ref="F183">VLOOKUP(B183,'Allocation OH and Target 2026'!$C$35:$K$91,9,0)</f>
        <v>17</v>
      </c>
      <c r="G183" s="16"/>
      <c r="H183" s="17"/>
      <c r="I183" s="17"/>
      <c r="J183" s="17"/>
      <c r="K183" s="18"/>
    </row>
    <row r="184" ht="13" customHeight="1">
      <c r="A184" s="12"/>
      <c r="B184" t="s" s="221">
        <v>206</v>
      </c>
      <c r="C184" s="222" cm="1">
        <f t="array" ref="C184">_xlfn.IFERROR((VLOOKUP(B184,'Private Boats 2026 Target'!$C$2:$AF$1501,30,0)*F184),0)</f>
        <v>53134500</v>
      </c>
      <c r="D184" s="208" cm="1">
        <f t="array" ref="D184">C184/$C$203</f>
        <v>0.00232157821389007</v>
      </c>
      <c r="E184" s="207"/>
      <c r="F184" s="223" cm="1">
        <f t="array" ref="F184">VLOOKUP(B184,'Allocation OH and Target 2026'!$C$35:$K$91,9,0)</f>
        <v>3</v>
      </c>
      <c r="G184" s="16"/>
      <c r="H184" s="17"/>
      <c r="I184" s="17"/>
      <c r="J184" s="17"/>
      <c r="K184" s="18"/>
    </row>
    <row r="185" ht="13" customHeight="1">
      <c r="A185" s="12"/>
      <c r="B185" t="s" s="221">
        <v>207</v>
      </c>
      <c r="C185" s="222" cm="1">
        <f t="array" ref="C185">_xlfn.IFERROR((VLOOKUP(B185,'Private Boats 2026 Target'!$C$2:$AF$1501,30,0)*F185),0)</f>
        <v>1096644500</v>
      </c>
      <c r="D185" s="208" cm="1">
        <f t="array" ref="D185">C185/$C$203</f>
        <v>0.0479151206764412</v>
      </c>
      <c r="E185" s="207"/>
      <c r="F185" s="223" cm="1">
        <f t="array" ref="F185">VLOOKUP(B185,'Allocation OH and Target 2026'!$C$35:$K$91,9,0)</f>
        <v>119</v>
      </c>
      <c r="G185" s="16"/>
      <c r="H185" s="17"/>
      <c r="I185" s="17"/>
      <c r="J185" s="17"/>
      <c r="K185" s="18"/>
    </row>
    <row r="186" ht="13" customHeight="1">
      <c r="A186" s="12"/>
      <c r="B186" t="s" s="221">
        <v>208</v>
      </c>
      <c r="C186" s="222" cm="1">
        <f t="array" ref="C186">_xlfn.IFERROR((VLOOKUP(B186,'Private Boats 2026 Target'!$C$2:$AF$1501,30,0)*F186),0)</f>
        <v>600295500</v>
      </c>
      <c r="D186" s="208" cm="1">
        <f t="array" ref="D186">C186/$C$203</f>
        <v>0.0262284006567531</v>
      </c>
      <c r="E186" s="207"/>
      <c r="F186" s="223" cm="1">
        <f t="array" ref="F186">VLOOKUP(B186,'Allocation OH and Target 2026'!$C$35:$K$91,9,0)</f>
        <v>17</v>
      </c>
      <c r="G186" s="16"/>
      <c r="H186" s="17"/>
      <c r="I186" s="17"/>
      <c r="J186" s="17"/>
      <c r="K186" s="18"/>
    </row>
    <row r="187" ht="13" customHeight="1">
      <c r="A187" s="12"/>
      <c r="B187" t="s" s="221">
        <v>209</v>
      </c>
      <c r="C187" s="222" cm="1">
        <f t="array" ref="C187">_xlfn.IFERROR((VLOOKUP(B187,'Private Boats 2026 Target'!$C$2:$AF$1501,30,0)*F187),0)</f>
        <v>0</v>
      </c>
      <c r="D187" s="208" cm="1">
        <f t="array" ref="D187">C187/$C$203</f>
        <v>0</v>
      </c>
      <c r="E187" s="207"/>
      <c r="F187" s="223" cm="1">
        <f t="array" ref="F187">VLOOKUP(B191,'Allocation OH and Target 2026'!$C$35:$K$91,9,0)</f>
        <v>0</v>
      </c>
      <c r="G187" s="16"/>
      <c r="H187" s="17"/>
      <c r="I187" s="17"/>
      <c r="J187" s="17"/>
      <c r="K187" s="18"/>
    </row>
    <row r="188" ht="13" customHeight="1">
      <c r="A188" s="12"/>
      <c r="B188" t="s" s="221">
        <v>210</v>
      </c>
      <c r="C188" s="222" cm="1">
        <f t="array" ref="C188">_xlfn.IFERROR((VLOOKUP(B188,'Private Boats 2026 Target'!$C$2:$AF$1501,30,0)*F188),0)</f>
        <v>0</v>
      </c>
      <c r="D188" s="208" cm="1">
        <f t="array" ref="D188">C188/$C$203</f>
        <v>0</v>
      </c>
      <c r="E188" s="207"/>
      <c r="F188" s="223" cm="1">
        <f t="array" ref="F188">VLOOKUP(B188,'Allocation OH and Target 2026'!$C$35:$K$91,9,0)</f>
        <v>0</v>
      </c>
      <c r="G188" s="16"/>
      <c r="H188" s="17"/>
      <c r="I188" s="17"/>
      <c r="J188" s="17"/>
      <c r="K188" s="18"/>
    </row>
    <row r="189" ht="13" customHeight="1">
      <c r="A189" s="12"/>
      <c r="B189" t="s" s="221">
        <v>211</v>
      </c>
      <c r="C189" s="222" cm="1">
        <f t="array" ref="C189">_xlfn.IFERROR((VLOOKUP(B189,'Private Boats 2026 Target'!$C$2:$AF$1501,30,0)*F189),0)</f>
        <v>0</v>
      </c>
      <c r="D189" s="208" cm="1">
        <f t="array" ref="D189">C189/$C$203</f>
        <v>0</v>
      </c>
      <c r="E189" s="207"/>
      <c r="F189" s="223" cm="1">
        <f t="array" ref="F189">VLOOKUP(B189,'Allocation OH and Target 2026'!$C$35:$K$91,9,0)</f>
        <v>0</v>
      </c>
      <c r="G189" s="16"/>
      <c r="H189" s="17"/>
      <c r="I189" s="17"/>
      <c r="J189" s="17"/>
      <c r="K189" s="18"/>
    </row>
    <row r="190" ht="13" customHeight="1">
      <c r="A190" s="12"/>
      <c r="B190" t="s" s="221">
        <v>101</v>
      </c>
      <c r="C190" s="222" cm="1">
        <f t="array" ref="C190">_xlfn.IFERROR((VLOOKUP(B190,'Private Boats 2026 Target'!$C$2:$AF$1501,30,0)*F190),0)</f>
        <v>606075500</v>
      </c>
      <c r="D190" s="208" cm="1">
        <f t="array" ref="D190">C190/$C$203</f>
        <v>0.0264809432058743</v>
      </c>
      <c r="E190" s="207"/>
      <c r="F190" s="223" cm="1">
        <f t="array" ref="F190">VLOOKUP(B190,'Allocation OH and Target 2026'!$C$35:$K$91,9,0)</f>
        <v>17</v>
      </c>
      <c r="G190" s="16"/>
      <c r="H190" s="17"/>
      <c r="I190" s="17"/>
      <c r="J190" s="17"/>
      <c r="K190" s="18"/>
    </row>
    <row r="191" ht="13" customHeight="1">
      <c r="A191" s="12"/>
      <c r="B191" t="s" s="221">
        <v>102</v>
      </c>
      <c r="C191" s="222" cm="1">
        <f t="array" ref="C191">_xlfn.IFERROR((VLOOKUP(B191,'Private Boats 2026 Target'!$C$2:$AF$1501,30,0)*F191),0)</f>
        <v>0</v>
      </c>
      <c r="D191" s="208" cm="1">
        <f t="array" ref="D191">C191/$C$203</f>
        <v>0</v>
      </c>
      <c r="E191" s="207"/>
      <c r="F191" s="223" cm="1">
        <f t="array" ref="F191">VLOOKUP(B191,'Allocation OH and Target 2026'!$C$35:$K$91,9,0)</f>
        <v>0</v>
      </c>
      <c r="G191" s="16"/>
      <c r="H191" s="17"/>
      <c r="I191" s="17"/>
      <c r="J191" s="17"/>
      <c r="K191" s="18"/>
    </row>
    <row r="192" ht="13" customHeight="1">
      <c r="A192" s="12"/>
      <c r="B192" t="s" s="221">
        <v>103</v>
      </c>
      <c r="C192" s="222" cm="1">
        <f t="array" ref="C192">_xlfn.IFERROR((VLOOKUP(B192,'Private Boats 2026 Target'!$C$2:$AF$1501,30,0)*F192),0)</f>
        <v>751949100</v>
      </c>
      <c r="D192" s="208" cm="1">
        <f t="array" ref="D192">C192/$C$203</f>
        <v>0.0328545229279328</v>
      </c>
      <c r="E192" s="207"/>
      <c r="F192" s="223" cm="1">
        <f t="array" ref="F192">VLOOKUP(B192,'Allocation OH and Target 2026'!$C$35:$K$91,9,0)</f>
        <v>119</v>
      </c>
      <c r="G192" s="16"/>
      <c r="H192" s="17"/>
      <c r="I192" s="17"/>
      <c r="J192" s="17"/>
      <c r="K192" s="18"/>
    </row>
    <row r="193" ht="13" customHeight="1">
      <c r="A193" s="12"/>
      <c r="B193" t="s" s="221">
        <v>105</v>
      </c>
      <c r="C193" s="222" cm="1">
        <f t="array" ref="C193">_xlfn.IFERROR((VLOOKUP(B193,'Private Boats 2026 Target'!$C$2:$AF$1501,30,0)*F193),0)</f>
        <v>1918135500</v>
      </c>
      <c r="D193" s="208" cm="1">
        <f t="array" ref="D193">C193/$C$203</f>
        <v>0.08380810185640469</v>
      </c>
      <c r="E193" s="207"/>
      <c r="F193" s="223" cm="1">
        <f t="array" ref="F193">VLOOKUP(B193,'Allocation OH and Target 2026'!$C$35:$K$91,9,0)</f>
        <v>57</v>
      </c>
      <c r="G193" s="16"/>
      <c r="H193" s="17"/>
      <c r="I193" s="17"/>
      <c r="J193" s="17"/>
      <c r="K193" s="18"/>
    </row>
    <row r="194" ht="13" customHeight="1">
      <c r="A194" s="12"/>
      <c r="B194" t="s" s="221">
        <v>106</v>
      </c>
      <c r="C194" s="222" cm="1">
        <f t="array" ref="C194">_xlfn.IFERROR((VLOOKUP(B194,'Private Boats 2026 Target'!$C$2:$AF$1501,30,0)*F194),0)</f>
        <v>1420460000</v>
      </c>
      <c r="D194" s="208" cm="1">
        <f t="array" ref="D194">C194/$C$203</f>
        <v>0.062063423758618</v>
      </c>
      <c r="E194" s="207"/>
      <c r="F194" s="223" cm="1">
        <f t="array" ref="F194">VLOOKUP(B194,'Allocation OH and Target 2026'!$C$35:$K$91,9,0)</f>
        <v>40</v>
      </c>
      <c r="G194" s="16"/>
      <c r="H194" s="17"/>
      <c r="I194" s="17"/>
      <c r="J194" s="17"/>
      <c r="K194" s="18"/>
    </row>
    <row r="195" ht="13" customHeight="1">
      <c r="A195" s="12"/>
      <c r="B195" t="s" s="221">
        <v>107</v>
      </c>
      <c r="C195" s="222" cm="1">
        <f t="array" ref="C195">_xlfn.IFERROR((VLOOKUP(B195,'Private Boats 2026 Target'!$C$2:$AF$1501,30,0)*F195),0)</f>
        <v>40744500</v>
      </c>
      <c r="D195" s="208" cm="1">
        <f t="array" ref="D195">C195/$C$203</f>
        <v>0.00178022835513356</v>
      </c>
      <c r="E195" s="207"/>
      <c r="F195" s="223" cm="1">
        <f t="array" ref="F195">VLOOKUP(B195,'Allocation OH and Target 2026'!$C$35:$K$91,9,0)</f>
        <v>3</v>
      </c>
      <c r="G195" s="16"/>
      <c r="H195" s="17"/>
      <c r="I195" s="17"/>
      <c r="J195" s="17"/>
      <c r="K195" s="18"/>
    </row>
    <row r="196" ht="13" customHeight="1">
      <c r="A196" s="12"/>
      <c r="B196" t="s" s="221">
        <v>108</v>
      </c>
      <c r="C196" s="222" cm="1">
        <f t="array" ref="C196">_xlfn.IFERROR((VLOOKUP(B196,'Private Boats 2026 Target'!$C$2:$AF$1501,30,0)*F196),0)</f>
        <v>0</v>
      </c>
      <c r="D196" s="208" cm="1">
        <f t="array" ref="D196">C196/$C$203</f>
        <v>0</v>
      </c>
      <c r="E196" s="207"/>
      <c r="F196" s="223" cm="1">
        <f t="array" ref="F196">VLOOKUP(B196,'Allocation OH and Target 2026'!$C$35:$K$91,9,0)</f>
        <v>0</v>
      </c>
      <c r="G196" s="16"/>
      <c r="H196" s="17"/>
      <c r="I196" s="17"/>
      <c r="J196" s="17"/>
      <c r="K196" s="18"/>
    </row>
    <row r="197" ht="13" customHeight="1">
      <c r="A197" s="12"/>
      <c r="B197" t="s" s="221">
        <v>212</v>
      </c>
      <c r="C197" s="222" cm="1">
        <f t="array" ref="C197">_xlfn.IFERROR((VLOOKUP(B197,'Private Boats 2026 Target'!$C$2:$AF$1501,30,0)*F197),0)</f>
        <v>76354500</v>
      </c>
      <c r="D197" s="208" cm="1">
        <f t="array" ref="D197">C197/$C$203</f>
        <v>0.00333611765862988</v>
      </c>
      <c r="E197" s="207"/>
      <c r="F197" s="223" cm="1">
        <f t="array" ref="F197">VLOOKUP(B197,'Allocation OH and Target 2026'!$C$35:$K$91,9,0)</f>
        <v>3</v>
      </c>
      <c r="G197" s="16"/>
      <c r="H197" s="17"/>
      <c r="I197" s="17"/>
      <c r="J197" s="17"/>
      <c r="K197" s="18"/>
    </row>
    <row r="198" ht="13" customHeight="1">
      <c r="A198" s="12"/>
      <c r="B198" t="s" s="221">
        <v>213</v>
      </c>
      <c r="C198" s="222" cm="1">
        <f t="array" ref="C198">_xlfn.IFERROR((VLOOKUP(B198,'Private Boats 2026 Target'!$C$2:$AF$1501,30,0)*F198),0)</f>
        <v>92941500</v>
      </c>
      <c r="D198" s="208" cm="1">
        <f t="array" ref="D198">C198/$C$203</f>
        <v>0.00406084486663587</v>
      </c>
      <c r="E198" s="207"/>
      <c r="F198" s="223" cm="1">
        <f t="array" ref="F198">VLOOKUP(B198,'Allocation OH and Target 2026'!$C$35:$K$91,9,0)</f>
        <v>3</v>
      </c>
      <c r="G198" s="16"/>
      <c r="H198" s="17"/>
      <c r="I198" s="17"/>
      <c r="J198" s="17"/>
      <c r="K198" s="18"/>
    </row>
    <row r="199" ht="13" customHeight="1">
      <c r="A199" s="12"/>
      <c r="B199" t="s" s="221">
        <v>99</v>
      </c>
      <c r="C199" s="222" cm="1">
        <f t="array" ref="C199">_xlfn.IFERROR((VLOOKUP(B199,'Private Boats 2026 Target'!$C$2:$AF$1501,30,0)*F199),0)</f>
        <v>0</v>
      </c>
      <c r="D199" s="208" cm="1">
        <f t="array" ref="D199">C199/$C$203</f>
        <v>0</v>
      </c>
      <c r="E199" s="207"/>
      <c r="F199" s="223" cm="1">
        <f t="array" ref="F199">VLOOKUP(B199,'Allocation OH and Target 2026'!$C$35:$K$91,9,0)</f>
        <v>0</v>
      </c>
      <c r="G199" s="16"/>
      <c r="H199" s="17"/>
      <c r="I199" s="17"/>
      <c r="J199" s="17"/>
      <c r="K199" s="18"/>
    </row>
    <row r="200" ht="13" customHeight="1">
      <c r="A200" s="12"/>
      <c r="B200" t="s" s="221">
        <v>110</v>
      </c>
      <c r="C200" s="222" cm="1">
        <f t="array" ref="C200">_xlfn.IFERROR((VLOOKUP(B200,'Private Boats 2026 Target'!$C$2:$AF$1501,30,0)*F200),0)</f>
        <v>76744500</v>
      </c>
      <c r="D200" s="208" cm="1">
        <f t="array" ref="D200">C200/$C$203</f>
        <v>0.00335315772682318</v>
      </c>
      <c r="E200" s="207"/>
      <c r="F200" s="223" cm="1">
        <f t="array" ref="F200">VLOOKUP(B200,'Allocation OH and Target 2026'!$C$35:$K$91,9,0)</f>
        <v>3</v>
      </c>
      <c r="G200" s="16"/>
      <c r="H200" s="17"/>
      <c r="I200" s="17"/>
      <c r="J200" s="17"/>
      <c r="K200" s="18"/>
    </row>
    <row r="201" ht="13" customHeight="1">
      <c r="A201" s="12"/>
      <c r="B201" t="s" s="221">
        <v>111</v>
      </c>
      <c r="C201" s="222" cm="1">
        <f t="array" ref="C201">_xlfn.IFERROR((VLOOKUP(B201,'Private Boats 2026 Target'!$C$2:$AF$1501,30,0)*F201),0)</f>
        <v>1542469500</v>
      </c>
      <c r="D201" s="208" cm="1">
        <f t="array" ref="D201">C201/$C$203</f>
        <v>0.0673943217079281</v>
      </c>
      <c r="E201" s="207"/>
      <c r="F201" s="223" cm="1">
        <f t="array" ref="F201">VLOOKUP(B201,'Allocation OH and Target 2026'!$C$35:$K$91,9,0)</f>
        <v>153</v>
      </c>
      <c r="G201" s="16"/>
      <c r="H201" s="17"/>
      <c r="I201" s="17"/>
      <c r="J201" s="17"/>
      <c r="K201" s="18"/>
    </row>
    <row r="202" ht="13" customHeight="1">
      <c r="A202" s="12"/>
      <c r="B202" t="s" s="221">
        <v>214</v>
      </c>
      <c r="C202" s="222" cm="1">
        <f t="array" ref="C202">_xlfn.IFERROR((VLOOKUP(B202,'Private Boats 2026 Target'!$C$2:$AF$1501,30,0)*F202),0)</f>
        <v>0</v>
      </c>
      <c r="D202" s="208" cm="1">
        <f t="array" ref="D202">C202/$C$203</f>
        <v>0</v>
      </c>
      <c r="E202" s="207"/>
      <c r="F202" s="223" cm="1">
        <f t="array" ref="F202">VLOOKUP(B202,'Allocation OH and Target 2026'!$C$35:$K$91,9,0)</f>
        <v>3</v>
      </c>
      <c r="G202" s="16"/>
      <c r="H202" s="17"/>
      <c r="I202" s="17"/>
      <c r="J202" s="17"/>
      <c r="K202" s="18"/>
    </row>
    <row r="203" ht="13" customHeight="1">
      <c r="A203" s="12"/>
      <c r="B203" t="s" s="206">
        <v>276</v>
      </c>
      <c r="C203" s="207" cm="1">
        <f t="array" ref="C203">SUM(C149:C202)</f>
        <v>22887232350</v>
      </c>
      <c r="D203" s="219" cm="1">
        <f t="array" ref="D203">C203/$C$203</f>
        <v>1</v>
      </c>
      <c r="E203" s="207"/>
      <c r="F203" s="220"/>
      <c r="G203" s="16"/>
      <c r="H203" s="17"/>
      <c r="I203" s="17"/>
      <c r="J203" s="17"/>
      <c r="K203" s="18"/>
    </row>
    <row r="204" ht="14" customHeight="1">
      <c r="A204" s="12"/>
      <c r="B204" s="237"/>
      <c r="C204" s="212"/>
      <c r="D204" s="224"/>
      <c r="E204" s="212"/>
      <c r="F204" s="213"/>
      <c r="G204" s="16"/>
      <c r="H204" s="17"/>
      <c r="I204" s="17"/>
      <c r="J204" s="17"/>
      <c r="K204" s="18"/>
    </row>
    <row r="205" ht="13" customHeight="1">
      <c r="A205" s="12"/>
      <c r="B205" t="s" s="206">
        <v>277</v>
      </c>
      <c r="C205" s="207">
        <v>0</v>
      </c>
      <c r="D205" s="219">
        <v>0</v>
      </c>
      <c r="E205" s="207"/>
      <c r="F205" s="220" cm="1">
        <f t="array" ref="F205">SUM(F83:F92)</f>
        <v>0</v>
      </c>
      <c r="G205" s="16"/>
      <c r="H205" s="17"/>
      <c r="I205" s="17"/>
      <c r="J205" s="17"/>
      <c r="K205" s="18"/>
    </row>
    <row r="206" ht="14" customHeight="1">
      <c r="A206" s="12"/>
      <c r="B206" s="237"/>
      <c r="C206" s="212"/>
      <c r="D206" s="224"/>
      <c r="E206" s="212"/>
      <c r="F206" s="213"/>
      <c r="G206" s="16"/>
      <c r="H206" s="17"/>
      <c r="I206" s="17"/>
      <c r="J206" s="17"/>
      <c r="K206" s="18"/>
    </row>
    <row r="207" ht="13" customHeight="1">
      <c r="A207" s="12"/>
      <c r="B207" t="s" s="206">
        <v>278</v>
      </c>
      <c r="C207" s="207" cm="1">
        <f t="array" ref="C207">F207*AVERAGE('Shared Boats 2026 Target'!AI1:AI436)</f>
        <v>29479564206.0047</v>
      </c>
      <c r="D207" s="219">
        <v>1</v>
      </c>
      <c r="E207" s="207"/>
      <c r="F207" s="220" cm="1">
        <f t="array" ref="F207">F108</f>
        <v>31143</v>
      </c>
      <c r="G207" s="16"/>
      <c r="H207" s="17"/>
      <c r="I207" s="17"/>
      <c r="J207" s="17"/>
      <c r="K207" s="18"/>
    </row>
    <row r="208" ht="14" customHeight="1">
      <c r="A208" s="12"/>
      <c r="B208" s="237"/>
      <c r="C208" s="212"/>
      <c r="D208" s="224"/>
      <c r="E208" s="212"/>
      <c r="F208" s="213"/>
      <c r="G208" s="16"/>
      <c r="H208" s="17"/>
      <c r="I208" s="17"/>
      <c r="J208" s="17"/>
      <c r="K208" s="18"/>
    </row>
    <row r="209" ht="14" customHeight="1">
      <c r="A209" s="12"/>
      <c r="B209" t="str" s="238" cm="1">
        <f t="array" ref="B209">B123</f>
        <v>Extra Services (GoPro10)</v>
      </c>
      <c r="C209" s="212" cm="1">
        <f t="array" ref="C209">-'Trasnfers, Extras, Alco 2026'!G61</f>
        <v>2400000</v>
      </c>
      <c r="D209" s="224" cm="1">
        <f t="array" ref="D209">C209/$C$230</f>
        <v>0.00605326876513317</v>
      </c>
      <c r="E209" s="212"/>
      <c r="F209" s="213" cm="1">
        <f t="array" ref="F209">'Trasnfers, Extras, Alco 2026'!E61</f>
        <v>12</v>
      </c>
      <c r="G209" s="16"/>
      <c r="H209" s="17"/>
      <c r="I209" s="17"/>
      <c r="J209" s="17"/>
      <c r="K209" s="18"/>
    </row>
    <row r="210" ht="14" customHeight="1">
      <c r="A210" s="12"/>
      <c r="B210" t="str" s="238" cm="1">
        <f t="array" ref="B210">B124</f>
        <v>Extra Services (Full Face Snorkel Mask)</v>
      </c>
      <c r="C210" s="212" cm="1">
        <f t="array" ref="C210">-'Trasnfers, Extras, Alco 2026'!G62</f>
        <v>0</v>
      </c>
      <c r="D210" s="224" cm="1">
        <f t="array" ref="D210">C210/$C$230</f>
        <v>0</v>
      </c>
      <c r="E210" s="212"/>
      <c r="F210" s="213" cm="1">
        <f t="array" ref="F210">'Trasnfers, Extras, Alco 2026'!E62</f>
        <v>8.4</v>
      </c>
      <c r="G210" s="16"/>
      <c r="H210" s="17"/>
      <c r="I210" s="17"/>
      <c r="J210" s="17"/>
      <c r="K210" s="18"/>
    </row>
    <row r="211" ht="14" customHeight="1">
      <c r="A211" s="12"/>
      <c r="B211" t="str" s="238" cm="1">
        <f t="array" ref="B211">B125</f>
        <v>Extra Services (Fishing Rods)</v>
      </c>
      <c r="C211" s="212" cm="1">
        <f t="array" ref="C211">-'Trasnfers, Extras, Alco 2026'!G63</f>
        <v>0</v>
      </c>
      <c r="D211" s="224" cm="1">
        <f t="array" ref="D211">C211/$C$230</f>
        <v>0</v>
      </c>
      <c r="E211" s="212"/>
      <c r="F211" s="213" cm="1">
        <f t="array" ref="F211">'Trasnfers, Extras, Alco 2026'!E63</f>
        <v>13.2</v>
      </c>
      <c r="G211" s="16"/>
      <c r="H211" s="17"/>
      <c r="I211" s="17"/>
      <c r="J211" s="17"/>
      <c r="K211" s="18"/>
    </row>
    <row r="212" ht="14" customHeight="1">
      <c r="A212" s="12"/>
      <c r="B212" t="str" s="238" cm="1">
        <f t="array" ref="B212">B126</f>
        <v>Extra Services (Kids Full Face Snorkel Mask)</v>
      </c>
      <c r="C212" s="212" cm="1">
        <f t="array" ref="C212">-'Trasnfers, Extras, Alco 2026'!G64</f>
        <v>0</v>
      </c>
      <c r="D212" s="224" cm="1">
        <f t="array" ref="D212">C212/$C$230</f>
        <v>0</v>
      </c>
      <c r="E212" s="212"/>
      <c r="F212" s="213" cm="1">
        <f t="array" ref="F212">'Trasnfers, Extras, Alco 2026'!E64</f>
        <v>440.4</v>
      </c>
      <c r="G212" s="16"/>
      <c r="H212" s="17"/>
      <c r="I212" s="17"/>
      <c r="J212" s="17"/>
      <c r="K212" s="18"/>
    </row>
    <row r="213" ht="14" customHeight="1">
      <c r="A213" s="12"/>
      <c r="B213" t="str" s="238" cm="1">
        <f t="array" ref="B213">B127</f>
        <v>Extra Services (Kids Life Jacket (15-20 kg))</v>
      </c>
      <c r="C213" s="212" cm="1">
        <f t="array" ref="C213">-'Trasnfers, Extras, Alco 2026'!G65</f>
        <v>0</v>
      </c>
      <c r="D213" s="224" cm="1">
        <f t="array" ref="D213">C213/$C$230</f>
        <v>0</v>
      </c>
      <c r="E213" s="212"/>
      <c r="F213" s="213" cm="1">
        <f t="array" ref="F213">'Trasnfers, Extras, Alco 2026'!E65</f>
        <v>192</v>
      </c>
      <c r="G213" s="16"/>
      <c r="H213" s="17"/>
      <c r="I213" s="17"/>
      <c r="J213" s="17"/>
      <c r="K213" s="18"/>
    </row>
    <row r="214" ht="14" customHeight="1">
      <c r="A214" s="12"/>
      <c r="B214" t="str" s="238" cm="1">
        <f t="array" ref="B214">B128</f>
        <v>Extra Services (Kid Life Jacket (20-40 kg))</v>
      </c>
      <c r="C214" s="212" cm="1">
        <f t="array" ref="C214">-'Trasnfers, Extras, Alco 2026'!G66</f>
        <v>0</v>
      </c>
      <c r="D214" s="224" cm="1">
        <f t="array" ref="D214">C214/$C$230</f>
        <v>0</v>
      </c>
      <c r="E214" s="212"/>
      <c r="F214" s="213" cm="1">
        <f t="array" ref="F214">'Trasnfers, Extras, Alco 2026'!E66</f>
        <v>324</v>
      </c>
      <c r="G214" s="16"/>
      <c r="H214" s="17"/>
      <c r="I214" s="17"/>
      <c r="J214" s="17"/>
      <c r="K214" s="18"/>
    </row>
    <row r="215" ht="14" customHeight="1">
      <c r="A215" s="12"/>
      <c r="B215" t="str" s="238" cm="1">
        <f t="array" ref="B215">B129</f>
        <v>Extra Services (Party Decoration)</v>
      </c>
      <c r="C215" s="212" cm="1">
        <f t="array" ref="C215">-'Trasnfers, Extras, Alco 2026'!G67</f>
        <v>7560000</v>
      </c>
      <c r="D215" s="224" cm="1">
        <f t="array" ref="D215">C215/$C$230</f>
        <v>0.0190677966101695</v>
      </c>
      <c r="E215" s="212"/>
      <c r="F215" s="213" cm="1">
        <f t="array" ref="F215">'Trasnfers, Extras, Alco 2026'!E67</f>
        <v>8.4</v>
      </c>
      <c r="G215" s="16"/>
      <c r="H215" s="17"/>
      <c r="I215" s="17"/>
      <c r="J215" s="17"/>
      <c r="K215" s="18"/>
    </row>
    <row r="216" ht="14" customHeight="1">
      <c r="A216" s="12"/>
      <c r="B216" t="str" s="238" cm="1">
        <f t="array" ref="B216">B130</f>
        <v>Extra Services (Pro Photographer + Drone Pilot)</v>
      </c>
      <c r="C216" s="212" cm="1">
        <f t="array" ref="C216">-'Trasnfers, Extras, Alco 2026'!G68</f>
        <v>62400000</v>
      </c>
      <c r="D216" s="224" cm="1">
        <f t="array" ref="D216">C216/$C$230</f>
        <v>0.157384987893462</v>
      </c>
      <c r="E216" s="212"/>
      <c r="F216" s="213" cm="1">
        <f t="array" ref="F216">'Trasnfers, Extras, Alco 2026'!E68</f>
        <v>24</v>
      </c>
      <c r="G216" s="16"/>
      <c r="H216" s="17"/>
      <c r="I216" s="17"/>
      <c r="J216" s="17"/>
      <c r="K216" s="18"/>
    </row>
    <row r="217" ht="14" customHeight="1">
      <c r="A217" s="12"/>
      <c r="B217" t="str" s="238" cm="1">
        <f t="array" ref="B217">B131</f>
        <v>Extra Services (Pro Photographer)</v>
      </c>
      <c r="C217" s="212" cm="1">
        <f t="array" ref="C217">-'Trasnfers, Extras, Alco 2026'!G69</f>
        <v>41760000</v>
      </c>
      <c r="D217" s="224" cm="1">
        <f t="array" ref="D217">C217/$C$230</f>
        <v>0.105326876513317</v>
      </c>
      <c r="E217" s="212"/>
      <c r="F217" s="213" cm="1">
        <f t="array" ref="F217">'Trasnfers, Extras, Alco 2026'!E69</f>
        <v>34.8</v>
      </c>
      <c r="G217" s="16"/>
      <c r="H217" s="17"/>
      <c r="I217" s="17"/>
      <c r="J217" s="17"/>
      <c r="K217" s="18"/>
    </row>
    <row r="218" ht="14" customHeight="1">
      <c r="A218" s="12"/>
      <c r="B218" t="str" s="238" cm="1">
        <f t="array" ref="B218">B132</f>
        <v>Extra Services (Drone Pilot)</v>
      </c>
      <c r="C218" s="212" cm="1">
        <f t="array" ref="C218">-'Trasnfers, Extras, Alco 2026'!G70</f>
        <v>33600000</v>
      </c>
      <c r="D218" s="224" cm="1">
        <f t="array" ref="D218">C218/$C$230</f>
        <v>0.0847457627118644</v>
      </c>
      <c r="E218" s="212"/>
      <c r="F218" s="213" cm="1">
        <f t="array" ref="F218">'Trasnfers, Extras, Alco 2026'!E70</f>
        <v>24</v>
      </c>
      <c r="G218" s="16"/>
      <c r="H218" s="17"/>
      <c r="I218" s="17"/>
      <c r="J218" s="17"/>
      <c r="K218" s="18"/>
    </row>
    <row r="219" ht="14" customHeight="1">
      <c r="A219" s="12"/>
      <c r="B219" t="str" s="238" cm="1">
        <f t="array" ref="B219">B133</f>
        <v>Extra Services (Wetsuit)</v>
      </c>
      <c r="C219" s="212" cm="1">
        <f t="array" ref="C219">-'Trasnfers, Extras, Alco 2026'!G71</f>
        <v>3840000</v>
      </c>
      <c r="D219" s="224" cm="1">
        <f t="array" ref="D219">C219/$C$230</f>
        <v>0.009685230024213081</v>
      </c>
      <c r="E219" s="212"/>
      <c r="F219" s="213" cm="1">
        <f t="array" ref="F219">'Trasnfers, Extras, Alco 2026'!E71</f>
        <v>38.4</v>
      </c>
      <c r="G219" s="16"/>
      <c r="H219" s="17"/>
      <c r="I219" s="17"/>
      <c r="J219" s="17"/>
      <c r="K219" s="18"/>
    </row>
    <row r="220" ht="14" customHeight="1">
      <c r="A220" s="12"/>
      <c r="B220" t="str" s="238" cm="1">
        <f t="array" ref="B220">B134</f>
        <v>Extra Services (Advanced Divers)</v>
      </c>
      <c r="C220" s="212" cm="1">
        <f t="array" ref="C220">-'Trasnfers, Extras, Alco 2026'!G72</f>
        <v>51000000</v>
      </c>
      <c r="D220" s="224" cm="1">
        <f t="array" ref="D220">C220/$C$230</f>
        <v>0.12863196125908</v>
      </c>
      <c r="E220" s="212"/>
      <c r="F220" s="213" cm="1">
        <f t="array" ref="F220">'Trasnfers, Extras, Alco 2026'!E72</f>
        <v>30</v>
      </c>
      <c r="G220" s="16"/>
      <c r="H220" s="17"/>
      <c r="I220" s="17"/>
      <c r="J220" s="17"/>
      <c r="K220" s="18"/>
    </row>
    <row r="221" ht="14" customHeight="1">
      <c r="A221" s="12"/>
      <c r="B221" t="str" s="238" cm="1">
        <f t="array" ref="B221">B135</f>
        <v>Extra Services (Beginner Divers)</v>
      </c>
      <c r="C221" s="212" cm="1">
        <f t="array" ref="C221">-'Trasnfers, Extras, Alco 2026'!G73</f>
        <v>53040000</v>
      </c>
      <c r="D221" s="224" cm="1">
        <f t="array" ref="D221">C221/$C$230</f>
        <v>0.133777239709443</v>
      </c>
      <c r="E221" s="212"/>
      <c r="F221" s="213" cm="1">
        <f t="array" ref="F221">'Trasnfers, Extras, Alco 2026'!E73</f>
        <v>31.2</v>
      </c>
      <c r="G221" s="16"/>
      <c r="H221" s="17"/>
      <c r="I221" s="17"/>
      <c r="J221" s="17"/>
      <c r="K221" s="18"/>
    </row>
    <row r="222" ht="14" customHeight="1">
      <c r="A222" s="12"/>
      <c r="B222" t="str" s="238" cm="1">
        <f t="array" ref="B222">B136</f>
        <v>Extra Services (Extended Tour)</v>
      </c>
      <c r="C222" s="212" cm="1">
        <f t="array" ref="C222">-'Trasnfers, Extras, Alco 2026'!G74</f>
        <v>52560000</v>
      </c>
      <c r="D222" s="224" cm="1">
        <f t="array" ref="D222">C222/$C$230</f>
        <v>0.132566585956416</v>
      </c>
      <c r="E222" s="212"/>
      <c r="F222" s="213" cm="1">
        <f t="array" ref="F222">'Trasnfers, Extras, Alco 2026'!E74</f>
        <v>87.59999999999999</v>
      </c>
      <c r="G222" s="16"/>
      <c r="H222" s="17"/>
      <c r="I222" s="17"/>
      <c r="J222" s="17"/>
      <c r="K222" s="18"/>
    </row>
    <row r="223" ht="14" customHeight="1">
      <c r="A223" s="12"/>
      <c r="B223" t="str" s="238" cm="1">
        <f t="array" ref="B223">B137</f>
        <v>Extra Services (Fully Flexible Ticket)</v>
      </c>
      <c r="C223" s="212" cm="1">
        <f t="array" ref="C223">-'Trasnfers, Extras, Alco 2026'!G75</f>
        <v>29160000</v>
      </c>
      <c r="D223" s="224" cm="1">
        <f t="array" ref="D223">C223/$C$230</f>
        <v>0.073547215496368</v>
      </c>
      <c r="E223" s="212"/>
      <c r="F223" s="213" cm="1">
        <f t="array" ref="F223">'Trasnfers, Extras, Alco 2026'!E75</f>
        <v>291.6</v>
      </c>
      <c r="G223" s="16"/>
      <c r="H223" s="17"/>
      <c r="I223" s="17"/>
      <c r="J223" s="17"/>
      <c r="K223" s="18"/>
    </row>
    <row r="224" ht="14" customHeight="1">
      <c r="A224" s="12"/>
      <c r="B224" t="str" s="238" cm="1">
        <f t="array" ref="B224">B138</f>
        <v>Extra Services (Party Decoration (Size M))</v>
      </c>
      <c r="C224" s="212" cm="1">
        <f t="array" ref="C224">-'Trasnfers, Extras, Alco 2026'!G76</f>
        <v>6720000</v>
      </c>
      <c r="D224" s="224" cm="1">
        <f t="array" ref="D224">C224/$C$230</f>
        <v>0.0169491525423729</v>
      </c>
      <c r="E224" s="212"/>
      <c r="F224" s="213" cm="1">
        <f t="array" ref="F224">'Trasnfers, Extras, Alco 2026'!E76</f>
        <v>9.6</v>
      </c>
      <c r="G224" s="16"/>
      <c r="H224" s="17"/>
      <c r="I224" s="17"/>
      <c r="J224" s="17"/>
      <c r="K224" s="18"/>
    </row>
    <row r="225" ht="14" customHeight="1">
      <c r="A225" s="12"/>
      <c r="B225" t="str" s="238" cm="1">
        <f t="array" ref="B225">B139</f>
        <v>Extra Services (Fully Flexible Private Booking)</v>
      </c>
      <c r="C225" s="212" cm="1">
        <f t="array" ref="C225">-'Trasnfers, Extras, Alco 2026'!G77</f>
        <v>12000000</v>
      </c>
      <c r="D225" s="224" cm="1">
        <f t="array" ref="D225">C225/$C$230</f>
        <v>0.0302663438256659</v>
      </c>
      <c r="E225" s="212"/>
      <c r="F225" s="213" cm="1">
        <f t="array" ref="F225">'Trasnfers, Extras, Alco 2026'!E77</f>
        <v>24</v>
      </c>
      <c r="G225" s="16"/>
      <c r="H225" s="17"/>
      <c r="I225" s="17"/>
      <c r="J225" s="17"/>
      <c r="K225" s="18"/>
    </row>
    <row r="226" ht="14" customHeight="1">
      <c r="A226" s="12"/>
      <c r="B226" t="str" s="238" cm="1">
        <f t="array" ref="B226">B140</f>
        <v>Extra Services (90 min Sports &amp; Stretch Massage)</v>
      </c>
      <c r="C226" s="212" cm="1">
        <f t="array" ref="C226">-'Trasnfers, Extras, Alco 2026'!G78</f>
        <v>1440000</v>
      </c>
      <c r="D226" s="224" cm="1">
        <f t="array" ref="D226">C226/$C$230</f>
        <v>0.0036319612590799</v>
      </c>
      <c r="E226" s="212"/>
      <c r="F226" s="213" cm="1">
        <f t="array" ref="F226">'Trasnfers, Extras, Alco 2026'!E78</f>
        <v>2.4</v>
      </c>
      <c r="G226" s="16"/>
      <c r="H226" s="17"/>
      <c r="I226" s="17"/>
      <c r="J226" s="17"/>
      <c r="K226" s="18"/>
    </row>
    <row r="227" ht="14" customHeight="1">
      <c r="A227" s="12"/>
      <c r="B227" t="str" s="238" cm="1">
        <f t="array" ref="B227">B141</f>
        <v>Advanced Divers (Advanced 1-Pax Pack)</v>
      </c>
      <c r="C227" s="212" cm="1">
        <f t="array" ref="C227">-'Trasnfers, Extras, Alco 2026'!G79</f>
        <v>18360000</v>
      </c>
      <c r="D227" s="224" cm="1">
        <f t="array" ref="D227">C227/$C$230</f>
        <v>0.0463075060532688</v>
      </c>
      <c r="E227" s="212"/>
      <c r="F227" s="213" cm="1">
        <f t="array" ref="F227">'Trasnfers, Extras, Alco 2026'!E79</f>
        <v>10.8</v>
      </c>
      <c r="G227" s="16"/>
      <c r="H227" s="17"/>
      <c r="I227" s="17"/>
      <c r="J227" s="17"/>
      <c r="K227" s="18"/>
    </row>
    <row r="228" ht="14" customHeight="1">
      <c r="A228" s="12"/>
      <c r="B228" t="str" s="238" cm="1">
        <f t="array" ref="B228">B142</f>
        <v>Beginner Divers (Beginner 1-Pax Pack)</v>
      </c>
      <c r="C228" s="212" cm="1">
        <f t="array" ref="C228">-'Trasnfers, Extras, Alco 2026'!G80</f>
        <v>20400000</v>
      </c>
      <c r="D228" s="224" cm="1">
        <f t="array" ref="D228">C228/$C$230</f>
        <v>0.051452784503632</v>
      </c>
      <c r="E228" s="212"/>
      <c r="F228" s="213" cm="1">
        <f t="array" ref="F228">'Trasnfers, Extras, Alco 2026'!E80</f>
        <v>12</v>
      </c>
      <c r="G228" s="16"/>
      <c r="H228" s="17"/>
      <c r="I228" s="17"/>
      <c r="J228" s="17"/>
      <c r="K228" s="18"/>
    </row>
    <row r="229" ht="14" customHeight="1">
      <c r="A229" s="12"/>
      <c r="B229" t="str" s="238" cm="1">
        <f t="array" ref="B229">B143</f>
        <v>Extra Services (Massage Table)</v>
      </c>
      <c r="C229" s="212" cm="1">
        <f t="array" ref="C229">-'Trasnfers, Extras, Alco 2026'!G81</f>
        <v>240000</v>
      </c>
      <c r="D229" s="224" cm="1">
        <f t="array" ref="D229">C229/$C$230</f>
        <v>0.000605326876513317</v>
      </c>
      <c r="E229" s="212"/>
      <c r="F229" s="213" cm="1">
        <f t="array" ref="F229">'Trasnfers, Extras, Alco 2026'!E81</f>
        <v>2.4</v>
      </c>
      <c r="G229" s="16"/>
      <c r="H229" s="17"/>
      <c r="I229" s="17"/>
      <c r="J229" s="17"/>
      <c r="K229" s="18"/>
    </row>
    <row r="230" ht="13" customHeight="1">
      <c r="A230" s="12"/>
      <c r="B230" t="s" s="206">
        <v>300</v>
      </c>
      <c r="C230" s="207" cm="1">
        <f t="array" ref="C230">SUM(C209:C229)</f>
        <v>396480000</v>
      </c>
      <c r="D230" s="225" cm="1">
        <f t="array" ref="D230">C230/$C$230</f>
        <v>1</v>
      </c>
      <c r="E230" s="207"/>
      <c r="F230" s="220" cm="1">
        <f t="array" ref="F230">SUM(F209:F229)</f>
        <v>1621.2</v>
      </c>
      <c r="G230" s="16"/>
      <c r="H230" s="17"/>
      <c r="I230" s="17"/>
      <c r="J230" s="17"/>
      <c r="K230" s="18"/>
    </row>
    <row r="231" ht="14" customHeight="1">
      <c r="A231" s="12"/>
      <c r="B231" s="237"/>
      <c r="C231" s="212"/>
      <c r="D231" s="224"/>
      <c r="E231" s="212"/>
      <c r="F231" s="213"/>
      <c r="G231" s="16"/>
      <c r="H231" s="17"/>
      <c r="I231" s="17"/>
      <c r="J231" s="17"/>
      <c r="K231" s="18"/>
    </row>
    <row r="232" ht="14" customHeight="1">
      <c r="A232" s="12"/>
      <c r="B232" t="s" s="211">
        <v>242</v>
      </c>
      <c r="C232" s="212" cm="1">
        <f t="array" ref="C232">-'Trasnfers, Extras, Alco 2026'!G14</f>
        <v>3143880000</v>
      </c>
      <c r="D232" s="208" cm="1">
        <f t="array" ref="D232">C232/$C$240</f>
        <v>0.888513322556212</v>
      </c>
      <c r="E232" s="212"/>
      <c r="F232" s="213" cm="1">
        <f t="array" ref="F232">'Trasnfers, Extras, Alco 2026'!E14</f>
        <v>7668</v>
      </c>
      <c r="G232" s="16"/>
      <c r="H232" s="17"/>
      <c r="I232" s="17"/>
      <c r="J232" s="17"/>
      <c r="K232" s="18"/>
    </row>
    <row r="233" ht="14" customHeight="1">
      <c r="A233" s="12"/>
      <c r="B233" t="s" s="211">
        <v>243</v>
      </c>
      <c r="C233" s="212" cm="1">
        <f t="array" ref="C233">-'Trasnfers, Extras, Alco 2026'!G15</f>
        <v>42420000</v>
      </c>
      <c r="D233" s="208" cm="1">
        <f t="array" ref="D233">C233/$C$240</f>
        <v>0.0119886048904012</v>
      </c>
      <c r="E233" s="212"/>
      <c r="F233" s="213" cm="1">
        <f t="array" ref="F233">'Trasnfers, Extras, Alco 2026'!E15</f>
        <v>202</v>
      </c>
      <c r="G233" s="16"/>
      <c r="H233" s="17"/>
      <c r="I233" s="17"/>
      <c r="J233" s="17"/>
      <c r="K233" s="18"/>
    </row>
    <row r="234" ht="14" customHeight="1">
      <c r="A234" s="12"/>
      <c r="B234" t="s" s="211">
        <v>244</v>
      </c>
      <c r="C234" s="212" cm="1">
        <f t="array" ref="C234">-'Trasnfers, Extras, Alco 2026'!G16</f>
        <v>0</v>
      </c>
      <c r="D234" s="208" cm="1">
        <f t="array" ref="D234">C234/$C$240</f>
        <v>0</v>
      </c>
      <c r="E234" s="212"/>
      <c r="F234" s="213" cm="1">
        <f t="array" ref="F234">'Trasnfers, Extras, Alco 2026'!E16</f>
        <v>4477</v>
      </c>
      <c r="G234" s="16"/>
      <c r="H234" s="17"/>
      <c r="I234" s="17"/>
      <c r="J234" s="17"/>
      <c r="K234" s="18"/>
    </row>
    <row r="235" ht="14" customHeight="1">
      <c r="A235" s="12"/>
      <c r="B235" t="s" s="211">
        <v>245</v>
      </c>
      <c r="C235" s="212" cm="1">
        <f t="array" ref="C235">-'Trasnfers, Extras, Alco 2026'!G17</f>
        <v>96180000</v>
      </c>
      <c r="D235" s="208" cm="1">
        <f t="array" ref="D235">C235/$C$240</f>
        <v>0.0271820843554641</v>
      </c>
      <c r="E235" s="212"/>
      <c r="F235" s="213" cm="1">
        <f t="array" ref="F235">'Trasnfers, Extras, Alco 2026'!E17</f>
        <v>458</v>
      </c>
      <c r="G235" s="16"/>
      <c r="H235" s="17"/>
      <c r="I235" s="17"/>
      <c r="J235" s="17"/>
      <c r="K235" s="18"/>
    </row>
    <row r="236" ht="14" customHeight="1">
      <c r="A236" s="12"/>
      <c r="B236" t="s" s="211">
        <v>246</v>
      </c>
      <c r="C236" s="212" cm="1">
        <f t="array" ref="C236">-'Trasnfers, Extras, Alco 2026'!G18</f>
        <v>16470000</v>
      </c>
      <c r="D236" s="208" cm="1">
        <f t="array" ref="D236">C236/$C$240</f>
        <v>0.00465469878700867</v>
      </c>
      <c r="E236" s="212"/>
      <c r="F236" s="213" cm="1">
        <f t="array" ref="F236">'Trasnfers, Extras, Alco 2026'!E18</f>
        <v>27</v>
      </c>
      <c r="G236" s="16"/>
      <c r="H236" s="17"/>
      <c r="I236" s="17"/>
      <c r="J236" s="17"/>
      <c r="K236" s="18"/>
    </row>
    <row r="237" ht="14" customHeight="1">
      <c r="A237" s="12"/>
      <c r="B237" t="s" s="211">
        <v>247</v>
      </c>
      <c r="C237" s="212" cm="1">
        <f t="array" ref="C237">-'Trasnfers, Extras, Alco 2026'!G19</f>
        <v>8370000</v>
      </c>
      <c r="D237" s="208" cm="1">
        <f t="array" ref="D237">C237/$C$240</f>
        <v>0.00236550266225031</v>
      </c>
      <c r="E237" s="212"/>
      <c r="F237" s="213" cm="1">
        <f t="array" ref="F237">'Trasnfers, Extras, Alco 2026'!E19</f>
        <v>27</v>
      </c>
      <c r="G237" s="16"/>
      <c r="H237" s="17"/>
      <c r="I237" s="17"/>
      <c r="J237" s="17"/>
      <c r="K237" s="18"/>
    </row>
    <row r="238" ht="14" customHeight="1">
      <c r="A238" s="12"/>
      <c r="B238" t="s" s="211">
        <v>248</v>
      </c>
      <c r="C238" s="212" cm="1">
        <f t="array" ref="C238">-'Trasnfers, Extras, Alco 2026'!G20</f>
        <v>168640000</v>
      </c>
      <c r="D238" s="208" cm="1">
        <f t="array" ref="D238">C238/$C$240</f>
        <v>0.0476604980838581</v>
      </c>
      <c r="E238" s="212"/>
      <c r="F238" s="213" cm="1">
        <f t="array" ref="F238">'Trasnfers, Extras, Alco 2026'!E20</f>
        <v>544</v>
      </c>
      <c r="G238" s="16"/>
      <c r="H238" s="17"/>
      <c r="I238" s="17"/>
      <c r="J238" s="17"/>
      <c r="K238" s="18"/>
    </row>
    <row r="239" ht="14" customHeight="1">
      <c r="A239" s="12"/>
      <c r="B239" t="s" s="221">
        <v>301</v>
      </c>
      <c r="C239" s="212" cm="1">
        <f t="array" ref="C239">-'Trasnfers, Extras, Alco 2026'!G21</f>
        <v>62400000</v>
      </c>
      <c r="D239" s="208">
        <v>0</v>
      </c>
      <c r="E239" s="212"/>
      <c r="F239" s="213">
        <v>0</v>
      </c>
      <c r="G239" s="16"/>
      <c r="H239" s="17"/>
      <c r="I239" s="17"/>
      <c r="J239" s="17"/>
      <c r="K239" s="18"/>
    </row>
    <row r="240" ht="13" customHeight="1">
      <c r="A240" s="12"/>
      <c r="B240" t="s" s="206">
        <v>302</v>
      </c>
      <c r="C240" s="207" cm="1">
        <f t="array" ref="C240">SUM(C232:C239)</f>
        <v>3538360000</v>
      </c>
      <c r="D240" s="219" cm="1">
        <f t="array" ref="D240">C240/$C$240</f>
        <v>1</v>
      </c>
      <c r="E240" s="207"/>
      <c r="F240" s="220" cm="1">
        <f t="array" ref="F240">SUM(F232:F239)</f>
        <v>13403</v>
      </c>
      <c r="G240" s="16"/>
      <c r="H240" s="17"/>
      <c r="I240" s="17"/>
      <c r="J240" s="17"/>
      <c r="K240" s="18"/>
    </row>
    <row r="241" ht="13" customHeight="1">
      <c r="A241" s="12"/>
      <c r="B241" s="202"/>
      <c r="C241" s="207"/>
      <c r="D241" s="204"/>
      <c r="E241" s="207"/>
      <c r="F241" s="220"/>
      <c r="G241" s="16"/>
      <c r="H241" s="17"/>
      <c r="I241" s="17"/>
      <c r="J241" s="17"/>
      <c r="K241" s="18"/>
    </row>
    <row r="242" ht="13" customHeight="1">
      <c r="A242" s="12"/>
      <c r="B242" t="s" s="206">
        <v>303</v>
      </c>
      <c r="C242" s="226" cm="1">
        <f t="array" ref="C242">-'Trasnfers, Extras, Alco 2026'!G119</f>
        <v>1280304000</v>
      </c>
      <c r="D242" s="225">
        <v>1</v>
      </c>
      <c r="E242" s="226"/>
      <c r="F242" s="227" cm="1">
        <f t="array" ref="F242">'Trasnfers, Extras, Alco 2026'!E118</f>
        <v>2615</v>
      </c>
      <c r="G242" s="16"/>
      <c r="H242" s="17"/>
      <c r="I242" s="17"/>
      <c r="J242" s="17"/>
      <c r="K242" s="18"/>
    </row>
    <row r="243" ht="13" customHeight="1">
      <c r="A243" s="12"/>
      <c r="B243" s="202"/>
      <c r="C243" s="207"/>
      <c r="D243" s="204"/>
      <c r="E243" s="207"/>
      <c r="F243" s="220"/>
      <c r="G243" s="16"/>
      <c r="H243" s="17"/>
      <c r="I243" s="17"/>
      <c r="J243" s="17"/>
      <c r="K243" s="18"/>
    </row>
    <row r="244" ht="13" customHeight="1">
      <c r="A244" s="12"/>
      <c r="B244" t="s" s="206">
        <v>304</v>
      </c>
      <c r="C244" s="207" cm="1">
        <f t="array" ref="C244">-'Trasnfers, Extras, Alco 2026'!G112</f>
        <v>1127436177.47905</v>
      </c>
      <c r="D244" s="225">
        <v>1</v>
      </c>
      <c r="E244" s="207"/>
      <c r="F244" s="220"/>
      <c r="G244" s="16"/>
      <c r="H244" s="17"/>
      <c r="I244" s="17"/>
      <c r="J244" s="17"/>
      <c r="K244" s="18"/>
    </row>
    <row r="245" ht="13" customHeight="1">
      <c r="A245" s="12"/>
      <c r="B245" s="202"/>
      <c r="C245" s="207"/>
      <c r="D245" s="225"/>
      <c r="E245" s="207"/>
      <c r="F245" s="220"/>
      <c r="G245" s="16"/>
      <c r="H245" s="17"/>
      <c r="I245" s="17"/>
      <c r="J245" s="17"/>
      <c r="K245" s="18"/>
    </row>
    <row r="246" ht="13" customHeight="1">
      <c r="A246" s="12"/>
      <c r="B246" t="s" s="206">
        <v>305</v>
      </c>
      <c r="C246" s="207" cm="1">
        <f t="array" ref="C246">'Allocation OH and Target 2026'!P24+'Allocation OH and Target 2026'!P92</f>
        <v>713130454</v>
      </c>
      <c r="D246" s="225"/>
      <c r="E246" s="207"/>
      <c r="F246" s="220"/>
      <c r="G246" s="16"/>
      <c r="H246" s="17"/>
      <c r="I246" s="17"/>
      <c r="J246" s="17"/>
      <c r="K246" s="18"/>
    </row>
    <row r="247" ht="13" customHeight="1">
      <c r="A247" s="12"/>
      <c r="B247" s="202"/>
      <c r="C247" s="207"/>
      <c r="D247" s="225"/>
      <c r="E247" s="207"/>
      <c r="F247" s="220"/>
      <c r="G247" s="16"/>
      <c r="H247" s="17"/>
      <c r="I247" s="17"/>
      <c r="J247" s="17"/>
      <c r="K247" s="18"/>
    </row>
    <row r="248" ht="13" customHeight="1">
      <c r="A248" s="12"/>
      <c r="B248" t="s" s="206">
        <v>306</v>
      </c>
      <c r="C248" s="207" cm="1">
        <f t="array" ref="C248">-SUM('FCF 2025-2026 Forecast'!Z11:AK16)*1000</f>
        <v>472000000</v>
      </c>
      <c r="D248" s="225"/>
      <c r="E248" s="207"/>
      <c r="F248" s="220"/>
      <c r="G248" s="16"/>
      <c r="H248" s="17"/>
      <c r="I248" s="17"/>
      <c r="J248" s="17"/>
      <c r="K248" s="18"/>
    </row>
    <row r="249" ht="13.5" customHeight="1">
      <c r="A249" s="12"/>
      <c r="B249" s="202"/>
      <c r="C249" s="207"/>
      <c r="D249" s="204"/>
      <c r="E249" s="207"/>
      <c r="F249" s="220"/>
      <c r="G249" s="16"/>
      <c r="H249" s="17"/>
      <c r="I249" s="17"/>
      <c r="J249" s="17"/>
      <c r="K249" s="18"/>
    </row>
    <row r="250" ht="13" customHeight="1">
      <c r="A250" s="12"/>
      <c r="B250" s="237"/>
      <c r="C250" s="212"/>
      <c r="D250" s="224"/>
      <c r="E250" s="212"/>
      <c r="F250" s="213"/>
      <c r="G250" s="16"/>
      <c r="H250" s="17"/>
      <c r="I250" s="17"/>
      <c r="J250" s="17"/>
      <c r="K250" s="18"/>
    </row>
    <row r="251" ht="13" customHeight="1">
      <c r="A251" s="12"/>
      <c r="B251" t="s" s="206">
        <v>307</v>
      </c>
      <c r="C251" s="226" cm="1">
        <f t="array" ref="C251">C4-C147</f>
        <v>34279083650.0739</v>
      </c>
      <c r="D251" s="224"/>
      <c r="E251" s="212"/>
      <c r="F251" s="213"/>
      <c r="G251" s="16"/>
      <c r="H251" s="17"/>
      <c r="I251" s="17"/>
      <c r="J251" s="17"/>
      <c r="K251" s="18"/>
    </row>
    <row r="252" ht="13.5" customHeight="1">
      <c r="A252" s="12"/>
      <c r="B252" s="202"/>
      <c r="C252" s="207"/>
      <c r="D252" s="204"/>
      <c r="E252" s="207"/>
      <c r="F252" s="220"/>
      <c r="G252" s="16"/>
      <c r="H252" s="17"/>
      <c r="I252" s="17"/>
      <c r="J252" s="17"/>
      <c r="K252" s="18"/>
    </row>
    <row r="253" ht="13" customHeight="1">
      <c r="A253" s="12"/>
      <c r="B253" s="237"/>
      <c r="C253" s="212"/>
      <c r="D253" s="224"/>
      <c r="E253" s="212"/>
      <c r="F253" s="213"/>
      <c r="G253" s="16"/>
      <c r="H253" s="17"/>
      <c r="I253" s="17"/>
      <c r="J253" s="17"/>
      <c r="K253" s="18"/>
    </row>
    <row r="254" ht="13" customHeight="1">
      <c r="A254" s="12"/>
      <c r="B254" t="s" s="206">
        <v>308</v>
      </c>
      <c r="C254" s="207" cm="1">
        <f t="array" ref="C254">C324+SUM(C326:C338)</f>
        <v>18655596714.4232</v>
      </c>
      <c r="D254" s="224"/>
      <c r="E254" s="212"/>
      <c r="F254" s="213"/>
      <c r="G254" s="16"/>
      <c r="H254" s="17"/>
      <c r="I254" s="17"/>
      <c r="J254" s="17"/>
      <c r="K254" s="18"/>
    </row>
    <row r="255" ht="14" customHeight="1">
      <c r="A255" s="12"/>
      <c r="B255" s="237"/>
      <c r="C255" s="212"/>
      <c r="D255" s="224"/>
      <c r="E255" s="212"/>
      <c r="F255" s="213"/>
      <c r="G255" s="16"/>
      <c r="H255" s="17"/>
      <c r="I255" s="17"/>
      <c r="J255" s="17"/>
      <c r="K255" s="18"/>
    </row>
    <row r="256" ht="14" customHeight="1">
      <c r="A256" s="12"/>
      <c r="B256" t="str" s="238" cm="1">
        <f t="array" ref="B256">'Admin Expenses 2026'!B58</f>
        <v>Wages and Salary</v>
      </c>
      <c r="C256" s="212" cm="1">
        <f t="array" ref="C256">'Admin Expenses 2026'!G58</f>
        <v>7368000000</v>
      </c>
      <c r="D256" s="224"/>
      <c r="E256" s="212"/>
      <c r="F256" s="213"/>
      <c r="G256" s="16"/>
      <c r="H256" s="17"/>
      <c r="I256" s="17"/>
      <c r="J256" s="17"/>
      <c r="K256" s="18"/>
    </row>
    <row r="257" ht="14" customHeight="1">
      <c r="A257" s="12"/>
      <c r="B257" t="str" s="238" cm="1">
        <f t="array" ref="B257">'Admin Expenses 2026'!B33</f>
        <v>Advertising &amp; Marketing</v>
      </c>
      <c r="C257" s="212" cm="1">
        <f t="array" ref="C257">'Admin Expenses 2026'!G33</f>
        <v>1020000000</v>
      </c>
      <c r="D257" s="224"/>
      <c r="E257" s="212"/>
      <c r="F257" s="213"/>
      <c r="G257" s="16"/>
      <c r="H257" s="17"/>
      <c r="I257" s="17"/>
      <c r="J257" s="17"/>
      <c r="K257" s="18"/>
    </row>
    <row r="258" ht="14" customHeight="1">
      <c r="A258" s="12"/>
      <c r="B258" t="str" s="238" cm="1">
        <f t="array" ref="B258">'Admin Expenses 2026'!B52</f>
        <v>Xendit Fee</v>
      </c>
      <c r="C258" s="212" cm="1">
        <f t="array" ref="C258">'Admin Expenses 2026'!G52</f>
        <v>850630091.904</v>
      </c>
      <c r="D258" s="224"/>
      <c r="E258" s="212"/>
      <c r="F258" s="213"/>
      <c r="G258" s="16"/>
      <c r="H258" s="17"/>
      <c r="I258" s="17"/>
      <c r="J258" s="17"/>
      <c r="K258" s="18"/>
    </row>
    <row r="259" ht="14" customHeight="1">
      <c r="A259" s="12"/>
      <c r="B259" t="str" s="238" cm="1">
        <f t="array" ref="B259">'Admin Expenses 2026'!B47</f>
        <v>Office Expenses</v>
      </c>
      <c r="C259" s="212" cm="1">
        <f t="array" ref="C259">'Admin Expenses 2026'!G47</f>
        <v>612332365.404</v>
      </c>
      <c r="D259" s="224"/>
      <c r="E259" s="212"/>
      <c r="F259" s="213"/>
      <c r="G259" s="16"/>
      <c r="H259" s="17"/>
      <c r="I259" s="17"/>
      <c r="J259" s="17"/>
      <c r="K259" s="18"/>
    </row>
    <row r="260" ht="14" customHeight="1">
      <c r="A260" s="12"/>
      <c r="B260" t="str" s="238" cm="1">
        <f t="array" ref="B260">'Admin Expenses 2026'!B48</f>
        <v>Office Expenses Consumable</v>
      </c>
      <c r="C260" s="212" cm="1">
        <f t="array" ref="C260">'Admin Expenses 2026'!G48</f>
        <v>67275618.612</v>
      </c>
      <c r="D260" s="224"/>
      <c r="E260" s="212"/>
      <c r="F260" s="213"/>
      <c r="G260" s="16"/>
      <c r="H260" s="17"/>
      <c r="I260" s="17"/>
      <c r="J260" s="17"/>
      <c r="K260" s="18"/>
    </row>
    <row r="261" ht="14" customHeight="1">
      <c r="A261" s="12"/>
      <c r="B261" t="str" s="238" cm="1">
        <f t="array" ref="B261">'Admin Expenses 2026'!B20</f>
        <v>Employee Insurance - BPJS Kesehatan dan Tenaga Kerja</v>
      </c>
      <c r="C261" s="212" cm="1">
        <f t="array" ref="C261">'Admin Expenses 2026'!G20</f>
        <v>266048240.685641</v>
      </c>
      <c r="D261" s="224"/>
      <c r="E261" s="212"/>
      <c r="F261" s="213"/>
      <c r="G261" s="16"/>
      <c r="H261" s="17"/>
      <c r="I261" s="17"/>
      <c r="J261" s="17"/>
      <c r="K261" s="18"/>
    </row>
    <row r="262" ht="14" customHeight="1">
      <c r="A262" s="12"/>
      <c r="B262" t="str" s="238" cm="1">
        <f t="array" ref="B262">'Admin Expenses 2026'!B19</f>
        <v>Employee Bonus / Benefits</v>
      </c>
      <c r="C262" s="212" cm="1">
        <f t="array" ref="C262">'Admin Expenses 2026'!G19</f>
        <v>0</v>
      </c>
      <c r="D262" s="224"/>
      <c r="E262" s="212"/>
      <c r="F262" s="213"/>
      <c r="G262" s="16"/>
      <c r="H262" s="17"/>
      <c r="I262" s="17"/>
      <c r="J262" s="17"/>
      <c r="K262" s="18"/>
    </row>
    <row r="263" ht="14" customHeight="1">
      <c r="A263" s="12"/>
      <c r="B263" t="str" s="238" cm="1">
        <f t="array" ref="B263">'Admin Expenses 2026'!B21</f>
        <v>Employee Overtime Pay</v>
      </c>
      <c r="C263" s="212" cm="1">
        <f t="array" ref="C263">'Admin Expenses 2026'!G21</f>
        <v>43161484.8</v>
      </c>
      <c r="D263" s="224"/>
      <c r="E263" s="212"/>
      <c r="F263" s="213"/>
      <c r="G263" s="16"/>
      <c r="H263" s="17"/>
      <c r="I263" s="17"/>
      <c r="J263" s="17"/>
      <c r="K263" s="18"/>
    </row>
    <row r="264" ht="14" customHeight="1">
      <c r="A264" s="12"/>
      <c r="B264" t="str" s="238" cm="1">
        <f t="array" ref="B264">'Admin Expenses 2026'!B22</f>
        <v>Employee Salary Freelance (Daily Worker)</v>
      </c>
      <c r="C264" s="212" cm="1">
        <f t="array" ref="C264">'Admin Expenses 2026'!G22</f>
        <v>48000000</v>
      </c>
      <c r="D264" s="224"/>
      <c r="E264" s="212"/>
      <c r="F264" s="213"/>
      <c r="G264" s="16"/>
      <c r="H264" s="17"/>
      <c r="I264" s="17"/>
      <c r="J264" s="17"/>
      <c r="K264" s="18"/>
    </row>
    <row r="265" ht="14" customHeight="1">
      <c r="A265" s="12"/>
      <c r="B265" t="str" s="238" cm="1">
        <f t="array" ref="B265">'Admin Expenses 2026'!B36</f>
        <v>Consulting and Accounting Fees</v>
      </c>
      <c r="C265" s="212" cm="1">
        <f t="array" ref="C265">'Admin Expenses 2026'!G36</f>
        <v>259156105.2</v>
      </c>
      <c r="D265" s="224"/>
      <c r="E265" s="212"/>
      <c r="F265" s="213"/>
      <c r="G265" s="16"/>
      <c r="H265" s="17"/>
      <c r="I265" s="17"/>
      <c r="J265" s="17"/>
      <c r="K265" s="18"/>
    </row>
    <row r="266" ht="14" customHeight="1">
      <c r="A266" s="12"/>
      <c r="B266" t="str" s="238" cm="1">
        <f t="array" ref="B266">'Admin Expenses 2026'!B43</f>
        <v>Entertainment</v>
      </c>
      <c r="C266" s="212" cm="1">
        <f t="array" ref="C266">'Admin Expenses 2026'!G43</f>
        <v>200000000</v>
      </c>
      <c r="D266" s="224"/>
      <c r="E266" s="212"/>
      <c r="F266" s="213"/>
      <c r="G266" s="16"/>
      <c r="H266" s="17"/>
      <c r="I266" s="17"/>
      <c r="J266" s="17"/>
      <c r="K266" s="18"/>
    </row>
    <row r="267" ht="14" customHeight="1">
      <c r="A267" s="12"/>
      <c r="B267" t="str" s="238" cm="1">
        <f t="array" ref="B267">'Admin Expenses 2026'!B50</f>
        <v>Software Expenses</v>
      </c>
      <c r="C267" s="212" cm="1">
        <f t="array" ref="C267">'Admin Expenses 2026'!G50</f>
        <v>190000000</v>
      </c>
      <c r="D267" s="224"/>
      <c r="E267" s="212"/>
      <c r="F267" s="213"/>
      <c r="G267" s="16"/>
      <c r="H267" s="17"/>
      <c r="I267" s="17"/>
      <c r="J267" s="17"/>
      <c r="K267" s="18"/>
    </row>
    <row r="268" ht="14" customHeight="1">
      <c r="A268" s="12"/>
      <c r="B268" t="str" s="238" cm="1">
        <f t="array" ref="B268">'Admin Expenses 2026'!B46</f>
        <v>Legal Expenses</v>
      </c>
      <c r="C268" s="212" cm="1">
        <f t="array" ref="C268">'Admin Expenses 2026'!G46</f>
        <v>100000000</v>
      </c>
      <c r="D268" s="224"/>
      <c r="E268" s="212"/>
      <c r="F268" s="213"/>
      <c r="G268" s="16"/>
      <c r="H268" s="17"/>
      <c r="I268" s="17"/>
      <c r="J268" s="17"/>
      <c r="K268" s="18"/>
    </row>
    <row r="269" ht="14" customHeight="1">
      <c r="A269" s="12"/>
      <c r="B269" t="str" s="238" cm="1">
        <f t="array" ref="B269">'Admin Expenses 2026'!B23</f>
        <v>Income Tax Art 21</v>
      </c>
      <c r="C269" s="212" cm="1">
        <f t="array" ref="C269">'Admin Expenses 2026'!G23</f>
        <v>0</v>
      </c>
      <c r="D269" s="224"/>
      <c r="E269" s="212"/>
      <c r="F269" s="213"/>
      <c r="G269" s="16"/>
      <c r="H269" s="17"/>
      <c r="I269" s="17"/>
      <c r="J269" s="17"/>
      <c r="K269" s="18"/>
    </row>
    <row r="270" ht="14" customHeight="1">
      <c r="A270" s="12"/>
      <c r="B270" t="str" s="238" cm="1">
        <f t="array" ref="B270">'Admin Expenses 2026'!B24</f>
        <v>Income Tax Art 23 - Services</v>
      </c>
      <c r="C270" s="212" cm="1">
        <f t="array" ref="C270">'Admin Expenses 2026'!G24</f>
        <v>0</v>
      </c>
      <c r="D270" s="224"/>
      <c r="E270" s="212"/>
      <c r="F270" s="213"/>
      <c r="G270" s="16"/>
      <c r="H270" s="17"/>
      <c r="I270" s="17"/>
      <c r="J270" s="17"/>
      <c r="K270" s="18"/>
    </row>
    <row r="271" ht="14" customHeight="1">
      <c r="A271" s="12"/>
      <c r="B271" t="str" s="238" cm="1">
        <f t="array" ref="B271">'Admin Expenses 2026'!B25</f>
        <v>Final income Tax 4 (2)</v>
      </c>
      <c r="C271" s="212" cm="1">
        <f t="array" ref="C271">'Admin Expenses 2026'!G25</f>
        <v>0</v>
      </c>
      <c r="D271" s="224"/>
      <c r="E271" s="212"/>
      <c r="F271" s="213"/>
      <c r="G271" s="16"/>
      <c r="H271" s="17"/>
      <c r="I271" s="17"/>
      <c r="J271" s="17"/>
      <c r="K271" s="18"/>
    </row>
    <row r="272" ht="14" customHeight="1">
      <c r="A272" s="12"/>
      <c r="B272" t="str" s="238" cm="1">
        <f t="array" ref="B272">'Admin Expenses 2026'!B26</f>
        <v>Office Repairs</v>
      </c>
      <c r="C272" s="212" cm="1">
        <f t="array" ref="C272">'Admin Expenses 2026'!G26</f>
        <v>15434400</v>
      </c>
      <c r="D272" s="224"/>
      <c r="E272" s="212"/>
      <c r="F272" s="213"/>
      <c r="G272" s="16"/>
      <c r="H272" s="17"/>
      <c r="I272" s="17"/>
      <c r="J272" s="17"/>
      <c r="K272" s="18"/>
    </row>
    <row r="273" ht="14" customHeight="1">
      <c r="A273" s="12"/>
      <c r="B273" t="str" s="238" cm="1">
        <f t="array" ref="B273">'Admin Expenses 2026'!B27</f>
        <v>Boat Tools and Supplies</v>
      </c>
      <c r="C273" s="212" cm="1">
        <f t="array" ref="C273">'Admin Expenses 2026'!G27</f>
        <v>0</v>
      </c>
      <c r="D273" s="224"/>
      <c r="E273" s="212"/>
      <c r="F273" s="213"/>
      <c r="G273" s="16"/>
      <c r="H273" s="17"/>
      <c r="I273" s="17"/>
      <c r="J273" s="17"/>
      <c r="K273" s="18"/>
    </row>
    <row r="274" ht="14" customHeight="1">
      <c r="A274" s="12"/>
      <c r="B274" t="str" s="238" cm="1">
        <f t="array" ref="B274">'Admin Expenses 2026'!B28</f>
        <v>Electricity</v>
      </c>
      <c r="C274" s="212" cm="1">
        <f t="array" ref="C274">'Admin Expenses 2026'!G28</f>
        <v>73921044</v>
      </c>
      <c r="D274" s="224"/>
      <c r="E274" s="212"/>
      <c r="F274" s="213"/>
      <c r="G274" s="16"/>
      <c r="H274" s="17"/>
      <c r="I274" s="17"/>
      <c r="J274" s="17"/>
      <c r="K274" s="18"/>
    </row>
    <row r="275" ht="14" customHeight="1">
      <c r="A275" s="12"/>
      <c r="B275" t="str" s="238" cm="1">
        <f t="array" ref="B275">'Admin Expenses 2026'!B29</f>
        <v>R&amp;D Expenses (Research and Development)</v>
      </c>
      <c r="C275" s="212" cm="1">
        <f t="array" ref="C275">'Admin Expenses 2026'!G29</f>
        <v>0</v>
      </c>
      <c r="D275" s="224"/>
      <c r="E275" s="212"/>
      <c r="F275" s="213"/>
      <c r="G275" s="16"/>
      <c r="H275" s="17"/>
      <c r="I275" s="17"/>
      <c r="J275" s="17"/>
      <c r="K275" s="18"/>
    </row>
    <row r="276" ht="14" customHeight="1">
      <c r="A276" s="12"/>
      <c r="B276" t="str" s="238" cm="1">
        <f t="array" ref="B276">'Admin Expenses 2026'!B30</f>
        <v>PDAM Water</v>
      </c>
      <c r="C276" s="212" cm="1">
        <f t="array" ref="C276">'Admin Expenses 2026'!G30</f>
        <v>13525296</v>
      </c>
      <c r="D276" s="224"/>
      <c r="E276" s="212"/>
      <c r="F276" s="213"/>
      <c r="G276" s="16"/>
      <c r="H276" s="17"/>
      <c r="I276" s="17"/>
      <c r="J276" s="17"/>
      <c r="K276" s="18"/>
    </row>
    <row r="277" ht="14" customHeight="1">
      <c r="A277" s="12"/>
      <c r="B277" t="str" s="238" cm="1">
        <f t="array" ref="B277">'Admin Expenses 2026'!B31</f>
        <v>Office Equipment</v>
      </c>
      <c r="C277" s="212" cm="1">
        <f t="array" ref="C277">'Admin Expenses 2026'!G31</f>
        <v>10000000</v>
      </c>
      <c r="D277" s="224"/>
      <c r="E277" s="212"/>
      <c r="F277" s="213"/>
      <c r="G277" s="16"/>
      <c r="H277" s="17"/>
      <c r="I277" s="17"/>
      <c r="J277" s="17"/>
      <c r="K277" s="18"/>
    </row>
    <row r="278" ht="14" customHeight="1">
      <c r="A278" s="12"/>
      <c r="B278" t="str" s="238" cm="1">
        <f t="array" ref="B278">'Admin Expenses 2026'!B32</f>
        <v>Accounting Office Expenses</v>
      </c>
      <c r="C278" s="212" cm="1">
        <f t="array" ref="C278">'Admin Expenses 2026'!G32</f>
        <v>5000000</v>
      </c>
      <c r="D278" s="224"/>
      <c r="E278" s="212"/>
      <c r="F278" s="213"/>
      <c r="G278" s="16"/>
      <c r="H278" s="17"/>
      <c r="I278" s="17"/>
      <c r="J278" s="17"/>
      <c r="K278" s="18"/>
    </row>
    <row r="279" ht="14" customHeight="1">
      <c r="A279" s="12"/>
      <c r="B279" t="str" s="238" cm="1">
        <f t="array" ref="B279">'Admin Expenses 2026'!B34</f>
        <v>Bank Administration Fees</v>
      </c>
      <c r="C279" s="212" cm="1">
        <f t="array" ref="C279">'Admin Expenses 2026'!G34</f>
        <v>44108279.04</v>
      </c>
      <c r="D279" s="224"/>
      <c r="E279" s="212"/>
      <c r="F279" s="213"/>
      <c r="G279" s="16"/>
      <c r="H279" s="17"/>
      <c r="I279" s="17"/>
      <c r="J279" s="17"/>
      <c r="K279" s="18"/>
    </row>
    <row r="280" ht="14" customHeight="1">
      <c r="A280" s="12"/>
      <c r="B280" t="str" s="238" cm="1">
        <f t="array" ref="B280">'Admin Expenses 2026'!B35</f>
        <v>Cashlez Fees</v>
      </c>
      <c r="C280" s="212" cm="1">
        <f t="array" ref="C280">'Admin Expenses 2026'!G35</f>
        <v>0</v>
      </c>
      <c r="D280" s="224"/>
      <c r="E280" s="212"/>
      <c r="F280" s="213"/>
      <c r="G280" s="16"/>
      <c r="H280" s="17"/>
      <c r="I280" s="17"/>
      <c r="J280" s="17"/>
      <c r="K280" s="18"/>
    </row>
    <row r="281" ht="14" customHeight="1">
      <c r="A281" s="12"/>
      <c r="B281" t="str" s="238" cm="1">
        <f t="array" ref="B281">'Admin Expenses 2026'!B37</f>
        <v>Insurance Costs</v>
      </c>
      <c r="C281" s="212" cm="1">
        <f t="array" ref="C281">'Admin Expenses 2026'!G37</f>
        <v>60144000</v>
      </c>
      <c r="D281" s="224"/>
      <c r="E281" s="212"/>
      <c r="F281" s="213"/>
      <c r="G281" s="16"/>
      <c r="H281" s="17"/>
      <c r="I281" s="17"/>
      <c r="J281" s="17"/>
      <c r="K281" s="18"/>
    </row>
    <row r="282" ht="14" customHeight="1">
      <c r="A282" s="12"/>
      <c r="B282" t="str" s="238" cm="1">
        <f t="array" ref="B282">'Admin Expenses 2026'!B38</f>
        <v>Telephone and Internet</v>
      </c>
      <c r="C282" s="212" cm="1">
        <f t="array" ref="C282">'Admin Expenses 2026'!G38</f>
        <v>19057788</v>
      </c>
      <c r="D282" s="224"/>
      <c r="E282" s="212"/>
      <c r="F282" s="213"/>
      <c r="G282" s="16"/>
      <c r="H282" s="17"/>
      <c r="I282" s="17"/>
      <c r="J282" s="17"/>
      <c r="K282" s="18"/>
    </row>
    <row r="283" ht="14" customHeight="1">
      <c r="A283" s="12"/>
      <c r="B283" t="str" s="238" cm="1">
        <f t="array" ref="B283">'Admin Expenses 2026'!B39</f>
        <v>Diving and Snorkeling Equipment</v>
      </c>
      <c r="C283" s="212" cm="1">
        <f t="array" ref="C283">'Admin Expenses 2026'!G39</f>
        <v>84480</v>
      </c>
      <c r="D283" s="224"/>
      <c r="E283" s="212"/>
      <c r="F283" s="213"/>
      <c r="G283" s="16"/>
      <c r="H283" s="17"/>
      <c r="I283" s="17"/>
      <c r="J283" s="17"/>
      <c r="K283" s="18"/>
    </row>
    <row r="284" ht="14" customHeight="1">
      <c r="A284" s="12"/>
      <c r="B284" t="str" s="238" cm="1">
        <f t="array" ref="B284">'Admin Expenses 2026'!B40</f>
        <v>Training Expense</v>
      </c>
      <c r="C284" s="212" cm="1">
        <f t="array" ref="C284">'Admin Expenses 2026'!G40</f>
        <v>10000000</v>
      </c>
      <c r="D284" s="224"/>
      <c r="E284" s="212"/>
      <c r="F284" s="213"/>
      <c r="G284" s="16"/>
      <c r="H284" s="17"/>
      <c r="I284" s="17"/>
      <c r="J284" s="17"/>
      <c r="K284" s="18"/>
    </row>
    <row r="285" ht="14" customHeight="1">
      <c r="A285" s="12"/>
      <c r="B285" t="str" s="238" cm="1">
        <f t="array" ref="B285">'Admin Expenses 2026'!B41</f>
        <v>Ceremonies Expenses</v>
      </c>
      <c r="C285" s="212" cm="1">
        <f t="array" ref="C285">'Admin Expenses 2026'!G41</f>
        <v>0</v>
      </c>
      <c r="D285" s="224"/>
      <c r="E285" s="212"/>
      <c r="F285" s="213"/>
      <c r="G285" s="16"/>
      <c r="H285" s="17"/>
      <c r="I285" s="17"/>
      <c r="J285" s="17"/>
      <c r="K285" s="18"/>
    </row>
    <row r="286" ht="14" customHeight="1">
      <c r="A286" s="12"/>
      <c r="B286" t="str" s="238" cm="1">
        <f t="array" ref="B286">'Admin Expenses 2026'!B42</f>
        <v>Donation and Contribution Expenses</v>
      </c>
      <c r="C286" s="212" cm="1">
        <f t="array" ref="C286">'Admin Expenses 2026'!G42</f>
        <v>2000000</v>
      </c>
      <c r="D286" s="224"/>
      <c r="E286" s="212"/>
      <c r="F286" s="213"/>
      <c r="G286" s="16"/>
      <c r="H286" s="17"/>
      <c r="I286" s="17"/>
      <c r="J286" s="17"/>
      <c r="K286" s="18"/>
    </row>
    <row r="287" ht="14" customHeight="1">
      <c r="A287" s="12"/>
      <c r="B287" t="str" s="238" cm="1">
        <f t="array" ref="B287">'Admin Expenses 2026'!B44</f>
        <v>Freight and Courier Expenses</v>
      </c>
      <c r="C287" s="212" cm="1">
        <f t="array" ref="C287">'Admin Expenses 2026'!G44</f>
        <v>47117236.512</v>
      </c>
      <c r="D287" s="224"/>
      <c r="E287" s="212"/>
      <c r="F287" s="213"/>
      <c r="G287" s="16"/>
      <c r="H287" s="17"/>
      <c r="I287" s="17"/>
      <c r="J287" s="17"/>
      <c r="K287" s="18"/>
    </row>
    <row r="288" ht="14" customHeight="1">
      <c r="A288" s="12"/>
      <c r="B288" t="str" s="238" cm="1">
        <f t="array" ref="B288">'Admin Expenses 2026'!B45</f>
        <v>Medical Expenses</v>
      </c>
      <c r="C288" s="212" cm="1">
        <f t="array" ref="C288">'Admin Expenses 2026'!G45</f>
        <v>3000000</v>
      </c>
      <c r="D288" s="224"/>
      <c r="E288" s="212"/>
      <c r="F288" s="213"/>
      <c r="G288" s="16"/>
      <c r="H288" s="17"/>
      <c r="I288" s="17"/>
      <c r="J288" s="17"/>
      <c r="K288" s="18"/>
    </row>
    <row r="289" ht="14" customHeight="1">
      <c r="A289" s="12"/>
      <c r="B289" t="str" s="238" cm="1">
        <f t="array" ref="B289">'Admin Expenses 2026'!B49</f>
        <v>Printing and Stationery</v>
      </c>
      <c r="C289" s="212" cm="1">
        <f t="array" ref="C289">'Admin Expenses 2026'!G49</f>
        <v>35816558.4</v>
      </c>
      <c r="D289" s="224"/>
      <c r="E289" s="212"/>
      <c r="F289" s="213"/>
      <c r="G289" s="16"/>
      <c r="H289" s="17"/>
      <c r="I289" s="17"/>
      <c r="J289" s="17"/>
      <c r="K289" s="18"/>
    </row>
    <row r="290" ht="14" customHeight="1">
      <c r="A290" s="12"/>
      <c r="B290" t="str" s="238" cm="1">
        <f t="array" ref="B290">'Admin Expenses 2026'!F51</f>
        <v>Bluuu.tour improvements + API development</v>
      </c>
      <c r="C290" s="212" cm="1">
        <f t="array" ref="C290">'Admin Expenses 2026'!G51</f>
        <v>40000000</v>
      </c>
      <c r="D290" s="224"/>
      <c r="E290" s="212"/>
      <c r="F290" s="213"/>
      <c r="G290" s="16"/>
      <c r="H290" s="17"/>
      <c r="I290" s="17"/>
      <c r="J290" s="17"/>
      <c r="K290" s="18"/>
    </row>
    <row r="291" ht="14" customHeight="1">
      <c r="A291" s="12"/>
      <c r="B291" t="str" s="238" cm="1">
        <f t="array" ref="B291">'Admin Expenses 2026'!B53</f>
        <v>Travel Expenses</v>
      </c>
      <c r="C291" s="212" cm="1">
        <f t="array" ref="C291">'Admin Expenses 2026'!G53</f>
        <v>80000000</v>
      </c>
      <c r="D291" s="224"/>
      <c r="E291" s="212"/>
      <c r="F291" s="213"/>
      <c r="G291" s="16"/>
      <c r="H291" s="17"/>
      <c r="I291" s="17"/>
      <c r="J291" s="17"/>
      <c r="K291" s="18"/>
    </row>
    <row r="292" ht="14" customHeight="1">
      <c r="A292" s="12"/>
      <c r="B292" t="str" s="238" cm="1">
        <f t="array" ref="B292">'Admin Expenses 2026'!B54</f>
        <v>Uniform Expenses</v>
      </c>
      <c r="C292" s="212" cm="1">
        <f t="array" ref="C292">'Admin Expenses 2026'!G54</f>
        <v>80000000</v>
      </c>
      <c r="D292" s="224"/>
      <c r="E292" s="212"/>
      <c r="F292" s="213"/>
      <c r="G292" s="16"/>
      <c r="H292" s="17"/>
      <c r="I292" s="17"/>
      <c r="J292" s="17"/>
      <c r="K292" s="18"/>
    </row>
    <row r="293" ht="14" customHeight="1">
      <c r="A293" s="12"/>
      <c r="B293" t="str" s="238" cm="1">
        <f t="array" ref="B293">'Admin Expenses 2026'!B55</f>
        <v>Repair and Maintenance</v>
      </c>
      <c r="C293" s="212" cm="1">
        <f t="array" ref="C293">'Admin Expenses 2026'!G55</f>
        <v>90000000</v>
      </c>
      <c r="D293" s="224"/>
      <c r="E293" s="212"/>
      <c r="F293" s="213"/>
      <c r="G293" s="16"/>
      <c r="H293" s="17"/>
      <c r="I293" s="17"/>
      <c r="J293" s="17"/>
      <c r="K293" s="18"/>
    </row>
    <row r="294" ht="14" customHeight="1">
      <c r="A294" s="12"/>
      <c r="B294" t="str" s="238" cm="1">
        <f t="array" ref="B294">'Admin Expenses 2026'!B56</f>
        <v>Commission</v>
      </c>
      <c r="C294" s="212" cm="1">
        <f t="array" ref="C294">'Admin Expenses 2026'!G56</f>
        <v>40000000</v>
      </c>
      <c r="D294" s="224"/>
      <c r="E294" s="212"/>
      <c r="F294" s="213"/>
      <c r="G294" s="16"/>
      <c r="H294" s="17"/>
      <c r="I294" s="17"/>
      <c r="J294" s="17"/>
      <c r="K294" s="18"/>
    </row>
    <row r="295" ht="14" customHeight="1">
      <c r="A295" s="12"/>
      <c r="B295" t="str" s="238" cm="1">
        <f t="array" ref="B295">'Admin Expenses 2026'!B57</f>
        <v>Staff Expenses</v>
      </c>
      <c r="C295" s="212" cm="1">
        <f t="array" ref="C295">'Admin Expenses 2026'!G57</f>
        <v>91346544.432</v>
      </c>
      <c r="D295" s="224"/>
      <c r="E295" s="212"/>
      <c r="F295" s="213"/>
      <c r="G295" s="16"/>
      <c r="H295" s="17"/>
      <c r="I295" s="17"/>
      <c r="J295" s="17"/>
      <c r="K295" s="18"/>
    </row>
    <row r="296" ht="14" customHeight="1">
      <c r="A296" s="12"/>
      <c r="B296" t="str" s="238" cm="1">
        <f t="array" ref="B296">'Admin Expenses 2026'!B59</f>
        <v>Profit Sharing</v>
      </c>
      <c r="C296" s="212" cm="1">
        <f t="array" ref="C296">'Admin Expenses 2026'!G59</f>
        <v>0</v>
      </c>
      <c r="D296" s="224"/>
      <c r="E296" s="212"/>
      <c r="F296" s="213"/>
      <c r="G296" s="16"/>
      <c r="H296" s="17"/>
      <c r="I296" s="17"/>
      <c r="J296" s="17"/>
      <c r="K296" s="18"/>
    </row>
    <row r="297" ht="14" customHeight="1">
      <c r="A297" s="12"/>
      <c r="B297" t="str" s="238" cm="1">
        <f t="array" ref="B297">'Admin Expenses 2026'!B60</f>
        <v>Gifts and Donations</v>
      </c>
      <c r="C297" s="212" cm="1">
        <f t="array" ref="C297">'Admin Expenses 2026'!G60</f>
        <v>19820026.08</v>
      </c>
      <c r="D297" s="224"/>
      <c r="E297" s="212"/>
      <c r="F297" s="213"/>
      <c r="G297" s="16"/>
      <c r="H297" s="17"/>
      <c r="I297" s="17"/>
      <c r="J297" s="17"/>
      <c r="K297" s="18"/>
    </row>
    <row r="298" ht="14" customHeight="1">
      <c r="A298" s="12"/>
      <c r="B298" t="str" s="238" cm="1">
        <f t="array" ref="B298">'Admin Expenses 2026'!B61</f>
        <v>Management Fee</v>
      </c>
      <c r="C298" s="212" cm="1">
        <f t="array" ref="C298">'Admin Expenses 2026'!G61</f>
        <v>0</v>
      </c>
      <c r="D298" s="224"/>
      <c r="E298" s="212"/>
      <c r="F298" s="213"/>
      <c r="G298" s="16"/>
      <c r="H298" s="17"/>
      <c r="I298" s="17"/>
      <c r="J298" s="17"/>
      <c r="K298" s="18"/>
    </row>
    <row r="299" ht="14" customHeight="1">
      <c r="A299" s="12"/>
      <c r="B299" t="str" s="238" cm="1">
        <f t="array" ref="B299">'Admin Expenses 2026'!B62</f>
        <v>Agent Fee</v>
      </c>
      <c r="C299" s="212" cm="1">
        <f t="array" ref="C299">'Admin Expenses 2026'!G62</f>
        <v>0</v>
      </c>
      <c r="D299" s="224"/>
      <c r="E299" s="212"/>
      <c r="F299" s="213"/>
      <c r="G299" s="16"/>
      <c r="H299" s="17"/>
      <c r="I299" s="17"/>
      <c r="J299" s="17"/>
      <c r="K299" s="18"/>
    </row>
    <row r="300" ht="14" customHeight="1">
      <c r="A300" s="12"/>
      <c r="B300" t="str" s="238" cm="1">
        <f t="array" ref="B300">'Admin Expenses 2026'!B63</f>
        <v>Scuba Diving Course</v>
      </c>
      <c r="C300" s="212" cm="1">
        <f t="array" ref="C300">'Admin Expenses 2026'!G63</f>
        <v>0</v>
      </c>
      <c r="D300" s="224"/>
      <c r="E300" s="212"/>
      <c r="F300" s="213"/>
      <c r="G300" s="16"/>
      <c r="H300" s="17"/>
      <c r="I300" s="17"/>
      <c r="J300" s="17"/>
      <c r="K300" s="18"/>
    </row>
    <row r="301" ht="14" customHeight="1">
      <c r="A301" s="12"/>
      <c r="B301" t="str" s="238" cm="1">
        <f t="array" ref="B301">'Admin Expenses 2026'!B64</f>
        <v>General Admin Correction Opening Entri</v>
      </c>
      <c r="C301" s="212" cm="1">
        <f t="array" ref="C301">'Admin Expenses 2026'!G64</f>
        <v>0</v>
      </c>
      <c r="D301" s="224"/>
      <c r="E301" s="212"/>
      <c r="F301" s="213"/>
      <c r="G301" s="16"/>
      <c r="H301" s="17"/>
      <c r="I301" s="17"/>
      <c r="J301" s="17"/>
      <c r="K301" s="18"/>
    </row>
    <row r="302" ht="14" customHeight="1">
      <c r="A302" s="12"/>
      <c r="B302" t="str" s="238" cm="1">
        <f t="array" ref="B302">'Admin Expenses 2026'!B65</f>
        <v>Boat Angel Improvement - Nyoman Nener Exp</v>
      </c>
      <c r="C302" s="212" cm="1">
        <f t="array" ref="C302">'Admin Expenses 2026'!G65</f>
        <v>0</v>
      </c>
      <c r="D302" s="224"/>
      <c r="E302" s="212"/>
      <c r="F302" s="213"/>
      <c r="G302" s="16"/>
      <c r="H302" s="17"/>
      <c r="I302" s="17"/>
      <c r="J302" s="17"/>
      <c r="K302" s="18"/>
    </row>
    <row r="303" ht="14" customHeight="1">
      <c r="A303" s="12"/>
      <c r="B303" t="str" s="238" cm="1">
        <f t="array" ref="B303">'Admin Expenses 2026'!B66</f>
        <v>Other Expenses</v>
      </c>
      <c r="C303" s="212" cm="1">
        <f t="array" ref="C303">'Admin Expenses 2026'!G66</f>
        <v>0</v>
      </c>
      <c r="D303" s="224"/>
      <c r="E303" s="212"/>
      <c r="F303" s="213"/>
      <c r="G303" s="16"/>
      <c r="H303" s="17"/>
      <c r="I303" s="17"/>
      <c r="J303" s="17"/>
      <c r="K303" s="18"/>
    </row>
    <row r="304" ht="14" customHeight="1">
      <c r="A304" s="12"/>
      <c r="B304" t="str" s="238" cm="1">
        <f t="array" ref="B304">'Admin Expenses 2026'!B67</f>
        <v>Materials</v>
      </c>
      <c r="C304" s="212" cm="1">
        <f t="array" ref="C304">'Admin Expenses 2026'!G67</f>
        <v>0</v>
      </c>
      <c r="D304" s="224"/>
      <c r="E304" s="212"/>
      <c r="F304" s="213"/>
      <c r="G304" s="16"/>
      <c r="H304" s="17"/>
      <c r="I304" s="17"/>
      <c r="J304" s="17"/>
      <c r="K304" s="18"/>
    </row>
    <row r="305" ht="14" customHeight="1">
      <c r="A305" s="12"/>
      <c r="B305" t="str" s="238" cm="1">
        <f t="array" ref="B305">'Admin Expenses 2026'!B68</f>
        <v>Interest Expense</v>
      </c>
      <c r="C305" s="212" cm="1">
        <f t="array" ref="C305">'Admin Expenses 2026'!G68</f>
        <v>0</v>
      </c>
      <c r="D305" s="224"/>
      <c r="E305" s="212"/>
      <c r="F305" s="213"/>
      <c r="G305" s="16"/>
      <c r="H305" s="17"/>
      <c r="I305" s="17"/>
      <c r="J305" s="17"/>
      <c r="K305" s="18"/>
    </row>
    <row r="306" ht="14" customHeight="1">
      <c r="A306" s="12"/>
      <c r="B306" t="str" s="238" cm="1">
        <f t="array" ref="B306">'Admin Expenses 2026'!B69</f>
        <v>Loss on Sale of Fixed Assets</v>
      </c>
      <c r="C306" s="212" cm="1">
        <f t="array" ref="C306">'Admin Expenses 2026'!G69</f>
        <v>0</v>
      </c>
      <c r="D306" s="224"/>
      <c r="E306" s="212"/>
      <c r="F306" s="213"/>
      <c r="G306" s="16"/>
      <c r="H306" s="17"/>
      <c r="I306" s="17"/>
      <c r="J306" s="17"/>
      <c r="K306" s="18"/>
    </row>
    <row r="307" ht="14" customHeight="1">
      <c r="A307" s="12"/>
      <c r="B307" t="str" s="238" cm="1">
        <f t="array" ref="B307">'Admin Expenses 2026'!B70</f>
        <v>Cash Difference Loss</v>
      </c>
      <c r="C307" s="212" cm="1">
        <f t="array" ref="C307">'Admin Expenses 2026'!G70</f>
        <v>0</v>
      </c>
      <c r="D307" s="224"/>
      <c r="E307" s="212"/>
      <c r="F307" s="213"/>
      <c r="G307" s="16"/>
      <c r="H307" s="17"/>
      <c r="I307" s="17"/>
      <c r="J307" s="17"/>
      <c r="K307" s="18"/>
    </row>
    <row r="308" ht="14" customHeight="1">
      <c r="A308" s="12"/>
      <c r="B308" t="str" s="238" cm="1">
        <f t="array" ref="B308">'Admin Expenses 2026'!B71</f>
        <v>Tax PPh 21</v>
      </c>
      <c r="C308" s="212" cm="1">
        <f t="array" ref="C308">'Admin Expenses 2026'!G71</f>
        <v>65289778.56</v>
      </c>
      <c r="D308" s="224"/>
      <c r="E308" s="212"/>
      <c r="F308" s="213"/>
      <c r="G308" s="16"/>
      <c r="H308" s="17"/>
      <c r="I308" s="17"/>
      <c r="J308" s="17"/>
      <c r="K308" s="18"/>
    </row>
    <row r="309" ht="14" customHeight="1">
      <c r="A309" s="12"/>
      <c r="B309" t="str" s="238" cm="1">
        <f t="array" ref="B309">'Admin Expenses 2026'!B72</f>
        <v>Tax Final 4(2)</v>
      </c>
      <c r="C309" s="212" cm="1">
        <f t="array" ref="C309">'Admin Expenses 2026'!G72</f>
        <v>115212867.84</v>
      </c>
      <c r="D309" s="224"/>
      <c r="E309" s="212"/>
      <c r="F309" s="213"/>
      <c r="G309" s="16"/>
      <c r="H309" s="17"/>
      <c r="I309" s="17"/>
      <c r="J309" s="17"/>
      <c r="K309" s="18"/>
    </row>
    <row r="310" ht="14" customHeight="1">
      <c r="A310" s="12"/>
      <c r="B310" t="str" s="238" cm="1">
        <f t="array" ref="B310">'Admin Expenses 2026'!B73</f>
        <v>Tax PPh 25</v>
      </c>
      <c r="C310" s="212" cm="1">
        <f t="array" ref="C310">'Admin Expenses 2026'!G73</f>
        <v>62398275.84</v>
      </c>
      <c r="D310" s="224"/>
      <c r="E310" s="212"/>
      <c r="F310" s="213"/>
      <c r="G310" s="16"/>
      <c r="H310" s="17"/>
      <c r="I310" s="17"/>
      <c r="J310" s="17"/>
      <c r="K310" s="18"/>
    </row>
    <row r="311" ht="14" customHeight="1">
      <c r="A311" s="12"/>
      <c r="B311" t="str" s="238" cm="1">
        <f t="array" ref="B311">'Admin Expenses 2026'!B74</f>
        <v>Tax PPh 23</v>
      </c>
      <c r="C311" s="212" cm="1">
        <f t="array" ref="C311">'Admin Expenses 2026'!G74</f>
        <v>74227320</v>
      </c>
      <c r="D311" s="224"/>
      <c r="E311" s="212"/>
      <c r="F311" s="213"/>
      <c r="G311" s="16"/>
      <c r="H311" s="17"/>
      <c r="I311" s="17"/>
      <c r="J311" s="17"/>
      <c r="K311" s="18"/>
    </row>
    <row r="312" ht="14" customHeight="1">
      <c r="A312" s="12"/>
      <c r="B312" t="str" s="238" cm="1">
        <f t="array" ref="B312">'Admin Expenses 2026'!B75</f>
        <v>Tax VAT/PPN</v>
      </c>
      <c r="C312" s="212" cm="1">
        <f t="array" ref="C312">'Admin Expenses 2026'!G75</f>
        <v>4308480</v>
      </c>
      <c r="D312" s="224"/>
      <c r="E312" s="212"/>
      <c r="F312" s="213"/>
      <c r="G312" s="16"/>
      <c r="H312" s="17"/>
      <c r="I312" s="17"/>
      <c r="J312" s="17"/>
      <c r="K312" s="18"/>
    </row>
    <row r="313" ht="14" customHeight="1">
      <c r="A313" s="12"/>
      <c r="B313" t="str" s="238" cm="1">
        <f t="array" ref="B313">'Admin Expenses 2026'!B76</f>
        <v>Dividend Tax</v>
      </c>
      <c r="C313" s="212" cm="1">
        <f t="array" ref="C313">'Admin Expenses 2026'!G76</f>
        <v>50000000</v>
      </c>
      <c r="D313" s="224"/>
      <c r="E313" s="212"/>
      <c r="F313" s="213"/>
      <c r="G313" s="16"/>
      <c r="H313" s="17"/>
      <c r="I313" s="17"/>
      <c r="J313" s="17"/>
      <c r="K313" s="18"/>
    </row>
    <row r="314" ht="14" customHeight="1">
      <c r="A314" s="12"/>
      <c r="B314" t="str" s="238" cm="1">
        <f t="array" ref="B314">'Admin Expenses 2026'!B77</f>
        <v>CIT Corporate Income Tax (11%-22%)</v>
      </c>
      <c r="C314" s="212" cm="1">
        <f t="array" ref="C314">'Admin Expenses 2026'!G77</f>
        <v>0</v>
      </c>
      <c r="D314" s="224"/>
      <c r="E314" s="212"/>
      <c r="F314" s="213"/>
      <c r="G314" s="16"/>
      <c r="H314" s="17"/>
      <c r="I314" s="17"/>
      <c r="J314" s="17"/>
      <c r="K314" s="18"/>
    </row>
    <row r="315" ht="14" customHeight="1">
      <c r="A315" s="12"/>
      <c r="B315" t="str" s="238" cm="1">
        <f t="array" ref="B315">'Admin Expenses 2026'!B78</f>
        <v>Tax PPh 26</v>
      </c>
      <c r="C315" s="212" cm="1">
        <f t="array" ref="C315">'Admin Expenses 2026'!G78</f>
        <v>6218408.16</v>
      </c>
      <c r="D315" s="224"/>
      <c r="E315" s="212"/>
      <c r="F315" s="213"/>
      <c r="G315" s="16"/>
      <c r="H315" s="17"/>
      <c r="I315" s="17"/>
      <c r="J315" s="17"/>
      <c r="K315" s="18"/>
    </row>
    <row r="316" ht="14" customHeight="1">
      <c r="A316" s="12"/>
      <c r="B316" t="str" s="238" cm="1">
        <f t="array" ref="B316">'Admin Expenses 2026'!B79</f>
        <v>Reservation Fee Exp</v>
      </c>
      <c r="C316" s="212" cm="1">
        <f t="array" ref="C316">'Admin Expenses 2026'!G79</f>
        <v>0</v>
      </c>
      <c r="D316" s="224"/>
      <c r="E316" s="212"/>
      <c r="F316" s="213"/>
      <c r="G316" s="16"/>
      <c r="H316" s="17"/>
      <c r="I316" s="17"/>
      <c r="J316" s="17"/>
      <c r="K316" s="18"/>
    </row>
    <row r="317" ht="8" customHeight="1">
      <c r="A317" s="12"/>
      <c r="B317" s="237"/>
      <c r="C317" s="212"/>
      <c r="D317" s="224"/>
      <c r="E317" s="212"/>
      <c r="F317" s="213"/>
      <c r="G317" s="16"/>
      <c r="H317" s="17"/>
      <c r="I317" s="17"/>
      <c r="J317" s="17"/>
      <c r="K317" s="18"/>
    </row>
    <row r="318" ht="14" customHeight="1">
      <c r="A318" s="12"/>
      <c r="B318" t="s" s="239">
        <v>370</v>
      </c>
      <c r="C318" s="212"/>
      <c r="D318" s="224"/>
      <c r="E318" s="212"/>
      <c r="F318" s="213"/>
      <c r="G318" s="16"/>
      <c r="H318" s="17"/>
      <c r="I318" s="17"/>
      <c r="J318" s="17"/>
      <c r="K318" s="18"/>
    </row>
    <row r="319" ht="14" customHeight="1">
      <c r="A319" s="12"/>
      <c r="B319" t="str" s="238" cm="1">
        <f t="array" ref="B319">'Admin Expenses 2026'!B82</f>
        <v>Rental Costs</v>
      </c>
      <c r="C319" s="212" cm="1">
        <f t="array" ref="C319">'Admin Expenses 2026'!G82</f>
        <v>162732258.072</v>
      </c>
      <c r="D319" s="224"/>
      <c r="E319" s="212"/>
      <c r="F319" s="213"/>
      <c r="G319" s="16"/>
      <c r="H319" s="17"/>
      <c r="I319" s="17"/>
      <c r="J319" s="17"/>
      <c r="K319" s="18"/>
    </row>
    <row r="320" ht="14" customHeight="1">
      <c r="A320" s="12"/>
      <c r="B320" t="str" s="238" cm="1">
        <f t="array" ref="B320">'Admin Expenses 2026'!B83</f>
        <v>Office Building</v>
      </c>
      <c r="C320" s="212" cm="1">
        <f t="array" ref="C320">'Admin Expenses 2026'!G83</f>
        <v>186850927.896</v>
      </c>
      <c r="D320" s="224"/>
      <c r="E320" s="212"/>
      <c r="F320" s="213"/>
      <c r="G320" s="16"/>
      <c r="H320" s="17"/>
      <c r="I320" s="17"/>
      <c r="J320" s="17"/>
      <c r="K320" s="18"/>
    </row>
    <row r="321" ht="14" customHeight="1">
      <c r="A321" s="12"/>
      <c r="B321" t="str" s="238" cm="1">
        <f t="array" ref="B321">'Admin Expenses 2026'!B84</f>
        <v>Boats</v>
      </c>
      <c r="C321" s="212" cm="1">
        <f t="array" ref="C321">'Admin Expenses 2026'!G84</f>
        <v>687772785.648</v>
      </c>
      <c r="D321" s="224"/>
      <c r="E321" s="212"/>
      <c r="F321" s="213"/>
      <c r="G321" s="16"/>
      <c r="H321" s="17"/>
      <c r="I321" s="17"/>
      <c r="J321" s="17"/>
      <c r="K321" s="18"/>
    </row>
    <row r="322" ht="14" customHeight="1">
      <c r="A322" s="12"/>
      <c r="B322" t="str" s="238" cm="1">
        <f t="array" ref="B322">'Admin Expenses 2026'!B85</f>
        <v>Equipment and office supplies</v>
      </c>
      <c r="C322" s="212" cm="1">
        <f t="array" ref="C322">'Admin Expenses 2026'!G85</f>
        <v>265356021.204</v>
      </c>
      <c r="D322" s="224"/>
      <c r="E322" s="212"/>
      <c r="F322" s="213"/>
      <c r="G322" s="16"/>
      <c r="H322" s="17"/>
      <c r="I322" s="17"/>
      <c r="J322" s="17"/>
      <c r="K322" s="18"/>
    </row>
    <row r="323" ht="14" customHeight="1">
      <c r="A323" s="12"/>
      <c r="B323" t="s" s="221">
        <v>375</v>
      </c>
      <c r="C323" s="212" cm="1">
        <f t="array" ref="C323">SUM('Allocation OH and Target 2026'!O15:O18)+SUM('Allocation OH and Target 2026'!O44:O47)</f>
        <v>608125000</v>
      </c>
      <c r="D323" s="224"/>
      <c r="E323" s="212"/>
      <c r="F323" s="213"/>
      <c r="G323" s="16"/>
      <c r="H323" s="17"/>
      <c r="I323" s="17"/>
      <c r="J323" s="17"/>
      <c r="K323" s="18"/>
    </row>
    <row r="324" ht="13" customHeight="1">
      <c r="A324" s="12"/>
      <c r="B324" t="s" s="206">
        <v>376</v>
      </c>
      <c r="C324" s="207" cm="1">
        <f t="array" ref="C324">SUM(C256:C323)</f>
        <v>14093471682.2896</v>
      </c>
      <c r="D324" s="219"/>
      <c r="E324" s="207"/>
      <c r="F324" s="220"/>
      <c r="G324" s="16"/>
      <c r="H324" s="17"/>
      <c r="I324" s="17"/>
      <c r="J324" s="17"/>
      <c r="K324" s="18"/>
    </row>
    <row r="325" ht="14" customHeight="1">
      <c r="A325" s="12"/>
      <c r="B325" s="237"/>
      <c r="C325" s="212"/>
      <c r="D325" s="224"/>
      <c r="E325" s="212"/>
      <c r="F325" s="213"/>
      <c r="G325" s="16"/>
      <c r="H325" s="17"/>
      <c r="I325" s="17"/>
      <c r="J325" s="17"/>
      <c r="K325" s="18"/>
    </row>
    <row r="326" ht="13" customHeight="1">
      <c r="A326" s="12"/>
      <c r="B326" t="s" s="206">
        <v>377</v>
      </c>
      <c r="C326" s="207" cm="1">
        <f t="array" ref="C326">'Private Boats 2026 Target'!AF1016+'Shared Boats 2026 Target'!AN218</f>
        <v>290081286.177331</v>
      </c>
      <c r="D326" s="224"/>
      <c r="E326" s="212"/>
      <c r="F326" s="213"/>
      <c r="G326" s="16"/>
      <c r="H326" s="17"/>
      <c r="I326" s="17"/>
      <c r="J326" s="17"/>
      <c r="K326" s="18"/>
    </row>
    <row r="327" ht="14" customHeight="1">
      <c r="A327" s="12"/>
      <c r="B327" s="237"/>
      <c r="C327" s="212"/>
      <c r="D327" s="224"/>
      <c r="E327" s="212"/>
      <c r="F327" s="213"/>
      <c r="G327" s="16"/>
      <c r="H327" s="17"/>
      <c r="I327" s="17"/>
      <c r="J327" s="17"/>
      <c r="K327" s="18"/>
    </row>
    <row r="328" ht="13" customHeight="1">
      <c r="A328" s="12"/>
      <c r="B328" t="s" s="206">
        <v>378</v>
      </c>
      <c r="C328" s="207" cm="1">
        <f t="array" ref="C328">'Private Boats 2026 Target'!AF1039+'Shared Boats 2026 Target'!AN241</f>
        <v>290081286.177331</v>
      </c>
      <c r="D328" s="224"/>
      <c r="E328" s="212"/>
      <c r="F328" s="213"/>
      <c r="G328" s="16"/>
      <c r="H328" s="17"/>
      <c r="I328" s="17"/>
      <c r="J328" s="17"/>
      <c r="K328" s="18"/>
    </row>
    <row r="329" ht="13" customHeight="1">
      <c r="A329" s="12"/>
      <c r="B329" s="202"/>
      <c r="C329" s="207"/>
      <c r="D329" s="224"/>
      <c r="E329" s="212"/>
      <c r="F329" s="213"/>
      <c r="G329" s="16"/>
      <c r="H329" s="17"/>
      <c r="I329" s="17"/>
      <c r="J329" s="17"/>
      <c r="K329" s="18"/>
    </row>
    <row r="330" ht="13" customHeight="1">
      <c r="A330" s="12"/>
      <c r="B330" t="s" s="206">
        <v>379</v>
      </c>
      <c r="C330" s="207" cm="1">
        <f t="array" ref="C330">'Private Boats 2026 Target'!AF1085+'Premium Shared 2026 Target'!AP80+'Shared Boats 2026 Target'!AN149</f>
        <v>1109919883.90909</v>
      </c>
      <c r="D330" s="224"/>
      <c r="E330" s="212"/>
      <c r="F330" s="213"/>
      <c r="G330" s="16"/>
      <c r="H330" s="17"/>
      <c r="I330" s="17"/>
      <c r="J330" s="17"/>
      <c r="K330" s="18"/>
    </row>
    <row r="331" ht="13" customHeight="1">
      <c r="A331" s="12"/>
      <c r="B331" s="202"/>
      <c r="C331" s="207"/>
      <c r="D331" s="224"/>
      <c r="E331" s="212"/>
      <c r="F331" s="213"/>
      <c r="G331" s="16"/>
      <c r="H331" s="17"/>
      <c r="I331" s="17"/>
      <c r="J331" s="17"/>
      <c r="K331" s="18"/>
    </row>
    <row r="332" ht="13" customHeight="1">
      <c r="A332" s="12"/>
      <c r="B332" t="s" s="206">
        <v>380</v>
      </c>
      <c r="C332" s="207" cm="1">
        <f t="array" ref="C332">'Private Boats 2026 Target'!AF826+'Private Boats 2026 Target'!AF1154</f>
        <v>875450852.564105</v>
      </c>
      <c r="D332" s="224"/>
      <c r="E332" s="212"/>
      <c r="F332" s="213"/>
      <c r="G332" s="16"/>
      <c r="H332" s="17"/>
      <c r="I332" s="17"/>
      <c r="J332" s="17"/>
      <c r="K332" s="18"/>
    </row>
    <row r="333" ht="13" customHeight="1">
      <c r="A333" s="12"/>
      <c r="B333" s="202"/>
      <c r="C333" s="207"/>
      <c r="D333" s="224"/>
      <c r="E333" s="212"/>
      <c r="F333" s="213"/>
      <c r="G333" s="16"/>
      <c r="H333" s="17"/>
      <c r="I333" s="17"/>
      <c r="J333" s="17"/>
      <c r="K333" s="18"/>
    </row>
    <row r="334" ht="13" customHeight="1">
      <c r="A334" s="12"/>
      <c r="B334" t="s" s="206">
        <v>381</v>
      </c>
      <c r="C334" s="207" cm="1">
        <f t="array" ref="C334">'Private Boats 2026 Target'!AF1108+'Premium Shared 2026 Target'!AP103</f>
        <v>758072822.764043</v>
      </c>
      <c r="D334" s="224"/>
      <c r="E334" s="212"/>
      <c r="F334" s="213"/>
      <c r="G334" s="16"/>
      <c r="H334" s="17"/>
      <c r="I334" s="17"/>
      <c r="J334" s="17"/>
      <c r="K334" s="18"/>
    </row>
    <row r="335" ht="13" customHeight="1">
      <c r="A335" s="12"/>
      <c r="B335" s="202"/>
      <c r="C335" s="207"/>
      <c r="D335" s="224"/>
      <c r="E335" s="212"/>
      <c r="F335" s="213"/>
      <c r="G335" s="16"/>
      <c r="H335" s="17"/>
      <c r="I335" s="17"/>
      <c r="J335" s="17"/>
      <c r="K335" s="18"/>
    </row>
    <row r="336" ht="13" customHeight="1">
      <c r="A336" s="12"/>
      <c r="B336" t="s" s="206">
        <v>382</v>
      </c>
      <c r="C336" s="207" cm="1">
        <f t="array" ref="C336">'Private Boats 2026 Target'!AF1131+'Premium Shared 2026 Target'!AP126</f>
        <v>606153995.327909</v>
      </c>
      <c r="D336" s="224"/>
      <c r="E336" s="212"/>
      <c r="F336" s="213"/>
      <c r="G336" s="16"/>
      <c r="H336" s="17"/>
      <c r="I336" s="17"/>
      <c r="J336" s="17"/>
      <c r="K336" s="18"/>
    </row>
    <row r="337" ht="13" customHeight="1">
      <c r="A337" s="12"/>
      <c r="B337" s="202"/>
      <c r="C337" s="207"/>
      <c r="D337" s="224"/>
      <c r="E337" s="212"/>
      <c r="F337" s="213"/>
      <c r="G337" s="16"/>
      <c r="H337" s="17"/>
      <c r="I337" s="17"/>
      <c r="J337" s="17"/>
      <c r="K337" s="18"/>
    </row>
    <row r="338" ht="13" customHeight="1">
      <c r="A338" s="12"/>
      <c r="B338" t="s" s="206">
        <v>383</v>
      </c>
      <c r="C338" s="207" cm="1">
        <f t="array" ref="C338">'Private Boats 2026 Target'!AF1271+'Shared Boats 2026 Target'!AN425</f>
        <v>632364905.213804</v>
      </c>
      <c r="D338" s="224"/>
      <c r="E338" s="212"/>
      <c r="F338" s="213"/>
      <c r="G338" s="16"/>
      <c r="H338" s="17"/>
      <c r="I338" s="17"/>
      <c r="J338" s="17"/>
      <c r="K338" s="18"/>
    </row>
    <row r="339" ht="13.5" customHeight="1">
      <c r="A339" s="12"/>
      <c r="B339" s="202"/>
      <c r="C339" s="207"/>
      <c r="D339" s="204"/>
      <c r="E339" s="207"/>
      <c r="F339" s="220"/>
      <c r="G339" s="16"/>
      <c r="H339" s="17"/>
      <c r="I339" s="17"/>
      <c r="J339" s="17"/>
      <c r="K339" s="18"/>
    </row>
    <row r="340" ht="13" customHeight="1">
      <c r="A340" s="12"/>
      <c r="B340" s="237"/>
      <c r="C340" s="212"/>
      <c r="D340" s="224"/>
      <c r="E340" s="212"/>
      <c r="F340" s="213"/>
      <c r="G340" s="16"/>
      <c r="H340" s="17"/>
      <c r="I340" s="17"/>
      <c r="J340" s="17"/>
      <c r="K340" s="18"/>
    </row>
    <row r="341" ht="13" customHeight="1">
      <c r="A341" s="12"/>
      <c r="B341" t="s" s="206">
        <v>384</v>
      </c>
      <c r="C341" s="226" cm="1">
        <f t="array" ref="C341">C251-C254</f>
        <v>15623486935.6507</v>
      </c>
      <c r="D341" s="224"/>
      <c r="E341" s="212"/>
      <c r="F341" s="213"/>
      <c r="G341" s="16"/>
      <c r="H341" s="17"/>
      <c r="I341" s="17"/>
      <c r="J341" s="17"/>
      <c r="K341" s="18"/>
    </row>
    <row r="342" ht="14" customHeight="1">
      <c r="A342" s="12"/>
      <c r="B342" s="237"/>
      <c r="C342" s="212"/>
      <c r="D342" s="224"/>
      <c r="E342" s="212"/>
      <c r="F342" s="213"/>
      <c r="G342" s="16"/>
      <c r="H342" s="17"/>
      <c r="I342" s="17"/>
      <c r="J342" s="17"/>
      <c r="K342" s="18"/>
    </row>
    <row r="343" ht="13" customHeight="1">
      <c r="A343" s="12"/>
      <c r="B343" t="s" s="206">
        <v>385</v>
      </c>
      <c r="C343" s="207" cm="1">
        <f t="array" ref="C343">C4*0.5%</f>
        <v>470867954.187789</v>
      </c>
      <c r="D343" s="224"/>
      <c r="E343" s="212"/>
      <c r="F343" s="213"/>
      <c r="G343" s="16"/>
      <c r="H343" s="17"/>
      <c r="I343" s="17"/>
      <c r="J343" s="17"/>
      <c r="K343" s="18"/>
    </row>
    <row r="344" ht="13.5" customHeight="1">
      <c r="A344" s="12"/>
      <c r="B344" s="202"/>
      <c r="C344" s="207"/>
      <c r="D344" s="204"/>
      <c r="E344" s="207"/>
      <c r="F344" s="220"/>
      <c r="G344" s="16"/>
      <c r="H344" s="17"/>
      <c r="I344" s="17"/>
      <c r="J344" s="17"/>
      <c r="K344" s="18"/>
    </row>
    <row r="345" ht="13" customHeight="1">
      <c r="A345" s="12"/>
      <c r="B345" s="237"/>
      <c r="C345" s="212"/>
      <c r="D345" s="224"/>
      <c r="E345" s="212"/>
      <c r="F345" s="213"/>
      <c r="G345" s="16"/>
      <c r="H345" s="17"/>
      <c r="I345" s="17"/>
      <c r="J345" s="17"/>
      <c r="K345" s="18"/>
    </row>
    <row r="346" ht="13" customHeight="1">
      <c r="A346" s="12"/>
      <c r="B346" t="s" s="206">
        <v>386</v>
      </c>
      <c r="C346" s="226" cm="1">
        <f t="array" ref="C346">C341-C343</f>
        <v>15152618981.4629</v>
      </c>
      <c r="D346" s="224"/>
      <c r="E346" s="212"/>
      <c r="F346" s="213"/>
      <c r="G346" s="16"/>
      <c r="H346" s="17"/>
      <c r="I346" s="17"/>
      <c r="J346" s="17"/>
      <c r="K346" s="18"/>
    </row>
    <row r="347" ht="13" customHeight="1">
      <c r="A347" s="12"/>
      <c r="B347" s="240"/>
      <c r="C347" s="241"/>
      <c r="D347" s="242"/>
      <c r="E347" s="241"/>
      <c r="F347" s="243"/>
      <c r="G347" s="16"/>
      <c r="H347" s="17"/>
      <c r="I347" s="17"/>
      <c r="J347" s="17"/>
      <c r="K347" s="18"/>
    </row>
    <row r="348" ht="13" customHeight="1">
      <c r="A348" s="32"/>
      <c r="B348" s="124"/>
      <c r="C348" s="124"/>
      <c r="D348" s="124"/>
      <c r="E348" s="124"/>
      <c r="F348" s="124"/>
      <c r="G348" s="17"/>
      <c r="H348" s="17"/>
      <c r="I348" s="17"/>
      <c r="J348" s="17"/>
      <c r="K348" s="18"/>
    </row>
    <row r="349" ht="14" customHeight="1">
      <c r="A349" s="192"/>
      <c r="B349" s="193"/>
      <c r="C349" s="244"/>
      <c r="D349" s="193"/>
      <c r="E349" s="193"/>
      <c r="F349" s="193"/>
      <c r="G349" s="193"/>
      <c r="H349" s="193"/>
      <c r="I349" s="193"/>
      <c r="J349" s="193"/>
      <c r="K349" s="19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AL155"/>
  <sheetViews>
    <sheetView workbookViewId="0" showGridLines="0" defaultGridColor="1"/>
  </sheetViews>
  <sheetFormatPr defaultColWidth="8.83333" defaultRowHeight="14.5" customHeight="1" outlineLevelRow="0" outlineLevelCol="0"/>
  <cols>
    <col min="1" max="1" width="2" style="245" customWidth="1"/>
    <col min="2" max="2" width="23.6719" style="245" customWidth="1"/>
    <col min="3" max="3" width="1.5" style="245" customWidth="1"/>
    <col min="4" max="4" width="18.5" style="245" customWidth="1"/>
    <col min="5" max="5" width="1.85156" style="245" customWidth="1"/>
    <col min="6" max="13" width="11.8516" style="245" customWidth="1"/>
    <col min="14" max="15" width="12.1719" style="245" customWidth="1"/>
    <col min="16" max="23" width="12.5" style="245" customWidth="1"/>
    <col min="24" max="24" width="12.8516" style="245" customWidth="1"/>
    <col min="25" max="37" width="13.5" style="245" customWidth="1"/>
    <col min="38" max="38" width="1.85156" style="245" customWidth="1"/>
    <col min="39" max="16384" width="8.85156" style="245" customWidth="1"/>
  </cols>
  <sheetData>
    <row r="1" ht="11.4" customHeight="1">
      <c r="A1" s="7"/>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246"/>
    </row>
    <row r="2" ht="15.5" customHeight="1">
      <c r="A2" s="12"/>
      <c r="B2" s="247"/>
      <c r="C2" s="248"/>
      <c r="D2" s="248"/>
      <c r="E2" s="249"/>
      <c r="F2" t="s" s="250">
        <v>388</v>
      </c>
      <c r="G2" t="s" s="250">
        <v>388</v>
      </c>
      <c r="H2" t="s" s="250">
        <v>388</v>
      </c>
      <c r="I2" t="s" s="250">
        <v>388</v>
      </c>
      <c r="J2" t="s" s="250">
        <v>389</v>
      </c>
      <c r="K2" t="s" s="250">
        <v>389</v>
      </c>
      <c r="L2" t="s" s="250">
        <v>389</v>
      </c>
      <c r="M2" t="s" s="250">
        <v>389</v>
      </c>
      <c r="N2" t="s" s="250">
        <v>389</v>
      </c>
      <c r="O2" t="s" s="250">
        <v>389</v>
      </c>
      <c r="P2" t="s" s="250">
        <v>389</v>
      </c>
      <c r="Q2" t="s" s="250">
        <v>389</v>
      </c>
      <c r="R2" t="s" s="250">
        <v>389</v>
      </c>
      <c r="S2" t="s" s="250">
        <v>389</v>
      </c>
      <c r="T2" t="s" s="250">
        <v>389</v>
      </c>
      <c r="U2" t="s" s="250">
        <v>389</v>
      </c>
      <c r="V2" t="s" s="250">
        <v>389</v>
      </c>
      <c r="W2" t="s" s="250">
        <v>389</v>
      </c>
      <c r="X2" t="s" s="250">
        <v>389</v>
      </c>
      <c r="Y2" t="s" s="250">
        <v>389</v>
      </c>
      <c r="Z2" t="s" s="250">
        <v>389</v>
      </c>
      <c r="AA2" t="s" s="250">
        <v>389</v>
      </c>
      <c r="AB2" t="s" s="250">
        <v>389</v>
      </c>
      <c r="AC2" t="s" s="250">
        <v>389</v>
      </c>
      <c r="AD2" t="s" s="250">
        <v>389</v>
      </c>
      <c r="AE2" t="s" s="250">
        <v>389</v>
      </c>
      <c r="AF2" t="s" s="250">
        <v>389</v>
      </c>
      <c r="AG2" t="s" s="250">
        <v>389</v>
      </c>
      <c r="AH2" t="s" s="250">
        <v>389</v>
      </c>
      <c r="AI2" t="s" s="250">
        <v>389</v>
      </c>
      <c r="AJ2" t="s" s="250">
        <v>389</v>
      </c>
      <c r="AK2" t="s" s="250">
        <v>389</v>
      </c>
      <c r="AL2" s="251"/>
    </row>
    <row r="3" ht="15" customHeight="1">
      <c r="A3" s="12"/>
      <c r="B3" t="s" s="252">
        <v>390</v>
      </c>
      <c r="C3" s="253"/>
      <c r="D3" s="254"/>
      <c r="E3" s="255"/>
      <c r="F3" s="256">
        <v>45413</v>
      </c>
      <c r="G3" s="256">
        <v>45444</v>
      </c>
      <c r="H3" s="256">
        <v>45474</v>
      </c>
      <c r="I3" s="256">
        <v>45505</v>
      </c>
      <c r="J3" s="256">
        <v>45536</v>
      </c>
      <c r="K3" s="256">
        <v>45566</v>
      </c>
      <c r="L3" s="256">
        <v>45597</v>
      </c>
      <c r="M3" s="256">
        <v>45627</v>
      </c>
      <c r="N3" s="256">
        <v>45658</v>
      </c>
      <c r="O3" s="256">
        <v>45689</v>
      </c>
      <c r="P3" s="256">
        <v>45717</v>
      </c>
      <c r="Q3" s="256">
        <v>45748</v>
      </c>
      <c r="R3" s="256">
        <v>45778</v>
      </c>
      <c r="S3" s="256">
        <v>45809</v>
      </c>
      <c r="T3" s="256">
        <v>45839</v>
      </c>
      <c r="U3" s="256">
        <v>45870</v>
      </c>
      <c r="V3" s="256">
        <v>45901</v>
      </c>
      <c r="W3" s="256">
        <v>45931</v>
      </c>
      <c r="X3" s="256">
        <v>45962</v>
      </c>
      <c r="Y3" s="256">
        <v>45992</v>
      </c>
      <c r="Z3" s="256">
        <v>46023</v>
      </c>
      <c r="AA3" s="256">
        <v>46054</v>
      </c>
      <c r="AB3" s="256">
        <v>46082</v>
      </c>
      <c r="AC3" s="256">
        <v>46113</v>
      </c>
      <c r="AD3" s="256">
        <v>46143</v>
      </c>
      <c r="AE3" s="256">
        <v>46174</v>
      </c>
      <c r="AF3" s="256">
        <v>46204</v>
      </c>
      <c r="AG3" s="256">
        <v>46235</v>
      </c>
      <c r="AH3" s="256">
        <v>46266</v>
      </c>
      <c r="AI3" s="256">
        <v>46296</v>
      </c>
      <c r="AJ3" s="256">
        <v>46327</v>
      </c>
      <c r="AK3" s="256">
        <v>46357</v>
      </c>
      <c r="AL3" s="257"/>
    </row>
    <row r="4" ht="15" customHeight="1">
      <c r="A4" s="12"/>
      <c r="B4" t="s" s="258">
        <v>391</v>
      </c>
      <c r="C4" s="259"/>
      <c r="D4" s="260"/>
      <c r="E4" s="261"/>
      <c r="F4" s="262"/>
      <c r="G4" s="262"/>
      <c r="H4" s="262"/>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3"/>
    </row>
    <row r="5" ht="15" customHeight="1">
      <c r="A5" s="12"/>
      <c r="B5" t="s" s="264">
        <v>392</v>
      </c>
      <c r="C5" s="265"/>
      <c r="D5" s="266"/>
      <c r="E5" s="267"/>
      <c r="F5" s="268"/>
      <c r="G5" s="268"/>
      <c r="H5" s="268"/>
      <c r="I5" s="268"/>
      <c r="J5" s="268"/>
      <c r="K5" s="268"/>
      <c r="L5" s="268"/>
      <c r="M5" s="269"/>
      <c r="N5" s="268"/>
      <c r="O5" s="268"/>
      <c r="P5" s="268"/>
      <c r="Q5" s="268"/>
      <c r="R5" s="268"/>
      <c r="S5" s="268"/>
      <c r="T5" s="268"/>
      <c r="U5" s="268"/>
      <c r="V5" s="268"/>
      <c r="W5" s="268"/>
      <c r="X5" s="268"/>
      <c r="Y5" s="268"/>
      <c r="Z5" s="268"/>
      <c r="AA5" s="268"/>
      <c r="AB5" s="268"/>
      <c r="AC5" s="268"/>
      <c r="AD5" s="268"/>
      <c r="AE5" s="268"/>
      <c r="AF5" s="268"/>
      <c r="AG5" s="268"/>
      <c r="AH5" s="268"/>
      <c r="AI5" s="268"/>
      <c r="AJ5" s="268"/>
      <c r="AK5" s="268"/>
      <c r="AL5" s="270"/>
    </row>
    <row r="6" ht="16" customHeight="1">
      <c r="A6" s="12"/>
      <c r="B6" s="271"/>
      <c r="C6" s="272"/>
      <c r="D6" t="s" s="273">
        <v>393</v>
      </c>
      <c r="E6" s="274" cm="1">
        <f t="array" ref="E6">50896.35*16272</f>
        <v>828185407.2</v>
      </c>
      <c r="F6" s="275" cm="1">
        <f t="array" ref="F6">'Monthly PnL 2024'!K9/1000</f>
        <v>5785086.39526</v>
      </c>
      <c r="G6" s="275" cm="1">
        <f t="array" ref="G6">'Monthly PnL 2024'!J9/1000</f>
        <v>6950616.19256</v>
      </c>
      <c r="H6" s="275" cm="1">
        <f t="array" ref="H6">'Monthly PnL 2024'!I9/1000</f>
        <v>9183590.21886</v>
      </c>
      <c r="I6" s="275" cm="1">
        <f t="array" ref="I6">'Monthly PnL 2024'!H9/1000</f>
        <v>9559343.07889</v>
      </c>
      <c r="J6" s="275" cm="1">
        <f t="array" ref="J6">'Monthly PnL 2024'!G9/1000</f>
        <v>8068004.48724</v>
      </c>
      <c r="K6" s="275" cm="1">
        <f t="array" ref="K6">'Monthly PnL 2024'!F9/1000</f>
        <v>6866898.63125</v>
      </c>
      <c r="L6" s="275" cm="1">
        <f t="array" ref="L6">'Monthly PnL 2024'!E9/1000</f>
        <v>5429922.39429</v>
      </c>
      <c r="M6" s="275" cm="1">
        <f t="array" ref="M6">'Monthly PnL 2024'!D9/1000</f>
        <v>4324886.33216</v>
      </c>
      <c r="N6" s="275">
        <v>4130380</v>
      </c>
      <c r="O6" s="275">
        <v>2791144.656</v>
      </c>
      <c r="P6" s="275" cm="1">
        <f t="array" ref="P6">3366730.999</f>
        <v>3366730.999</v>
      </c>
      <c r="Q6" s="275" cm="1">
        <f t="array" ref="Q6">7865187</f>
        <v>7865187</v>
      </c>
      <c r="R6" s="275" cm="1">
        <f t="array" ref="R6">6810201</f>
        <v>6810201</v>
      </c>
      <c r="S6" s="275" cm="1">
        <f t="array" ref="S6">7770035</f>
        <v>7770035</v>
      </c>
      <c r="T6" s="275" cm="1">
        <f t="array" ref="T6">8891109</f>
        <v>8891109</v>
      </c>
      <c r="U6" s="275" cm="1">
        <f t="array" ref="U6">9354106-424609</f>
        <v>8929497</v>
      </c>
      <c r="V6" s="275" cm="1">
        <f t="array" ref="V6">7368862-443025</f>
        <v>6925837</v>
      </c>
      <c r="W6" s="275" cm="1">
        <f t="array" ref="W6">7520717</f>
        <v>7520717</v>
      </c>
      <c r="X6" s="275" cm="1">
        <f t="array" ref="X6">4258506-364365-151086</f>
        <v>3743055</v>
      </c>
      <c r="Y6" s="275" cm="1">
        <f t="array" ref="Y6">4750134-324168-226403</f>
        <v>4199563</v>
      </c>
      <c r="Z6" s="275" cm="1">
        <f t="array" ref="Z6">3960365</f>
        <v>3960365</v>
      </c>
      <c r="AA6" s="275" cm="1">
        <f t="array" ref="AA6">Z6*(100%+'PnL 2025'!K4)</f>
        <v>2645311.10815789</v>
      </c>
      <c r="AB6" s="275" cm="1">
        <f t="array" ref="AB6">AA6*(100%+'PnL 2025'!J4)</f>
        <v>3476906.37263772</v>
      </c>
      <c r="AC6" s="275" cm="1">
        <f t="array" ref="AC6">AB6*(100%+'PnL 2025'!I4)</f>
        <v>8030663.87736215</v>
      </c>
      <c r="AD6" s="275" cm="1">
        <f t="array" ref="AD6">AC6*(100%+'PnL 2025'!H4)</f>
        <v>6767509.55459578</v>
      </c>
      <c r="AE6" s="275" cm="1">
        <f t="array" ref="AE6">AD6*(100%+'PnL 2025'!G4)</f>
        <v>7842118.69001996</v>
      </c>
      <c r="AF6" s="275" cm="1">
        <f t="array" ref="AF6">AE6*(100%+'PnL 2025'!F4)</f>
        <v>8998930.5150679</v>
      </c>
      <c r="AG6" s="275" cm="1">
        <f t="array" ref="AG6">AF6*(100%+'PnL 2025'!E4)</f>
        <v>9029046.33209105</v>
      </c>
      <c r="AH6" s="275" cm="1">
        <f t="array" ref="AH6">AG6*(100%+'PnL 2025'!D4)</f>
        <v>6832504.81231483</v>
      </c>
      <c r="AI6" s="275" cm="1">
        <f t="array" ref="AI6">AH6*(100%+'PnL 2025'!C4)</f>
        <v>7751033.88831506</v>
      </c>
      <c r="AJ6" s="275" cm="1">
        <f t="array" ref="AJ6">AI6*(100%+'PnL 2025'!N4)</f>
        <v>5957428.26879658</v>
      </c>
      <c r="AK6" s="275" cm="1">
        <f t="array" ref="AK6">AJ6*(100%+'PnL 2025'!M4)</f>
        <v>5444709.05352383</v>
      </c>
      <c r="AL6" s="276"/>
    </row>
    <row r="7" ht="16" customHeight="1">
      <c r="A7" s="12"/>
      <c r="B7" s="271"/>
      <c r="C7" s="272"/>
      <c r="D7" t="s" s="273">
        <v>32</v>
      </c>
      <c r="E7" s="274" cm="1">
        <f t="array" ref="E7">50896.35*16272</f>
        <v>828185407.2</v>
      </c>
      <c r="F7" s="277" cm="1">
        <f t="array" ref="F7">F8/F6</f>
        <v>0.248994899353661</v>
      </c>
      <c r="G7" s="277" cm="1">
        <f t="array" ref="G7">G8/G6</f>
        <v>0.202999228492909</v>
      </c>
      <c r="H7" s="277" cm="1">
        <f t="array" ref="H7">H8/H6</f>
        <v>0.251317713649739</v>
      </c>
      <c r="I7" s="277" cm="1">
        <f t="array" ref="I7">I8/I6</f>
        <v>0.257220424456773</v>
      </c>
      <c r="J7" s="277" cm="1">
        <f t="array" ref="J7">J8/J6</f>
        <v>0.222733089057161</v>
      </c>
      <c r="K7" s="277" cm="1">
        <f t="array" ref="K7">K8/K6</f>
        <v>0.169867739187474</v>
      </c>
      <c r="L7" s="277" cm="1">
        <f t="array" ref="L7">L8/L6</f>
        <v>0.152708388937928</v>
      </c>
      <c r="M7" s="277" cm="1">
        <f t="array" ref="M7">M8/M6</f>
        <v>0.0304869918637025</v>
      </c>
      <c r="N7" s="277" cm="1">
        <f t="array" ref="N7">N8/N6</f>
        <v>0.041438802240956</v>
      </c>
      <c r="O7" s="277" cm="1">
        <f t="array" ref="O7">O8/O6</f>
        <v>-0.0979458371719735</v>
      </c>
      <c r="P7" s="277" cm="1">
        <f t="array" ref="P7">P8/P6</f>
        <v>-0.0260412845653666</v>
      </c>
      <c r="Q7" s="277" cm="1">
        <f t="array" ref="Q7">Q8/Q6</f>
        <v>0.239946869667562</v>
      </c>
      <c r="R7" s="277" cm="1">
        <f t="array" ref="R7">R8/R6</f>
        <v>0.175838128713088</v>
      </c>
      <c r="S7" s="277" cm="1">
        <f t="array" ref="S7">S8/S6</f>
        <v>0.178815668140491</v>
      </c>
      <c r="T7" s="277" cm="1">
        <f t="array" ref="T7">T8/T6</f>
        <v>0.20115499652518</v>
      </c>
      <c r="U7" s="277" cm="1">
        <f t="array" ref="U7">U8/U6</f>
        <v>0.187270976659716</v>
      </c>
      <c r="V7" s="277" cm="1">
        <f t="array" ref="V7">V8/V6</f>
        <v>0.127088177212372</v>
      </c>
      <c r="W7" s="277" cm="1">
        <f t="array" ref="W7">W8/W6</f>
        <v>0.229120175642828</v>
      </c>
      <c r="X7" s="277" cm="1">
        <f t="array" ref="X7">X8/X6</f>
        <v>-0.124091881487181</v>
      </c>
      <c r="Y7" s="277" cm="1">
        <f t="array" ref="Y7">Y8/Y6</f>
        <v>0.0946379420906413</v>
      </c>
      <c r="Z7" s="277" cm="1">
        <f t="array" ref="Z7">Z8/Z6</f>
        <v>0.187704163631382</v>
      </c>
      <c r="AA7" s="277">
        <v>0.1</v>
      </c>
      <c r="AB7" s="277">
        <v>0.1</v>
      </c>
      <c r="AC7" s="277">
        <v>0.2</v>
      </c>
      <c r="AD7" s="277">
        <v>0.2</v>
      </c>
      <c r="AE7" s="277">
        <v>0.2</v>
      </c>
      <c r="AF7" s="277">
        <v>0.2</v>
      </c>
      <c r="AG7" s="277">
        <v>0.2</v>
      </c>
      <c r="AH7" s="277">
        <v>0.2</v>
      </c>
      <c r="AI7" s="277">
        <v>0.15</v>
      </c>
      <c r="AJ7" s="277">
        <v>0.12</v>
      </c>
      <c r="AK7" s="277">
        <v>0.1</v>
      </c>
      <c r="AL7" s="278"/>
    </row>
    <row r="8" ht="16" customHeight="1">
      <c r="A8" s="12"/>
      <c r="B8" s="271"/>
      <c r="C8" s="272"/>
      <c r="D8" t="s" s="273">
        <v>394</v>
      </c>
      <c r="E8" s="274" cm="1">
        <f t="array" ref="E8">50896.35*16272</f>
        <v>828185407.2</v>
      </c>
      <c r="F8" s="275" cm="1">
        <f t="array" ref="F8">'Monthly PnL 2024'!K5/1000</f>
        <v>1440457.00474</v>
      </c>
      <c r="G8" s="275" cm="1">
        <f t="array" ref="G8">'Monthly PnL 2024'!J5/1000</f>
        <v>1410969.72464</v>
      </c>
      <c r="H8" s="275" cm="1">
        <f t="array" ref="H8">'Monthly PnL 2024'!I5/1000</f>
        <v>2307998.8969</v>
      </c>
      <c r="I8" s="279" cm="1">
        <f t="array" ref="I8">'Monthly PnL 2024'!H5/1000</f>
        <v>2458858.28428</v>
      </c>
      <c r="J8" s="275" cm="1">
        <f t="array" ref="J8">'Monthly PnL 2024'!G5/1000</f>
        <v>1797011.56197</v>
      </c>
      <c r="K8" s="275" cm="1">
        <f t="array" ref="K8">'Monthly PnL 2024'!F5/1000</f>
        <v>1166464.54572</v>
      </c>
      <c r="L8" s="275" cm="1">
        <f t="array" ref="L8">'Monthly PnL 2024'!E5/1000</f>
        <v>829194.70089</v>
      </c>
      <c r="M8" s="275" cm="1">
        <f t="array" ref="M8">'Monthly PnL 2024'!D5/1000</f>
        <v>131852.77442</v>
      </c>
      <c r="N8" s="275">
        <v>171158</v>
      </c>
      <c r="O8" s="275">
        <v>-273381</v>
      </c>
      <c r="P8" s="275" cm="1">
        <f t="array" ref="P8">-87674</f>
        <v>-87674</v>
      </c>
      <c r="Q8" s="275" cm="1">
        <f t="array" ref="Q8">1887227</f>
        <v>1887227</v>
      </c>
      <c r="R8" s="275" cm="1">
        <f t="array" ref="R8">1197493</f>
        <v>1197493</v>
      </c>
      <c r="S8" s="275" cm="1">
        <f t="array" ref="S8">1389404</f>
        <v>1389404</v>
      </c>
      <c r="T8" s="275" cm="1">
        <f t="array" ref="T8">1788491</f>
        <v>1788491</v>
      </c>
      <c r="U8" s="279">
        <v>1672235.62427</v>
      </c>
      <c r="V8" s="275" cm="1">
        <f t="array" ref="V8">880192</f>
        <v>880192</v>
      </c>
      <c r="W8" s="275" cm="1">
        <f t="array" ref="W8">1723148</f>
        <v>1723148</v>
      </c>
      <c r="X8" s="275">
        <v>-464482.73746</v>
      </c>
      <c r="Y8" s="275" cm="1">
        <f t="array" ref="Y8">397438</f>
        <v>397438</v>
      </c>
      <c r="Z8" s="275" cm="1">
        <f t="array" ref="Z8">743377</f>
        <v>743377</v>
      </c>
      <c r="AA8" s="275" cm="1">
        <f t="array" ref="AA8">AA6*AA7</f>
        <v>264531.110815789</v>
      </c>
      <c r="AB8" s="275" cm="1">
        <f t="array" ref="AB8">AB6*AB7</f>
        <v>347690.637263772</v>
      </c>
      <c r="AC8" s="275" cm="1">
        <f t="array" ref="AC8">AC6*AC7</f>
        <v>1606132.77547243</v>
      </c>
      <c r="AD8" s="275" cm="1">
        <f t="array" ref="AD8">AD6*AD7</f>
        <v>1353501.91091916</v>
      </c>
      <c r="AE8" s="275" cm="1">
        <f t="array" ref="AE8">AE6*AE7</f>
        <v>1568423.73800399</v>
      </c>
      <c r="AF8" s="275" cm="1">
        <f t="array" ref="AF8">AF6*AF7</f>
        <v>1799786.10301358</v>
      </c>
      <c r="AG8" s="275" cm="1">
        <f t="array" ref="AG8">AG6*AG7</f>
        <v>1805809.26641821</v>
      </c>
      <c r="AH8" s="275" cm="1">
        <f t="array" ref="AH8">AH6*AH7</f>
        <v>1366500.96246297</v>
      </c>
      <c r="AI8" s="275" cm="1">
        <f t="array" ref="AI8">AI6*AI7</f>
        <v>1162655.08324726</v>
      </c>
      <c r="AJ8" s="275" cm="1">
        <f t="array" ref="AJ8">AJ6*AJ7</f>
        <v>714891.3922555899</v>
      </c>
      <c r="AK8" s="275" cm="1">
        <f t="array" ref="AK8">AK6*AK7</f>
        <v>544470.905352383</v>
      </c>
      <c r="AL8" s="276"/>
    </row>
    <row r="9" ht="16" customHeight="1">
      <c r="A9" s="12"/>
      <c r="B9" t="s" s="264">
        <v>395</v>
      </c>
      <c r="C9" s="272"/>
      <c r="D9" s="280"/>
      <c r="E9" s="274" cm="1">
        <f t="array" ref="E9">50896.35*16272</f>
        <v>828185407.2</v>
      </c>
      <c r="F9" s="275"/>
      <c r="G9" s="275"/>
      <c r="H9" s="275"/>
      <c r="I9" s="275"/>
      <c r="J9" s="275"/>
      <c r="K9" s="275"/>
      <c r="L9" s="275"/>
      <c r="M9" s="275"/>
      <c r="N9" s="275"/>
      <c r="O9" s="275"/>
      <c r="P9" s="275"/>
      <c r="Q9" s="275"/>
      <c r="R9" s="275"/>
      <c r="S9" s="275"/>
      <c r="T9" s="275"/>
      <c r="U9" s="275"/>
      <c r="V9" s="275"/>
      <c r="W9" s="275"/>
      <c r="X9" s="275"/>
      <c r="Y9" s="275"/>
      <c r="Z9" s="275"/>
      <c r="AA9" s="275"/>
      <c r="AB9" s="275"/>
      <c r="AC9" s="275"/>
      <c r="AD9" s="275"/>
      <c r="AE9" s="275"/>
      <c r="AF9" s="275"/>
      <c r="AG9" s="275"/>
      <c r="AH9" s="275"/>
      <c r="AI9" s="275"/>
      <c r="AJ9" s="275"/>
      <c r="AK9" s="275"/>
      <c r="AL9" s="276"/>
    </row>
    <row r="10" ht="16" customHeight="1">
      <c r="A10" s="12"/>
      <c r="B10" s="281"/>
      <c r="C10" s="272"/>
      <c r="D10" t="s" s="273">
        <v>396</v>
      </c>
      <c r="E10" s="274"/>
      <c r="F10" s="282">
        <v>0</v>
      </c>
      <c r="G10" s="282">
        <v>0</v>
      </c>
      <c r="H10" s="282">
        <v>0</v>
      </c>
      <c r="I10" s="282">
        <v>0</v>
      </c>
      <c r="J10" s="282">
        <v>0</v>
      </c>
      <c r="K10" s="282">
        <v>0</v>
      </c>
      <c r="L10" s="282">
        <v>0</v>
      </c>
      <c r="M10" s="282">
        <v>0</v>
      </c>
      <c r="N10" s="282">
        <v>0</v>
      </c>
      <c r="O10" s="282">
        <v>0</v>
      </c>
      <c r="P10" s="282">
        <v>0</v>
      </c>
      <c r="Q10" s="282">
        <v>0</v>
      </c>
      <c r="R10" s="282">
        <v>0</v>
      </c>
      <c r="S10" s="282">
        <v>0</v>
      </c>
      <c r="T10" s="282">
        <v>0</v>
      </c>
      <c r="U10" s="282">
        <v>0</v>
      </c>
      <c r="V10" s="282">
        <v>0</v>
      </c>
      <c r="W10" s="282">
        <v>0</v>
      </c>
      <c r="X10" s="282">
        <v>0</v>
      </c>
      <c r="Y10" s="282">
        <v>0</v>
      </c>
      <c r="Z10" s="282">
        <v>0</v>
      </c>
      <c r="AA10" s="282">
        <v>0</v>
      </c>
      <c r="AB10" s="282">
        <v>0</v>
      </c>
      <c r="AC10" s="282">
        <v>0</v>
      </c>
      <c r="AD10" s="282">
        <v>0</v>
      </c>
      <c r="AE10" s="282">
        <v>0</v>
      </c>
      <c r="AF10" s="282">
        <v>0</v>
      </c>
      <c r="AG10" s="282">
        <v>0</v>
      </c>
      <c r="AH10" s="282">
        <v>0</v>
      </c>
      <c r="AI10" s="282">
        <v>0</v>
      </c>
      <c r="AJ10" s="282">
        <v>0</v>
      </c>
      <c r="AK10" s="282">
        <v>0</v>
      </c>
      <c r="AL10" s="276"/>
    </row>
    <row r="11" ht="15" customHeight="1">
      <c r="A11" s="12"/>
      <c r="B11" s="283"/>
      <c r="C11" s="272"/>
      <c r="D11" t="s" s="273">
        <v>397</v>
      </c>
      <c r="E11" s="274" cm="1">
        <f t="array" ref="E11">50896.35*16272</f>
        <v>828185407.2</v>
      </c>
      <c r="F11" s="282">
        <v>0</v>
      </c>
      <c r="G11" s="282">
        <v>0</v>
      </c>
      <c r="H11" s="282">
        <v>0</v>
      </c>
      <c r="I11" s="282">
        <v>0</v>
      </c>
      <c r="J11" s="282">
        <v>0</v>
      </c>
      <c r="K11" s="282">
        <v>0</v>
      </c>
      <c r="L11" s="282">
        <v>0</v>
      </c>
      <c r="M11" s="282">
        <v>0</v>
      </c>
      <c r="N11" s="282">
        <v>0</v>
      </c>
      <c r="O11" s="282">
        <v>0</v>
      </c>
      <c r="P11" s="282">
        <v>0</v>
      </c>
      <c r="Q11" s="282">
        <v>0</v>
      </c>
      <c r="R11" s="282">
        <v>0</v>
      </c>
      <c r="S11" s="282">
        <v>0</v>
      </c>
      <c r="T11" s="282">
        <v>0</v>
      </c>
      <c r="U11" s="282">
        <v>0</v>
      </c>
      <c r="V11" s="282">
        <v>0</v>
      </c>
      <c r="W11" s="282">
        <v>0</v>
      </c>
      <c r="X11" s="282">
        <v>0</v>
      </c>
      <c r="Y11" s="282">
        <v>0</v>
      </c>
      <c r="Z11" s="282">
        <v>0</v>
      </c>
      <c r="AA11" s="282">
        <v>0</v>
      </c>
      <c r="AB11" s="282">
        <v>0</v>
      </c>
      <c r="AC11" s="282">
        <v>0</v>
      </c>
      <c r="AD11" s="282">
        <v>0</v>
      </c>
      <c r="AE11" s="282">
        <v>0</v>
      </c>
      <c r="AF11" s="282">
        <v>0</v>
      </c>
      <c r="AG11" s="282">
        <v>0</v>
      </c>
      <c r="AH11" s="282">
        <v>0</v>
      </c>
      <c r="AI11" s="282">
        <v>0</v>
      </c>
      <c r="AJ11" s="282">
        <v>0</v>
      </c>
      <c r="AK11" s="282">
        <v>0</v>
      </c>
      <c r="AL11" s="284"/>
    </row>
    <row r="12" ht="15" customHeight="1">
      <c r="A12" s="12"/>
      <c r="B12" s="283"/>
      <c r="C12" s="272"/>
      <c r="D12" t="s" s="273">
        <v>398</v>
      </c>
      <c r="E12" s="274"/>
      <c r="F12" s="282">
        <v>0</v>
      </c>
      <c r="G12" s="282">
        <v>0</v>
      </c>
      <c r="H12" s="282">
        <v>0</v>
      </c>
      <c r="I12" s="282">
        <v>0</v>
      </c>
      <c r="J12" s="282">
        <v>0</v>
      </c>
      <c r="K12" s="282">
        <v>0</v>
      </c>
      <c r="L12" s="282">
        <v>0</v>
      </c>
      <c r="M12" s="282">
        <v>0</v>
      </c>
      <c r="N12" s="282">
        <v>0</v>
      </c>
      <c r="O12" s="282">
        <v>0</v>
      </c>
      <c r="P12" s="282">
        <v>0</v>
      </c>
      <c r="Q12" s="282">
        <v>0</v>
      </c>
      <c r="R12" s="282">
        <v>0</v>
      </c>
      <c r="S12" s="282">
        <v>0</v>
      </c>
      <c r="T12" s="282">
        <v>0</v>
      </c>
      <c r="U12" s="282">
        <v>0</v>
      </c>
      <c r="V12" s="282">
        <v>0</v>
      </c>
      <c r="W12" s="282">
        <v>0</v>
      </c>
      <c r="X12" s="282">
        <v>0</v>
      </c>
      <c r="Y12" s="282">
        <v>0</v>
      </c>
      <c r="Z12" s="282">
        <v>0</v>
      </c>
      <c r="AA12" s="282">
        <v>0</v>
      </c>
      <c r="AB12" s="282">
        <v>-60000</v>
      </c>
      <c r="AC12" s="282">
        <v>-120000</v>
      </c>
      <c r="AD12" s="282">
        <v>0</v>
      </c>
      <c r="AE12" s="282">
        <v>0</v>
      </c>
      <c r="AF12" s="282">
        <v>0</v>
      </c>
      <c r="AG12" s="282">
        <v>0</v>
      </c>
      <c r="AH12" s="282">
        <v>0</v>
      </c>
      <c r="AI12" s="282">
        <v>0</v>
      </c>
      <c r="AJ12" s="282">
        <v>0</v>
      </c>
      <c r="AK12" s="282">
        <v>0</v>
      </c>
      <c r="AL12" s="284"/>
    </row>
    <row r="13" ht="15" customHeight="1">
      <c r="A13" s="12"/>
      <c r="B13" s="283"/>
      <c r="C13" s="272"/>
      <c r="D13" t="s" s="273">
        <v>399</v>
      </c>
      <c r="E13" s="274"/>
      <c r="F13" s="282">
        <v>0</v>
      </c>
      <c r="G13" s="282">
        <v>0</v>
      </c>
      <c r="H13" s="282">
        <v>0</v>
      </c>
      <c r="I13" s="282">
        <v>0</v>
      </c>
      <c r="J13" s="282">
        <v>0</v>
      </c>
      <c r="K13" s="282">
        <v>0</v>
      </c>
      <c r="L13" s="282">
        <v>0</v>
      </c>
      <c r="M13" s="282">
        <v>0</v>
      </c>
      <c r="N13" s="282">
        <v>0</v>
      </c>
      <c r="O13" s="282">
        <v>0</v>
      </c>
      <c r="P13" s="282">
        <v>0</v>
      </c>
      <c r="Q13" s="282">
        <v>0</v>
      </c>
      <c r="R13" s="282">
        <v>0</v>
      </c>
      <c r="S13" s="282">
        <v>0</v>
      </c>
      <c r="T13" s="282">
        <v>0</v>
      </c>
      <c r="U13" s="282">
        <v>0</v>
      </c>
      <c r="V13" s="282">
        <v>0</v>
      </c>
      <c r="W13" s="282">
        <v>0</v>
      </c>
      <c r="X13" s="282">
        <v>0</v>
      </c>
      <c r="Y13" s="282">
        <v>0</v>
      </c>
      <c r="Z13" s="282">
        <v>0</v>
      </c>
      <c r="AA13" s="282">
        <v>0</v>
      </c>
      <c r="AB13" s="282">
        <v>0</v>
      </c>
      <c r="AC13" s="282">
        <v>0</v>
      </c>
      <c r="AD13" s="282">
        <v>0</v>
      </c>
      <c r="AE13" s="282">
        <v>0</v>
      </c>
      <c r="AF13" s="282">
        <v>-124000</v>
      </c>
      <c r="AG13" s="282">
        <v>0</v>
      </c>
      <c r="AH13" s="282">
        <v>0</v>
      </c>
      <c r="AI13" s="282">
        <v>0</v>
      </c>
      <c r="AJ13" s="282">
        <v>0</v>
      </c>
      <c r="AK13" s="282">
        <v>0</v>
      </c>
      <c r="AL13" s="284"/>
    </row>
    <row r="14" ht="15" customHeight="1">
      <c r="A14" s="12"/>
      <c r="B14" s="283"/>
      <c r="C14" s="272"/>
      <c r="D14" t="s" s="273">
        <v>400</v>
      </c>
      <c r="E14" s="274"/>
      <c r="F14" s="282">
        <v>0</v>
      </c>
      <c r="G14" s="282">
        <v>0</v>
      </c>
      <c r="H14" s="282">
        <v>0</v>
      </c>
      <c r="I14" s="282">
        <v>0</v>
      </c>
      <c r="J14" s="282">
        <v>0</v>
      </c>
      <c r="K14" s="282">
        <v>0</v>
      </c>
      <c r="L14" s="282">
        <v>0</v>
      </c>
      <c r="M14" s="282">
        <v>0</v>
      </c>
      <c r="N14" s="282">
        <v>0</v>
      </c>
      <c r="O14" s="282">
        <v>0</v>
      </c>
      <c r="P14" s="282">
        <v>0</v>
      </c>
      <c r="Q14" s="282">
        <v>0</v>
      </c>
      <c r="R14" s="282">
        <v>0</v>
      </c>
      <c r="S14" s="282">
        <v>0</v>
      </c>
      <c r="T14" s="282">
        <v>0</v>
      </c>
      <c r="U14" s="282">
        <v>0</v>
      </c>
      <c r="V14" s="282">
        <v>0</v>
      </c>
      <c r="W14" s="282">
        <v>0</v>
      </c>
      <c r="X14" s="282">
        <v>0</v>
      </c>
      <c r="Y14" s="282">
        <v>0</v>
      </c>
      <c r="Z14" s="282">
        <v>0</v>
      </c>
      <c r="AA14" s="282">
        <v>0</v>
      </c>
      <c r="AB14" s="282">
        <v>0</v>
      </c>
      <c r="AC14" s="282">
        <v>-84000</v>
      </c>
      <c r="AD14" s="282">
        <v>0</v>
      </c>
      <c r="AE14" s="282">
        <v>0</v>
      </c>
      <c r="AF14" s="282">
        <v>0</v>
      </c>
      <c r="AG14" s="282">
        <v>0</v>
      </c>
      <c r="AH14" s="282">
        <v>0</v>
      </c>
      <c r="AI14" s="282">
        <v>0</v>
      </c>
      <c r="AJ14" s="282">
        <v>0</v>
      </c>
      <c r="AK14" s="282">
        <v>0</v>
      </c>
      <c r="AL14" s="284"/>
    </row>
    <row r="15" ht="15" customHeight="1">
      <c r="A15" s="12"/>
      <c r="B15" s="283"/>
      <c r="C15" s="272"/>
      <c r="D15" t="s" s="273">
        <v>401</v>
      </c>
      <c r="E15" s="274"/>
      <c r="F15" s="282">
        <v>0</v>
      </c>
      <c r="G15" s="282">
        <v>0</v>
      </c>
      <c r="H15" s="282">
        <v>0</v>
      </c>
      <c r="I15" s="282">
        <v>0</v>
      </c>
      <c r="J15" s="282">
        <v>0</v>
      </c>
      <c r="K15" s="282">
        <v>0</v>
      </c>
      <c r="L15" s="282">
        <v>0</v>
      </c>
      <c r="M15" s="282">
        <v>0</v>
      </c>
      <c r="N15" s="282">
        <v>0</v>
      </c>
      <c r="O15" s="282">
        <v>0</v>
      </c>
      <c r="P15" s="282">
        <v>0</v>
      </c>
      <c r="Q15" s="282">
        <v>0</v>
      </c>
      <c r="R15" s="282">
        <v>0</v>
      </c>
      <c r="S15" s="282">
        <v>0</v>
      </c>
      <c r="T15" s="282">
        <v>0</v>
      </c>
      <c r="U15" s="282">
        <v>0</v>
      </c>
      <c r="V15" s="282">
        <v>0</v>
      </c>
      <c r="W15" s="282">
        <v>0</v>
      </c>
      <c r="X15" s="282">
        <v>0</v>
      </c>
      <c r="Y15" s="282">
        <v>0</v>
      </c>
      <c r="Z15" s="282">
        <v>0</v>
      </c>
      <c r="AA15" s="282">
        <v>0</v>
      </c>
      <c r="AB15" s="282">
        <v>0</v>
      </c>
      <c r="AC15" s="282">
        <v>0</v>
      </c>
      <c r="AD15" s="282">
        <v>-84000</v>
      </c>
      <c r="AE15" s="282">
        <v>0</v>
      </c>
      <c r="AF15" s="282">
        <v>0</v>
      </c>
      <c r="AG15" s="282">
        <v>0</v>
      </c>
      <c r="AH15" s="282">
        <v>0</v>
      </c>
      <c r="AI15" s="282">
        <v>0</v>
      </c>
      <c r="AJ15" s="282">
        <v>0</v>
      </c>
      <c r="AK15" s="282">
        <v>0</v>
      </c>
      <c r="AL15" s="284"/>
    </row>
    <row r="16" ht="16" customHeight="1">
      <c r="A16" s="12"/>
      <c r="B16" s="271"/>
      <c r="C16" s="272"/>
      <c r="D16" t="s" s="273">
        <v>402</v>
      </c>
      <c r="E16" s="274" cm="1">
        <f t="array" ref="E16">50896.35*16272</f>
        <v>828185407.2</v>
      </c>
      <c r="F16" s="282">
        <v>0</v>
      </c>
      <c r="G16" s="282">
        <v>0</v>
      </c>
      <c r="H16" s="282">
        <v>0</v>
      </c>
      <c r="I16" s="282">
        <v>0</v>
      </c>
      <c r="J16" s="282">
        <v>0</v>
      </c>
      <c r="K16" s="282">
        <v>0</v>
      </c>
      <c r="L16" s="282">
        <v>0</v>
      </c>
      <c r="M16" s="282">
        <v>0</v>
      </c>
      <c r="N16" s="282">
        <v>0</v>
      </c>
      <c r="O16" s="282">
        <v>0</v>
      </c>
      <c r="P16" s="282">
        <v>0</v>
      </c>
      <c r="Q16" s="282">
        <v>0</v>
      </c>
      <c r="R16" s="282">
        <v>0</v>
      </c>
      <c r="S16" s="282">
        <v>0</v>
      </c>
      <c r="T16" s="282">
        <v>0</v>
      </c>
      <c r="U16" s="282">
        <v>0</v>
      </c>
      <c r="V16" s="282">
        <v>0</v>
      </c>
      <c r="W16" s="282">
        <v>0</v>
      </c>
      <c r="X16" s="282">
        <v>0</v>
      </c>
      <c r="Y16" s="282">
        <v>0</v>
      </c>
      <c r="Z16" s="282">
        <v>0</v>
      </c>
      <c r="AA16" s="282">
        <v>0</v>
      </c>
      <c r="AB16" s="282">
        <v>0</v>
      </c>
      <c r="AC16" s="282">
        <v>0</v>
      </c>
      <c r="AD16" s="282">
        <v>0</v>
      </c>
      <c r="AE16" s="282">
        <v>0</v>
      </c>
      <c r="AF16" s="282">
        <v>0</v>
      </c>
      <c r="AG16" s="282">
        <v>0</v>
      </c>
      <c r="AH16" s="282">
        <v>0</v>
      </c>
      <c r="AI16" s="282">
        <v>0</v>
      </c>
      <c r="AJ16" s="282">
        <v>0</v>
      </c>
      <c r="AK16" s="282">
        <v>0</v>
      </c>
      <c r="AL16" s="284"/>
    </row>
    <row r="17" ht="15" customHeight="1">
      <c r="A17" s="12"/>
      <c r="B17" s="285"/>
      <c r="C17" s="286"/>
      <c r="D17" s="287"/>
      <c r="E17" s="288" cm="1">
        <f t="array" ref="E17">50896.35*16272</f>
        <v>828185407.2</v>
      </c>
      <c r="F17" s="289"/>
      <c r="G17" s="289"/>
      <c r="H17" s="289"/>
      <c r="I17" s="289"/>
      <c r="J17" s="289"/>
      <c r="K17" s="289"/>
      <c r="L17" s="289"/>
      <c r="M17" s="289"/>
      <c r="N17" s="289"/>
      <c r="O17" s="289"/>
      <c r="P17" s="289"/>
      <c r="Q17" s="289"/>
      <c r="R17" s="289"/>
      <c r="S17" s="289"/>
      <c r="T17" s="289"/>
      <c r="U17" s="289"/>
      <c r="V17" s="289"/>
      <c r="W17" s="289"/>
      <c r="X17" s="289"/>
      <c r="Y17" s="289"/>
      <c r="Z17" s="289"/>
      <c r="AA17" s="289"/>
      <c r="AB17" s="289"/>
      <c r="AC17" s="289"/>
      <c r="AD17" s="289"/>
      <c r="AE17" s="289"/>
      <c r="AF17" s="289"/>
      <c r="AG17" s="289"/>
      <c r="AH17" s="289"/>
      <c r="AI17" s="289"/>
      <c r="AJ17" s="289"/>
      <c r="AK17" s="289"/>
      <c r="AL17" s="290"/>
    </row>
    <row r="18" ht="15" customHeight="1">
      <c r="A18" s="12"/>
      <c r="B18" t="s" s="291">
        <v>403</v>
      </c>
      <c r="C18" s="292"/>
      <c r="D18" s="293"/>
      <c r="E18" s="294" cm="1">
        <f t="array" ref="E18">50896.35*16272</f>
        <v>828185407.2</v>
      </c>
      <c r="F18" s="295"/>
      <c r="G18" s="295"/>
      <c r="H18" s="295"/>
      <c r="I18" s="295"/>
      <c r="J18" s="295"/>
      <c r="K18" s="295"/>
      <c r="L18" s="295"/>
      <c r="M18" s="295"/>
      <c r="N18" s="295"/>
      <c r="O18" s="295"/>
      <c r="P18" s="295"/>
      <c r="Q18" s="295"/>
      <c r="R18" s="295"/>
      <c r="S18" s="295"/>
      <c r="T18" s="295"/>
      <c r="U18" s="295"/>
      <c r="V18" s="295"/>
      <c r="W18" s="295"/>
      <c r="X18" s="295"/>
      <c r="Y18" s="295"/>
      <c r="Z18" s="295"/>
      <c r="AA18" s="295"/>
      <c r="AB18" s="295"/>
      <c r="AC18" s="295"/>
      <c r="AD18" s="295"/>
      <c r="AE18" s="295"/>
      <c r="AF18" s="295"/>
      <c r="AG18" s="295"/>
      <c r="AH18" s="295"/>
      <c r="AI18" s="295"/>
      <c r="AJ18" s="295"/>
      <c r="AK18" s="295"/>
      <c r="AL18" s="296"/>
    </row>
    <row r="19" ht="16" customHeight="1">
      <c r="A19" s="12"/>
      <c r="B19" t="s" s="264">
        <v>404</v>
      </c>
      <c r="C19" s="272"/>
      <c r="D19" s="297"/>
      <c r="E19" s="274" cm="1">
        <f t="array" ref="E19">50896.35*16272</f>
        <v>828185407.2</v>
      </c>
      <c r="F19" s="275"/>
      <c r="G19" s="275"/>
      <c r="H19" s="275"/>
      <c r="I19" s="275"/>
      <c r="J19" s="275"/>
      <c r="K19" s="275"/>
      <c r="L19" s="275"/>
      <c r="M19" s="275"/>
      <c r="N19" s="275"/>
      <c r="O19" s="275"/>
      <c r="P19" s="275"/>
      <c r="Q19" s="275"/>
      <c r="R19" s="275"/>
      <c r="S19" s="275"/>
      <c r="T19" s="275"/>
      <c r="U19" s="275"/>
      <c r="V19" s="275"/>
      <c r="W19" s="275"/>
      <c r="X19" s="275"/>
      <c r="Y19" s="275"/>
      <c r="Z19" s="275"/>
      <c r="AA19" s="275"/>
      <c r="AB19" s="275"/>
      <c r="AC19" s="275"/>
      <c r="AD19" s="275"/>
      <c r="AE19" s="275"/>
      <c r="AF19" s="275"/>
      <c r="AG19" s="275"/>
      <c r="AH19" s="275"/>
      <c r="AI19" s="275"/>
      <c r="AJ19" s="275"/>
      <c r="AK19" s="275"/>
      <c r="AL19" s="276"/>
    </row>
    <row r="20" ht="16" customHeight="1">
      <c r="A20" s="12"/>
      <c r="B20" t="s" s="298">
        <v>405</v>
      </c>
      <c r="C20" s="272"/>
      <c r="D20" s="299" cm="1">
        <f t="array" ref="D20">-SUM(F21:V25)+180000+959972+180000</f>
        <v>1319972</v>
      </c>
      <c r="E20" s="274"/>
      <c r="F20" s="275"/>
      <c r="G20" s="275"/>
      <c r="H20" s="275"/>
      <c r="I20" s="275"/>
      <c r="J20" s="275"/>
      <c r="K20" s="275"/>
      <c r="L20" s="275"/>
      <c r="M20" s="275"/>
      <c r="N20" s="275"/>
      <c r="O20" s="275"/>
      <c r="P20" s="275"/>
      <c r="Q20" s="275"/>
      <c r="R20" s="275"/>
      <c r="S20" s="275"/>
      <c r="T20" s="275"/>
      <c r="U20" s="275"/>
      <c r="V20" s="275"/>
      <c r="W20" s="275"/>
      <c r="X20" s="275"/>
      <c r="Y20" s="275"/>
      <c r="Z20" s="275"/>
      <c r="AA20" s="275"/>
      <c r="AB20" s="275"/>
      <c r="AC20" s="275"/>
      <c r="AD20" s="275"/>
      <c r="AE20" s="275"/>
      <c r="AF20" s="275"/>
      <c r="AG20" s="275"/>
      <c r="AH20" s="275"/>
      <c r="AI20" s="275"/>
      <c r="AJ20" s="275"/>
      <c r="AK20" s="275"/>
      <c r="AL20" s="276"/>
    </row>
    <row r="21" ht="9" customHeight="1" hidden="1">
      <c r="A21" s="12"/>
      <c r="B21" s="271"/>
      <c r="C21" s="272"/>
      <c r="D21" t="s" s="273">
        <v>406</v>
      </c>
      <c r="E21" s="274" cm="1">
        <f t="array" ref="E21">50896.35*16272</f>
        <v>828185407.2</v>
      </c>
      <c r="F21" s="282">
        <v>0</v>
      </c>
      <c r="G21" s="282">
        <v>0</v>
      </c>
      <c r="H21" s="282">
        <v>0</v>
      </c>
      <c r="I21" s="282">
        <v>0</v>
      </c>
      <c r="J21" s="282">
        <v>0</v>
      </c>
      <c r="K21" s="282">
        <v>0</v>
      </c>
      <c r="L21" s="282">
        <v>0</v>
      </c>
      <c r="M21" s="282">
        <v>0</v>
      </c>
      <c r="N21" s="282">
        <v>0</v>
      </c>
      <c r="O21" s="282">
        <v>0</v>
      </c>
      <c r="P21" s="282">
        <v>0</v>
      </c>
      <c r="Q21" s="282">
        <v>0</v>
      </c>
      <c r="R21" s="282">
        <v>0</v>
      </c>
      <c r="S21" s="282">
        <v>0</v>
      </c>
      <c r="T21" s="282">
        <v>0</v>
      </c>
      <c r="U21" s="282">
        <v>0</v>
      </c>
      <c r="V21" s="282">
        <v>0</v>
      </c>
      <c r="W21" s="282">
        <v>0</v>
      </c>
      <c r="X21" s="282">
        <v>0</v>
      </c>
      <c r="Y21" s="282">
        <v>0</v>
      </c>
      <c r="Z21" s="282">
        <v>0</v>
      </c>
      <c r="AA21" s="282">
        <v>0</v>
      </c>
      <c r="AB21" s="282">
        <v>0</v>
      </c>
      <c r="AC21" s="282">
        <v>0</v>
      </c>
      <c r="AD21" s="282">
        <v>0</v>
      </c>
      <c r="AE21" s="282">
        <v>0</v>
      </c>
      <c r="AF21" s="282">
        <v>0</v>
      </c>
      <c r="AG21" s="282">
        <v>0</v>
      </c>
      <c r="AH21" s="282">
        <v>0</v>
      </c>
      <c r="AI21" s="282">
        <v>0</v>
      </c>
      <c r="AJ21" s="282">
        <v>0</v>
      </c>
      <c r="AK21" s="282">
        <v>0</v>
      </c>
      <c r="AL21" s="284"/>
    </row>
    <row r="22" ht="9" customHeight="1" hidden="1">
      <c r="A22" s="12"/>
      <c r="B22" s="271"/>
      <c r="C22" s="272"/>
      <c r="D22" t="s" s="273">
        <v>407</v>
      </c>
      <c r="E22" s="274" cm="1">
        <f t="array" ref="E22">50896.35*16272</f>
        <v>828185407.2</v>
      </c>
      <c r="F22" s="282">
        <v>0</v>
      </c>
      <c r="G22" s="282">
        <v>0</v>
      </c>
      <c r="H22" s="282">
        <v>0</v>
      </c>
      <c r="I22" s="282">
        <v>0</v>
      </c>
      <c r="J22" s="282">
        <v>0</v>
      </c>
      <c r="K22" s="282">
        <v>0</v>
      </c>
      <c r="L22" s="282">
        <v>0</v>
      </c>
      <c r="M22" s="282">
        <v>0</v>
      </c>
      <c r="N22" s="282">
        <v>0</v>
      </c>
      <c r="O22" s="282">
        <v>0</v>
      </c>
      <c r="P22" s="282">
        <v>0</v>
      </c>
      <c r="Q22" s="282">
        <v>0</v>
      </c>
      <c r="R22" s="282">
        <v>0</v>
      </c>
      <c r="S22" s="282">
        <v>0</v>
      </c>
      <c r="T22" s="282">
        <v>0</v>
      </c>
      <c r="U22" s="282">
        <v>0</v>
      </c>
      <c r="V22" s="282">
        <v>0</v>
      </c>
      <c r="W22" s="282">
        <v>0</v>
      </c>
      <c r="X22" s="282">
        <v>0</v>
      </c>
      <c r="Y22" s="282">
        <v>0</v>
      </c>
      <c r="Z22" s="282">
        <v>0</v>
      </c>
      <c r="AA22" s="282">
        <v>0</v>
      </c>
      <c r="AB22" s="282">
        <v>0</v>
      </c>
      <c r="AC22" s="282">
        <v>0</v>
      </c>
      <c r="AD22" s="282">
        <v>0</v>
      </c>
      <c r="AE22" s="282">
        <v>0</v>
      </c>
      <c r="AF22" s="282">
        <v>0</v>
      </c>
      <c r="AG22" s="282">
        <v>0</v>
      </c>
      <c r="AH22" s="282">
        <v>0</v>
      </c>
      <c r="AI22" s="282">
        <v>0</v>
      </c>
      <c r="AJ22" s="282">
        <v>0</v>
      </c>
      <c r="AK22" s="282">
        <v>0</v>
      </c>
      <c r="AL22" s="284"/>
    </row>
    <row r="23" ht="9" customHeight="1" hidden="1">
      <c r="A23" s="12"/>
      <c r="B23" s="271"/>
      <c r="C23" s="272"/>
      <c r="D23" t="s" s="273">
        <v>408</v>
      </c>
      <c r="E23" s="274" cm="1">
        <f t="array" ref="E23">50896.35*16272</f>
        <v>828185407.2</v>
      </c>
      <c r="F23" s="282">
        <v>0</v>
      </c>
      <c r="G23" s="282">
        <v>0</v>
      </c>
      <c r="H23" s="282">
        <v>0</v>
      </c>
      <c r="I23" s="282">
        <v>0</v>
      </c>
      <c r="J23" s="282">
        <v>0</v>
      </c>
      <c r="K23" s="282">
        <v>0</v>
      </c>
      <c r="L23" s="282">
        <v>0</v>
      </c>
      <c r="M23" s="282">
        <v>0</v>
      </c>
      <c r="N23" s="282">
        <v>0</v>
      </c>
      <c r="O23" s="282">
        <v>0</v>
      </c>
      <c r="P23" s="282">
        <v>0</v>
      </c>
      <c r="Q23" s="282">
        <v>0</v>
      </c>
      <c r="R23" s="282">
        <v>0</v>
      </c>
      <c r="S23" s="282">
        <v>0</v>
      </c>
      <c r="T23" s="282">
        <v>0</v>
      </c>
      <c r="U23" s="282">
        <v>0</v>
      </c>
      <c r="V23" s="282">
        <v>0</v>
      </c>
      <c r="W23" s="282">
        <v>0</v>
      </c>
      <c r="X23" s="282">
        <v>0</v>
      </c>
      <c r="Y23" s="282">
        <v>0</v>
      </c>
      <c r="Z23" s="282">
        <v>0</v>
      </c>
      <c r="AA23" s="282">
        <v>0</v>
      </c>
      <c r="AB23" s="282">
        <v>0</v>
      </c>
      <c r="AC23" s="282">
        <v>0</v>
      </c>
      <c r="AD23" s="282">
        <v>0</v>
      </c>
      <c r="AE23" s="282">
        <v>0</v>
      </c>
      <c r="AF23" s="282">
        <v>0</v>
      </c>
      <c r="AG23" s="282">
        <v>0</v>
      </c>
      <c r="AH23" s="282">
        <v>0</v>
      </c>
      <c r="AI23" s="282">
        <v>0</v>
      </c>
      <c r="AJ23" s="282">
        <v>0</v>
      </c>
      <c r="AK23" s="282">
        <v>0</v>
      </c>
      <c r="AL23" s="284"/>
    </row>
    <row r="24" ht="9" customHeight="1" hidden="1">
      <c r="A24" s="12"/>
      <c r="B24" s="271"/>
      <c r="C24" s="272"/>
      <c r="D24" t="s" s="273">
        <v>409</v>
      </c>
      <c r="E24" s="274"/>
      <c r="F24" s="282">
        <v>0</v>
      </c>
      <c r="G24" s="282">
        <v>0</v>
      </c>
      <c r="H24" s="282">
        <v>0</v>
      </c>
      <c r="I24" s="282">
        <v>0</v>
      </c>
      <c r="J24" s="282">
        <v>0</v>
      </c>
      <c r="K24" s="282">
        <v>0</v>
      </c>
      <c r="L24" s="282">
        <v>0</v>
      </c>
      <c r="M24" s="282">
        <v>0</v>
      </c>
      <c r="N24" s="282">
        <v>0</v>
      </c>
      <c r="O24" s="282">
        <v>0</v>
      </c>
      <c r="P24" s="282">
        <v>0</v>
      </c>
      <c r="Q24" s="282">
        <v>0</v>
      </c>
      <c r="R24" s="282">
        <v>0</v>
      </c>
      <c r="S24" s="282">
        <v>0</v>
      </c>
      <c r="T24" s="282">
        <v>0</v>
      </c>
      <c r="U24" s="282">
        <v>0</v>
      </c>
      <c r="V24" s="282">
        <v>0</v>
      </c>
      <c r="W24" s="282">
        <v>0</v>
      </c>
      <c r="X24" s="282">
        <v>0</v>
      </c>
      <c r="Y24" s="282">
        <v>0</v>
      </c>
      <c r="Z24" s="282">
        <v>0</v>
      </c>
      <c r="AA24" s="282">
        <v>0</v>
      </c>
      <c r="AB24" s="282">
        <v>0</v>
      </c>
      <c r="AC24" s="282">
        <v>0</v>
      </c>
      <c r="AD24" s="282">
        <v>0</v>
      </c>
      <c r="AE24" s="282">
        <v>0</v>
      </c>
      <c r="AF24" s="282">
        <v>0</v>
      </c>
      <c r="AG24" s="282">
        <v>0</v>
      </c>
      <c r="AH24" s="282">
        <v>0</v>
      </c>
      <c r="AI24" s="282">
        <v>0</v>
      </c>
      <c r="AJ24" s="282">
        <v>0</v>
      </c>
      <c r="AK24" s="282">
        <v>0</v>
      </c>
      <c r="AL24" s="284"/>
    </row>
    <row r="25" ht="16" customHeight="1">
      <c r="A25" s="12"/>
      <c r="B25" s="271"/>
      <c r="C25" s="272"/>
      <c r="D25" t="s" s="273">
        <v>410</v>
      </c>
      <c r="E25" s="274"/>
      <c r="F25" s="282">
        <v>0</v>
      </c>
      <c r="G25" s="282">
        <v>0</v>
      </c>
      <c r="H25" s="282">
        <v>0</v>
      </c>
      <c r="I25" s="282">
        <v>0</v>
      </c>
      <c r="J25" s="282">
        <v>0</v>
      </c>
      <c r="K25" s="282">
        <v>0</v>
      </c>
      <c r="L25" s="282">
        <v>0</v>
      </c>
      <c r="M25" s="282">
        <v>0</v>
      </c>
      <c r="N25" s="282">
        <v>0</v>
      </c>
      <c r="O25" s="282">
        <v>0</v>
      </c>
      <c r="P25" s="282">
        <v>0</v>
      </c>
      <c r="Q25" s="282">
        <v>0</v>
      </c>
      <c r="R25" s="282">
        <v>0</v>
      </c>
      <c r="S25" s="282">
        <v>0</v>
      </c>
      <c r="T25" s="282">
        <v>0</v>
      </c>
      <c r="U25" s="282">
        <v>0</v>
      </c>
      <c r="V25" s="282">
        <v>0</v>
      </c>
      <c r="W25" s="282">
        <v>0</v>
      </c>
      <c r="X25" s="282">
        <v>0</v>
      </c>
      <c r="Y25" s="282">
        <v>0</v>
      </c>
      <c r="Z25" s="282">
        <v>0</v>
      </c>
      <c r="AA25" s="282">
        <v>0</v>
      </c>
      <c r="AB25" s="282">
        <v>0</v>
      </c>
      <c r="AC25" s="282">
        <v>0</v>
      </c>
      <c r="AD25" s="282">
        <v>0</v>
      </c>
      <c r="AE25" s="282">
        <v>0</v>
      </c>
      <c r="AF25" s="282">
        <v>0</v>
      </c>
      <c r="AG25" s="282">
        <v>0</v>
      </c>
      <c r="AH25" s="282">
        <v>0</v>
      </c>
      <c r="AI25" s="282">
        <v>0</v>
      </c>
      <c r="AJ25" s="282">
        <v>0</v>
      </c>
      <c r="AK25" s="282">
        <v>0</v>
      </c>
      <c r="AL25" s="284"/>
    </row>
    <row r="26" ht="16" customHeight="1">
      <c r="A26" s="12"/>
      <c r="B26" s="271"/>
      <c r="C26" s="272"/>
      <c r="D26" s="300"/>
      <c r="E26" s="274"/>
      <c r="F26" s="282"/>
      <c r="G26" s="282"/>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4"/>
    </row>
    <row r="27" ht="16" customHeight="1">
      <c r="A27" s="12"/>
      <c r="B27" t="s" s="264">
        <v>411</v>
      </c>
      <c r="C27" s="272"/>
      <c r="D27" s="300"/>
      <c r="E27" s="274"/>
      <c r="F27" s="282"/>
      <c r="G27" s="282"/>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4"/>
    </row>
    <row r="28" ht="16" customHeight="1">
      <c r="A28" s="12"/>
      <c r="B28" t="s" s="298">
        <v>405</v>
      </c>
      <c r="C28" s="272"/>
      <c r="D28" s="299" cm="1">
        <f t="array" ref="D28">-SUM(F34:V54)</f>
        <v>0</v>
      </c>
      <c r="E28" s="274"/>
      <c r="F28" s="282"/>
      <c r="G28" s="282"/>
      <c r="H28" s="282"/>
      <c r="I28" s="282"/>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4"/>
    </row>
    <row r="29" ht="16" customHeight="1">
      <c r="A29" s="12"/>
      <c r="B29" s="301"/>
      <c r="C29" s="272"/>
      <c r="D29" t="s" s="273">
        <v>412</v>
      </c>
      <c r="E29" s="274"/>
      <c r="F29" s="282">
        <v>0</v>
      </c>
      <c r="G29" s="282">
        <v>0</v>
      </c>
      <c r="H29" s="282">
        <v>0</v>
      </c>
      <c r="I29" s="282">
        <v>0</v>
      </c>
      <c r="J29" s="282">
        <v>0</v>
      </c>
      <c r="K29" s="282">
        <v>0</v>
      </c>
      <c r="L29" s="282">
        <v>0</v>
      </c>
      <c r="M29" s="282">
        <v>0</v>
      </c>
      <c r="N29" s="282">
        <v>0</v>
      </c>
      <c r="O29" s="282">
        <v>0</v>
      </c>
      <c r="P29" s="282">
        <v>0</v>
      </c>
      <c r="Q29" s="282">
        <v>0</v>
      </c>
      <c r="R29" s="282">
        <v>0</v>
      </c>
      <c r="S29" s="282">
        <v>0</v>
      </c>
      <c r="T29" s="282">
        <v>0</v>
      </c>
      <c r="U29" s="282">
        <v>0</v>
      </c>
      <c r="V29" s="282">
        <v>0</v>
      </c>
      <c r="W29" s="282">
        <v>0</v>
      </c>
      <c r="X29" s="282">
        <v>0</v>
      </c>
      <c r="Y29" s="282">
        <v>0</v>
      </c>
      <c r="Z29" s="282">
        <v>0</v>
      </c>
      <c r="AA29" s="282">
        <v>0</v>
      </c>
      <c r="AB29" s="282">
        <v>110000</v>
      </c>
      <c r="AC29" s="282">
        <v>0</v>
      </c>
      <c r="AD29" s="282">
        <v>0</v>
      </c>
      <c r="AE29" s="282">
        <v>0</v>
      </c>
      <c r="AF29" s="282">
        <v>0</v>
      </c>
      <c r="AG29" s="282">
        <v>0</v>
      </c>
      <c r="AH29" s="282">
        <v>0</v>
      </c>
      <c r="AI29" s="282">
        <v>0</v>
      </c>
      <c r="AJ29" s="282">
        <v>0</v>
      </c>
      <c r="AK29" s="282">
        <v>0</v>
      </c>
      <c r="AL29" s="284"/>
    </row>
    <row r="30" ht="16" customHeight="1">
      <c r="A30" s="12"/>
      <c r="B30" s="301"/>
      <c r="C30" s="272"/>
      <c r="D30" t="s" s="273">
        <v>413</v>
      </c>
      <c r="E30" s="274"/>
      <c r="F30" s="282">
        <v>0</v>
      </c>
      <c r="G30" s="282">
        <v>0</v>
      </c>
      <c r="H30" s="282">
        <v>0</v>
      </c>
      <c r="I30" s="282">
        <v>0</v>
      </c>
      <c r="J30" s="282">
        <v>0</v>
      </c>
      <c r="K30" s="282">
        <v>0</v>
      </c>
      <c r="L30" s="282">
        <v>0</v>
      </c>
      <c r="M30" s="282">
        <v>0</v>
      </c>
      <c r="N30" s="282">
        <v>0</v>
      </c>
      <c r="O30" s="282">
        <v>0</v>
      </c>
      <c r="P30" s="282">
        <v>0</v>
      </c>
      <c r="Q30" s="282">
        <v>0</v>
      </c>
      <c r="R30" s="282">
        <v>0</v>
      </c>
      <c r="S30" s="282">
        <v>0</v>
      </c>
      <c r="T30" s="282">
        <v>0</v>
      </c>
      <c r="U30" s="282">
        <v>0</v>
      </c>
      <c r="V30" s="282">
        <v>0</v>
      </c>
      <c r="W30" s="282">
        <v>0</v>
      </c>
      <c r="X30" s="282">
        <v>0</v>
      </c>
      <c r="Y30" s="282">
        <v>0</v>
      </c>
      <c r="Z30" s="282">
        <v>0</v>
      </c>
      <c r="AA30" s="282">
        <v>0</v>
      </c>
      <c r="AB30" s="282">
        <v>0</v>
      </c>
      <c r="AC30" s="282">
        <v>0</v>
      </c>
      <c r="AD30" s="282">
        <v>0</v>
      </c>
      <c r="AE30" s="282">
        <v>0</v>
      </c>
      <c r="AF30" s="282">
        <v>0</v>
      </c>
      <c r="AG30" s="282">
        <v>0</v>
      </c>
      <c r="AH30" s="282">
        <v>0</v>
      </c>
      <c r="AI30" s="282">
        <v>0</v>
      </c>
      <c r="AJ30" s="282">
        <v>0</v>
      </c>
      <c r="AK30" s="282">
        <v>0</v>
      </c>
      <c r="AL30" s="284"/>
    </row>
    <row r="31" ht="16" customHeight="1">
      <c r="A31" s="12"/>
      <c r="B31" s="301"/>
      <c r="C31" s="272"/>
      <c r="D31" t="s" s="273">
        <v>414</v>
      </c>
      <c r="E31" s="274"/>
      <c r="F31" s="282">
        <v>0</v>
      </c>
      <c r="G31" s="282">
        <v>0</v>
      </c>
      <c r="H31" s="282">
        <v>0</v>
      </c>
      <c r="I31" s="282">
        <v>0</v>
      </c>
      <c r="J31" s="282">
        <v>0</v>
      </c>
      <c r="K31" s="282">
        <v>0</v>
      </c>
      <c r="L31" s="282">
        <v>0</v>
      </c>
      <c r="M31" s="282">
        <v>0</v>
      </c>
      <c r="N31" s="282">
        <v>0</v>
      </c>
      <c r="O31" s="282">
        <v>0</v>
      </c>
      <c r="P31" s="282">
        <v>0</v>
      </c>
      <c r="Q31" s="282">
        <v>0</v>
      </c>
      <c r="R31" s="282">
        <v>0</v>
      </c>
      <c r="S31" s="282">
        <v>0</v>
      </c>
      <c r="T31" s="282">
        <v>0</v>
      </c>
      <c r="U31" s="282">
        <v>0</v>
      </c>
      <c r="V31" s="282">
        <v>0</v>
      </c>
      <c r="W31" s="282">
        <v>0</v>
      </c>
      <c r="X31" s="282">
        <v>0</v>
      </c>
      <c r="Y31" s="282">
        <v>0</v>
      </c>
      <c r="Z31" s="282">
        <v>0</v>
      </c>
      <c r="AA31" s="282" cm="1">
        <f t="array" ref="AA31">2490000*30%</f>
        <v>747000</v>
      </c>
      <c r="AB31" s="282">
        <v>0</v>
      </c>
      <c r="AC31" s="282" cm="1">
        <f t="array" ref="AC31">2490000*40%</f>
        <v>996000</v>
      </c>
      <c r="AD31" s="282">
        <v>0</v>
      </c>
      <c r="AE31" s="282">
        <v>0</v>
      </c>
      <c r="AF31" s="282">
        <v>0</v>
      </c>
      <c r="AG31" s="282">
        <v>0</v>
      </c>
      <c r="AH31" s="282">
        <v>0</v>
      </c>
      <c r="AI31" s="282">
        <v>0</v>
      </c>
      <c r="AJ31" s="282">
        <v>0</v>
      </c>
      <c r="AK31" s="282">
        <v>0</v>
      </c>
      <c r="AL31" s="284"/>
    </row>
    <row r="32" ht="16" customHeight="1">
      <c r="A32" s="12"/>
      <c r="B32" s="301"/>
      <c r="C32" s="272"/>
      <c r="D32" t="s" s="273">
        <v>415</v>
      </c>
      <c r="E32" s="274"/>
      <c r="F32" s="282">
        <v>0</v>
      </c>
      <c r="G32" s="282">
        <v>0</v>
      </c>
      <c r="H32" s="282">
        <v>0</v>
      </c>
      <c r="I32" s="282">
        <v>0</v>
      </c>
      <c r="J32" s="282">
        <v>0</v>
      </c>
      <c r="K32" s="282">
        <v>0</v>
      </c>
      <c r="L32" s="282">
        <v>0</v>
      </c>
      <c r="M32" s="282">
        <v>0</v>
      </c>
      <c r="N32" s="282">
        <v>0</v>
      </c>
      <c r="O32" s="282">
        <v>0</v>
      </c>
      <c r="P32" s="282">
        <v>0</v>
      </c>
      <c r="Q32" s="282">
        <v>0</v>
      </c>
      <c r="R32" s="282">
        <v>0</v>
      </c>
      <c r="S32" s="282">
        <v>0</v>
      </c>
      <c r="T32" s="282">
        <v>0</v>
      </c>
      <c r="U32" s="282">
        <v>0</v>
      </c>
      <c r="V32" s="282">
        <v>0</v>
      </c>
      <c r="W32" s="282">
        <v>0</v>
      </c>
      <c r="X32" s="282">
        <v>0</v>
      </c>
      <c r="Y32" s="282">
        <v>0</v>
      </c>
      <c r="Z32" s="282">
        <v>0</v>
      </c>
      <c r="AA32" s="282">
        <v>0</v>
      </c>
      <c r="AB32" s="282" cm="1">
        <f t="array" ref="AB32">2770000*30%</f>
        <v>831000</v>
      </c>
      <c r="AC32" s="282">
        <v>0</v>
      </c>
      <c r="AD32" s="282" cm="1">
        <f t="array" ref="AD32">2770000*40%</f>
        <v>1108000</v>
      </c>
      <c r="AE32" s="282">
        <v>0</v>
      </c>
      <c r="AF32" s="282">
        <v>0</v>
      </c>
      <c r="AG32" s="282">
        <v>0</v>
      </c>
      <c r="AH32" s="282">
        <v>0</v>
      </c>
      <c r="AI32" s="282">
        <v>0</v>
      </c>
      <c r="AJ32" s="282">
        <v>0</v>
      </c>
      <c r="AK32" s="282">
        <v>0</v>
      </c>
      <c r="AL32" s="284"/>
    </row>
    <row r="33" ht="16" customHeight="1">
      <c r="A33" s="12"/>
      <c r="B33" s="301"/>
      <c r="C33" s="272"/>
      <c r="D33" t="s" s="273">
        <v>416</v>
      </c>
      <c r="E33" s="274"/>
      <c r="F33" s="282">
        <v>0</v>
      </c>
      <c r="G33" s="282">
        <v>0</v>
      </c>
      <c r="H33" s="282">
        <v>0</v>
      </c>
      <c r="I33" s="282">
        <v>0</v>
      </c>
      <c r="J33" s="282">
        <v>0</v>
      </c>
      <c r="K33" s="282">
        <v>0</v>
      </c>
      <c r="L33" s="282">
        <v>0</v>
      </c>
      <c r="M33" s="282">
        <v>0</v>
      </c>
      <c r="N33" s="282">
        <v>0</v>
      </c>
      <c r="O33" s="282">
        <v>0</v>
      </c>
      <c r="P33" s="282">
        <v>0</v>
      </c>
      <c r="Q33" s="282">
        <v>0</v>
      </c>
      <c r="R33" s="282">
        <v>0</v>
      </c>
      <c r="S33" s="282">
        <v>0</v>
      </c>
      <c r="T33" s="282">
        <v>0</v>
      </c>
      <c r="U33" s="282">
        <v>0</v>
      </c>
      <c r="V33" s="282">
        <v>0</v>
      </c>
      <c r="W33" s="282">
        <v>0</v>
      </c>
      <c r="X33" s="282">
        <v>0</v>
      </c>
      <c r="Y33" s="282">
        <v>0</v>
      </c>
      <c r="Z33" s="282">
        <v>0</v>
      </c>
      <c r="AA33" s="282">
        <v>917000</v>
      </c>
      <c r="AB33" s="282">
        <v>0</v>
      </c>
      <c r="AC33" s="282" cm="1">
        <f t="array" ref="AC33">2936000*30%</f>
        <v>880800</v>
      </c>
      <c r="AD33" s="282">
        <v>0</v>
      </c>
      <c r="AE33" s="282" cm="1">
        <f t="array" ref="AE33">2936000*40%</f>
        <v>1174400</v>
      </c>
      <c r="AF33" s="282">
        <v>0</v>
      </c>
      <c r="AG33" s="282">
        <v>0</v>
      </c>
      <c r="AH33" s="282">
        <v>0</v>
      </c>
      <c r="AI33" s="282">
        <v>0</v>
      </c>
      <c r="AJ33" s="282">
        <v>0</v>
      </c>
      <c r="AK33" s="282">
        <v>0</v>
      </c>
      <c r="AL33" s="284"/>
    </row>
    <row r="34" ht="16" customHeight="1">
      <c r="A34" s="12"/>
      <c r="B34" s="271"/>
      <c r="C34" s="272"/>
      <c r="D34" t="s" s="273">
        <v>417</v>
      </c>
      <c r="E34" s="274"/>
      <c r="F34" s="282">
        <v>0</v>
      </c>
      <c r="G34" s="282">
        <v>0</v>
      </c>
      <c r="H34" s="282">
        <v>0</v>
      </c>
      <c r="I34" s="282">
        <v>0</v>
      </c>
      <c r="J34" s="282">
        <v>0</v>
      </c>
      <c r="K34" s="282">
        <v>0</v>
      </c>
      <c r="L34" s="282">
        <v>0</v>
      </c>
      <c r="M34" s="282">
        <v>0</v>
      </c>
      <c r="N34" s="282">
        <v>0</v>
      </c>
      <c r="O34" s="282">
        <v>0</v>
      </c>
      <c r="P34" s="282">
        <v>0</v>
      </c>
      <c r="Q34" s="282">
        <v>0</v>
      </c>
      <c r="R34" s="282">
        <v>0</v>
      </c>
      <c r="S34" s="282"/>
      <c r="T34" s="282">
        <v>0</v>
      </c>
      <c r="U34" s="282">
        <v>0</v>
      </c>
      <c r="V34" s="282">
        <v>0</v>
      </c>
      <c r="W34" s="282">
        <v>0</v>
      </c>
      <c r="X34" s="282">
        <v>0</v>
      </c>
      <c r="Y34" s="282">
        <v>0</v>
      </c>
      <c r="Z34" s="282">
        <v>0</v>
      </c>
      <c r="AA34" s="282">
        <v>-140000</v>
      </c>
      <c r="AB34" s="282">
        <v>-140000</v>
      </c>
      <c r="AC34" s="282">
        <v>-140000</v>
      </c>
      <c r="AD34" s="282">
        <v>0</v>
      </c>
      <c r="AE34" s="282">
        <v>0</v>
      </c>
      <c r="AF34" s="282">
        <v>0</v>
      </c>
      <c r="AG34" s="282">
        <v>0</v>
      </c>
      <c r="AH34" s="282">
        <v>0</v>
      </c>
      <c r="AI34" s="282">
        <v>0</v>
      </c>
      <c r="AJ34" s="282">
        <v>0</v>
      </c>
      <c r="AK34" s="282">
        <v>0</v>
      </c>
      <c r="AL34" s="284"/>
    </row>
    <row r="35" ht="16" customHeight="1">
      <c r="A35" s="12"/>
      <c r="B35" s="271"/>
      <c r="C35" s="272"/>
      <c r="D35" t="s" s="273">
        <v>418</v>
      </c>
      <c r="E35" s="274"/>
      <c r="F35" s="282">
        <v>0</v>
      </c>
      <c r="G35" s="282">
        <v>0</v>
      </c>
      <c r="H35" s="282">
        <v>0</v>
      </c>
      <c r="I35" s="282">
        <v>0</v>
      </c>
      <c r="J35" s="282">
        <v>0</v>
      </c>
      <c r="K35" s="282">
        <v>0</v>
      </c>
      <c r="L35" s="282">
        <v>0</v>
      </c>
      <c r="M35" s="282">
        <v>0</v>
      </c>
      <c r="N35" s="282">
        <v>0</v>
      </c>
      <c r="O35" s="282">
        <v>0</v>
      </c>
      <c r="P35" s="282">
        <v>0</v>
      </c>
      <c r="Q35" s="282">
        <v>0</v>
      </c>
      <c r="R35" s="282">
        <v>0</v>
      </c>
      <c r="S35" s="282">
        <v>0</v>
      </c>
      <c r="T35" s="282">
        <v>0</v>
      </c>
      <c r="U35" s="282">
        <v>0</v>
      </c>
      <c r="V35" s="282">
        <v>0</v>
      </c>
      <c r="W35" s="282">
        <v>0</v>
      </c>
      <c r="X35" s="282">
        <v>0</v>
      </c>
      <c r="Y35" s="282">
        <v>0</v>
      </c>
      <c r="Z35" s="282">
        <v>0</v>
      </c>
      <c r="AA35" s="282" cm="1">
        <f t="array" ref="AA35">-453600+120000+70000+50000+50000+50000+50000+50000</f>
        <v>-13600</v>
      </c>
      <c r="AB35" s="282">
        <v>0</v>
      </c>
      <c r="AC35" s="282">
        <v>0</v>
      </c>
      <c r="AD35" s="282">
        <v>0</v>
      </c>
      <c r="AE35" s="282">
        <v>0</v>
      </c>
      <c r="AF35" s="282">
        <v>0</v>
      </c>
      <c r="AG35" s="282">
        <v>0</v>
      </c>
      <c r="AH35" s="282">
        <v>0</v>
      </c>
      <c r="AI35" s="282">
        <v>0</v>
      </c>
      <c r="AJ35" s="282">
        <v>0</v>
      </c>
      <c r="AK35" s="282">
        <v>0</v>
      </c>
      <c r="AL35" s="284"/>
    </row>
    <row r="36" ht="16" customHeight="1">
      <c r="A36" s="12"/>
      <c r="B36" s="271"/>
      <c r="C36" s="272"/>
      <c r="D36" t="s" s="273">
        <v>419</v>
      </c>
      <c r="E36" s="274"/>
      <c r="F36" s="282">
        <v>0</v>
      </c>
      <c r="G36" s="282">
        <v>0</v>
      </c>
      <c r="H36" s="282">
        <v>0</v>
      </c>
      <c r="I36" s="282">
        <v>0</v>
      </c>
      <c r="J36" s="282">
        <v>0</v>
      </c>
      <c r="K36" s="282">
        <v>0</v>
      </c>
      <c r="L36" s="282">
        <v>0</v>
      </c>
      <c r="M36" s="282">
        <v>0</v>
      </c>
      <c r="N36" s="282">
        <v>0</v>
      </c>
      <c r="O36" s="282">
        <v>0</v>
      </c>
      <c r="P36" s="282">
        <v>0</v>
      </c>
      <c r="Q36" s="282">
        <v>0</v>
      </c>
      <c r="R36" s="282">
        <v>0</v>
      </c>
      <c r="S36" s="282"/>
      <c r="T36" s="282">
        <v>0</v>
      </c>
      <c r="U36" s="282">
        <v>0</v>
      </c>
      <c r="V36" s="282">
        <v>0</v>
      </c>
      <c r="W36" s="282">
        <v>0</v>
      </c>
      <c r="X36" s="282">
        <v>0</v>
      </c>
      <c r="Y36" s="282">
        <v>0</v>
      </c>
      <c r="Z36" s="282">
        <v>0</v>
      </c>
      <c r="AA36" s="282" cm="1">
        <f t="array" ref="AA36">-453600+50000+50000+50000+50000+50000+50000+50000+20000+20000+20000+10000+10000</f>
        <v>-23600</v>
      </c>
      <c r="AB36" s="282">
        <v>0</v>
      </c>
      <c r="AC36" s="282">
        <v>0</v>
      </c>
      <c r="AD36" s="282">
        <v>0</v>
      </c>
      <c r="AE36" s="282">
        <v>0</v>
      </c>
      <c r="AF36" s="282">
        <v>0</v>
      </c>
      <c r="AG36" s="282">
        <v>0</v>
      </c>
      <c r="AH36" s="282">
        <v>0</v>
      </c>
      <c r="AI36" s="282">
        <v>0</v>
      </c>
      <c r="AJ36" s="282">
        <v>0</v>
      </c>
      <c r="AK36" s="282">
        <v>0</v>
      </c>
      <c r="AL36" s="284"/>
    </row>
    <row r="37" ht="16" customHeight="1">
      <c r="A37" s="12"/>
      <c r="B37" s="271"/>
      <c r="C37" s="272"/>
      <c r="D37" t="s" s="273">
        <v>420</v>
      </c>
      <c r="E37" s="274"/>
      <c r="F37" s="282">
        <v>0</v>
      </c>
      <c r="G37" s="282">
        <v>0</v>
      </c>
      <c r="H37" s="282">
        <v>0</v>
      </c>
      <c r="I37" s="282">
        <v>0</v>
      </c>
      <c r="J37" s="282">
        <v>0</v>
      </c>
      <c r="K37" s="282">
        <v>0</v>
      </c>
      <c r="L37" s="282">
        <v>0</v>
      </c>
      <c r="M37" s="282">
        <v>0</v>
      </c>
      <c r="N37" s="282">
        <v>0</v>
      </c>
      <c r="O37" s="282">
        <v>0</v>
      </c>
      <c r="P37" s="282">
        <v>0</v>
      </c>
      <c r="Q37" s="282">
        <v>0</v>
      </c>
      <c r="R37" s="282">
        <v>0</v>
      </c>
      <c r="S37" s="282">
        <v>0</v>
      </c>
      <c r="T37" s="282">
        <v>0</v>
      </c>
      <c r="U37" s="282">
        <v>0</v>
      </c>
      <c r="V37" s="282">
        <v>0</v>
      </c>
      <c r="W37" s="282">
        <v>0</v>
      </c>
      <c r="X37" s="282">
        <v>0</v>
      </c>
      <c r="Y37" s="282">
        <v>0</v>
      </c>
      <c r="Z37" s="282">
        <v>0</v>
      </c>
      <c r="AA37" s="282" cm="1">
        <f t="array" ref="AA37">-453600+40000+50000+100000+50000+30000+30000+30000+20000+30000+20000+20000</f>
        <v>-33600</v>
      </c>
      <c r="AB37" s="282">
        <v>0</v>
      </c>
      <c r="AC37" s="282">
        <v>0</v>
      </c>
      <c r="AD37" s="282">
        <v>0</v>
      </c>
      <c r="AE37" s="282">
        <v>0</v>
      </c>
      <c r="AF37" s="282">
        <v>0</v>
      </c>
      <c r="AG37" s="282">
        <v>0</v>
      </c>
      <c r="AH37" s="282">
        <v>0</v>
      </c>
      <c r="AI37" s="282">
        <v>0</v>
      </c>
      <c r="AJ37" s="282">
        <v>0</v>
      </c>
      <c r="AK37" s="282">
        <v>0</v>
      </c>
      <c r="AL37" s="284"/>
    </row>
    <row r="38" ht="16" customHeight="1">
      <c r="A38" s="12"/>
      <c r="B38" s="271"/>
      <c r="C38" s="272"/>
      <c r="D38" t="s" s="273">
        <v>421</v>
      </c>
      <c r="E38" s="274"/>
      <c r="F38" s="282">
        <v>0</v>
      </c>
      <c r="G38" s="282">
        <v>0</v>
      </c>
      <c r="H38" s="282">
        <v>0</v>
      </c>
      <c r="I38" s="282">
        <v>0</v>
      </c>
      <c r="J38" s="282">
        <v>0</v>
      </c>
      <c r="K38" s="282">
        <v>0</v>
      </c>
      <c r="L38" s="282">
        <v>0</v>
      </c>
      <c r="M38" s="282">
        <v>0</v>
      </c>
      <c r="N38" s="282">
        <v>0</v>
      </c>
      <c r="O38" s="282">
        <v>0</v>
      </c>
      <c r="P38" s="282">
        <v>0</v>
      </c>
      <c r="Q38" s="282">
        <v>0</v>
      </c>
      <c r="R38" s="282">
        <v>0</v>
      </c>
      <c r="S38" s="282">
        <v>0</v>
      </c>
      <c r="T38" s="282">
        <v>0</v>
      </c>
      <c r="U38" s="282">
        <v>0</v>
      </c>
      <c r="V38" s="282">
        <v>0</v>
      </c>
      <c r="W38" s="282">
        <v>0</v>
      </c>
      <c r="X38" s="282">
        <v>0</v>
      </c>
      <c r="Y38" s="282">
        <v>0</v>
      </c>
      <c r="Z38" s="282">
        <v>0</v>
      </c>
      <c r="AA38" s="282" cm="1">
        <f t="array" ref="AA38">-453600+100000+50000+50000+50000+50000+20000</f>
        <v>-133600</v>
      </c>
      <c r="AB38" s="282">
        <v>0</v>
      </c>
      <c r="AC38" s="282">
        <v>0</v>
      </c>
      <c r="AD38" s="282">
        <v>0</v>
      </c>
      <c r="AE38" s="282">
        <v>0</v>
      </c>
      <c r="AF38" s="282">
        <v>0</v>
      </c>
      <c r="AG38" s="282">
        <v>0</v>
      </c>
      <c r="AH38" s="282">
        <v>0</v>
      </c>
      <c r="AI38" s="282">
        <v>0</v>
      </c>
      <c r="AJ38" s="282">
        <v>0</v>
      </c>
      <c r="AK38" s="282">
        <v>0</v>
      </c>
      <c r="AL38" s="284"/>
    </row>
    <row r="39" ht="16" customHeight="1">
      <c r="A39" s="12"/>
      <c r="B39" s="271"/>
      <c r="C39" s="272"/>
      <c r="D39" t="s" s="273">
        <v>422</v>
      </c>
      <c r="E39" s="274"/>
      <c r="F39" s="282">
        <v>0</v>
      </c>
      <c r="G39" s="282">
        <v>0</v>
      </c>
      <c r="H39" s="282">
        <v>0</v>
      </c>
      <c r="I39" s="282">
        <v>0</v>
      </c>
      <c r="J39" s="282">
        <v>0</v>
      </c>
      <c r="K39" s="282">
        <v>0</v>
      </c>
      <c r="L39" s="282">
        <v>0</v>
      </c>
      <c r="M39" s="282">
        <v>0</v>
      </c>
      <c r="N39" s="282">
        <v>0</v>
      </c>
      <c r="O39" s="282">
        <v>0</v>
      </c>
      <c r="P39" s="282">
        <v>0</v>
      </c>
      <c r="Q39" s="282">
        <v>0</v>
      </c>
      <c r="R39" s="282">
        <v>0</v>
      </c>
      <c r="S39" s="282">
        <v>0</v>
      </c>
      <c r="T39" s="282">
        <v>0</v>
      </c>
      <c r="U39" s="282">
        <v>0</v>
      </c>
      <c r="V39" s="282">
        <v>0</v>
      </c>
      <c r="W39" s="282">
        <v>0</v>
      </c>
      <c r="X39" s="282">
        <v>0</v>
      </c>
      <c r="Y39" s="282">
        <v>0</v>
      </c>
      <c r="Z39" s="282">
        <v>0</v>
      </c>
      <c r="AA39" s="282" cm="1">
        <f t="array" ref="AA39">-453600+200000+50000+20000</f>
        <v>-183600</v>
      </c>
      <c r="AB39" s="282">
        <v>0</v>
      </c>
      <c r="AC39" s="282">
        <v>0</v>
      </c>
      <c r="AD39" s="282">
        <v>0</v>
      </c>
      <c r="AE39" s="282">
        <v>0</v>
      </c>
      <c r="AF39" s="282">
        <v>0</v>
      </c>
      <c r="AG39" s="282">
        <v>0</v>
      </c>
      <c r="AH39" s="282">
        <v>0</v>
      </c>
      <c r="AI39" s="282">
        <v>0</v>
      </c>
      <c r="AJ39" s="282">
        <v>0</v>
      </c>
      <c r="AK39" s="282">
        <v>0</v>
      </c>
      <c r="AL39" s="284"/>
    </row>
    <row r="40" ht="16" customHeight="1">
      <c r="A40" s="12"/>
      <c r="B40" s="271"/>
      <c r="C40" s="272"/>
      <c r="D40" t="s" s="273">
        <v>423</v>
      </c>
      <c r="E40" s="274"/>
      <c r="F40" s="282">
        <v>0</v>
      </c>
      <c r="G40" s="282">
        <v>0</v>
      </c>
      <c r="H40" s="282">
        <v>0</v>
      </c>
      <c r="I40" s="282">
        <v>0</v>
      </c>
      <c r="J40" s="282">
        <v>0</v>
      </c>
      <c r="K40" s="282">
        <v>0</v>
      </c>
      <c r="L40" s="282">
        <v>0</v>
      </c>
      <c r="M40" s="282">
        <v>0</v>
      </c>
      <c r="N40" s="282">
        <v>0</v>
      </c>
      <c r="O40" s="282">
        <v>0</v>
      </c>
      <c r="P40" s="282">
        <v>0</v>
      </c>
      <c r="Q40" s="282">
        <v>0</v>
      </c>
      <c r="R40" s="282">
        <v>0</v>
      </c>
      <c r="S40" s="282">
        <v>0</v>
      </c>
      <c r="T40" s="282">
        <v>0</v>
      </c>
      <c r="U40" s="282">
        <v>0</v>
      </c>
      <c r="V40" s="282">
        <v>0</v>
      </c>
      <c r="W40" s="282">
        <v>0</v>
      </c>
      <c r="X40" s="282">
        <v>0</v>
      </c>
      <c r="Y40" s="282">
        <v>0</v>
      </c>
      <c r="Z40" s="282">
        <v>0</v>
      </c>
      <c r="AA40" s="282">
        <v>-453600</v>
      </c>
      <c r="AB40" s="282">
        <v>0</v>
      </c>
      <c r="AC40" s="282">
        <v>0</v>
      </c>
      <c r="AD40" s="282">
        <v>0</v>
      </c>
      <c r="AE40" s="282">
        <v>0</v>
      </c>
      <c r="AF40" s="282">
        <v>0</v>
      </c>
      <c r="AG40" s="282">
        <v>0</v>
      </c>
      <c r="AH40" s="282">
        <v>0</v>
      </c>
      <c r="AI40" s="282">
        <v>0</v>
      </c>
      <c r="AJ40" s="282">
        <v>0</v>
      </c>
      <c r="AK40" s="282">
        <v>0</v>
      </c>
      <c r="AL40" s="284"/>
    </row>
    <row r="41" ht="16" customHeight="1">
      <c r="A41" s="12"/>
      <c r="B41" s="271"/>
      <c r="C41" s="272"/>
      <c r="D41" t="s" s="273">
        <v>424</v>
      </c>
      <c r="E41" s="274"/>
      <c r="F41" s="282">
        <v>0</v>
      </c>
      <c r="G41" s="282">
        <v>0</v>
      </c>
      <c r="H41" s="282">
        <v>0</v>
      </c>
      <c r="I41" s="282">
        <v>0</v>
      </c>
      <c r="J41" s="282">
        <v>0</v>
      </c>
      <c r="K41" s="282">
        <v>0</v>
      </c>
      <c r="L41" s="282">
        <v>0</v>
      </c>
      <c r="M41" s="282">
        <v>0</v>
      </c>
      <c r="N41" s="282">
        <v>0</v>
      </c>
      <c r="O41" s="282">
        <v>0</v>
      </c>
      <c r="P41" s="282">
        <v>0</v>
      </c>
      <c r="Q41" s="282">
        <v>0</v>
      </c>
      <c r="R41" s="282">
        <v>0</v>
      </c>
      <c r="S41" s="282">
        <v>0</v>
      </c>
      <c r="T41" s="282">
        <v>0</v>
      </c>
      <c r="U41" s="282">
        <v>0</v>
      </c>
      <c r="V41" s="282">
        <v>0</v>
      </c>
      <c r="W41" s="282">
        <v>0</v>
      </c>
      <c r="X41" s="282">
        <v>0</v>
      </c>
      <c r="Y41" s="282">
        <v>0</v>
      </c>
      <c r="Z41" s="282">
        <v>0</v>
      </c>
      <c r="AA41" s="282">
        <v>0</v>
      </c>
      <c r="AB41" s="282">
        <v>0</v>
      </c>
      <c r="AC41" s="282">
        <v>0</v>
      </c>
      <c r="AD41" s="282">
        <v>-453600</v>
      </c>
      <c r="AE41" s="282">
        <v>0</v>
      </c>
      <c r="AF41" s="282">
        <v>0</v>
      </c>
      <c r="AG41" s="282">
        <v>0</v>
      </c>
      <c r="AH41" s="282">
        <v>0</v>
      </c>
      <c r="AI41" s="282">
        <v>0</v>
      </c>
      <c r="AJ41" s="282">
        <v>0</v>
      </c>
      <c r="AK41" s="282">
        <v>0</v>
      </c>
      <c r="AL41" s="284"/>
    </row>
    <row r="42" ht="16" customHeight="1">
      <c r="A42" s="12"/>
      <c r="B42" s="271"/>
      <c r="C42" s="272"/>
      <c r="D42" t="s" s="273">
        <v>425</v>
      </c>
      <c r="E42" s="274"/>
      <c r="F42" s="282">
        <v>0</v>
      </c>
      <c r="G42" s="282">
        <v>0</v>
      </c>
      <c r="H42" s="282">
        <v>0</v>
      </c>
      <c r="I42" s="282">
        <v>0</v>
      </c>
      <c r="J42" s="282">
        <v>0</v>
      </c>
      <c r="K42" s="282">
        <v>0</v>
      </c>
      <c r="L42" s="282">
        <v>0</v>
      </c>
      <c r="M42" s="282">
        <v>0</v>
      </c>
      <c r="N42" s="282">
        <v>0</v>
      </c>
      <c r="O42" s="282">
        <v>0</v>
      </c>
      <c r="P42" s="282">
        <v>0</v>
      </c>
      <c r="Q42" s="282">
        <v>0</v>
      </c>
      <c r="R42" s="282">
        <v>0</v>
      </c>
      <c r="S42" s="282">
        <v>0</v>
      </c>
      <c r="T42" s="282">
        <v>0</v>
      </c>
      <c r="U42" s="282">
        <v>0</v>
      </c>
      <c r="V42" s="282">
        <v>0</v>
      </c>
      <c r="W42" s="282">
        <v>0</v>
      </c>
      <c r="X42" s="282">
        <v>0</v>
      </c>
      <c r="Y42" s="282">
        <v>0</v>
      </c>
      <c r="Z42" s="282">
        <v>0</v>
      </c>
      <c r="AA42" s="282">
        <v>0</v>
      </c>
      <c r="AB42" s="282">
        <v>0</v>
      </c>
      <c r="AC42" s="282">
        <v>0</v>
      </c>
      <c r="AD42" s="282">
        <v>0</v>
      </c>
      <c r="AE42" s="282">
        <v>-453600</v>
      </c>
      <c r="AF42" s="282">
        <v>0</v>
      </c>
      <c r="AG42" s="282">
        <v>0</v>
      </c>
      <c r="AH42" s="282">
        <v>0</v>
      </c>
      <c r="AI42" s="282">
        <v>0</v>
      </c>
      <c r="AJ42" s="282">
        <v>0</v>
      </c>
      <c r="AK42" s="282">
        <v>0</v>
      </c>
      <c r="AL42" s="284"/>
    </row>
    <row r="43" ht="16" customHeight="1">
      <c r="A43" s="12"/>
      <c r="B43" s="271"/>
      <c r="C43" s="272"/>
      <c r="D43" t="s" s="273">
        <v>426</v>
      </c>
      <c r="E43" s="274"/>
      <c r="F43" s="282">
        <v>0</v>
      </c>
      <c r="G43" s="282">
        <v>0</v>
      </c>
      <c r="H43" s="282">
        <v>0</v>
      </c>
      <c r="I43" s="282">
        <v>0</v>
      </c>
      <c r="J43" s="282">
        <v>0</v>
      </c>
      <c r="K43" s="282">
        <v>0</v>
      </c>
      <c r="L43" s="282">
        <v>0</v>
      </c>
      <c r="M43" s="282">
        <v>0</v>
      </c>
      <c r="N43" s="282">
        <v>0</v>
      </c>
      <c r="O43" s="282">
        <v>0</v>
      </c>
      <c r="P43" s="282">
        <v>0</v>
      </c>
      <c r="Q43" s="282">
        <v>0</v>
      </c>
      <c r="R43" s="282">
        <v>0</v>
      </c>
      <c r="S43" s="282">
        <v>0</v>
      </c>
      <c r="T43" s="282">
        <v>0</v>
      </c>
      <c r="U43" s="282">
        <v>0</v>
      </c>
      <c r="V43" s="282">
        <v>0</v>
      </c>
      <c r="W43" s="282">
        <v>0</v>
      </c>
      <c r="X43" s="282">
        <v>0</v>
      </c>
      <c r="Y43" s="282">
        <v>0</v>
      </c>
      <c r="Z43" s="282">
        <v>0</v>
      </c>
      <c r="AA43" s="282">
        <v>0</v>
      </c>
      <c r="AB43" s="282">
        <v>0</v>
      </c>
      <c r="AC43" s="282">
        <v>0</v>
      </c>
      <c r="AD43" s="282">
        <v>0</v>
      </c>
      <c r="AE43" s="282">
        <v>0</v>
      </c>
      <c r="AF43" s="282">
        <v>0</v>
      </c>
      <c r="AG43" s="282">
        <v>0</v>
      </c>
      <c r="AH43" s="282">
        <v>0</v>
      </c>
      <c r="AI43" s="282">
        <v>0</v>
      </c>
      <c r="AJ43" s="282">
        <v>0</v>
      </c>
      <c r="AK43" s="282">
        <v>0</v>
      </c>
      <c r="AL43" s="284"/>
    </row>
    <row r="44" ht="16" customHeight="1">
      <c r="A44" s="12"/>
      <c r="B44" s="271"/>
      <c r="C44" s="272"/>
      <c r="D44" t="s" s="273">
        <v>427</v>
      </c>
      <c r="E44" s="274"/>
      <c r="F44" s="282">
        <v>0</v>
      </c>
      <c r="G44" s="282">
        <v>0</v>
      </c>
      <c r="H44" s="282">
        <v>0</v>
      </c>
      <c r="I44" s="282">
        <v>0</v>
      </c>
      <c r="J44" s="282">
        <v>0</v>
      </c>
      <c r="K44" s="282">
        <v>0</v>
      </c>
      <c r="L44" s="282">
        <v>0</v>
      </c>
      <c r="M44" s="282">
        <v>0</v>
      </c>
      <c r="N44" s="282">
        <v>0</v>
      </c>
      <c r="O44" s="282">
        <v>0</v>
      </c>
      <c r="P44" s="282">
        <v>0</v>
      </c>
      <c r="Q44" s="282">
        <v>0</v>
      </c>
      <c r="R44" s="282">
        <v>0</v>
      </c>
      <c r="S44" s="282">
        <v>0</v>
      </c>
      <c r="T44" s="282">
        <v>0</v>
      </c>
      <c r="U44" s="282">
        <v>0</v>
      </c>
      <c r="V44" s="282">
        <v>0</v>
      </c>
      <c r="W44" s="282">
        <v>0</v>
      </c>
      <c r="X44" s="282">
        <v>0</v>
      </c>
      <c r="Y44" s="282">
        <v>0</v>
      </c>
      <c r="Z44" s="282">
        <v>0</v>
      </c>
      <c r="AA44" s="282" cm="1">
        <f t="array" ref="AA44">-130000+62000+30000+30000</f>
        <v>-8000</v>
      </c>
      <c r="AB44" s="282">
        <v>-50000</v>
      </c>
      <c r="AC44" s="282">
        <v>0</v>
      </c>
      <c r="AD44" s="282">
        <v>0</v>
      </c>
      <c r="AE44" s="282">
        <v>0</v>
      </c>
      <c r="AF44" s="282">
        <v>0</v>
      </c>
      <c r="AG44" s="282">
        <v>0</v>
      </c>
      <c r="AH44" s="282">
        <v>0</v>
      </c>
      <c r="AI44" s="282">
        <v>0</v>
      </c>
      <c r="AJ44" s="282">
        <v>0</v>
      </c>
      <c r="AK44" s="282">
        <v>0</v>
      </c>
      <c r="AL44" s="284"/>
    </row>
    <row r="45" ht="16" customHeight="1">
      <c r="A45" s="12"/>
      <c r="B45" s="271"/>
      <c r="C45" s="272"/>
      <c r="D45" t="s" s="273">
        <v>428</v>
      </c>
      <c r="E45" s="274"/>
      <c r="F45" s="282">
        <v>0</v>
      </c>
      <c r="G45" s="282">
        <v>0</v>
      </c>
      <c r="H45" s="282">
        <v>0</v>
      </c>
      <c r="I45" s="282">
        <v>0</v>
      </c>
      <c r="J45" s="282">
        <v>0</v>
      </c>
      <c r="K45" s="282">
        <v>0</v>
      </c>
      <c r="L45" s="282">
        <v>0</v>
      </c>
      <c r="M45" s="282">
        <v>0</v>
      </c>
      <c r="N45" s="282">
        <v>0</v>
      </c>
      <c r="O45" s="282">
        <v>0</v>
      </c>
      <c r="P45" s="282">
        <v>0</v>
      </c>
      <c r="Q45" s="282">
        <v>0</v>
      </c>
      <c r="R45" s="282">
        <v>0</v>
      </c>
      <c r="S45" s="282">
        <v>0</v>
      </c>
      <c r="T45" s="282">
        <v>0</v>
      </c>
      <c r="U45" s="282">
        <v>0</v>
      </c>
      <c r="V45" s="282">
        <v>0</v>
      </c>
      <c r="W45" s="282">
        <v>0</v>
      </c>
      <c r="X45" s="282">
        <v>0</v>
      </c>
      <c r="Y45" s="282">
        <v>0</v>
      </c>
      <c r="Z45" s="282">
        <v>0</v>
      </c>
      <c r="AA45" s="282">
        <v>0</v>
      </c>
      <c r="AB45" s="282">
        <v>0</v>
      </c>
      <c r="AC45" s="282">
        <v>0</v>
      </c>
      <c r="AD45" s="282">
        <v>0</v>
      </c>
      <c r="AE45" s="282">
        <v>0</v>
      </c>
      <c r="AF45" s="282">
        <v>0</v>
      </c>
      <c r="AG45" s="282">
        <v>0</v>
      </c>
      <c r="AH45" s="282">
        <v>0</v>
      </c>
      <c r="AI45" s="282">
        <v>0</v>
      </c>
      <c r="AJ45" s="282">
        <v>0</v>
      </c>
      <c r="AK45" s="282">
        <v>0</v>
      </c>
      <c r="AL45" s="284"/>
    </row>
    <row r="46" ht="16" customHeight="1">
      <c r="A46" s="12"/>
      <c r="B46" s="271"/>
      <c r="C46" s="272"/>
      <c r="D46" t="s" s="273">
        <v>429</v>
      </c>
      <c r="E46" s="274"/>
      <c r="F46" s="282">
        <v>0</v>
      </c>
      <c r="G46" s="282">
        <v>0</v>
      </c>
      <c r="H46" s="282">
        <v>0</v>
      </c>
      <c r="I46" s="282">
        <v>0</v>
      </c>
      <c r="J46" s="282">
        <v>0</v>
      </c>
      <c r="K46" s="282">
        <v>0</v>
      </c>
      <c r="L46" s="282">
        <v>0</v>
      </c>
      <c r="M46" s="282">
        <v>0</v>
      </c>
      <c r="N46" s="282">
        <v>0</v>
      </c>
      <c r="O46" s="282">
        <v>0</v>
      </c>
      <c r="P46" s="282">
        <v>0</v>
      </c>
      <c r="Q46" s="282">
        <v>0</v>
      </c>
      <c r="R46" s="282">
        <v>0</v>
      </c>
      <c r="S46" s="282">
        <v>0</v>
      </c>
      <c r="T46" s="282">
        <v>0</v>
      </c>
      <c r="U46" s="282">
        <v>0</v>
      </c>
      <c r="V46" s="282">
        <v>0</v>
      </c>
      <c r="W46" s="282">
        <v>0</v>
      </c>
      <c r="X46" s="282">
        <v>0</v>
      </c>
      <c r="Y46" s="282">
        <v>0</v>
      </c>
      <c r="Z46" s="282">
        <v>0</v>
      </c>
      <c r="AA46" s="282" cm="1">
        <f t="array" ref="AA46">-130000+50000</f>
        <v>-80000</v>
      </c>
      <c r="AB46" s="282">
        <v>-50000</v>
      </c>
      <c r="AC46" s="282">
        <v>0</v>
      </c>
      <c r="AD46" s="282">
        <v>0</v>
      </c>
      <c r="AE46" s="282">
        <v>0</v>
      </c>
      <c r="AF46" s="282">
        <v>0</v>
      </c>
      <c r="AG46" s="282">
        <v>0</v>
      </c>
      <c r="AH46" s="282">
        <v>0</v>
      </c>
      <c r="AI46" s="282">
        <v>0</v>
      </c>
      <c r="AJ46" s="282">
        <v>0</v>
      </c>
      <c r="AK46" s="282">
        <v>0</v>
      </c>
      <c r="AL46" s="284"/>
    </row>
    <row r="47" ht="16" customHeight="1">
      <c r="A47" s="12"/>
      <c r="B47" s="271"/>
      <c r="C47" s="272"/>
      <c r="D47" t="s" s="273">
        <v>430</v>
      </c>
      <c r="E47" s="274"/>
      <c r="F47" s="282">
        <v>0</v>
      </c>
      <c r="G47" s="282">
        <v>0</v>
      </c>
      <c r="H47" s="282">
        <v>0</v>
      </c>
      <c r="I47" s="282">
        <v>0</v>
      </c>
      <c r="J47" s="282">
        <v>0</v>
      </c>
      <c r="K47" s="282">
        <v>0</v>
      </c>
      <c r="L47" s="282">
        <v>0</v>
      </c>
      <c r="M47" s="282">
        <v>0</v>
      </c>
      <c r="N47" s="282">
        <v>0</v>
      </c>
      <c r="O47" s="282">
        <v>0</v>
      </c>
      <c r="P47" s="282">
        <v>0</v>
      </c>
      <c r="Q47" s="282">
        <v>0</v>
      </c>
      <c r="R47" s="282">
        <v>0</v>
      </c>
      <c r="S47" s="282">
        <v>0</v>
      </c>
      <c r="T47" s="282">
        <v>0</v>
      </c>
      <c r="U47" s="282">
        <v>0</v>
      </c>
      <c r="V47" s="282">
        <v>0</v>
      </c>
      <c r="W47" s="282">
        <v>0</v>
      </c>
      <c r="X47" s="282">
        <v>0</v>
      </c>
      <c r="Y47" s="282">
        <v>0</v>
      </c>
      <c r="Z47" s="282">
        <v>0</v>
      </c>
      <c r="AA47" s="282" cm="1">
        <f t="array" ref="AA47">-510000+50000</f>
        <v>-460000</v>
      </c>
      <c r="AB47" s="282">
        <v>0</v>
      </c>
      <c r="AC47" s="282">
        <v>0</v>
      </c>
      <c r="AD47" s="282">
        <v>0</v>
      </c>
      <c r="AE47" s="282">
        <v>0</v>
      </c>
      <c r="AF47" s="282">
        <v>0</v>
      </c>
      <c r="AG47" s="282">
        <v>0</v>
      </c>
      <c r="AH47" s="282">
        <v>0</v>
      </c>
      <c r="AI47" s="282">
        <v>0</v>
      </c>
      <c r="AJ47" s="282">
        <v>0</v>
      </c>
      <c r="AK47" s="282">
        <v>0</v>
      </c>
      <c r="AL47" s="284"/>
    </row>
    <row r="48" ht="16" customHeight="1">
      <c r="A48" s="12"/>
      <c r="B48" s="271"/>
      <c r="C48" s="272"/>
      <c r="D48" t="s" s="273">
        <v>431</v>
      </c>
      <c r="E48" s="274"/>
      <c r="F48" s="282">
        <v>0</v>
      </c>
      <c r="G48" s="282">
        <v>0</v>
      </c>
      <c r="H48" s="282">
        <v>0</v>
      </c>
      <c r="I48" s="282">
        <v>0</v>
      </c>
      <c r="J48" s="282">
        <v>0</v>
      </c>
      <c r="K48" s="282">
        <v>0</v>
      </c>
      <c r="L48" s="282">
        <v>0</v>
      </c>
      <c r="M48" s="282">
        <v>0</v>
      </c>
      <c r="N48" s="282">
        <v>0</v>
      </c>
      <c r="O48" s="282">
        <v>0</v>
      </c>
      <c r="P48" s="282">
        <v>0</v>
      </c>
      <c r="Q48" s="282">
        <v>0</v>
      </c>
      <c r="R48" s="282">
        <v>0</v>
      </c>
      <c r="S48" s="282">
        <v>0</v>
      </c>
      <c r="T48" s="282">
        <v>0</v>
      </c>
      <c r="U48" s="282">
        <v>0</v>
      </c>
      <c r="V48" s="282">
        <v>0</v>
      </c>
      <c r="W48" s="282">
        <v>0</v>
      </c>
      <c r="X48" s="282">
        <v>0</v>
      </c>
      <c r="Y48" s="282">
        <v>0</v>
      </c>
      <c r="Z48" s="282">
        <v>0</v>
      </c>
      <c r="AA48" s="282">
        <v>-130000</v>
      </c>
      <c r="AB48" s="282">
        <v>-50000</v>
      </c>
      <c r="AC48" s="282">
        <v>0</v>
      </c>
      <c r="AD48" s="282">
        <v>0</v>
      </c>
      <c r="AE48" s="282">
        <v>0</v>
      </c>
      <c r="AF48" s="282">
        <v>0</v>
      </c>
      <c r="AG48" s="282">
        <v>0</v>
      </c>
      <c r="AH48" s="282">
        <v>0</v>
      </c>
      <c r="AI48" s="282">
        <v>0</v>
      </c>
      <c r="AJ48" s="282">
        <v>0</v>
      </c>
      <c r="AK48" s="282">
        <v>0</v>
      </c>
      <c r="AL48" s="284"/>
    </row>
    <row r="49" ht="16" customHeight="1">
      <c r="A49" s="12"/>
      <c r="B49" s="271"/>
      <c r="C49" s="272"/>
      <c r="D49" t="s" s="273">
        <v>432</v>
      </c>
      <c r="E49" s="274"/>
      <c r="F49" s="282">
        <v>0</v>
      </c>
      <c r="G49" s="282">
        <v>0</v>
      </c>
      <c r="H49" s="282">
        <v>0</v>
      </c>
      <c r="I49" s="282">
        <v>0</v>
      </c>
      <c r="J49" s="282">
        <v>0</v>
      </c>
      <c r="K49" s="282">
        <v>0</v>
      </c>
      <c r="L49" s="282">
        <v>0</v>
      </c>
      <c r="M49" s="282">
        <v>0</v>
      </c>
      <c r="N49" s="282">
        <v>0</v>
      </c>
      <c r="O49" s="282">
        <v>0</v>
      </c>
      <c r="P49" s="282">
        <v>0</v>
      </c>
      <c r="Q49" s="282">
        <v>0</v>
      </c>
      <c r="R49" s="282">
        <v>0</v>
      </c>
      <c r="S49" s="282">
        <v>0</v>
      </c>
      <c r="T49" s="282">
        <v>0</v>
      </c>
      <c r="U49" s="282">
        <v>0</v>
      </c>
      <c r="V49" s="282">
        <v>0</v>
      </c>
      <c r="W49" s="282">
        <v>0</v>
      </c>
      <c r="X49" s="282">
        <v>0</v>
      </c>
      <c r="Y49" s="282">
        <v>0</v>
      </c>
      <c r="Z49" s="282">
        <v>0</v>
      </c>
      <c r="AA49" s="282">
        <v>0</v>
      </c>
      <c r="AB49" s="282">
        <v>-510000</v>
      </c>
      <c r="AC49" s="282">
        <v>0</v>
      </c>
      <c r="AD49" s="282">
        <v>0</v>
      </c>
      <c r="AE49" s="282">
        <v>0</v>
      </c>
      <c r="AF49" s="282">
        <v>0</v>
      </c>
      <c r="AG49" s="282">
        <v>0</v>
      </c>
      <c r="AH49" s="282">
        <v>0</v>
      </c>
      <c r="AI49" s="282">
        <v>0</v>
      </c>
      <c r="AJ49" s="282">
        <v>0</v>
      </c>
      <c r="AK49" s="282">
        <v>0</v>
      </c>
      <c r="AL49" s="284"/>
    </row>
    <row r="50" ht="16" customHeight="1">
      <c r="A50" s="12"/>
      <c r="B50" s="271"/>
      <c r="C50" s="272"/>
      <c r="D50" t="s" s="273">
        <v>433</v>
      </c>
      <c r="E50" s="274"/>
      <c r="F50" s="282">
        <v>0</v>
      </c>
      <c r="G50" s="282">
        <v>0</v>
      </c>
      <c r="H50" s="282">
        <v>0</v>
      </c>
      <c r="I50" s="282">
        <v>0</v>
      </c>
      <c r="J50" s="282">
        <v>0</v>
      </c>
      <c r="K50" s="282">
        <v>0</v>
      </c>
      <c r="L50" s="282">
        <v>0</v>
      </c>
      <c r="M50" s="282">
        <v>0</v>
      </c>
      <c r="N50" s="282">
        <v>0</v>
      </c>
      <c r="O50" s="282">
        <v>0</v>
      </c>
      <c r="P50" s="282">
        <v>0</v>
      </c>
      <c r="Q50" s="282">
        <v>0</v>
      </c>
      <c r="R50" s="282">
        <v>0</v>
      </c>
      <c r="S50" s="282">
        <v>0</v>
      </c>
      <c r="T50" s="282">
        <v>0</v>
      </c>
      <c r="U50" s="282">
        <v>0</v>
      </c>
      <c r="V50" s="282">
        <v>0</v>
      </c>
      <c r="W50" s="282">
        <v>0</v>
      </c>
      <c r="X50" s="282">
        <v>0</v>
      </c>
      <c r="Y50" s="282">
        <v>0</v>
      </c>
      <c r="Z50" s="282">
        <v>0</v>
      </c>
      <c r="AA50" s="282">
        <v>0</v>
      </c>
      <c r="AB50" s="282">
        <v>-130000</v>
      </c>
      <c r="AC50" s="282">
        <v>-50000</v>
      </c>
      <c r="AD50" s="282">
        <v>0</v>
      </c>
      <c r="AE50" s="282">
        <v>0</v>
      </c>
      <c r="AF50" s="282">
        <v>0</v>
      </c>
      <c r="AG50" s="282">
        <v>0</v>
      </c>
      <c r="AH50" s="282">
        <v>0</v>
      </c>
      <c r="AI50" s="282">
        <v>0</v>
      </c>
      <c r="AJ50" s="282">
        <v>0</v>
      </c>
      <c r="AK50" s="282">
        <v>0</v>
      </c>
      <c r="AL50" s="284"/>
    </row>
    <row r="51" ht="16" customHeight="1">
      <c r="A51" s="12"/>
      <c r="B51" s="271"/>
      <c r="C51" s="272"/>
      <c r="D51" t="s" s="273">
        <v>434</v>
      </c>
      <c r="E51" s="274"/>
      <c r="F51" s="282">
        <v>0</v>
      </c>
      <c r="G51" s="282">
        <v>0</v>
      </c>
      <c r="H51" s="282">
        <v>0</v>
      </c>
      <c r="I51" s="282">
        <v>0</v>
      </c>
      <c r="J51" s="282">
        <v>0</v>
      </c>
      <c r="K51" s="282">
        <v>0</v>
      </c>
      <c r="L51" s="282">
        <v>0</v>
      </c>
      <c r="M51" s="282">
        <v>0</v>
      </c>
      <c r="N51" s="282">
        <v>0</v>
      </c>
      <c r="O51" s="282">
        <v>0</v>
      </c>
      <c r="P51" s="282">
        <v>0</v>
      </c>
      <c r="Q51" s="282">
        <v>0</v>
      </c>
      <c r="R51" s="282">
        <v>0</v>
      </c>
      <c r="S51" s="282">
        <v>0</v>
      </c>
      <c r="T51" s="282">
        <v>0</v>
      </c>
      <c r="U51" s="282">
        <v>0</v>
      </c>
      <c r="V51" s="282">
        <v>0</v>
      </c>
      <c r="W51" s="282">
        <v>0</v>
      </c>
      <c r="X51" s="282">
        <v>0</v>
      </c>
      <c r="Y51" s="282">
        <v>0</v>
      </c>
      <c r="Z51" s="282">
        <v>0</v>
      </c>
      <c r="AA51" s="282">
        <v>0</v>
      </c>
      <c r="AB51" s="282">
        <v>0</v>
      </c>
      <c r="AC51" s="282">
        <v>-510000</v>
      </c>
      <c r="AD51" s="282">
        <v>0</v>
      </c>
      <c r="AE51" s="282">
        <v>0</v>
      </c>
      <c r="AF51" s="282">
        <v>0</v>
      </c>
      <c r="AG51" s="282">
        <v>0</v>
      </c>
      <c r="AH51" s="282">
        <v>0</v>
      </c>
      <c r="AI51" s="282">
        <v>0</v>
      </c>
      <c r="AJ51" s="282">
        <v>0</v>
      </c>
      <c r="AK51" s="282">
        <v>0</v>
      </c>
      <c r="AL51" s="284"/>
    </row>
    <row r="52" ht="16" customHeight="1">
      <c r="A52" s="12"/>
      <c r="B52" s="271"/>
      <c r="C52" s="272"/>
      <c r="D52" t="s" s="273">
        <v>435</v>
      </c>
      <c r="E52" s="274"/>
      <c r="F52" s="282">
        <v>0</v>
      </c>
      <c r="G52" s="282">
        <v>0</v>
      </c>
      <c r="H52" s="282">
        <v>0</v>
      </c>
      <c r="I52" s="282">
        <v>0</v>
      </c>
      <c r="J52" s="282">
        <v>0</v>
      </c>
      <c r="K52" s="282">
        <v>0</v>
      </c>
      <c r="L52" s="282">
        <v>0</v>
      </c>
      <c r="M52" s="282">
        <v>0</v>
      </c>
      <c r="N52" s="282">
        <v>0</v>
      </c>
      <c r="O52" s="282">
        <v>0</v>
      </c>
      <c r="P52" s="282">
        <v>0</v>
      </c>
      <c r="Q52" s="282">
        <v>0</v>
      </c>
      <c r="R52" s="282">
        <v>0</v>
      </c>
      <c r="S52" s="282">
        <v>0</v>
      </c>
      <c r="T52" s="282">
        <v>0</v>
      </c>
      <c r="U52" s="282">
        <v>0</v>
      </c>
      <c r="V52" s="282">
        <v>0</v>
      </c>
      <c r="W52" s="282">
        <v>0</v>
      </c>
      <c r="X52" s="282">
        <v>0</v>
      </c>
      <c r="Y52" s="282">
        <v>0</v>
      </c>
      <c r="Z52" s="282">
        <v>0</v>
      </c>
      <c r="AA52" s="282">
        <v>0</v>
      </c>
      <c r="AB52" s="282">
        <v>0</v>
      </c>
      <c r="AC52" s="282">
        <v>-130000</v>
      </c>
      <c r="AD52" s="282">
        <v>-50000</v>
      </c>
      <c r="AE52" s="282">
        <v>0</v>
      </c>
      <c r="AF52" s="282">
        <v>0</v>
      </c>
      <c r="AG52" s="282">
        <v>0</v>
      </c>
      <c r="AH52" s="282">
        <v>0</v>
      </c>
      <c r="AI52" s="282">
        <v>0</v>
      </c>
      <c r="AJ52" s="282">
        <v>0</v>
      </c>
      <c r="AK52" s="282">
        <v>0</v>
      </c>
      <c r="AL52" s="284"/>
    </row>
    <row r="53" ht="16" customHeight="1">
      <c r="A53" s="12"/>
      <c r="B53" s="271"/>
      <c r="C53" s="272"/>
      <c r="D53" t="s" s="273">
        <v>436</v>
      </c>
      <c r="E53" s="274"/>
      <c r="F53" s="282">
        <v>0</v>
      </c>
      <c r="G53" s="282">
        <v>0</v>
      </c>
      <c r="H53" s="282">
        <v>0</v>
      </c>
      <c r="I53" s="282">
        <v>0</v>
      </c>
      <c r="J53" s="282">
        <v>0</v>
      </c>
      <c r="K53" s="282">
        <v>0</v>
      </c>
      <c r="L53" s="282">
        <v>0</v>
      </c>
      <c r="M53" s="282">
        <v>0</v>
      </c>
      <c r="N53" s="282">
        <v>0</v>
      </c>
      <c r="O53" s="282">
        <v>0</v>
      </c>
      <c r="P53" s="282">
        <v>0</v>
      </c>
      <c r="Q53" s="282">
        <v>0</v>
      </c>
      <c r="R53" s="282">
        <v>0</v>
      </c>
      <c r="S53" s="282">
        <v>0</v>
      </c>
      <c r="T53" s="282">
        <v>0</v>
      </c>
      <c r="U53" s="282">
        <v>0</v>
      </c>
      <c r="V53" s="282">
        <v>0</v>
      </c>
      <c r="W53" s="282">
        <v>0</v>
      </c>
      <c r="X53" s="282">
        <v>0</v>
      </c>
      <c r="Y53" s="282">
        <v>0</v>
      </c>
      <c r="Z53" s="282">
        <v>0</v>
      </c>
      <c r="AA53" s="282">
        <v>0</v>
      </c>
      <c r="AB53" s="282">
        <v>0</v>
      </c>
      <c r="AC53" s="282">
        <v>0</v>
      </c>
      <c r="AD53" s="282">
        <v>0</v>
      </c>
      <c r="AE53" s="282">
        <v>-510000</v>
      </c>
      <c r="AF53" s="282">
        <v>0</v>
      </c>
      <c r="AG53" s="282">
        <v>0</v>
      </c>
      <c r="AH53" s="282">
        <v>0</v>
      </c>
      <c r="AI53" s="282">
        <v>0</v>
      </c>
      <c r="AJ53" s="282">
        <v>0</v>
      </c>
      <c r="AK53" s="282">
        <v>0</v>
      </c>
      <c r="AL53" s="284"/>
    </row>
    <row r="54" ht="16" customHeight="1">
      <c r="A54" s="12"/>
      <c r="B54" s="271"/>
      <c r="C54" s="272"/>
      <c r="D54" t="s" s="273">
        <v>437</v>
      </c>
      <c r="E54" s="274"/>
      <c r="F54" s="282">
        <v>0</v>
      </c>
      <c r="G54" s="282">
        <v>0</v>
      </c>
      <c r="H54" s="282">
        <v>0</v>
      </c>
      <c r="I54" s="282">
        <v>0</v>
      </c>
      <c r="J54" s="282">
        <v>0</v>
      </c>
      <c r="K54" s="282">
        <v>0</v>
      </c>
      <c r="L54" s="282">
        <v>0</v>
      </c>
      <c r="M54" s="282">
        <v>0</v>
      </c>
      <c r="N54" s="282">
        <v>0</v>
      </c>
      <c r="O54" s="282">
        <v>0</v>
      </c>
      <c r="P54" s="282">
        <v>0</v>
      </c>
      <c r="Q54" s="282">
        <v>0</v>
      </c>
      <c r="R54" s="282">
        <v>0</v>
      </c>
      <c r="S54" s="282">
        <v>0</v>
      </c>
      <c r="T54" s="282">
        <v>0</v>
      </c>
      <c r="U54" s="282">
        <v>0</v>
      </c>
      <c r="V54" s="282">
        <v>0</v>
      </c>
      <c r="W54" s="282">
        <v>0</v>
      </c>
      <c r="X54" s="282">
        <v>0</v>
      </c>
      <c r="Y54" s="282">
        <v>0</v>
      </c>
      <c r="Z54" s="282">
        <v>0</v>
      </c>
      <c r="AA54" s="282">
        <v>0</v>
      </c>
      <c r="AB54" s="282">
        <v>0</v>
      </c>
      <c r="AC54" s="282">
        <v>0</v>
      </c>
      <c r="AD54" s="282">
        <v>0</v>
      </c>
      <c r="AE54" s="282">
        <v>-130000</v>
      </c>
      <c r="AF54" s="282">
        <v>-50000</v>
      </c>
      <c r="AG54" s="282">
        <v>0</v>
      </c>
      <c r="AH54" s="282">
        <v>0</v>
      </c>
      <c r="AI54" s="282">
        <v>0</v>
      </c>
      <c r="AJ54" s="282">
        <v>0</v>
      </c>
      <c r="AK54" s="282">
        <v>0</v>
      </c>
      <c r="AL54" s="284"/>
    </row>
    <row r="55" ht="16" customHeight="1">
      <c r="A55" s="12"/>
      <c r="B55" s="271"/>
      <c r="C55" s="272"/>
      <c r="D55" t="s" s="273">
        <v>438</v>
      </c>
      <c r="E55" s="274"/>
      <c r="F55" s="282">
        <v>0</v>
      </c>
      <c r="G55" s="282">
        <v>0</v>
      </c>
      <c r="H55" s="282">
        <v>0</v>
      </c>
      <c r="I55" s="282">
        <v>0</v>
      </c>
      <c r="J55" s="282">
        <v>0</v>
      </c>
      <c r="K55" s="282">
        <v>0</v>
      </c>
      <c r="L55" s="282">
        <v>0</v>
      </c>
      <c r="M55" s="282">
        <v>0</v>
      </c>
      <c r="N55" s="282">
        <v>0</v>
      </c>
      <c r="O55" s="282">
        <v>0</v>
      </c>
      <c r="P55" s="282">
        <v>0</v>
      </c>
      <c r="Q55" s="282">
        <v>0</v>
      </c>
      <c r="R55" s="282">
        <v>0</v>
      </c>
      <c r="S55" s="282">
        <v>0</v>
      </c>
      <c r="T55" s="282">
        <v>0</v>
      </c>
      <c r="U55" s="282">
        <v>0</v>
      </c>
      <c r="V55" s="282">
        <v>0</v>
      </c>
      <c r="W55" s="282">
        <v>0</v>
      </c>
      <c r="X55" s="282">
        <v>0</v>
      </c>
      <c r="Y55" s="282">
        <v>0</v>
      </c>
      <c r="Z55" s="282">
        <v>0</v>
      </c>
      <c r="AA55" s="282">
        <v>0</v>
      </c>
      <c r="AB55" s="282">
        <v>0</v>
      </c>
      <c r="AC55" s="282">
        <v>0</v>
      </c>
      <c r="AD55" s="282">
        <v>0</v>
      </c>
      <c r="AE55" s="282">
        <v>0</v>
      </c>
      <c r="AF55" s="282">
        <v>0</v>
      </c>
      <c r="AG55" s="282">
        <v>-510000</v>
      </c>
      <c r="AH55" s="282">
        <v>0</v>
      </c>
      <c r="AI55" s="282">
        <v>0</v>
      </c>
      <c r="AJ55" s="282">
        <v>0</v>
      </c>
      <c r="AK55" s="282">
        <v>0</v>
      </c>
      <c r="AL55" s="284"/>
    </row>
    <row r="56" ht="16" customHeight="1">
      <c r="A56" s="12"/>
      <c r="B56" s="271"/>
      <c r="C56" s="272"/>
      <c r="D56" t="s" s="273">
        <v>439</v>
      </c>
      <c r="E56" s="274"/>
      <c r="F56" s="282">
        <v>0</v>
      </c>
      <c r="G56" s="282">
        <v>0</v>
      </c>
      <c r="H56" s="282">
        <v>0</v>
      </c>
      <c r="I56" s="282">
        <v>0</v>
      </c>
      <c r="J56" s="282">
        <v>0</v>
      </c>
      <c r="K56" s="282">
        <v>0</v>
      </c>
      <c r="L56" s="282">
        <v>0</v>
      </c>
      <c r="M56" s="282">
        <v>0</v>
      </c>
      <c r="N56" s="282">
        <v>0</v>
      </c>
      <c r="O56" s="282">
        <v>0</v>
      </c>
      <c r="P56" s="282">
        <v>0</v>
      </c>
      <c r="Q56" s="282">
        <v>0</v>
      </c>
      <c r="R56" s="282">
        <v>0</v>
      </c>
      <c r="S56" s="282">
        <v>0</v>
      </c>
      <c r="T56" s="282">
        <v>0</v>
      </c>
      <c r="U56" s="282">
        <v>0</v>
      </c>
      <c r="V56" s="282">
        <v>0</v>
      </c>
      <c r="W56" s="282">
        <v>0</v>
      </c>
      <c r="X56" s="282">
        <v>0</v>
      </c>
      <c r="Y56" s="282">
        <v>0</v>
      </c>
      <c r="Z56" s="282">
        <v>0</v>
      </c>
      <c r="AA56" s="282">
        <v>0</v>
      </c>
      <c r="AB56" s="282">
        <v>0</v>
      </c>
      <c r="AC56" s="282">
        <v>0</v>
      </c>
      <c r="AD56" s="282">
        <v>0</v>
      </c>
      <c r="AE56" s="282">
        <v>0</v>
      </c>
      <c r="AF56" s="282">
        <v>0</v>
      </c>
      <c r="AG56" s="282">
        <v>-130000</v>
      </c>
      <c r="AH56" s="282">
        <v>-50000</v>
      </c>
      <c r="AI56" s="282">
        <v>0</v>
      </c>
      <c r="AJ56" s="282">
        <v>0</v>
      </c>
      <c r="AK56" s="282">
        <v>0</v>
      </c>
      <c r="AL56" s="284"/>
    </row>
    <row r="57" ht="16" customHeight="1">
      <c r="A57" s="12"/>
      <c r="B57" s="271"/>
      <c r="C57" s="272"/>
      <c r="D57" t="s" s="273">
        <v>440</v>
      </c>
      <c r="E57" s="274"/>
      <c r="F57" s="282">
        <v>0</v>
      </c>
      <c r="G57" s="282">
        <v>0</v>
      </c>
      <c r="H57" s="282">
        <v>0</v>
      </c>
      <c r="I57" s="282">
        <v>0</v>
      </c>
      <c r="J57" s="282">
        <v>0</v>
      </c>
      <c r="K57" s="282">
        <v>0</v>
      </c>
      <c r="L57" s="282">
        <v>0</v>
      </c>
      <c r="M57" s="282">
        <v>0</v>
      </c>
      <c r="N57" s="282">
        <v>0</v>
      </c>
      <c r="O57" s="282">
        <v>0</v>
      </c>
      <c r="P57" s="282">
        <v>0</v>
      </c>
      <c r="Q57" s="282">
        <v>0</v>
      </c>
      <c r="R57" s="282">
        <v>0</v>
      </c>
      <c r="S57" s="282">
        <v>0</v>
      </c>
      <c r="T57" s="282">
        <v>0</v>
      </c>
      <c r="U57" s="282">
        <v>0</v>
      </c>
      <c r="V57" s="282">
        <v>0</v>
      </c>
      <c r="W57" s="282">
        <v>0</v>
      </c>
      <c r="X57" s="282">
        <v>0</v>
      </c>
      <c r="Y57" s="282">
        <v>0</v>
      </c>
      <c r="Z57" s="282">
        <v>0</v>
      </c>
      <c r="AA57" s="282">
        <v>0</v>
      </c>
      <c r="AB57" s="282">
        <v>0</v>
      </c>
      <c r="AC57" s="282">
        <v>0</v>
      </c>
      <c r="AD57" s="282">
        <v>0</v>
      </c>
      <c r="AE57" s="282">
        <v>0</v>
      </c>
      <c r="AF57" s="282">
        <v>0</v>
      </c>
      <c r="AG57" s="282">
        <v>0</v>
      </c>
      <c r="AH57" s="282">
        <v>-510000</v>
      </c>
      <c r="AI57" s="282">
        <v>0</v>
      </c>
      <c r="AJ57" s="282">
        <v>0</v>
      </c>
      <c r="AK57" s="282">
        <v>0</v>
      </c>
      <c r="AL57" s="284"/>
    </row>
    <row r="58" ht="16" customHeight="1">
      <c r="A58" s="12"/>
      <c r="B58" s="271"/>
      <c r="C58" s="272"/>
      <c r="D58" t="s" s="273">
        <v>441</v>
      </c>
      <c r="E58" s="274"/>
      <c r="F58" s="282">
        <v>0</v>
      </c>
      <c r="G58" s="282">
        <v>0</v>
      </c>
      <c r="H58" s="282">
        <v>0</v>
      </c>
      <c r="I58" s="282">
        <v>0</v>
      </c>
      <c r="J58" s="282">
        <v>0</v>
      </c>
      <c r="K58" s="282">
        <v>0</v>
      </c>
      <c r="L58" s="282">
        <v>0</v>
      </c>
      <c r="M58" s="282">
        <v>0</v>
      </c>
      <c r="N58" s="282">
        <v>0</v>
      </c>
      <c r="O58" s="282">
        <v>0</v>
      </c>
      <c r="P58" s="282">
        <v>0</v>
      </c>
      <c r="Q58" s="282">
        <v>0</v>
      </c>
      <c r="R58" s="282">
        <v>0</v>
      </c>
      <c r="S58" s="282">
        <v>0</v>
      </c>
      <c r="T58" s="282">
        <v>0</v>
      </c>
      <c r="U58" s="282">
        <v>0</v>
      </c>
      <c r="V58" s="282">
        <v>0</v>
      </c>
      <c r="W58" s="282">
        <v>0</v>
      </c>
      <c r="X58" s="282">
        <v>0</v>
      </c>
      <c r="Y58" s="282">
        <v>0</v>
      </c>
      <c r="Z58" s="282">
        <v>0</v>
      </c>
      <c r="AA58" s="282">
        <v>0</v>
      </c>
      <c r="AB58" s="282">
        <v>0</v>
      </c>
      <c r="AC58" s="282">
        <v>0</v>
      </c>
      <c r="AD58" s="282">
        <v>0</v>
      </c>
      <c r="AE58" s="282">
        <v>0</v>
      </c>
      <c r="AF58" s="282">
        <v>0</v>
      </c>
      <c r="AG58" s="282">
        <v>0</v>
      </c>
      <c r="AH58" s="282">
        <v>-130000</v>
      </c>
      <c r="AI58" s="282">
        <v>-50000</v>
      </c>
      <c r="AJ58" s="282">
        <v>0</v>
      </c>
      <c r="AK58" s="282">
        <v>0</v>
      </c>
      <c r="AL58" s="284"/>
    </row>
    <row r="59" ht="16" customHeight="1">
      <c r="A59" s="12"/>
      <c r="B59" s="271"/>
      <c r="C59" s="272"/>
      <c r="D59" s="300"/>
      <c r="E59" s="274"/>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4"/>
    </row>
    <row r="60" ht="16" customHeight="1">
      <c r="A60" s="12"/>
      <c r="B60" t="s" s="264">
        <v>442</v>
      </c>
      <c r="C60" s="272"/>
      <c r="D60" s="300"/>
      <c r="E60" s="274"/>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4"/>
    </row>
    <row r="61" ht="16" customHeight="1">
      <c r="A61" s="12"/>
      <c r="B61" t="s" s="298">
        <v>405</v>
      </c>
      <c r="C61" s="272"/>
      <c r="D61" s="299" cm="1">
        <f t="array" ref="D61">195000+195000+195000+195000+195000+100000+195000-SUM(F61:V67)</f>
        <v>1270000</v>
      </c>
      <c r="E61" s="274"/>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4"/>
    </row>
    <row r="62" ht="16" customHeight="1">
      <c r="A62" s="12"/>
      <c r="B62" s="271"/>
      <c r="C62" s="272"/>
      <c r="D62" t="s" s="273">
        <v>443</v>
      </c>
      <c r="E62" s="274"/>
      <c r="F62" s="282">
        <v>0</v>
      </c>
      <c r="G62" s="282">
        <v>0</v>
      </c>
      <c r="H62" s="282">
        <v>0</v>
      </c>
      <c r="I62" s="282">
        <v>0</v>
      </c>
      <c r="J62" s="282">
        <v>0</v>
      </c>
      <c r="K62" s="282">
        <v>0</v>
      </c>
      <c r="L62" s="282">
        <v>0</v>
      </c>
      <c r="M62" s="282">
        <v>0</v>
      </c>
      <c r="N62" s="282">
        <v>0</v>
      </c>
      <c r="O62" s="282">
        <v>0</v>
      </c>
      <c r="P62" s="282">
        <v>0</v>
      </c>
      <c r="Q62" s="282">
        <v>0</v>
      </c>
      <c r="R62" s="282">
        <v>0</v>
      </c>
      <c r="S62" s="282">
        <v>0</v>
      </c>
      <c r="T62" s="282">
        <v>0</v>
      </c>
      <c r="U62" s="282">
        <v>0</v>
      </c>
      <c r="V62" s="282">
        <v>0</v>
      </c>
      <c r="W62" s="282">
        <v>0</v>
      </c>
      <c r="X62" s="282">
        <v>0</v>
      </c>
      <c r="Y62" s="282">
        <v>0</v>
      </c>
      <c r="Z62" s="282">
        <v>0</v>
      </c>
      <c r="AA62" s="282">
        <v>0</v>
      </c>
      <c r="AB62" s="282">
        <v>0</v>
      </c>
      <c r="AC62" s="282">
        <v>0</v>
      </c>
      <c r="AD62" s="282">
        <v>0</v>
      </c>
      <c r="AE62" s="282">
        <v>0</v>
      </c>
      <c r="AF62" s="282">
        <v>0</v>
      </c>
      <c r="AG62" s="282">
        <v>0</v>
      </c>
      <c r="AH62" s="282">
        <v>0</v>
      </c>
      <c r="AI62" s="282">
        <v>0</v>
      </c>
      <c r="AJ62" s="282">
        <v>0</v>
      </c>
      <c r="AK62" s="282">
        <v>0</v>
      </c>
      <c r="AL62" s="284"/>
    </row>
    <row r="63" ht="16" customHeight="1">
      <c r="A63" s="12"/>
      <c r="B63" s="271"/>
      <c r="C63" s="272"/>
      <c r="D63" t="s" s="273">
        <v>444</v>
      </c>
      <c r="E63" s="274"/>
      <c r="F63" s="282">
        <v>0</v>
      </c>
      <c r="G63" s="282">
        <v>0</v>
      </c>
      <c r="H63" s="282">
        <v>0</v>
      </c>
      <c r="I63" s="282">
        <v>0</v>
      </c>
      <c r="J63" s="282">
        <v>0</v>
      </c>
      <c r="K63" s="282">
        <v>0</v>
      </c>
      <c r="L63" s="282">
        <v>0</v>
      </c>
      <c r="M63" s="282">
        <v>0</v>
      </c>
      <c r="N63" s="282">
        <v>0</v>
      </c>
      <c r="O63" s="282">
        <v>0</v>
      </c>
      <c r="P63" s="282">
        <v>0</v>
      </c>
      <c r="Q63" s="282">
        <v>0</v>
      </c>
      <c r="R63" s="282">
        <v>0</v>
      </c>
      <c r="S63" s="282">
        <v>0</v>
      </c>
      <c r="T63" s="282">
        <v>0</v>
      </c>
      <c r="U63" s="282">
        <v>0</v>
      </c>
      <c r="V63" s="282">
        <v>0</v>
      </c>
      <c r="W63" s="282">
        <v>0</v>
      </c>
      <c r="X63" s="282">
        <v>0</v>
      </c>
      <c r="Y63" s="282">
        <v>0</v>
      </c>
      <c r="Z63" s="282">
        <v>0</v>
      </c>
      <c r="AA63" s="282">
        <v>0</v>
      </c>
      <c r="AB63" s="282">
        <v>0</v>
      </c>
      <c r="AC63" s="282">
        <v>0</v>
      </c>
      <c r="AD63" s="282">
        <v>0</v>
      </c>
      <c r="AE63" s="282">
        <v>0</v>
      </c>
      <c r="AF63" s="282">
        <v>0</v>
      </c>
      <c r="AG63" s="282">
        <v>0</v>
      </c>
      <c r="AH63" s="282">
        <v>0</v>
      </c>
      <c r="AI63" s="282">
        <v>0</v>
      </c>
      <c r="AJ63" s="282">
        <v>0</v>
      </c>
      <c r="AK63" s="282">
        <v>0</v>
      </c>
      <c r="AL63" s="284"/>
    </row>
    <row r="64" ht="16" customHeight="1">
      <c r="A64" s="12"/>
      <c r="B64" s="271"/>
      <c r="C64" s="272"/>
      <c r="D64" t="s" s="273">
        <v>426</v>
      </c>
      <c r="E64" s="274" cm="1">
        <f t="array" ref="E64">50896.35*16272</f>
        <v>828185407.2</v>
      </c>
      <c r="F64" s="282">
        <v>0</v>
      </c>
      <c r="G64" s="282">
        <v>0</v>
      </c>
      <c r="H64" s="282">
        <v>0</v>
      </c>
      <c r="I64" s="282">
        <v>0</v>
      </c>
      <c r="J64" s="282">
        <v>0</v>
      </c>
      <c r="K64" s="282">
        <v>0</v>
      </c>
      <c r="L64" s="282">
        <v>0</v>
      </c>
      <c r="M64" s="282">
        <v>0</v>
      </c>
      <c r="N64" s="282">
        <v>0</v>
      </c>
      <c r="O64" s="282">
        <v>0</v>
      </c>
      <c r="P64" s="282">
        <v>0</v>
      </c>
      <c r="Q64" s="282">
        <v>0</v>
      </c>
      <c r="R64" s="282">
        <v>0</v>
      </c>
      <c r="S64" s="282">
        <v>0</v>
      </c>
      <c r="T64" s="282">
        <v>0</v>
      </c>
      <c r="U64" s="282">
        <v>0</v>
      </c>
      <c r="V64" s="282">
        <v>0</v>
      </c>
      <c r="W64" s="282">
        <v>0</v>
      </c>
      <c r="X64" s="282">
        <v>0</v>
      </c>
      <c r="Y64" s="282">
        <v>0</v>
      </c>
      <c r="Z64" s="282">
        <v>0</v>
      </c>
      <c r="AA64" s="282">
        <v>0</v>
      </c>
      <c r="AB64" s="282">
        <v>0</v>
      </c>
      <c r="AC64" s="282">
        <v>0</v>
      </c>
      <c r="AD64" s="282">
        <v>0</v>
      </c>
      <c r="AE64" s="282">
        <v>0</v>
      </c>
      <c r="AF64" s="282">
        <v>0</v>
      </c>
      <c r="AG64" s="282">
        <v>0</v>
      </c>
      <c r="AH64" s="282">
        <v>0</v>
      </c>
      <c r="AI64" s="282">
        <v>0</v>
      </c>
      <c r="AJ64" s="282">
        <v>0</v>
      </c>
      <c r="AK64" s="282">
        <v>0</v>
      </c>
      <c r="AL64" s="284"/>
    </row>
    <row r="65" ht="16" customHeight="1">
      <c r="A65" s="12"/>
      <c r="B65" s="271"/>
      <c r="C65" s="272"/>
      <c r="D65" t="s" s="273">
        <v>428</v>
      </c>
      <c r="E65" s="274"/>
      <c r="F65" s="282">
        <v>0</v>
      </c>
      <c r="G65" s="282">
        <v>0</v>
      </c>
      <c r="H65" s="282">
        <v>0</v>
      </c>
      <c r="I65" s="282">
        <v>0</v>
      </c>
      <c r="J65" s="282">
        <v>0</v>
      </c>
      <c r="K65" s="282">
        <v>0</v>
      </c>
      <c r="L65" s="282">
        <v>0</v>
      </c>
      <c r="M65" s="282">
        <v>0</v>
      </c>
      <c r="N65" s="282">
        <v>0</v>
      </c>
      <c r="O65" s="282">
        <v>0</v>
      </c>
      <c r="P65" s="282">
        <v>0</v>
      </c>
      <c r="Q65" s="282">
        <v>0</v>
      </c>
      <c r="R65" s="282">
        <v>0</v>
      </c>
      <c r="S65" s="282">
        <v>0</v>
      </c>
      <c r="T65" s="282">
        <v>0</v>
      </c>
      <c r="U65" s="282">
        <v>0</v>
      </c>
      <c r="V65" s="282">
        <v>0</v>
      </c>
      <c r="W65" s="282">
        <v>0</v>
      </c>
      <c r="X65" s="282">
        <v>0</v>
      </c>
      <c r="Y65" s="282">
        <v>0</v>
      </c>
      <c r="Z65" s="282">
        <v>0</v>
      </c>
      <c r="AA65" s="282">
        <v>0</v>
      </c>
      <c r="AB65" s="282">
        <v>0</v>
      </c>
      <c r="AC65" s="282">
        <v>0</v>
      </c>
      <c r="AD65" s="282">
        <v>0</v>
      </c>
      <c r="AE65" s="282">
        <v>0</v>
      </c>
      <c r="AF65" s="282">
        <v>0</v>
      </c>
      <c r="AG65" s="282">
        <v>0</v>
      </c>
      <c r="AH65" s="282">
        <v>0</v>
      </c>
      <c r="AI65" s="282">
        <v>0</v>
      </c>
      <c r="AJ65" s="282">
        <v>0</v>
      </c>
      <c r="AK65" s="282">
        <v>0</v>
      </c>
      <c r="AL65" s="284"/>
    </row>
    <row r="66" ht="16" customHeight="1">
      <c r="A66" s="12"/>
      <c r="B66" s="271"/>
      <c r="C66" s="272"/>
      <c r="D66" t="s" s="273">
        <v>427</v>
      </c>
      <c r="E66" s="274"/>
      <c r="F66" s="282">
        <v>0</v>
      </c>
      <c r="G66" s="282">
        <v>0</v>
      </c>
      <c r="H66" s="282">
        <v>0</v>
      </c>
      <c r="I66" s="282">
        <v>0</v>
      </c>
      <c r="J66" s="282">
        <v>0</v>
      </c>
      <c r="K66" s="282">
        <v>0</v>
      </c>
      <c r="L66" s="282">
        <v>0</v>
      </c>
      <c r="M66" s="282">
        <v>0</v>
      </c>
      <c r="N66" s="282">
        <v>0</v>
      </c>
      <c r="O66" s="282">
        <v>0</v>
      </c>
      <c r="P66" s="282">
        <v>0</v>
      </c>
      <c r="Q66" s="282">
        <v>0</v>
      </c>
      <c r="R66" s="282">
        <v>0</v>
      </c>
      <c r="S66" s="282">
        <v>0</v>
      </c>
      <c r="T66" s="282">
        <v>0</v>
      </c>
      <c r="U66" s="282">
        <v>0</v>
      </c>
      <c r="V66" s="282">
        <v>0</v>
      </c>
      <c r="W66" s="282">
        <v>0</v>
      </c>
      <c r="X66" s="282">
        <v>0</v>
      </c>
      <c r="Y66" s="282">
        <v>0</v>
      </c>
      <c r="Z66" s="282">
        <v>0</v>
      </c>
      <c r="AA66" s="282">
        <v>0</v>
      </c>
      <c r="AB66" s="282">
        <v>0</v>
      </c>
      <c r="AC66" s="282">
        <v>0</v>
      </c>
      <c r="AD66" s="282">
        <v>0</v>
      </c>
      <c r="AE66" s="282">
        <v>0</v>
      </c>
      <c r="AF66" s="282">
        <v>0</v>
      </c>
      <c r="AG66" s="282">
        <v>0</v>
      </c>
      <c r="AH66" s="282">
        <v>0</v>
      </c>
      <c r="AI66" s="282">
        <v>0</v>
      </c>
      <c r="AJ66" s="282">
        <v>0</v>
      </c>
      <c r="AK66" s="282">
        <v>0</v>
      </c>
      <c r="AL66" s="284"/>
    </row>
    <row r="67" ht="16" customHeight="1">
      <c r="A67" s="12"/>
      <c r="B67" s="271"/>
      <c r="C67" s="272"/>
      <c r="D67" t="s" s="273">
        <v>429</v>
      </c>
      <c r="E67" s="274"/>
      <c r="F67" s="282">
        <v>0</v>
      </c>
      <c r="G67" s="282">
        <v>0</v>
      </c>
      <c r="H67" s="282">
        <v>0</v>
      </c>
      <c r="I67" s="282">
        <v>0</v>
      </c>
      <c r="J67" s="282">
        <v>0</v>
      </c>
      <c r="K67" s="282">
        <v>0</v>
      </c>
      <c r="L67" s="282">
        <v>0</v>
      </c>
      <c r="M67" s="282">
        <v>0</v>
      </c>
      <c r="N67" s="282">
        <v>0</v>
      </c>
      <c r="O67" s="282">
        <v>0</v>
      </c>
      <c r="P67" s="282">
        <v>0</v>
      </c>
      <c r="Q67" s="282">
        <v>0</v>
      </c>
      <c r="R67" s="282">
        <v>0</v>
      </c>
      <c r="S67" s="282">
        <v>0</v>
      </c>
      <c r="T67" s="282">
        <v>0</v>
      </c>
      <c r="U67" s="282">
        <v>0</v>
      </c>
      <c r="V67" s="282">
        <v>0</v>
      </c>
      <c r="W67" s="282">
        <v>0</v>
      </c>
      <c r="X67" s="282">
        <v>0</v>
      </c>
      <c r="Y67" s="282">
        <v>0</v>
      </c>
      <c r="Z67" s="282">
        <v>0</v>
      </c>
      <c r="AA67" s="282">
        <v>0</v>
      </c>
      <c r="AB67" s="282">
        <v>0</v>
      </c>
      <c r="AC67" s="282">
        <v>0</v>
      </c>
      <c r="AD67" s="282">
        <v>0</v>
      </c>
      <c r="AE67" s="282">
        <v>0</v>
      </c>
      <c r="AF67" s="282">
        <v>0</v>
      </c>
      <c r="AG67" s="282">
        <v>0</v>
      </c>
      <c r="AH67" s="282">
        <v>0</v>
      </c>
      <c r="AI67" s="282">
        <v>0</v>
      </c>
      <c r="AJ67" s="282">
        <v>0</v>
      </c>
      <c r="AK67" s="282">
        <v>0</v>
      </c>
      <c r="AL67" s="284"/>
    </row>
    <row r="68" ht="16" customHeight="1">
      <c r="A68" s="12"/>
      <c r="B68" s="302"/>
      <c r="C68" s="272"/>
      <c r="D68" s="300"/>
      <c r="E68" s="274"/>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4"/>
    </row>
    <row r="69" ht="16" customHeight="1">
      <c r="A69" s="12"/>
      <c r="B69" t="s" s="303">
        <v>445</v>
      </c>
      <c r="C69" s="272"/>
      <c r="D69" s="300"/>
      <c r="E69" s="274"/>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4"/>
    </row>
    <row r="70" ht="16" customHeight="1">
      <c r="A70" s="12"/>
      <c r="B70" s="271"/>
      <c r="C70" s="272"/>
      <c r="D70" t="s" s="273">
        <v>446</v>
      </c>
      <c r="E70" s="274"/>
      <c r="F70" s="282">
        <v>0</v>
      </c>
      <c r="G70" s="282">
        <v>0</v>
      </c>
      <c r="H70" s="282">
        <v>0</v>
      </c>
      <c r="I70" s="282">
        <v>0</v>
      </c>
      <c r="J70" s="282">
        <v>0</v>
      </c>
      <c r="K70" s="282">
        <v>0</v>
      </c>
      <c r="L70" s="282">
        <v>0</v>
      </c>
      <c r="M70" s="282">
        <v>0</v>
      </c>
      <c r="N70" s="282">
        <v>0</v>
      </c>
      <c r="O70" s="282">
        <v>0</v>
      </c>
      <c r="P70" s="282">
        <v>0</v>
      </c>
      <c r="Q70" s="282">
        <v>0</v>
      </c>
      <c r="R70" s="282">
        <v>0</v>
      </c>
      <c r="S70" s="282">
        <v>0</v>
      </c>
      <c r="T70" s="282">
        <v>0</v>
      </c>
      <c r="U70" s="282">
        <v>0</v>
      </c>
      <c r="V70" s="282">
        <v>0</v>
      </c>
      <c r="W70" s="282">
        <v>0</v>
      </c>
      <c r="X70" s="282">
        <v>0</v>
      </c>
      <c r="Y70" s="282">
        <v>0</v>
      </c>
      <c r="Z70" s="282">
        <v>0</v>
      </c>
      <c r="AA70" s="282">
        <v>0</v>
      </c>
      <c r="AB70" s="282">
        <v>0</v>
      </c>
      <c r="AC70" s="282">
        <v>0</v>
      </c>
      <c r="AD70" s="282">
        <v>0</v>
      </c>
      <c r="AE70" s="282">
        <v>0</v>
      </c>
      <c r="AF70" s="282">
        <v>0</v>
      </c>
      <c r="AG70" s="282">
        <v>0</v>
      </c>
      <c r="AH70" s="282">
        <v>0</v>
      </c>
      <c r="AI70" s="282">
        <v>0</v>
      </c>
      <c r="AJ70" s="282">
        <v>0</v>
      </c>
      <c r="AK70" s="282">
        <v>0</v>
      </c>
      <c r="AL70" s="284"/>
    </row>
    <row r="71" ht="16" customHeight="1">
      <c r="A71" s="12"/>
      <c r="B71" s="271"/>
      <c r="C71" s="272"/>
      <c r="D71" t="s" s="273">
        <v>447</v>
      </c>
      <c r="E71" s="274"/>
      <c r="F71" s="282">
        <v>0</v>
      </c>
      <c r="G71" s="282">
        <v>0</v>
      </c>
      <c r="H71" s="282">
        <v>0</v>
      </c>
      <c r="I71" s="282">
        <v>0</v>
      </c>
      <c r="J71" s="282">
        <v>0</v>
      </c>
      <c r="K71" s="282">
        <v>0</v>
      </c>
      <c r="L71" s="282">
        <v>0</v>
      </c>
      <c r="M71" s="282">
        <v>0</v>
      </c>
      <c r="N71" s="282">
        <v>0</v>
      </c>
      <c r="O71" s="282">
        <v>0</v>
      </c>
      <c r="P71" s="282">
        <v>0</v>
      </c>
      <c r="Q71" s="282">
        <v>0</v>
      </c>
      <c r="R71" s="282">
        <v>0</v>
      </c>
      <c r="S71" s="282">
        <v>0</v>
      </c>
      <c r="T71" s="282">
        <v>0</v>
      </c>
      <c r="U71" s="282">
        <v>0</v>
      </c>
      <c r="V71" s="282">
        <v>0</v>
      </c>
      <c r="W71" s="282">
        <v>0</v>
      </c>
      <c r="X71" s="282">
        <v>0</v>
      </c>
      <c r="Y71" s="282">
        <v>0</v>
      </c>
      <c r="Z71" s="282">
        <v>0</v>
      </c>
      <c r="AA71" s="282">
        <v>0</v>
      </c>
      <c r="AB71" s="282">
        <v>0</v>
      </c>
      <c r="AC71" s="282">
        <v>0</v>
      </c>
      <c r="AD71" s="282">
        <v>-160000</v>
      </c>
      <c r="AE71" s="282">
        <v>0</v>
      </c>
      <c r="AF71" s="282">
        <v>0</v>
      </c>
      <c r="AG71" s="282">
        <v>0</v>
      </c>
      <c r="AH71" s="282">
        <v>0</v>
      </c>
      <c r="AI71" s="282">
        <v>0</v>
      </c>
      <c r="AJ71" s="282">
        <v>0</v>
      </c>
      <c r="AK71" s="282">
        <v>0</v>
      </c>
      <c r="AL71" s="284"/>
    </row>
    <row r="72" ht="16" customHeight="1">
      <c r="A72" s="12"/>
      <c r="B72" s="271"/>
      <c r="C72" s="272"/>
      <c r="D72" t="s" s="273">
        <v>448</v>
      </c>
      <c r="E72" s="274"/>
      <c r="F72" s="282">
        <v>0</v>
      </c>
      <c r="G72" s="282">
        <v>0</v>
      </c>
      <c r="H72" s="282">
        <v>0</v>
      </c>
      <c r="I72" s="282">
        <v>0</v>
      </c>
      <c r="J72" s="282">
        <v>0</v>
      </c>
      <c r="K72" s="282">
        <v>0</v>
      </c>
      <c r="L72" s="282">
        <v>0</v>
      </c>
      <c r="M72" s="282">
        <v>0</v>
      </c>
      <c r="N72" s="282">
        <v>0</v>
      </c>
      <c r="O72" s="282">
        <v>0</v>
      </c>
      <c r="P72" s="282">
        <v>0</v>
      </c>
      <c r="Q72" s="282">
        <v>0</v>
      </c>
      <c r="R72" s="282">
        <v>0</v>
      </c>
      <c r="S72" s="282">
        <v>0</v>
      </c>
      <c r="T72" s="282">
        <v>0</v>
      </c>
      <c r="U72" s="282">
        <v>0</v>
      </c>
      <c r="V72" s="282">
        <v>0</v>
      </c>
      <c r="W72" s="282">
        <v>0</v>
      </c>
      <c r="X72" s="282">
        <v>0</v>
      </c>
      <c r="Y72" s="282">
        <v>0</v>
      </c>
      <c r="Z72" s="282">
        <v>0</v>
      </c>
      <c r="AA72" s="282">
        <v>0</v>
      </c>
      <c r="AB72" s="282">
        <v>0</v>
      </c>
      <c r="AC72" s="282">
        <v>0</v>
      </c>
      <c r="AD72" s="282">
        <v>0</v>
      </c>
      <c r="AE72" s="282">
        <v>0</v>
      </c>
      <c r="AF72" s="282">
        <v>0</v>
      </c>
      <c r="AG72" s="282">
        <v>0</v>
      </c>
      <c r="AH72" s="282">
        <v>0</v>
      </c>
      <c r="AI72" s="282">
        <v>0</v>
      </c>
      <c r="AJ72" s="282">
        <v>0</v>
      </c>
      <c r="AK72" s="282">
        <v>0</v>
      </c>
      <c r="AL72" s="284"/>
    </row>
    <row r="73" ht="16" customHeight="1">
      <c r="A73" s="12"/>
      <c r="B73" s="271"/>
      <c r="C73" s="272"/>
      <c r="D73" t="s" s="273">
        <v>449</v>
      </c>
      <c r="E73" s="274"/>
      <c r="F73" s="282">
        <v>0</v>
      </c>
      <c r="G73" s="282">
        <v>0</v>
      </c>
      <c r="H73" s="282">
        <v>0</v>
      </c>
      <c r="I73" s="282">
        <v>0</v>
      </c>
      <c r="J73" s="282">
        <v>0</v>
      </c>
      <c r="K73" s="282">
        <v>0</v>
      </c>
      <c r="L73" s="282">
        <v>0</v>
      </c>
      <c r="M73" s="282">
        <v>0</v>
      </c>
      <c r="N73" s="282">
        <v>0</v>
      </c>
      <c r="O73" s="282">
        <v>0</v>
      </c>
      <c r="P73" s="282">
        <v>0</v>
      </c>
      <c r="Q73" s="282">
        <v>0</v>
      </c>
      <c r="R73" s="282">
        <v>0</v>
      </c>
      <c r="S73" s="282">
        <v>0</v>
      </c>
      <c r="T73" s="282">
        <v>0</v>
      </c>
      <c r="U73" s="282">
        <v>0</v>
      </c>
      <c r="V73" s="282">
        <v>0</v>
      </c>
      <c r="W73" s="282">
        <v>0</v>
      </c>
      <c r="X73" s="282">
        <v>0</v>
      </c>
      <c r="Y73" s="282">
        <v>0</v>
      </c>
      <c r="Z73" s="282">
        <v>0</v>
      </c>
      <c r="AA73" s="282">
        <v>-30000</v>
      </c>
      <c r="AB73" s="282">
        <v>-100000</v>
      </c>
      <c r="AC73" s="282">
        <v>-100000</v>
      </c>
      <c r="AD73" s="282">
        <v>-100000</v>
      </c>
      <c r="AE73" s="282">
        <v>-100000</v>
      </c>
      <c r="AF73" s="282">
        <v>-100000</v>
      </c>
      <c r="AG73" s="282">
        <v>-100000</v>
      </c>
      <c r="AH73" s="282">
        <v>-100000</v>
      </c>
      <c r="AI73" s="282">
        <v>-100000</v>
      </c>
      <c r="AJ73" s="282">
        <v>-100000</v>
      </c>
      <c r="AK73" s="282">
        <v>-100000</v>
      </c>
      <c r="AL73" s="284"/>
    </row>
    <row r="74" ht="15" customHeight="1">
      <c r="A74" s="12"/>
      <c r="B74" s="285"/>
      <c r="C74" s="272"/>
      <c r="D74" s="300"/>
      <c r="E74" s="274" cm="1">
        <f t="array" ref="E74">50896.35*16272</f>
        <v>828185407.2</v>
      </c>
      <c r="F74" s="275"/>
      <c r="G74" s="275"/>
      <c r="H74" s="275"/>
      <c r="I74" s="275"/>
      <c r="J74" s="275"/>
      <c r="K74" s="275"/>
      <c r="L74" s="275"/>
      <c r="M74" s="275"/>
      <c r="N74" s="275"/>
      <c r="O74" s="275"/>
      <c r="P74" s="275"/>
      <c r="Q74" s="275"/>
      <c r="R74" s="275"/>
      <c r="S74" s="275"/>
      <c r="T74" s="275"/>
      <c r="U74" s="275"/>
      <c r="V74" s="275"/>
      <c r="W74" s="275"/>
      <c r="X74" s="275"/>
      <c r="Y74" s="275"/>
      <c r="Z74" s="275"/>
      <c r="AA74" s="275"/>
      <c r="AB74" s="275"/>
      <c r="AC74" s="275"/>
      <c r="AD74" s="275"/>
      <c r="AE74" s="275"/>
      <c r="AF74" s="275"/>
      <c r="AG74" s="275"/>
      <c r="AH74" s="275"/>
      <c r="AI74" s="275"/>
      <c r="AJ74" s="275"/>
      <c r="AK74" s="275"/>
      <c r="AL74" s="276"/>
    </row>
    <row r="75" ht="15" customHeight="1">
      <c r="A75" s="12"/>
      <c r="B75" t="s" s="291">
        <v>450</v>
      </c>
      <c r="C75" s="272"/>
      <c r="D75" s="300"/>
      <c r="E75" s="274"/>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4"/>
    </row>
    <row r="76" ht="16" customHeight="1">
      <c r="A76" s="12"/>
      <c r="B76" s="271"/>
      <c r="C76" s="272"/>
      <c r="D76" t="s" s="273">
        <v>451</v>
      </c>
      <c r="E76" s="274"/>
      <c r="F76" s="282">
        <v>0</v>
      </c>
      <c r="G76" s="282">
        <v>0</v>
      </c>
      <c r="H76" s="282">
        <v>0</v>
      </c>
      <c r="I76" s="282">
        <v>0</v>
      </c>
      <c r="J76" s="282">
        <v>0</v>
      </c>
      <c r="K76" s="282">
        <v>0</v>
      </c>
      <c r="L76" s="282">
        <v>0</v>
      </c>
      <c r="M76" s="282">
        <v>0</v>
      </c>
      <c r="N76" s="282">
        <v>0</v>
      </c>
      <c r="O76" s="282">
        <v>0</v>
      </c>
      <c r="P76" s="282">
        <v>0</v>
      </c>
      <c r="Q76" s="282">
        <v>0</v>
      </c>
      <c r="R76" s="282">
        <v>0</v>
      </c>
      <c r="S76" s="282">
        <v>0</v>
      </c>
      <c r="T76" s="282">
        <v>0</v>
      </c>
      <c r="U76" s="282">
        <v>0</v>
      </c>
      <c r="V76" s="282">
        <v>0</v>
      </c>
      <c r="W76" s="282">
        <v>0</v>
      </c>
      <c r="X76" s="282">
        <v>0</v>
      </c>
      <c r="Y76" s="282">
        <v>0</v>
      </c>
      <c r="Z76" s="282">
        <v>0</v>
      </c>
      <c r="AA76" s="282">
        <v>-250000</v>
      </c>
      <c r="AB76" s="282">
        <v>-400000</v>
      </c>
      <c r="AC76" s="282">
        <v>-400000</v>
      </c>
      <c r="AD76" s="282">
        <v>1200000</v>
      </c>
      <c r="AE76" s="282">
        <v>-400000</v>
      </c>
      <c r="AF76" s="282">
        <v>-400000</v>
      </c>
      <c r="AG76" s="282">
        <v>-400000</v>
      </c>
      <c r="AH76" s="282">
        <v>1200000</v>
      </c>
      <c r="AI76" s="282">
        <v>-400000</v>
      </c>
      <c r="AJ76" s="282">
        <v>-400000</v>
      </c>
      <c r="AK76" s="282">
        <v>-400000</v>
      </c>
      <c r="AL76" s="284"/>
    </row>
    <row r="77" ht="16" customHeight="1">
      <c r="A77" s="12"/>
      <c r="B77" s="271"/>
      <c r="C77" s="272"/>
      <c r="D77" t="s" s="273">
        <v>452</v>
      </c>
      <c r="E77" s="274"/>
      <c r="F77" s="282">
        <v>0</v>
      </c>
      <c r="G77" s="282">
        <v>0</v>
      </c>
      <c r="H77" s="282">
        <v>0</v>
      </c>
      <c r="I77" s="282">
        <v>0</v>
      </c>
      <c r="J77" s="282">
        <v>0</v>
      </c>
      <c r="K77" s="282">
        <v>0</v>
      </c>
      <c r="L77" s="282">
        <v>0</v>
      </c>
      <c r="M77" s="282">
        <v>0</v>
      </c>
      <c r="N77" s="282">
        <v>0</v>
      </c>
      <c r="O77" s="282">
        <v>0</v>
      </c>
      <c r="P77" s="282">
        <v>0</v>
      </c>
      <c r="Q77" s="282">
        <v>0</v>
      </c>
      <c r="R77" s="282">
        <v>0</v>
      </c>
      <c r="S77" s="282">
        <v>0</v>
      </c>
      <c r="T77" s="282">
        <v>0</v>
      </c>
      <c r="U77" s="282">
        <v>0</v>
      </c>
      <c r="V77" s="282">
        <v>0</v>
      </c>
      <c r="W77" s="282">
        <v>0</v>
      </c>
      <c r="X77" s="282">
        <v>0</v>
      </c>
      <c r="Y77" s="282">
        <v>0</v>
      </c>
      <c r="Z77" s="282">
        <v>0</v>
      </c>
      <c r="AA77" s="282">
        <v>0</v>
      </c>
      <c r="AB77" s="282">
        <v>0</v>
      </c>
      <c r="AC77" s="282">
        <v>0</v>
      </c>
      <c r="AD77" s="282">
        <v>0</v>
      </c>
      <c r="AE77" s="282">
        <v>0</v>
      </c>
      <c r="AF77" s="282">
        <v>0</v>
      </c>
      <c r="AG77" s="282">
        <v>0</v>
      </c>
      <c r="AH77" s="282">
        <v>0</v>
      </c>
      <c r="AI77" s="282">
        <v>0</v>
      </c>
      <c r="AJ77" s="282">
        <v>0</v>
      </c>
      <c r="AK77" s="282">
        <v>0</v>
      </c>
      <c r="AL77" s="284"/>
    </row>
    <row r="78" ht="16" customHeight="1">
      <c r="A78" s="12"/>
      <c r="B78" s="271"/>
      <c r="C78" s="272"/>
      <c r="D78" t="s" s="273">
        <v>453</v>
      </c>
      <c r="E78" s="274"/>
      <c r="F78" s="282">
        <v>0</v>
      </c>
      <c r="G78" s="282">
        <v>0</v>
      </c>
      <c r="H78" s="282">
        <v>0</v>
      </c>
      <c r="I78" s="282">
        <v>0</v>
      </c>
      <c r="J78" s="282">
        <v>0</v>
      </c>
      <c r="K78" s="282">
        <v>0</v>
      </c>
      <c r="L78" s="282">
        <v>0</v>
      </c>
      <c r="M78" s="282">
        <v>0</v>
      </c>
      <c r="N78" s="282">
        <v>0</v>
      </c>
      <c r="O78" s="282">
        <v>0</v>
      </c>
      <c r="P78" s="282">
        <v>0</v>
      </c>
      <c r="Q78" s="282">
        <v>0</v>
      </c>
      <c r="R78" s="282">
        <v>0</v>
      </c>
      <c r="S78" s="282">
        <v>0</v>
      </c>
      <c r="T78" s="282">
        <v>0</v>
      </c>
      <c r="U78" s="282">
        <v>0</v>
      </c>
      <c r="V78" s="282">
        <v>0</v>
      </c>
      <c r="W78" s="282">
        <v>0</v>
      </c>
      <c r="X78" s="282">
        <v>0</v>
      </c>
      <c r="Y78" s="282">
        <v>0</v>
      </c>
      <c r="Z78" s="282">
        <v>0</v>
      </c>
      <c r="AA78" s="282">
        <v>0</v>
      </c>
      <c r="AB78" s="282">
        <v>0</v>
      </c>
      <c r="AC78" s="282">
        <v>0</v>
      </c>
      <c r="AD78" s="282">
        <v>0</v>
      </c>
      <c r="AE78" s="282">
        <v>0</v>
      </c>
      <c r="AF78" s="282">
        <v>0</v>
      </c>
      <c r="AG78" s="282">
        <v>0</v>
      </c>
      <c r="AH78" s="282">
        <v>0</v>
      </c>
      <c r="AI78" s="282">
        <v>-31000</v>
      </c>
      <c r="AJ78" s="282">
        <v>0</v>
      </c>
      <c r="AK78" s="282">
        <v>0</v>
      </c>
      <c r="AL78" s="284"/>
    </row>
    <row r="79" ht="16" customHeight="1">
      <c r="A79" s="12"/>
      <c r="B79" s="271"/>
      <c r="C79" s="272"/>
      <c r="D79" t="s" s="273">
        <v>454</v>
      </c>
      <c r="E79" s="274"/>
      <c r="F79" s="282">
        <v>0</v>
      </c>
      <c r="G79" s="282">
        <v>0</v>
      </c>
      <c r="H79" s="282">
        <v>0</v>
      </c>
      <c r="I79" s="282">
        <v>0</v>
      </c>
      <c r="J79" s="282">
        <v>0</v>
      </c>
      <c r="K79" s="282">
        <v>0</v>
      </c>
      <c r="L79" s="282">
        <v>0</v>
      </c>
      <c r="M79" s="282">
        <v>0</v>
      </c>
      <c r="N79" s="282">
        <v>0</v>
      </c>
      <c r="O79" s="282">
        <v>0</v>
      </c>
      <c r="P79" s="282">
        <v>0</v>
      </c>
      <c r="Q79" s="282">
        <v>0</v>
      </c>
      <c r="R79" s="282">
        <v>0</v>
      </c>
      <c r="S79" s="282">
        <v>0</v>
      </c>
      <c r="T79" s="282">
        <v>0</v>
      </c>
      <c r="U79" s="282">
        <v>0</v>
      </c>
      <c r="V79" s="282">
        <v>0</v>
      </c>
      <c r="W79" s="282">
        <v>0</v>
      </c>
      <c r="X79" s="282">
        <v>0</v>
      </c>
      <c r="Y79" s="282">
        <v>0</v>
      </c>
      <c r="Z79" s="282">
        <v>0</v>
      </c>
      <c r="AA79" s="282">
        <v>0</v>
      </c>
      <c r="AB79" s="282">
        <v>0</v>
      </c>
      <c r="AC79" s="282">
        <v>0</v>
      </c>
      <c r="AD79" s="282">
        <v>0</v>
      </c>
      <c r="AE79" s="282">
        <v>0</v>
      </c>
      <c r="AF79" s="282">
        <v>0</v>
      </c>
      <c r="AG79" s="282">
        <v>0</v>
      </c>
      <c r="AH79" s="282">
        <v>0</v>
      </c>
      <c r="AI79" s="282">
        <v>-31000</v>
      </c>
      <c r="AJ79" s="282">
        <v>0</v>
      </c>
      <c r="AK79" s="282">
        <v>0</v>
      </c>
      <c r="AL79" s="284"/>
    </row>
    <row r="80" ht="16" customHeight="1">
      <c r="A80" s="12"/>
      <c r="B80" s="271"/>
      <c r="C80" s="272"/>
      <c r="D80" t="s" s="273">
        <v>455</v>
      </c>
      <c r="E80" s="274"/>
      <c r="F80" s="282">
        <v>0</v>
      </c>
      <c r="G80" s="282">
        <v>0</v>
      </c>
      <c r="H80" s="282">
        <v>0</v>
      </c>
      <c r="I80" s="282">
        <v>0</v>
      </c>
      <c r="J80" s="282">
        <v>0</v>
      </c>
      <c r="K80" s="282">
        <v>0</v>
      </c>
      <c r="L80" s="282">
        <v>0</v>
      </c>
      <c r="M80" s="282">
        <v>0</v>
      </c>
      <c r="N80" s="282">
        <v>0</v>
      </c>
      <c r="O80" s="282">
        <v>0</v>
      </c>
      <c r="P80" s="282">
        <v>0</v>
      </c>
      <c r="Q80" s="282">
        <v>0</v>
      </c>
      <c r="R80" s="282">
        <v>0</v>
      </c>
      <c r="S80" s="282">
        <v>0</v>
      </c>
      <c r="T80" s="282">
        <v>0</v>
      </c>
      <c r="U80" s="282">
        <v>0</v>
      </c>
      <c r="V80" s="282">
        <v>0</v>
      </c>
      <c r="W80" s="282">
        <v>0</v>
      </c>
      <c r="X80" s="282">
        <v>0</v>
      </c>
      <c r="Y80" s="282">
        <v>0</v>
      </c>
      <c r="Z80" s="282">
        <v>0</v>
      </c>
      <c r="AA80" s="282" cm="1">
        <f t="array" ref="AA80">-3*16272</f>
        <v>-48816</v>
      </c>
      <c r="AB80" s="282" cm="1">
        <f t="array" ref="AB80">-5*16272</f>
        <v>-81360</v>
      </c>
      <c r="AC80" s="282" cm="1">
        <f t="array" ref="AC80">-5*16272</f>
        <v>-81360</v>
      </c>
      <c r="AD80" s="282" cm="1">
        <f t="array" ref="AD80">-5*16272</f>
        <v>-81360</v>
      </c>
      <c r="AE80" s="282" cm="1">
        <f t="array" ref="AE80">-5*16272</f>
        <v>-81360</v>
      </c>
      <c r="AF80" s="282" cm="1">
        <f t="array" ref="AF80">-5*16272</f>
        <v>-81360</v>
      </c>
      <c r="AG80" s="282" cm="1">
        <f t="array" ref="AG80">-5*16272</f>
        <v>-81360</v>
      </c>
      <c r="AH80" s="282" cm="1">
        <f t="array" ref="AH80">-5*16272</f>
        <v>-81360</v>
      </c>
      <c r="AI80" s="282" cm="1">
        <f t="array" ref="AI80">-5*16272</f>
        <v>-81360</v>
      </c>
      <c r="AJ80" s="282" cm="1">
        <f t="array" ref="AJ80">-5*16272</f>
        <v>-81360</v>
      </c>
      <c r="AK80" s="282" cm="1">
        <f t="array" ref="AK80">-5*16272</f>
        <v>-81360</v>
      </c>
      <c r="AL80" s="284"/>
    </row>
    <row r="81" ht="16" customHeight="1">
      <c r="A81" s="12"/>
      <c r="B81" s="271"/>
      <c r="C81" s="272"/>
      <c r="D81" t="s" s="273">
        <v>456</v>
      </c>
      <c r="E81" s="274"/>
      <c r="F81" s="282">
        <v>0</v>
      </c>
      <c r="G81" s="282">
        <v>0</v>
      </c>
      <c r="H81" s="282">
        <v>0</v>
      </c>
      <c r="I81" s="282">
        <v>0</v>
      </c>
      <c r="J81" s="282">
        <v>0</v>
      </c>
      <c r="K81" s="282">
        <v>0</v>
      </c>
      <c r="L81" s="282">
        <v>0</v>
      </c>
      <c r="M81" s="282">
        <v>0</v>
      </c>
      <c r="N81" s="282">
        <v>0</v>
      </c>
      <c r="O81" s="282">
        <v>0</v>
      </c>
      <c r="P81" s="282">
        <v>0</v>
      </c>
      <c r="Q81" s="282">
        <v>0</v>
      </c>
      <c r="R81" s="282">
        <v>0</v>
      </c>
      <c r="S81" s="282">
        <v>0</v>
      </c>
      <c r="T81" s="282">
        <v>0</v>
      </c>
      <c r="U81" s="282">
        <v>0</v>
      </c>
      <c r="V81" s="282">
        <v>0</v>
      </c>
      <c r="W81" s="282">
        <v>0</v>
      </c>
      <c r="X81" s="282">
        <v>0</v>
      </c>
      <c r="Y81" s="282">
        <v>0</v>
      </c>
      <c r="Z81" s="282">
        <v>0</v>
      </c>
      <c r="AA81" s="282">
        <v>0</v>
      </c>
      <c r="AB81" s="282">
        <v>0</v>
      </c>
      <c r="AC81" s="282">
        <v>0</v>
      </c>
      <c r="AD81" s="282">
        <v>0</v>
      </c>
      <c r="AE81" s="282">
        <v>0</v>
      </c>
      <c r="AF81" s="282">
        <v>0</v>
      </c>
      <c r="AG81" s="282">
        <v>0</v>
      </c>
      <c r="AH81" s="282">
        <v>0</v>
      </c>
      <c r="AI81" s="282">
        <v>0</v>
      </c>
      <c r="AJ81" s="282">
        <v>0</v>
      </c>
      <c r="AK81" s="282">
        <v>0</v>
      </c>
      <c r="AL81" s="284"/>
    </row>
    <row r="82" ht="15" customHeight="1">
      <c r="A82" s="12"/>
      <c r="B82" s="285"/>
      <c r="C82" s="272"/>
      <c r="D82" s="300"/>
      <c r="E82" s="274" cm="1">
        <f t="array" ref="E82">50896.35*16272</f>
        <v>828185407.2</v>
      </c>
      <c r="F82" s="275"/>
      <c r="G82" s="275"/>
      <c r="H82" s="275"/>
      <c r="I82" s="275"/>
      <c r="J82" s="275"/>
      <c r="K82" s="275"/>
      <c r="L82" s="275"/>
      <c r="M82" s="275"/>
      <c r="N82" s="275"/>
      <c r="O82" s="275"/>
      <c r="P82" s="275"/>
      <c r="Q82" s="275"/>
      <c r="R82" s="275"/>
      <c r="S82" s="275"/>
      <c r="T82" s="275"/>
      <c r="U82" s="275"/>
      <c r="V82" s="275"/>
      <c r="W82" s="275"/>
      <c r="X82" s="275"/>
      <c r="Y82" s="275"/>
      <c r="Z82" s="275"/>
      <c r="AA82" s="275"/>
      <c r="AB82" s="275"/>
      <c r="AC82" s="275"/>
      <c r="AD82" s="275"/>
      <c r="AE82" s="275"/>
      <c r="AF82" s="275"/>
      <c r="AG82" s="275"/>
      <c r="AH82" s="275"/>
      <c r="AI82" s="275"/>
      <c r="AJ82" s="275"/>
      <c r="AK82" s="275"/>
      <c r="AL82" s="276"/>
    </row>
    <row r="83" ht="15" customHeight="1">
      <c r="A83" s="12"/>
      <c r="B83" t="s" s="291">
        <v>457</v>
      </c>
      <c r="C83" s="272"/>
      <c r="D83" s="300"/>
      <c r="E83" s="274"/>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4"/>
    </row>
    <row r="84" ht="16" customHeight="1">
      <c r="A84" s="12"/>
      <c r="B84" s="271"/>
      <c r="C84" s="272"/>
      <c r="D84" t="s" s="273">
        <v>458</v>
      </c>
      <c r="E84" s="274"/>
      <c r="F84" s="282"/>
      <c r="G84" s="282"/>
      <c r="H84" s="282"/>
      <c r="I84" s="282" cm="1">
        <f t="array" ref="I84">(D117-D116-D112-D113)/1000</f>
        <v>3600738.58364</v>
      </c>
      <c r="J84" s="282" cm="1">
        <f t="array" ref="J84">I86</f>
        <v>3600738.58364</v>
      </c>
      <c r="K84" s="282" cm="1">
        <f t="array" ref="K84">J86</f>
        <v>3600738.58364</v>
      </c>
      <c r="L84" s="282" cm="1">
        <f t="array" ref="L84">K86</f>
        <v>3600738.58364</v>
      </c>
      <c r="M84" s="282" cm="1">
        <f t="array" ref="M84">L86</f>
        <v>3600738.58364</v>
      </c>
      <c r="N84" s="282" cm="1">
        <f t="array" ref="N84">M86</f>
        <v>3600738.58364</v>
      </c>
      <c r="O84" s="282" cm="1">
        <f t="array" ref="O84">N86</f>
        <v>3600738.58364</v>
      </c>
      <c r="P84" s="282" cm="1">
        <f t="array" ref="P84">O86</f>
        <v>3600738.58364</v>
      </c>
      <c r="Q84" s="282" cm="1">
        <f t="array" ref="Q84">P86</f>
        <v>3600738.58364</v>
      </c>
      <c r="R84" s="282" cm="1">
        <f t="array" ref="R84">Q86</f>
        <v>3600738.58364</v>
      </c>
      <c r="S84" s="282" cm="1">
        <f t="array" ref="S84">R86</f>
        <v>3600738.58364</v>
      </c>
      <c r="T84" s="282" cm="1">
        <f t="array" ref="T84">S86</f>
        <v>3600738.58364</v>
      </c>
      <c r="U84" s="282" cm="1">
        <f t="array" ref="U84">T86</f>
        <v>3600738.58364</v>
      </c>
      <c r="V84" s="282" cm="1">
        <f t="array" ref="V84">U86</f>
        <v>3600738.58364</v>
      </c>
      <c r="W84" s="282" cm="1">
        <f t="array" ref="W84">V86</f>
        <v>3600738.58364</v>
      </c>
      <c r="X84" s="282" cm="1">
        <f t="array" ref="X84">W86</f>
        <v>3600738.58364</v>
      </c>
      <c r="Y84" s="282" cm="1">
        <f t="array" ref="Y84">X86</f>
        <v>3600738.58364</v>
      </c>
      <c r="Z84" s="282" cm="1">
        <f t="array" ref="Z84">Y86</f>
        <v>3600738.58364</v>
      </c>
      <c r="AA84" s="282" cm="1">
        <f t="array" ref="AA84">Z86</f>
        <v>3600738.58364</v>
      </c>
      <c r="AB84" s="282" cm="1">
        <f t="array" ref="AB84">AA86</f>
        <v>3370797.98035993</v>
      </c>
      <c r="AC84" s="282" cm="1">
        <f t="array" ref="AC84">AB86</f>
        <v>3088128.6176237</v>
      </c>
      <c r="AD84" s="282" cm="1">
        <f t="array" ref="AD84">AC86</f>
        <v>4955701.39309613</v>
      </c>
      <c r="AE84" s="282" cm="1">
        <f t="array" ref="AE84">AD86</f>
        <v>7688243.30401529</v>
      </c>
      <c r="AF84" s="282" cm="1">
        <f t="array" ref="AF84">AE86</f>
        <v>8756107.04201928</v>
      </c>
      <c r="AG84" s="282" cm="1">
        <f t="array" ref="AG84">AF86</f>
        <v>9800533.14503286</v>
      </c>
      <c r="AH84" s="282" cm="1">
        <f t="array" ref="AH84">AG86</f>
        <v>10384982.4114511</v>
      </c>
      <c r="AI84" s="282" cm="1">
        <f t="array" ref="AI84">AH86</f>
        <v>12080123.3739141</v>
      </c>
      <c r="AJ84" s="282" cm="1">
        <f t="array" ref="AJ84">AI86</f>
        <v>12549418.4571614</v>
      </c>
      <c r="AK84" s="282" cm="1">
        <f t="array" ref="AK84">AJ86</f>
        <v>12682949.849417</v>
      </c>
      <c r="AL84" s="284"/>
    </row>
    <row r="85" ht="16" customHeight="1">
      <c r="A85" s="12"/>
      <c r="B85" s="271"/>
      <c r="C85" s="272"/>
      <c r="D85" t="s" s="273">
        <v>459</v>
      </c>
      <c r="E85" s="274"/>
      <c r="F85" s="282"/>
      <c r="G85" s="282"/>
      <c r="H85" s="282"/>
      <c r="I85" s="282" cm="1">
        <f t="array" ref="I85">SUM(I11:I16,I21:I73,I76:I81)</f>
        <v>0</v>
      </c>
      <c r="J85" s="282" cm="1">
        <f t="array" ref="J85">SUM(J11:J16,J21:J73,J76:J81)</f>
        <v>0</v>
      </c>
      <c r="K85" s="282" cm="1">
        <f t="array" ref="K85">SUM(K11:K16,K21:K73,K76:K81)</f>
        <v>0</v>
      </c>
      <c r="L85" s="282">
        <v>0</v>
      </c>
      <c r="M85" s="282">
        <v>0</v>
      </c>
      <c r="N85" s="282">
        <v>0</v>
      </c>
      <c r="O85" s="282">
        <v>0</v>
      </c>
      <c r="P85" s="282">
        <v>0</v>
      </c>
      <c r="Q85" s="282">
        <v>0</v>
      </c>
      <c r="R85" s="282">
        <v>0</v>
      </c>
      <c r="S85" s="282">
        <v>0</v>
      </c>
      <c r="T85" s="282">
        <v>0</v>
      </c>
      <c r="U85" s="282">
        <v>0</v>
      </c>
      <c r="V85" s="282">
        <v>0</v>
      </c>
      <c r="W85" s="282" cm="1">
        <f t="array" ref="W85">W8*0/31+SUM(W11:W16,W21:W73,W76:W81)</f>
        <v>0</v>
      </c>
      <c r="X85" s="282">
        <v>0</v>
      </c>
      <c r="Y85" s="282">
        <v>0</v>
      </c>
      <c r="Z85" s="282">
        <v>0</v>
      </c>
      <c r="AA85" s="282" cm="1">
        <f t="array" ref="AA85">SUM(AA10:AA16,AA21:AA73,AA76:AA81)+AA8*10/28</f>
        <v>-229940.603280075</v>
      </c>
      <c r="AB85" s="282" cm="1">
        <f t="array" ref="AB85">SUM(AB8:AB16,AB21:AB73,AB76:AB81)</f>
        <v>-282669.362736228</v>
      </c>
      <c r="AC85" s="282" cm="1">
        <f t="array" ref="AC85">SUM(AC8:AC16,AC21:AC73,AC76:AC81)</f>
        <v>1867572.77547243</v>
      </c>
      <c r="AD85" s="282" cm="1">
        <f t="array" ref="AD85">SUM(AD8:AD16,AD21:AD73,AD76:AD81)</f>
        <v>2732541.91091916</v>
      </c>
      <c r="AE85" s="282" cm="1">
        <f t="array" ref="AE85">SUM(AE8:AE16,AE21:AE73,AE76:AE81)</f>
        <v>1067863.73800399</v>
      </c>
      <c r="AF85" s="282" cm="1">
        <f t="array" ref="AF85">SUM(AF8:AF16,AF21:AF73,AF76:AF81)</f>
        <v>1044426.10301358</v>
      </c>
      <c r="AG85" s="282" cm="1">
        <f t="array" ref="AG85">SUM(AG8:AG16,AG21:AG73,AG76:AG81)</f>
        <v>584449.26641821</v>
      </c>
      <c r="AH85" s="282" cm="1">
        <f t="array" ref="AH85">SUM(AH8:AH16,AH21:AH73,AH76:AH81)</f>
        <v>1695140.96246297</v>
      </c>
      <c r="AI85" s="282" cm="1">
        <f t="array" ref="AI85">SUM(AI8:AI16,AI21:AI73,AI76:AI81)</f>
        <v>469295.08324726</v>
      </c>
      <c r="AJ85" s="282" cm="1">
        <f t="array" ref="AJ85">SUM(AJ8:AJ16,AJ21:AJ73,AJ76:AJ81)</f>
        <v>133531.39225559</v>
      </c>
      <c r="AK85" s="282" cm="1">
        <f t="array" ref="AK85">SUM(AK8:AK16,AK21:AK73,AK76:AK81)</f>
        <v>-36889.094647617</v>
      </c>
      <c r="AL85" s="284"/>
    </row>
    <row r="86" ht="16" customHeight="1">
      <c r="A86" s="12"/>
      <c r="B86" s="271"/>
      <c r="C86" s="272"/>
      <c r="D86" t="s" s="273">
        <v>460</v>
      </c>
      <c r="E86" s="274"/>
      <c r="F86" s="282"/>
      <c r="G86" s="282"/>
      <c r="H86" s="282"/>
      <c r="I86" s="282" cm="1">
        <f t="array" ref="I86">SUM(I84:I85)</f>
        <v>3600738.58364</v>
      </c>
      <c r="J86" s="282" cm="1">
        <f t="array" ref="J86">SUM(J84:J85)</f>
        <v>3600738.58364</v>
      </c>
      <c r="K86" s="282" cm="1">
        <f t="array" ref="K86">SUM(K84:K85)</f>
        <v>3600738.58364</v>
      </c>
      <c r="L86" s="282" cm="1">
        <f t="array" ref="L86">SUM(L84:L85)</f>
        <v>3600738.58364</v>
      </c>
      <c r="M86" s="282" cm="1">
        <f t="array" ref="M86">SUM(M84:M85)</f>
        <v>3600738.58364</v>
      </c>
      <c r="N86" s="282" cm="1">
        <f t="array" ref="N86">SUM(N84:N85)</f>
        <v>3600738.58364</v>
      </c>
      <c r="O86" s="282" cm="1">
        <f t="array" ref="O86">SUM(O84:O85)</f>
        <v>3600738.58364</v>
      </c>
      <c r="P86" s="282" cm="1">
        <f t="array" ref="P86">SUM(P84:P85)</f>
        <v>3600738.58364</v>
      </c>
      <c r="Q86" s="282" cm="1">
        <f t="array" ref="Q86">SUM(Q84:Q85)</f>
        <v>3600738.58364</v>
      </c>
      <c r="R86" s="282" cm="1">
        <f t="array" ref="R86">SUM(R84:R85)</f>
        <v>3600738.58364</v>
      </c>
      <c r="S86" s="282" cm="1">
        <f t="array" ref="S86">SUM(S84:S85)</f>
        <v>3600738.58364</v>
      </c>
      <c r="T86" s="282" cm="1">
        <f t="array" ref="T86">SUM(T84:T85)</f>
        <v>3600738.58364</v>
      </c>
      <c r="U86" s="282" cm="1">
        <f t="array" ref="U86">SUM(U84:U85)</f>
        <v>3600738.58364</v>
      </c>
      <c r="V86" s="282" cm="1">
        <f t="array" ref="V86">SUM(V84:V85)</f>
        <v>3600738.58364</v>
      </c>
      <c r="W86" s="282" cm="1">
        <f t="array" ref="W86">SUM(W84:W85)</f>
        <v>3600738.58364</v>
      </c>
      <c r="X86" s="282" cm="1">
        <f t="array" ref="X86">SUM(X84:X85)</f>
        <v>3600738.58364</v>
      </c>
      <c r="Y86" s="282" cm="1">
        <f t="array" ref="Y86">SUM(Y84:Y85)</f>
        <v>3600738.58364</v>
      </c>
      <c r="Z86" s="282" cm="1">
        <f t="array" ref="Z86">SUM(Z84:Z85)</f>
        <v>3600738.58364</v>
      </c>
      <c r="AA86" s="282" cm="1">
        <f t="array" ref="AA86">SUM(AA84:AA85)</f>
        <v>3370797.98035993</v>
      </c>
      <c r="AB86" s="282" cm="1">
        <f t="array" ref="AB86">SUM(AB84:AB85)</f>
        <v>3088128.6176237</v>
      </c>
      <c r="AC86" s="282" cm="1">
        <f t="array" ref="AC86">SUM(AC84:AC85)</f>
        <v>4955701.39309613</v>
      </c>
      <c r="AD86" s="282" cm="1">
        <f t="array" ref="AD86">SUM(AD84:AD85)</f>
        <v>7688243.30401529</v>
      </c>
      <c r="AE86" s="282" cm="1">
        <f t="array" ref="AE86">SUM(AE84:AE85)</f>
        <v>8756107.04201928</v>
      </c>
      <c r="AF86" s="282" cm="1">
        <f t="array" ref="AF86">SUM(AF84:AF85)</f>
        <v>9800533.14503286</v>
      </c>
      <c r="AG86" s="282" cm="1">
        <f t="array" ref="AG86">SUM(AG84:AG85)</f>
        <v>10384982.4114511</v>
      </c>
      <c r="AH86" s="282" cm="1">
        <f t="array" ref="AH86">SUM(AH84:AH85)</f>
        <v>12080123.3739141</v>
      </c>
      <c r="AI86" s="282" cm="1">
        <f t="array" ref="AI86">SUM(AI84:AI85)</f>
        <v>12549418.4571614</v>
      </c>
      <c r="AJ86" s="282" cm="1">
        <f t="array" ref="AJ86">SUM(AJ84:AJ85)</f>
        <v>12682949.849417</v>
      </c>
      <c r="AK86" s="282" cm="1">
        <f t="array" ref="AK86">SUM(AK84:AK85)</f>
        <v>12646060.7547694</v>
      </c>
      <c r="AL86" s="284"/>
    </row>
    <row r="87" ht="15" customHeight="1">
      <c r="A87" s="12"/>
      <c r="B87" s="285"/>
      <c r="C87" s="272"/>
      <c r="D87" s="300"/>
      <c r="E87" s="274" cm="1">
        <f t="array" ref="E87">50896.35*16272</f>
        <v>828185407.2</v>
      </c>
      <c r="F87" s="275"/>
      <c r="G87" s="275"/>
      <c r="H87" s="275"/>
      <c r="I87" s="275"/>
      <c r="J87" s="275"/>
      <c r="K87" s="275"/>
      <c r="L87" s="275"/>
      <c r="M87" s="275"/>
      <c r="N87" s="275"/>
      <c r="O87" s="275"/>
      <c r="P87" s="275"/>
      <c r="Q87" s="275"/>
      <c r="R87" s="275"/>
      <c r="S87" s="275"/>
      <c r="T87" s="275"/>
      <c r="U87" s="275"/>
      <c r="V87" s="275"/>
      <c r="W87" s="275"/>
      <c r="X87" s="275"/>
      <c r="Y87" s="275"/>
      <c r="Z87" s="275"/>
      <c r="AA87" s="275"/>
      <c r="AB87" s="275"/>
      <c r="AC87" s="275"/>
      <c r="AD87" s="275"/>
      <c r="AE87" s="275"/>
      <c r="AF87" s="275"/>
      <c r="AG87" s="275"/>
      <c r="AH87" s="275"/>
      <c r="AI87" s="275"/>
      <c r="AJ87" s="275"/>
      <c r="AK87" s="275"/>
      <c r="AL87" s="276"/>
    </row>
    <row r="88" ht="15" customHeight="1">
      <c r="A88" s="12"/>
      <c r="B88" t="s" s="291">
        <v>461</v>
      </c>
      <c r="C88" s="272"/>
      <c r="D88" s="300"/>
      <c r="E88" s="274"/>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4"/>
    </row>
    <row r="89" ht="15" customHeight="1">
      <c r="A89" s="12"/>
      <c r="B89" s="271"/>
      <c r="C89" s="272"/>
      <c r="D89" t="s" s="273">
        <v>462</v>
      </c>
      <c r="E89" s="274"/>
      <c r="F89" s="282"/>
      <c r="G89" s="282"/>
      <c r="H89" s="282"/>
      <c r="I89" s="304">
        <v>-2000000</v>
      </c>
      <c r="J89" s="304">
        <v>-2000000</v>
      </c>
      <c r="K89" s="304">
        <v>-2000000</v>
      </c>
      <c r="L89" s="304">
        <v>-2000000</v>
      </c>
      <c r="M89" s="304">
        <v>-2000000</v>
      </c>
      <c r="N89" s="304">
        <v>-2000000</v>
      </c>
      <c r="O89" s="304">
        <v>-2000000</v>
      </c>
      <c r="P89" s="304">
        <v>-2000000</v>
      </c>
      <c r="Q89" s="304">
        <v>-2000000</v>
      </c>
      <c r="R89" s="304">
        <v>-2000000</v>
      </c>
      <c r="S89" s="304">
        <v>-2000000</v>
      </c>
      <c r="T89" s="304">
        <v>-2000000</v>
      </c>
      <c r="U89" s="304">
        <v>-2000000</v>
      </c>
      <c r="V89" s="304">
        <v>-2000000</v>
      </c>
      <c r="W89" s="304">
        <v>-2000000</v>
      </c>
      <c r="X89" s="304">
        <v>-2000000</v>
      </c>
      <c r="Y89" s="304">
        <v>-2000000</v>
      </c>
      <c r="Z89" s="304">
        <v>-2000000</v>
      </c>
      <c r="AA89" s="304">
        <v>-2000000</v>
      </c>
      <c r="AB89" s="304">
        <v>-2000000</v>
      </c>
      <c r="AC89" s="304">
        <v>-3000000</v>
      </c>
      <c r="AD89" s="304">
        <v>-3000000</v>
      </c>
      <c r="AE89" s="304">
        <v>-3000000</v>
      </c>
      <c r="AF89" s="304">
        <v>-3000000</v>
      </c>
      <c r="AG89" s="304">
        <v>-3000000</v>
      </c>
      <c r="AH89" s="304">
        <v>-3000000</v>
      </c>
      <c r="AI89" s="304">
        <v>-3000000</v>
      </c>
      <c r="AJ89" s="304">
        <v>-3000000</v>
      </c>
      <c r="AK89" s="304">
        <v>-3000000</v>
      </c>
      <c r="AL89" s="284"/>
    </row>
    <row r="90" ht="15.5" customHeight="1">
      <c r="A90" s="12"/>
      <c r="B90" s="271"/>
      <c r="C90" s="272"/>
      <c r="D90" t="s" s="305">
        <v>463</v>
      </c>
      <c r="E90" s="274"/>
      <c r="F90" s="282"/>
      <c r="G90" s="282"/>
      <c r="H90" s="282"/>
      <c r="I90" s="306" cm="1">
        <f t="array" ref="I90">SUM(I86:I89)</f>
        <v>1600738.58364</v>
      </c>
      <c r="J90" s="306" cm="1">
        <f t="array" ref="J90">SUM(J86:J89)</f>
        <v>1600738.58364</v>
      </c>
      <c r="K90" s="306" cm="1">
        <f t="array" ref="K90">SUM(K86:K89)</f>
        <v>1600738.58364</v>
      </c>
      <c r="L90" s="306" cm="1">
        <f t="array" ref="L90">SUM(L86:L89)</f>
        <v>1600738.58364</v>
      </c>
      <c r="M90" s="306" cm="1">
        <f t="array" ref="M90">SUM(M86:M89)</f>
        <v>1600738.58364</v>
      </c>
      <c r="N90" s="306" cm="1">
        <f t="array" ref="N90">SUM(N86:N89)</f>
        <v>1600738.58364</v>
      </c>
      <c r="O90" s="306" cm="1">
        <f t="array" ref="O90">SUM(O86:O89)</f>
        <v>1600738.58364</v>
      </c>
      <c r="P90" s="306" cm="1">
        <f t="array" ref="P90">SUM(P86:P89)</f>
        <v>1600738.58364</v>
      </c>
      <c r="Q90" s="306" cm="1">
        <f t="array" ref="Q90">SUM(Q86:Q89)</f>
        <v>1600738.58364</v>
      </c>
      <c r="R90" s="306" cm="1">
        <f t="array" ref="R90">SUM(R86:R89)</f>
        <v>1600738.58364</v>
      </c>
      <c r="S90" s="306" cm="1">
        <f t="array" ref="S90">SUM(S86:S89)</f>
        <v>1600738.58364</v>
      </c>
      <c r="T90" s="306" cm="1">
        <f t="array" ref="T90">SUM(T86:T89)</f>
        <v>1600738.58364</v>
      </c>
      <c r="U90" s="306" cm="1">
        <f t="array" ref="U90">SUM(U86:U89)</f>
        <v>1600738.58364</v>
      </c>
      <c r="V90" s="306" cm="1">
        <f t="array" ref="V90">SUM(V86:V89)</f>
        <v>1600738.58364</v>
      </c>
      <c r="W90" s="306" cm="1">
        <f t="array" ref="W90">SUM(W86:W89)</f>
        <v>1600738.58364</v>
      </c>
      <c r="X90" s="306" cm="1">
        <f t="array" ref="X90">SUM(X86:X89)</f>
        <v>1600738.58364</v>
      </c>
      <c r="Y90" s="306" cm="1">
        <f t="array" ref="Y90">SUM(Y86:Y89)</f>
        <v>1600738.58364</v>
      </c>
      <c r="Z90" s="306" cm="1">
        <f t="array" ref="Z90">SUM(Z86:Z89)</f>
        <v>1600738.58364</v>
      </c>
      <c r="AA90" s="306" cm="1">
        <f t="array" ref="AA90">SUM(AA86:AA89)</f>
        <v>1370797.98035993</v>
      </c>
      <c r="AB90" s="306" cm="1">
        <f t="array" ref="AB90">SUM(AB86:AB89)</f>
        <v>1088128.6176237</v>
      </c>
      <c r="AC90" s="306" cm="1">
        <f t="array" ref="AC90">SUM(AC86:AC89)</f>
        <v>1955701.39309613</v>
      </c>
      <c r="AD90" s="306" cm="1">
        <f t="array" ref="AD90">SUM(AD86:AD89)</f>
        <v>4688243.30401529</v>
      </c>
      <c r="AE90" s="306" cm="1">
        <f t="array" ref="AE90">SUM(AE86:AE89)</f>
        <v>5756107.04201928</v>
      </c>
      <c r="AF90" s="306" cm="1">
        <f t="array" ref="AF90">SUM(AF86:AF89)</f>
        <v>6800533.14503286</v>
      </c>
      <c r="AG90" s="306" cm="1">
        <f t="array" ref="AG90">SUM(AG86:AG89)</f>
        <v>7384982.4114511</v>
      </c>
      <c r="AH90" s="306" cm="1">
        <f t="array" ref="AH90">SUM(AH86:AH89)</f>
        <v>9080123.3739141</v>
      </c>
      <c r="AI90" s="306" cm="1">
        <f t="array" ref="AI90">SUM(AI86:AI89)</f>
        <v>9549418.4571614</v>
      </c>
      <c r="AJ90" s="306" cm="1">
        <f t="array" ref="AJ90">SUM(AJ86:AJ89)</f>
        <v>9682949.849416999</v>
      </c>
      <c r="AK90" s="306" cm="1">
        <f t="array" ref="AK90">SUM(AK86:AK89)</f>
        <v>9646060.7547694</v>
      </c>
      <c r="AL90" s="284"/>
    </row>
    <row r="91" ht="15.5" customHeight="1">
      <c r="A91" s="12"/>
      <c r="B91" s="307"/>
      <c r="C91" s="308"/>
      <c r="D91" s="309"/>
      <c r="E91" s="310" cm="1">
        <f t="array" ref="E91">50896.35*16272</f>
        <v>828185407.2</v>
      </c>
      <c r="F91" s="311"/>
      <c r="G91" s="311"/>
      <c r="H91" s="311"/>
      <c r="I91" s="311"/>
      <c r="J91" s="311"/>
      <c r="K91" s="311"/>
      <c r="L91" s="311"/>
      <c r="M91" s="311"/>
      <c r="N91" s="311"/>
      <c r="O91" s="311"/>
      <c r="P91" s="311"/>
      <c r="Q91" s="311"/>
      <c r="R91" s="311"/>
      <c r="S91" s="311"/>
      <c r="T91" s="311"/>
      <c r="U91" s="311"/>
      <c r="V91" s="311"/>
      <c r="W91" s="311"/>
      <c r="X91" s="311"/>
      <c r="Y91" s="311"/>
      <c r="Z91" s="311"/>
      <c r="AA91" s="311"/>
      <c r="AB91" s="311"/>
      <c r="AC91" s="311"/>
      <c r="AD91" s="311"/>
      <c r="AE91" s="311"/>
      <c r="AF91" s="311"/>
      <c r="AG91" s="311"/>
      <c r="AH91" s="311"/>
      <c r="AI91" s="311"/>
      <c r="AJ91" s="311"/>
      <c r="AK91" s="311"/>
      <c r="AL91" s="312"/>
    </row>
    <row r="92" ht="15.5" customHeight="1">
      <c r="A92" s="32"/>
      <c r="B92" s="33"/>
      <c r="C92" s="33"/>
      <c r="D92" s="33"/>
      <c r="E92" s="33"/>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313"/>
    </row>
    <row r="93" ht="15.5" customHeight="1">
      <c r="A93" s="12"/>
      <c r="B93" t="s" s="314">
        <v>464</v>
      </c>
      <c r="C93" s="315"/>
      <c r="D93" s="316">
        <v>46072</v>
      </c>
      <c r="E93" s="317"/>
      <c r="F93" s="16"/>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8"/>
    </row>
    <row r="94" ht="16" customHeight="1">
      <c r="A94" s="12"/>
      <c r="B94" s="318"/>
      <c r="C94" s="319"/>
      <c r="D94" s="319"/>
      <c r="E94" s="320"/>
      <c r="F94" s="16"/>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8"/>
    </row>
    <row r="95" ht="16" customHeight="1">
      <c r="A95" s="12"/>
      <c r="B95" t="s" s="321">
        <v>465</v>
      </c>
      <c r="C95" s="322"/>
      <c r="D95" s="323">
        <v>232275762.59</v>
      </c>
      <c r="E95" s="320"/>
      <c r="F95" s="16"/>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8"/>
    </row>
    <row r="96" ht="16" customHeight="1">
      <c r="A96" s="12"/>
      <c r="B96" t="s" s="321">
        <v>466</v>
      </c>
      <c r="C96" s="322"/>
      <c r="D96" s="323" cm="1">
        <f t="array" ref="D96">10355208</f>
        <v>10355208</v>
      </c>
      <c r="E96" s="320"/>
      <c r="F96" s="16"/>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8"/>
    </row>
    <row r="97" ht="16" customHeight="1">
      <c r="A97" s="12"/>
      <c r="B97" t="s" s="321">
        <v>467</v>
      </c>
      <c r="C97" s="322"/>
      <c r="D97" s="323">
        <v>8311797</v>
      </c>
      <c r="E97" s="320"/>
      <c r="F97" s="16"/>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8"/>
    </row>
    <row r="98" ht="16" customHeight="1">
      <c r="A98" s="12"/>
      <c r="B98" t="s" s="321">
        <v>468</v>
      </c>
      <c r="C98" s="322"/>
      <c r="D98" s="323">
        <v>9900263</v>
      </c>
      <c r="E98" s="320"/>
      <c r="F98" s="16"/>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8"/>
    </row>
    <row r="99" ht="16" customHeight="1">
      <c r="A99" s="12"/>
      <c r="B99" t="s" s="321">
        <v>469</v>
      </c>
      <c r="C99" s="322"/>
      <c r="D99" s="323">
        <v>9899604</v>
      </c>
      <c r="E99" s="320"/>
      <c r="F99" s="16"/>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8"/>
    </row>
    <row r="100" ht="16" customHeight="1">
      <c r="A100" s="12"/>
      <c r="B100" t="s" s="321">
        <v>470</v>
      </c>
      <c r="C100" s="322"/>
      <c r="D100" s="323" cm="1">
        <f t="array" ref="D100">23048571</f>
        <v>23048571</v>
      </c>
      <c r="E100" s="320"/>
      <c r="F100" s="16"/>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8"/>
    </row>
    <row r="101" ht="16" customHeight="1">
      <c r="A101" s="12"/>
      <c r="B101" t="s" s="321">
        <v>471</v>
      </c>
      <c r="C101" s="322"/>
      <c r="D101" s="323">
        <v>2582014286</v>
      </c>
      <c r="E101" s="320"/>
      <c r="F101" s="16"/>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8"/>
    </row>
    <row r="102" ht="16" customHeight="1">
      <c r="A102" s="12"/>
      <c r="B102" t="s" s="321">
        <v>472</v>
      </c>
      <c r="C102" s="322"/>
      <c r="D102" s="323" cm="1">
        <f t="array" ref="D102">7281.79*16895</f>
        <v>123025842.05</v>
      </c>
      <c r="E102" s="320"/>
      <c r="F102" s="16"/>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8"/>
    </row>
    <row r="103" ht="16" customHeight="1">
      <c r="A103" s="12"/>
      <c r="B103" t="s" s="321">
        <v>473</v>
      </c>
      <c r="C103" s="322"/>
      <c r="D103" s="323">
        <v>277347750</v>
      </c>
      <c r="E103" s="320"/>
      <c r="F103" s="16"/>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8"/>
    </row>
    <row r="104" ht="16" customHeight="1">
      <c r="A104" s="12"/>
      <c r="B104" t="s" s="321">
        <v>474</v>
      </c>
      <c r="C104" s="322"/>
      <c r="D104" s="323">
        <v>0</v>
      </c>
      <c r="E104" s="320"/>
      <c r="F104" s="16"/>
      <c r="G104" s="324"/>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8"/>
    </row>
    <row r="105" ht="16" customHeight="1">
      <c r="A105" s="12"/>
      <c r="B105" t="s" s="321">
        <v>475</v>
      </c>
      <c r="C105" s="322"/>
      <c r="D105" s="323">
        <v>303551500</v>
      </c>
      <c r="E105" s="320"/>
      <c r="F105" s="16"/>
      <c r="G105" s="324"/>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8"/>
    </row>
    <row r="106" ht="16" customHeight="1">
      <c r="A106" s="12"/>
      <c r="B106" t="s" s="321">
        <v>476</v>
      </c>
      <c r="C106" s="322"/>
      <c r="D106" s="323">
        <v>2780000</v>
      </c>
      <c r="E106" s="320"/>
      <c r="F106" s="16"/>
      <c r="G106" s="324"/>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8"/>
    </row>
    <row r="107" ht="16" customHeight="1">
      <c r="A107" s="12"/>
      <c r="B107" t="s" s="321">
        <v>477</v>
      </c>
      <c r="C107" s="322"/>
      <c r="D107" s="323">
        <v>15048000</v>
      </c>
      <c r="E107" s="320"/>
      <c r="F107" s="16"/>
      <c r="G107" s="324"/>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8"/>
    </row>
    <row r="108" ht="16" customHeight="1">
      <c r="A108" s="12"/>
      <c r="B108" t="s" s="321">
        <v>478</v>
      </c>
      <c r="C108" s="322"/>
      <c r="D108" s="323">
        <v>31600000</v>
      </c>
      <c r="E108" s="320"/>
      <c r="F108" s="16"/>
      <c r="G108" s="324"/>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8"/>
    </row>
    <row r="109" ht="16" customHeight="1">
      <c r="A109" s="12"/>
      <c r="B109" t="s" s="321">
        <v>479</v>
      </c>
      <c r="C109" s="322"/>
      <c r="D109" s="323">
        <v>18200000</v>
      </c>
      <c r="E109" s="320"/>
      <c r="F109" s="16"/>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8"/>
    </row>
    <row r="110" ht="16" customHeight="1">
      <c r="A110" s="12"/>
      <c r="B110" t="s" s="321">
        <v>480</v>
      </c>
      <c r="C110" s="322"/>
      <c r="D110" s="323">
        <v>3380000</v>
      </c>
      <c r="E110" s="320"/>
      <c r="F110" s="16"/>
      <c r="G110" s="324"/>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8"/>
    </row>
    <row r="111" ht="16" customHeight="1">
      <c r="A111" s="12"/>
      <c r="B111" t="s" s="321">
        <v>481</v>
      </c>
      <c r="C111" s="322"/>
      <c r="D111" s="323">
        <v>0</v>
      </c>
      <c r="E111" s="320"/>
      <c r="F111" s="16"/>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8"/>
    </row>
    <row r="112" ht="16" customHeight="1">
      <c r="A112" s="12"/>
      <c r="B112" t="s" s="321">
        <v>482</v>
      </c>
      <c r="C112" s="322"/>
      <c r="D112" s="323">
        <v>0</v>
      </c>
      <c r="E112" s="320"/>
      <c r="F112" s="16"/>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8"/>
    </row>
    <row r="113" ht="16" customHeight="1">
      <c r="A113" s="12"/>
      <c r="B113" t="s" s="321">
        <v>483</v>
      </c>
      <c r="C113" s="322"/>
      <c r="D113" s="323" cm="1">
        <f t="array" ref="D113">-500000000</f>
        <v>-500000000</v>
      </c>
      <c r="E113" s="320"/>
      <c r="F113" s="16"/>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8"/>
    </row>
    <row r="114" ht="16" customHeight="1">
      <c r="A114" s="12"/>
      <c r="B114" t="s" s="321">
        <v>484</v>
      </c>
      <c r="C114" s="322"/>
      <c r="D114" s="323">
        <v>0</v>
      </c>
      <c r="E114" s="320"/>
      <c r="F114" s="16"/>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8"/>
    </row>
    <row r="115" ht="16" customHeight="1">
      <c r="A115" s="12"/>
      <c r="B115" t="s" s="321">
        <v>485</v>
      </c>
      <c r="C115" s="322"/>
      <c r="D115" s="323">
        <v>-50000000</v>
      </c>
      <c r="E115" s="320"/>
      <c r="F115" s="16"/>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8"/>
    </row>
    <row r="116" ht="16" customHeight="1">
      <c r="A116" s="12"/>
      <c r="B116" t="s" s="321">
        <v>486</v>
      </c>
      <c r="C116" s="322"/>
      <c r="D116" s="325" cm="1">
        <f t="array" ref="D116">-(D151-300000000)*0.75</f>
        <v>-955724362.5</v>
      </c>
      <c r="E116" s="320"/>
      <c r="F116" s="16"/>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8"/>
    </row>
    <row r="117" ht="15.5" customHeight="1">
      <c r="A117" s="12"/>
      <c r="B117" t="s" s="326">
        <v>487</v>
      </c>
      <c r="C117" s="327"/>
      <c r="D117" s="328" cm="1">
        <f t="array" ref="D117">SUM(D95:D116)</f>
        <v>2145014221.14</v>
      </c>
      <c r="E117" s="320"/>
      <c r="F117" s="16"/>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8"/>
    </row>
    <row r="118" ht="15.5" customHeight="1">
      <c r="A118" s="12"/>
      <c r="B118" s="329"/>
      <c r="C118" s="330"/>
      <c r="D118" s="331"/>
      <c r="E118" s="332"/>
      <c r="F118" s="16"/>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8"/>
    </row>
    <row r="119" ht="15.5" customHeight="1">
      <c r="A119" s="32"/>
      <c r="B119" s="33"/>
      <c r="C119" s="33"/>
      <c r="D119" s="33"/>
      <c r="E119" s="33"/>
      <c r="F119" s="17"/>
      <c r="G119" s="35"/>
      <c r="H119" s="35"/>
      <c r="I119" s="35"/>
      <c r="J119" s="35"/>
      <c r="K119" s="35"/>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8"/>
    </row>
    <row r="120" ht="15.5" customHeight="1">
      <c r="A120" s="12"/>
      <c r="B120" t="s" s="333">
        <v>390</v>
      </c>
      <c r="C120" s="248"/>
      <c r="D120" t="s" s="334">
        <v>488</v>
      </c>
      <c r="E120" s="335"/>
      <c r="F120" s="71"/>
      <c r="G120" t="s" s="336">
        <v>489</v>
      </c>
      <c r="H120" s="337"/>
      <c r="I120" s="337"/>
      <c r="J120" s="337"/>
      <c r="K120" s="338"/>
      <c r="L120" s="16"/>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8"/>
    </row>
    <row r="121" ht="15" customHeight="1">
      <c r="A121" s="12"/>
      <c r="B121" t="s" s="339">
        <v>490</v>
      </c>
      <c r="C121" s="340"/>
      <c r="D121" s="341" cm="1">
        <f t="array" ref="D121">2926434.577+SUM(H8:M8)</f>
        <v>11617815.34118</v>
      </c>
      <c r="E121" s="342"/>
      <c r="F121" s="71"/>
      <c r="G121" s="343"/>
      <c r="H121" t="s" s="344">
        <v>491</v>
      </c>
      <c r="I121" t="s" s="344">
        <v>492</v>
      </c>
      <c r="J121" t="s" s="344">
        <v>492</v>
      </c>
      <c r="K121" s="345"/>
      <c r="L121" s="16"/>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8"/>
    </row>
    <row r="122" ht="16" customHeight="1">
      <c r="A122" s="12"/>
      <c r="B122" t="s" s="339">
        <v>493</v>
      </c>
      <c r="C122" s="346"/>
      <c r="D122" s="341" cm="1">
        <f t="array" ref="D122">D121*15%</f>
        <v>1742672.301177</v>
      </c>
      <c r="E122" s="342"/>
      <c r="F122" s="71"/>
      <c r="G122" t="s" s="339">
        <v>494</v>
      </c>
      <c r="H122" s="347" cm="1">
        <f t="array" ref="H122">H126-H123</f>
        <v>-800000</v>
      </c>
      <c r="I122" s="348" cm="1">
        <f t="array" ref="I122">(100%-SUM($I$124:$I$125))*H122/$H$126</f>
      </c>
      <c r="J122" s="348" cm="1">
        <f t="array" ref="J122">(100%-SUM($J$124:$J$125))*I122/($I$122+$I$123)</f>
      </c>
      <c r="K122" s="342"/>
      <c r="L122" s="16"/>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8"/>
    </row>
    <row r="123" ht="16" customHeight="1">
      <c r="A123" s="12"/>
      <c r="B123" t="s" s="339">
        <v>495</v>
      </c>
      <c r="C123" s="346"/>
      <c r="D123" s="349">
        <v>0</v>
      </c>
      <c r="E123" s="342"/>
      <c r="F123" s="71"/>
      <c r="G123" t="s" s="339">
        <v>496</v>
      </c>
      <c r="H123" s="347">
        <v>800000</v>
      </c>
      <c r="I123" s="348" cm="1">
        <f t="array" ref="I123">(100%-SUM($I$124:$I$125))*H123/$H$126</f>
      </c>
      <c r="J123" s="348" cm="1">
        <f t="array" ref="J123">(100%-SUM($J$124:$J$125))*I123/($I$122+$I$123)</f>
      </c>
      <c r="K123" s="342"/>
      <c r="L123" s="16"/>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8"/>
    </row>
    <row r="124" ht="15.5" customHeight="1">
      <c r="A124" s="12"/>
      <c r="B124" s="350"/>
      <c r="C124" s="351"/>
      <c r="D124" s="352" cm="1">
        <f t="array" ref="D124">D122+D123</f>
        <v>1742672.301177</v>
      </c>
      <c r="E124" s="342"/>
      <c r="F124" s="71"/>
      <c r="G124" t="s" s="339">
        <v>497</v>
      </c>
      <c r="H124" s="347">
        <v>0</v>
      </c>
      <c r="I124" s="348">
        <v>0.3</v>
      </c>
      <c r="J124" s="348">
        <v>0.4</v>
      </c>
      <c r="K124" s="342"/>
      <c r="L124" s="16"/>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8"/>
    </row>
    <row r="125" ht="15" customHeight="1">
      <c r="A125" s="12"/>
      <c r="B125" t="s" s="339">
        <v>498</v>
      </c>
      <c r="C125" s="346"/>
      <c r="D125" s="353" cm="1">
        <f t="array" ref="D125">-H123</f>
        <v>-800000</v>
      </c>
      <c r="E125" s="342"/>
      <c r="F125" s="71"/>
      <c r="G125" t="s" s="339">
        <v>499</v>
      </c>
      <c r="H125" s="354">
        <v>0</v>
      </c>
      <c r="I125" s="355">
        <v>0.1</v>
      </c>
      <c r="J125" s="355">
        <v>0.1</v>
      </c>
      <c r="K125" s="342"/>
      <c r="L125" s="16"/>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8"/>
    </row>
    <row r="126" ht="15.5" customHeight="1">
      <c r="A126" s="12"/>
      <c r="B126" t="s" s="339">
        <v>500</v>
      </c>
      <c r="C126" s="346"/>
      <c r="D126" s="341" cm="1">
        <f t="array" ref="D126">D124+D125</f>
        <v>942672.301177</v>
      </c>
      <c r="E126" s="342"/>
      <c r="F126" s="71"/>
      <c r="G126" s="350"/>
      <c r="H126" s="356" cm="1">
        <f t="array" ref="H126">-SUM(F34:V34)</f>
        <v>0</v>
      </c>
      <c r="I126" s="357" cm="1">
        <f t="array" ref="I126">SUM(I122:I125)</f>
      </c>
      <c r="J126" s="357" cm="1">
        <f t="array" ref="J126">SUM(J122:J125)</f>
      </c>
      <c r="K126" s="342"/>
      <c r="L126" s="16"/>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8"/>
    </row>
    <row r="127" ht="15.5" customHeight="1">
      <c r="A127" s="12"/>
      <c r="B127" s="358"/>
      <c r="C127" s="359"/>
      <c r="D127" s="359"/>
      <c r="E127" s="360"/>
      <c r="F127" s="71"/>
      <c r="G127" s="358"/>
      <c r="H127" s="361"/>
      <c r="I127" s="361"/>
      <c r="J127" s="361"/>
      <c r="K127" s="360"/>
      <c r="L127" s="16"/>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8"/>
    </row>
    <row r="128" ht="15.5" customHeight="1">
      <c r="A128" s="32"/>
      <c r="B128" s="125"/>
      <c r="C128" s="125"/>
      <c r="D128" s="125"/>
      <c r="E128" s="125"/>
      <c r="F128" s="17"/>
      <c r="G128" s="124"/>
      <c r="H128" s="124"/>
      <c r="I128" s="124"/>
      <c r="J128" s="124"/>
      <c r="K128" s="124"/>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8"/>
    </row>
    <row r="129" ht="15" customHeight="1">
      <c r="A129" s="362"/>
      <c r="B129" s="363"/>
      <c r="C129" s="364"/>
      <c r="D129" s="365"/>
      <c r="E129" s="366"/>
      <c r="F129" s="132"/>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8"/>
    </row>
    <row r="130" ht="15" customHeight="1">
      <c r="A130" s="362"/>
      <c r="B130" s="367"/>
      <c r="C130" s="368"/>
      <c r="D130" t="s" s="369">
        <v>501</v>
      </c>
      <c r="E130" s="370"/>
      <c r="F130" s="132"/>
      <c r="G130" s="17"/>
      <c r="H130" s="17"/>
      <c r="I130" s="17"/>
      <c r="J130" s="17"/>
      <c r="K130" s="17"/>
      <c r="L130" s="17"/>
      <c r="M130" s="17"/>
      <c r="N130" s="144"/>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8"/>
    </row>
    <row r="131" ht="16" customHeight="1">
      <c r="A131" s="362"/>
      <c r="B131" s="371">
        <v>2024</v>
      </c>
      <c r="C131" s="372"/>
      <c r="D131" s="373">
        <v>174911250</v>
      </c>
      <c r="E131" s="374"/>
      <c r="F131" s="132"/>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8"/>
    </row>
    <row r="132" ht="16" customHeight="1">
      <c r="A132" s="362"/>
      <c r="B132" s="375"/>
      <c r="C132" s="376"/>
      <c r="D132" s="377">
        <v>322375000</v>
      </c>
      <c r="E132" s="374"/>
      <c r="F132" s="132"/>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8"/>
    </row>
    <row r="133" ht="16" customHeight="1">
      <c r="A133" s="362"/>
      <c r="B133" s="375"/>
      <c r="C133" s="376"/>
      <c r="D133" s="377">
        <v>261219628</v>
      </c>
      <c r="E133" s="374"/>
      <c r="F133" s="132"/>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8"/>
    </row>
    <row r="134" ht="16" customHeight="1">
      <c r="A134" s="362"/>
      <c r="B134" s="378"/>
      <c r="C134" s="368"/>
      <c r="D134" s="379">
        <v>212482778</v>
      </c>
      <c r="E134" s="374"/>
      <c r="F134" s="132"/>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8"/>
    </row>
    <row r="135" ht="16" customHeight="1">
      <c r="A135" s="362"/>
      <c r="B135" s="371">
        <v>2025</v>
      </c>
      <c r="C135" s="372"/>
      <c r="D135" s="373">
        <v>197766300</v>
      </c>
      <c r="E135" s="374"/>
      <c r="F135" s="132"/>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8"/>
    </row>
    <row r="136" ht="16" customHeight="1">
      <c r="A136" s="362"/>
      <c r="B136" s="375"/>
      <c r="C136" s="376"/>
      <c r="D136" s="377">
        <v>130456600</v>
      </c>
      <c r="E136" s="374"/>
      <c r="F136" s="132"/>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8"/>
    </row>
    <row r="137" ht="16" customHeight="1">
      <c r="A137" s="362"/>
      <c r="B137" s="375"/>
      <c r="C137" s="376"/>
      <c r="D137" s="377">
        <v>195641996</v>
      </c>
      <c r="E137" s="374"/>
      <c r="F137" s="132"/>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8"/>
    </row>
    <row r="138" ht="16" customHeight="1">
      <c r="A138" s="362"/>
      <c r="B138" s="375"/>
      <c r="C138" s="376"/>
      <c r="D138" s="377">
        <v>355833498</v>
      </c>
      <c r="E138" s="374"/>
      <c r="F138" s="132"/>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8"/>
    </row>
    <row r="139" ht="16" customHeight="1">
      <c r="A139" s="362"/>
      <c r="B139" s="375"/>
      <c r="C139" s="376"/>
      <c r="D139" s="377">
        <v>503548000</v>
      </c>
      <c r="E139" s="374"/>
      <c r="F139" s="132"/>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8"/>
    </row>
    <row r="140" ht="16" customHeight="1">
      <c r="A140" s="362"/>
      <c r="B140" s="375"/>
      <c r="C140" s="376"/>
      <c r="D140" s="377">
        <v>492701400</v>
      </c>
      <c r="E140" s="374"/>
      <c r="F140" s="132"/>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8"/>
    </row>
    <row r="141" ht="16" customHeight="1">
      <c r="A141" s="362"/>
      <c r="B141" s="375"/>
      <c r="C141" s="376"/>
      <c r="D141" s="377">
        <v>471038000</v>
      </c>
      <c r="E141" s="374"/>
      <c r="F141" s="132"/>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8"/>
    </row>
    <row r="142" ht="16" customHeight="1">
      <c r="A142" s="362"/>
      <c r="B142" s="375"/>
      <c r="C142" s="376"/>
      <c r="D142" s="377">
        <v>502381600</v>
      </c>
      <c r="E142" s="374"/>
      <c r="F142" s="132"/>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8"/>
    </row>
    <row r="143" ht="16" customHeight="1">
      <c r="A143" s="362"/>
      <c r="B143" s="375"/>
      <c r="C143" s="376"/>
      <c r="D143" s="377">
        <v>506051600</v>
      </c>
      <c r="E143" s="374"/>
      <c r="F143" s="132"/>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8"/>
    </row>
    <row r="144" ht="16" customHeight="1">
      <c r="A144" s="362"/>
      <c r="B144" s="375"/>
      <c r="C144" s="376"/>
      <c r="D144" s="377">
        <v>471640000</v>
      </c>
      <c r="E144" s="374"/>
      <c r="F144" s="132"/>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8"/>
    </row>
    <row r="145" ht="16" customHeight="1">
      <c r="A145" s="362"/>
      <c r="B145" s="375"/>
      <c r="C145" s="376"/>
      <c r="D145" s="377">
        <v>208300000</v>
      </c>
      <c r="E145" s="374"/>
      <c r="F145" s="132"/>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8"/>
    </row>
    <row r="146" ht="16" customHeight="1">
      <c r="A146" s="362"/>
      <c r="B146" s="375"/>
      <c r="C146" s="376"/>
      <c r="D146" s="377">
        <v>189664200</v>
      </c>
      <c r="E146" s="374"/>
      <c r="F146" s="132"/>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8"/>
    </row>
    <row r="147" ht="16" customHeight="1">
      <c r="A147" s="362"/>
      <c r="B147" s="375"/>
      <c r="C147" s="376"/>
      <c r="D147" s="377">
        <v>64534000</v>
      </c>
      <c r="E147" s="374"/>
      <c r="F147" s="132"/>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8"/>
    </row>
    <row r="148" ht="16" customHeight="1">
      <c r="A148" s="362"/>
      <c r="B148" s="378"/>
      <c r="C148" s="368"/>
      <c r="D148" s="379">
        <v>65155000</v>
      </c>
      <c r="E148" s="374"/>
      <c r="F148" s="132"/>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8"/>
    </row>
    <row r="149" ht="15" customHeight="1">
      <c r="A149" s="362"/>
      <c r="B149" t="s" s="380">
        <v>502</v>
      </c>
      <c r="C149" s="381"/>
      <c r="D149" s="382" cm="1">
        <f t="array" ref="D149">SUM(D131:D148)</f>
        <v>5325700850</v>
      </c>
      <c r="E149" s="383"/>
      <c r="F149" s="132"/>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8"/>
    </row>
    <row r="150" ht="15" customHeight="1">
      <c r="A150" s="362"/>
      <c r="B150" t="s" s="384">
        <v>503</v>
      </c>
      <c r="C150" s="385"/>
      <c r="D150" s="386" cm="1">
        <f t="array" ref="D150">1500000000+1200000000+1500000000+1200000000+1500000000</f>
        <v>6900000000</v>
      </c>
      <c r="E150" s="383"/>
      <c r="F150" s="132"/>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8"/>
    </row>
    <row r="151" ht="15.5" customHeight="1">
      <c r="A151" s="362"/>
      <c r="B151" t="s" s="387">
        <v>504</v>
      </c>
      <c r="C151" s="388"/>
      <c r="D151" s="389" cm="1">
        <f t="array" ref="D151">D150-D149</f>
        <v>1574299150</v>
      </c>
      <c r="E151" s="390"/>
      <c r="F151" s="132"/>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8"/>
    </row>
    <row r="152" ht="16.5" customHeight="1">
      <c r="A152" s="32"/>
      <c r="B152" s="391"/>
      <c r="C152" s="391"/>
      <c r="D152" s="392"/>
      <c r="E152" s="391"/>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8"/>
    </row>
    <row r="153" ht="16" customHeight="1">
      <c r="A153" s="32"/>
      <c r="B153" s="17"/>
      <c r="C153" s="17"/>
      <c r="D153" s="324"/>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8"/>
    </row>
    <row r="154" ht="16" customHeight="1">
      <c r="A154" s="32"/>
      <c r="B154" s="17"/>
      <c r="C154" s="17"/>
      <c r="D154" s="324"/>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8"/>
    </row>
    <row r="155" ht="16" customHeight="1">
      <c r="A155" s="192"/>
      <c r="B155" s="193"/>
      <c r="C155" s="193"/>
      <c r="D155" s="393"/>
      <c r="E155" s="193"/>
      <c r="F155" s="193"/>
      <c r="G155" s="193"/>
      <c r="H155" s="193"/>
      <c r="I155" s="193"/>
      <c r="J155" s="193"/>
      <c r="K155" s="193"/>
      <c r="L155" s="193"/>
      <c r="M155" s="193"/>
      <c r="N155" s="193"/>
      <c r="O155" s="193"/>
      <c r="P155" s="193"/>
      <c r="Q155" s="193"/>
      <c r="R155" s="193"/>
      <c r="S155" s="193"/>
      <c r="T155" s="193"/>
      <c r="U155" s="193"/>
      <c r="V155" s="193"/>
      <c r="W155" s="193"/>
      <c r="X155" s="193"/>
      <c r="Y155" s="193"/>
      <c r="Z155" s="193"/>
      <c r="AA155" s="193"/>
      <c r="AB155" s="193"/>
      <c r="AC155" s="193"/>
      <c r="AD155" s="193"/>
      <c r="AE155" s="193"/>
      <c r="AF155" s="193"/>
      <c r="AG155" s="193"/>
      <c r="AH155" s="193"/>
      <c r="AI155" s="193"/>
      <c r="AJ155" s="193"/>
      <c r="AK155" s="193"/>
      <c r="AL155" s="195"/>
    </row>
  </sheetData>
  <mergeCells count="3">
    <mergeCell ref="G120:K120"/>
    <mergeCell ref="B131:B134"/>
    <mergeCell ref="B135:B148"/>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5.xml><?xml version="1.0" encoding="utf-8"?>
<worksheet xmlns:r="http://schemas.openxmlformats.org/officeDocument/2006/relationships" xmlns="http://schemas.openxmlformats.org/spreadsheetml/2006/main">
  <dimension ref="A1:AN1501"/>
  <sheetViews>
    <sheetView workbookViewId="0" showGridLines="0" defaultGridColor="1"/>
  </sheetViews>
  <sheetFormatPr defaultColWidth="8.83333" defaultRowHeight="14.5" customHeight="1" outlineLevelRow="0" outlineLevelCol="0"/>
  <cols>
    <col min="1" max="1" width="3.5" style="394" customWidth="1"/>
    <col min="2" max="2" width="9.5" style="394" customWidth="1"/>
    <col min="3" max="3" width="14.5" style="394" customWidth="1"/>
    <col min="4" max="4" width="8.85156" style="394" customWidth="1"/>
    <col min="5" max="5" width="14" style="394" customWidth="1"/>
    <col min="6" max="6" width="12.1719" style="394" customWidth="1"/>
    <col min="7" max="7" width="11.8516" style="394" customWidth="1"/>
    <col min="8" max="10" width="13.3516" style="394" customWidth="1"/>
    <col min="11" max="11" width="12" style="394" customWidth="1"/>
    <col min="12" max="12" width="11.6719" style="394" customWidth="1"/>
    <col min="13" max="14" width="13.5" style="394" customWidth="1"/>
    <col min="15" max="15" width="14.5" style="394" customWidth="1"/>
    <col min="16" max="16" width="11.6719" style="394" customWidth="1"/>
    <col min="17" max="17" width="14.5" style="394" customWidth="1"/>
    <col min="18" max="18" width="1.5" style="394" customWidth="1"/>
    <col min="19" max="19" width="14.5" style="394" customWidth="1"/>
    <col min="20" max="20" width="18.1719" style="394" customWidth="1"/>
    <col min="21" max="21" width="14.8516" style="394" customWidth="1"/>
    <col min="22" max="22" width="1.85156" style="394" customWidth="1"/>
    <col min="23" max="23" width="14.5" style="394" customWidth="1"/>
    <col min="24" max="24" width="11.8516" style="394" customWidth="1"/>
    <col min="25" max="25" width="14.6719" style="394" customWidth="1"/>
    <col min="26" max="27" width="16.6719" style="394" customWidth="1"/>
    <col min="28" max="28" width="1.85156" style="394" customWidth="1"/>
    <col min="29" max="29" width="23.1719" style="394" customWidth="1"/>
    <col min="30" max="30" width="2.17188" style="394" customWidth="1"/>
    <col min="31" max="31" width="22.1719" style="394" customWidth="1"/>
    <col min="32" max="32" width="20.1719" style="394" customWidth="1"/>
    <col min="33" max="33" width="17.1719" style="394" customWidth="1"/>
    <col min="34" max="34" width="16.8516" style="394" customWidth="1"/>
    <col min="35" max="35" width="24.8516" style="394" customWidth="1"/>
    <col min="36" max="36" width="17.5" style="394" customWidth="1"/>
    <col min="37" max="37" width="24.8516" style="394" customWidth="1"/>
    <col min="38" max="38" width="18.6719" style="394" customWidth="1"/>
    <col min="39" max="39" width="17" style="394" customWidth="1"/>
    <col min="40" max="40" width="18.6719" style="394" customWidth="1"/>
    <col min="41" max="16384" width="8.85156" style="394" customWidth="1"/>
  </cols>
  <sheetData>
    <row r="1" ht="15" customHeight="1">
      <c r="A1" s="7"/>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246"/>
    </row>
    <row r="2" ht="15.5" customHeight="1">
      <c r="A2" s="395">
        <v>1</v>
      </c>
      <c r="B2" t="s" s="396">
        <v>506</v>
      </c>
      <c r="C2" t="s" s="397">
        <v>507</v>
      </c>
      <c r="D2" s="398"/>
      <c r="E2" s="398"/>
      <c r="F2" s="398"/>
      <c r="G2" s="398"/>
      <c r="H2" s="398"/>
      <c r="I2" s="398"/>
      <c r="J2" s="398"/>
      <c r="K2" s="398"/>
      <c r="L2" s="398"/>
      <c r="M2" s="398"/>
      <c r="N2" s="398"/>
      <c r="O2" s="398"/>
      <c r="P2" s="398"/>
      <c r="Q2" s="398"/>
      <c r="R2" s="399"/>
      <c r="S2" s="398"/>
      <c r="T2" s="398"/>
      <c r="U2" s="398"/>
      <c r="V2" s="399"/>
      <c r="W2" s="398"/>
      <c r="X2" s="398"/>
      <c r="Y2" s="398"/>
      <c r="Z2" s="398"/>
      <c r="AA2" s="398"/>
      <c r="AB2" s="399"/>
      <c r="AC2" s="398"/>
      <c r="AD2" s="399"/>
      <c r="AE2" t="s" s="400">
        <v>508</v>
      </c>
      <c r="AF2" s="401" cm="1">
        <f t="array" ref="AF2">AVERAGE(Q5:Q10)</f>
        <v>6984733.33333333</v>
      </c>
      <c r="AG2" t="s" s="400">
        <v>509</v>
      </c>
      <c r="AH2" s="401" cm="1">
        <f t="array" ref="AH2">AVERAGE(Q11:Q18)-AF2</f>
        <v>2103062.5</v>
      </c>
      <c r="AI2" t="s" s="400">
        <v>510</v>
      </c>
      <c r="AJ2" s="401" cm="1">
        <f t="array" ref="AJ2">AVERAGE(Y5:Y12)</f>
        <v>2879936.52990073</v>
      </c>
      <c r="AK2" t="s" s="397">
        <v>511</v>
      </c>
      <c r="AL2" s="401" cm="1">
        <f t="array" ref="AL2">AVERAGE(W5:W10)</f>
        <v>11219308.6196029</v>
      </c>
      <c r="AM2" t="s" s="400">
        <v>512</v>
      </c>
      <c r="AN2" s="402" cm="1">
        <f t="array" ref="AN2">W5</f>
        <v>10741808.6196029</v>
      </c>
    </row>
    <row r="3" ht="15" customHeight="1">
      <c r="A3" s="12"/>
      <c r="B3" s="403"/>
      <c r="C3" t="s" s="404">
        <v>513</v>
      </c>
      <c r="D3" s="405"/>
      <c r="E3" s="405"/>
      <c r="F3" s="405"/>
      <c r="G3" s="405"/>
      <c r="H3" s="405"/>
      <c r="I3" s="405"/>
      <c r="J3" s="405"/>
      <c r="K3" s="405"/>
      <c r="L3" s="405"/>
      <c r="M3" s="405"/>
      <c r="N3" s="405"/>
      <c r="O3" s="405"/>
      <c r="P3" s="405"/>
      <c r="Q3" s="406"/>
      <c r="R3" s="407"/>
      <c r="S3" t="s" s="404">
        <v>514</v>
      </c>
      <c r="T3" s="405"/>
      <c r="U3" s="406"/>
      <c r="V3" s="407"/>
      <c r="W3" t="s" s="404">
        <v>515</v>
      </c>
      <c r="X3" s="405"/>
      <c r="Y3" s="405"/>
      <c r="Z3" s="405"/>
      <c r="AA3" s="405"/>
      <c r="AB3" s="408"/>
      <c r="AC3" t="s" s="409">
        <v>516</v>
      </c>
      <c r="AD3" s="410"/>
      <c r="AE3" s="411"/>
      <c r="AF3" s="412"/>
      <c r="AG3" s="412"/>
      <c r="AH3" s="412"/>
      <c r="AI3" s="412"/>
      <c r="AJ3" s="412"/>
      <c r="AK3" s="413"/>
      <c r="AL3" s="414"/>
      <c r="AM3" s="415"/>
      <c r="AN3" s="414"/>
    </row>
    <row r="4" ht="46.25" customHeight="1">
      <c r="A4" s="187"/>
      <c r="B4" t="s" s="416">
        <v>517</v>
      </c>
      <c r="C4" t="s" s="417">
        <v>518</v>
      </c>
      <c r="D4" t="s" s="417">
        <v>519</v>
      </c>
      <c r="E4" t="s" s="417">
        <v>520</v>
      </c>
      <c r="F4" t="s" s="159">
        <v>521</v>
      </c>
      <c r="G4" t="s" s="159">
        <v>522</v>
      </c>
      <c r="H4" t="s" s="159">
        <v>523</v>
      </c>
      <c r="I4" t="s" s="159">
        <v>524</v>
      </c>
      <c r="J4" t="s" s="159">
        <v>525</v>
      </c>
      <c r="K4" t="s" s="159">
        <v>526</v>
      </c>
      <c r="L4" t="s" s="159">
        <v>527</v>
      </c>
      <c r="M4" t="s" s="159">
        <v>528</v>
      </c>
      <c r="N4" t="s" s="159">
        <v>529</v>
      </c>
      <c r="O4" t="s" s="159">
        <v>530</v>
      </c>
      <c r="P4" t="s" s="159">
        <v>531</v>
      </c>
      <c r="Q4" t="s" s="159">
        <v>532</v>
      </c>
      <c r="R4" s="418"/>
      <c r="S4" t="s" s="159">
        <v>533</v>
      </c>
      <c r="T4" t="s" s="159">
        <v>534</v>
      </c>
      <c r="U4" t="s" s="159">
        <v>535</v>
      </c>
      <c r="V4" s="418"/>
      <c r="W4" t="s" s="159">
        <v>536</v>
      </c>
      <c r="X4" t="s" s="159">
        <v>537</v>
      </c>
      <c r="Y4" t="s" s="159">
        <v>538</v>
      </c>
      <c r="Z4" t="s" s="159">
        <v>539</v>
      </c>
      <c r="AA4" t="s" s="159">
        <v>121</v>
      </c>
      <c r="AB4" s="419"/>
      <c r="AC4" t="s" s="159">
        <v>39</v>
      </c>
      <c r="AD4" s="419"/>
      <c r="AE4" s="77"/>
      <c r="AF4" s="77"/>
      <c r="AG4" s="77"/>
      <c r="AH4" s="77"/>
      <c r="AI4" s="77"/>
      <c r="AJ4" s="77"/>
      <c r="AK4" s="77"/>
      <c r="AL4" s="77"/>
      <c r="AM4" s="77"/>
      <c r="AN4" s="78"/>
    </row>
    <row r="5" ht="15" customHeight="1">
      <c r="A5" s="12"/>
      <c r="B5" s="420">
        <v>1</v>
      </c>
      <c r="C5" s="421" cm="1">
        <f t="array" ref="C5">IF(B5&gt;0,IF(VLOOKUP(C2,'Boats Data Sheet 2026'!$C$3:$J$57,8,0)="N/A",0,VLOOKUP(C2,'Boats Data Sheet 2026'!$C$3:$J$57,8,0)),"N/A")</f>
        <v>0</v>
      </c>
      <c r="D5" s="422" cm="1">
        <f t="array" ref="D5">IF(B5&gt;7,2,IF(B5=0,"N/A",1))</f>
        <v>1</v>
      </c>
      <c r="E5" s="421" cm="1">
        <f t="array" ref="E5">_xlfn.IFERROR(SUM('Direct Costs 2026'!$C$4:$C$5)*D5,"N/A")</f>
        <v>875500</v>
      </c>
      <c r="F5" s="423" cm="1">
        <f t="array" ref="F5">_xlfn.IFERROR('Direct Costs 2026'!$C$43*B5,"N/A")</f>
        <v>6000</v>
      </c>
      <c r="G5" s="423" cm="1">
        <f t="array" ref="G5">IF(B5&gt;0,'Direct Costs 2026'!$C$25,"N/A")</f>
        <v>90000</v>
      </c>
      <c r="H5" s="423" cm="1">
        <f t="array" ref="H5">IF(B5&gt;0,('Direct Costs 2026'!$C$15+'Direct Costs 2026'!$C$17+'Direct Costs 2026'!$C$14),"N/A")</f>
        <v>580000</v>
      </c>
      <c r="I5" s="423" cm="1">
        <f t="array" ref="I5">IF(B5&gt;0,'Direct Costs 2026'!$C$19+'Direct Costs 2026'!$C$18*B5,"N/A")</f>
        <v>110000</v>
      </c>
      <c r="J5" s="423" cm="1">
        <f t="array" ref="J5">IF(B5&gt;0,SUM('Direct Costs 2026'!$C$20:$C$21),"N/A")</f>
        <v>98333.3333333333</v>
      </c>
      <c r="K5" s="423" cm="1">
        <f t="array" ref="K5">IF(B5&gt;0,'Direct Costs 2026'!$C$26,"N/A")</f>
        <v>20000</v>
      </c>
      <c r="L5" s="423" cm="1">
        <f t="array" ref="L5">IF(B5&gt;0,'Direct Costs 2026'!$C$23,"N/A")</f>
        <v>140000</v>
      </c>
      <c r="M5" s="423" cm="1">
        <f t="array" ref="M5">IF(B5&gt;0,'Direct Costs 2026'!$C$45*B5,"N/A")</f>
        <v>150000</v>
      </c>
      <c r="N5" s="423" cm="1">
        <f t="array" ref="N5">IF(B5&gt;0,_xlfn.IFERROR(VLOOKUP(C2,'Boats Data Sheet 2026'!$C$3:$I$57,7,0)*'Direct Costs 2026'!$C$36,"N/A"),"N/A")</f>
        <v>3325000</v>
      </c>
      <c r="O5" s="423" cm="1">
        <f t="array" ref="O5">IF(B5&gt;0,IF(OR(VLOOKUP(C2,'Boats Data Sheet 2026'!$C$3:$F$57,4,0)="Own",VLOOKUP(C2,'Boats Data Sheet 2026'!$C$3:$F$57,4,0)="Management"),('Direct Costs 2026'!$C$37+'Direct Costs 2026'!$C$39),"N/A"),"N/A")</f>
        <v>1112400</v>
      </c>
      <c r="P5" s="423" cm="1">
        <f t="array" ref="P5">_xlfn.IFERROR('Direct Costs 2026'!$C$27*C5,"N/A")</f>
        <v>0</v>
      </c>
      <c r="Q5" s="423" cm="1">
        <f t="array" ref="Q5">_xlfn.IFERROR(C5+SUM(E5:P5),"N/A")</f>
        <v>6507233.33333333</v>
      </c>
      <c r="R5" s="424"/>
      <c r="S5" s="423" cm="1">
        <f t="array" ref="S5">IF(B5&gt;0,'Allocation OH and Target 2026'!$E$31,"N/A")</f>
        <v>3100447.15769812</v>
      </c>
      <c r="T5" s="423" cm="1">
        <f t="array" ref="T5">IF(B5&gt;0,VLOOKUP(C2,'Allocation OH and Target 2026'!$C$35:$S$87,17,0),"N/A")</f>
        <v>1134128.12857143</v>
      </c>
      <c r="U5" s="423" cm="1">
        <f t="array" ref="U5">_xlfn.IFERROR((S5+T5),"N/A")</f>
        <v>4234575.28626955</v>
      </c>
      <c r="V5" s="424"/>
      <c r="W5" s="423" cm="1">
        <f t="array" ref="W5">_xlfn.IFERROR(U5+Q5,"N/A")</f>
        <v>10741808.6196029</v>
      </c>
      <c r="X5" s="423" cm="1">
        <f t="array" ref="X5">_xlfn.IFERROR(W5*0.5%,"N/A")</f>
        <v>53709.0430980145</v>
      </c>
      <c r="Y5" s="423" cm="1">
        <f t="array" ref="Y5">_xlfn.IFERROR(W5*25%,"N/A")</f>
        <v>2685452.15490073</v>
      </c>
      <c r="Z5" s="425" cm="1">
        <f t="array" ref="Z5">IF(B5&gt;0,SUM(W5:Y5),"N/A")</f>
        <v>13480969.8176016</v>
      </c>
      <c r="AA5" s="425">
        <v>0</v>
      </c>
      <c r="AB5" s="424"/>
      <c r="AC5" t="str" s="426" cm="1">
        <f t="array" ref="AC5">IF(B5=6,Z5,"N/A")</f>
        <v>N/A</v>
      </c>
      <c r="AD5" s="424"/>
      <c r="AE5" s="423"/>
      <c r="AF5" s="423"/>
      <c r="AG5" s="423"/>
      <c r="AH5" s="423"/>
      <c r="AI5" s="423"/>
      <c r="AJ5" s="423"/>
      <c r="AK5" s="423"/>
      <c r="AL5" s="423"/>
      <c r="AM5" s="423"/>
      <c r="AN5" s="427"/>
    </row>
    <row r="6" ht="15" customHeight="1">
      <c r="A6" s="12"/>
      <c r="B6" s="428" cm="1">
        <f t="array" ref="B6">IF(B5=0,0,IF(B5&lt;VLOOKUP(C2,'Boats Data Sheet 2026'!$C$3:$H$57,6,0),B5+1,0))</f>
        <v>2</v>
      </c>
      <c r="C6" s="423" cm="1">
        <f t="array" ref="C6">IF(B6&gt;0,IF(VLOOKUP(C2,'Boats Data Sheet 2026'!$C$3:$J$57,8,0)="N/A",0,VLOOKUP(C2,'Boats Data Sheet 2026'!$C$3:$J$57,8,0)),"N/A")</f>
        <v>0</v>
      </c>
      <c r="D6" s="429" cm="1">
        <f t="array" ref="D6">IF(B6&gt;7,2,IF(B6=0,"N/A",1))</f>
        <v>1</v>
      </c>
      <c r="E6" s="423" cm="1">
        <f t="array" ref="E6">_xlfn.IFERROR(SUM('Direct Costs 2026'!$C$4:$C$5)*D6,"N/A")</f>
        <v>875500</v>
      </c>
      <c r="F6" s="423" cm="1">
        <f t="array" ref="F6">_xlfn.IFERROR('Direct Costs 2026'!$C$43*B6,"N/A")</f>
        <v>12000</v>
      </c>
      <c r="G6" s="423" cm="1">
        <f t="array" ref="G6">IF(B6&gt;0,'Direct Costs 2026'!$C$25,"N/A")</f>
        <v>90000</v>
      </c>
      <c r="H6" s="423" cm="1">
        <f t="array" ref="H6">IF(B6&gt;0,('Direct Costs 2026'!$C$15+'Direct Costs 2026'!$C$17+'Direct Costs 2026'!$C$14),"N/A")</f>
        <v>580000</v>
      </c>
      <c r="I6" s="423" cm="1">
        <f t="array" ref="I6">IF(B6&gt;0,'Direct Costs 2026'!$C$19+'Direct Costs 2026'!$C$18*B6,"N/A")</f>
        <v>145000</v>
      </c>
      <c r="J6" s="423" cm="1">
        <f t="array" ref="J6">IF(B6&gt;0,SUM('Direct Costs 2026'!$C$20:$C$21),"N/A")</f>
        <v>98333.3333333333</v>
      </c>
      <c r="K6" s="423" cm="1">
        <f t="array" ref="K6">IF(B6&gt;0,'Direct Costs 2026'!$C$26,"N/A")</f>
        <v>20000</v>
      </c>
      <c r="L6" s="423" cm="1">
        <f t="array" ref="L6">IF(B6&gt;0,'Direct Costs 2026'!$C$23,"N/A")</f>
        <v>140000</v>
      </c>
      <c r="M6" s="423" cm="1">
        <f t="array" ref="M6">IF(B6&gt;0,'Direct Costs 2026'!$C$45*B6,"N/A")</f>
        <v>300000</v>
      </c>
      <c r="N6" s="423" cm="1">
        <f t="array" ref="N6">IF(B6&gt;0,_xlfn.IFERROR(VLOOKUP(C2,'Boats Data Sheet 2026'!$C$3:$I$57,7,0)*'Direct Costs 2026'!$C$36,"N/A"),"N/A")</f>
        <v>3325000</v>
      </c>
      <c r="O6" s="423" cm="1">
        <f t="array" ref="O6">IF(B6&gt;0,IF(OR(VLOOKUP(C2,'Boats Data Sheet 2026'!$C$3:$F$57,4,0)="Own",VLOOKUP(C2,'Boats Data Sheet 2026'!$C$3:$F$57,4,0)="Management"),('Direct Costs 2026'!$C$37+'Direct Costs 2026'!$C$39),"N/A"),"N/A")</f>
        <v>1112400</v>
      </c>
      <c r="P6" s="423" cm="1">
        <f t="array" ref="P6">_xlfn.IFERROR('Direct Costs 2026'!$C$27*C6,"N/A")</f>
        <v>0</v>
      </c>
      <c r="Q6" s="423" cm="1">
        <f t="array" ref="Q6">_xlfn.IFERROR(C6+SUM(E6:P6),"N/A")</f>
        <v>6698233.33333333</v>
      </c>
      <c r="R6" s="424"/>
      <c r="S6" s="423" cm="1">
        <f t="array" ref="S6">IF(B6&gt;0,'Allocation OH and Target 2026'!$E$31,"N/A")</f>
        <v>3100447.15769812</v>
      </c>
      <c r="T6" s="423" cm="1">
        <f t="array" ref="T6">IF(B6&gt;0,VLOOKUP(C2,'Allocation OH and Target 2026'!$C$35:$S$87,17,0),"N/A")</f>
        <v>1134128.12857143</v>
      </c>
      <c r="U6" s="423" cm="1">
        <f t="array" ref="U6">_xlfn.IFERROR((S6+T6),"N/A")</f>
        <v>4234575.28626955</v>
      </c>
      <c r="V6" s="424"/>
      <c r="W6" s="423" cm="1">
        <f t="array" ref="W6">_xlfn.IFERROR(U6+Q6,"N/A")</f>
        <v>10932808.6196029</v>
      </c>
      <c r="X6" s="423" cm="1">
        <f t="array" ref="X6">_xlfn.IFERROR(W6*0.5%,"N/A")</f>
        <v>54664.0430980145</v>
      </c>
      <c r="Y6" s="423" cm="1">
        <f t="array" ref="Y6">_xlfn.IFERROR(W6*25%,"N/A")</f>
        <v>2733202.15490073</v>
      </c>
      <c r="Z6" s="425" cm="1">
        <f t="array" ref="Z6">IF(B6&gt;0,SUM(W6:Y6),"N/A")</f>
        <v>13720674.8176016</v>
      </c>
      <c r="AA6" s="425" cm="1">
        <f t="array" ref="AA6">_xlfn.IFERROR((Z6-Z5),"N/A")</f>
        <v>239705</v>
      </c>
      <c r="AB6" s="424"/>
      <c r="AC6" t="str" s="426" cm="1">
        <f t="array" ref="AC6">IF(B6=6,AVERAGE(Z6),"N/A")</f>
        <v>N/A</v>
      </c>
      <c r="AD6" s="424"/>
      <c r="AE6" s="423"/>
      <c r="AF6" s="423"/>
      <c r="AG6" s="423"/>
      <c r="AH6" s="423"/>
      <c r="AI6" s="423"/>
      <c r="AJ6" s="423"/>
      <c r="AK6" s="423"/>
      <c r="AL6" s="423"/>
      <c r="AM6" s="423"/>
      <c r="AN6" s="427"/>
    </row>
    <row r="7" ht="15" customHeight="1">
      <c r="A7" s="12"/>
      <c r="B7" s="428" cm="1">
        <f t="array" ref="B7">IF(B6=0,0,IF(B6&lt;VLOOKUP(C2,'Boats Data Sheet 2026'!$C$3:$H$57,6,0),B6+1,0))</f>
        <v>3</v>
      </c>
      <c r="C7" s="423" cm="1">
        <f t="array" ref="C7">IF(B7&gt;0,IF(VLOOKUP(C2,'Boats Data Sheet 2026'!$C$3:$J$57,8,0)="N/A",0,VLOOKUP(C2,'Boats Data Sheet 2026'!$C$3:$J$57,8,0)),"N/A")</f>
        <v>0</v>
      </c>
      <c r="D7" s="429" cm="1">
        <f t="array" ref="D7">IF(B7&gt;7,2,IF(B7=0,"N/A",1))</f>
        <v>1</v>
      </c>
      <c r="E7" s="423" cm="1">
        <f t="array" ref="E7">_xlfn.IFERROR(SUM('Direct Costs 2026'!$C$4:$C$5)*D7,"N/A")</f>
        <v>875500</v>
      </c>
      <c r="F7" s="423" cm="1">
        <f t="array" ref="F7">_xlfn.IFERROR('Direct Costs 2026'!$C$43*B7,"N/A")</f>
        <v>18000</v>
      </c>
      <c r="G7" s="423" cm="1">
        <f t="array" ref="G7">IF(B7&gt;0,'Direct Costs 2026'!$C$25,"N/A")</f>
        <v>90000</v>
      </c>
      <c r="H7" s="423" cm="1">
        <f t="array" ref="H7">IF(B7&gt;0,('Direct Costs 2026'!$C$15+'Direct Costs 2026'!$C$17+'Direct Costs 2026'!$C$14),"N/A")</f>
        <v>580000</v>
      </c>
      <c r="I7" s="423" cm="1">
        <f t="array" ref="I7">IF(B7&gt;0,'Direct Costs 2026'!$C$19+'Direct Costs 2026'!$C$18*B7,"N/A")</f>
        <v>180000</v>
      </c>
      <c r="J7" s="423" cm="1">
        <f t="array" ref="J7">IF(B7&gt;0,SUM('Direct Costs 2026'!$C$20:$C$21),"N/A")</f>
        <v>98333.3333333333</v>
      </c>
      <c r="K7" s="423" cm="1">
        <f t="array" ref="K7">IF(B7&gt;0,'Direct Costs 2026'!$C$26,"N/A")</f>
        <v>20000</v>
      </c>
      <c r="L7" s="423" cm="1">
        <f t="array" ref="L7">IF(B7&gt;0,'Direct Costs 2026'!$C$23,"N/A")</f>
        <v>140000</v>
      </c>
      <c r="M7" s="423" cm="1">
        <f t="array" ref="M7">IF(B7&gt;0,'Direct Costs 2026'!$C$45*B7,"N/A")</f>
        <v>450000</v>
      </c>
      <c r="N7" s="423" cm="1">
        <f t="array" ref="N7">IF(B7&gt;0,_xlfn.IFERROR(VLOOKUP(C2,'Boats Data Sheet 2026'!$C$3:$I$57,7,0)*'Direct Costs 2026'!$C$36,"N/A"),"N/A")</f>
        <v>3325000</v>
      </c>
      <c r="O7" s="423" cm="1">
        <f t="array" ref="O7">IF(B7&gt;0,IF(OR(VLOOKUP(C2,'Boats Data Sheet 2026'!$C$3:$F$57,4,0)="Own",VLOOKUP(C2,'Boats Data Sheet 2026'!$C$3:$F$57,4,0)="Management"),('Direct Costs 2026'!$C$37+'Direct Costs 2026'!$C$39),"N/A"),"N/A")</f>
        <v>1112400</v>
      </c>
      <c r="P7" s="423" cm="1">
        <f t="array" ref="P7">_xlfn.IFERROR('Direct Costs 2026'!$C$27*C7,"N/A")</f>
        <v>0</v>
      </c>
      <c r="Q7" s="423" cm="1">
        <f t="array" ref="Q7">_xlfn.IFERROR(C7+SUM(E7:P7),"N/A")</f>
        <v>6889233.33333333</v>
      </c>
      <c r="R7" s="424"/>
      <c r="S7" s="423" cm="1">
        <f t="array" ref="S7">IF(B7&gt;0,'Allocation OH and Target 2026'!$E$31,"N/A")</f>
        <v>3100447.15769812</v>
      </c>
      <c r="T7" s="423" cm="1">
        <f t="array" ref="T7">IF(B7&gt;0,VLOOKUP(C2,'Allocation OH and Target 2026'!$C$35:$S$87,17,0),"N/A")</f>
        <v>1134128.12857143</v>
      </c>
      <c r="U7" s="423" cm="1">
        <f t="array" ref="U7">_xlfn.IFERROR((S7+T7),"N/A")</f>
        <v>4234575.28626955</v>
      </c>
      <c r="V7" s="424"/>
      <c r="W7" s="423" cm="1">
        <f t="array" ref="W7">_xlfn.IFERROR(U7+Q7,"N/A")</f>
        <v>11123808.6196029</v>
      </c>
      <c r="X7" s="423" cm="1">
        <f t="array" ref="X7">_xlfn.IFERROR(W7*0.5%,"N/A")</f>
        <v>55619.0430980145</v>
      </c>
      <c r="Y7" s="423" cm="1">
        <f t="array" ref="Y7">_xlfn.IFERROR(W7*25%,"N/A")</f>
        <v>2780952.15490073</v>
      </c>
      <c r="Z7" s="425" cm="1">
        <f t="array" ref="Z7">IF(B7&gt;0,SUM(W7:Y7),"N/A")</f>
        <v>13960379.8176016</v>
      </c>
      <c r="AA7" s="425" cm="1">
        <f t="array" ref="AA7">_xlfn.IFERROR((Z7-Z6),"N/A")</f>
        <v>239705</v>
      </c>
      <c r="AB7" s="424"/>
      <c r="AC7" t="str" s="426" cm="1">
        <f t="array" ref="AC7">IF(B7=6,AVERAGE(Z7),"N/A")</f>
        <v>N/A</v>
      </c>
      <c r="AD7" s="424"/>
      <c r="AE7" s="423"/>
      <c r="AF7" s="423"/>
      <c r="AG7" s="423"/>
      <c r="AH7" s="423"/>
      <c r="AI7" s="423"/>
      <c r="AJ7" s="423"/>
      <c r="AK7" s="423"/>
      <c r="AL7" s="423"/>
      <c r="AM7" s="423"/>
      <c r="AN7" s="427"/>
    </row>
    <row r="8" ht="15" customHeight="1">
      <c r="A8" s="12"/>
      <c r="B8" s="428" cm="1">
        <f t="array" ref="B8">IF(B7=0,0,IF(B7&lt;VLOOKUP(C2,'Boats Data Sheet 2026'!$C$3:$H$57,6,0),B7+1,0))</f>
        <v>4</v>
      </c>
      <c r="C8" s="423" cm="1">
        <f t="array" ref="C8">IF(B8&gt;0,IF(VLOOKUP(C2,'Boats Data Sheet 2026'!$C$3:$J$57,8,0)="N/A",0,VLOOKUP(C2,'Boats Data Sheet 2026'!$C$3:$J$57,8,0)),"N/A")</f>
        <v>0</v>
      </c>
      <c r="D8" s="429" cm="1">
        <f t="array" ref="D8">IF(B8&gt;7,2,IF(B8=0,"N/A",1))</f>
        <v>1</v>
      </c>
      <c r="E8" s="423" cm="1">
        <f t="array" ref="E8">_xlfn.IFERROR(SUM('Direct Costs 2026'!$C$4:$C$5)*D8,"N/A")</f>
        <v>875500</v>
      </c>
      <c r="F8" s="423" cm="1">
        <f t="array" ref="F8">_xlfn.IFERROR('Direct Costs 2026'!$C$43*B8,"N/A")</f>
        <v>24000</v>
      </c>
      <c r="G8" s="423" cm="1">
        <f t="array" ref="G8">IF(B8&gt;0,'Direct Costs 2026'!$C$25,"N/A")</f>
        <v>90000</v>
      </c>
      <c r="H8" s="423" cm="1">
        <f t="array" ref="H8">IF(B8&gt;0,('Direct Costs 2026'!$C$15+'Direct Costs 2026'!$C$17+'Direct Costs 2026'!$C$14),"N/A")</f>
        <v>580000</v>
      </c>
      <c r="I8" s="423" cm="1">
        <f t="array" ref="I8">IF(B8&gt;0,'Direct Costs 2026'!$C$19+'Direct Costs 2026'!$C$18*B8,"N/A")</f>
        <v>215000</v>
      </c>
      <c r="J8" s="423" cm="1">
        <f t="array" ref="J8">IF(B8&gt;0,SUM('Direct Costs 2026'!$C$20:$C$21),"N/A")</f>
        <v>98333.3333333333</v>
      </c>
      <c r="K8" s="423" cm="1">
        <f t="array" ref="K8">IF(B8&gt;0,'Direct Costs 2026'!$C$26,"N/A")</f>
        <v>20000</v>
      </c>
      <c r="L8" s="423" cm="1">
        <f t="array" ref="L8">IF(B8&gt;0,'Direct Costs 2026'!$C$23,"N/A")</f>
        <v>140000</v>
      </c>
      <c r="M8" s="423" cm="1">
        <f t="array" ref="M8">IF(B8&gt;0,'Direct Costs 2026'!$C$45*B8,"N/A")</f>
        <v>600000</v>
      </c>
      <c r="N8" s="423" cm="1">
        <f t="array" ref="N8">IF(B8&gt;0,_xlfn.IFERROR(VLOOKUP(C2,'Boats Data Sheet 2026'!$C$3:$I$57,7,0)*'Direct Costs 2026'!$C$36,"N/A"),"N/A")</f>
        <v>3325000</v>
      </c>
      <c r="O8" s="423" cm="1">
        <f t="array" ref="O8">IF(B8&gt;0,IF(OR(VLOOKUP(C2,'Boats Data Sheet 2026'!$C$3:$F$57,4,0)="Own",VLOOKUP(C2,'Boats Data Sheet 2026'!$C$3:$F$57,4,0)="Management"),('Direct Costs 2026'!$C$37+'Direct Costs 2026'!$C$39),"N/A"),"N/A")</f>
        <v>1112400</v>
      </c>
      <c r="P8" s="423" cm="1">
        <f t="array" ref="P8">_xlfn.IFERROR('Direct Costs 2026'!$C$27*C8,"N/A")</f>
        <v>0</v>
      </c>
      <c r="Q8" s="423" cm="1">
        <f t="array" ref="Q8">_xlfn.IFERROR(C8+SUM(E8:P8),"N/A")</f>
        <v>7080233.33333333</v>
      </c>
      <c r="R8" s="424"/>
      <c r="S8" s="423" cm="1">
        <f t="array" ref="S8">IF(B8&gt;0,'Allocation OH and Target 2026'!$E$31,"N/A")</f>
        <v>3100447.15769812</v>
      </c>
      <c r="T8" s="423" cm="1">
        <f t="array" ref="T8">IF(B8&gt;0,VLOOKUP(C2,'Allocation OH and Target 2026'!$C$35:$S$87,17,0),"N/A")</f>
        <v>1134128.12857143</v>
      </c>
      <c r="U8" s="423" cm="1">
        <f t="array" ref="U8">_xlfn.IFERROR((S8+T8),"N/A")</f>
        <v>4234575.28626955</v>
      </c>
      <c r="V8" s="424"/>
      <c r="W8" s="423" cm="1">
        <f t="array" ref="W8">_xlfn.IFERROR(U8+Q8,"N/A")</f>
        <v>11314808.6196029</v>
      </c>
      <c r="X8" s="423" cm="1">
        <f t="array" ref="X8">_xlfn.IFERROR(W8*0.5%,"N/A")</f>
        <v>56574.0430980145</v>
      </c>
      <c r="Y8" s="423" cm="1">
        <f t="array" ref="Y8">_xlfn.IFERROR(W8*25%,"N/A")</f>
        <v>2828702.15490073</v>
      </c>
      <c r="Z8" s="425" cm="1">
        <f t="array" ref="Z8">IF(B8&gt;0,SUM(W8:Y8),"N/A")</f>
        <v>14200084.8176016</v>
      </c>
      <c r="AA8" s="425" cm="1">
        <f t="array" ref="AA8">_xlfn.IFERROR((Z8-Z7),"N/A")</f>
        <v>239705</v>
      </c>
      <c r="AB8" s="424"/>
      <c r="AC8" t="str" s="426" cm="1">
        <f t="array" ref="AC8">IF(B8=6,AVERAGE(Z8),"N/A")</f>
        <v>N/A</v>
      </c>
      <c r="AD8" s="424"/>
      <c r="AE8" s="423"/>
      <c r="AF8" s="423"/>
      <c r="AG8" s="423"/>
      <c r="AH8" s="423"/>
      <c r="AI8" s="423"/>
      <c r="AJ8" s="423"/>
      <c r="AK8" s="423"/>
      <c r="AL8" s="423"/>
      <c r="AM8" s="423"/>
      <c r="AN8" s="427"/>
    </row>
    <row r="9" ht="15" customHeight="1">
      <c r="A9" s="12"/>
      <c r="B9" s="428" cm="1">
        <f t="array" ref="B9">IF(B8=0,0,IF(B8&lt;VLOOKUP(C2,'Boats Data Sheet 2026'!$C$3:$H$57,6,0),B8+1,0))</f>
        <v>5</v>
      </c>
      <c r="C9" s="423" cm="1">
        <f t="array" ref="C9">IF(B9&gt;0,IF(VLOOKUP(C2,'Boats Data Sheet 2026'!$C$3:$J$57,8,0)="N/A",0,VLOOKUP(C2,'Boats Data Sheet 2026'!$C$3:$J$57,8,0)),"N/A")</f>
        <v>0</v>
      </c>
      <c r="D9" s="429" cm="1">
        <f t="array" ref="D9">IF(B9&gt;7,2,IF(B9=0,"N/A",1))</f>
        <v>1</v>
      </c>
      <c r="E9" s="423" cm="1">
        <f t="array" ref="E9">_xlfn.IFERROR(SUM('Direct Costs 2026'!$C$4:$C$5)*D9,"N/A")</f>
        <v>875500</v>
      </c>
      <c r="F9" s="423" cm="1">
        <f t="array" ref="F9">_xlfn.IFERROR('Direct Costs 2026'!$C$43*B9,"N/A")</f>
        <v>30000</v>
      </c>
      <c r="G9" s="423" cm="1">
        <f t="array" ref="G9">IF(B9&gt;0,'Direct Costs 2026'!$C$25,"N/A")</f>
        <v>90000</v>
      </c>
      <c r="H9" s="423" cm="1">
        <f t="array" ref="H9">IF(B9&gt;0,('Direct Costs 2026'!$C$15+'Direct Costs 2026'!$C$17+'Direct Costs 2026'!$C$14),"N/A")</f>
        <v>580000</v>
      </c>
      <c r="I9" s="423" cm="1">
        <f t="array" ref="I9">IF(B9&gt;0,'Direct Costs 2026'!$C$19+'Direct Costs 2026'!$C$18*B9,"N/A")</f>
        <v>250000</v>
      </c>
      <c r="J9" s="423" cm="1">
        <f t="array" ref="J9">IF(B9&gt;0,SUM('Direct Costs 2026'!$C$20:$C$21),"N/A")</f>
        <v>98333.3333333333</v>
      </c>
      <c r="K9" s="423" cm="1">
        <f t="array" ref="K9">IF(B9&gt;0,'Direct Costs 2026'!$C$26,"N/A")</f>
        <v>20000</v>
      </c>
      <c r="L9" s="423" cm="1">
        <f t="array" ref="L9">IF(B9&gt;0,'Direct Costs 2026'!$C$23,"N/A")</f>
        <v>140000</v>
      </c>
      <c r="M9" s="423" cm="1">
        <f t="array" ref="M9">IF(B9&gt;0,'Direct Costs 2026'!$C$45*B9,"N/A")</f>
        <v>750000</v>
      </c>
      <c r="N9" s="423" cm="1">
        <f t="array" ref="N9">IF(B9&gt;0,_xlfn.IFERROR(VLOOKUP(C2,'Boats Data Sheet 2026'!$C$3:$I$57,7,0)*'Direct Costs 2026'!$C$36,"N/A"),"N/A")</f>
        <v>3325000</v>
      </c>
      <c r="O9" s="423" cm="1">
        <f t="array" ref="O9">IF(B9&gt;0,IF(OR(VLOOKUP(C2,'Boats Data Sheet 2026'!$C$3:$F$57,4,0)="Own",VLOOKUP(C2,'Boats Data Sheet 2026'!$C$3:$F$57,4,0)="Management"),('Direct Costs 2026'!$C$37+'Direct Costs 2026'!$C$39),"N/A"),"N/A")</f>
        <v>1112400</v>
      </c>
      <c r="P9" s="423" cm="1">
        <f t="array" ref="P9">_xlfn.IFERROR('Direct Costs 2026'!$C$27*C9,"N/A")</f>
        <v>0</v>
      </c>
      <c r="Q9" s="423" cm="1">
        <f t="array" ref="Q9">_xlfn.IFERROR(C9+SUM(E9:P9),"N/A")</f>
        <v>7271233.33333333</v>
      </c>
      <c r="R9" s="424"/>
      <c r="S9" s="423" cm="1">
        <f t="array" ref="S9">IF(B9&gt;0,'Allocation OH and Target 2026'!$E$31,"N/A")</f>
        <v>3100447.15769812</v>
      </c>
      <c r="T9" s="423" cm="1">
        <f t="array" ref="T9">IF(B9&gt;0,VLOOKUP(C2,'Allocation OH and Target 2026'!$C$35:$S$87,17,0),"N/A")</f>
        <v>1134128.12857143</v>
      </c>
      <c r="U9" s="423" cm="1">
        <f t="array" ref="U9">_xlfn.IFERROR((S9+T9),"N/A")</f>
        <v>4234575.28626955</v>
      </c>
      <c r="V9" s="424"/>
      <c r="W9" s="423" cm="1">
        <f t="array" ref="W9">_xlfn.IFERROR(U9+Q9,"N/A")</f>
        <v>11505808.6196029</v>
      </c>
      <c r="X9" s="423" cm="1">
        <f t="array" ref="X9">_xlfn.IFERROR(W9*0.5%,"N/A")</f>
        <v>57529.0430980145</v>
      </c>
      <c r="Y9" s="423" cm="1">
        <f t="array" ref="Y9">_xlfn.IFERROR(W9*25%,"N/A")</f>
        <v>2876452.15490073</v>
      </c>
      <c r="Z9" s="425" cm="1">
        <f t="array" ref="Z9">IF(B9&gt;0,SUM(W9:Y9),"N/A")</f>
        <v>14439789.8176016</v>
      </c>
      <c r="AA9" s="425" cm="1">
        <f t="array" ref="AA9">_xlfn.IFERROR((Z9-Z8),"N/A")</f>
        <v>239705</v>
      </c>
      <c r="AB9" s="424"/>
      <c r="AC9" t="str" s="426" cm="1">
        <f t="array" ref="AC9">IF(B9=6,AVERAGE(Z9),"N/A")</f>
        <v>N/A</v>
      </c>
      <c r="AD9" s="424"/>
      <c r="AE9" s="423"/>
      <c r="AF9" s="423"/>
      <c r="AG9" s="423"/>
      <c r="AH9" s="423"/>
      <c r="AI9" s="423"/>
      <c r="AJ9" s="423"/>
      <c r="AK9" s="423"/>
      <c r="AL9" s="423"/>
      <c r="AM9" s="423"/>
      <c r="AN9" s="427"/>
    </row>
    <row r="10" ht="15" customHeight="1">
      <c r="A10" s="12"/>
      <c r="B10" s="428" cm="1">
        <f t="array" ref="B10">IF(B9=0,0,IF(B9&lt;VLOOKUP(C2,'Boats Data Sheet 2026'!$C$3:$H$57,6,0),B9+1,0))</f>
        <v>6</v>
      </c>
      <c r="C10" s="423" cm="1">
        <f t="array" ref="C10">IF(B10&gt;0,IF(VLOOKUP(C2,'Boats Data Sheet 2026'!$C$3:$J$57,8,0)="N/A",0,VLOOKUP(C2,'Boats Data Sheet 2026'!$C$3:$J$57,8,0)),"N/A")</f>
        <v>0</v>
      </c>
      <c r="D10" s="429" cm="1">
        <f t="array" ref="D10">IF(B10&gt;7,2,IF(B10=0,"N/A",1))</f>
        <v>1</v>
      </c>
      <c r="E10" s="423" cm="1">
        <f t="array" ref="E10">_xlfn.IFERROR(SUM('Direct Costs 2026'!$C$4:$C$5)*D10,"N/A")</f>
        <v>875500</v>
      </c>
      <c r="F10" s="423" cm="1">
        <f t="array" ref="F10">_xlfn.IFERROR('Direct Costs 2026'!$C$43*B10,"N/A")</f>
        <v>36000</v>
      </c>
      <c r="G10" s="423" cm="1">
        <f t="array" ref="G10">IF(B10&gt;0,'Direct Costs 2026'!$C$25,"N/A")</f>
        <v>90000</v>
      </c>
      <c r="H10" s="423" cm="1">
        <f t="array" ref="H10">IF(B10&gt;0,('Direct Costs 2026'!$C$15+'Direct Costs 2026'!$C$17+'Direct Costs 2026'!$C$14),"N/A")</f>
        <v>580000</v>
      </c>
      <c r="I10" s="423" cm="1">
        <f t="array" ref="I10">IF(B10&gt;0,'Direct Costs 2026'!$C$19+'Direct Costs 2026'!$C$18*B10,"N/A")</f>
        <v>285000</v>
      </c>
      <c r="J10" s="423" cm="1">
        <f t="array" ref="J10">IF(B10&gt;0,SUM('Direct Costs 2026'!$C$20:$C$21),"N/A")</f>
        <v>98333.3333333333</v>
      </c>
      <c r="K10" s="423" cm="1">
        <f t="array" ref="K10">IF(B10&gt;0,'Direct Costs 2026'!$C$26,"N/A")</f>
        <v>20000</v>
      </c>
      <c r="L10" s="423" cm="1">
        <f t="array" ref="L10">IF(B10&gt;0,'Direct Costs 2026'!$C$23,"N/A")</f>
        <v>140000</v>
      </c>
      <c r="M10" s="423" cm="1">
        <f t="array" ref="M10">IF(B10&gt;0,'Direct Costs 2026'!$C$45*B10,"N/A")</f>
        <v>900000</v>
      </c>
      <c r="N10" s="423" cm="1">
        <f t="array" ref="N10">IF(B10&gt;0,_xlfn.IFERROR(VLOOKUP(C2,'Boats Data Sheet 2026'!$C$3:$I$57,7,0)*'Direct Costs 2026'!$C$36,"N/A"),"N/A")</f>
        <v>3325000</v>
      </c>
      <c r="O10" s="423" cm="1">
        <f t="array" ref="O10">IF(B10&gt;0,IF(OR(VLOOKUP(C2,'Boats Data Sheet 2026'!$C$3:$F$57,4,0)="Own",VLOOKUP(C2,'Boats Data Sheet 2026'!$C$3:$F$57,4,0)="Management"),('Direct Costs 2026'!$C$37+'Direct Costs 2026'!$C$39),"N/A"),"N/A")</f>
        <v>1112400</v>
      </c>
      <c r="P10" s="423" cm="1">
        <f t="array" ref="P10">_xlfn.IFERROR('Direct Costs 2026'!$C$27*C10,"N/A")</f>
        <v>0</v>
      </c>
      <c r="Q10" s="423" cm="1">
        <f t="array" ref="Q10">_xlfn.IFERROR(C10+SUM(E10:P10),"N/A")</f>
        <v>7462233.33333333</v>
      </c>
      <c r="R10" s="424"/>
      <c r="S10" s="423" cm="1">
        <f t="array" ref="S10">IF(B10&gt;0,'Allocation OH and Target 2026'!$E$31,"N/A")</f>
        <v>3100447.15769812</v>
      </c>
      <c r="T10" s="423" cm="1">
        <f t="array" ref="T10">IF(B10&gt;0,VLOOKUP(C2,'Allocation OH and Target 2026'!$C$35:$S$87,17,0),"N/A")</f>
        <v>1134128.12857143</v>
      </c>
      <c r="U10" s="423" cm="1">
        <f t="array" ref="U10">_xlfn.IFERROR((S10+T10),"N/A")</f>
        <v>4234575.28626955</v>
      </c>
      <c r="V10" s="424"/>
      <c r="W10" s="423" cm="1">
        <f t="array" ref="W10">_xlfn.IFERROR(U10+Q10,"N/A")</f>
        <v>11696808.6196029</v>
      </c>
      <c r="X10" s="423" cm="1">
        <f t="array" ref="X10">_xlfn.IFERROR(W10*0.5%,"N/A")</f>
        <v>58484.0430980145</v>
      </c>
      <c r="Y10" s="423" cm="1">
        <f t="array" ref="Y10">_xlfn.IFERROR(W10*25%,"N/A")</f>
        <v>2924202.15490073</v>
      </c>
      <c r="Z10" s="425" cm="1">
        <f t="array" ref="Z10">IF(B10&gt;0,SUM(W10:Y10),"N/A")</f>
        <v>14679494.8176016</v>
      </c>
      <c r="AA10" s="425" cm="1">
        <f t="array" ref="AA10">_xlfn.IFERROR((Z10-Z9),"N/A")</f>
        <v>239705</v>
      </c>
      <c r="AB10" s="424"/>
      <c r="AC10" s="425" cm="1">
        <f t="array" ref="AC10">IF(B10=6,AVERAGE(Z5:Z10),"N/A")</f>
        <v>14080232.3176016</v>
      </c>
      <c r="AD10" s="424"/>
      <c r="AE10" s="423"/>
      <c r="AF10" s="423"/>
      <c r="AG10" s="423"/>
      <c r="AH10" s="423"/>
      <c r="AI10" s="423"/>
      <c r="AJ10" s="423"/>
      <c r="AK10" s="423"/>
      <c r="AL10" s="423"/>
      <c r="AM10" s="423"/>
      <c r="AN10" s="427"/>
    </row>
    <row r="11" ht="15" customHeight="1">
      <c r="A11" s="12"/>
      <c r="B11" s="428" cm="1">
        <f t="array" ref="B11">IF(B10=0,0,IF(B10&lt;VLOOKUP(C2,'Boats Data Sheet 2026'!$C$3:$H$57,6,0),B10+1,0))</f>
        <v>7</v>
      </c>
      <c r="C11" s="423" cm="1">
        <f t="array" ref="C11">IF(B11&gt;0,IF(VLOOKUP(C2,'Boats Data Sheet 2026'!$C$3:$J$57,8,0)="N/A",0,VLOOKUP(C2,'Boats Data Sheet 2026'!$C$3:$J$57,8,0)),"N/A")</f>
        <v>0</v>
      </c>
      <c r="D11" s="429" cm="1">
        <f t="array" ref="D11">IF(B11&gt;7,2,IF(B11=0,"N/A",1))</f>
        <v>1</v>
      </c>
      <c r="E11" s="423" cm="1">
        <f t="array" ref="E11">_xlfn.IFERROR(SUM('Direct Costs 2026'!$C$4:$C$5)*D11,"N/A")</f>
        <v>875500</v>
      </c>
      <c r="F11" s="423" cm="1">
        <f t="array" ref="F11">_xlfn.IFERROR('Direct Costs 2026'!$C$43*B11,"N/A")</f>
        <v>42000</v>
      </c>
      <c r="G11" s="423" cm="1">
        <f t="array" ref="G11">IF(B11&gt;0,'Direct Costs 2026'!$C$25,"N/A")</f>
        <v>90000</v>
      </c>
      <c r="H11" s="423" cm="1">
        <f t="array" ref="H11">IF(B11&gt;0,('Direct Costs 2026'!$C$15+'Direct Costs 2026'!$C$17+'Direct Costs 2026'!$C$14),"N/A")</f>
        <v>580000</v>
      </c>
      <c r="I11" s="423" cm="1">
        <f t="array" ref="I11">IF(B11&gt;0,'Direct Costs 2026'!$C$19+'Direct Costs 2026'!$C$18*B11,"N/A")</f>
        <v>320000</v>
      </c>
      <c r="J11" s="423" cm="1">
        <f t="array" ref="J11">IF(B11&gt;0,SUM('Direct Costs 2026'!$C$20:$C$21),"N/A")</f>
        <v>98333.3333333333</v>
      </c>
      <c r="K11" s="423" cm="1">
        <f t="array" ref="K11">IF(B11&gt;0,'Direct Costs 2026'!$C$26,"N/A")</f>
        <v>20000</v>
      </c>
      <c r="L11" s="423" cm="1">
        <f t="array" ref="L11">IF(B11&gt;0,'Direct Costs 2026'!$C$23,"N/A")</f>
        <v>140000</v>
      </c>
      <c r="M11" s="423" cm="1">
        <f t="array" ref="M11">IF(B11&gt;0,'Direct Costs 2026'!$C$45*B11,"N/A")</f>
        <v>1050000</v>
      </c>
      <c r="N11" s="423" cm="1">
        <f t="array" ref="N11">IF(B11&gt;0,_xlfn.IFERROR(VLOOKUP(C2,'Boats Data Sheet 2026'!$C$3:$I$57,7,0)*'Direct Costs 2026'!$C$36,"N/A"),"N/A")</f>
        <v>3325000</v>
      </c>
      <c r="O11" s="423" cm="1">
        <f t="array" ref="O11">IF(B11&gt;0,IF(OR(VLOOKUP(C2,'Boats Data Sheet 2026'!$C$3:$F$57,4,0)="Own",VLOOKUP(C2,'Boats Data Sheet 2026'!$C$3:$F$57,4,0)="Management"),('Direct Costs 2026'!$C$37+'Direct Costs 2026'!$C$39),"N/A"),"N/A")</f>
        <v>1112400</v>
      </c>
      <c r="P11" s="423" cm="1">
        <f t="array" ref="P11">_xlfn.IFERROR('Direct Costs 2026'!$C$27*C11,"N/A")</f>
        <v>0</v>
      </c>
      <c r="Q11" s="423" cm="1">
        <f t="array" ref="Q11">_xlfn.IFERROR(C11+SUM(E11:P11),"N/A")</f>
        <v>7653233.33333333</v>
      </c>
      <c r="R11" s="424"/>
      <c r="S11" s="423" cm="1">
        <f t="array" ref="S11">IF(B11&gt;0,'Allocation OH and Target 2026'!$E$31,"N/A")</f>
        <v>3100447.15769812</v>
      </c>
      <c r="T11" s="423" cm="1">
        <f t="array" ref="T11">IF(B11&gt;0,VLOOKUP(C2,'Allocation OH and Target 2026'!$C$35:$S$87,17,0),"N/A")</f>
        <v>1134128.12857143</v>
      </c>
      <c r="U11" s="423" cm="1">
        <f t="array" ref="U11">_xlfn.IFERROR((S11+T11),"N/A")</f>
        <v>4234575.28626955</v>
      </c>
      <c r="V11" s="424"/>
      <c r="W11" s="423" cm="1">
        <f t="array" ref="W11">_xlfn.IFERROR(U11+Q11,"N/A")</f>
        <v>11887808.6196029</v>
      </c>
      <c r="X11" s="423" cm="1">
        <f t="array" ref="X11">_xlfn.IFERROR(W11*0.5%,"N/A")</f>
        <v>59439.0430980145</v>
      </c>
      <c r="Y11" s="423" cm="1">
        <f t="array" ref="Y11">_xlfn.IFERROR(W11*25%,"N/A")</f>
        <v>2971952.15490073</v>
      </c>
      <c r="Z11" s="425" cm="1">
        <f t="array" ref="Z11">IF(B11&gt;0,SUM(W11:Y11),"N/A")</f>
        <v>14919199.8176016</v>
      </c>
      <c r="AA11" s="425" cm="1">
        <f t="array" ref="AA11">_xlfn.IFERROR((Z11-Z10),"N/A")</f>
        <v>239705</v>
      </c>
      <c r="AB11" s="424"/>
      <c r="AC11" t="str" s="426" cm="1">
        <f t="array" ref="AC11">IF(B11=6,AVERAGE(Z11),"N/A")</f>
        <v>N/A</v>
      </c>
      <c r="AD11" s="424"/>
      <c r="AE11" s="423"/>
      <c r="AF11" s="423"/>
      <c r="AG11" s="423"/>
      <c r="AH11" s="423"/>
      <c r="AI11" s="423"/>
      <c r="AJ11" s="423"/>
      <c r="AK11" s="423"/>
      <c r="AL11" s="423"/>
      <c r="AM11" s="423"/>
      <c r="AN11" s="427"/>
    </row>
    <row r="12" ht="15" customHeight="1">
      <c r="A12" s="12"/>
      <c r="B12" s="428" cm="1">
        <f t="array" ref="B12">IF(B11=0,0,IF(B11&lt;VLOOKUP(C2,'Boats Data Sheet 2026'!$C$3:$H$57,6,0),B11+1,0))</f>
        <v>8</v>
      </c>
      <c r="C12" s="423" cm="1">
        <f t="array" ref="C12">IF(B12&gt;0,IF(VLOOKUP(C2,'Boats Data Sheet 2026'!$C$3:$J$57,8,0)="N/A",0,VLOOKUP(C2,'Boats Data Sheet 2026'!$C$3:$J$57,8,0)),"N/A")</f>
        <v>0</v>
      </c>
      <c r="D12" s="429" cm="1">
        <f t="array" ref="D12">IF(B12&gt;7,2,IF(B12=0,"N/A",1))</f>
        <v>2</v>
      </c>
      <c r="E12" s="423" cm="1">
        <f t="array" ref="E12">_xlfn.IFERROR(SUM('Direct Costs 2026'!$C$4:$C$5)*D12,"N/A")</f>
        <v>1751000</v>
      </c>
      <c r="F12" s="423" cm="1">
        <f t="array" ref="F12">_xlfn.IFERROR('Direct Costs 2026'!$C$43*B12,"N/A")</f>
        <v>48000</v>
      </c>
      <c r="G12" s="423" cm="1">
        <f t="array" ref="G12">IF(B12&gt;0,'Direct Costs 2026'!$C$25,"N/A")</f>
        <v>90000</v>
      </c>
      <c r="H12" s="423" cm="1">
        <f t="array" ref="H12">IF(B12&gt;0,('Direct Costs 2026'!$C$15+'Direct Costs 2026'!$C$17+'Direct Costs 2026'!$C$14),"N/A")</f>
        <v>580000</v>
      </c>
      <c r="I12" s="423" cm="1">
        <f t="array" ref="I12">IF(B12&gt;0,'Direct Costs 2026'!$C$19+'Direct Costs 2026'!$C$18*B12,"N/A")</f>
        <v>355000</v>
      </c>
      <c r="J12" s="423" cm="1">
        <f t="array" ref="J12">IF(B12&gt;0,SUM('Direct Costs 2026'!$C$20:$C$21),"N/A")</f>
        <v>98333.3333333333</v>
      </c>
      <c r="K12" s="423" cm="1">
        <f t="array" ref="K12">IF(B12&gt;0,'Direct Costs 2026'!$C$26,"N/A")</f>
        <v>20000</v>
      </c>
      <c r="L12" s="423" cm="1">
        <f t="array" ref="L12">IF(B12&gt;0,'Direct Costs 2026'!$C$23,"N/A")</f>
        <v>140000</v>
      </c>
      <c r="M12" s="423" cm="1">
        <f t="array" ref="M12">IF(B12&gt;0,'Direct Costs 2026'!$C$45*B12,"N/A")</f>
        <v>1200000</v>
      </c>
      <c r="N12" s="423" cm="1">
        <f t="array" ref="N12">IF(B12&gt;0,_xlfn.IFERROR(VLOOKUP(C2,'Boats Data Sheet 2026'!$C$3:$I$57,7,0)*'Direct Costs 2026'!$C$36,"N/A"),"N/A")</f>
        <v>3325000</v>
      </c>
      <c r="O12" s="423" cm="1">
        <f t="array" ref="O12">IF(B12&gt;0,IF(OR(VLOOKUP(C2,'Boats Data Sheet 2026'!$C$3:$F$57,4,0)="Own",VLOOKUP(C2,'Boats Data Sheet 2026'!$C$3:$F$57,4,0)="Management"),('Direct Costs 2026'!$C$37+'Direct Costs 2026'!$C$39),"N/A"),"N/A")</f>
        <v>1112400</v>
      </c>
      <c r="P12" s="423" cm="1">
        <f t="array" ref="P12">_xlfn.IFERROR('Direct Costs 2026'!$C$27*C12,"N/A")</f>
        <v>0</v>
      </c>
      <c r="Q12" s="423" cm="1">
        <f t="array" ref="Q12">_xlfn.IFERROR(C12+SUM(E12:P12),"N/A")</f>
        <v>8719733.33333333</v>
      </c>
      <c r="R12" s="424"/>
      <c r="S12" s="423" cm="1">
        <f t="array" ref="S12">IF(B12&gt;0,'Allocation OH and Target 2026'!$E$31,"N/A")</f>
        <v>3100447.15769812</v>
      </c>
      <c r="T12" s="423" cm="1">
        <f t="array" ref="T12">IF(B12&gt;0,VLOOKUP(C2,'Allocation OH and Target 2026'!$C$35:$S$87,17,0),"N/A")</f>
        <v>1134128.12857143</v>
      </c>
      <c r="U12" s="423" cm="1">
        <f t="array" ref="U12">_xlfn.IFERROR((S12+T12),"N/A")</f>
        <v>4234575.28626955</v>
      </c>
      <c r="V12" s="424"/>
      <c r="W12" s="423" cm="1">
        <f t="array" ref="W12">_xlfn.IFERROR(U12+Q12,"N/A")</f>
        <v>12954308.6196029</v>
      </c>
      <c r="X12" s="423" cm="1">
        <f t="array" ref="X12">_xlfn.IFERROR(W12*0.5%,"N/A")</f>
        <v>64771.5430980145</v>
      </c>
      <c r="Y12" s="423" cm="1">
        <f t="array" ref="Y12">_xlfn.IFERROR(W12*25%,"N/A")</f>
        <v>3238577.15490073</v>
      </c>
      <c r="Z12" s="425" cm="1">
        <f t="array" ref="Z12">IF(B12&gt;0,SUM(W12:Y12),"N/A")</f>
        <v>16257657.3176016</v>
      </c>
      <c r="AA12" s="425" cm="1">
        <f t="array" ref="AA12">_xlfn.IFERROR((Z12-Z11),"N/A")</f>
        <v>1338457.5</v>
      </c>
      <c r="AB12" s="424"/>
      <c r="AC12" t="str" s="426" cm="1">
        <f t="array" ref="AC12">IF(B12=6,AVERAGE(Z12),"N/A")</f>
        <v>N/A</v>
      </c>
      <c r="AD12" s="424"/>
      <c r="AE12" s="423"/>
      <c r="AF12" s="423"/>
      <c r="AG12" s="423"/>
      <c r="AH12" s="423"/>
      <c r="AI12" s="423"/>
      <c r="AJ12" s="423"/>
      <c r="AK12" s="423"/>
      <c r="AL12" s="423"/>
      <c r="AM12" s="423"/>
      <c r="AN12" s="427"/>
    </row>
    <row r="13" ht="15" customHeight="1">
      <c r="A13" s="12"/>
      <c r="B13" s="428" cm="1">
        <f t="array" ref="B13">IF(B12=0,0,IF(B12&lt;VLOOKUP(C2,'Boats Data Sheet 2026'!$C$3:$H$57,6,0),B12+1,0))</f>
        <v>9</v>
      </c>
      <c r="C13" s="423" cm="1">
        <f t="array" ref="C13">IF(B13&gt;0,IF(VLOOKUP(C2,'Boats Data Sheet 2026'!$C$3:$J$57,8,0)="N/A",0,VLOOKUP(C2,'Boats Data Sheet 2026'!$C$3:$J$57,8,0)),"N/A")</f>
        <v>0</v>
      </c>
      <c r="D13" s="429" cm="1">
        <f t="array" ref="D13">IF(B13&gt;7,2,IF(B13=0,"N/A",1))</f>
        <v>2</v>
      </c>
      <c r="E13" s="423" cm="1">
        <f t="array" ref="E13">_xlfn.IFERROR(SUM('Direct Costs 2026'!$C$4:$C$5)*D13,"N/A")</f>
        <v>1751000</v>
      </c>
      <c r="F13" s="423" cm="1">
        <f t="array" ref="F13">_xlfn.IFERROR('Direct Costs 2026'!$C$43*B13,"N/A")</f>
        <v>54000</v>
      </c>
      <c r="G13" s="423" cm="1">
        <f t="array" ref="G13">IF(B13&gt;0,'Direct Costs 2026'!$C$25,"N/A")</f>
        <v>90000</v>
      </c>
      <c r="H13" s="423" cm="1">
        <f t="array" ref="H13">IF(B13&gt;0,('Direct Costs 2026'!$C$15+'Direct Costs 2026'!$C$17+'Direct Costs 2026'!$C$14),"N/A")</f>
        <v>580000</v>
      </c>
      <c r="I13" s="423" cm="1">
        <f t="array" ref="I13">IF(B13&gt;0,'Direct Costs 2026'!$C$19+'Direct Costs 2026'!$C$18*B13,"N/A")</f>
        <v>390000</v>
      </c>
      <c r="J13" s="423" cm="1">
        <f t="array" ref="J13">IF(B13&gt;0,SUM('Direct Costs 2026'!$C$20:$C$21),"N/A")</f>
        <v>98333.3333333333</v>
      </c>
      <c r="K13" s="423" cm="1">
        <f t="array" ref="K13">IF(B13&gt;0,'Direct Costs 2026'!$C$26,"N/A")</f>
        <v>20000</v>
      </c>
      <c r="L13" s="423" cm="1">
        <f t="array" ref="L13">IF(B13&gt;0,'Direct Costs 2026'!$C$23,"N/A")</f>
        <v>140000</v>
      </c>
      <c r="M13" s="423" cm="1">
        <f t="array" ref="M13">IF(B13&gt;0,'Direct Costs 2026'!$C$45*B13,"N/A")</f>
        <v>1350000</v>
      </c>
      <c r="N13" s="423" cm="1">
        <f t="array" ref="N13">IF(B13&gt;0,_xlfn.IFERROR(VLOOKUP(C2,'Boats Data Sheet 2026'!$C$3:$I$57,7,0)*'Direct Costs 2026'!$C$36,"N/A"),"N/A")</f>
        <v>3325000</v>
      </c>
      <c r="O13" s="423" cm="1">
        <f t="array" ref="O13">IF(B13&gt;0,IF(OR(VLOOKUP(C2,'Boats Data Sheet 2026'!$C$3:$F$57,4,0)="Own",VLOOKUP(C2,'Boats Data Sheet 2026'!$C$3:$F$57,4,0)="Management"),('Direct Costs 2026'!$C$37+'Direct Costs 2026'!$C$39),"N/A"),"N/A")</f>
        <v>1112400</v>
      </c>
      <c r="P13" s="423" cm="1">
        <f t="array" ref="P13">_xlfn.IFERROR('Direct Costs 2026'!$C$27*C13,"N/A")</f>
        <v>0</v>
      </c>
      <c r="Q13" s="423" cm="1">
        <f t="array" ref="Q13">_xlfn.IFERROR(C13+SUM(E13:P13),"N/A")</f>
        <v>8910733.33333333</v>
      </c>
      <c r="R13" s="424"/>
      <c r="S13" s="423" cm="1">
        <f t="array" ref="S13">IF(B13&gt;0,'Allocation OH and Target 2026'!$E$31,"N/A")</f>
        <v>3100447.15769812</v>
      </c>
      <c r="T13" s="423" cm="1">
        <f t="array" ref="T13">IF(B13&gt;0,VLOOKUP(C2,'Allocation OH and Target 2026'!$C$35:$S$87,17,0),"N/A")</f>
        <v>1134128.12857143</v>
      </c>
      <c r="U13" s="423" cm="1">
        <f t="array" ref="U13">_xlfn.IFERROR((S13+T13),"N/A")</f>
        <v>4234575.28626955</v>
      </c>
      <c r="V13" s="424"/>
      <c r="W13" s="423" cm="1">
        <f t="array" ref="W13">_xlfn.IFERROR(U13+Q13,"N/A")</f>
        <v>13145308.6196029</v>
      </c>
      <c r="X13" s="423" cm="1">
        <f t="array" ref="X13">_xlfn.IFERROR(W13*0.5%,"N/A")</f>
        <v>65726.5430980145</v>
      </c>
      <c r="Y13" s="423" cm="1">
        <f t="array" ref="Y13">_xlfn.IFERROR(W13*25%,"N/A")</f>
        <v>3286327.15490073</v>
      </c>
      <c r="Z13" s="425" cm="1">
        <f t="array" ref="Z13">IF(B13&gt;0,SUM(W13:Y13),"N/A")</f>
        <v>16497362.3176016</v>
      </c>
      <c r="AA13" s="425" cm="1">
        <f t="array" ref="AA13">_xlfn.IFERROR((Z13-Z12),"N/A")</f>
        <v>239705</v>
      </c>
      <c r="AB13" s="424"/>
      <c r="AC13" t="str" s="426" cm="1">
        <f t="array" ref="AC13">IF(B13=6,AVERAGE(Z13),"N/A")</f>
        <v>N/A</v>
      </c>
      <c r="AD13" s="424"/>
      <c r="AE13" s="423"/>
      <c r="AF13" s="423"/>
      <c r="AG13" s="423"/>
      <c r="AH13" s="423"/>
      <c r="AI13" s="423"/>
      <c r="AJ13" s="423"/>
      <c r="AK13" s="423"/>
      <c r="AL13" s="423"/>
      <c r="AM13" s="423"/>
      <c r="AN13" s="427"/>
    </row>
    <row r="14" ht="15" customHeight="1">
      <c r="A14" s="12"/>
      <c r="B14" s="428" cm="1">
        <f t="array" ref="B14">IF(B13=0,0,IF(B13&lt;VLOOKUP(C2,'Boats Data Sheet 2026'!$C$3:$H$57,6,0),B13+1,0))</f>
        <v>10</v>
      </c>
      <c r="C14" s="423" cm="1">
        <f t="array" ref="C14">IF(B14&gt;0,IF(VLOOKUP(C2,'Boats Data Sheet 2026'!$C$3:$J$57,8,0)="N/A",0,VLOOKUP(C2,'Boats Data Sheet 2026'!$C$3:$J$57,8,0)),"N/A")</f>
        <v>0</v>
      </c>
      <c r="D14" s="429" cm="1">
        <f t="array" ref="D14">IF(B14&gt;7,2,IF(B14=0,"N/A",1))</f>
        <v>2</v>
      </c>
      <c r="E14" s="423" cm="1">
        <f t="array" ref="E14">_xlfn.IFERROR(SUM('Direct Costs 2026'!$C$4:$C$5)*D14,"N/A")</f>
        <v>1751000</v>
      </c>
      <c r="F14" s="423" cm="1">
        <f t="array" ref="F14">_xlfn.IFERROR('Direct Costs 2026'!$C$43*B14,"N/A")</f>
        <v>60000</v>
      </c>
      <c r="G14" s="423" cm="1">
        <f t="array" ref="G14">IF(B14&gt;0,'Direct Costs 2026'!$C$25,"N/A")</f>
        <v>90000</v>
      </c>
      <c r="H14" s="423" cm="1">
        <f t="array" ref="H14">IF(B14&gt;0,('Direct Costs 2026'!$C$15+'Direct Costs 2026'!$C$17+'Direct Costs 2026'!$C$14),"N/A")</f>
        <v>580000</v>
      </c>
      <c r="I14" s="423" cm="1">
        <f t="array" ref="I14">IF(B14&gt;0,'Direct Costs 2026'!$C$19+'Direct Costs 2026'!$C$18*B14,"N/A")</f>
        <v>425000</v>
      </c>
      <c r="J14" s="423" cm="1">
        <f t="array" ref="J14">IF(B14&gt;0,SUM('Direct Costs 2026'!$C$20:$C$21),"N/A")</f>
        <v>98333.3333333333</v>
      </c>
      <c r="K14" s="423" cm="1">
        <f t="array" ref="K14">IF(B14&gt;0,'Direct Costs 2026'!$C$26,"N/A")</f>
        <v>20000</v>
      </c>
      <c r="L14" s="423" cm="1">
        <f t="array" ref="L14">IF(B14&gt;0,'Direct Costs 2026'!$C$23,"N/A")</f>
        <v>140000</v>
      </c>
      <c r="M14" s="423" cm="1">
        <f t="array" ref="M14">IF(B14&gt;0,'Direct Costs 2026'!$C$45*B14,"N/A")</f>
        <v>1500000</v>
      </c>
      <c r="N14" s="423" cm="1">
        <f t="array" ref="N14">IF(B14&gt;0,_xlfn.IFERROR(VLOOKUP(C2,'Boats Data Sheet 2026'!$C$3:$I$57,7,0)*'Direct Costs 2026'!$C$36,"N/A"),"N/A")</f>
        <v>3325000</v>
      </c>
      <c r="O14" s="423" cm="1">
        <f t="array" ref="O14">IF(B14&gt;0,IF(OR(VLOOKUP(C2,'Boats Data Sheet 2026'!$C$3:$F$57,4,0)="Own",VLOOKUP(C2,'Boats Data Sheet 2026'!$C$3:$F$57,4,0)="Management"),('Direct Costs 2026'!$C$37+'Direct Costs 2026'!$C$39),"N/A"),"N/A")</f>
        <v>1112400</v>
      </c>
      <c r="P14" s="423" cm="1">
        <f t="array" ref="P14">_xlfn.IFERROR('Direct Costs 2026'!$C$27*C14,"N/A")</f>
        <v>0</v>
      </c>
      <c r="Q14" s="423" cm="1">
        <f t="array" ref="Q14">_xlfn.IFERROR(C14+SUM(E14:P14),"N/A")</f>
        <v>9101733.33333333</v>
      </c>
      <c r="R14" s="424"/>
      <c r="S14" s="423" cm="1">
        <f t="array" ref="S14">IF(B14&gt;0,'Allocation OH and Target 2026'!$E$31,"N/A")</f>
        <v>3100447.15769812</v>
      </c>
      <c r="T14" s="423" cm="1">
        <f t="array" ref="T14">IF(B14&gt;0,VLOOKUP(C2,'Allocation OH and Target 2026'!$C$35:$S$87,17,0),"N/A")</f>
        <v>1134128.12857143</v>
      </c>
      <c r="U14" s="423" cm="1">
        <f t="array" ref="U14">_xlfn.IFERROR((S14+T14),"N/A")</f>
        <v>4234575.28626955</v>
      </c>
      <c r="V14" s="424"/>
      <c r="W14" s="423" cm="1">
        <f t="array" ref="W14">_xlfn.IFERROR(U14+Q14,"N/A")</f>
        <v>13336308.6196029</v>
      </c>
      <c r="X14" s="423" cm="1">
        <f t="array" ref="X14">_xlfn.IFERROR(W14*0.5%,"N/A")</f>
        <v>66681.5430980145</v>
      </c>
      <c r="Y14" s="423" cm="1">
        <f t="array" ref="Y14">_xlfn.IFERROR(W14*25%,"N/A")</f>
        <v>3334077.15490073</v>
      </c>
      <c r="Z14" s="425" cm="1">
        <f t="array" ref="Z14">IF(B14&gt;0,SUM(W14:Y14),"N/A")</f>
        <v>16737067.3176016</v>
      </c>
      <c r="AA14" s="425" cm="1">
        <f t="array" ref="AA14">_xlfn.IFERROR((Z14-Z13),"N/A")</f>
        <v>239705</v>
      </c>
      <c r="AB14" s="424"/>
      <c r="AC14" t="str" s="426" cm="1">
        <f t="array" ref="AC14">IF(B14=6,AVERAGE(Z14),"N/A")</f>
        <v>N/A</v>
      </c>
      <c r="AD14" s="424"/>
      <c r="AE14" s="423"/>
      <c r="AF14" s="423"/>
      <c r="AG14" s="423"/>
      <c r="AH14" s="423"/>
      <c r="AI14" s="423"/>
      <c r="AJ14" s="423"/>
      <c r="AK14" s="423"/>
      <c r="AL14" s="423"/>
      <c r="AM14" s="423"/>
      <c r="AN14" s="427"/>
    </row>
    <row r="15" ht="15" customHeight="1">
      <c r="A15" s="12"/>
      <c r="B15" s="428" cm="1">
        <f t="array" ref="B15">IF(B14=0,0,IF(B14&lt;VLOOKUP(C2,'Boats Data Sheet 2026'!$C$3:$H$57,6,0),B14+1,0))</f>
        <v>11</v>
      </c>
      <c r="C15" s="423" cm="1">
        <f t="array" ref="C15">IF(B15&gt;0,IF(VLOOKUP(C2,'Boats Data Sheet 2026'!$C$3:$J$57,8,0)="N/A",0,VLOOKUP(C2,'Boats Data Sheet 2026'!$C$3:$J$57,8,0)),"N/A")</f>
        <v>0</v>
      </c>
      <c r="D15" s="429" cm="1">
        <f t="array" ref="D15">IF(B15&gt;7,2,IF(B15=0,"N/A",1))</f>
        <v>2</v>
      </c>
      <c r="E15" s="423" cm="1">
        <f t="array" ref="E15">_xlfn.IFERROR(SUM('Direct Costs 2026'!$C$4:$C$5)*D15,"N/A")</f>
        <v>1751000</v>
      </c>
      <c r="F15" s="423" cm="1">
        <f t="array" ref="F15">_xlfn.IFERROR('Direct Costs 2026'!$C$43*B15,"N/A")</f>
        <v>66000</v>
      </c>
      <c r="G15" s="423" cm="1">
        <f t="array" ref="G15">IF(B15&gt;0,'Direct Costs 2026'!$C$25,"N/A")</f>
        <v>90000</v>
      </c>
      <c r="H15" s="423" cm="1">
        <f t="array" ref="H15">IF(B15&gt;0,('Direct Costs 2026'!$C$15+'Direct Costs 2026'!$C$17+'Direct Costs 2026'!$C$14),"N/A")</f>
        <v>580000</v>
      </c>
      <c r="I15" s="423" cm="1">
        <f t="array" ref="I15">IF(B15&gt;0,'Direct Costs 2026'!$C$19+'Direct Costs 2026'!$C$18*B15,"N/A")</f>
        <v>460000</v>
      </c>
      <c r="J15" s="423" cm="1">
        <f t="array" ref="J15">IF(B15&gt;0,SUM('Direct Costs 2026'!$C$20:$C$21),"N/A")</f>
        <v>98333.3333333333</v>
      </c>
      <c r="K15" s="423" cm="1">
        <f t="array" ref="K15">IF(B15&gt;0,'Direct Costs 2026'!$C$26,"N/A")</f>
        <v>20000</v>
      </c>
      <c r="L15" s="423" cm="1">
        <f t="array" ref="L15">IF(B15&gt;0,'Direct Costs 2026'!$C$23,"N/A")</f>
        <v>140000</v>
      </c>
      <c r="M15" s="423" cm="1">
        <f t="array" ref="M15">IF(B15&gt;0,'Direct Costs 2026'!$C$45*B15,"N/A")</f>
        <v>1650000</v>
      </c>
      <c r="N15" s="423" cm="1">
        <f t="array" ref="N15">IF(B15&gt;0,_xlfn.IFERROR(VLOOKUP(C2,'Boats Data Sheet 2026'!$C$3:$I$57,7,0)*'Direct Costs 2026'!$C$36,"N/A"),"N/A")</f>
        <v>3325000</v>
      </c>
      <c r="O15" s="423" cm="1">
        <f t="array" ref="O15">IF(B15&gt;0,IF(OR(VLOOKUP(C2,'Boats Data Sheet 2026'!$C$3:$F$57,4,0)="Own",VLOOKUP(C2,'Boats Data Sheet 2026'!$C$3:$F$57,4,0)="Management"),('Direct Costs 2026'!$C$37+'Direct Costs 2026'!$C$39),"N/A"),"N/A")</f>
        <v>1112400</v>
      </c>
      <c r="P15" s="423" cm="1">
        <f t="array" ref="P15">_xlfn.IFERROR('Direct Costs 2026'!$C$27*C15,"N/A")</f>
        <v>0</v>
      </c>
      <c r="Q15" s="423" cm="1">
        <f t="array" ref="Q15">_xlfn.IFERROR(C15+SUM(E15:P15),"N/A")</f>
        <v>9292733.33333333</v>
      </c>
      <c r="R15" s="424"/>
      <c r="S15" s="423" cm="1">
        <f t="array" ref="S15">IF(B15&gt;0,'Allocation OH and Target 2026'!$E$31,"N/A")</f>
        <v>3100447.15769812</v>
      </c>
      <c r="T15" s="423" cm="1">
        <f t="array" ref="T15">IF(B15&gt;0,VLOOKUP(C2,'Allocation OH and Target 2026'!$C$35:$S$87,17,0),"N/A")</f>
        <v>1134128.12857143</v>
      </c>
      <c r="U15" s="423" cm="1">
        <f t="array" ref="U15">_xlfn.IFERROR((S15+T15),"N/A")</f>
        <v>4234575.28626955</v>
      </c>
      <c r="V15" s="424"/>
      <c r="W15" s="423" cm="1">
        <f t="array" ref="W15">_xlfn.IFERROR(U15+Q15,"N/A")</f>
        <v>13527308.6196029</v>
      </c>
      <c r="X15" s="423" cm="1">
        <f t="array" ref="X15">_xlfn.IFERROR(W15*0.5%,"N/A")</f>
        <v>67636.5430980145</v>
      </c>
      <c r="Y15" s="423" cm="1">
        <f t="array" ref="Y15">_xlfn.IFERROR(W15*25%,"N/A")</f>
        <v>3381827.15490073</v>
      </c>
      <c r="Z15" s="425" cm="1">
        <f t="array" ref="Z15">IF(B15&gt;0,SUM(W15:Y15),"N/A")</f>
        <v>16976772.3176016</v>
      </c>
      <c r="AA15" s="425" cm="1">
        <f t="array" ref="AA15">_xlfn.IFERROR((Z15-Z14),"N/A")</f>
        <v>239705</v>
      </c>
      <c r="AB15" s="424"/>
      <c r="AC15" t="str" s="426" cm="1">
        <f t="array" ref="AC15">IF(B15=6,AVERAGE(Z15),"N/A")</f>
        <v>N/A</v>
      </c>
      <c r="AD15" s="424"/>
      <c r="AE15" s="423"/>
      <c r="AF15" s="423"/>
      <c r="AG15" s="423"/>
      <c r="AH15" s="423"/>
      <c r="AI15" s="423"/>
      <c r="AJ15" s="423"/>
      <c r="AK15" s="423"/>
      <c r="AL15" s="423"/>
      <c r="AM15" s="423"/>
      <c r="AN15" s="427"/>
    </row>
    <row r="16" ht="15" customHeight="1">
      <c r="A16" s="12"/>
      <c r="B16" s="428" cm="1">
        <f t="array" ref="B16">IF(B15=0,0,IF(B15&lt;VLOOKUP(C2,'Boats Data Sheet 2026'!$C$3:$H$57,6,0),B15+1,0))</f>
        <v>12</v>
      </c>
      <c r="C16" s="423" cm="1">
        <f t="array" ref="C16">IF(B16&gt;0,IF(VLOOKUP(C2,'Boats Data Sheet 2026'!$C$3:$J$57,8,0)="N/A",0,VLOOKUP(C2,'Boats Data Sheet 2026'!$C$3:$J$57,8,0)),"N/A")</f>
        <v>0</v>
      </c>
      <c r="D16" s="429" cm="1">
        <f t="array" ref="D16">IF(B16&gt;7,2,IF(B16=0,"N/A",1))</f>
        <v>2</v>
      </c>
      <c r="E16" s="423" cm="1">
        <f t="array" ref="E16">_xlfn.IFERROR(SUM('Direct Costs 2026'!$C$4:$C$5)*D16,"N/A")</f>
        <v>1751000</v>
      </c>
      <c r="F16" s="423" cm="1">
        <f t="array" ref="F16">_xlfn.IFERROR('Direct Costs 2026'!$C$43*B16,"N/A")</f>
        <v>72000</v>
      </c>
      <c r="G16" s="423" cm="1">
        <f t="array" ref="G16">IF(B16&gt;0,'Direct Costs 2026'!$C$25,"N/A")</f>
        <v>90000</v>
      </c>
      <c r="H16" s="423" cm="1">
        <f t="array" ref="H16">IF(B16&gt;0,('Direct Costs 2026'!$C$15+'Direct Costs 2026'!$C$17+'Direct Costs 2026'!$C$14),"N/A")</f>
        <v>580000</v>
      </c>
      <c r="I16" s="423" cm="1">
        <f t="array" ref="I16">IF(B16&gt;0,'Direct Costs 2026'!$C$19+'Direct Costs 2026'!$C$18*B16,"N/A")</f>
        <v>495000</v>
      </c>
      <c r="J16" s="423" cm="1">
        <f t="array" ref="J16">IF(B16&gt;0,SUM('Direct Costs 2026'!$C$20:$C$21),"N/A")</f>
        <v>98333.3333333333</v>
      </c>
      <c r="K16" s="423" cm="1">
        <f t="array" ref="K16">IF(B16&gt;0,'Direct Costs 2026'!$C$26,"N/A")</f>
        <v>20000</v>
      </c>
      <c r="L16" s="423" cm="1">
        <f t="array" ref="L16">IF(B16&gt;0,'Direct Costs 2026'!$C$23,"N/A")</f>
        <v>140000</v>
      </c>
      <c r="M16" s="423" cm="1">
        <f t="array" ref="M16">IF(B16&gt;0,'Direct Costs 2026'!$C$45*B16,"N/A")</f>
        <v>1800000</v>
      </c>
      <c r="N16" s="423" cm="1">
        <f t="array" ref="N16">IF(B16&gt;0,_xlfn.IFERROR(VLOOKUP(C2,'Boats Data Sheet 2026'!$C$3:$I$57,7,0)*'Direct Costs 2026'!$C$36,"N/A"),"N/A")</f>
        <v>3325000</v>
      </c>
      <c r="O16" s="423" cm="1">
        <f t="array" ref="O16">IF(B16&gt;0,IF(OR(VLOOKUP(C2,'Boats Data Sheet 2026'!$C$3:$F$57,4,0)="Own",VLOOKUP(C2,'Boats Data Sheet 2026'!$C$3:$F$57,4,0)="Management"),('Direct Costs 2026'!$C$37+'Direct Costs 2026'!$C$39),"N/A"),"N/A")</f>
        <v>1112400</v>
      </c>
      <c r="P16" s="423" cm="1">
        <f t="array" ref="P16">_xlfn.IFERROR('Direct Costs 2026'!$C$27*C16,"N/A")</f>
        <v>0</v>
      </c>
      <c r="Q16" s="423" cm="1">
        <f t="array" ref="Q16">_xlfn.IFERROR(C16+SUM(E16:P16),"N/A")</f>
        <v>9483733.33333333</v>
      </c>
      <c r="R16" s="424"/>
      <c r="S16" s="423" cm="1">
        <f t="array" ref="S16">IF(B16&gt;0,'Allocation OH and Target 2026'!$E$31,"N/A")</f>
        <v>3100447.15769812</v>
      </c>
      <c r="T16" s="423" cm="1">
        <f t="array" ref="T16">IF(B17&gt;0,VLOOKUP(C2,'Allocation OH and Target 2026'!$C$35:$S$87,17,0),"N/A")</f>
        <v>1134128.12857143</v>
      </c>
      <c r="U16" s="423" cm="1">
        <f t="array" ref="U16">_xlfn.IFERROR((S16+T16),"N/A")</f>
        <v>4234575.28626955</v>
      </c>
      <c r="V16" s="424"/>
      <c r="W16" s="423" cm="1">
        <f t="array" ref="W16">_xlfn.IFERROR(U16+Q16,"N/A")</f>
        <v>13718308.6196029</v>
      </c>
      <c r="X16" s="423" cm="1">
        <f t="array" ref="X16">_xlfn.IFERROR(W16*0.5%,"N/A")</f>
        <v>68591.5430980145</v>
      </c>
      <c r="Y16" s="423" cm="1">
        <f t="array" ref="Y16">_xlfn.IFERROR(W16*25%,"N/A")</f>
        <v>3429577.15490073</v>
      </c>
      <c r="Z16" s="425" cm="1">
        <f t="array" ref="Z16">IF(B16&gt;0,SUM(W16:Y16),"N/A")</f>
        <v>17216477.3176016</v>
      </c>
      <c r="AA16" s="425" cm="1">
        <f t="array" ref="AA16">_xlfn.IFERROR((Z16-Z15),"N/A")</f>
        <v>239705</v>
      </c>
      <c r="AB16" s="424"/>
      <c r="AC16" t="str" s="426" cm="1">
        <f t="array" ref="AC16">IF(B16=6,AVERAGE(Z16),"N/A")</f>
        <v>N/A</v>
      </c>
      <c r="AD16" s="424"/>
      <c r="AE16" s="423"/>
      <c r="AF16" s="423"/>
      <c r="AG16" s="423"/>
      <c r="AH16" s="423"/>
      <c r="AI16" s="423"/>
      <c r="AJ16" s="423"/>
      <c r="AK16" s="423"/>
      <c r="AL16" s="423"/>
      <c r="AM16" s="423"/>
      <c r="AN16" s="427"/>
    </row>
    <row r="17" ht="15" customHeight="1">
      <c r="A17" s="12"/>
      <c r="B17" s="428" cm="1">
        <f t="array" ref="B17">IF(B16=0,0,IF(B16&lt;VLOOKUP(C2,'Boats Data Sheet 2026'!$C$3:$H$57,6,0),B16+1,0))</f>
        <v>13</v>
      </c>
      <c r="C17" s="423" cm="1">
        <f t="array" ref="C17">IF(B17&gt;0,IF(VLOOKUP(C2,'Boats Data Sheet 2026'!$C$3:$J$57,8,0)="N/A",0,VLOOKUP(C2,'Boats Data Sheet 2026'!$C$3:$J$57,8,0)),"N/A")</f>
        <v>0</v>
      </c>
      <c r="D17" s="429" cm="1">
        <f t="array" ref="D17">IF(B17&gt;7,2,IF(B17=0,"N/A",1))</f>
        <v>2</v>
      </c>
      <c r="E17" s="423" cm="1">
        <f t="array" ref="E17">_xlfn.IFERROR(SUM('Direct Costs 2026'!$C$4:$C$5)*D17,"N/A")</f>
        <v>1751000</v>
      </c>
      <c r="F17" s="423" cm="1">
        <f t="array" ref="F17">_xlfn.IFERROR('Direct Costs 2026'!$C$43*B17,"N/A")</f>
        <v>78000</v>
      </c>
      <c r="G17" s="423" cm="1">
        <f t="array" ref="G17">IF(B17&gt;0,'Direct Costs 2026'!$C$25,"N/A")</f>
        <v>90000</v>
      </c>
      <c r="H17" s="423" cm="1">
        <f t="array" ref="H17">IF(B17&gt;0,('Direct Costs 2026'!$C$15+'Direct Costs 2026'!$C$17+'Direct Costs 2026'!$C$14),"N/A")</f>
        <v>580000</v>
      </c>
      <c r="I17" s="423" cm="1">
        <f t="array" ref="I17">IF(B17&gt;0,'Direct Costs 2026'!$C$19+'Direct Costs 2026'!$C$18*B17,"N/A")</f>
        <v>530000</v>
      </c>
      <c r="J17" s="423" cm="1">
        <f t="array" ref="J17">IF(B17&gt;0,SUM('Direct Costs 2026'!$C$20:$C$21),"N/A")</f>
        <v>98333.3333333333</v>
      </c>
      <c r="K17" s="423" cm="1">
        <f t="array" ref="K17">IF(B17&gt;0,'Direct Costs 2026'!$C$26,"N/A")</f>
        <v>20000</v>
      </c>
      <c r="L17" s="423" cm="1">
        <f t="array" ref="L17">IF(B17&gt;0,'Direct Costs 2026'!$C$23,"N/A")</f>
        <v>140000</v>
      </c>
      <c r="M17" s="423" cm="1">
        <f t="array" ref="M17">IF(B17&gt;0,'Direct Costs 2026'!$C$45*B17,"N/A")</f>
        <v>1950000</v>
      </c>
      <c r="N17" s="423" cm="1">
        <f t="array" ref="N17">IF(B17&gt;0,_xlfn.IFERROR(VLOOKUP(C2,'Boats Data Sheet 2026'!$C$3:$I$57,7,0)*'Direct Costs 2026'!$C$36,"N/A"),"N/A")</f>
        <v>3325000</v>
      </c>
      <c r="O17" s="423" cm="1">
        <f t="array" ref="O17">IF(B17&gt;0,IF(OR(VLOOKUP(C2,'Boats Data Sheet 2026'!$C$3:$F$57,4,0)="Own",VLOOKUP(C2,'Boats Data Sheet 2026'!$C$3:$F$57,4,0)="Management"),('Direct Costs 2026'!$C$37+'Direct Costs 2026'!$C$39),"N/A"),"N/A")</f>
        <v>1112400</v>
      </c>
      <c r="P17" s="423" cm="1">
        <f t="array" ref="P17">_xlfn.IFERROR('Direct Costs 2026'!$C$27*C17,"N/A")</f>
        <v>0</v>
      </c>
      <c r="Q17" s="423" cm="1">
        <f t="array" ref="Q17">_xlfn.IFERROR(C17+SUM(E17:P17),"N/A")</f>
        <v>9674733.33333333</v>
      </c>
      <c r="R17" s="424"/>
      <c r="S17" s="423" cm="1">
        <f t="array" ref="S17">IF(B17&gt;0,'Allocation OH and Target 2026'!$E$31,"N/A")</f>
        <v>3100447.15769812</v>
      </c>
      <c r="T17" s="423" cm="1">
        <f t="array" ref="T17">IF(B17&gt;0,VLOOKUP(C2,'Allocation OH and Target 2026'!$C$35:$S$87,17,0),"N/A")</f>
        <v>1134128.12857143</v>
      </c>
      <c r="U17" s="423" cm="1">
        <f t="array" ref="U17">_xlfn.IFERROR((S17+T17),"N/A")</f>
        <v>4234575.28626955</v>
      </c>
      <c r="V17" s="424"/>
      <c r="W17" s="423" cm="1">
        <f t="array" ref="W17">_xlfn.IFERROR(U17+Q17,"N/A")</f>
        <v>13909308.6196029</v>
      </c>
      <c r="X17" s="423" cm="1">
        <f t="array" ref="X17">_xlfn.IFERROR(W17*0.5%,"N/A")</f>
        <v>69546.5430980145</v>
      </c>
      <c r="Y17" s="423" cm="1">
        <f t="array" ref="Y17">_xlfn.IFERROR(W17*25%,"N/A")</f>
        <v>3477327.15490073</v>
      </c>
      <c r="Z17" s="425" cm="1">
        <f t="array" ref="Z17">IF(B17&gt;0,SUM(W17:Y17),"N/A")</f>
        <v>17456182.3176016</v>
      </c>
      <c r="AA17" s="425" cm="1">
        <f t="array" ref="AA17">_xlfn.IFERROR((Z17-Z16),"N/A")</f>
        <v>239705</v>
      </c>
      <c r="AB17" s="424"/>
      <c r="AC17" t="str" s="426" cm="1">
        <f t="array" ref="AC17">IF(B17=6,AVERAGE(Z17),"N/A")</f>
        <v>N/A</v>
      </c>
      <c r="AD17" s="424"/>
      <c r="AE17" s="423"/>
      <c r="AF17" s="423"/>
      <c r="AG17" s="423"/>
      <c r="AH17" s="423"/>
      <c r="AI17" s="423"/>
      <c r="AJ17" s="423"/>
      <c r="AK17" s="423"/>
      <c r="AL17" s="423"/>
      <c r="AM17" s="423"/>
      <c r="AN17" s="427"/>
    </row>
    <row r="18" ht="15" customHeight="1">
      <c r="A18" s="12"/>
      <c r="B18" s="428" cm="1">
        <f t="array" ref="B18">IF(B17=0,0,IF(B17&lt;VLOOKUP(C2,'Boats Data Sheet 2026'!$C$3:$H$57,6,0),B17+1,0))</f>
        <v>14</v>
      </c>
      <c r="C18" s="423" cm="1">
        <f t="array" ref="C18">IF(B18&gt;0,IF(VLOOKUP(C2,'Boats Data Sheet 2026'!$C$3:$J$57,8,0)="N/A",0,VLOOKUP(C2,'Boats Data Sheet 2026'!$C$3:$J$57,8,0)),"N/A")</f>
        <v>0</v>
      </c>
      <c r="D18" s="430" cm="1">
        <f t="array" ref="D18">IF(B18&gt;7,2,IF(B18=0,"N/A",1))</f>
        <v>2</v>
      </c>
      <c r="E18" s="423" cm="1">
        <f t="array" ref="E18">_xlfn.IFERROR(SUM('Direct Costs 2026'!$C$4:$C$5)*D18,"N/A")</f>
        <v>1751000</v>
      </c>
      <c r="F18" s="423" cm="1">
        <f t="array" ref="F18">_xlfn.IFERROR('Direct Costs 2026'!$C$43*B18,"N/A")</f>
        <v>84000</v>
      </c>
      <c r="G18" s="423" cm="1">
        <f t="array" ref="G18">IF(B18&gt;0,'Direct Costs 2026'!$C$25,"N/A")</f>
        <v>90000</v>
      </c>
      <c r="H18" s="423" cm="1">
        <f t="array" ref="H18">IF(B18&gt;0,('Direct Costs 2026'!$C$15+'Direct Costs 2026'!$C$17+'Direct Costs 2026'!$C$14),"N/A")</f>
        <v>580000</v>
      </c>
      <c r="I18" s="423" cm="1">
        <f t="array" ref="I18">IF(B18&gt;0,'Direct Costs 2026'!$C$19+'Direct Costs 2026'!$C$18*B18,"N/A")</f>
        <v>565000</v>
      </c>
      <c r="J18" s="423" cm="1">
        <f t="array" ref="J18">IF(B18&gt;0,SUM('Direct Costs 2026'!$C$20:$C$21),"N/A")</f>
        <v>98333.3333333333</v>
      </c>
      <c r="K18" s="423" cm="1">
        <f t="array" ref="K18">IF(B18&gt;0,'Direct Costs 2026'!$C$26,"N/A")</f>
        <v>20000</v>
      </c>
      <c r="L18" s="423" cm="1">
        <f t="array" ref="L18">IF(B18&gt;0,'Direct Costs 2026'!$C$23,"N/A")</f>
        <v>140000</v>
      </c>
      <c r="M18" s="423" cm="1">
        <f t="array" ref="M18">IF(B18&gt;0,'Direct Costs 2026'!$C$45*B18,"N/A")</f>
        <v>2100000</v>
      </c>
      <c r="N18" s="423" cm="1">
        <f t="array" ref="N18">IF(B18&gt;0,_xlfn.IFERROR(VLOOKUP(C2,'Boats Data Sheet 2026'!$C$3:$I$57,7,0)*'Direct Costs 2026'!$C$36,"N/A"),"N/A")</f>
        <v>3325000</v>
      </c>
      <c r="O18" s="423" cm="1">
        <f t="array" ref="O18">IF(B18&gt;0,IF(OR(VLOOKUP(C2,'Boats Data Sheet 2026'!$C$3:$F$57,4,0)="Own",VLOOKUP(C2,'Boats Data Sheet 2026'!$C$3:$F$57,4,0)="Management"),('Direct Costs 2026'!$C$37+'Direct Costs 2026'!$C$39),"N/A"),"N/A")</f>
        <v>1112400</v>
      </c>
      <c r="P18" s="423" cm="1">
        <f t="array" ref="P18">_xlfn.IFERROR('Direct Costs 2026'!$C$27*C18,"N/A")</f>
        <v>0</v>
      </c>
      <c r="Q18" s="423" cm="1">
        <f t="array" ref="Q18">_xlfn.IFERROR(C18+SUM(E18:P18),"N/A")</f>
        <v>9865733.33333333</v>
      </c>
      <c r="R18" s="424"/>
      <c r="S18" s="423" cm="1">
        <f t="array" ref="S18">IF(B18&gt;0,'Allocation OH and Target 2026'!$E$31,"N/A")</f>
        <v>3100447.15769812</v>
      </c>
      <c r="T18" s="423" cm="1">
        <f t="array" ref="T18">IF(B18&gt;0,VLOOKUP(C2,'Allocation OH and Target 2026'!$C$35:$S$87,17,0),"N/A")</f>
        <v>1134128.12857143</v>
      </c>
      <c r="U18" s="423" cm="1">
        <f t="array" ref="U18">_xlfn.IFERROR((S18+T18),"N/A")</f>
        <v>4234575.28626955</v>
      </c>
      <c r="V18" s="424"/>
      <c r="W18" s="423" cm="1">
        <f t="array" ref="W18">_xlfn.IFERROR(U18+Q18,"N/A")</f>
        <v>14100308.6196029</v>
      </c>
      <c r="X18" s="423" cm="1">
        <f t="array" ref="X18">_xlfn.IFERROR(W18*0.5%,"N/A")</f>
        <v>70501.5430980145</v>
      </c>
      <c r="Y18" s="423" cm="1">
        <f t="array" ref="Y18">_xlfn.IFERROR(W18*25%,"N/A")</f>
        <v>3525077.15490073</v>
      </c>
      <c r="Z18" s="425" cm="1">
        <f t="array" ref="Z18">IF(B18&gt;0,SUM(W18:Y18),"N/A")</f>
        <v>17695887.3176016</v>
      </c>
      <c r="AA18" s="425" cm="1">
        <f t="array" ref="AA18">_xlfn.IFERROR((Z18-Z17),"N/A")</f>
        <v>239705</v>
      </c>
      <c r="AB18" s="424"/>
      <c r="AC18" t="str" s="426" cm="1">
        <f t="array" ref="AC18">IF(B18=6,AVERAGE(Z18),"N/A")</f>
        <v>N/A</v>
      </c>
      <c r="AD18" s="424"/>
      <c r="AE18" s="423"/>
      <c r="AF18" s="423"/>
      <c r="AG18" s="423"/>
      <c r="AH18" s="423"/>
      <c r="AI18" s="423"/>
      <c r="AJ18" s="423"/>
      <c r="AK18" s="423"/>
      <c r="AL18" s="423"/>
      <c r="AM18" s="423"/>
      <c r="AN18" s="427"/>
    </row>
    <row r="19" ht="15" customHeight="1">
      <c r="A19" s="12"/>
      <c r="B19" s="428" cm="1">
        <f t="array" ref="B19">IF(B18=0,0,IF(B18&lt;VLOOKUP(C2,'Boats Data Sheet 2026'!$C$3:$H$57,6,0),B18+1,0))</f>
        <v>0</v>
      </c>
      <c r="C19" t="str" s="431" cm="1">
        <f t="array" ref="C19">IF(B19&gt;0,IF(VLOOKUP(C2,'Boats Data Sheet 2026'!$C$3:$J$57,8,0)="N/A",0,VLOOKUP(C2,'Boats Data Sheet 2026'!$C$3:$J$57,8,0)),"N/A")</f>
        <v>N/A</v>
      </c>
      <c r="D19" t="str" s="431" cm="1">
        <f t="array" ref="D19">IF(B19&gt;7,2,IF(B19=0,"N/A",1))</f>
        <v>N/A</v>
      </c>
      <c r="E19" t="str" s="431" cm="1">
        <f t="array" ref="E19">_xlfn.IFERROR(SUM('Direct Costs 2026'!$C$4:$C$5)*D19,"N/A")</f>
        <v>N/A</v>
      </c>
      <c r="F19" s="423" cm="1">
        <f t="array" ref="F19">_xlfn.IFERROR('Direct Costs 2026'!$C$43*B19,"N/A")</f>
        <v>0</v>
      </c>
      <c r="G19" t="str" s="431" cm="1">
        <f t="array" ref="G19">IF(B19&gt;0,'Direct Costs 2026'!$C$25,"N/A")</f>
        <v>N/A</v>
      </c>
      <c r="H19" t="str" s="431" cm="1">
        <f t="array" ref="H19">IF(B19&gt;0,('Direct Costs 2026'!$C$15+'Direct Costs 2026'!$C$17+'Direct Costs 2026'!$C$14),"N/A")</f>
        <v>N/A</v>
      </c>
      <c r="I19" t="str" s="431" cm="1">
        <f t="array" ref="I19">IF(B19&gt;0,'Direct Costs 2026'!$C$19+'Direct Costs 2026'!$C$18*B19,"N/A")</f>
        <v>N/A</v>
      </c>
      <c r="J19" t="str" s="431" cm="1">
        <f t="array" ref="J19">IF(B19&gt;0,SUM('Direct Costs 2026'!$C$20:$C$21),"N/A")</f>
        <v>N/A</v>
      </c>
      <c r="K19" t="str" s="431" cm="1">
        <f t="array" ref="K19">IF(B19&gt;0,'Direct Costs 2026'!$C$26,"N/A")</f>
        <v>N/A</v>
      </c>
      <c r="L19" t="str" s="431" cm="1">
        <f t="array" ref="L19">IF(B19&gt;0,'Direct Costs 2026'!$C$23,"N/A")</f>
        <v>N/A</v>
      </c>
      <c r="M19" t="str" s="431" cm="1">
        <f t="array" ref="M19">IF(B19&gt;0,'Direct Costs 2026'!$C$45*B19,"N/A")</f>
        <v>N/A</v>
      </c>
      <c r="N19" t="str" s="431" cm="1">
        <f t="array" ref="N19">IF(B19&gt;0,_xlfn.IFERROR(VLOOKUP(C2,'Boats Data Sheet 2026'!$C$3:$I$57,7,0)*'Direct Costs 2026'!$C$36,"N/A"),"N/A")</f>
        <v>N/A</v>
      </c>
      <c r="O19" t="str" s="431" cm="1">
        <f t="array" ref="O19">IF(B19&gt;0,IF(OR(VLOOKUP(C2,'Boats Data Sheet 2026'!$C$3:$F$57,4,0)="Own",VLOOKUP(C2,'Boats Data Sheet 2026'!$C$3:$F$57,4,0)="Management"),('Direct Costs 2026'!$C$37+'Direct Costs 2026'!$C$39),"N/A"),"N/A")</f>
        <v>N/A</v>
      </c>
      <c r="P19" t="str" s="431" cm="1">
        <f t="array" ref="P19">_xlfn.IFERROR('Direct Costs 2026'!$C$27*C19,"N/A")</f>
        <v>N/A</v>
      </c>
      <c r="Q19" t="str" s="431" cm="1">
        <f t="array" ref="Q19">_xlfn.IFERROR(C19+SUM(E19:P19),"N/A")</f>
        <v>N/A</v>
      </c>
      <c r="R19" s="424"/>
      <c r="S19" t="str" s="431" cm="1">
        <f t="array" ref="S19">IF(B19&gt;0,'Allocation OH and Target 2026'!$E$31,"N/A")</f>
        <v>N/A</v>
      </c>
      <c r="T19" t="str" s="431" cm="1">
        <f t="array" ref="T19">IF(B19&gt;0,VLOOKUP(C2,'Allocation OH and Target 2026'!$C$35:$S$87,16,0),"N/A")</f>
        <v>N/A</v>
      </c>
      <c r="U19" t="str" s="431" cm="1">
        <f t="array" ref="U19">_xlfn.IFERROR((S19+T19),"N/A")</f>
        <v>N/A</v>
      </c>
      <c r="V19" s="424"/>
      <c r="W19" t="str" s="431" cm="1">
        <f t="array" ref="W19">_xlfn.IFERROR(U19+Q19,"N/A")</f>
        <v>N/A</v>
      </c>
      <c r="X19" t="str" s="431" cm="1">
        <f t="array" ref="X19">_xlfn.IFERROR(W19*0.5%,"N/A")</f>
        <v>N/A</v>
      </c>
      <c r="Y19" t="str" s="431" cm="1">
        <f t="array" ref="Y19">_xlfn.IFERROR(W19*25%,"N/A")</f>
        <v>N/A</v>
      </c>
      <c r="Z19" t="str" s="426" cm="1">
        <f t="array" ref="Z19">IF(B19&gt;0,SUM(W19:Y19),"N/A")</f>
        <v>N/A</v>
      </c>
      <c r="AA19" t="str" s="426" cm="1">
        <f t="array" ref="AA19">_xlfn.IFERROR((Z19-Z18),"N/A")</f>
        <v>N/A</v>
      </c>
      <c r="AB19" s="424"/>
      <c r="AC19" t="str" s="426" cm="1">
        <f t="array" ref="AC19">IF(B19=6,AVERAGE(Z19),"N/A")</f>
        <v>N/A</v>
      </c>
      <c r="AD19" s="424"/>
      <c r="AE19" s="423"/>
      <c r="AF19" s="423"/>
      <c r="AG19" s="423"/>
      <c r="AH19" s="423"/>
      <c r="AI19" s="423"/>
      <c r="AJ19" s="423"/>
      <c r="AK19" s="423"/>
      <c r="AL19" s="423"/>
      <c r="AM19" s="423"/>
      <c r="AN19" s="427"/>
    </row>
    <row r="20" ht="15" customHeight="1">
      <c r="A20" s="12"/>
      <c r="B20" s="428" cm="1">
        <f t="array" ref="B20">IF(B19=0,0,IF(B19&lt;VLOOKUP(C2,'Boats Data Sheet 2026'!$C$3:$H$57,6,0),B19+1,0))</f>
        <v>0</v>
      </c>
      <c r="C20" t="str" s="431" cm="1">
        <f t="array" ref="C20">IF(B20&gt;0,IF(VLOOKUP(C2,'Boats Data Sheet 2026'!$C$3:$J$57,8,0)="N/A",0,VLOOKUP(C2,'Boats Data Sheet 2026'!$C$3:$J$57,8,0)),"N/A")</f>
        <v>N/A</v>
      </c>
      <c r="D20" t="str" s="431" cm="1">
        <f t="array" ref="D20">IF(B20&gt;7,2,IF(B20=0,"N/A",1))</f>
        <v>N/A</v>
      </c>
      <c r="E20" t="str" s="431" cm="1">
        <f t="array" ref="E20">_xlfn.IFERROR(SUM('Direct Costs 2026'!$C$4:$C$5)*D20,"N/A")</f>
        <v>N/A</v>
      </c>
      <c r="F20" s="423" cm="1">
        <f t="array" ref="F20">_xlfn.IFERROR('Direct Costs 2026'!$C$43*B20,"N/A")</f>
        <v>0</v>
      </c>
      <c r="G20" t="str" s="431" cm="1">
        <f t="array" ref="G20">IF(B20&gt;0,'Direct Costs 2026'!$C$25,"N/A")</f>
        <v>N/A</v>
      </c>
      <c r="H20" t="str" s="431" cm="1">
        <f t="array" ref="H20">IF(B20&gt;0,('Direct Costs 2026'!$C$15+'Direct Costs 2026'!$C$17+'Direct Costs 2026'!$C$14),"N/A")</f>
        <v>N/A</v>
      </c>
      <c r="I20" t="str" s="431" cm="1">
        <f t="array" ref="I20">IF(B20&gt;0,'Direct Costs 2026'!$C$19+'Direct Costs 2026'!$C$18*B20,"N/A")</f>
        <v>N/A</v>
      </c>
      <c r="J20" t="str" s="431" cm="1">
        <f t="array" ref="J20">IF(B20&gt;0,SUM('Direct Costs 2026'!$C$20:$C$21),"N/A")</f>
        <v>N/A</v>
      </c>
      <c r="K20" t="str" s="431" cm="1">
        <f t="array" ref="K20">IF(B20&gt;0,'Direct Costs 2026'!$C$26,"N/A")</f>
        <v>N/A</v>
      </c>
      <c r="L20" t="str" s="431" cm="1">
        <f t="array" ref="L20">IF(B20&gt;0,'Direct Costs 2026'!$C$23,"N/A")</f>
        <v>N/A</v>
      </c>
      <c r="M20" t="str" s="431" cm="1">
        <f t="array" ref="M20">IF(B20&gt;0,'Direct Costs 2026'!$C$45*B20,"N/A")</f>
        <v>N/A</v>
      </c>
      <c r="N20" t="str" s="431" cm="1">
        <f t="array" ref="N20">IF(B20&gt;0,_xlfn.IFERROR(VLOOKUP(C2,'Boats Data Sheet 2026'!$C$3:$I$57,7,0)*'Direct Costs 2026'!$C$36,"N/A"),"N/A")</f>
        <v>N/A</v>
      </c>
      <c r="O20" t="str" s="431" cm="1">
        <f t="array" ref="O20">IF(B20&gt;0,IF(OR(VLOOKUP(C2,'Boats Data Sheet 2026'!$C$3:$F$57,4,0)="Own",VLOOKUP(C2,'Boats Data Sheet 2026'!$C$3:$F$57,4,0)="Management"),('Direct Costs 2026'!$C$37+'Direct Costs 2026'!$C$39),"N/A"),"N/A")</f>
        <v>N/A</v>
      </c>
      <c r="P20" t="str" s="431" cm="1">
        <f t="array" ref="P20">_xlfn.IFERROR('Direct Costs 2026'!$C$27*C20,"N/A")</f>
        <v>N/A</v>
      </c>
      <c r="Q20" t="str" s="431" cm="1">
        <f t="array" ref="Q20">_xlfn.IFERROR(C20+SUM(E20:P20),"N/A")</f>
        <v>N/A</v>
      </c>
      <c r="R20" s="424"/>
      <c r="S20" t="str" s="431" cm="1">
        <f t="array" ref="S20">IF(B20&gt;0,'Allocation OH and Target 2026'!$E$31,"N/A")</f>
        <v>N/A</v>
      </c>
      <c r="T20" t="str" s="431" cm="1">
        <f t="array" ref="T20">IF(B20&gt;0,VLOOKUP(C2,'Allocation OH and Target 2026'!$C$35:$S$87,16,0),"N/A")</f>
        <v>N/A</v>
      </c>
      <c r="U20" t="str" s="431" cm="1">
        <f t="array" ref="U20">_xlfn.IFERROR((S20+T20),"N/A")</f>
        <v>N/A</v>
      </c>
      <c r="V20" s="424"/>
      <c r="W20" t="str" s="431" cm="1">
        <f t="array" ref="W20">_xlfn.IFERROR(U20+Q20,"N/A")</f>
        <v>N/A</v>
      </c>
      <c r="X20" t="str" s="431" cm="1">
        <f t="array" ref="X20">_xlfn.IFERROR(W20*0.5%,"N/A")</f>
        <v>N/A</v>
      </c>
      <c r="Y20" t="str" s="431" cm="1">
        <f t="array" ref="Y20">_xlfn.IFERROR(W20*25%,"N/A")</f>
        <v>N/A</v>
      </c>
      <c r="Z20" t="str" s="426" cm="1">
        <f t="array" ref="Z20">IF(B20&gt;0,SUM(W20:Y20),"N/A")</f>
        <v>N/A</v>
      </c>
      <c r="AA20" t="str" s="426" cm="1">
        <f t="array" ref="AA20">_xlfn.IFERROR((Z20-Z19),"N/A")</f>
        <v>N/A</v>
      </c>
      <c r="AB20" s="424"/>
      <c r="AC20" t="str" s="426" cm="1">
        <f t="array" ref="AC20">IF(B20=6,AVERAGE(Z20),"N/A")</f>
        <v>N/A</v>
      </c>
      <c r="AD20" s="424"/>
      <c r="AE20" s="423"/>
      <c r="AF20" s="423"/>
      <c r="AG20" s="423"/>
      <c r="AH20" s="423"/>
      <c r="AI20" s="423"/>
      <c r="AJ20" s="423"/>
      <c r="AK20" s="423"/>
      <c r="AL20" s="423"/>
      <c r="AM20" s="423"/>
      <c r="AN20" s="427"/>
    </row>
    <row r="21" ht="15" customHeight="1">
      <c r="A21" s="12"/>
      <c r="B21" s="428" cm="1">
        <f t="array" ref="B21">IF(B20=0,0,IF(B20&lt;VLOOKUP(C2,'Boats Data Sheet 2026'!$C$3:$H$57,6,0),B20+1,0))</f>
        <v>0</v>
      </c>
      <c r="C21" t="str" s="431" cm="1">
        <f t="array" ref="C21">IF(B21&gt;0,IF(VLOOKUP(C2,'Boats Data Sheet 2026'!$C$3:$J$57,8,0)="N/A",0,VLOOKUP(C2,'Boats Data Sheet 2026'!$C$3:$J$57,8,0)),"N/A")</f>
        <v>N/A</v>
      </c>
      <c r="D21" t="str" s="431" cm="1">
        <f t="array" ref="D21">IF(B21&gt;7,2,IF(B21=0,"N/A",1))</f>
        <v>N/A</v>
      </c>
      <c r="E21" t="str" s="431" cm="1">
        <f t="array" ref="E21">_xlfn.IFERROR(SUM('Direct Costs 2026'!$C$4:$C$5)*D21,"N/A")</f>
        <v>N/A</v>
      </c>
      <c r="F21" s="423" cm="1">
        <f t="array" ref="F21">_xlfn.IFERROR('Direct Costs 2026'!$C$43*B21,"N/A")</f>
        <v>0</v>
      </c>
      <c r="G21" t="str" s="431" cm="1">
        <f t="array" ref="G21">IF(B21&gt;0,'Direct Costs 2026'!$C$25,"N/A")</f>
        <v>N/A</v>
      </c>
      <c r="H21" t="str" s="431" cm="1">
        <f t="array" ref="H21">IF(B21&gt;0,('Direct Costs 2026'!$C$15+'Direct Costs 2026'!$C$17+'Direct Costs 2026'!$C$14),"N/A")</f>
        <v>N/A</v>
      </c>
      <c r="I21" t="str" s="431" cm="1">
        <f t="array" ref="I21">IF(B21&gt;0,'Direct Costs 2026'!$C$19+'Direct Costs 2026'!$C$18*B21,"N/A")</f>
        <v>N/A</v>
      </c>
      <c r="J21" t="str" s="431" cm="1">
        <f t="array" ref="J21">IF(B21&gt;0,SUM('Direct Costs 2026'!$C$20:$C$21),"N/A")</f>
        <v>N/A</v>
      </c>
      <c r="K21" t="str" s="431" cm="1">
        <f t="array" ref="K21">IF(B21&gt;0,'Direct Costs 2026'!$C$26,"N/A")</f>
        <v>N/A</v>
      </c>
      <c r="L21" t="str" s="431" cm="1">
        <f t="array" ref="L21">IF(B21&gt;0,'Direct Costs 2026'!$C$23,"N/A")</f>
        <v>N/A</v>
      </c>
      <c r="M21" t="str" s="431" cm="1">
        <f t="array" ref="M21">IF(B21&gt;0,'Direct Costs 2026'!$C$45*B21,"N/A")</f>
        <v>N/A</v>
      </c>
      <c r="N21" t="str" s="431" cm="1">
        <f t="array" ref="N21">IF(B21&gt;0,_xlfn.IFERROR(VLOOKUP(C2,'Boats Data Sheet 2026'!$C$3:$I$57,7,0)*'Direct Costs 2026'!$C$36,"N/A"),"N/A")</f>
        <v>N/A</v>
      </c>
      <c r="O21" t="str" s="431" cm="1">
        <f t="array" ref="O21">IF(B21&gt;0,IF(OR(VLOOKUP(C2,'Boats Data Sheet 2026'!$C$3:$F$57,4,0)="Own",VLOOKUP(C2,'Boats Data Sheet 2026'!$C$3:$F$57,4,0)="Management"),('Direct Costs 2026'!$C$37+'Direct Costs 2026'!$C$39),"N/A"),"N/A")</f>
        <v>N/A</v>
      </c>
      <c r="P21" t="str" s="431" cm="1">
        <f t="array" ref="P21">_xlfn.IFERROR('Direct Costs 2026'!$C$27*C21,"N/A")</f>
        <v>N/A</v>
      </c>
      <c r="Q21" t="str" s="431" cm="1">
        <f t="array" ref="Q21">_xlfn.IFERROR(C21+SUM(E21:P21),"N/A")</f>
        <v>N/A</v>
      </c>
      <c r="R21" s="424"/>
      <c r="S21" t="str" s="431" cm="1">
        <f t="array" ref="S21">IF(B21&gt;0,'Allocation OH and Target 2026'!$E$31,"N/A")</f>
        <v>N/A</v>
      </c>
      <c r="T21" t="str" s="431" cm="1">
        <f t="array" ref="T21">IF(B21&gt;0,VLOOKUP(C2,'Allocation OH and Target 2026'!$C$35:$S$87,16,0),"N/A")</f>
        <v>N/A</v>
      </c>
      <c r="U21" t="str" s="431" cm="1">
        <f t="array" ref="U21">_xlfn.IFERROR((S21+T21),"N/A")</f>
        <v>N/A</v>
      </c>
      <c r="V21" s="424"/>
      <c r="W21" t="str" s="431" cm="1">
        <f t="array" ref="W21">_xlfn.IFERROR(U21+Q21,"N/A")</f>
        <v>N/A</v>
      </c>
      <c r="X21" t="str" s="431" cm="1">
        <f t="array" ref="X21">_xlfn.IFERROR(W21*0.5%,"N/A")</f>
        <v>N/A</v>
      </c>
      <c r="Y21" t="str" s="431" cm="1">
        <f t="array" ref="Y21">_xlfn.IFERROR(W21*25%,"N/A")</f>
        <v>N/A</v>
      </c>
      <c r="Z21" t="str" s="426" cm="1">
        <f t="array" ref="Z21">IF(B21&gt;0,SUM(W21:Y21),"N/A")</f>
        <v>N/A</v>
      </c>
      <c r="AA21" t="str" s="426" cm="1">
        <f t="array" ref="AA21">_xlfn.IFERROR((Z21-Z20),"N/A")</f>
        <v>N/A</v>
      </c>
      <c r="AB21" s="424"/>
      <c r="AC21" t="str" s="426" cm="1">
        <f t="array" ref="AC21">IF(B21=6,AVERAGE(Z21),"N/A")</f>
        <v>N/A</v>
      </c>
      <c r="AD21" s="424"/>
      <c r="AE21" s="423"/>
      <c r="AF21" s="423"/>
      <c r="AG21" s="423"/>
      <c r="AH21" s="423"/>
      <c r="AI21" s="423"/>
      <c r="AJ21" s="423"/>
      <c r="AK21" s="423"/>
      <c r="AL21" s="423"/>
      <c r="AM21" s="423"/>
      <c r="AN21" s="427"/>
    </row>
    <row r="22" ht="15.5" customHeight="1">
      <c r="A22" s="12"/>
      <c r="B22" s="432" cm="1">
        <f t="array" ref="B22">IF(B21=0,0,IF(B21&lt;VLOOKUP(C2,'Boats Data Sheet 2026'!$C$3:$H$57,6,0),B21+1,0))</f>
        <v>0</v>
      </c>
      <c r="C22" t="str" s="433" cm="1">
        <f t="array" ref="C22">IF(B22&gt;0,IF(VLOOKUP(C2,'Boats Data Sheet 2026'!$C$3:$J$57,8,0)="N/A",0,VLOOKUP(C2,'Boats Data Sheet 2026'!$C$3:$J$57,8,0)),"N/A")</f>
        <v>N/A</v>
      </c>
      <c r="D22" t="str" s="433" cm="1">
        <f t="array" ref="D22">IF(B22&gt;7,2,IF(B22=0,"N/A",1))</f>
        <v>N/A</v>
      </c>
      <c r="E22" t="str" s="433" cm="1">
        <f t="array" ref="E22">_xlfn.IFERROR(SUM('Direct Costs 2026'!$C$4:$C$5)*D22,"N/A")</f>
        <v>N/A</v>
      </c>
      <c r="F22" s="434" cm="1">
        <f t="array" ref="F22">_xlfn.IFERROR('Direct Costs 2026'!$C$43*B22,"N/A")</f>
        <v>0</v>
      </c>
      <c r="G22" t="str" s="433" cm="1">
        <f t="array" ref="G22">IF(B22&gt;0,'Direct Costs 2026'!$C$25,"N/A")</f>
        <v>N/A</v>
      </c>
      <c r="H22" t="str" s="433" cm="1">
        <f t="array" ref="H22">IF(B22&gt;0,('Direct Costs 2026'!$C$15+'Direct Costs 2026'!$C$17+'Direct Costs 2026'!$C$14),"N/A")</f>
        <v>N/A</v>
      </c>
      <c r="I22" t="str" s="433" cm="1">
        <f t="array" ref="I22">IF(B22&gt;0,'Direct Costs 2026'!$C$19+'Direct Costs 2026'!$C$18*B22,"N/A")</f>
        <v>N/A</v>
      </c>
      <c r="J22" t="str" s="433" cm="1">
        <f t="array" ref="J22">IF(B22&gt;0,SUM('Direct Costs 2026'!$C$20:$C$21),"N/A")</f>
        <v>N/A</v>
      </c>
      <c r="K22" t="str" s="433" cm="1">
        <f t="array" ref="K22">IF(B22&gt;0,'Direct Costs 2026'!$C$26,"N/A")</f>
        <v>N/A</v>
      </c>
      <c r="L22" t="str" s="433" cm="1">
        <f t="array" ref="L22">IF(B22&gt;0,'Direct Costs 2026'!$C$23,"N/A")</f>
        <v>N/A</v>
      </c>
      <c r="M22" t="str" s="433" cm="1">
        <f t="array" ref="M22">IF(B22&gt;0,'Direct Costs 2026'!$C$45*B22,"N/A")</f>
        <v>N/A</v>
      </c>
      <c r="N22" t="str" s="433" cm="1">
        <f t="array" ref="N22">IF(B22&gt;0,_xlfn.IFERROR(VLOOKUP(C2,'Boats Data Sheet 2026'!$C$3:$I$57,7,0)*'Direct Costs 2026'!$C$36,"N/A"),"N/A")</f>
        <v>N/A</v>
      </c>
      <c r="O22" t="str" s="433" cm="1">
        <f t="array" ref="O22">IF(B22&gt;0,IF(OR(VLOOKUP(C2,'Boats Data Sheet 2026'!$C$3:$F$57,4,0)="Own",VLOOKUP(C2,'Boats Data Sheet 2026'!$C$3:$F$57,4,0)="Management"),('Direct Costs 2026'!$C$37+'Direct Costs 2026'!$C$39),"N/A"),"N/A")</f>
        <v>N/A</v>
      </c>
      <c r="P22" t="str" s="433" cm="1">
        <f t="array" ref="P22">_xlfn.IFERROR('Direct Costs 2026'!$C$27*C22,"N/A")</f>
        <v>N/A</v>
      </c>
      <c r="Q22" t="str" s="433" cm="1">
        <f t="array" ref="Q22">_xlfn.IFERROR(C22+SUM(E22:P22),"N/A")</f>
        <v>N/A</v>
      </c>
      <c r="R22" s="435"/>
      <c r="S22" t="str" s="433" cm="1">
        <f t="array" ref="S22">IF(B22&gt;0,'Allocation OH and Target 2026'!$E$31,"N/A")</f>
        <v>N/A</v>
      </c>
      <c r="T22" t="str" s="433" cm="1">
        <f t="array" ref="T22">IF(B22&gt;0,VLOOKUP(C2,'Allocation OH and Target 2026'!$C$35:$S$87,16,0),"N/A")</f>
        <v>N/A</v>
      </c>
      <c r="U22" t="str" s="433" cm="1">
        <f t="array" ref="U22">_xlfn.IFERROR((S22+T22),"N/A")</f>
        <v>N/A</v>
      </c>
      <c r="V22" s="435"/>
      <c r="W22" t="str" s="433" cm="1">
        <f t="array" ref="W22">_xlfn.IFERROR(U22+Q22,"N/A")</f>
        <v>N/A</v>
      </c>
      <c r="X22" t="str" s="433" cm="1">
        <f t="array" ref="X22">_xlfn.IFERROR(W22*0.5%,"N/A")</f>
        <v>N/A</v>
      </c>
      <c r="Y22" t="str" s="433" cm="1">
        <f t="array" ref="Y22">_xlfn.IFERROR(W22*25%,"N/A")</f>
        <v>N/A</v>
      </c>
      <c r="Z22" t="str" s="436" cm="1">
        <f t="array" ref="Z22">IF(B22&gt;0,SUM(W22:Y22),"N/A")</f>
        <v>N/A</v>
      </c>
      <c r="AA22" t="str" s="436" cm="1">
        <f t="array" ref="AA22">_xlfn.IFERROR((Z22-Z21),"N/A")</f>
        <v>N/A</v>
      </c>
      <c r="AB22" s="435"/>
      <c r="AC22" t="str" s="436" cm="1">
        <f t="array" ref="AC22">IF(B22=6,AVERAGE(Z22),"N/A")</f>
        <v>N/A</v>
      </c>
      <c r="AD22" s="435"/>
      <c r="AE22" s="434"/>
      <c r="AF22" s="434"/>
      <c r="AG22" s="434"/>
      <c r="AH22" s="434"/>
      <c r="AI22" s="434"/>
      <c r="AJ22" s="434"/>
      <c r="AK22" s="434"/>
      <c r="AL22" s="434"/>
      <c r="AM22" s="434"/>
      <c r="AN22" s="437"/>
    </row>
    <row r="23" ht="15.5" customHeight="1">
      <c r="A23" s="32"/>
      <c r="B23" s="438"/>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439"/>
      <c r="AA23" s="439"/>
      <c r="AB23" s="124"/>
      <c r="AC23" s="124"/>
      <c r="AD23" s="124"/>
      <c r="AE23" s="124"/>
      <c r="AF23" s="124"/>
      <c r="AG23" s="124"/>
      <c r="AH23" s="124"/>
      <c r="AI23" s="124"/>
      <c r="AJ23" s="124"/>
      <c r="AK23" s="124"/>
      <c r="AL23" s="124"/>
      <c r="AM23" s="124"/>
      <c r="AN23" s="313"/>
    </row>
    <row r="24" ht="15.5" customHeight="1">
      <c r="A24" s="32"/>
      <c r="B24" s="440"/>
      <c r="C24" s="35"/>
      <c r="D24" s="35"/>
      <c r="E24" s="35"/>
      <c r="F24" s="35"/>
      <c r="G24" s="35"/>
      <c r="H24" s="35"/>
      <c r="I24" s="35"/>
      <c r="J24" s="35"/>
      <c r="K24" s="35"/>
      <c r="L24" s="35"/>
      <c r="M24" s="35"/>
      <c r="N24" s="35"/>
      <c r="O24" s="35"/>
      <c r="P24" s="35"/>
      <c r="Q24" s="35"/>
      <c r="R24" s="35"/>
      <c r="S24" s="35"/>
      <c r="T24" s="35"/>
      <c r="U24" s="35"/>
      <c r="V24" s="35"/>
      <c r="W24" s="35"/>
      <c r="X24" s="35"/>
      <c r="Y24" s="35"/>
      <c r="Z24" s="441"/>
      <c r="AA24" s="441"/>
      <c r="AB24" s="35"/>
      <c r="AC24" s="35"/>
      <c r="AD24" s="35"/>
      <c r="AE24" s="35"/>
      <c r="AF24" s="35"/>
      <c r="AG24" s="35"/>
      <c r="AH24" s="35"/>
      <c r="AI24" s="35"/>
      <c r="AJ24" s="35"/>
      <c r="AK24" s="35"/>
      <c r="AL24" s="35"/>
      <c r="AM24" s="35"/>
      <c r="AN24" s="442"/>
    </row>
    <row r="25" ht="15.5" customHeight="1">
      <c r="A25" s="395">
        <v>2</v>
      </c>
      <c r="B25" t="s" s="396">
        <v>506</v>
      </c>
      <c r="C25" t="s" s="397">
        <v>184</v>
      </c>
      <c r="D25" s="398"/>
      <c r="E25" s="398"/>
      <c r="F25" s="398"/>
      <c r="G25" s="398"/>
      <c r="H25" s="398"/>
      <c r="I25" s="398"/>
      <c r="J25" s="398"/>
      <c r="K25" s="398"/>
      <c r="L25" s="398"/>
      <c r="M25" s="398"/>
      <c r="N25" s="398"/>
      <c r="O25" s="398"/>
      <c r="P25" s="398"/>
      <c r="Q25" s="398"/>
      <c r="R25" s="399"/>
      <c r="S25" s="398"/>
      <c r="T25" s="398"/>
      <c r="U25" s="398"/>
      <c r="V25" s="399"/>
      <c r="W25" s="398"/>
      <c r="X25" s="398"/>
      <c r="Y25" s="398"/>
      <c r="Z25" s="398"/>
      <c r="AA25" s="398"/>
      <c r="AB25" s="399"/>
      <c r="AC25" s="398"/>
      <c r="AD25" s="399"/>
      <c r="AE25" t="s" s="397">
        <v>508</v>
      </c>
      <c r="AF25" s="401" cm="1">
        <f t="array" ref="AF25">AVERAGE(Q28:Q33)</f>
        <v>7317233.33333333</v>
      </c>
      <c r="AG25" t="s" s="400">
        <v>509</v>
      </c>
      <c r="AH25" s="401" cm="1">
        <f t="array" ref="AH25">AVERAGE(Q34:Q41)-AF25</f>
        <v>2103062.49999999</v>
      </c>
      <c r="AI25" t="s" s="400">
        <v>510</v>
      </c>
      <c r="AJ25" s="401" cm="1">
        <f t="array" ref="AJ25">AVERAGE(Y28:Y35)</f>
        <v>3018530.71179295</v>
      </c>
      <c r="AK25" t="s" s="397">
        <v>511</v>
      </c>
      <c r="AL25" s="401" cm="1">
        <f t="array" ref="AL25">AVERAGE(W28:W33)</f>
        <v>11773685.3471718</v>
      </c>
      <c r="AM25" t="s" s="400">
        <v>512</v>
      </c>
      <c r="AN25" s="402" cm="1">
        <f t="array" ref="AN25">W28</f>
        <v>11296185.3471718</v>
      </c>
    </row>
    <row r="26" ht="15" customHeight="1">
      <c r="A26" s="12"/>
      <c r="B26" s="403"/>
      <c r="C26" t="s" s="404">
        <v>513</v>
      </c>
      <c r="D26" s="405"/>
      <c r="E26" s="405"/>
      <c r="F26" s="405"/>
      <c r="G26" s="405"/>
      <c r="H26" s="405"/>
      <c r="I26" s="405"/>
      <c r="J26" s="405"/>
      <c r="K26" s="405"/>
      <c r="L26" s="405"/>
      <c r="M26" s="405"/>
      <c r="N26" s="405"/>
      <c r="O26" s="405"/>
      <c r="P26" s="405"/>
      <c r="Q26" s="406"/>
      <c r="R26" s="407"/>
      <c r="S26" t="s" s="404">
        <v>514</v>
      </c>
      <c r="T26" s="405"/>
      <c r="U26" s="406"/>
      <c r="V26" s="407"/>
      <c r="W26" t="s" s="404">
        <v>515</v>
      </c>
      <c r="X26" s="405"/>
      <c r="Y26" s="405"/>
      <c r="Z26" s="405"/>
      <c r="AA26" s="405"/>
      <c r="AB26" s="408"/>
      <c r="AC26" t="s" s="409">
        <v>516</v>
      </c>
      <c r="AD26" s="410"/>
      <c r="AE26" s="443"/>
      <c r="AF26" s="443"/>
      <c r="AG26" s="443"/>
      <c r="AH26" s="443"/>
      <c r="AI26" s="443"/>
      <c r="AJ26" s="443"/>
      <c r="AK26" s="443"/>
      <c r="AL26" s="414"/>
      <c r="AM26" s="415"/>
      <c r="AN26" s="414"/>
    </row>
    <row r="27" ht="46.25" customHeight="1">
      <c r="A27" s="187"/>
      <c r="B27" t="s" s="416">
        <v>517</v>
      </c>
      <c r="C27" t="s" s="417">
        <v>518</v>
      </c>
      <c r="D27" t="s" s="417">
        <v>519</v>
      </c>
      <c r="E27" t="s" s="417">
        <v>520</v>
      </c>
      <c r="F27" t="s" s="159">
        <v>521</v>
      </c>
      <c r="G27" t="s" s="159">
        <v>522</v>
      </c>
      <c r="H27" t="s" s="159">
        <v>540</v>
      </c>
      <c r="I27" t="s" s="159">
        <v>524</v>
      </c>
      <c r="J27" t="s" s="159">
        <v>525</v>
      </c>
      <c r="K27" t="s" s="159">
        <v>526</v>
      </c>
      <c r="L27" t="s" s="159">
        <v>527</v>
      </c>
      <c r="M27" t="s" s="159">
        <v>528</v>
      </c>
      <c r="N27" t="s" s="159">
        <v>529</v>
      </c>
      <c r="O27" t="s" s="159">
        <v>530</v>
      </c>
      <c r="P27" t="s" s="159">
        <v>531</v>
      </c>
      <c r="Q27" t="s" s="159">
        <v>532</v>
      </c>
      <c r="R27" s="418"/>
      <c r="S27" t="s" s="159">
        <v>533</v>
      </c>
      <c r="T27" t="s" s="159">
        <v>534</v>
      </c>
      <c r="U27" t="s" s="159">
        <v>535</v>
      </c>
      <c r="V27" s="418"/>
      <c r="W27" t="s" s="159">
        <v>536</v>
      </c>
      <c r="X27" t="s" s="159">
        <v>537</v>
      </c>
      <c r="Y27" t="s" s="159">
        <v>538</v>
      </c>
      <c r="Z27" t="s" s="159">
        <v>539</v>
      </c>
      <c r="AA27" t="s" s="159">
        <v>121</v>
      </c>
      <c r="AB27" s="419"/>
      <c r="AC27" t="s" s="159">
        <v>39</v>
      </c>
      <c r="AD27" s="419"/>
      <c r="AE27" s="77"/>
      <c r="AF27" s="77"/>
      <c r="AG27" s="77"/>
      <c r="AH27" s="77"/>
      <c r="AI27" s="77"/>
      <c r="AJ27" s="77"/>
      <c r="AK27" s="77"/>
      <c r="AL27" s="77"/>
      <c r="AM27" s="77"/>
      <c r="AN27" s="78"/>
    </row>
    <row r="28" ht="15" customHeight="1">
      <c r="A28" s="12"/>
      <c r="B28" s="420">
        <v>1</v>
      </c>
      <c r="C28" s="421" cm="1">
        <f t="array" ref="C28">IF(B28&gt;0,IF(VLOOKUP(C25,'Boats Data Sheet 2026'!$C$3:$J$57,8,0)="N/A",0,VLOOKUP(C25,'Boats Data Sheet 2026'!$C$3:$J$57,8,0)),"N/A")</f>
        <v>0</v>
      </c>
      <c r="D28" s="422" cm="1">
        <f t="array" ref="D28">IF(B28&gt;7,2,IF(B28=0,"N/A",1))</f>
        <v>1</v>
      </c>
      <c r="E28" s="421" cm="1">
        <f t="array" ref="E28">_xlfn.IFERROR(SUM('Direct Costs 2026'!$C$4:$C$5)*D28,"N/A")</f>
        <v>875500</v>
      </c>
      <c r="F28" s="423" cm="1">
        <f t="array" ref="F28">_xlfn.IFERROR('Direct Costs 2026'!$C$43*B28,"N/A")</f>
        <v>6000</v>
      </c>
      <c r="G28" s="423" cm="1">
        <f t="array" ref="G28">IF(B28&gt;0,'Direct Costs 2026'!$C$25,"N/A")</f>
        <v>90000</v>
      </c>
      <c r="H28" s="423" cm="1">
        <f t="array" ref="H28">IF(B28&gt;0,('Direct Costs 2026'!$C$15+'Direct Costs 2026'!$C$14+'Direct Costs 2026'!$C$17),"N/A")</f>
        <v>580000</v>
      </c>
      <c r="I28" s="423" cm="1">
        <f t="array" ref="I28">IF(B28&gt;0,'Direct Costs 2026'!$C$19+'Direct Costs 2026'!$C$18*B28,"N/A")</f>
        <v>110000</v>
      </c>
      <c r="J28" s="423" cm="1">
        <f t="array" ref="J28">IF(B28&gt;0,SUM('Direct Costs 2026'!$C$20:$C$21),"N/A")</f>
        <v>98333.3333333333</v>
      </c>
      <c r="K28" s="423" cm="1">
        <f t="array" ref="K28">IF(B28&gt;0,'Direct Costs 2026'!$C$26,"N/A")</f>
        <v>20000</v>
      </c>
      <c r="L28" s="423" cm="1">
        <f t="array" ref="L28">IF(B28&gt;0,'Direct Costs 2026'!$C$23,"N/A")</f>
        <v>140000</v>
      </c>
      <c r="M28" s="423" cm="1">
        <f t="array" ref="M28">IF(B28&gt;0,'Direct Costs 2026'!$C$45*B28,"N/A")</f>
        <v>150000</v>
      </c>
      <c r="N28" s="423" cm="1">
        <f t="array" ref="N28">IF(B28&gt;0,_xlfn.IFERROR(VLOOKUP(C25,'Boats Data Sheet 2026'!$C$3:$I$57,7,0)*'Direct Costs 2026'!$C$36,"N/A"),"N/A")</f>
        <v>3657500</v>
      </c>
      <c r="O28" s="423" cm="1">
        <f t="array" ref="O28">IF(B28&gt;0,IF(OR(VLOOKUP(C25,'Boats Data Sheet 2026'!$C$3:$F$57,4,0)="Own",VLOOKUP(C25,'Boats Data Sheet 2026'!$C$3:$F$57,4,0)="Management"),('Direct Costs 2026'!$C$37+'Direct Costs 2026'!$C$39),"N/A"),"N/A")</f>
        <v>1112400</v>
      </c>
      <c r="P28" s="423" cm="1">
        <f t="array" ref="P28">_xlfn.IFERROR('Direct Costs 2026'!$C$27*C28,"N/A")</f>
        <v>0</v>
      </c>
      <c r="Q28" s="423" cm="1">
        <f t="array" ref="Q28">_xlfn.IFERROR(C28+SUM(E28:P28),"N/A")</f>
        <v>6839733.33333333</v>
      </c>
      <c r="R28" s="424"/>
      <c r="S28" s="423" cm="1">
        <f t="array" ref="S28">IF(B28&gt;0,'Allocation OH and Target 2026'!$E$31,"N/A")</f>
        <v>3100447.15769812</v>
      </c>
      <c r="T28" s="423" cm="1">
        <f t="array" ref="T28">IF(B28&gt;0,VLOOKUP(C25,'Allocation OH and Target 2026'!$C$35:$S$87,17,0),"N/A")</f>
        <v>1356004.85614035</v>
      </c>
      <c r="U28" s="423" cm="1">
        <f t="array" ref="U28">_xlfn.IFERROR((S28+T28),"N/A")</f>
        <v>4456452.01383847</v>
      </c>
      <c r="V28" s="424"/>
      <c r="W28" s="423" cm="1">
        <f t="array" ref="W28">_xlfn.IFERROR(U28+Q28,"N/A")</f>
        <v>11296185.3471718</v>
      </c>
      <c r="X28" s="423" cm="1">
        <f t="array" ref="X28">_xlfn.IFERROR(W28*0.5%,"N/A")</f>
        <v>56480.926735859</v>
      </c>
      <c r="Y28" s="423" cm="1">
        <f t="array" ref="Y28">_xlfn.IFERROR(W28*25%,"N/A")</f>
        <v>2824046.33679295</v>
      </c>
      <c r="Z28" s="425" cm="1">
        <f t="array" ref="Z28">IF(B28&gt;0,SUM(W28:Y28),"N/A")</f>
        <v>14176712.6107006</v>
      </c>
      <c r="AA28" s="425">
        <v>0</v>
      </c>
      <c r="AB28" s="424"/>
      <c r="AC28" t="str" s="426" cm="1">
        <f t="array" ref="AC28">IF(B28=6,AVERAGE(Z28:Z33),"N/A")</f>
        <v>N/A</v>
      </c>
      <c r="AD28" s="424"/>
      <c r="AE28" s="423"/>
      <c r="AF28" s="423"/>
      <c r="AG28" s="423"/>
      <c r="AH28" s="423"/>
      <c r="AI28" s="423"/>
      <c r="AJ28" s="423"/>
      <c r="AK28" s="423"/>
      <c r="AL28" s="423"/>
      <c r="AM28" s="423"/>
      <c r="AN28" s="427"/>
    </row>
    <row r="29" ht="15" customHeight="1">
      <c r="A29" s="12"/>
      <c r="B29" s="428" cm="1">
        <f t="array" ref="B29">IF(B28=0,0,IF(B28&lt;VLOOKUP(C25,'Boats Data Sheet 2026'!$C$3:$H$57,6,0),B28+1,0))</f>
        <v>2</v>
      </c>
      <c r="C29" s="423" cm="1">
        <f t="array" ref="C29">IF(B29&gt;0,IF(VLOOKUP(C25,'Boats Data Sheet 2026'!$C$3:$J$57,8,0)="N/A",0,VLOOKUP(C25,'Boats Data Sheet 2026'!$C$3:$J$57,8,0)),"N/A")</f>
        <v>0</v>
      </c>
      <c r="D29" s="429" cm="1">
        <f t="array" ref="D29">IF(B29&gt;7,2,IF(B29=0,"N/A",1))</f>
        <v>1</v>
      </c>
      <c r="E29" s="423" cm="1">
        <f t="array" ref="E29">_xlfn.IFERROR(SUM('Direct Costs 2026'!$C$4:$C$5)*D29,"N/A")</f>
        <v>875500</v>
      </c>
      <c r="F29" s="423" cm="1">
        <f t="array" ref="F29">_xlfn.IFERROR('Direct Costs 2026'!$C$43*B29,"N/A")</f>
        <v>12000</v>
      </c>
      <c r="G29" s="423" cm="1">
        <f t="array" ref="G29">IF(B29&gt;0,'Direct Costs 2026'!$C$25,"N/A")</f>
        <v>90000</v>
      </c>
      <c r="H29" s="423" cm="1">
        <f t="array" ref="H29">IF(B29&gt;0,('Direct Costs 2026'!$C$15+'Direct Costs 2026'!$C$14+'Direct Costs 2026'!$C$17),"N/A")</f>
        <v>580000</v>
      </c>
      <c r="I29" s="423" cm="1">
        <f t="array" ref="I29">IF(B29&gt;0,'Direct Costs 2026'!$C$19+'Direct Costs 2026'!$C$18*B29,"N/A")</f>
        <v>145000</v>
      </c>
      <c r="J29" s="423" cm="1">
        <f t="array" ref="J29">IF(B29&gt;0,SUM('Direct Costs 2026'!$C$20:$C$21),"N/A")</f>
        <v>98333.3333333333</v>
      </c>
      <c r="K29" s="423" cm="1">
        <f t="array" ref="K29">IF(B29&gt;0,'Direct Costs 2026'!$C$26,"N/A")</f>
        <v>20000</v>
      </c>
      <c r="L29" s="423" cm="1">
        <f t="array" ref="L29">IF(B29&gt;0,'Direct Costs 2026'!$C$23,"N/A")</f>
        <v>140000</v>
      </c>
      <c r="M29" s="423" cm="1">
        <f t="array" ref="M29">IF(B29&gt;0,'Direct Costs 2026'!$C$45*B29,"N/A")</f>
        <v>300000</v>
      </c>
      <c r="N29" s="423" cm="1">
        <f t="array" ref="N29">IF(B29&gt;0,_xlfn.IFERROR(VLOOKUP(C25,'Boats Data Sheet 2026'!$C$3:$I$57,7,0)*'Direct Costs 2026'!$C$36,"N/A"),"N/A")</f>
        <v>3657500</v>
      </c>
      <c r="O29" s="423" cm="1">
        <f t="array" ref="O29">IF(B29&gt;0,IF(OR(VLOOKUP(C25,'Boats Data Sheet 2026'!$C$3:$F$57,4,0)="Own",VLOOKUP(C25,'Boats Data Sheet 2026'!$C$3:$F$57,4,0)="Management"),('Direct Costs 2026'!$C$37+'Direct Costs 2026'!$C$39),"N/A"),"N/A")</f>
        <v>1112400</v>
      </c>
      <c r="P29" s="423" cm="1">
        <f t="array" ref="P29">_xlfn.IFERROR('Direct Costs 2026'!$C$27*C29,"N/A")</f>
        <v>0</v>
      </c>
      <c r="Q29" s="423" cm="1">
        <f t="array" ref="Q29">_xlfn.IFERROR(C29+SUM(E29:P29),"N/A")</f>
        <v>7030733.33333333</v>
      </c>
      <c r="R29" s="424"/>
      <c r="S29" s="423" cm="1">
        <f t="array" ref="S29">IF(B29&gt;0,'Allocation OH and Target 2026'!$E$31,"N/A")</f>
        <v>3100447.15769812</v>
      </c>
      <c r="T29" s="423" cm="1">
        <f t="array" ref="T29">IF(B29&gt;0,VLOOKUP(C25,'Allocation OH and Target 2026'!$C$35:$S$87,17,0),"N/A")</f>
        <v>1356004.85614035</v>
      </c>
      <c r="U29" s="423" cm="1">
        <f t="array" ref="U29">_xlfn.IFERROR((S29+T29),"N/A")</f>
        <v>4456452.01383847</v>
      </c>
      <c r="V29" s="424"/>
      <c r="W29" s="423" cm="1">
        <f t="array" ref="W29">_xlfn.IFERROR(U29+Q29,"N/A")</f>
        <v>11487185.3471718</v>
      </c>
      <c r="X29" s="423" cm="1">
        <f t="array" ref="X29">_xlfn.IFERROR(W29*0.5%,"N/A")</f>
        <v>57435.926735859</v>
      </c>
      <c r="Y29" s="423" cm="1">
        <f t="array" ref="Y29">_xlfn.IFERROR(W29*25%,"N/A")</f>
        <v>2871796.33679295</v>
      </c>
      <c r="Z29" s="425" cm="1">
        <f t="array" ref="Z29">IF(B29&gt;0,SUM(W29:Y29),"N/A")</f>
        <v>14416417.6107006</v>
      </c>
      <c r="AA29" s="425" cm="1">
        <f t="array" ref="AA29">_xlfn.IFERROR((Z29-Z28),"N/A")</f>
        <v>239705</v>
      </c>
      <c r="AB29" s="424"/>
      <c r="AC29" t="str" s="426" cm="1">
        <f t="array" ref="AC29">IF(B29=6,AVERAGE(Z28:Z33),"N/A")</f>
        <v>N/A</v>
      </c>
      <c r="AD29" s="424"/>
      <c r="AE29" s="423"/>
      <c r="AF29" s="423"/>
      <c r="AG29" s="423"/>
      <c r="AH29" s="423"/>
      <c r="AI29" s="423"/>
      <c r="AJ29" s="423"/>
      <c r="AK29" s="423"/>
      <c r="AL29" s="423"/>
      <c r="AM29" s="423"/>
      <c r="AN29" s="427"/>
    </row>
    <row r="30" ht="15" customHeight="1">
      <c r="A30" s="12"/>
      <c r="B30" s="428" cm="1">
        <f t="array" ref="B30">IF(B29=0,0,IF(B29&lt;VLOOKUP(C25,'Boats Data Sheet 2026'!$C$3:$H$57,6,0),B29+1,0))</f>
        <v>3</v>
      </c>
      <c r="C30" s="423" cm="1">
        <f t="array" ref="C30">IF(B30&gt;0,IF(VLOOKUP(C25,'Boats Data Sheet 2026'!$C$3:$J$57,8,0)="N/A",0,VLOOKUP(C25,'Boats Data Sheet 2026'!$C$3:$J$57,8,0)),"N/A")</f>
        <v>0</v>
      </c>
      <c r="D30" s="429" cm="1">
        <f t="array" ref="D30">IF(B30&gt;7,2,IF(B30=0,"N/A",1))</f>
        <v>1</v>
      </c>
      <c r="E30" s="423" cm="1">
        <f t="array" ref="E30">_xlfn.IFERROR(SUM('Direct Costs 2026'!$C$4:$C$5)*D30,"N/A")</f>
        <v>875500</v>
      </c>
      <c r="F30" s="423" cm="1">
        <f t="array" ref="F30">_xlfn.IFERROR('Direct Costs 2026'!$C$43*B30,"N/A")</f>
        <v>18000</v>
      </c>
      <c r="G30" s="423" cm="1">
        <f t="array" ref="G30">IF(B30&gt;0,'Direct Costs 2026'!$C$25,"N/A")</f>
        <v>90000</v>
      </c>
      <c r="H30" s="423" cm="1">
        <f t="array" ref="H30">IF(B30&gt;0,('Direct Costs 2026'!$C$15+'Direct Costs 2026'!$C$14+'Direct Costs 2026'!$C$17),"N/A")</f>
        <v>580000</v>
      </c>
      <c r="I30" s="423" cm="1">
        <f t="array" ref="I30">IF(B30&gt;0,'Direct Costs 2026'!$C$19+'Direct Costs 2026'!$C$18*B30,"N/A")</f>
        <v>180000</v>
      </c>
      <c r="J30" s="423" cm="1">
        <f t="array" ref="J30">IF(B30&gt;0,SUM('Direct Costs 2026'!$C$20:$C$21),"N/A")</f>
        <v>98333.3333333333</v>
      </c>
      <c r="K30" s="423" cm="1">
        <f t="array" ref="K30">IF(B30&gt;0,'Direct Costs 2026'!$C$26,"N/A")</f>
        <v>20000</v>
      </c>
      <c r="L30" s="423" cm="1">
        <f t="array" ref="L30">IF(B30&gt;0,'Direct Costs 2026'!$C$23,"N/A")</f>
        <v>140000</v>
      </c>
      <c r="M30" s="423" cm="1">
        <f t="array" ref="M30">IF(B30&gt;0,'Direct Costs 2026'!$C$45*B30,"N/A")</f>
        <v>450000</v>
      </c>
      <c r="N30" s="423" cm="1">
        <f t="array" ref="N30">IF(B30&gt;0,_xlfn.IFERROR(VLOOKUP(C25,'Boats Data Sheet 2026'!$C$3:$I$57,7,0)*'Direct Costs 2026'!$C$36,"N/A"),"N/A")</f>
        <v>3657500</v>
      </c>
      <c r="O30" s="423" cm="1">
        <f t="array" ref="O30">IF(B30&gt;0,IF(OR(VLOOKUP(C25,'Boats Data Sheet 2026'!$C$3:$F$57,4,0)="Own",VLOOKUP(C25,'Boats Data Sheet 2026'!$C$3:$F$57,4,0)="Management"),('Direct Costs 2026'!$C$37+'Direct Costs 2026'!$C$39),"N/A"),"N/A")</f>
        <v>1112400</v>
      </c>
      <c r="P30" s="423" cm="1">
        <f t="array" ref="P30">_xlfn.IFERROR('Direct Costs 2026'!$C$27*C30,"N/A")</f>
        <v>0</v>
      </c>
      <c r="Q30" s="423" cm="1">
        <f t="array" ref="Q30">_xlfn.IFERROR(C30+SUM(E30:P30),"N/A")</f>
        <v>7221733.33333333</v>
      </c>
      <c r="R30" s="424"/>
      <c r="S30" s="423" cm="1">
        <f t="array" ref="S30">IF(B30&gt;0,'Allocation OH and Target 2026'!$E$31,"N/A")</f>
        <v>3100447.15769812</v>
      </c>
      <c r="T30" s="423" cm="1">
        <f t="array" ref="T30">IF(B30&gt;0,VLOOKUP(C25,'Allocation OH and Target 2026'!$C$35:$S$87,17,0),"N/A")</f>
        <v>1356004.85614035</v>
      </c>
      <c r="U30" s="423" cm="1">
        <f t="array" ref="U30">_xlfn.IFERROR((S30+T30),"N/A")</f>
        <v>4456452.01383847</v>
      </c>
      <c r="V30" s="424"/>
      <c r="W30" s="423" cm="1">
        <f t="array" ref="W30">_xlfn.IFERROR(U30+Q30,"N/A")</f>
        <v>11678185.3471718</v>
      </c>
      <c r="X30" s="423" cm="1">
        <f t="array" ref="X30">_xlfn.IFERROR(W30*0.5%,"N/A")</f>
        <v>58390.926735859</v>
      </c>
      <c r="Y30" s="423" cm="1">
        <f t="array" ref="Y30">_xlfn.IFERROR(W30*25%,"N/A")</f>
        <v>2919546.33679295</v>
      </c>
      <c r="Z30" s="425" cm="1">
        <f t="array" ref="Z30">IF(B30&gt;0,SUM(W30:Y30),"N/A")</f>
        <v>14656122.6107006</v>
      </c>
      <c r="AA30" s="425" cm="1">
        <f t="array" ref="AA30">_xlfn.IFERROR((Z30-Z29),"N/A")</f>
        <v>239705</v>
      </c>
      <c r="AB30" s="424"/>
      <c r="AC30" t="str" s="426" cm="1">
        <f t="array" ref="AC30">IF(B30=6,AVERAGE(Z28:Z33),"N/A")</f>
        <v>N/A</v>
      </c>
      <c r="AD30" s="424"/>
      <c r="AE30" s="423"/>
      <c r="AF30" s="423"/>
      <c r="AG30" s="423"/>
      <c r="AH30" s="423"/>
      <c r="AI30" s="423"/>
      <c r="AJ30" s="423"/>
      <c r="AK30" s="423"/>
      <c r="AL30" s="423"/>
      <c r="AM30" s="423"/>
      <c r="AN30" s="427"/>
    </row>
    <row r="31" ht="15" customHeight="1">
      <c r="A31" s="12"/>
      <c r="B31" s="428" cm="1">
        <f t="array" ref="B31">IF(B30=0,0,IF(B30&lt;VLOOKUP(C25,'Boats Data Sheet 2026'!$C$3:$H$57,6,0),B30+1,0))</f>
        <v>4</v>
      </c>
      <c r="C31" s="423" cm="1">
        <f t="array" ref="C31">IF(B31&gt;0,IF(VLOOKUP(C25,'Boats Data Sheet 2026'!$C$3:$J$57,8,0)="N/A",0,VLOOKUP(C25,'Boats Data Sheet 2026'!$C$3:$J$57,8,0)),"N/A")</f>
        <v>0</v>
      </c>
      <c r="D31" s="429" cm="1">
        <f t="array" ref="D31">IF(B31&gt;7,2,IF(B31=0,"N/A",1))</f>
        <v>1</v>
      </c>
      <c r="E31" s="423" cm="1">
        <f t="array" ref="E31">_xlfn.IFERROR(SUM('Direct Costs 2026'!$C$4:$C$5)*D31,"N/A")</f>
        <v>875500</v>
      </c>
      <c r="F31" s="423" cm="1">
        <f t="array" ref="F31">_xlfn.IFERROR('Direct Costs 2026'!$C$43*B31,"N/A")</f>
        <v>24000</v>
      </c>
      <c r="G31" s="423" cm="1">
        <f t="array" ref="G31">IF(B31&gt;0,'Direct Costs 2026'!$C$25,"N/A")</f>
        <v>90000</v>
      </c>
      <c r="H31" s="423" cm="1">
        <f t="array" ref="H31">IF(B31&gt;0,('Direct Costs 2026'!$C$15+'Direct Costs 2026'!$C$14+'Direct Costs 2026'!$C$17),"N/A")</f>
        <v>580000</v>
      </c>
      <c r="I31" s="423" cm="1">
        <f t="array" ref="I31">IF(B31&gt;0,'Direct Costs 2026'!$C$19+'Direct Costs 2026'!$C$18*B31,"N/A")</f>
        <v>215000</v>
      </c>
      <c r="J31" s="423" cm="1">
        <f t="array" ref="J31">IF(B31&gt;0,SUM('Direct Costs 2026'!$C$20:$C$21),"N/A")</f>
        <v>98333.3333333333</v>
      </c>
      <c r="K31" s="423" cm="1">
        <f t="array" ref="K31">IF(B31&gt;0,'Direct Costs 2026'!$C$26,"N/A")</f>
        <v>20000</v>
      </c>
      <c r="L31" s="423" cm="1">
        <f t="array" ref="L31">IF(B31&gt;0,'Direct Costs 2026'!$C$23,"N/A")</f>
        <v>140000</v>
      </c>
      <c r="M31" s="423" cm="1">
        <f t="array" ref="M31">IF(B31&gt;0,'Direct Costs 2026'!$C$45*B31,"N/A")</f>
        <v>600000</v>
      </c>
      <c r="N31" s="423" cm="1">
        <f t="array" ref="N31">IF(B31&gt;0,_xlfn.IFERROR(VLOOKUP(C25,'Boats Data Sheet 2026'!$C$3:$I$57,7,0)*'Direct Costs 2026'!$C$36,"N/A"),"N/A")</f>
        <v>3657500</v>
      </c>
      <c r="O31" s="423" cm="1">
        <f t="array" ref="O31">IF(B31&gt;0,IF(OR(VLOOKUP(C25,'Boats Data Sheet 2026'!$C$3:$F$57,4,0)="Own",VLOOKUP(C25,'Boats Data Sheet 2026'!$C$3:$F$57,4,0)="Management"),('Direct Costs 2026'!$C$37+'Direct Costs 2026'!$C$39),"N/A"),"N/A")</f>
        <v>1112400</v>
      </c>
      <c r="P31" s="423" cm="1">
        <f t="array" ref="P31">_xlfn.IFERROR('Direct Costs 2026'!$C$27*C31,"N/A")</f>
        <v>0</v>
      </c>
      <c r="Q31" s="423" cm="1">
        <f t="array" ref="Q31">_xlfn.IFERROR(C31+SUM(E31:P31),"N/A")</f>
        <v>7412733.33333333</v>
      </c>
      <c r="R31" s="424"/>
      <c r="S31" s="423" cm="1">
        <f t="array" ref="S31">IF(B31&gt;0,'Allocation OH and Target 2026'!$E$31,"N/A")</f>
        <v>3100447.15769812</v>
      </c>
      <c r="T31" s="423" cm="1">
        <f t="array" ref="T31">IF(B31&gt;0,VLOOKUP(C25,'Allocation OH and Target 2026'!$C$35:$S$87,17,0),"N/A")</f>
        <v>1356004.85614035</v>
      </c>
      <c r="U31" s="423" cm="1">
        <f t="array" ref="U31">_xlfn.IFERROR((S31+T31),"N/A")</f>
        <v>4456452.01383847</v>
      </c>
      <c r="V31" s="424"/>
      <c r="W31" s="423" cm="1">
        <f t="array" ref="W31">_xlfn.IFERROR(U31+Q31,"N/A")</f>
        <v>11869185.3471718</v>
      </c>
      <c r="X31" s="423" cm="1">
        <f t="array" ref="X31">_xlfn.IFERROR(W31*0.5%,"N/A")</f>
        <v>59345.926735859</v>
      </c>
      <c r="Y31" s="423" cm="1">
        <f t="array" ref="Y31">_xlfn.IFERROR(W31*25%,"N/A")</f>
        <v>2967296.33679295</v>
      </c>
      <c r="Z31" s="425" cm="1">
        <f t="array" ref="Z31">IF(B31&gt;0,SUM(W31:Y31),"N/A")</f>
        <v>14895827.6107006</v>
      </c>
      <c r="AA31" s="425" cm="1">
        <f t="array" ref="AA31">_xlfn.IFERROR((Z31-Z30),"N/A")</f>
        <v>239705</v>
      </c>
      <c r="AB31" s="424"/>
      <c r="AC31" t="str" s="426" cm="1">
        <f t="array" ref="AC31">IF(B31=6,AVERAGE(Z28:Z33),"N/A")</f>
        <v>N/A</v>
      </c>
      <c r="AD31" s="424"/>
      <c r="AE31" s="423"/>
      <c r="AF31" s="423"/>
      <c r="AG31" s="423"/>
      <c r="AH31" s="423"/>
      <c r="AI31" s="423"/>
      <c r="AJ31" s="423"/>
      <c r="AK31" s="423"/>
      <c r="AL31" s="423"/>
      <c r="AM31" s="423"/>
      <c r="AN31" s="427"/>
    </row>
    <row r="32" ht="15" customHeight="1">
      <c r="A32" s="12"/>
      <c r="B32" s="428" cm="1">
        <f t="array" ref="B32">IF(B31=0,0,IF(B31&lt;VLOOKUP(C25,'Boats Data Sheet 2026'!$C$3:$H$57,6,0),B31+1,0))</f>
        <v>5</v>
      </c>
      <c r="C32" s="423" cm="1">
        <f t="array" ref="C32">IF(B32&gt;0,IF(VLOOKUP(C25,'Boats Data Sheet 2026'!$C$3:$J$57,8,0)="N/A",0,VLOOKUP(C25,'Boats Data Sheet 2026'!$C$3:$J$57,8,0)),"N/A")</f>
        <v>0</v>
      </c>
      <c r="D32" s="429" cm="1">
        <f t="array" ref="D32">IF(B32&gt;7,2,IF(B32=0,"N/A",1))</f>
        <v>1</v>
      </c>
      <c r="E32" s="423" cm="1">
        <f t="array" ref="E32">_xlfn.IFERROR(SUM('Direct Costs 2026'!$C$4:$C$5)*D32,"N/A")</f>
        <v>875500</v>
      </c>
      <c r="F32" s="423" cm="1">
        <f t="array" ref="F32">_xlfn.IFERROR('Direct Costs 2026'!$C$43*B32,"N/A")</f>
        <v>30000</v>
      </c>
      <c r="G32" s="423" cm="1">
        <f t="array" ref="G32">IF(B32&gt;0,'Direct Costs 2026'!$C$25,"N/A")</f>
        <v>90000</v>
      </c>
      <c r="H32" s="423" cm="1">
        <f t="array" ref="H32">IF(B32&gt;0,('Direct Costs 2026'!$C$15+'Direct Costs 2026'!$C$14+'Direct Costs 2026'!$C$17),"N/A")</f>
        <v>580000</v>
      </c>
      <c r="I32" s="423" cm="1">
        <f t="array" ref="I32">IF(B32&gt;0,'Direct Costs 2026'!$C$19+'Direct Costs 2026'!$C$18*B32,"N/A")</f>
        <v>250000</v>
      </c>
      <c r="J32" s="423" cm="1">
        <f t="array" ref="J32">IF(B32&gt;0,SUM('Direct Costs 2026'!$C$20:$C$21),"N/A")</f>
        <v>98333.3333333333</v>
      </c>
      <c r="K32" s="423" cm="1">
        <f t="array" ref="K32">IF(B32&gt;0,'Direct Costs 2026'!$C$26,"N/A")</f>
        <v>20000</v>
      </c>
      <c r="L32" s="423" cm="1">
        <f t="array" ref="L32">IF(B32&gt;0,'Direct Costs 2026'!$C$23,"N/A")</f>
        <v>140000</v>
      </c>
      <c r="M32" s="423" cm="1">
        <f t="array" ref="M32">IF(B32&gt;0,'Direct Costs 2026'!$C$45*B32,"N/A")</f>
        <v>750000</v>
      </c>
      <c r="N32" s="423" cm="1">
        <f t="array" ref="N32">IF(B32&gt;0,_xlfn.IFERROR(VLOOKUP(C25,'Boats Data Sheet 2026'!$C$3:$I$57,7,0)*'Direct Costs 2026'!$C$36,"N/A"),"N/A")</f>
        <v>3657500</v>
      </c>
      <c r="O32" s="423" cm="1">
        <f t="array" ref="O32">IF(B32&gt;0,IF(OR(VLOOKUP(C25,'Boats Data Sheet 2026'!$C$3:$F$57,4,0)="Own",VLOOKUP(C25,'Boats Data Sheet 2026'!$C$3:$F$57,4,0)="Management"),('Direct Costs 2026'!$C$37+'Direct Costs 2026'!$C$39),"N/A"),"N/A")</f>
        <v>1112400</v>
      </c>
      <c r="P32" s="423" cm="1">
        <f t="array" ref="P32">_xlfn.IFERROR('Direct Costs 2026'!$C$27*C32,"N/A")</f>
        <v>0</v>
      </c>
      <c r="Q32" s="423" cm="1">
        <f t="array" ref="Q32">_xlfn.IFERROR(C32+SUM(E32:P32),"N/A")</f>
        <v>7603733.33333333</v>
      </c>
      <c r="R32" s="424"/>
      <c r="S32" s="423" cm="1">
        <f t="array" ref="S32">IF(B32&gt;0,'Allocation OH and Target 2026'!$E$31,"N/A")</f>
        <v>3100447.15769812</v>
      </c>
      <c r="T32" s="423" cm="1">
        <f t="array" ref="T32">IF(B32&gt;0,VLOOKUP(C25,'Allocation OH and Target 2026'!$C$35:$S$87,17,0),"N/A")</f>
        <v>1356004.85614035</v>
      </c>
      <c r="U32" s="423" cm="1">
        <f t="array" ref="U32">_xlfn.IFERROR((S32+T32),"N/A")</f>
        <v>4456452.01383847</v>
      </c>
      <c r="V32" s="424"/>
      <c r="W32" s="423" cm="1">
        <f t="array" ref="W32">_xlfn.IFERROR(U32+Q32,"N/A")</f>
        <v>12060185.3471718</v>
      </c>
      <c r="X32" s="423" cm="1">
        <f t="array" ref="X32">_xlfn.IFERROR(W32*0.5%,"N/A")</f>
        <v>60300.926735859</v>
      </c>
      <c r="Y32" s="423" cm="1">
        <f t="array" ref="Y32">_xlfn.IFERROR(W32*25%,"N/A")</f>
        <v>3015046.33679295</v>
      </c>
      <c r="Z32" s="425" cm="1">
        <f t="array" ref="Z32">IF(B32&gt;0,SUM(W32:Y32),"N/A")</f>
        <v>15135532.6107006</v>
      </c>
      <c r="AA32" s="425" cm="1">
        <f t="array" ref="AA32">_xlfn.IFERROR((Z32-Z31),"N/A")</f>
        <v>239705</v>
      </c>
      <c r="AB32" s="424"/>
      <c r="AC32" t="str" s="426" cm="1">
        <f t="array" ref="AC32">IF(B32=6,AVERAGE(Z28:Z33),"N/A")</f>
        <v>N/A</v>
      </c>
      <c r="AD32" s="424"/>
      <c r="AE32" s="423"/>
      <c r="AF32" s="423"/>
      <c r="AG32" s="423"/>
      <c r="AH32" s="423"/>
      <c r="AI32" s="423"/>
      <c r="AJ32" s="423"/>
      <c r="AK32" s="423"/>
      <c r="AL32" s="423"/>
      <c r="AM32" s="423"/>
      <c r="AN32" s="427"/>
    </row>
    <row r="33" ht="15" customHeight="1">
      <c r="A33" s="12"/>
      <c r="B33" s="428" cm="1">
        <f t="array" ref="B33">IF(B32=0,0,IF(B32&lt;VLOOKUP(C25,'Boats Data Sheet 2026'!$C$3:$H$57,6,0),B32+1,0))</f>
        <v>6</v>
      </c>
      <c r="C33" s="423" cm="1">
        <f t="array" ref="C33">IF(B33&gt;0,IF(VLOOKUP(C25,'Boats Data Sheet 2026'!$C$3:$J$57,8,0)="N/A",0,VLOOKUP(C25,'Boats Data Sheet 2026'!$C$3:$J$57,8,0)),"N/A")</f>
        <v>0</v>
      </c>
      <c r="D33" s="429" cm="1">
        <f t="array" ref="D33">IF(B33&gt;7,2,IF(B33=0,"N/A",1))</f>
        <v>1</v>
      </c>
      <c r="E33" s="423" cm="1">
        <f t="array" ref="E33">_xlfn.IFERROR(SUM('Direct Costs 2026'!$C$4:$C$5)*D33,"N/A")</f>
        <v>875500</v>
      </c>
      <c r="F33" s="423" cm="1">
        <f t="array" ref="F33">_xlfn.IFERROR('Direct Costs 2026'!$C$43*B33,"N/A")</f>
        <v>36000</v>
      </c>
      <c r="G33" s="423" cm="1">
        <f t="array" ref="G33">IF(B33&gt;0,'Direct Costs 2026'!$C$25,"N/A")</f>
        <v>90000</v>
      </c>
      <c r="H33" s="423" cm="1">
        <f t="array" ref="H33">IF(B33&gt;0,('Direct Costs 2026'!$C$15+'Direct Costs 2026'!$C$14+'Direct Costs 2026'!$C$17),"N/A")</f>
        <v>580000</v>
      </c>
      <c r="I33" s="423" cm="1">
        <f t="array" ref="I33">IF(B33&gt;0,'Direct Costs 2026'!$C$19+'Direct Costs 2026'!$C$18*B33,"N/A")</f>
        <v>285000</v>
      </c>
      <c r="J33" s="423" cm="1">
        <f t="array" ref="J33">IF(B33&gt;0,SUM('Direct Costs 2026'!$C$20:$C$21),"N/A")</f>
        <v>98333.3333333333</v>
      </c>
      <c r="K33" s="423" cm="1">
        <f t="array" ref="K33">IF(B33&gt;0,'Direct Costs 2026'!$C$26,"N/A")</f>
        <v>20000</v>
      </c>
      <c r="L33" s="423" cm="1">
        <f t="array" ref="L33">IF(B33&gt;0,'Direct Costs 2026'!$C$23,"N/A")</f>
        <v>140000</v>
      </c>
      <c r="M33" s="423" cm="1">
        <f t="array" ref="M33">IF(B33&gt;0,'Direct Costs 2026'!$C$45*B33,"N/A")</f>
        <v>900000</v>
      </c>
      <c r="N33" s="423" cm="1">
        <f t="array" ref="N33">IF(B33&gt;0,_xlfn.IFERROR(VLOOKUP(C25,'Boats Data Sheet 2026'!$C$3:$I$57,7,0)*'Direct Costs 2026'!$C$36,"N/A"),"N/A")</f>
        <v>3657500</v>
      </c>
      <c r="O33" s="423" cm="1">
        <f t="array" ref="O33">IF(B33&gt;0,IF(OR(VLOOKUP(C25,'Boats Data Sheet 2026'!$C$3:$F$57,4,0)="Own",VLOOKUP(C25,'Boats Data Sheet 2026'!$C$3:$F$57,4,0)="Management"),('Direct Costs 2026'!$C$37+'Direct Costs 2026'!$C$39),"N/A"),"N/A")</f>
        <v>1112400</v>
      </c>
      <c r="P33" s="423" cm="1">
        <f t="array" ref="P33">_xlfn.IFERROR('Direct Costs 2026'!$C$27*C33,"N/A")</f>
        <v>0</v>
      </c>
      <c r="Q33" s="423" cm="1">
        <f t="array" ref="Q33">_xlfn.IFERROR(C33+SUM(E33:P33),"N/A")</f>
        <v>7794733.33333333</v>
      </c>
      <c r="R33" s="424"/>
      <c r="S33" s="423" cm="1">
        <f t="array" ref="S33">IF(B33&gt;0,'Allocation OH and Target 2026'!$E$31,"N/A")</f>
        <v>3100447.15769812</v>
      </c>
      <c r="T33" s="423" cm="1">
        <f t="array" ref="T33">IF(B33&gt;0,VLOOKUP(C25,'Allocation OH and Target 2026'!$C$35:$S$87,17,0),"N/A")</f>
        <v>1356004.85614035</v>
      </c>
      <c r="U33" s="423" cm="1">
        <f t="array" ref="U33">_xlfn.IFERROR((S33+T33),"N/A")</f>
        <v>4456452.01383847</v>
      </c>
      <c r="V33" s="424"/>
      <c r="W33" s="423" cm="1">
        <f t="array" ref="W33">_xlfn.IFERROR(U33+Q33,"N/A")</f>
        <v>12251185.3471718</v>
      </c>
      <c r="X33" s="423" cm="1">
        <f t="array" ref="X33">_xlfn.IFERROR(W33*0.5%,"N/A")</f>
        <v>61255.926735859</v>
      </c>
      <c r="Y33" s="423" cm="1">
        <f t="array" ref="Y33">_xlfn.IFERROR(W33*25%,"N/A")</f>
        <v>3062796.33679295</v>
      </c>
      <c r="Z33" s="425" cm="1">
        <f t="array" ref="Z33">IF(B33&gt;0,SUM(W33:Y33),"N/A")</f>
        <v>15375237.6107006</v>
      </c>
      <c r="AA33" s="425" cm="1">
        <f t="array" ref="AA33">_xlfn.IFERROR((Z33-Z32),"N/A")</f>
        <v>239705</v>
      </c>
      <c r="AB33" s="424"/>
      <c r="AC33" s="425" cm="1">
        <f t="array" ref="AC33">IF(B33=6,AVERAGE(Z28:Z33),"N/A")</f>
        <v>14775975.1107006</v>
      </c>
      <c r="AD33" s="424"/>
      <c r="AE33" s="423"/>
      <c r="AF33" s="423"/>
      <c r="AG33" s="423"/>
      <c r="AH33" s="423"/>
      <c r="AI33" s="423"/>
      <c r="AJ33" s="423"/>
      <c r="AK33" s="423"/>
      <c r="AL33" s="423"/>
      <c r="AM33" s="423"/>
      <c r="AN33" s="427"/>
    </row>
    <row r="34" ht="15" customHeight="1">
      <c r="A34" s="12"/>
      <c r="B34" s="428" cm="1">
        <f t="array" ref="B34">IF(B33=0,0,IF(B33&lt;VLOOKUP(C25,'Boats Data Sheet 2026'!$C$3:$H$57,6,0),B33+1,0))</f>
        <v>7</v>
      </c>
      <c r="C34" s="423" cm="1">
        <f t="array" ref="C34">IF(B34&gt;0,IF(VLOOKUP(C25,'Boats Data Sheet 2026'!$C$3:$J$57,8,0)="N/A",0,VLOOKUP(C25,'Boats Data Sheet 2026'!$C$3:$J$57,8,0)),"N/A")</f>
        <v>0</v>
      </c>
      <c r="D34" s="429" cm="1">
        <f t="array" ref="D34">IF(B34&gt;7,2,IF(B34=0,"N/A",1))</f>
        <v>1</v>
      </c>
      <c r="E34" s="423" cm="1">
        <f t="array" ref="E34">_xlfn.IFERROR(SUM('Direct Costs 2026'!$C$4:$C$5)*D34,"N/A")</f>
        <v>875500</v>
      </c>
      <c r="F34" s="423" cm="1">
        <f t="array" ref="F34">_xlfn.IFERROR('Direct Costs 2026'!$C$43*B34,"N/A")</f>
        <v>42000</v>
      </c>
      <c r="G34" s="423" cm="1">
        <f t="array" ref="G34">IF(B34&gt;0,'Direct Costs 2026'!$C$25,"N/A")</f>
        <v>90000</v>
      </c>
      <c r="H34" s="423" cm="1">
        <f t="array" ref="H34">IF(B34&gt;0,('Direct Costs 2026'!$C$15+'Direct Costs 2026'!$C$14+'Direct Costs 2026'!$C$17),"N/A")</f>
        <v>580000</v>
      </c>
      <c r="I34" s="423" cm="1">
        <f t="array" ref="I34">IF(B34&gt;0,'Direct Costs 2026'!$C$19+'Direct Costs 2026'!$C$18*B34,"N/A")</f>
        <v>320000</v>
      </c>
      <c r="J34" s="423" cm="1">
        <f t="array" ref="J34">IF(B34&gt;0,SUM('Direct Costs 2026'!$C$20:$C$21),"N/A")</f>
        <v>98333.3333333333</v>
      </c>
      <c r="K34" s="423" cm="1">
        <f t="array" ref="K34">IF(B34&gt;0,'Direct Costs 2026'!$C$26,"N/A")</f>
        <v>20000</v>
      </c>
      <c r="L34" s="423" cm="1">
        <f t="array" ref="L34">IF(B34&gt;0,'Direct Costs 2026'!$C$23,"N/A")</f>
        <v>140000</v>
      </c>
      <c r="M34" s="423" cm="1">
        <f t="array" ref="M34">IF(B34&gt;0,'Direct Costs 2026'!$C$45*B34,"N/A")</f>
        <v>1050000</v>
      </c>
      <c r="N34" s="423" cm="1">
        <f t="array" ref="N34">IF(B34&gt;0,_xlfn.IFERROR(VLOOKUP(C25,'Boats Data Sheet 2026'!$C$3:$I$57,7,0)*'Direct Costs 2026'!$C$36,"N/A"),"N/A")</f>
        <v>3657500</v>
      </c>
      <c r="O34" s="423" cm="1">
        <f t="array" ref="O34">IF(B34&gt;0,IF(OR(VLOOKUP(C25,'Boats Data Sheet 2026'!$C$3:$F$57,4,0)="Own",VLOOKUP(C25,'Boats Data Sheet 2026'!$C$3:$F$57,4,0)="Management"),('Direct Costs 2026'!$C$37+'Direct Costs 2026'!$C$39),"N/A"),"N/A")</f>
        <v>1112400</v>
      </c>
      <c r="P34" s="423" cm="1">
        <f t="array" ref="P34">_xlfn.IFERROR('Direct Costs 2026'!$C$27*C34,"N/A")</f>
        <v>0</v>
      </c>
      <c r="Q34" s="423" cm="1">
        <f t="array" ref="Q34">_xlfn.IFERROR(C34+SUM(E34:P34),"N/A")</f>
        <v>7985733.33333333</v>
      </c>
      <c r="R34" s="424"/>
      <c r="S34" s="423" cm="1">
        <f t="array" ref="S34">IF(B34&gt;0,'Allocation OH and Target 2026'!$E$31,"N/A")</f>
        <v>3100447.15769812</v>
      </c>
      <c r="T34" s="423" cm="1">
        <f t="array" ref="T34">IF(B34&gt;0,VLOOKUP(C25,'Allocation OH and Target 2026'!$C$35:$S$87,17,0),"N/A")</f>
        <v>1356004.85614035</v>
      </c>
      <c r="U34" s="423" cm="1">
        <f t="array" ref="U34">_xlfn.IFERROR((S34+T34),"N/A")</f>
        <v>4456452.01383847</v>
      </c>
      <c r="V34" s="424"/>
      <c r="W34" s="423" cm="1">
        <f t="array" ref="W34">_xlfn.IFERROR(U34+Q34,"N/A")</f>
        <v>12442185.3471718</v>
      </c>
      <c r="X34" s="423" cm="1">
        <f t="array" ref="X34">_xlfn.IFERROR(W34*0.5%,"N/A")</f>
        <v>62210.926735859</v>
      </c>
      <c r="Y34" s="423" cm="1">
        <f t="array" ref="Y34">_xlfn.IFERROR(W34*25%,"N/A")</f>
        <v>3110546.33679295</v>
      </c>
      <c r="Z34" s="425" cm="1">
        <f t="array" ref="Z34">IF(B34&gt;0,SUM(W34:Y34),"N/A")</f>
        <v>15614942.6107006</v>
      </c>
      <c r="AA34" s="425" cm="1">
        <f t="array" ref="AA34">_xlfn.IFERROR((Z34-Z33),"N/A")</f>
        <v>239705</v>
      </c>
      <c r="AB34" s="424"/>
      <c r="AC34" t="str" s="426" cm="1">
        <f t="array" ref="AC34">IF(B34=6,AVERAGE(Z28:Z33),"N/A")</f>
        <v>N/A</v>
      </c>
      <c r="AD34" s="424"/>
      <c r="AE34" s="423"/>
      <c r="AF34" s="423"/>
      <c r="AG34" s="423"/>
      <c r="AH34" s="423"/>
      <c r="AI34" s="423"/>
      <c r="AJ34" s="423"/>
      <c r="AK34" s="423"/>
      <c r="AL34" s="423"/>
      <c r="AM34" s="423"/>
      <c r="AN34" s="427"/>
    </row>
    <row r="35" ht="15" customHeight="1">
      <c r="A35" s="12"/>
      <c r="B35" s="428" cm="1">
        <f t="array" ref="B35">IF(B34=0,0,IF(B34&lt;VLOOKUP(C25,'Boats Data Sheet 2026'!$C$3:$H$57,6,0),B34+1,0))</f>
        <v>8</v>
      </c>
      <c r="C35" s="423" cm="1">
        <f t="array" ref="C35">IF(B35&gt;0,IF(VLOOKUP(C25,'Boats Data Sheet 2026'!$C$3:$J$57,8,0)="N/A",0,VLOOKUP(C25,'Boats Data Sheet 2026'!$C$3:$J$57,8,0)),"N/A")</f>
        <v>0</v>
      </c>
      <c r="D35" s="429" cm="1">
        <f t="array" ref="D35">IF(B35&gt;7,2,IF(B35=0,"N/A",1))</f>
        <v>2</v>
      </c>
      <c r="E35" s="423" cm="1">
        <f t="array" ref="E35">_xlfn.IFERROR(SUM('Direct Costs 2026'!$C$4:$C$5)*D35,"N/A")</f>
        <v>1751000</v>
      </c>
      <c r="F35" s="423" cm="1">
        <f t="array" ref="F35">_xlfn.IFERROR('Direct Costs 2026'!$C$43*B35,"N/A")</f>
        <v>48000</v>
      </c>
      <c r="G35" s="423" cm="1">
        <f t="array" ref="G35">IF(B35&gt;0,'Direct Costs 2026'!$C$25,"N/A")</f>
        <v>90000</v>
      </c>
      <c r="H35" s="423" cm="1">
        <f t="array" ref="H35">IF(B35&gt;0,('Direct Costs 2026'!$C$15+'Direct Costs 2026'!$C$14+'Direct Costs 2026'!$C$17),"N/A")</f>
        <v>580000</v>
      </c>
      <c r="I35" s="423" cm="1">
        <f t="array" ref="I35">IF(B35&gt;0,'Direct Costs 2026'!$C$19+'Direct Costs 2026'!$C$18*B35,"N/A")</f>
        <v>355000</v>
      </c>
      <c r="J35" s="423" cm="1">
        <f t="array" ref="J35">IF(B35&gt;0,SUM('Direct Costs 2026'!$C$20:$C$21),"N/A")</f>
        <v>98333.3333333333</v>
      </c>
      <c r="K35" s="423" cm="1">
        <f t="array" ref="K35">IF(B35&gt;0,'Direct Costs 2026'!$C$26,"N/A")</f>
        <v>20000</v>
      </c>
      <c r="L35" s="423" cm="1">
        <f t="array" ref="L35">IF(B35&gt;0,'Direct Costs 2026'!$C$23,"N/A")</f>
        <v>140000</v>
      </c>
      <c r="M35" s="423" cm="1">
        <f t="array" ref="M35">IF(B35&gt;0,'Direct Costs 2026'!$C$45*B35,"N/A")</f>
        <v>1200000</v>
      </c>
      <c r="N35" s="423" cm="1">
        <f t="array" ref="N35">IF(B35&gt;0,_xlfn.IFERROR(VLOOKUP(C25,'Boats Data Sheet 2026'!$C$3:$I$57,7,0)*'Direct Costs 2026'!$C$36,"N/A"),"N/A")</f>
        <v>3657500</v>
      </c>
      <c r="O35" s="423" cm="1">
        <f t="array" ref="O35">IF(B35&gt;0,IF(OR(VLOOKUP(C25,'Boats Data Sheet 2026'!$C$3:$F$57,4,0)="Own",VLOOKUP(C25,'Boats Data Sheet 2026'!$C$3:$F$57,4,0)="Management"),('Direct Costs 2026'!$C$37+'Direct Costs 2026'!$C$39),"N/A"),"N/A")</f>
        <v>1112400</v>
      </c>
      <c r="P35" s="423" cm="1">
        <f t="array" ref="P35">_xlfn.IFERROR('Direct Costs 2026'!$C$27*C35,"N/A")</f>
        <v>0</v>
      </c>
      <c r="Q35" s="423" cm="1">
        <f t="array" ref="Q35">_xlfn.IFERROR(C35+SUM(E35:P35),"N/A")</f>
        <v>9052233.33333333</v>
      </c>
      <c r="R35" s="424"/>
      <c r="S35" s="423" cm="1">
        <f t="array" ref="S35">IF(B35&gt;0,'Allocation OH and Target 2026'!$E$31,"N/A")</f>
        <v>3100447.15769812</v>
      </c>
      <c r="T35" s="423" cm="1">
        <f t="array" ref="T35">IF(B35&gt;0,VLOOKUP(C25,'Allocation OH and Target 2026'!$C$35:$S$87,17,0),"N/A")</f>
        <v>1356004.85614035</v>
      </c>
      <c r="U35" s="423" cm="1">
        <f t="array" ref="U35">_xlfn.IFERROR((S35+T35),"N/A")</f>
        <v>4456452.01383847</v>
      </c>
      <c r="V35" s="424"/>
      <c r="W35" s="423" cm="1">
        <f t="array" ref="W35">_xlfn.IFERROR(U35+Q35,"N/A")</f>
        <v>13508685.3471718</v>
      </c>
      <c r="X35" s="423" cm="1">
        <f t="array" ref="X35">_xlfn.IFERROR(W35*0.5%,"N/A")</f>
        <v>67543.426735859</v>
      </c>
      <c r="Y35" s="423" cm="1">
        <f t="array" ref="Y35">_xlfn.IFERROR(W35*25%,"N/A")</f>
        <v>3377171.33679295</v>
      </c>
      <c r="Z35" s="425" cm="1">
        <f t="array" ref="Z35">IF(B35&gt;0,SUM(W35:Y35),"N/A")</f>
        <v>16953400.1107006</v>
      </c>
      <c r="AA35" s="425" cm="1">
        <f t="array" ref="AA35">_xlfn.IFERROR((Z35-Z34),"N/A")</f>
        <v>1338457.5</v>
      </c>
      <c r="AB35" s="424"/>
      <c r="AC35" t="str" s="426" cm="1">
        <f t="array" ref="AC35">IF(B35=6,AVERAGE(Z28:Z33),"N/A")</f>
        <v>N/A</v>
      </c>
      <c r="AD35" s="424"/>
      <c r="AE35" s="423"/>
      <c r="AF35" s="423"/>
      <c r="AG35" s="423"/>
      <c r="AH35" s="423"/>
      <c r="AI35" s="423"/>
      <c r="AJ35" s="423"/>
      <c r="AK35" s="423"/>
      <c r="AL35" s="423"/>
      <c r="AM35" s="423"/>
      <c r="AN35" s="427"/>
    </row>
    <row r="36" ht="15" customHeight="1">
      <c r="A36" s="12"/>
      <c r="B36" s="428" cm="1">
        <f t="array" ref="B36">IF(B35=0,0,IF(B35&lt;VLOOKUP(C25,'Boats Data Sheet 2026'!$C$3:$H$57,6,0),B35+1,0))</f>
        <v>9</v>
      </c>
      <c r="C36" s="423" cm="1">
        <f t="array" ref="C36">IF(B36&gt;0,IF(VLOOKUP(C25,'Boats Data Sheet 2026'!$C$3:$J$57,8,0)="N/A",0,VLOOKUP(C25,'Boats Data Sheet 2026'!$C$3:$J$57,8,0)),"N/A")</f>
        <v>0</v>
      </c>
      <c r="D36" s="429" cm="1">
        <f t="array" ref="D36">IF(B36&gt;7,2,IF(B36=0,"N/A",1))</f>
        <v>2</v>
      </c>
      <c r="E36" s="423" cm="1">
        <f t="array" ref="E36">_xlfn.IFERROR(SUM('Direct Costs 2026'!$C$4:$C$5)*D36,"N/A")</f>
        <v>1751000</v>
      </c>
      <c r="F36" s="423" cm="1">
        <f t="array" ref="F36">_xlfn.IFERROR('Direct Costs 2026'!$C$43*B36,"N/A")</f>
        <v>54000</v>
      </c>
      <c r="G36" s="423" cm="1">
        <f t="array" ref="G36">IF(B36&gt;0,'Direct Costs 2026'!$C$25,"N/A")</f>
        <v>90000</v>
      </c>
      <c r="H36" s="423" cm="1">
        <f t="array" ref="H36">IF(B36&gt;0,('Direct Costs 2026'!$C$15+'Direct Costs 2026'!$C$14+'Direct Costs 2026'!$C$17),"N/A")</f>
        <v>580000</v>
      </c>
      <c r="I36" s="423" cm="1">
        <f t="array" ref="I36">IF(B36&gt;0,'Direct Costs 2026'!$C$19+'Direct Costs 2026'!$C$18*B36,"N/A")</f>
        <v>390000</v>
      </c>
      <c r="J36" s="423" cm="1">
        <f t="array" ref="J36">IF(B36&gt;0,SUM('Direct Costs 2026'!$C$20:$C$21),"N/A")</f>
        <v>98333.3333333333</v>
      </c>
      <c r="K36" s="423" cm="1">
        <f t="array" ref="K36">IF(B36&gt;0,'Direct Costs 2026'!$C$26,"N/A")</f>
        <v>20000</v>
      </c>
      <c r="L36" s="423" cm="1">
        <f t="array" ref="L36">IF(B36&gt;0,'Direct Costs 2026'!$C$23,"N/A")</f>
        <v>140000</v>
      </c>
      <c r="M36" s="423" cm="1">
        <f t="array" ref="M36">IF(B36&gt;0,'Direct Costs 2026'!$C$45*B36,"N/A")</f>
        <v>1350000</v>
      </c>
      <c r="N36" s="423" cm="1">
        <f t="array" ref="N36">IF(B36&gt;0,_xlfn.IFERROR(VLOOKUP(C25,'Boats Data Sheet 2026'!$C$3:$I$57,7,0)*'Direct Costs 2026'!$C$36,"N/A"),"N/A")</f>
        <v>3657500</v>
      </c>
      <c r="O36" s="423" cm="1">
        <f t="array" ref="O36">IF(B36&gt;0,IF(OR(VLOOKUP(C25,'Boats Data Sheet 2026'!$C$3:$F$57,4,0)="Own",VLOOKUP(C25,'Boats Data Sheet 2026'!$C$3:$F$57,4,0)="Management"),('Direct Costs 2026'!$C$37+'Direct Costs 2026'!$C$39),"N/A"),"N/A")</f>
        <v>1112400</v>
      </c>
      <c r="P36" s="423" cm="1">
        <f t="array" ref="P36">_xlfn.IFERROR('Direct Costs 2026'!$C$27*C36,"N/A")</f>
        <v>0</v>
      </c>
      <c r="Q36" s="423" cm="1">
        <f t="array" ref="Q36">_xlfn.IFERROR(C36+SUM(E36:P36),"N/A")</f>
        <v>9243233.33333333</v>
      </c>
      <c r="R36" s="424"/>
      <c r="S36" s="423" cm="1">
        <f t="array" ref="S36">IF(B36&gt;0,'Allocation OH and Target 2026'!$E$31,"N/A")</f>
        <v>3100447.15769812</v>
      </c>
      <c r="T36" s="423" cm="1">
        <f t="array" ref="T36">IF(B36&gt;0,VLOOKUP(C25,'Allocation OH and Target 2026'!$C$35:$S$87,17,0),"N/A")</f>
        <v>1356004.85614035</v>
      </c>
      <c r="U36" s="423" cm="1">
        <f t="array" ref="U36">_xlfn.IFERROR((S36+T36),"N/A")</f>
        <v>4456452.01383847</v>
      </c>
      <c r="V36" s="424"/>
      <c r="W36" s="423" cm="1">
        <f t="array" ref="W36">_xlfn.IFERROR(U36+Q36,"N/A")</f>
        <v>13699685.3471718</v>
      </c>
      <c r="X36" s="423" cm="1">
        <f t="array" ref="X36">_xlfn.IFERROR(W36*0.5%,"N/A")</f>
        <v>68498.426735859</v>
      </c>
      <c r="Y36" s="423" cm="1">
        <f t="array" ref="Y36">_xlfn.IFERROR(W36*25%,"N/A")</f>
        <v>3424921.33679295</v>
      </c>
      <c r="Z36" s="425" cm="1">
        <f t="array" ref="Z36">IF(B36&gt;0,SUM(W36:Y36),"N/A")</f>
        <v>17193105.1107006</v>
      </c>
      <c r="AA36" s="425" cm="1">
        <f t="array" ref="AA36">_xlfn.IFERROR((Z36-Z35),"N/A")</f>
        <v>239705</v>
      </c>
      <c r="AB36" s="424"/>
      <c r="AC36" t="str" s="426" cm="1">
        <f t="array" ref="AC36">IF(B36=6,AVERAGE(Z28:Z33),"N/A")</f>
        <v>N/A</v>
      </c>
      <c r="AD36" s="424"/>
      <c r="AE36" s="423"/>
      <c r="AF36" s="423"/>
      <c r="AG36" s="423"/>
      <c r="AH36" s="423"/>
      <c r="AI36" s="423"/>
      <c r="AJ36" s="423"/>
      <c r="AK36" s="423"/>
      <c r="AL36" s="423"/>
      <c r="AM36" s="423"/>
      <c r="AN36" s="427"/>
    </row>
    <row r="37" ht="15" customHeight="1">
      <c r="A37" s="12"/>
      <c r="B37" s="428" cm="1">
        <f t="array" ref="B37">IF(B36=0,0,IF(B36&lt;VLOOKUP(C25,'Boats Data Sheet 2026'!$C$3:$H$57,6,0),B36+1,0))</f>
        <v>10</v>
      </c>
      <c r="C37" s="423" cm="1">
        <f t="array" ref="C37">IF(B37&gt;0,IF(VLOOKUP(C25,'Boats Data Sheet 2026'!$C$3:$J$57,8,0)="N/A",0,VLOOKUP(C25,'Boats Data Sheet 2026'!$C$3:$J$57,8,0)),"N/A")</f>
        <v>0</v>
      </c>
      <c r="D37" s="429" cm="1">
        <f t="array" ref="D37">IF(B37&gt;7,2,IF(B37=0,"N/A",1))</f>
        <v>2</v>
      </c>
      <c r="E37" s="423" cm="1">
        <f t="array" ref="E37">_xlfn.IFERROR(SUM('Direct Costs 2026'!$C$4:$C$5)*D37,"N/A")</f>
        <v>1751000</v>
      </c>
      <c r="F37" s="423" cm="1">
        <f t="array" ref="F37">_xlfn.IFERROR('Direct Costs 2026'!$C$43*B37,"N/A")</f>
        <v>60000</v>
      </c>
      <c r="G37" s="423" cm="1">
        <f t="array" ref="G37">IF(B37&gt;0,'Direct Costs 2026'!$C$25,"N/A")</f>
        <v>90000</v>
      </c>
      <c r="H37" s="423" cm="1">
        <f t="array" ref="H37">IF(B37&gt;0,('Direct Costs 2026'!$C$15+'Direct Costs 2026'!$C$14+'Direct Costs 2026'!$C$17),"N/A")</f>
        <v>580000</v>
      </c>
      <c r="I37" s="423" cm="1">
        <f t="array" ref="I37">IF(B37&gt;0,'Direct Costs 2026'!$C$19+'Direct Costs 2026'!$C$18*B37,"N/A")</f>
        <v>425000</v>
      </c>
      <c r="J37" s="423" cm="1">
        <f t="array" ref="J37">IF(B37&gt;0,SUM('Direct Costs 2026'!$C$20:$C$21),"N/A")</f>
        <v>98333.3333333333</v>
      </c>
      <c r="K37" s="423" cm="1">
        <f t="array" ref="K37">IF(B37&gt;0,'Direct Costs 2026'!$C$26,"N/A")</f>
        <v>20000</v>
      </c>
      <c r="L37" s="423" cm="1">
        <f t="array" ref="L37">IF(B37&gt;0,'Direct Costs 2026'!$C$23,"N/A")</f>
        <v>140000</v>
      </c>
      <c r="M37" s="423" cm="1">
        <f t="array" ref="M37">IF(B37&gt;0,'Direct Costs 2026'!$C$45*B37,"N/A")</f>
        <v>1500000</v>
      </c>
      <c r="N37" s="423" cm="1">
        <f t="array" ref="N37">IF(B37&gt;0,_xlfn.IFERROR(VLOOKUP(C25,'Boats Data Sheet 2026'!$C$3:$I$57,7,0)*'Direct Costs 2026'!$C$36,"N/A"),"N/A")</f>
        <v>3657500</v>
      </c>
      <c r="O37" s="423" cm="1">
        <f t="array" ref="O37">IF(B37&gt;0,IF(OR(VLOOKUP(C25,'Boats Data Sheet 2026'!$C$3:$F$57,4,0)="Own",VLOOKUP(C25,'Boats Data Sheet 2026'!$C$3:$F$57,4,0)="Management"),('Direct Costs 2026'!$C$37+'Direct Costs 2026'!$C$39),"N/A"),"N/A")</f>
        <v>1112400</v>
      </c>
      <c r="P37" s="423" cm="1">
        <f t="array" ref="P37">_xlfn.IFERROR('Direct Costs 2026'!$C$27*C37,"N/A")</f>
        <v>0</v>
      </c>
      <c r="Q37" s="423" cm="1">
        <f t="array" ref="Q37">_xlfn.IFERROR(C37+SUM(E37:P37),"N/A")</f>
        <v>9434233.33333333</v>
      </c>
      <c r="R37" s="424"/>
      <c r="S37" s="423" cm="1">
        <f t="array" ref="S37">IF(B37&gt;0,'Allocation OH and Target 2026'!$E$31,"N/A")</f>
        <v>3100447.15769812</v>
      </c>
      <c r="T37" s="423" cm="1">
        <f t="array" ref="T37">IF(B37&gt;0,VLOOKUP(C25,'Allocation OH and Target 2026'!$C$35:$S$87,17,0),"N/A")</f>
        <v>1356004.85614035</v>
      </c>
      <c r="U37" s="423" cm="1">
        <f t="array" ref="U37">_xlfn.IFERROR((S37+T37),"N/A")</f>
        <v>4456452.01383847</v>
      </c>
      <c r="V37" s="424"/>
      <c r="W37" s="423" cm="1">
        <f t="array" ref="W37">_xlfn.IFERROR(U37+Q37,"N/A")</f>
        <v>13890685.3471718</v>
      </c>
      <c r="X37" s="423" cm="1">
        <f t="array" ref="X37">_xlfn.IFERROR(W37*0.5%,"N/A")</f>
        <v>69453.426735859</v>
      </c>
      <c r="Y37" s="423" cm="1">
        <f t="array" ref="Y37">_xlfn.IFERROR(W37*25%,"N/A")</f>
        <v>3472671.33679295</v>
      </c>
      <c r="Z37" s="425" cm="1">
        <f t="array" ref="Z37">IF(B37&gt;0,SUM(W37:Y37),"N/A")</f>
        <v>17432810.1107006</v>
      </c>
      <c r="AA37" s="425" cm="1">
        <f t="array" ref="AA37">_xlfn.IFERROR((Z37-Z36),"N/A")</f>
        <v>239705</v>
      </c>
      <c r="AB37" s="424"/>
      <c r="AC37" t="str" s="426" cm="1">
        <f t="array" ref="AC37">IF(B37=6,AVERAGE(Z28:Z33),"N/A")</f>
        <v>N/A</v>
      </c>
      <c r="AD37" s="424"/>
      <c r="AE37" s="423"/>
      <c r="AF37" s="423"/>
      <c r="AG37" s="423"/>
      <c r="AH37" s="423"/>
      <c r="AI37" s="423"/>
      <c r="AJ37" s="423"/>
      <c r="AK37" s="423"/>
      <c r="AL37" s="423"/>
      <c r="AM37" s="423"/>
      <c r="AN37" s="427"/>
    </row>
    <row r="38" ht="15" customHeight="1">
      <c r="A38" s="12"/>
      <c r="B38" s="428" cm="1">
        <f t="array" ref="B38">IF(B37=0,0,IF(B37&lt;VLOOKUP(C25,'Boats Data Sheet 2026'!$C$3:$H$57,6,0),B37+1,0))</f>
        <v>11</v>
      </c>
      <c r="C38" s="423" cm="1">
        <f t="array" ref="C38">IF(B38&gt;0,IF(VLOOKUP(C25,'Boats Data Sheet 2026'!$C$3:$J$57,8,0)="N/A",0,VLOOKUP(C25,'Boats Data Sheet 2026'!$C$3:$J$57,8,0)),"N/A")</f>
        <v>0</v>
      </c>
      <c r="D38" s="429" cm="1">
        <f t="array" ref="D38">IF(B38&gt;7,2,IF(B38=0,"N/A",1))</f>
        <v>2</v>
      </c>
      <c r="E38" s="423" cm="1">
        <f t="array" ref="E38">_xlfn.IFERROR(SUM('Direct Costs 2026'!$C$4:$C$5)*D38,"N/A")</f>
        <v>1751000</v>
      </c>
      <c r="F38" s="423" cm="1">
        <f t="array" ref="F38">_xlfn.IFERROR('Direct Costs 2026'!$C$43*B38,"N/A")</f>
        <v>66000</v>
      </c>
      <c r="G38" s="423" cm="1">
        <f t="array" ref="G38">IF(B38&gt;0,'Direct Costs 2026'!$C$25,"N/A")</f>
        <v>90000</v>
      </c>
      <c r="H38" s="423" cm="1">
        <f t="array" ref="H38">IF(B38&gt;0,('Direct Costs 2026'!$C$15+'Direct Costs 2026'!$C$14+'Direct Costs 2026'!$C$17),"N/A")</f>
        <v>580000</v>
      </c>
      <c r="I38" s="423" cm="1">
        <f t="array" ref="I38">IF(B38&gt;0,'Direct Costs 2026'!$C$19+'Direct Costs 2026'!$C$18*B38,"N/A")</f>
        <v>460000</v>
      </c>
      <c r="J38" s="423" cm="1">
        <f t="array" ref="J38">IF(B38&gt;0,SUM('Direct Costs 2026'!$C$20:$C$21),"N/A")</f>
        <v>98333.3333333333</v>
      </c>
      <c r="K38" s="423" cm="1">
        <f t="array" ref="K38">IF(B38&gt;0,'Direct Costs 2026'!$C$26,"N/A")</f>
        <v>20000</v>
      </c>
      <c r="L38" s="423" cm="1">
        <f t="array" ref="L38">IF(B38&gt;0,'Direct Costs 2026'!$C$23,"N/A")</f>
        <v>140000</v>
      </c>
      <c r="M38" s="423" cm="1">
        <f t="array" ref="M38">IF(B38&gt;0,'Direct Costs 2026'!$C$45*B38,"N/A")</f>
        <v>1650000</v>
      </c>
      <c r="N38" s="423" cm="1">
        <f t="array" ref="N38">IF(B38&gt;0,_xlfn.IFERROR(VLOOKUP(C25,'Boats Data Sheet 2026'!$C$3:$I$57,7,0)*'Direct Costs 2026'!$C$36,"N/A"),"N/A")</f>
        <v>3657500</v>
      </c>
      <c r="O38" s="423" cm="1">
        <f t="array" ref="O38">IF(B38&gt;0,IF(OR(VLOOKUP(C25,'Boats Data Sheet 2026'!$C$3:$F$57,4,0)="Own",VLOOKUP(C25,'Boats Data Sheet 2026'!$C$3:$F$57,4,0)="Management"),('Direct Costs 2026'!$C$37+'Direct Costs 2026'!$C$39),"N/A"),"N/A")</f>
        <v>1112400</v>
      </c>
      <c r="P38" s="423" cm="1">
        <f t="array" ref="P38">_xlfn.IFERROR('Direct Costs 2026'!$C$27*C38,"N/A")</f>
        <v>0</v>
      </c>
      <c r="Q38" s="423" cm="1">
        <f t="array" ref="Q38">_xlfn.IFERROR(C38+SUM(E38:P38),"N/A")</f>
        <v>9625233.33333333</v>
      </c>
      <c r="R38" s="424"/>
      <c r="S38" s="423" cm="1">
        <f t="array" ref="S38">IF(B38&gt;0,'Allocation OH and Target 2026'!$E$31,"N/A")</f>
        <v>3100447.15769812</v>
      </c>
      <c r="T38" s="423" cm="1">
        <f t="array" ref="T38">IF(B38&gt;0,VLOOKUP(C25,'Allocation OH and Target 2026'!$C$35:$S$87,17,0),"N/A")</f>
        <v>1356004.85614035</v>
      </c>
      <c r="U38" s="423" cm="1">
        <f t="array" ref="U38">_xlfn.IFERROR((S38+T38),"N/A")</f>
        <v>4456452.01383847</v>
      </c>
      <c r="V38" s="424"/>
      <c r="W38" s="423" cm="1">
        <f t="array" ref="W38">_xlfn.IFERROR(U38+Q38,"N/A")</f>
        <v>14081685.3471718</v>
      </c>
      <c r="X38" s="423" cm="1">
        <f t="array" ref="X38">_xlfn.IFERROR(W38*0.5%,"N/A")</f>
        <v>70408.426735859</v>
      </c>
      <c r="Y38" s="423" cm="1">
        <f t="array" ref="Y38">_xlfn.IFERROR(W38*25%,"N/A")</f>
        <v>3520421.33679295</v>
      </c>
      <c r="Z38" s="425" cm="1">
        <f t="array" ref="Z38">IF(B38&gt;0,SUM(W38:Y38),"N/A")</f>
        <v>17672515.1107006</v>
      </c>
      <c r="AA38" s="425" cm="1">
        <f t="array" ref="AA38">_xlfn.IFERROR((Z38-Z37),"N/A")</f>
        <v>239705</v>
      </c>
      <c r="AB38" s="424"/>
      <c r="AC38" t="str" s="426" cm="1">
        <f t="array" ref="AC38">IF(B38=6,AVERAGE(Z28:Z33),"N/A")</f>
        <v>N/A</v>
      </c>
      <c r="AD38" s="424"/>
      <c r="AE38" s="423"/>
      <c r="AF38" s="423"/>
      <c r="AG38" s="423"/>
      <c r="AH38" s="423"/>
      <c r="AI38" s="423"/>
      <c r="AJ38" s="423"/>
      <c r="AK38" s="423"/>
      <c r="AL38" s="423"/>
      <c r="AM38" s="423"/>
      <c r="AN38" s="427"/>
    </row>
    <row r="39" ht="15" customHeight="1">
      <c r="A39" s="12"/>
      <c r="B39" s="428" cm="1">
        <f t="array" ref="B39">IF(B38=0,0,IF(B38&lt;VLOOKUP(C25,'Boats Data Sheet 2026'!$C$3:$H$57,6,0),B38+1,0))</f>
        <v>12</v>
      </c>
      <c r="C39" s="423" cm="1">
        <f t="array" ref="C39">IF(B39&gt;0,IF(VLOOKUP(C25,'Boats Data Sheet 2026'!$C$3:$J$57,8,0)="N/A",0,VLOOKUP(C25,'Boats Data Sheet 2026'!$C$3:$J$57,8,0)),"N/A")</f>
        <v>0</v>
      </c>
      <c r="D39" s="429" cm="1">
        <f t="array" ref="D39">IF(B39&gt;7,2,IF(B39=0,"N/A",1))</f>
        <v>2</v>
      </c>
      <c r="E39" s="423" cm="1">
        <f t="array" ref="E39">_xlfn.IFERROR(SUM('Direct Costs 2026'!$C$4:$C$5)*D39,"N/A")</f>
        <v>1751000</v>
      </c>
      <c r="F39" s="423" cm="1">
        <f t="array" ref="F39">_xlfn.IFERROR('Direct Costs 2026'!$C$43*B39,"N/A")</f>
        <v>72000</v>
      </c>
      <c r="G39" s="423" cm="1">
        <f t="array" ref="G39">IF(B39&gt;0,'Direct Costs 2026'!$C$25,"N/A")</f>
        <v>90000</v>
      </c>
      <c r="H39" s="423" cm="1">
        <f t="array" ref="H39">IF(B39&gt;0,('Direct Costs 2026'!$C$15+'Direct Costs 2026'!$C$14+'Direct Costs 2026'!$C$17),"N/A")</f>
        <v>580000</v>
      </c>
      <c r="I39" s="423" cm="1">
        <f t="array" ref="I39">IF(B39&gt;0,'Direct Costs 2026'!$C$19+'Direct Costs 2026'!$C$18*B39,"N/A")</f>
        <v>495000</v>
      </c>
      <c r="J39" s="423" cm="1">
        <f t="array" ref="J39">IF(B39&gt;0,SUM('Direct Costs 2026'!$C$20:$C$21),"N/A")</f>
        <v>98333.3333333333</v>
      </c>
      <c r="K39" s="423" cm="1">
        <f t="array" ref="K39">IF(B39&gt;0,'Direct Costs 2026'!$C$26,"N/A")</f>
        <v>20000</v>
      </c>
      <c r="L39" s="423" cm="1">
        <f t="array" ref="L39">IF(B39&gt;0,'Direct Costs 2026'!$C$23,"N/A")</f>
        <v>140000</v>
      </c>
      <c r="M39" s="423" cm="1">
        <f t="array" ref="M39">IF(B39&gt;0,'Direct Costs 2026'!$C$45*B39,"N/A")</f>
        <v>1800000</v>
      </c>
      <c r="N39" s="423" cm="1">
        <f t="array" ref="N39">IF(B39&gt;0,_xlfn.IFERROR(VLOOKUP(C25,'Boats Data Sheet 2026'!$C$3:$I$57,7,0)*'Direct Costs 2026'!$C$36,"N/A"),"N/A")</f>
        <v>3657500</v>
      </c>
      <c r="O39" s="423" cm="1">
        <f t="array" ref="O39">IF(B39&gt;0,IF(OR(VLOOKUP(C25,'Boats Data Sheet 2026'!$C$3:$F$57,4,0)="Own",VLOOKUP(C25,'Boats Data Sheet 2026'!$C$3:$F$57,4,0)="Management"),('Direct Costs 2026'!$C$37+'Direct Costs 2026'!$C$39),"N/A"),"N/A")</f>
        <v>1112400</v>
      </c>
      <c r="P39" s="423" cm="1">
        <f t="array" ref="P39">_xlfn.IFERROR('Direct Costs 2026'!$C$27*C39,"N/A")</f>
        <v>0</v>
      </c>
      <c r="Q39" s="423" cm="1">
        <f t="array" ref="Q39">_xlfn.IFERROR(C39+SUM(E39:P39),"N/A")</f>
        <v>9816233.33333333</v>
      </c>
      <c r="R39" s="424"/>
      <c r="S39" s="423" cm="1">
        <f t="array" ref="S39">IF(B39&gt;0,'Allocation OH and Target 2026'!$E$31,"N/A")</f>
        <v>3100447.15769812</v>
      </c>
      <c r="T39" s="423" cm="1">
        <f t="array" ref="T39">IF(B39&gt;0,VLOOKUP(C25,'Allocation OH and Target 2026'!$C$35:$S$87,17,0),"N/A")</f>
        <v>1356004.85614035</v>
      </c>
      <c r="U39" s="423" cm="1">
        <f t="array" ref="U39">_xlfn.IFERROR((S39+T39),"N/A")</f>
        <v>4456452.01383847</v>
      </c>
      <c r="V39" s="424"/>
      <c r="W39" s="423" cm="1">
        <f t="array" ref="W39">_xlfn.IFERROR(U39+Q39,"N/A")</f>
        <v>14272685.3471718</v>
      </c>
      <c r="X39" s="423" cm="1">
        <f t="array" ref="X39">_xlfn.IFERROR(W39*0.5%,"N/A")</f>
        <v>71363.426735859</v>
      </c>
      <c r="Y39" s="423" cm="1">
        <f t="array" ref="Y39">_xlfn.IFERROR(W39*25%,"N/A")</f>
        <v>3568171.33679295</v>
      </c>
      <c r="Z39" s="425" cm="1">
        <f t="array" ref="Z39">IF(B39&gt;0,SUM(W39:Y39),"N/A")</f>
        <v>17912220.1107006</v>
      </c>
      <c r="AA39" s="425" cm="1">
        <f t="array" ref="AA39">_xlfn.IFERROR((Z39-Z38),"N/A")</f>
        <v>239705</v>
      </c>
      <c r="AB39" s="424"/>
      <c r="AC39" t="str" s="426" cm="1">
        <f t="array" ref="AC39">IF(B39=6,AVERAGE(Z28:Z33),"N/A")</f>
        <v>N/A</v>
      </c>
      <c r="AD39" s="424"/>
      <c r="AE39" s="423"/>
      <c r="AF39" s="423"/>
      <c r="AG39" s="423"/>
      <c r="AH39" s="423"/>
      <c r="AI39" s="423"/>
      <c r="AJ39" s="423"/>
      <c r="AK39" s="423"/>
      <c r="AL39" s="423"/>
      <c r="AM39" s="423"/>
      <c r="AN39" s="427"/>
    </row>
    <row r="40" ht="15" customHeight="1">
      <c r="A40" s="12"/>
      <c r="B40" s="428" cm="1">
        <f t="array" ref="B40">IF(B39=0,0,IF(B39&lt;VLOOKUP(C25,'Boats Data Sheet 2026'!$C$3:$H$57,6,0),B39+1,0))</f>
        <v>13</v>
      </c>
      <c r="C40" s="423" cm="1">
        <f t="array" ref="C40">IF(B40&gt;0,IF(VLOOKUP(C25,'Boats Data Sheet 2026'!$C$3:$J$57,8,0)="N/A",0,VLOOKUP(C25,'Boats Data Sheet 2026'!$C$3:$J$57,8,0)),"N/A")</f>
        <v>0</v>
      </c>
      <c r="D40" s="429" cm="1">
        <f t="array" ref="D40">IF(B40&gt;7,2,IF(B40=0,"N/A",1))</f>
        <v>2</v>
      </c>
      <c r="E40" s="423" cm="1">
        <f t="array" ref="E40">_xlfn.IFERROR(SUM('Direct Costs 2026'!$C$4:$C$5)*D40,"N/A")</f>
        <v>1751000</v>
      </c>
      <c r="F40" s="423" cm="1">
        <f t="array" ref="F40">_xlfn.IFERROR('Direct Costs 2026'!$C$43*B40,"N/A")</f>
        <v>78000</v>
      </c>
      <c r="G40" s="423" cm="1">
        <f t="array" ref="G40">IF(B40&gt;0,'Direct Costs 2026'!$C$25,"N/A")</f>
        <v>90000</v>
      </c>
      <c r="H40" s="423" cm="1">
        <f t="array" ref="H40">IF(B40&gt;0,('Direct Costs 2026'!$C$15+'Direct Costs 2026'!$C$14+'Direct Costs 2026'!$C$17),"N/A")</f>
        <v>580000</v>
      </c>
      <c r="I40" s="423" cm="1">
        <f t="array" ref="I40">IF(B40&gt;0,'Direct Costs 2026'!$C$19+'Direct Costs 2026'!$C$18*B40,"N/A")</f>
        <v>530000</v>
      </c>
      <c r="J40" s="423" cm="1">
        <f t="array" ref="J40">IF(B40&gt;0,SUM('Direct Costs 2026'!$C$20:$C$21),"N/A")</f>
        <v>98333.3333333333</v>
      </c>
      <c r="K40" s="423" cm="1">
        <f t="array" ref="K40">IF(B40&gt;0,'Direct Costs 2026'!$C$26,"N/A")</f>
        <v>20000</v>
      </c>
      <c r="L40" s="423" cm="1">
        <f t="array" ref="L40">IF(B40&gt;0,'Direct Costs 2026'!$C$23,"N/A")</f>
        <v>140000</v>
      </c>
      <c r="M40" s="423" cm="1">
        <f t="array" ref="M40">IF(B40&gt;0,'Direct Costs 2026'!$C$45*B40,"N/A")</f>
        <v>1950000</v>
      </c>
      <c r="N40" s="423" cm="1">
        <f t="array" ref="N40">IF(B40&gt;0,_xlfn.IFERROR(VLOOKUP(C25,'Boats Data Sheet 2026'!$C$3:$I$57,7,0)*'Direct Costs 2026'!$C$36,"N/A"),"N/A")</f>
        <v>3657500</v>
      </c>
      <c r="O40" s="423" cm="1">
        <f t="array" ref="O40">IF(B40&gt;0,IF(OR(VLOOKUP(C25,'Boats Data Sheet 2026'!$C$3:$F$57,4,0)="Own",VLOOKUP(C25,'Boats Data Sheet 2026'!$C$3:$F$57,4,0)="Management"),('Direct Costs 2026'!$C$37+'Direct Costs 2026'!$C$39),"N/A"),"N/A")</f>
        <v>1112400</v>
      </c>
      <c r="P40" s="423" cm="1">
        <f t="array" ref="P40">_xlfn.IFERROR('Direct Costs 2026'!$C$27*C40,"N/A")</f>
        <v>0</v>
      </c>
      <c r="Q40" s="423" cm="1">
        <f t="array" ref="Q40">_xlfn.IFERROR(C40+SUM(E40:P40),"N/A")</f>
        <v>10007233.3333333</v>
      </c>
      <c r="R40" s="424"/>
      <c r="S40" s="423" cm="1">
        <f t="array" ref="S40">IF(B40&gt;0,'Allocation OH and Target 2026'!$E$31,"N/A")</f>
        <v>3100447.15769812</v>
      </c>
      <c r="T40" s="423" cm="1">
        <f t="array" ref="T40">IF(B40&gt;0,VLOOKUP(C25,'Allocation OH and Target 2026'!$C$35:$S$87,17,0),"N/A")</f>
        <v>1356004.85614035</v>
      </c>
      <c r="U40" s="423" cm="1">
        <f t="array" ref="U40">_xlfn.IFERROR((S40+T40),"N/A")</f>
        <v>4456452.01383847</v>
      </c>
      <c r="V40" s="424"/>
      <c r="W40" s="423" cm="1">
        <f t="array" ref="W40">_xlfn.IFERROR(U40+Q40,"N/A")</f>
        <v>14463685.3471718</v>
      </c>
      <c r="X40" s="423" cm="1">
        <f t="array" ref="X40">_xlfn.IFERROR(W40*0.5%,"N/A")</f>
        <v>72318.426735859</v>
      </c>
      <c r="Y40" s="423" cm="1">
        <f t="array" ref="Y40">_xlfn.IFERROR(W40*25%,"N/A")</f>
        <v>3615921.33679295</v>
      </c>
      <c r="Z40" s="425" cm="1">
        <f t="array" ref="Z40">IF(B40&gt;0,SUM(W40:Y40),"N/A")</f>
        <v>18151925.1107006</v>
      </c>
      <c r="AA40" s="425" cm="1">
        <f t="array" ref="AA40">_xlfn.IFERROR((Z40-Z39),"N/A")</f>
        <v>239705</v>
      </c>
      <c r="AB40" s="424"/>
      <c r="AC40" t="str" s="426" cm="1">
        <f t="array" ref="AC40">IF(B40=6,AVERAGE(Z28:Z33),"N/A")</f>
        <v>N/A</v>
      </c>
      <c r="AD40" s="424"/>
      <c r="AE40" s="423"/>
      <c r="AF40" s="423"/>
      <c r="AG40" s="423"/>
      <c r="AH40" s="423"/>
      <c r="AI40" s="423"/>
      <c r="AJ40" s="423"/>
      <c r="AK40" s="423"/>
      <c r="AL40" s="423"/>
      <c r="AM40" s="423"/>
      <c r="AN40" s="427"/>
    </row>
    <row r="41" ht="15" customHeight="1">
      <c r="A41" s="12"/>
      <c r="B41" s="428" cm="1">
        <f t="array" ref="B41">IF(B40=0,0,IF(B40&lt;VLOOKUP(C25,'Boats Data Sheet 2026'!$C$3:$H$57,6,0),B40+1,0))</f>
        <v>14</v>
      </c>
      <c r="C41" s="423" cm="1">
        <f t="array" ref="C41">IF(B41&gt;0,IF(VLOOKUP(C25,'Boats Data Sheet 2026'!$C$3:$J$57,8,0)="N/A",0,VLOOKUP(C25,'Boats Data Sheet 2026'!$C$3:$J$57,8,0)),"N/A")</f>
        <v>0</v>
      </c>
      <c r="D41" s="430" cm="1">
        <f t="array" ref="D41">IF(B41&gt;7,2,IF(B41=0,"N/A",1))</f>
        <v>2</v>
      </c>
      <c r="E41" s="423" cm="1">
        <f t="array" ref="E41">_xlfn.IFERROR(SUM('Direct Costs 2026'!$C$4:$C$5)*D41,"N/A")</f>
        <v>1751000</v>
      </c>
      <c r="F41" s="423" cm="1">
        <f t="array" ref="F41">_xlfn.IFERROR('Direct Costs 2026'!$C$43*B41,"N/A")</f>
        <v>84000</v>
      </c>
      <c r="G41" s="423" cm="1">
        <f t="array" ref="G41">IF(B41&gt;0,'Direct Costs 2026'!$C$25,"N/A")</f>
        <v>90000</v>
      </c>
      <c r="H41" s="423" cm="1">
        <f t="array" ref="H41">IF(B41&gt;0,('Direct Costs 2026'!$C$15+'Direct Costs 2026'!$C$14+'Direct Costs 2026'!$C$17),"N/A")</f>
        <v>580000</v>
      </c>
      <c r="I41" s="423" cm="1">
        <f t="array" ref="I41">IF(B41&gt;0,'Direct Costs 2026'!$C$19+'Direct Costs 2026'!$C$18*B41,"N/A")</f>
        <v>565000</v>
      </c>
      <c r="J41" s="423" cm="1">
        <f t="array" ref="J41">IF(B41&gt;0,SUM('Direct Costs 2026'!$C$20:$C$21),"N/A")</f>
        <v>98333.3333333333</v>
      </c>
      <c r="K41" s="423" cm="1">
        <f t="array" ref="K41">IF(B41&gt;0,'Direct Costs 2026'!$C$26,"N/A")</f>
        <v>20000</v>
      </c>
      <c r="L41" s="423" cm="1">
        <f t="array" ref="L41">IF(B41&gt;0,'Direct Costs 2026'!$C$23,"N/A")</f>
        <v>140000</v>
      </c>
      <c r="M41" s="423" cm="1">
        <f t="array" ref="M41">IF(B41&gt;0,'Direct Costs 2026'!$C$45*B41,"N/A")</f>
        <v>2100000</v>
      </c>
      <c r="N41" s="423" cm="1">
        <f t="array" ref="N41">IF(B41&gt;0,_xlfn.IFERROR(VLOOKUP(C25,'Boats Data Sheet 2026'!$C$3:$I$57,7,0)*'Direct Costs 2026'!$C$36,"N/A"),"N/A")</f>
        <v>3657500</v>
      </c>
      <c r="O41" s="423" cm="1">
        <f t="array" ref="O41">IF(B41&gt;0,IF(OR(VLOOKUP(C25,'Boats Data Sheet 2026'!$C$3:$F$57,4,0)="Own",VLOOKUP(C25,'Boats Data Sheet 2026'!$C$3:$F$57,4,0)="Management"),('Direct Costs 2026'!$C$37+'Direct Costs 2026'!$C$39),"N/A"),"N/A")</f>
        <v>1112400</v>
      </c>
      <c r="P41" s="423" cm="1">
        <f t="array" ref="P41">_xlfn.IFERROR('Direct Costs 2026'!$C$27*C41,"N/A")</f>
        <v>0</v>
      </c>
      <c r="Q41" s="423" cm="1">
        <f t="array" ref="Q41">_xlfn.IFERROR(C41+SUM(E41:P41),"N/A")</f>
        <v>10198233.3333333</v>
      </c>
      <c r="R41" s="424"/>
      <c r="S41" s="423" cm="1">
        <f t="array" ref="S41">IF(B41&gt;0,'Allocation OH and Target 2026'!$E$31,"N/A")</f>
        <v>3100447.15769812</v>
      </c>
      <c r="T41" s="423" cm="1">
        <f t="array" ref="T41">IF(B41&gt;0,VLOOKUP(C25,'Allocation OH and Target 2026'!$C$35:$S$87,17,0),"N/A")</f>
        <v>1356004.85614035</v>
      </c>
      <c r="U41" s="423" cm="1">
        <f t="array" ref="U41">_xlfn.IFERROR((S41+T41),"N/A")</f>
        <v>4456452.01383847</v>
      </c>
      <c r="V41" s="424"/>
      <c r="W41" s="423" cm="1">
        <f t="array" ref="W41">_xlfn.IFERROR(U41+Q41,"N/A")</f>
        <v>14654685.3471718</v>
      </c>
      <c r="X41" s="423" cm="1">
        <f t="array" ref="X41">_xlfn.IFERROR(W41*0.5%,"N/A")</f>
        <v>73273.426735859</v>
      </c>
      <c r="Y41" s="423" cm="1">
        <f t="array" ref="Y41">_xlfn.IFERROR(W41*25%,"N/A")</f>
        <v>3663671.33679295</v>
      </c>
      <c r="Z41" s="425" cm="1">
        <f t="array" ref="Z41">IF(B41&gt;0,SUM(W41:Y41),"N/A")</f>
        <v>18391630.1107006</v>
      </c>
      <c r="AA41" s="425" cm="1">
        <f t="array" ref="AA41">_xlfn.IFERROR((Z41-Z40),"N/A")</f>
        <v>239705</v>
      </c>
      <c r="AB41" s="424"/>
      <c r="AC41" t="str" s="426" cm="1">
        <f t="array" ref="AC41">IF(B41=6,AVERAGE(Z28:Z33),"N/A")</f>
        <v>N/A</v>
      </c>
      <c r="AD41" s="424"/>
      <c r="AE41" s="423"/>
      <c r="AF41" s="423"/>
      <c r="AG41" s="423"/>
      <c r="AH41" s="423"/>
      <c r="AI41" s="423"/>
      <c r="AJ41" s="423"/>
      <c r="AK41" s="423"/>
      <c r="AL41" s="423"/>
      <c r="AM41" s="423"/>
      <c r="AN41" s="427"/>
    </row>
    <row r="42" ht="15" customHeight="1">
      <c r="A42" s="12"/>
      <c r="B42" s="428" cm="1">
        <f t="array" ref="B42">IF(B41=0,0,IF(B41&lt;VLOOKUP(C25,'Boats Data Sheet 2026'!$C$3:$H$57,6,0),B41+1,0))</f>
        <v>0</v>
      </c>
      <c r="C42" t="str" s="431" cm="1">
        <f t="array" ref="C42">IF(B42&gt;0,IF(VLOOKUP(C25,'Boats Data Sheet 2026'!$C$3:$J$57,8,0)="N/A",0,VLOOKUP(C25,'Boats Data Sheet 2026'!$C$3:$J$57,8,0)),"N/A")</f>
        <v>N/A</v>
      </c>
      <c r="D42" t="str" s="431" cm="1">
        <f t="array" ref="D42">IF(B42&gt;7,2,IF(B42=0,"N/A",1))</f>
        <v>N/A</v>
      </c>
      <c r="E42" t="str" s="431" cm="1">
        <f t="array" ref="E42">_xlfn.IFERROR(SUM('Direct Costs 2026'!$C$4:$C$5)*D42,"N/A")</f>
        <v>N/A</v>
      </c>
      <c r="F42" s="423" cm="1">
        <f t="array" ref="F42">_xlfn.IFERROR('Direct Costs 2026'!$C$43*B42,"N/A")</f>
        <v>0</v>
      </c>
      <c r="G42" t="str" s="431" cm="1">
        <f t="array" ref="G42">IF(B42&gt;0,'Direct Costs 2026'!$C$25,"N/A")</f>
        <v>N/A</v>
      </c>
      <c r="H42" t="str" s="431" cm="1">
        <f t="array" ref="H42">IF(B42&gt;0,('Direct Costs 2026'!$C$15+'Direct Costs 2026'!$C$14+'Direct Costs 2026'!$C$17),"N/A")</f>
        <v>N/A</v>
      </c>
      <c r="I42" t="str" s="431" cm="1">
        <f t="array" ref="I42">IF(B42&gt;0,'Direct Costs 2026'!$C$19+'Direct Costs 2026'!$C$18*B42,"N/A")</f>
        <v>N/A</v>
      </c>
      <c r="J42" t="str" s="431" cm="1">
        <f t="array" ref="J42">IF(B42&gt;0,SUM('Direct Costs 2026'!$C$20:$C$21),"N/A")</f>
        <v>N/A</v>
      </c>
      <c r="K42" t="str" s="431" cm="1">
        <f t="array" ref="K42">IF(B42&gt;0,'Direct Costs 2026'!$C$26,"N/A")</f>
        <v>N/A</v>
      </c>
      <c r="L42" t="str" s="431" cm="1">
        <f t="array" ref="L42">IF(B42&gt;0,'Direct Costs 2026'!$C$23,"N/A")</f>
        <v>N/A</v>
      </c>
      <c r="M42" t="str" s="431" cm="1">
        <f t="array" ref="M42">IF(B42&gt;0,'Direct Costs 2026'!$C$45*B42,"N/A")</f>
        <v>N/A</v>
      </c>
      <c r="N42" t="str" s="431" cm="1">
        <f t="array" ref="N42">IF(B42&gt;0,_xlfn.IFERROR(VLOOKUP(C25,'Boats Data Sheet 2026'!$C$3:$I$57,7,0)*'Direct Costs 2026'!$C$36,"N/A"),"N/A")</f>
        <v>N/A</v>
      </c>
      <c r="O42" t="str" s="431" cm="1">
        <f t="array" ref="O42">IF(B42&gt;0,IF(OR(VLOOKUP(C25,'Boats Data Sheet 2026'!$C$3:$F$57,4,0)="Own",VLOOKUP(C25,'Boats Data Sheet 2026'!$C$3:$F$57,4,0)="Management"),('Direct Costs 2026'!$C$37+'Direct Costs 2026'!$C$39),"N/A"),"N/A")</f>
        <v>N/A</v>
      </c>
      <c r="P42" t="str" s="431" cm="1">
        <f t="array" ref="P42">_xlfn.IFERROR('Direct Costs 2026'!$C$27*C42,"N/A")</f>
        <v>N/A</v>
      </c>
      <c r="Q42" t="str" s="431" cm="1">
        <f t="array" ref="Q42">_xlfn.IFERROR(C42+SUM(E42:P42),"N/A")</f>
        <v>N/A</v>
      </c>
      <c r="R42" s="424"/>
      <c r="S42" t="str" s="431" cm="1">
        <f t="array" ref="S42">IF(B42&gt;0,'Allocation OH and Target 2026'!$E$31,"N/A")</f>
        <v>N/A</v>
      </c>
      <c r="T42" t="str" s="431" cm="1">
        <f t="array" ref="T42">IF(B42&gt;0,VLOOKUP(C25,'Allocation OH and Target 2026'!$C$35:$S$87,16,0),"N/A")</f>
        <v>N/A</v>
      </c>
      <c r="U42" t="str" s="431" cm="1">
        <f t="array" ref="U42">_xlfn.IFERROR((S42+T42),"N/A")</f>
        <v>N/A</v>
      </c>
      <c r="V42" s="424"/>
      <c r="W42" t="str" s="431" cm="1">
        <f t="array" ref="W42">_xlfn.IFERROR(U42+Q42,"N/A")</f>
        <v>N/A</v>
      </c>
      <c r="X42" t="str" s="431" cm="1">
        <f t="array" ref="X42">_xlfn.IFERROR(W42*0.5%,"N/A")</f>
        <v>N/A</v>
      </c>
      <c r="Y42" t="str" s="431" cm="1">
        <f t="array" ref="Y42">_xlfn.IFERROR(W42*25%,"N/A")</f>
        <v>N/A</v>
      </c>
      <c r="Z42" t="str" s="426" cm="1">
        <f t="array" ref="Z42">IF(B42&gt;0,SUM(W42:Y42),"N/A")</f>
        <v>N/A</v>
      </c>
      <c r="AA42" t="str" s="426" cm="1">
        <f t="array" ref="AA42">_xlfn.IFERROR((Z42-Z41),"N/A")</f>
        <v>N/A</v>
      </c>
      <c r="AB42" s="424"/>
      <c r="AC42" t="str" s="426" cm="1">
        <f t="array" ref="AC42">IF(B42=6,AVERAGE(Z28:Z33),"N/A")</f>
        <v>N/A</v>
      </c>
      <c r="AD42" s="424"/>
      <c r="AE42" s="423"/>
      <c r="AF42" s="423"/>
      <c r="AG42" s="423"/>
      <c r="AH42" s="423"/>
      <c r="AI42" s="423"/>
      <c r="AJ42" s="423"/>
      <c r="AK42" s="423"/>
      <c r="AL42" s="423"/>
      <c r="AM42" s="423"/>
      <c r="AN42" s="427"/>
    </row>
    <row r="43" ht="15" customHeight="1">
      <c r="A43" s="12"/>
      <c r="B43" s="428" cm="1">
        <f t="array" ref="B43">IF(B42=0,0,IF(B42&lt;VLOOKUP(C25,'Boats Data Sheet 2026'!$C$3:$H$57,6,0),B42+1,0))</f>
        <v>0</v>
      </c>
      <c r="C43" t="str" s="431" cm="1">
        <f t="array" ref="C43">IF(B43&gt;0,IF(VLOOKUP(C25,'Boats Data Sheet 2026'!$C$3:$J$57,8,0)="N/A",0,VLOOKUP(C25,'Boats Data Sheet 2026'!$C$3:$J$57,8,0)),"N/A")</f>
        <v>N/A</v>
      </c>
      <c r="D43" t="str" s="431" cm="1">
        <f t="array" ref="D43">IF(B43&gt;7,2,IF(B43=0,"N/A",1))</f>
        <v>N/A</v>
      </c>
      <c r="E43" t="str" s="431" cm="1">
        <f t="array" ref="E43">_xlfn.IFERROR(SUM('Direct Costs 2026'!$C$4:$C$5)*D43,"N/A")</f>
        <v>N/A</v>
      </c>
      <c r="F43" s="423" cm="1">
        <f t="array" ref="F43">_xlfn.IFERROR('Direct Costs 2026'!$C$43*B43,"N/A")</f>
        <v>0</v>
      </c>
      <c r="G43" t="str" s="431" cm="1">
        <f t="array" ref="G43">IF(B43&gt;0,'Direct Costs 2026'!$C$25,"N/A")</f>
        <v>N/A</v>
      </c>
      <c r="H43" t="str" s="431" cm="1">
        <f t="array" ref="H43">IF(B43&gt;0,('Direct Costs 2026'!$C$15+'Direct Costs 2026'!$C$14+'Direct Costs 2026'!$C$17),"N/A")</f>
        <v>N/A</v>
      </c>
      <c r="I43" t="str" s="431" cm="1">
        <f t="array" ref="I43">IF(B43&gt;0,'Direct Costs 2026'!$C$19+'Direct Costs 2026'!$C$18*B43,"N/A")</f>
        <v>N/A</v>
      </c>
      <c r="J43" t="str" s="431" cm="1">
        <f t="array" ref="J43">IF(B43&gt;0,SUM('Direct Costs 2026'!$C$20:$C$21),"N/A")</f>
        <v>N/A</v>
      </c>
      <c r="K43" t="str" s="431" cm="1">
        <f t="array" ref="K43">IF(B43&gt;0,'Direct Costs 2026'!$C$26,"N/A")</f>
        <v>N/A</v>
      </c>
      <c r="L43" t="str" s="431" cm="1">
        <f t="array" ref="L43">IF(B43&gt;0,'Direct Costs 2026'!$C$23,"N/A")</f>
        <v>N/A</v>
      </c>
      <c r="M43" t="str" s="431" cm="1">
        <f t="array" ref="M43">IF(B43&gt;0,'Direct Costs 2026'!$C$45*B43,"N/A")</f>
        <v>N/A</v>
      </c>
      <c r="N43" t="str" s="431" cm="1">
        <f t="array" ref="N43">IF(B43&gt;0,_xlfn.IFERROR(VLOOKUP(C25,'Boats Data Sheet 2026'!$C$3:$I$57,7,0)*'Direct Costs 2026'!$C$36,"N/A"),"N/A")</f>
        <v>N/A</v>
      </c>
      <c r="O43" t="str" s="431" cm="1">
        <f t="array" ref="O43">IF(B43&gt;0,IF(OR(VLOOKUP(C25,'Boats Data Sheet 2026'!$C$3:$F$57,4,0)="Own",VLOOKUP(C25,'Boats Data Sheet 2026'!$C$3:$F$57,4,0)="Management"),('Direct Costs 2026'!$C$37+'Direct Costs 2026'!$C$39),"N/A"),"N/A")</f>
        <v>N/A</v>
      </c>
      <c r="P43" t="str" s="431" cm="1">
        <f t="array" ref="P43">_xlfn.IFERROR('Direct Costs 2026'!$C$27*C43,"N/A")</f>
        <v>N/A</v>
      </c>
      <c r="Q43" t="str" s="431" cm="1">
        <f t="array" ref="Q43">_xlfn.IFERROR(C43+SUM(E43:P43),"N/A")</f>
        <v>N/A</v>
      </c>
      <c r="R43" s="424"/>
      <c r="S43" t="str" s="431" cm="1">
        <f t="array" ref="S43">IF(B43&gt;0,'Allocation OH and Target 2026'!$E$31,"N/A")</f>
        <v>N/A</v>
      </c>
      <c r="T43" t="str" s="431" cm="1">
        <f t="array" ref="T43">IF(B43&gt;0,VLOOKUP(C25,'Allocation OH and Target 2026'!$C$35:$S$87,16,0),"N/A")</f>
        <v>N/A</v>
      </c>
      <c r="U43" t="str" s="431" cm="1">
        <f t="array" ref="U43">_xlfn.IFERROR((S43+T43),"N/A")</f>
        <v>N/A</v>
      </c>
      <c r="V43" s="424"/>
      <c r="W43" t="str" s="431" cm="1">
        <f t="array" ref="W43">_xlfn.IFERROR(U43+Q43,"N/A")</f>
        <v>N/A</v>
      </c>
      <c r="X43" t="str" s="431" cm="1">
        <f t="array" ref="X43">_xlfn.IFERROR(W43*0.5%,"N/A")</f>
        <v>N/A</v>
      </c>
      <c r="Y43" t="str" s="431" cm="1">
        <f t="array" ref="Y43">_xlfn.IFERROR(W43*25%,"N/A")</f>
        <v>N/A</v>
      </c>
      <c r="Z43" t="str" s="426" cm="1">
        <f t="array" ref="Z43">IF(B43&gt;0,SUM(W43:Y43),"N/A")</f>
        <v>N/A</v>
      </c>
      <c r="AA43" t="str" s="426" cm="1">
        <f t="array" ref="AA43">_xlfn.IFERROR((Z43-Z42),"N/A")</f>
        <v>N/A</v>
      </c>
      <c r="AB43" s="424"/>
      <c r="AC43" t="str" s="426" cm="1">
        <f t="array" ref="AC43">IF(B43=6,AVERAGE(Z28:Z33),"N/A")</f>
        <v>N/A</v>
      </c>
      <c r="AD43" s="424"/>
      <c r="AE43" s="423"/>
      <c r="AF43" s="423"/>
      <c r="AG43" s="423"/>
      <c r="AH43" s="423"/>
      <c r="AI43" s="423"/>
      <c r="AJ43" s="423"/>
      <c r="AK43" s="423"/>
      <c r="AL43" s="423"/>
      <c r="AM43" s="423"/>
      <c r="AN43" s="427"/>
    </row>
    <row r="44" ht="15" customHeight="1">
      <c r="A44" s="12"/>
      <c r="B44" s="428" cm="1">
        <f t="array" ref="B44">IF(B43=0,0,IF(B43&lt;VLOOKUP(C25,'Boats Data Sheet 2026'!$C$3:$H$57,6,0),B43+1,0))</f>
        <v>0</v>
      </c>
      <c r="C44" t="str" s="431" cm="1">
        <f t="array" ref="C44">IF(B44&gt;0,IF(VLOOKUP(C25,'Boats Data Sheet 2026'!$C$3:$J$57,8,0)="N/A",0,VLOOKUP(C25,'Boats Data Sheet 2026'!$C$3:$J$57,8,0)),"N/A")</f>
        <v>N/A</v>
      </c>
      <c r="D44" t="str" s="431" cm="1">
        <f t="array" ref="D44">IF(B44&gt;7,2,IF(B44=0,"N/A",1))</f>
        <v>N/A</v>
      </c>
      <c r="E44" t="str" s="431" cm="1">
        <f t="array" ref="E44">_xlfn.IFERROR(SUM('Direct Costs 2026'!$C$4:$C$5)*D44,"N/A")</f>
        <v>N/A</v>
      </c>
      <c r="F44" s="423" cm="1">
        <f t="array" ref="F44">_xlfn.IFERROR('Direct Costs 2026'!$C$43*B44,"N/A")</f>
        <v>0</v>
      </c>
      <c r="G44" t="str" s="431" cm="1">
        <f t="array" ref="G44">IF(B44&gt;0,'Direct Costs 2026'!$C$25,"N/A")</f>
        <v>N/A</v>
      </c>
      <c r="H44" t="str" s="431" cm="1">
        <f t="array" ref="H44">IF(B44&gt;0,('Direct Costs 2026'!$C$15+'Direct Costs 2026'!$C$14+'Direct Costs 2026'!$C$17),"N/A")</f>
        <v>N/A</v>
      </c>
      <c r="I44" t="str" s="431" cm="1">
        <f t="array" ref="I44">IF(B44&gt;0,'Direct Costs 2026'!$C$19+'Direct Costs 2026'!$C$18*B44,"N/A")</f>
        <v>N/A</v>
      </c>
      <c r="J44" t="str" s="431" cm="1">
        <f t="array" ref="J44">IF(B44&gt;0,SUM('Direct Costs 2026'!$C$20:$C$21),"N/A")</f>
        <v>N/A</v>
      </c>
      <c r="K44" t="str" s="431" cm="1">
        <f t="array" ref="K44">IF(B44&gt;0,'Direct Costs 2026'!$C$26,"N/A")</f>
        <v>N/A</v>
      </c>
      <c r="L44" t="str" s="431" cm="1">
        <f t="array" ref="L44">IF(B44&gt;0,'Direct Costs 2026'!$C$23,"N/A")</f>
        <v>N/A</v>
      </c>
      <c r="M44" t="str" s="431" cm="1">
        <f t="array" ref="M44">IF(B44&gt;0,'Direct Costs 2026'!$C$45*B44,"N/A")</f>
        <v>N/A</v>
      </c>
      <c r="N44" t="str" s="431" cm="1">
        <f t="array" ref="N44">IF(B44&gt;0,_xlfn.IFERROR(VLOOKUP(C25,'Boats Data Sheet 2026'!$C$3:$I$57,7,0)*'Direct Costs 2026'!$C$36,"N/A"),"N/A")</f>
        <v>N/A</v>
      </c>
      <c r="O44" t="str" s="431" cm="1">
        <f t="array" ref="O44">IF(B44&gt;0,IF(OR(VLOOKUP(C25,'Boats Data Sheet 2026'!$C$3:$F$57,4,0)="Own",VLOOKUP(C25,'Boats Data Sheet 2026'!$C$3:$F$57,4,0)="Management"),('Direct Costs 2026'!$C$37+'Direct Costs 2026'!$C$39),"N/A"),"N/A")</f>
        <v>N/A</v>
      </c>
      <c r="P44" t="str" s="431" cm="1">
        <f t="array" ref="P44">_xlfn.IFERROR('Direct Costs 2026'!$C$27*C44,"N/A")</f>
        <v>N/A</v>
      </c>
      <c r="Q44" t="str" s="431" cm="1">
        <f t="array" ref="Q44">_xlfn.IFERROR(C44+SUM(E44:P44),"N/A")</f>
        <v>N/A</v>
      </c>
      <c r="R44" s="424"/>
      <c r="S44" t="str" s="431" cm="1">
        <f t="array" ref="S44">IF(B44&gt;0,'Allocation OH and Target 2026'!$E$31,"N/A")</f>
        <v>N/A</v>
      </c>
      <c r="T44" t="str" s="431" cm="1">
        <f t="array" ref="T44">IF(B44&gt;0,VLOOKUP(C25,'Allocation OH and Target 2026'!$C$35:$S$87,16,0),"N/A")</f>
        <v>N/A</v>
      </c>
      <c r="U44" t="str" s="431" cm="1">
        <f t="array" ref="U44">_xlfn.IFERROR((S44+T44),"N/A")</f>
        <v>N/A</v>
      </c>
      <c r="V44" s="424"/>
      <c r="W44" t="str" s="431" cm="1">
        <f t="array" ref="W44">_xlfn.IFERROR(U44+Q44,"N/A")</f>
        <v>N/A</v>
      </c>
      <c r="X44" t="str" s="431" cm="1">
        <f t="array" ref="X44">_xlfn.IFERROR(W44*0.5%,"N/A")</f>
        <v>N/A</v>
      </c>
      <c r="Y44" t="str" s="431" cm="1">
        <f t="array" ref="Y44">_xlfn.IFERROR(W44*25%,"N/A")</f>
        <v>N/A</v>
      </c>
      <c r="Z44" t="str" s="426" cm="1">
        <f t="array" ref="Z44">IF(B44&gt;0,SUM(W44:Y44),"N/A")</f>
        <v>N/A</v>
      </c>
      <c r="AA44" t="str" s="426" cm="1">
        <f t="array" ref="AA44">_xlfn.IFERROR((Z44-Z43),"N/A")</f>
        <v>N/A</v>
      </c>
      <c r="AB44" s="424"/>
      <c r="AC44" t="str" s="426" cm="1">
        <f t="array" ref="AC44">IF(B44=6,AVERAGE(Z28:Z33),"N/A")</f>
        <v>N/A</v>
      </c>
      <c r="AD44" s="424"/>
      <c r="AE44" s="423"/>
      <c r="AF44" s="423"/>
      <c r="AG44" s="423"/>
      <c r="AH44" s="423"/>
      <c r="AI44" s="423"/>
      <c r="AJ44" s="423"/>
      <c r="AK44" s="423"/>
      <c r="AL44" s="423"/>
      <c r="AM44" s="423"/>
      <c r="AN44" s="427"/>
    </row>
    <row r="45" ht="15.5" customHeight="1">
      <c r="A45" s="12"/>
      <c r="B45" s="432" cm="1">
        <f t="array" ref="B45">IF(B44=0,0,IF(B44&lt;VLOOKUP(C25,'Boats Data Sheet 2026'!$C$3:$H$57,6,0),B44+1,0))</f>
        <v>0</v>
      </c>
      <c r="C45" t="str" s="433" cm="1">
        <f t="array" ref="C45">IF(B45&gt;0,IF(VLOOKUP(C25,'Boats Data Sheet 2026'!$C$3:$J$57,8,0)="N/A",0,VLOOKUP(C25,'Boats Data Sheet 2026'!$C$3:$J$57,8,0)),"N/A")</f>
        <v>N/A</v>
      </c>
      <c r="D45" t="str" s="433" cm="1">
        <f t="array" ref="D45">IF(B45&gt;7,2,IF(B45=0,"N/A",1))</f>
        <v>N/A</v>
      </c>
      <c r="E45" t="str" s="433" cm="1">
        <f t="array" ref="E45">_xlfn.IFERROR(SUM('Direct Costs 2026'!$C$4:$C$5)*D45,"N/A")</f>
        <v>N/A</v>
      </c>
      <c r="F45" s="434" cm="1">
        <f t="array" ref="F45">_xlfn.IFERROR('Direct Costs 2026'!$C$43*B45,"N/A")</f>
        <v>0</v>
      </c>
      <c r="G45" t="str" s="433" cm="1">
        <f t="array" ref="G45">IF(B45&gt;0,'Direct Costs 2026'!$C$25,"N/A")</f>
        <v>N/A</v>
      </c>
      <c r="H45" t="str" s="433" cm="1">
        <f t="array" ref="H45">IF(B45&gt;0,('Direct Costs 2026'!$C$15+'Direct Costs 2026'!$C$14+'Direct Costs 2026'!$C$17),"N/A")</f>
        <v>N/A</v>
      </c>
      <c r="I45" t="str" s="433" cm="1">
        <f t="array" ref="I45">IF(B45&gt;0,'Direct Costs 2026'!$C$19+'Direct Costs 2026'!$C$18*B45,"N/A")</f>
        <v>N/A</v>
      </c>
      <c r="J45" t="str" s="433" cm="1">
        <f t="array" ref="J45">IF(B45&gt;0,SUM('Direct Costs 2026'!$C$20:$C$21),"N/A")</f>
        <v>N/A</v>
      </c>
      <c r="K45" t="str" s="433" cm="1">
        <f t="array" ref="K45">IF(B45&gt;0,'Direct Costs 2026'!$C$26,"N/A")</f>
        <v>N/A</v>
      </c>
      <c r="L45" t="str" s="433" cm="1">
        <f t="array" ref="L45">IF(B45&gt;0,'Direct Costs 2026'!$C$23,"N/A")</f>
        <v>N/A</v>
      </c>
      <c r="M45" t="str" s="433" cm="1">
        <f t="array" ref="M45">IF(B45&gt;0,'Direct Costs 2026'!$C$45*B45,"N/A")</f>
        <v>N/A</v>
      </c>
      <c r="N45" t="str" s="433" cm="1">
        <f t="array" ref="N45">IF(B45&gt;0,_xlfn.IFERROR(VLOOKUP(C25,'Boats Data Sheet 2026'!$C$3:$I$57,7,0)*'Direct Costs 2026'!$C$36,"N/A"),"N/A")</f>
        <v>N/A</v>
      </c>
      <c r="O45" t="str" s="433" cm="1">
        <f t="array" ref="O45">IF(B45&gt;0,IF(OR(VLOOKUP(C25,'Boats Data Sheet 2026'!$C$3:$F$57,4,0)="Own",VLOOKUP(C25,'Boats Data Sheet 2026'!$C$3:$F$57,4,0)="Management"),('Direct Costs 2026'!$C$37+'Direct Costs 2026'!$C$39),"N/A"),"N/A")</f>
        <v>N/A</v>
      </c>
      <c r="P45" t="str" s="433" cm="1">
        <f t="array" ref="P45">_xlfn.IFERROR('Direct Costs 2026'!$C$27*C45,"N/A")</f>
        <v>N/A</v>
      </c>
      <c r="Q45" t="str" s="433" cm="1">
        <f t="array" ref="Q45">_xlfn.IFERROR(C45+SUM(E45:P45),"N/A")</f>
        <v>N/A</v>
      </c>
      <c r="R45" s="435"/>
      <c r="S45" t="str" s="433" cm="1">
        <f t="array" ref="S45">IF(B45&gt;0,'Allocation OH and Target 2026'!$E$31,"N/A")</f>
        <v>N/A</v>
      </c>
      <c r="T45" t="str" s="433" cm="1">
        <f t="array" ref="T45">IF(B45&gt;0,VLOOKUP(C25,'Allocation OH and Target 2026'!$C$35:$S$87,16,0),"N/A")</f>
        <v>N/A</v>
      </c>
      <c r="U45" t="str" s="433" cm="1">
        <f t="array" ref="U45">_xlfn.IFERROR((S45+T45),"N/A")</f>
        <v>N/A</v>
      </c>
      <c r="V45" s="435"/>
      <c r="W45" t="str" s="433" cm="1">
        <f t="array" ref="W45">_xlfn.IFERROR(U45+Q45,"N/A")</f>
        <v>N/A</v>
      </c>
      <c r="X45" t="str" s="433" cm="1">
        <f t="array" ref="X45">_xlfn.IFERROR(W45*0.5%,"N/A")</f>
        <v>N/A</v>
      </c>
      <c r="Y45" t="str" s="433" cm="1">
        <f t="array" ref="Y45">_xlfn.IFERROR(W45*25%,"N/A")</f>
        <v>N/A</v>
      </c>
      <c r="Z45" t="str" s="436" cm="1">
        <f t="array" ref="Z45">IF(B45&gt;0,SUM(W45:Y45),"N/A")</f>
        <v>N/A</v>
      </c>
      <c r="AA45" t="str" s="436" cm="1">
        <f t="array" ref="AA45">_xlfn.IFERROR((Z45-Z44),"N/A")</f>
        <v>N/A</v>
      </c>
      <c r="AB45" s="435"/>
      <c r="AC45" t="str" s="436" cm="1">
        <f t="array" ref="AC45">IF(B45=6,AVERAGE(Z28:Z33),"N/A")</f>
        <v>N/A</v>
      </c>
      <c r="AD45" s="435"/>
      <c r="AE45" s="434"/>
      <c r="AF45" s="434"/>
      <c r="AG45" s="434"/>
      <c r="AH45" s="434"/>
      <c r="AI45" s="434"/>
      <c r="AJ45" s="434"/>
      <c r="AK45" s="434"/>
      <c r="AL45" s="434"/>
      <c r="AM45" s="434"/>
      <c r="AN45" s="437"/>
    </row>
    <row r="46" ht="15" customHeight="1">
      <c r="A46" s="32"/>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313"/>
    </row>
    <row r="47" ht="15" customHeight="1">
      <c r="A47" s="32"/>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442"/>
    </row>
    <row r="48" ht="15.5" customHeight="1">
      <c r="A48" s="395">
        <v>3</v>
      </c>
      <c r="B48" t="s" s="396">
        <v>506</v>
      </c>
      <c r="C48" t="s" s="397">
        <v>185</v>
      </c>
      <c r="D48" s="398"/>
      <c r="E48" s="398"/>
      <c r="F48" s="398"/>
      <c r="G48" s="398"/>
      <c r="H48" s="398"/>
      <c r="I48" s="398"/>
      <c r="J48" s="398"/>
      <c r="K48" s="398"/>
      <c r="L48" s="398"/>
      <c r="M48" s="398"/>
      <c r="N48" s="398"/>
      <c r="O48" s="398"/>
      <c r="P48" s="398"/>
      <c r="Q48" s="398"/>
      <c r="R48" s="399"/>
      <c r="S48" s="398"/>
      <c r="T48" s="398"/>
      <c r="U48" s="398"/>
      <c r="V48" s="399"/>
      <c r="W48" s="398"/>
      <c r="X48" s="398"/>
      <c r="Y48" s="398"/>
      <c r="Z48" s="398"/>
      <c r="AA48" s="398"/>
      <c r="AB48" s="399"/>
      <c r="AC48" s="398"/>
      <c r="AD48" s="399"/>
      <c r="AE48" t="s" s="397">
        <v>508</v>
      </c>
      <c r="AF48" s="401" cm="1">
        <f t="array" ref="AF48">AVERAGE(Q51:Q56)</f>
        <v>7660000</v>
      </c>
      <c r="AG48" t="s" s="400">
        <v>509</v>
      </c>
      <c r="AH48" s="401" cm="1">
        <f t="array" ref="AH48">AVERAGE(Q57:Q64)-AF48</f>
        <v>1764428.57142857</v>
      </c>
      <c r="AI48" t="s" s="400">
        <v>510</v>
      </c>
      <c r="AJ48" s="401" cm="1">
        <f t="array" ref="AJ48">AVERAGE(Y51:Y58)</f>
        <v>2756471.16442453</v>
      </c>
      <c r="AK48" t="s" s="397">
        <v>511</v>
      </c>
      <c r="AL48" s="401" cm="1">
        <f t="array" ref="AL48">AVERAGE(W51:W56)</f>
        <v>10760447.1576981</v>
      </c>
      <c r="AM48" t="s" s="400">
        <v>512</v>
      </c>
      <c r="AN48" s="402" cm="1">
        <f t="array" ref="AN48">W51</f>
        <v>10370447.1576981</v>
      </c>
    </row>
    <row r="49" ht="15" customHeight="1">
      <c r="A49" s="12"/>
      <c r="B49" s="403"/>
      <c r="C49" t="s" s="404">
        <v>513</v>
      </c>
      <c r="D49" s="405"/>
      <c r="E49" s="405"/>
      <c r="F49" s="405"/>
      <c r="G49" s="405"/>
      <c r="H49" s="405"/>
      <c r="I49" s="405"/>
      <c r="J49" s="405"/>
      <c r="K49" s="405"/>
      <c r="L49" s="405"/>
      <c r="M49" s="405"/>
      <c r="N49" s="405"/>
      <c r="O49" s="405"/>
      <c r="P49" s="405"/>
      <c r="Q49" s="406"/>
      <c r="R49" s="407"/>
      <c r="S49" t="s" s="404">
        <v>514</v>
      </c>
      <c r="T49" s="405"/>
      <c r="U49" s="406"/>
      <c r="V49" s="407"/>
      <c r="W49" t="s" s="404">
        <v>515</v>
      </c>
      <c r="X49" s="405"/>
      <c r="Y49" s="405"/>
      <c r="Z49" s="405"/>
      <c r="AA49" s="405"/>
      <c r="AB49" s="408"/>
      <c r="AC49" t="s" s="409">
        <v>516</v>
      </c>
      <c r="AD49" s="410"/>
      <c r="AE49" s="443"/>
      <c r="AF49" s="443"/>
      <c r="AG49" s="443"/>
      <c r="AH49" s="443"/>
      <c r="AI49" s="443"/>
      <c r="AJ49" s="443"/>
      <c r="AK49" s="443"/>
      <c r="AL49" s="414"/>
      <c r="AM49" s="415"/>
      <c r="AN49" s="414"/>
    </row>
    <row r="50" ht="46.25" customHeight="1">
      <c r="A50" s="187"/>
      <c r="B50" t="s" s="416">
        <v>517</v>
      </c>
      <c r="C50" t="s" s="417">
        <v>518</v>
      </c>
      <c r="D50" t="s" s="417">
        <v>519</v>
      </c>
      <c r="E50" t="s" s="417">
        <v>520</v>
      </c>
      <c r="F50" t="s" s="159">
        <v>521</v>
      </c>
      <c r="G50" t="s" s="159">
        <v>522</v>
      </c>
      <c r="H50" t="s" s="159">
        <v>541</v>
      </c>
      <c r="I50" t="s" s="159">
        <v>524</v>
      </c>
      <c r="J50" t="s" s="159">
        <v>525</v>
      </c>
      <c r="K50" t="s" s="159">
        <v>526</v>
      </c>
      <c r="L50" t="s" s="159">
        <v>527</v>
      </c>
      <c r="M50" t="s" s="159">
        <v>528</v>
      </c>
      <c r="N50" t="s" s="159">
        <v>529</v>
      </c>
      <c r="O50" t="s" s="159">
        <v>530</v>
      </c>
      <c r="P50" t="s" s="159">
        <v>531</v>
      </c>
      <c r="Q50" t="s" s="159">
        <v>532</v>
      </c>
      <c r="R50" s="418"/>
      <c r="S50" t="s" s="159">
        <v>533</v>
      </c>
      <c r="T50" t="s" s="159">
        <v>534</v>
      </c>
      <c r="U50" t="s" s="159">
        <v>535</v>
      </c>
      <c r="V50" s="418"/>
      <c r="W50" t="s" s="159">
        <v>536</v>
      </c>
      <c r="X50" t="s" s="159">
        <v>537</v>
      </c>
      <c r="Y50" t="s" s="159">
        <v>538</v>
      </c>
      <c r="Z50" t="s" s="159">
        <v>539</v>
      </c>
      <c r="AA50" t="s" s="159">
        <v>121</v>
      </c>
      <c r="AB50" s="419"/>
      <c r="AC50" t="s" s="159">
        <v>39</v>
      </c>
      <c r="AD50" s="419"/>
      <c r="AE50" s="77"/>
      <c r="AF50" s="77"/>
      <c r="AG50" s="77"/>
      <c r="AH50" s="77"/>
      <c r="AI50" s="77"/>
      <c r="AJ50" s="77"/>
      <c r="AK50" s="77"/>
      <c r="AL50" s="77"/>
      <c r="AM50" s="77"/>
      <c r="AN50" s="78"/>
    </row>
    <row r="51" ht="15" customHeight="1">
      <c r="A51" s="12"/>
      <c r="B51" s="420">
        <v>1</v>
      </c>
      <c r="C51" s="421" cm="1">
        <f t="array" ref="C51">IF(B51&gt;0,IF(VLOOKUP(C48,'Boats Data Sheet 2026'!$C$3:$J$57,8,0)="N/A",0,VLOOKUP(C48,'Boats Data Sheet 2026'!$C$3:$J$57,8,0)),"N/A")</f>
        <v>5675000</v>
      </c>
      <c r="D51" s="422" cm="1">
        <f t="array" ref="D51">IF(B51&gt;7,2,IF(B51=0,"N/A",1))</f>
        <v>1</v>
      </c>
      <c r="E51" s="421" cm="1">
        <f t="array" ref="E51">_xlfn.IFERROR(SUM('Direct Costs 2026'!$C$4:$C$5)*D51,"N/A")</f>
        <v>875500</v>
      </c>
      <c r="F51" s="423" cm="1">
        <f t="array" ref="F51">_xlfn.IFERROR('Direct Costs 2026'!$C$43*B51,"N/A")</f>
        <v>6000</v>
      </c>
      <c r="G51" s="423" cm="1">
        <f t="array" ref="G51">IF(B51&gt;0,'Direct Costs 2026'!$C$25,"N/A")</f>
        <v>90000</v>
      </c>
      <c r="H51" s="423" cm="1">
        <f t="array" ref="H51">IF(B51&gt;0,'Direct Costs 2026'!$C$22,"N/A")</f>
        <v>200000</v>
      </c>
      <c r="I51" s="423">
        <v>0</v>
      </c>
      <c r="J51" s="423">
        <v>0</v>
      </c>
      <c r="K51" s="423" cm="1">
        <f t="array" ref="K51">IF(B51&gt;0,'Direct Costs 2026'!$C$26,"N/A")</f>
        <v>20000</v>
      </c>
      <c r="L51" s="423" cm="1">
        <f t="array" ref="L51">IF(B51&gt;0,'Direct Costs 2026'!$C$23,"N/A")</f>
        <v>140000</v>
      </c>
      <c r="M51" s="423" cm="1">
        <f t="array" ref="M51">IF(B51&gt;0,'Direct Costs 2026'!$C$45*B51,"N/A")</f>
        <v>150000</v>
      </c>
      <c r="N51" t="str" s="431" cm="1">
        <f t="array" ref="N51">IF(B51&gt;0,_xlfn.IFERROR(VLOOKUP(C48,'Boats Data Sheet 2026'!$C$3:$I$57,7,0)*'Direct Costs 2026'!$C$36,"N/A"),"N/A")</f>
        <v>N/A</v>
      </c>
      <c r="O51" t="str" s="431" cm="1">
        <f t="array" ref="O51">IF(B51&gt;0,IF(OR(VLOOKUP(C48,'Boats Data Sheet 2026'!$C$3:$F$57,4,0)="Own",VLOOKUP(C48,'Boats Data Sheet 2026'!$C$3:$F$57,4,0)="Management"),('Direct Costs 2026'!$C$37+'Direct Costs 2026'!$C$39),"N/A"),"N/A")</f>
        <v>N/A</v>
      </c>
      <c r="P51" s="423" cm="1">
        <f t="array" ref="P51">_xlfn.IFERROR('Direct Costs 2026'!$C$27*C51,"N/A")</f>
        <v>113500</v>
      </c>
      <c r="Q51" s="423" cm="1">
        <f t="array" ref="Q51">_xlfn.IFERROR(C51+SUM(E51:P51),"N/A")</f>
        <v>7270000</v>
      </c>
      <c r="R51" s="424"/>
      <c r="S51" s="423" cm="1">
        <f t="array" ref="S51">IF(B51&gt;0,'Allocation OH and Target 2026'!$E$31,"N/A")</f>
        <v>3100447.15769812</v>
      </c>
      <c r="T51" s="423" cm="1">
        <f t="array" ref="T51">IF(B51&gt;0,VLOOKUP(C48,'Allocation OH and Target 2026'!$C$35:$S$87,16,0),"N/A")</f>
        <v>0</v>
      </c>
      <c r="U51" s="423" cm="1">
        <f t="array" ref="U51">_xlfn.IFERROR((S51+T51),"N/A")</f>
        <v>3100447.15769812</v>
      </c>
      <c r="V51" s="424"/>
      <c r="W51" s="423" cm="1">
        <f t="array" ref="W51">_xlfn.IFERROR(U51+Q51,"N/A")</f>
        <v>10370447.1576981</v>
      </c>
      <c r="X51" s="423" cm="1">
        <f t="array" ref="X51">_xlfn.IFERROR(W51*0.5%,"N/A")</f>
        <v>51852.2357884905</v>
      </c>
      <c r="Y51" s="423" cm="1">
        <f t="array" ref="Y51">_xlfn.IFERROR(W51*25%,"N/A")</f>
        <v>2592611.78942453</v>
      </c>
      <c r="Z51" s="425" cm="1">
        <f t="array" ref="Z51">IF(B51&gt;0,SUM(W51:Y51),"N/A")</f>
        <v>13014911.1829111</v>
      </c>
      <c r="AA51" s="425">
        <v>0</v>
      </c>
      <c r="AB51" s="424"/>
      <c r="AC51" t="str" s="426" cm="1">
        <f t="array" ref="AC51">IF(B51=6,AVERAGE(Z51:Z56),"N/A")</f>
        <v>N/A</v>
      </c>
      <c r="AD51" s="424"/>
      <c r="AE51" s="423"/>
      <c r="AF51" s="423"/>
      <c r="AG51" s="423"/>
      <c r="AH51" s="423"/>
      <c r="AI51" s="423"/>
      <c r="AJ51" s="423"/>
      <c r="AK51" s="423"/>
      <c r="AL51" s="423"/>
      <c r="AM51" s="423"/>
      <c r="AN51" s="427"/>
    </row>
    <row r="52" ht="15" customHeight="1">
      <c r="A52" s="12"/>
      <c r="B52" s="428" cm="1">
        <f t="array" ref="B52">IF(B51=0,0,IF(B51&lt;VLOOKUP(C48,'Boats Data Sheet 2026'!$C$3:$H$57,6,0),B51+1,0))</f>
        <v>2</v>
      </c>
      <c r="C52" s="423" cm="1">
        <f t="array" ref="C52">IF(B52&gt;0,IF(VLOOKUP(C48,'Boats Data Sheet 2026'!$C$3:$J$57,8,0)="N/A",0,VLOOKUP(C48,'Boats Data Sheet 2026'!$C$3:$J$57,8,0)),"N/A")</f>
        <v>5675000</v>
      </c>
      <c r="D52" s="429" cm="1">
        <f t="array" ref="D52">IF(B52&gt;7,2,IF(B52=0,"N/A",1))</f>
        <v>1</v>
      </c>
      <c r="E52" s="423" cm="1">
        <f t="array" ref="E52">_xlfn.IFERROR(SUM('Direct Costs 2026'!$C$4:$C$5)*D52,"N/A")</f>
        <v>875500</v>
      </c>
      <c r="F52" s="423" cm="1">
        <f t="array" ref="F52">_xlfn.IFERROR('Direct Costs 2026'!$C$43*B52,"N/A")</f>
        <v>12000</v>
      </c>
      <c r="G52" s="423" cm="1">
        <f t="array" ref="G52">IF(B52&gt;0,'Direct Costs 2026'!$C$25,"N/A")</f>
        <v>90000</v>
      </c>
      <c r="H52" s="423" cm="1">
        <f t="array" ref="H52">IF(B52&gt;0,'Direct Costs 2026'!$C$22,"N/A")</f>
        <v>200000</v>
      </c>
      <c r="I52" s="423">
        <v>0</v>
      </c>
      <c r="J52" s="423">
        <v>0</v>
      </c>
      <c r="K52" s="423" cm="1">
        <f t="array" ref="K52">IF(B52&gt;0,'Direct Costs 2026'!$C$26,"N/A")</f>
        <v>20000</v>
      </c>
      <c r="L52" s="423" cm="1">
        <f t="array" ref="L52">IF(B52&gt;0,'Direct Costs 2026'!$C$23,"N/A")</f>
        <v>140000</v>
      </c>
      <c r="M52" s="423" cm="1">
        <f t="array" ref="M52">IF(B52&gt;0,'Direct Costs 2026'!$C$45*B52,"N/A")</f>
        <v>300000</v>
      </c>
      <c r="N52" t="str" s="431" cm="1">
        <f t="array" ref="N52">IF(B52&gt;0,_xlfn.IFERROR(VLOOKUP(C48,'Boats Data Sheet 2026'!$C$3:$I$57,7,0)*'Direct Costs 2026'!$C$36,"N/A"),"N/A")</f>
        <v>N/A</v>
      </c>
      <c r="O52" t="str" s="431" cm="1">
        <f t="array" ref="O52">IF(B52&gt;0,IF(OR(VLOOKUP(C48,'Boats Data Sheet 2026'!$C$3:$F$57,4,0)="Own",VLOOKUP(C48,'Boats Data Sheet 2026'!$C$3:$F$57,4,0)="Management"),('Direct Costs 2026'!$C$37+'Direct Costs 2026'!$C$39),"N/A"),"N/A")</f>
        <v>N/A</v>
      </c>
      <c r="P52" s="423" cm="1">
        <f t="array" ref="P52">_xlfn.IFERROR('Direct Costs 2026'!$C$27*C52,"N/A")</f>
        <v>113500</v>
      </c>
      <c r="Q52" s="423" cm="1">
        <f t="array" ref="Q52">_xlfn.IFERROR(C52+SUM(E52:P52),"N/A")</f>
        <v>7426000</v>
      </c>
      <c r="R52" s="424"/>
      <c r="S52" s="423" cm="1">
        <f t="array" ref="S52">IF(B52&gt;0,'Allocation OH and Target 2026'!$E$31,"N/A")</f>
        <v>3100447.15769812</v>
      </c>
      <c r="T52" s="423" cm="1">
        <f t="array" ref="T52">IF(B52&gt;0,VLOOKUP(C48,'Allocation OH and Target 2026'!$C$35:$S$87,16,0),"N/A")</f>
        <v>0</v>
      </c>
      <c r="U52" s="423" cm="1">
        <f t="array" ref="U52">_xlfn.IFERROR((S52+T52),"N/A")</f>
        <v>3100447.15769812</v>
      </c>
      <c r="V52" s="424"/>
      <c r="W52" s="423" cm="1">
        <f t="array" ref="W52">_xlfn.IFERROR(U52+Q52,"N/A")</f>
        <v>10526447.1576981</v>
      </c>
      <c r="X52" s="423" cm="1">
        <f t="array" ref="X52">_xlfn.IFERROR(W52*0.5%,"N/A")</f>
        <v>52632.2357884905</v>
      </c>
      <c r="Y52" s="423" cm="1">
        <f t="array" ref="Y52">_xlfn.IFERROR(W52*25%,"N/A")</f>
        <v>2631611.78942453</v>
      </c>
      <c r="Z52" s="425" cm="1">
        <f t="array" ref="Z52">IF(B52&gt;0,SUM(W52:Y52),"N/A")</f>
        <v>13210691.1829111</v>
      </c>
      <c r="AA52" s="425" cm="1">
        <f t="array" ref="AA52">_xlfn.IFERROR((Z52-Z51),"N/A")</f>
        <v>195780</v>
      </c>
      <c r="AB52" s="424"/>
      <c r="AC52" t="str" s="426" cm="1">
        <f t="array" ref="AC52">IF(B52=6,AVERAGE(Z51:Z56),"N/A")</f>
        <v>N/A</v>
      </c>
      <c r="AD52" s="424"/>
      <c r="AE52" s="423"/>
      <c r="AF52" s="423"/>
      <c r="AG52" s="423"/>
      <c r="AH52" s="423"/>
      <c r="AI52" s="423"/>
      <c r="AJ52" s="423"/>
      <c r="AK52" s="423"/>
      <c r="AL52" s="423"/>
      <c r="AM52" s="423"/>
      <c r="AN52" s="427"/>
    </row>
    <row r="53" ht="15" customHeight="1">
      <c r="A53" s="12"/>
      <c r="B53" s="428" cm="1">
        <f t="array" ref="B53">IF(B52=0,0,IF(B52&lt;VLOOKUP(C48,'Boats Data Sheet 2026'!$C$3:$H$57,6,0),B52+1,0))</f>
        <v>3</v>
      </c>
      <c r="C53" s="423" cm="1">
        <f t="array" ref="C53">IF(B53&gt;0,IF(VLOOKUP(C48,'Boats Data Sheet 2026'!$C$3:$J$57,8,0)="N/A",0,VLOOKUP(C48,'Boats Data Sheet 2026'!$C$3:$J$57,8,0)),"N/A")</f>
        <v>5675000</v>
      </c>
      <c r="D53" s="429" cm="1">
        <f t="array" ref="D53">IF(B53&gt;7,2,IF(B53=0,"N/A",1))</f>
        <v>1</v>
      </c>
      <c r="E53" s="423" cm="1">
        <f t="array" ref="E53">_xlfn.IFERROR(SUM('Direct Costs 2026'!$C$4:$C$5)*D53,"N/A")</f>
        <v>875500</v>
      </c>
      <c r="F53" s="423" cm="1">
        <f t="array" ref="F53">_xlfn.IFERROR('Direct Costs 2026'!$C$43*B53,"N/A")</f>
        <v>18000</v>
      </c>
      <c r="G53" s="423" cm="1">
        <f t="array" ref="G53">IF(B53&gt;0,'Direct Costs 2026'!$C$25,"N/A")</f>
        <v>90000</v>
      </c>
      <c r="H53" s="423" cm="1">
        <f t="array" ref="H53">IF(B53&gt;0,'Direct Costs 2026'!$C$22,"N/A")</f>
        <v>200000</v>
      </c>
      <c r="I53" s="423">
        <v>0</v>
      </c>
      <c r="J53" s="423">
        <v>0</v>
      </c>
      <c r="K53" s="423" cm="1">
        <f t="array" ref="K53">IF(B53&gt;0,'Direct Costs 2026'!$C$26,"N/A")</f>
        <v>20000</v>
      </c>
      <c r="L53" s="423" cm="1">
        <f t="array" ref="L53">IF(B53&gt;0,'Direct Costs 2026'!$C$23,"N/A")</f>
        <v>140000</v>
      </c>
      <c r="M53" s="423" cm="1">
        <f t="array" ref="M53">IF(B53&gt;0,'Direct Costs 2026'!$C$45*B53,"N/A")</f>
        <v>450000</v>
      </c>
      <c r="N53" t="str" s="431" cm="1">
        <f t="array" ref="N53">IF(B53&gt;0,_xlfn.IFERROR(VLOOKUP(C48,'Boats Data Sheet 2026'!$C$3:$I$57,7,0)*'Direct Costs 2026'!$C$36,"N/A"),"N/A")</f>
        <v>N/A</v>
      </c>
      <c r="O53" t="str" s="431" cm="1">
        <f t="array" ref="O53">IF(B53&gt;0,IF(OR(VLOOKUP(C48,'Boats Data Sheet 2026'!$C$3:$F$57,4,0)="Own",VLOOKUP(C48,'Boats Data Sheet 2026'!$C$3:$F$57,4,0)="Management"),('Direct Costs 2026'!$C$37+'Direct Costs 2026'!$C$39),"N/A"),"N/A")</f>
        <v>N/A</v>
      </c>
      <c r="P53" s="423" cm="1">
        <f t="array" ref="P53">_xlfn.IFERROR('Direct Costs 2026'!$C$27*C53,"N/A")</f>
        <v>113500</v>
      </c>
      <c r="Q53" s="423" cm="1">
        <f t="array" ref="Q53">_xlfn.IFERROR(C53+SUM(E53:P53),"N/A")</f>
        <v>7582000</v>
      </c>
      <c r="R53" s="424"/>
      <c r="S53" s="423" cm="1">
        <f t="array" ref="S53">IF(B53&gt;0,'Allocation OH and Target 2026'!$E$31,"N/A")</f>
        <v>3100447.15769812</v>
      </c>
      <c r="T53" s="423" cm="1">
        <f t="array" ref="T53">IF(B53&gt;0,VLOOKUP(C48,'Allocation OH and Target 2026'!$C$35:$S$87,16,0),"N/A")</f>
        <v>0</v>
      </c>
      <c r="U53" s="423" cm="1">
        <f t="array" ref="U53">_xlfn.IFERROR((S53+T53),"N/A")</f>
        <v>3100447.15769812</v>
      </c>
      <c r="V53" s="424"/>
      <c r="W53" s="423" cm="1">
        <f t="array" ref="W53">_xlfn.IFERROR(U53+Q53,"N/A")</f>
        <v>10682447.1576981</v>
      </c>
      <c r="X53" s="423" cm="1">
        <f t="array" ref="X53">_xlfn.IFERROR(W53*0.5%,"N/A")</f>
        <v>53412.2357884905</v>
      </c>
      <c r="Y53" s="423" cm="1">
        <f t="array" ref="Y53">_xlfn.IFERROR(W53*25%,"N/A")</f>
        <v>2670611.78942453</v>
      </c>
      <c r="Z53" s="425" cm="1">
        <f t="array" ref="Z53">IF(B53&gt;0,SUM(W53:Y53),"N/A")</f>
        <v>13406471.1829111</v>
      </c>
      <c r="AA53" s="425" cm="1">
        <f t="array" ref="AA53">_xlfn.IFERROR((Z53-Z52),"N/A")</f>
        <v>195780</v>
      </c>
      <c r="AB53" s="424"/>
      <c r="AC53" t="str" s="426" cm="1">
        <f t="array" ref="AC53">IF(B53=6,AVERAGE(Z51:Z56),"N/A")</f>
        <v>N/A</v>
      </c>
      <c r="AD53" s="424"/>
      <c r="AE53" s="423"/>
      <c r="AF53" s="423"/>
      <c r="AG53" s="423"/>
      <c r="AH53" s="423"/>
      <c r="AI53" s="423"/>
      <c r="AJ53" s="423"/>
      <c r="AK53" s="423"/>
      <c r="AL53" s="423"/>
      <c r="AM53" s="423"/>
      <c r="AN53" s="427"/>
    </row>
    <row r="54" ht="15" customHeight="1">
      <c r="A54" s="12"/>
      <c r="B54" s="428" cm="1">
        <f t="array" ref="B54">IF(B53=0,0,IF(B53&lt;VLOOKUP(C48,'Boats Data Sheet 2026'!$C$3:$H$57,6,0),B53+1,0))</f>
        <v>4</v>
      </c>
      <c r="C54" s="423" cm="1">
        <f t="array" ref="C54">IF(B54&gt;0,IF(VLOOKUP(C48,'Boats Data Sheet 2026'!$C$3:$J$57,8,0)="N/A",0,VLOOKUP(C48,'Boats Data Sheet 2026'!$C$3:$J$57,8,0)),"N/A")</f>
        <v>5675000</v>
      </c>
      <c r="D54" s="429" cm="1">
        <f t="array" ref="D54">IF(B54&gt;7,2,IF(B54=0,"N/A",1))</f>
        <v>1</v>
      </c>
      <c r="E54" s="423" cm="1">
        <f t="array" ref="E54">_xlfn.IFERROR(SUM('Direct Costs 2026'!$C$4:$C$5)*D54,"N/A")</f>
        <v>875500</v>
      </c>
      <c r="F54" s="423" cm="1">
        <f t="array" ref="F54">_xlfn.IFERROR('Direct Costs 2026'!$C$43*B54,"N/A")</f>
        <v>24000</v>
      </c>
      <c r="G54" s="423" cm="1">
        <f t="array" ref="G54">IF(B54&gt;0,'Direct Costs 2026'!$C$25,"N/A")</f>
        <v>90000</v>
      </c>
      <c r="H54" s="423" cm="1">
        <f t="array" ref="H54">IF(B54&gt;0,'Direct Costs 2026'!$C$22,"N/A")</f>
        <v>200000</v>
      </c>
      <c r="I54" s="423">
        <v>0</v>
      </c>
      <c r="J54" s="423">
        <v>0</v>
      </c>
      <c r="K54" s="423" cm="1">
        <f t="array" ref="K54">IF(B54&gt;0,'Direct Costs 2026'!$C$26,"N/A")</f>
        <v>20000</v>
      </c>
      <c r="L54" s="423" cm="1">
        <f t="array" ref="L54">IF(B54&gt;0,'Direct Costs 2026'!$C$23,"N/A")</f>
        <v>140000</v>
      </c>
      <c r="M54" s="423" cm="1">
        <f t="array" ref="M54">IF(B54&gt;0,'Direct Costs 2026'!$C$45*B54,"N/A")</f>
        <v>600000</v>
      </c>
      <c r="N54" t="str" s="431" cm="1">
        <f t="array" ref="N54">IF(B54&gt;0,_xlfn.IFERROR(VLOOKUP(C48,'Boats Data Sheet 2026'!$C$3:$I$57,7,0)*'Direct Costs 2026'!$C$36,"N/A"),"N/A")</f>
        <v>N/A</v>
      </c>
      <c r="O54" t="str" s="431" cm="1">
        <f t="array" ref="O54">IF(B54&gt;0,IF(OR(VLOOKUP(C48,'Boats Data Sheet 2026'!$C$3:$F$57,4,0)="Own",VLOOKUP(C48,'Boats Data Sheet 2026'!$C$3:$F$57,4,0)="Management"),('Direct Costs 2026'!$C$37+'Direct Costs 2026'!$C$39),"N/A"),"N/A")</f>
        <v>N/A</v>
      </c>
      <c r="P54" s="423" cm="1">
        <f t="array" ref="P54">_xlfn.IFERROR('Direct Costs 2026'!$C$27*C54,"N/A")</f>
        <v>113500</v>
      </c>
      <c r="Q54" s="423" cm="1">
        <f t="array" ref="Q54">_xlfn.IFERROR(C54+SUM(E54:P54),"N/A")</f>
        <v>7738000</v>
      </c>
      <c r="R54" s="424"/>
      <c r="S54" s="423" cm="1">
        <f t="array" ref="S54">IF(B54&gt;0,'Allocation OH and Target 2026'!$E$31,"N/A")</f>
        <v>3100447.15769812</v>
      </c>
      <c r="T54" s="423" cm="1">
        <f t="array" ref="T54">IF(B54&gt;0,VLOOKUP(C48,'Allocation OH and Target 2026'!$C$35:$S$87,16,0),"N/A")</f>
        <v>0</v>
      </c>
      <c r="U54" s="423" cm="1">
        <f t="array" ref="U54">_xlfn.IFERROR((S54+T54),"N/A")</f>
        <v>3100447.15769812</v>
      </c>
      <c r="V54" s="424"/>
      <c r="W54" s="423" cm="1">
        <f t="array" ref="W54">_xlfn.IFERROR(U54+Q54,"N/A")</f>
        <v>10838447.1576981</v>
      </c>
      <c r="X54" s="423" cm="1">
        <f t="array" ref="X54">_xlfn.IFERROR(W54*0.5%,"N/A")</f>
        <v>54192.2357884905</v>
      </c>
      <c r="Y54" s="423" cm="1">
        <f t="array" ref="Y54">_xlfn.IFERROR(W54*25%,"N/A")</f>
        <v>2709611.78942453</v>
      </c>
      <c r="Z54" s="425" cm="1">
        <f t="array" ref="Z54">IF(B54&gt;0,SUM(W54:Y54),"N/A")</f>
        <v>13602251.1829111</v>
      </c>
      <c r="AA54" s="425" cm="1">
        <f t="array" ref="AA54">_xlfn.IFERROR((Z54-Z53),"N/A")</f>
        <v>195780</v>
      </c>
      <c r="AB54" s="424"/>
      <c r="AC54" t="str" s="426" cm="1">
        <f t="array" ref="AC54">IF(B54=6,AVERAGE(Z51:Z56),"N/A")</f>
        <v>N/A</v>
      </c>
      <c r="AD54" s="424"/>
      <c r="AE54" s="423"/>
      <c r="AF54" s="423"/>
      <c r="AG54" s="423"/>
      <c r="AH54" s="423"/>
      <c r="AI54" s="423"/>
      <c r="AJ54" s="423"/>
      <c r="AK54" s="423"/>
      <c r="AL54" s="423"/>
      <c r="AM54" s="423"/>
      <c r="AN54" s="427"/>
    </row>
    <row r="55" ht="15" customHeight="1">
      <c r="A55" s="12"/>
      <c r="B55" s="428" cm="1">
        <f t="array" ref="B55">IF(B54=0,0,IF(B54&lt;VLOOKUP(C48,'Boats Data Sheet 2026'!$C$3:$H$57,6,0),B54+1,0))</f>
        <v>5</v>
      </c>
      <c r="C55" s="423" cm="1">
        <f t="array" ref="C55">IF(B55&gt;0,IF(VLOOKUP(C48,'Boats Data Sheet 2026'!$C$3:$J$57,8,0)="N/A",0,VLOOKUP(C48,'Boats Data Sheet 2026'!$C$3:$J$57,8,0)),"N/A")</f>
        <v>5675000</v>
      </c>
      <c r="D55" s="429" cm="1">
        <f t="array" ref="D55">IF(B55&gt;7,2,IF(B55=0,"N/A",1))</f>
        <v>1</v>
      </c>
      <c r="E55" s="423" cm="1">
        <f t="array" ref="E55">_xlfn.IFERROR(SUM('Direct Costs 2026'!$C$4:$C$5)*D55,"N/A")</f>
        <v>875500</v>
      </c>
      <c r="F55" s="423" cm="1">
        <f t="array" ref="F55">_xlfn.IFERROR('Direct Costs 2026'!$C$43*B55,"N/A")</f>
        <v>30000</v>
      </c>
      <c r="G55" s="423" cm="1">
        <f t="array" ref="G55">IF(B55&gt;0,'Direct Costs 2026'!$C$25,"N/A")</f>
        <v>90000</v>
      </c>
      <c r="H55" s="423" cm="1">
        <f t="array" ref="H55">IF(B55&gt;0,'Direct Costs 2026'!$C$22,"N/A")</f>
        <v>200000</v>
      </c>
      <c r="I55" s="423">
        <v>0</v>
      </c>
      <c r="J55" s="423">
        <v>0</v>
      </c>
      <c r="K55" s="423" cm="1">
        <f t="array" ref="K55">IF(B55&gt;0,'Direct Costs 2026'!$C$26,"N/A")</f>
        <v>20000</v>
      </c>
      <c r="L55" s="423" cm="1">
        <f t="array" ref="L55">IF(B55&gt;0,'Direct Costs 2026'!$C$23,"N/A")</f>
        <v>140000</v>
      </c>
      <c r="M55" s="423" cm="1">
        <f t="array" ref="M55">IF(B55&gt;0,'Direct Costs 2026'!$C$45*B55,"N/A")</f>
        <v>750000</v>
      </c>
      <c r="N55" t="str" s="431" cm="1">
        <f t="array" ref="N55">IF(B55&gt;0,_xlfn.IFERROR(VLOOKUP(C48,'Boats Data Sheet 2026'!$C$3:$I$57,7,0)*'Direct Costs 2026'!$C$36,"N/A"),"N/A")</f>
        <v>N/A</v>
      </c>
      <c r="O55" t="str" s="431" cm="1">
        <f t="array" ref="O55">IF(B55&gt;0,IF(OR(VLOOKUP(C48,'Boats Data Sheet 2026'!$C$3:$F$57,4,0)="Own",VLOOKUP(C48,'Boats Data Sheet 2026'!$C$3:$F$57,4,0)="Management"),('Direct Costs 2026'!$C$37+'Direct Costs 2026'!$C$39),"N/A"),"N/A")</f>
        <v>N/A</v>
      </c>
      <c r="P55" s="423" cm="1">
        <f t="array" ref="P55">_xlfn.IFERROR('Direct Costs 2026'!$C$27*C55,"N/A")</f>
        <v>113500</v>
      </c>
      <c r="Q55" s="423" cm="1">
        <f t="array" ref="Q55">_xlfn.IFERROR(C55+SUM(E55:P55),"N/A")</f>
        <v>7894000</v>
      </c>
      <c r="R55" s="424"/>
      <c r="S55" s="423" cm="1">
        <f t="array" ref="S55">IF(B55&gt;0,'Allocation OH and Target 2026'!$E$31,"N/A")</f>
        <v>3100447.15769812</v>
      </c>
      <c r="T55" s="423" cm="1">
        <f t="array" ref="T55">IF(B55&gt;0,VLOOKUP(C48,'Allocation OH and Target 2026'!$C$35:$S$87,16,0),"N/A")</f>
        <v>0</v>
      </c>
      <c r="U55" s="423" cm="1">
        <f t="array" ref="U55">_xlfn.IFERROR((S55+T55),"N/A")</f>
        <v>3100447.15769812</v>
      </c>
      <c r="V55" s="424"/>
      <c r="W55" s="423" cm="1">
        <f t="array" ref="W55">_xlfn.IFERROR(U55+Q55,"N/A")</f>
        <v>10994447.1576981</v>
      </c>
      <c r="X55" s="423" cm="1">
        <f t="array" ref="X55">_xlfn.IFERROR(W55*0.5%,"N/A")</f>
        <v>54972.2357884905</v>
      </c>
      <c r="Y55" s="423" cm="1">
        <f t="array" ref="Y55">_xlfn.IFERROR(W55*25%,"N/A")</f>
        <v>2748611.78942453</v>
      </c>
      <c r="Z55" s="425" cm="1">
        <f t="array" ref="Z55">IF(B55&gt;0,SUM(W55:Y55),"N/A")</f>
        <v>13798031.1829111</v>
      </c>
      <c r="AA55" s="425" cm="1">
        <f t="array" ref="AA55">_xlfn.IFERROR((Z55-Z54),"N/A")</f>
        <v>195780</v>
      </c>
      <c r="AB55" s="424"/>
      <c r="AC55" t="str" s="426" cm="1">
        <f t="array" ref="AC55">IF(B55=6,AVERAGE(Z51:Z56),"N/A")</f>
        <v>N/A</v>
      </c>
      <c r="AD55" s="424"/>
      <c r="AE55" s="423"/>
      <c r="AF55" s="423"/>
      <c r="AG55" s="423"/>
      <c r="AH55" s="423"/>
      <c r="AI55" s="423"/>
      <c r="AJ55" s="423"/>
      <c r="AK55" s="423"/>
      <c r="AL55" s="423"/>
      <c r="AM55" s="423"/>
      <c r="AN55" s="427"/>
    </row>
    <row r="56" ht="15" customHeight="1">
      <c r="A56" s="12"/>
      <c r="B56" s="428" cm="1">
        <f t="array" ref="B56">IF(B55=0,0,IF(B55&lt;VLOOKUP(C48,'Boats Data Sheet 2026'!$C$3:$H$57,6,0),B55+1,0))</f>
        <v>6</v>
      </c>
      <c r="C56" s="423" cm="1">
        <f t="array" ref="C56">IF(B56&gt;0,IF(VLOOKUP(C48,'Boats Data Sheet 2026'!$C$3:$J$57,8,0)="N/A",0,VLOOKUP(C48,'Boats Data Sheet 2026'!$C$3:$J$57,8,0)),"N/A")</f>
        <v>5675000</v>
      </c>
      <c r="D56" s="429" cm="1">
        <f t="array" ref="D56">IF(B56&gt;7,2,IF(B56=0,"N/A",1))</f>
        <v>1</v>
      </c>
      <c r="E56" s="423" cm="1">
        <f t="array" ref="E56">_xlfn.IFERROR(SUM('Direct Costs 2026'!$C$4:$C$5)*D56,"N/A")</f>
        <v>875500</v>
      </c>
      <c r="F56" s="423" cm="1">
        <f t="array" ref="F56">_xlfn.IFERROR('Direct Costs 2026'!$C$43*B56,"N/A")</f>
        <v>36000</v>
      </c>
      <c r="G56" s="423" cm="1">
        <f t="array" ref="G56">IF(B56&gt;0,'Direct Costs 2026'!$C$25,"N/A")</f>
        <v>90000</v>
      </c>
      <c r="H56" s="423" cm="1">
        <f t="array" ref="H56">IF(B56&gt;0,'Direct Costs 2026'!$C$22,"N/A")</f>
        <v>200000</v>
      </c>
      <c r="I56" s="423">
        <v>0</v>
      </c>
      <c r="J56" s="423">
        <v>0</v>
      </c>
      <c r="K56" s="423" cm="1">
        <f t="array" ref="K56">IF(B56&gt;0,'Direct Costs 2026'!$C$26,"N/A")</f>
        <v>20000</v>
      </c>
      <c r="L56" s="423" cm="1">
        <f t="array" ref="L56">IF(B56&gt;0,'Direct Costs 2026'!$C$23,"N/A")</f>
        <v>140000</v>
      </c>
      <c r="M56" s="423" cm="1">
        <f t="array" ref="M56">IF(B56&gt;0,'Direct Costs 2026'!$C$45*B56,"N/A")</f>
        <v>900000</v>
      </c>
      <c r="N56" t="str" s="431" cm="1">
        <f t="array" ref="N56">IF(B56&gt;0,_xlfn.IFERROR(VLOOKUP(C48,'Boats Data Sheet 2026'!$C$3:$I$57,7,0)*'Direct Costs 2026'!$C$36,"N/A"),"N/A")</f>
        <v>N/A</v>
      </c>
      <c r="O56" t="str" s="431" cm="1">
        <f t="array" ref="O56">IF(B56&gt;0,IF(OR(VLOOKUP(C48,'Boats Data Sheet 2026'!$C$3:$F$57,4,0)="Own",VLOOKUP(C48,'Boats Data Sheet 2026'!$C$3:$F$57,4,0)="Management"),('Direct Costs 2026'!$C$37+'Direct Costs 2026'!$C$39),"N/A"),"N/A")</f>
        <v>N/A</v>
      </c>
      <c r="P56" s="423" cm="1">
        <f t="array" ref="P56">_xlfn.IFERROR('Direct Costs 2026'!$C$27*C56,"N/A")</f>
        <v>113500</v>
      </c>
      <c r="Q56" s="423" cm="1">
        <f t="array" ref="Q56">_xlfn.IFERROR(C56+SUM(E56:P56),"N/A")</f>
        <v>8050000</v>
      </c>
      <c r="R56" s="424"/>
      <c r="S56" s="423" cm="1">
        <f t="array" ref="S56">IF(B56&gt;0,'Allocation OH and Target 2026'!$E$31,"N/A")</f>
        <v>3100447.15769812</v>
      </c>
      <c r="T56" s="423" cm="1">
        <f t="array" ref="T56">IF(B56&gt;0,VLOOKUP(C48,'Allocation OH and Target 2026'!$C$35:$S$87,16,0),"N/A")</f>
        <v>0</v>
      </c>
      <c r="U56" s="423" cm="1">
        <f t="array" ref="U56">_xlfn.IFERROR((S56+T56),"N/A")</f>
        <v>3100447.15769812</v>
      </c>
      <c r="V56" s="424"/>
      <c r="W56" s="423" cm="1">
        <f t="array" ref="W56">_xlfn.IFERROR(U56+Q56,"N/A")</f>
        <v>11150447.1576981</v>
      </c>
      <c r="X56" s="423" cm="1">
        <f t="array" ref="X56">_xlfn.IFERROR(W56*0.5%,"N/A")</f>
        <v>55752.2357884905</v>
      </c>
      <c r="Y56" s="423" cm="1">
        <f t="array" ref="Y56">_xlfn.IFERROR(W56*25%,"N/A")</f>
        <v>2787611.78942453</v>
      </c>
      <c r="Z56" s="425" cm="1">
        <f t="array" ref="Z56">IF(B56&gt;0,SUM(W56:Y56),"N/A")</f>
        <v>13993811.1829111</v>
      </c>
      <c r="AA56" s="425" cm="1">
        <f t="array" ref="AA56">_xlfn.IFERROR((Z56-Z55),"N/A")</f>
        <v>195780</v>
      </c>
      <c r="AB56" s="424"/>
      <c r="AC56" s="425" cm="1">
        <f t="array" ref="AC56">IF(B56=6,AVERAGE(Z51:Z56),"N/A")</f>
        <v>13504361.1829111</v>
      </c>
      <c r="AD56" s="424"/>
      <c r="AE56" s="423"/>
      <c r="AF56" s="423"/>
      <c r="AG56" s="423"/>
      <c r="AH56" s="423"/>
      <c r="AI56" s="423"/>
      <c r="AJ56" s="423"/>
      <c r="AK56" s="423"/>
      <c r="AL56" s="423"/>
      <c r="AM56" s="423"/>
      <c r="AN56" s="427"/>
    </row>
    <row r="57" ht="15" customHeight="1">
      <c r="A57" s="12"/>
      <c r="B57" s="428" cm="1">
        <f t="array" ref="B57">IF(B56=0,0,IF(B56&lt;VLOOKUP(C48,'Boats Data Sheet 2026'!$C$3:$H$57,6,0),B56+1,0))</f>
        <v>7</v>
      </c>
      <c r="C57" s="423" cm="1">
        <f t="array" ref="C57">IF(B57&gt;0,IF(VLOOKUP(C48,'Boats Data Sheet 2026'!$C$3:$J$57,8,0)="N/A",0,VLOOKUP(C48,'Boats Data Sheet 2026'!$C$3:$J$57,8,0)),"N/A")</f>
        <v>5675000</v>
      </c>
      <c r="D57" s="429" cm="1">
        <f t="array" ref="D57">IF(B57&gt;7,2,IF(B57=0,"N/A",1))</f>
        <v>1</v>
      </c>
      <c r="E57" s="423" cm="1">
        <f t="array" ref="E57">_xlfn.IFERROR(SUM('Direct Costs 2026'!$C$4:$C$5)*D57,"N/A")</f>
        <v>875500</v>
      </c>
      <c r="F57" s="423" cm="1">
        <f t="array" ref="F57">_xlfn.IFERROR('Direct Costs 2026'!$C$43*B57,"N/A")</f>
        <v>42000</v>
      </c>
      <c r="G57" s="423" cm="1">
        <f t="array" ref="G57">IF(B57&gt;0,'Direct Costs 2026'!$C$25,"N/A")</f>
        <v>90000</v>
      </c>
      <c r="H57" s="423" cm="1">
        <f t="array" ref="H57">IF(B57&gt;0,'Direct Costs 2026'!$C$22,"N/A")</f>
        <v>200000</v>
      </c>
      <c r="I57" s="423">
        <v>0</v>
      </c>
      <c r="J57" s="423">
        <v>0</v>
      </c>
      <c r="K57" s="423" cm="1">
        <f t="array" ref="K57">IF(B57&gt;0,'Direct Costs 2026'!$C$26,"N/A")</f>
        <v>20000</v>
      </c>
      <c r="L57" s="423" cm="1">
        <f t="array" ref="L57">IF(B57&gt;0,'Direct Costs 2026'!$C$23,"N/A")</f>
        <v>140000</v>
      </c>
      <c r="M57" s="423" cm="1">
        <f t="array" ref="M57">IF(B57&gt;0,'Direct Costs 2026'!$C$45*B57,"N/A")</f>
        <v>1050000</v>
      </c>
      <c r="N57" t="str" s="431" cm="1">
        <f t="array" ref="N57">IF(B57&gt;0,_xlfn.IFERROR(VLOOKUP(C48,'Boats Data Sheet 2026'!$C$3:$I$57,7,0)*'Direct Costs 2026'!$C$36,"N/A"),"N/A")</f>
        <v>N/A</v>
      </c>
      <c r="O57" t="str" s="431" cm="1">
        <f t="array" ref="O57">IF(B57&gt;0,IF(OR(VLOOKUP(C48,'Boats Data Sheet 2026'!$C$3:$F$57,4,0)="Own",VLOOKUP(C48,'Boats Data Sheet 2026'!$C$3:$F$57,4,0)="Management"),('Direct Costs 2026'!$C$37+'Direct Costs 2026'!$C$39),"N/A"),"N/A")</f>
        <v>N/A</v>
      </c>
      <c r="P57" s="423" cm="1">
        <f t="array" ref="P57">_xlfn.IFERROR('Direct Costs 2026'!$C$27*C57,"N/A")</f>
        <v>113500</v>
      </c>
      <c r="Q57" s="423" cm="1">
        <f t="array" ref="Q57">_xlfn.IFERROR(C57+SUM(E57:P57),"N/A")</f>
        <v>8206000</v>
      </c>
      <c r="R57" s="424"/>
      <c r="S57" s="423" cm="1">
        <f t="array" ref="S57">IF(B57&gt;0,'Allocation OH and Target 2026'!$E$31,"N/A")</f>
        <v>3100447.15769812</v>
      </c>
      <c r="T57" s="423" cm="1">
        <f t="array" ref="T57">IF(B57&gt;0,VLOOKUP(C48,'Allocation OH and Target 2026'!$C$35:$S$87,16,0),"N/A")</f>
        <v>0</v>
      </c>
      <c r="U57" s="423" cm="1">
        <f t="array" ref="U57">_xlfn.IFERROR((S57+T57),"N/A")</f>
        <v>3100447.15769812</v>
      </c>
      <c r="V57" s="424"/>
      <c r="W57" s="423" cm="1">
        <f t="array" ref="W57">_xlfn.IFERROR(U57+Q57,"N/A")</f>
        <v>11306447.1576981</v>
      </c>
      <c r="X57" s="423" cm="1">
        <f t="array" ref="X57">_xlfn.IFERROR(W57*0.5%,"N/A")</f>
        <v>56532.2357884905</v>
      </c>
      <c r="Y57" s="423" cm="1">
        <f t="array" ref="Y57">_xlfn.IFERROR(W57*25%,"N/A")</f>
        <v>2826611.78942453</v>
      </c>
      <c r="Z57" s="425" cm="1">
        <f t="array" ref="Z57">IF(B57&gt;0,SUM(W57:Y57),"N/A")</f>
        <v>14189591.1829111</v>
      </c>
      <c r="AA57" s="425" cm="1">
        <f t="array" ref="AA57">_xlfn.IFERROR((Z57-Z56),"N/A")</f>
        <v>195780</v>
      </c>
      <c r="AB57" s="424"/>
      <c r="AC57" t="str" s="426" cm="1">
        <f t="array" ref="AC57">IF(B57=6,AVERAGE(Z51:Z56),"N/A")</f>
        <v>N/A</v>
      </c>
      <c r="AD57" s="424"/>
      <c r="AE57" s="423"/>
      <c r="AF57" s="423"/>
      <c r="AG57" s="423"/>
      <c r="AH57" s="423"/>
      <c r="AI57" s="423"/>
      <c r="AJ57" s="423"/>
      <c r="AK57" s="423"/>
      <c r="AL57" s="423"/>
      <c r="AM57" s="423"/>
      <c r="AN57" s="427"/>
    </row>
    <row r="58" ht="15" customHeight="1">
      <c r="A58" s="12"/>
      <c r="B58" s="428" cm="1">
        <f t="array" ref="B58">IF(B57=0,0,IF(B57&lt;VLOOKUP(C48,'Boats Data Sheet 2026'!$C$3:$H$57,6,0),B57+1,0))</f>
        <v>8</v>
      </c>
      <c r="C58" s="423" cm="1">
        <f t="array" ref="C58">IF(B58&gt;0,IF(VLOOKUP(C48,'Boats Data Sheet 2026'!$C$3:$J$57,8,0)="N/A",0,VLOOKUP(C48,'Boats Data Sheet 2026'!$C$3:$J$57,8,0)),"N/A")</f>
        <v>5675000</v>
      </c>
      <c r="D58" s="429" cm="1">
        <f t="array" ref="D58">IF(B58&gt;7,2,IF(B58=0,"N/A",1))</f>
        <v>2</v>
      </c>
      <c r="E58" s="423" cm="1">
        <f t="array" ref="E58">_xlfn.IFERROR(SUM('Direct Costs 2026'!$C$4:$C$5)*D58,"N/A")</f>
        <v>1751000</v>
      </c>
      <c r="F58" s="423" cm="1">
        <f t="array" ref="F58">_xlfn.IFERROR('Direct Costs 2026'!$C$43*B58,"N/A")</f>
        <v>48000</v>
      </c>
      <c r="G58" s="423" cm="1">
        <f t="array" ref="G58">IF(B58&gt;0,'Direct Costs 2026'!$C$25,"N/A")</f>
        <v>90000</v>
      </c>
      <c r="H58" s="423" cm="1">
        <f t="array" ref="H58">IF(B58&gt;0,'Direct Costs 2026'!$C$22,"N/A")</f>
        <v>200000</v>
      </c>
      <c r="I58" s="423">
        <v>0</v>
      </c>
      <c r="J58" s="423">
        <v>0</v>
      </c>
      <c r="K58" s="423" cm="1">
        <f t="array" ref="K58">IF(B58&gt;0,'Direct Costs 2026'!$C$26,"N/A")</f>
        <v>20000</v>
      </c>
      <c r="L58" s="423" cm="1">
        <f t="array" ref="L58">IF(B58&gt;0,'Direct Costs 2026'!$C$23,"N/A")</f>
        <v>140000</v>
      </c>
      <c r="M58" s="423" cm="1">
        <f t="array" ref="M58">IF(B58&gt;0,'Direct Costs 2026'!$C$45*B58,"N/A")</f>
        <v>1200000</v>
      </c>
      <c r="N58" t="str" s="431" cm="1">
        <f t="array" ref="N58">IF(B58&gt;0,_xlfn.IFERROR(VLOOKUP(C48,'Boats Data Sheet 2026'!$C$3:$I$57,7,0)*'Direct Costs 2026'!$C$36,"N/A"),"N/A")</f>
        <v>N/A</v>
      </c>
      <c r="O58" t="str" s="431" cm="1">
        <f t="array" ref="O58">IF(B58&gt;0,IF(OR(VLOOKUP(C48,'Boats Data Sheet 2026'!$C$3:$F$57,4,0)="Own",VLOOKUP(C48,'Boats Data Sheet 2026'!$C$3:$F$57,4,0)="Management"),('Direct Costs 2026'!$C$37+'Direct Costs 2026'!$C$39),"N/A"),"N/A")</f>
        <v>N/A</v>
      </c>
      <c r="P58" s="423" cm="1">
        <f t="array" ref="P58">_xlfn.IFERROR('Direct Costs 2026'!$C$27*C58,"N/A")</f>
        <v>113500</v>
      </c>
      <c r="Q58" s="423" cm="1">
        <f t="array" ref="Q58">_xlfn.IFERROR(C58+SUM(E58:P58),"N/A")</f>
        <v>9237500</v>
      </c>
      <c r="R58" s="424"/>
      <c r="S58" s="423" cm="1">
        <f t="array" ref="S58">IF(B58&gt;0,'Allocation OH and Target 2026'!$E$31,"N/A")</f>
        <v>3100447.15769812</v>
      </c>
      <c r="T58" s="423" cm="1">
        <f t="array" ref="T58">IF(B58&gt;0,VLOOKUP(C48,'Allocation OH and Target 2026'!$C$35:$S$87,16,0),"N/A")</f>
        <v>0</v>
      </c>
      <c r="U58" s="423" cm="1">
        <f t="array" ref="U58">_xlfn.IFERROR((S58+T58),"N/A")</f>
        <v>3100447.15769812</v>
      </c>
      <c r="V58" s="424"/>
      <c r="W58" s="423" cm="1">
        <f t="array" ref="W58">_xlfn.IFERROR(U58+Q58,"N/A")</f>
        <v>12337947.1576981</v>
      </c>
      <c r="X58" s="423" cm="1">
        <f t="array" ref="X58">_xlfn.IFERROR(W58*0.5%,"N/A")</f>
        <v>61689.7357884905</v>
      </c>
      <c r="Y58" s="423" cm="1">
        <f t="array" ref="Y58">_xlfn.IFERROR(W58*25%,"N/A")</f>
        <v>3084486.78942453</v>
      </c>
      <c r="Z58" s="425" cm="1">
        <f t="array" ref="Z58">IF(B58&gt;0,SUM(W58:Y58),"N/A")</f>
        <v>15484123.6829111</v>
      </c>
      <c r="AA58" s="425" cm="1">
        <f t="array" ref="AA58">_xlfn.IFERROR((Z58-Z57),"N/A")</f>
        <v>1294532.5</v>
      </c>
      <c r="AB58" s="424"/>
      <c r="AC58" t="str" s="426" cm="1">
        <f t="array" ref="AC58">IF(B58=6,AVERAGE(Z51:Z56),"N/A")</f>
        <v>N/A</v>
      </c>
      <c r="AD58" s="424"/>
      <c r="AE58" s="423"/>
      <c r="AF58" s="423"/>
      <c r="AG58" s="423"/>
      <c r="AH58" s="423"/>
      <c r="AI58" s="423"/>
      <c r="AJ58" s="423"/>
      <c r="AK58" s="423"/>
      <c r="AL58" s="423"/>
      <c r="AM58" s="423"/>
      <c r="AN58" s="427"/>
    </row>
    <row r="59" ht="15" customHeight="1">
      <c r="A59" s="12"/>
      <c r="B59" s="428" cm="1">
        <f t="array" ref="B59">IF(B58=0,0,IF(B58&lt;VLOOKUP(C48,'Boats Data Sheet 2026'!$C$3:$H$57,6,0),B58+1,0))</f>
        <v>9</v>
      </c>
      <c r="C59" s="423" cm="1">
        <f t="array" ref="C59">IF(B59&gt;0,IF(VLOOKUP(C48,'Boats Data Sheet 2026'!$C$3:$J$57,8,0)="N/A",0,VLOOKUP(C48,'Boats Data Sheet 2026'!$C$3:$J$57,8,0)),"N/A")</f>
        <v>5675000</v>
      </c>
      <c r="D59" s="429" cm="1">
        <f t="array" ref="D59">IF(B59&gt;7,2,IF(B59=0,"N/A",1))</f>
        <v>2</v>
      </c>
      <c r="E59" s="423" cm="1">
        <f t="array" ref="E59">_xlfn.IFERROR(SUM('Direct Costs 2026'!$C$4:$C$5)*D59,"N/A")</f>
        <v>1751000</v>
      </c>
      <c r="F59" s="423" cm="1">
        <f t="array" ref="F59">_xlfn.IFERROR('Direct Costs 2026'!$C$43*B59,"N/A")</f>
        <v>54000</v>
      </c>
      <c r="G59" s="423" cm="1">
        <f t="array" ref="G59">IF(B59&gt;0,'Direct Costs 2026'!$C$25,"N/A")</f>
        <v>90000</v>
      </c>
      <c r="H59" s="423" cm="1">
        <f t="array" ref="H59">IF(B59&gt;0,'Direct Costs 2026'!$C$22,"N/A")</f>
        <v>200000</v>
      </c>
      <c r="I59" s="423">
        <v>0</v>
      </c>
      <c r="J59" s="423">
        <v>0</v>
      </c>
      <c r="K59" s="423" cm="1">
        <f t="array" ref="K59">IF(B59&gt;0,'Direct Costs 2026'!$C$26,"N/A")</f>
        <v>20000</v>
      </c>
      <c r="L59" s="423" cm="1">
        <f t="array" ref="L59">IF(B59&gt;0,'Direct Costs 2026'!$C$23,"N/A")</f>
        <v>140000</v>
      </c>
      <c r="M59" s="423" cm="1">
        <f t="array" ref="M59">IF(B59&gt;0,'Direct Costs 2026'!$C$45*B59,"N/A")</f>
        <v>1350000</v>
      </c>
      <c r="N59" t="str" s="431" cm="1">
        <f t="array" ref="N59">IF(B59&gt;0,_xlfn.IFERROR(VLOOKUP(C48,'Boats Data Sheet 2026'!$C$3:$I$57,7,0)*'Direct Costs 2026'!$C$36,"N/A"),"N/A")</f>
        <v>N/A</v>
      </c>
      <c r="O59" t="str" s="431" cm="1">
        <f t="array" ref="O59">IF(B59&gt;0,IF(OR(VLOOKUP(C48,'Boats Data Sheet 2026'!$C$3:$F$57,4,0)="Own",VLOOKUP(C48,'Boats Data Sheet 2026'!$C$3:$F$57,4,0)="Management"),('Direct Costs 2026'!$C$37+'Direct Costs 2026'!$C$39),"N/A"),"N/A")</f>
        <v>N/A</v>
      </c>
      <c r="P59" s="423" cm="1">
        <f t="array" ref="P59">_xlfn.IFERROR('Direct Costs 2026'!$C$27*C59,"N/A")</f>
        <v>113500</v>
      </c>
      <c r="Q59" s="423" cm="1">
        <f t="array" ref="Q59">_xlfn.IFERROR(C59+SUM(E59:P59),"N/A")</f>
        <v>9393500</v>
      </c>
      <c r="R59" s="424"/>
      <c r="S59" s="423" cm="1">
        <f t="array" ref="S59">IF(B59&gt;0,'Allocation OH and Target 2026'!$E$31,"N/A")</f>
        <v>3100447.15769812</v>
      </c>
      <c r="T59" s="423" cm="1">
        <f t="array" ref="T59">IF(B59&gt;0,VLOOKUP(C48,'Allocation OH and Target 2026'!$C$35:$S$87,16,0),"N/A")</f>
        <v>0</v>
      </c>
      <c r="U59" s="423" cm="1">
        <f t="array" ref="U59">_xlfn.IFERROR((S59+T59),"N/A")</f>
        <v>3100447.15769812</v>
      </c>
      <c r="V59" s="424"/>
      <c r="W59" s="423" cm="1">
        <f t="array" ref="W59">_xlfn.IFERROR(U59+Q59,"N/A")</f>
        <v>12493947.1576981</v>
      </c>
      <c r="X59" s="423" cm="1">
        <f t="array" ref="X59">_xlfn.IFERROR(W59*0.5%,"N/A")</f>
        <v>62469.7357884905</v>
      </c>
      <c r="Y59" s="423" cm="1">
        <f t="array" ref="Y59">_xlfn.IFERROR(W59*25%,"N/A")</f>
        <v>3123486.78942453</v>
      </c>
      <c r="Z59" s="425" cm="1">
        <f t="array" ref="Z59">IF(B59&gt;0,SUM(W59:Y59),"N/A")</f>
        <v>15679903.6829111</v>
      </c>
      <c r="AA59" s="425" cm="1">
        <f t="array" ref="AA59">_xlfn.IFERROR((Z59-Z58),"N/A")</f>
        <v>195780</v>
      </c>
      <c r="AB59" s="424"/>
      <c r="AC59" t="str" s="426" cm="1">
        <f t="array" ref="AC59">IF(B59=6,AVERAGE(Z51:Z56),"N/A")</f>
        <v>N/A</v>
      </c>
      <c r="AD59" s="424"/>
      <c r="AE59" s="423"/>
      <c r="AF59" s="423"/>
      <c r="AG59" s="423"/>
      <c r="AH59" s="423"/>
      <c r="AI59" s="423"/>
      <c r="AJ59" s="423"/>
      <c r="AK59" s="423"/>
      <c r="AL59" s="423"/>
      <c r="AM59" s="423"/>
      <c r="AN59" s="427"/>
    </row>
    <row r="60" ht="15" customHeight="1">
      <c r="A60" s="12"/>
      <c r="B60" s="428" cm="1">
        <f t="array" ref="B60">IF(B59=0,0,IF(B59&lt;VLOOKUP(C48,'Boats Data Sheet 2026'!$C$3:$H$57,6,0),B59+1,0))</f>
        <v>10</v>
      </c>
      <c r="C60" s="423" cm="1">
        <f t="array" ref="C60">IF(B60&gt;0,IF(VLOOKUP(C48,'Boats Data Sheet 2026'!$C$3:$J$57,8,0)="N/A",0,VLOOKUP(C48,'Boats Data Sheet 2026'!$C$3:$J$57,8,0)),"N/A")</f>
        <v>5675000</v>
      </c>
      <c r="D60" s="429" cm="1">
        <f t="array" ref="D60">IF(B60&gt;7,2,IF(B60=0,"N/A",1))</f>
        <v>2</v>
      </c>
      <c r="E60" s="423" cm="1">
        <f t="array" ref="E60">_xlfn.IFERROR(SUM('Direct Costs 2026'!$C$4:$C$5)*D60,"N/A")</f>
        <v>1751000</v>
      </c>
      <c r="F60" s="423" cm="1">
        <f t="array" ref="F60">_xlfn.IFERROR('Direct Costs 2026'!$C$43*B60,"N/A")</f>
        <v>60000</v>
      </c>
      <c r="G60" s="423" cm="1">
        <f t="array" ref="G60">IF(B60&gt;0,'Direct Costs 2026'!$C$25,"N/A")</f>
        <v>90000</v>
      </c>
      <c r="H60" s="423" cm="1">
        <f t="array" ref="H60">IF(B60&gt;0,'Direct Costs 2026'!$C$22,"N/A")</f>
        <v>200000</v>
      </c>
      <c r="I60" s="423">
        <v>0</v>
      </c>
      <c r="J60" s="423">
        <v>0</v>
      </c>
      <c r="K60" s="423" cm="1">
        <f t="array" ref="K60">IF(B60&gt;0,'Direct Costs 2026'!$C$26,"N/A")</f>
        <v>20000</v>
      </c>
      <c r="L60" s="423" cm="1">
        <f t="array" ref="L60">IF(B60&gt;0,'Direct Costs 2026'!$C$23,"N/A")</f>
        <v>140000</v>
      </c>
      <c r="M60" s="423" cm="1">
        <f t="array" ref="M60">IF(B60&gt;0,'Direct Costs 2026'!$C$45*B60,"N/A")</f>
        <v>1500000</v>
      </c>
      <c r="N60" t="str" s="431" cm="1">
        <f t="array" ref="N60">IF(B60&gt;0,_xlfn.IFERROR(VLOOKUP(C48,'Boats Data Sheet 2026'!$C$3:$I$57,7,0)*'Direct Costs 2026'!$C$36,"N/A"),"N/A")</f>
        <v>N/A</v>
      </c>
      <c r="O60" t="str" s="431" cm="1">
        <f t="array" ref="O60">IF(B60&gt;0,IF(OR(VLOOKUP(C48,'Boats Data Sheet 2026'!$C$3:$F$57,4,0)="Own",VLOOKUP(C48,'Boats Data Sheet 2026'!$C$3:$F$57,4,0)="Management"),('Direct Costs 2026'!$C$37+'Direct Costs 2026'!$C$39),"N/A"),"N/A")</f>
        <v>N/A</v>
      </c>
      <c r="P60" s="423" cm="1">
        <f t="array" ref="P60">_xlfn.IFERROR('Direct Costs 2026'!$C$27*C60,"N/A")</f>
        <v>113500</v>
      </c>
      <c r="Q60" s="423" cm="1">
        <f t="array" ref="Q60">_xlfn.IFERROR(C60+SUM(E60:P60),"N/A")</f>
        <v>9549500</v>
      </c>
      <c r="R60" s="424"/>
      <c r="S60" s="423" cm="1">
        <f t="array" ref="S60">IF(B60&gt;0,'Allocation OH and Target 2026'!$E$31,"N/A")</f>
        <v>3100447.15769812</v>
      </c>
      <c r="T60" s="423" cm="1">
        <f t="array" ref="T60">IF(B60&gt;0,VLOOKUP(C48,'Allocation OH and Target 2026'!$C$35:$S$87,16,0),"N/A")</f>
        <v>0</v>
      </c>
      <c r="U60" s="423" cm="1">
        <f t="array" ref="U60">_xlfn.IFERROR((S60+T60),"N/A")</f>
        <v>3100447.15769812</v>
      </c>
      <c r="V60" s="424"/>
      <c r="W60" s="423" cm="1">
        <f t="array" ref="W60">_xlfn.IFERROR(U60+Q60,"N/A")</f>
        <v>12649947.1576981</v>
      </c>
      <c r="X60" s="423" cm="1">
        <f t="array" ref="X60">_xlfn.IFERROR(W60*0.5%,"N/A")</f>
        <v>63249.7357884905</v>
      </c>
      <c r="Y60" s="423" cm="1">
        <f t="array" ref="Y60">_xlfn.IFERROR(W60*25%,"N/A")</f>
        <v>3162486.78942453</v>
      </c>
      <c r="Z60" s="425" cm="1">
        <f t="array" ref="Z60">IF(B60&gt;0,SUM(W60:Y60),"N/A")</f>
        <v>15875683.6829111</v>
      </c>
      <c r="AA60" s="425" cm="1">
        <f t="array" ref="AA60">_xlfn.IFERROR((Z60-Z59),"N/A")</f>
        <v>195780</v>
      </c>
      <c r="AB60" s="424"/>
      <c r="AC60" t="str" s="426" cm="1">
        <f t="array" ref="AC60">IF(B60=6,AVERAGE(Z51:Z56),"N/A")</f>
        <v>N/A</v>
      </c>
      <c r="AD60" s="424"/>
      <c r="AE60" s="423"/>
      <c r="AF60" s="423"/>
      <c r="AG60" s="423"/>
      <c r="AH60" s="423"/>
      <c r="AI60" s="423"/>
      <c r="AJ60" s="423"/>
      <c r="AK60" s="423"/>
      <c r="AL60" s="423"/>
      <c r="AM60" s="423"/>
      <c r="AN60" s="427"/>
    </row>
    <row r="61" ht="15" customHeight="1">
      <c r="A61" s="12"/>
      <c r="B61" s="428" cm="1">
        <f t="array" ref="B61">IF(B60=0,0,IF(B60&lt;VLOOKUP(C48,'Boats Data Sheet 2026'!$C$3:$H$57,6,0),B60+1,0))</f>
        <v>11</v>
      </c>
      <c r="C61" s="423" cm="1">
        <f t="array" ref="C61">IF(B61&gt;0,IF(VLOOKUP(C48,'Boats Data Sheet 2026'!$C$3:$J$57,8,0)="N/A",0,VLOOKUP(C48,'Boats Data Sheet 2026'!$C$3:$J$57,8,0)),"N/A")</f>
        <v>5675000</v>
      </c>
      <c r="D61" s="429" cm="1">
        <f t="array" ref="D61">IF(B61&gt;7,2,IF(B61=0,"N/A",1))</f>
        <v>2</v>
      </c>
      <c r="E61" s="423" cm="1">
        <f t="array" ref="E61">_xlfn.IFERROR(SUM('Direct Costs 2026'!$C$4:$C$5)*D61,"N/A")</f>
        <v>1751000</v>
      </c>
      <c r="F61" s="423" cm="1">
        <f t="array" ref="F61">_xlfn.IFERROR('Direct Costs 2026'!$C$43*B61,"N/A")</f>
        <v>66000</v>
      </c>
      <c r="G61" s="423" cm="1">
        <f t="array" ref="G61">IF(B61&gt;0,'Direct Costs 2026'!$C$25,"N/A")</f>
        <v>90000</v>
      </c>
      <c r="H61" s="423" cm="1">
        <f t="array" ref="H61">IF(B61&gt;0,'Direct Costs 2026'!$C$22,"N/A")</f>
        <v>200000</v>
      </c>
      <c r="I61" s="423">
        <v>0</v>
      </c>
      <c r="J61" s="423">
        <v>0</v>
      </c>
      <c r="K61" s="423" cm="1">
        <f t="array" ref="K61">IF(B61&gt;0,'Direct Costs 2026'!$C$26,"N/A")</f>
        <v>20000</v>
      </c>
      <c r="L61" s="423" cm="1">
        <f t="array" ref="L61">IF(B61&gt;0,'Direct Costs 2026'!$C$23,"N/A")</f>
        <v>140000</v>
      </c>
      <c r="M61" s="423" cm="1">
        <f t="array" ref="M61">IF(B61&gt;0,'Direct Costs 2026'!$C$45*B61,"N/A")</f>
        <v>1650000</v>
      </c>
      <c r="N61" t="str" s="431" cm="1">
        <f t="array" ref="N61">IF(B61&gt;0,_xlfn.IFERROR(VLOOKUP(C48,'Boats Data Sheet 2026'!$C$3:$I$57,7,0)*'Direct Costs 2026'!$C$36,"N/A"),"N/A")</f>
        <v>N/A</v>
      </c>
      <c r="O61" t="str" s="431" cm="1">
        <f t="array" ref="O61">IF(B61&gt;0,IF(OR(VLOOKUP(C48,'Boats Data Sheet 2026'!$C$3:$F$57,4,0)="Own",VLOOKUP(C48,'Boats Data Sheet 2026'!$C$3:$F$57,4,0)="Management"),('Direct Costs 2026'!$C$37+'Direct Costs 2026'!$C$39),"N/A"),"N/A")</f>
        <v>N/A</v>
      </c>
      <c r="P61" s="423" cm="1">
        <f t="array" ref="P61">_xlfn.IFERROR('Direct Costs 2026'!$C$27*C61,"N/A")</f>
        <v>113500</v>
      </c>
      <c r="Q61" s="423" cm="1">
        <f t="array" ref="Q61">_xlfn.IFERROR(C61+SUM(E61:P61),"N/A")</f>
        <v>9705500</v>
      </c>
      <c r="R61" s="424"/>
      <c r="S61" s="423" cm="1">
        <f t="array" ref="S61">IF(B61&gt;0,'Allocation OH and Target 2026'!$E$31,"N/A")</f>
        <v>3100447.15769812</v>
      </c>
      <c r="T61" s="423" cm="1">
        <f t="array" ref="T61">IF(B61&gt;0,VLOOKUP(C48,'Allocation OH and Target 2026'!$C$35:$S$87,16,0),"N/A")</f>
        <v>0</v>
      </c>
      <c r="U61" s="423" cm="1">
        <f t="array" ref="U61">_xlfn.IFERROR((S61+T61),"N/A")</f>
        <v>3100447.15769812</v>
      </c>
      <c r="V61" s="424"/>
      <c r="W61" s="423" cm="1">
        <f t="array" ref="W61">_xlfn.IFERROR(U61+Q61,"N/A")</f>
        <v>12805947.1576981</v>
      </c>
      <c r="X61" s="423" cm="1">
        <f t="array" ref="X61">_xlfn.IFERROR(W61*0.5%,"N/A")</f>
        <v>64029.7357884905</v>
      </c>
      <c r="Y61" s="423" cm="1">
        <f t="array" ref="Y61">_xlfn.IFERROR(W61*25%,"N/A")</f>
        <v>3201486.78942453</v>
      </c>
      <c r="Z61" s="425" cm="1">
        <f t="array" ref="Z61">IF(B61&gt;0,SUM(W61:Y61),"N/A")</f>
        <v>16071463.6829111</v>
      </c>
      <c r="AA61" s="425" cm="1">
        <f t="array" ref="AA61">_xlfn.IFERROR((Z61-Z60),"N/A")</f>
        <v>195780</v>
      </c>
      <c r="AB61" s="424"/>
      <c r="AC61" t="str" s="426" cm="1">
        <f t="array" ref="AC61">IF(B61=6,AVERAGE(Z51:Z56),"N/A")</f>
        <v>N/A</v>
      </c>
      <c r="AD61" s="424"/>
      <c r="AE61" s="423"/>
      <c r="AF61" s="423"/>
      <c r="AG61" s="423"/>
      <c r="AH61" s="423"/>
      <c r="AI61" s="423"/>
      <c r="AJ61" s="423"/>
      <c r="AK61" s="423"/>
      <c r="AL61" s="423"/>
      <c r="AM61" s="423"/>
      <c r="AN61" s="427"/>
    </row>
    <row r="62" ht="15" customHeight="1">
      <c r="A62" s="12"/>
      <c r="B62" s="428" cm="1">
        <f t="array" ref="B62">IF(B61=0,0,IF(B61&lt;VLOOKUP(C48,'Boats Data Sheet 2026'!$C$3:$H$57,6,0),B61+1,0))</f>
        <v>12</v>
      </c>
      <c r="C62" s="423" cm="1">
        <f t="array" ref="C62">IF(B62&gt;0,IF(VLOOKUP(C48,'Boats Data Sheet 2026'!$C$3:$J$57,8,0)="N/A",0,VLOOKUP(C48,'Boats Data Sheet 2026'!$C$3:$J$57,8,0)),"N/A")</f>
        <v>5675000</v>
      </c>
      <c r="D62" s="429" cm="1">
        <f t="array" ref="D62">IF(B62&gt;7,2,IF(B62=0,"N/A",1))</f>
        <v>2</v>
      </c>
      <c r="E62" s="423" cm="1">
        <f t="array" ref="E62">_xlfn.IFERROR(SUM('Direct Costs 2026'!$C$4:$C$5)*D62,"N/A")</f>
        <v>1751000</v>
      </c>
      <c r="F62" s="423" cm="1">
        <f t="array" ref="F62">_xlfn.IFERROR('Direct Costs 2026'!$C$43*B62,"N/A")</f>
        <v>72000</v>
      </c>
      <c r="G62" s="423" cm="1">
        <f t="array" ref="G62">IF(B62&gt;0,'Direct Costs 2026'!$C$25,"N/A")</f>
        <v>90000</v>
      </c>
      <c r="H62" s="423" cm="1">
        <f t="array" ref="H62">IF(B62&gt;0,'Direct Costs 2026'!$C$22,"N/A")</f>
        <v>200000</v>
      </c>
      <c r="I62" s="423">
        <v>0</v>
      </c>
      <c r="J62" s="423">
        <v>0</v>
      </c>
      <c r="K62" s="423" cm="1">
        <f t="array" ref="K62">IF(B62&gt;0,'Direct Costs 2026'!$C$26,"N/A")</f>
        <v>20000</v>
      </c>
      <c r="L62" s="423" cm="1">
        <f t="array" ref="L62">IF(B62&gt;0,'Direct Costs 2026'!$C$23,"N/A")</f>
        <v>140000</v>
      </c>
      <c r="M62" s="423" cm="1">
        <f t="array" ref="M62">IF(B62&gt;0,'Direct Costs 2026'!$C$45*B62,"N/A")</f>
        <v>1800000</v>
      </c>
      <c r="N62" t="str" s="431" cm="1">
        <f t="array" ref="N62">IF(B62&gt;0,_xlfn.IFERROR(VLOOKUP(C48,'Boats Data Sheet 2026'!$C$3:$I$57,7,0)*'Direct Costs 2026'!$C$36,"N/A"),"N/A")</f>
        <v>N/A</v>
      </c>
      <c r="O62" t="str" s="431" cm="1">
        <f t="array" ref="O62">IF(B62&gt;0,IF(OR(VLOOKUP(C48,'Boats Data Sheet 2026'!$C$3:$F$57,4,0)="Own",VLOOKUP(C48,'Boats Data Sheet 2026'!$C$3:$F$57,4,0)="Management"),('Direct Costs 2026'!$C$37+'Direct Costs 2026'!$C$39),"N/A"),"N/A")</f>
        <v>N/A</v>
      </c>
      <c r="P62" s="423" cm="1">
        <f t="array" ref="P62">_xlfn.IFERROR('Direct Costs 2026'!$C$27*C62,"N/A")</f>
        <v>113500</v>
      </c>
      <c r="Q62" s="423" cm="1">
        <f t="array" ref="Q62">_xlfn.IFERROR(C62+SUM(E62:P62),"N/A")</f>
        <v>9861500</v>
      </c>
      <c r="R62" s="424"/>
      <c r="S62" s="423" cm="1">
        <f t="array" ref="S62">IF(B62&gt;0,'Allocation OH and Target 2026'!$E$31,"N/A")</f>
        <v>3100447.15769812</v>
      </c>
      <c r="T62" s="423" cm="1">
        <f t="array" ref="T62">IF(B62&gt;0,VLOOKUP(C48,'Allocation OH and Target 2026'!$C$35:$S$87,16,0),"N/A")</f>
        <v>0</v>
      </c>
      <c r="U62" s="423" cm="1">
        <f t="array" ref="U62">_xlfn.IFERROR((S62+T62),"N/A")</f>
        <v>3100447.15769812</v>
      </c>
      <c r="V62" s="424"/>
      <c r="W62" s="423" cm="1">
        <f t="array" ref="W62">_xlfn.IFERROR(U62+Q62,"N/A")</f>
        <v>12961947.1576981</v>
      </c>
      <c r="X62" s="423" cm="1">
        <f t="array" ref="X62">_xlfn.IFERROR(W62*0.5%,"N/A")</f>
        <v>64809.7357884905</v>
      </c>
      <c r="Y62" s="423" cm="1">
        <f t="array" ref="Y62">_xlfn.IFERROR(W62*25%,"N/A")</f>
        <v>3240486.78942453</v>
      </c>
      <c r="Z62" s="425" cm="1">
        <f t="array" ref="Z62">IF(B62&gt;0,SUM(W62:Y62),"N/A")</f>
        <v>16267243.6829111</v>
      </c>
      <c r="AA62" s="425" cm="1">
        <f t="array" ref="AA62">_xlfn.IFERROR((Z62-Z61),"N/A")</f>
        <v>195780</v>
      </c>
      <c r="AB62" s="424"/>
      <c r="AC62" t="str" s="426" cm="1">
        <f t="array" ref="AC62">IF(B62=6,AVERAGE(Z51:Z56),"N/A")</f>
        <v>N/A</v>
      </c>
      <c r="AD62" s="424"/>
      <c r="AE62" s="423"/>
      <c r="AF62" s="423"/>
      <c r="AG62" s="423"/>
      <c r="AH62" s="423"/>
      <c r="AI62" s="423"/>
      <c r="AJ62" s="423"/>
      <c r="AK62" s="423"/>
      <c r="AL62" s="423"/>
      <c r="AM62" s="423"/>
      <c r="AN62" s="427"/>
    </row>
    <row r="63" ht="15" customHeight="1">
      <c r="A63" s="12"/>
      <c r="B63" s="428" cm="1">
        <f t="array" ref="B63">IF(B62=0,0,IF(B62&lt;VLOOKUP(C48,'Boats Data Sheet 2026'!$C$3:$H$57,6,0),B62+1,0))</f>
        <v>13</v>
      </c>
      <c r="C63" s="423" cm="1">
        <f t="array" ref="C63">IF(B63&gt;0,IF(VLOOKUP(C48,'Boats Data Sheet 2026'!$C$3:$J$57,8,0)="N/A",0,VLOOKUP(C48,'Boats Data Sheet 2026'!$C$3:$J$57,8,0)),"N/A")</f>
        <v>5675000</v>
      </c>
      <c r="D63" s="429" cm="1">
        <f t="array" ref="D63">IF(B63&gt;7,2,IF(B63=0,"N/A",1))</f>
        <v>2</v>
      </c>
      <c r="E63" s="423" cm="1">
        <f t="array" ref="E63">_xlfn.IFERROR(SUM('Direct Costs 2026'!$C$4:$C$5)*D63,"N/A")</f>
        <v>1751000</v>
      </c>
      <c r="F63" s="423" cm="1">
        <f t="array" ref="F63">_xlfn.IFERROR('Direct Costs 2026'!$C$43*B63,"N/A")</f>
        <v>78000</v>
      </c>
      <c r="G63" s="423" cm="1">
        <f t="array" ref="G63">IF(B63&gt;0,'Direct Costs 2026'!$C$25,"N/A")</f>
        <v>90000</v>
      </c>
      <c r="H63" s="423" cm="1">
        <f t="array" ref="H63">IF(B63&gt;0,'Direct Costs 2026'!$C$22,"N/A")</f>
        <v>200000</v>
      </c>
      <c r="I63" s="423">
        <v>0</v>
      </c>
      <c r="J63" s="423">
        <v>0</v>
      </c>
      <c r="K63" s="423" cm="1">
        <f t="array" ref="K63">IF(B63&gt;0,'Direct Costs 2026'!$C$26,"N/A")</f>
        <v>20000</v>
      </c>
      <c r="L63" s="423" cm="1">
        <f t="array" ref="L63">IF(B63&gt;0,'Direct Costs 2026'!$C$23,"N/A")</f>
        <v>140000</v>
      </c>
      <c r="M63" s="423" cm="1">
        <f t="array" ref="M63">IF(B63&gt;0,'Direct Costs 2026'!$C$45*B63,"N/A")</f>
        <v>1950000</v>
      </c>
      <c r="N63" t="str" s="431" cm="1">
        <f t="array" ref="N63">IF(B63&gt;0,_xlfn.IFERROR(VLOOKUP(C48,'Boats Data Sheet 2026'!$C$3:$I$57,7,0)*'Direct Costs 2026'!$C$36,"N/A"),"N/A")</f>
        <v>N/A</v>
      </c>
      <c r="O63" t="str" s="431" cm="1">
        <f t="array" ref="O63">IF(B63&gt;0,IF(OR(VLOOKUP(C48,'Boats Data Sheet 2026'!$C$3:$F$57,4,0)="Own",VLOOKUP(C48,'Boats Data Sheet 2026'!$C$3:$F$57,4,0)="Management"),('Direct Costs 2026'!$C$37+'Direct Costs 2026'!$C$39),"N/A"),"N/A")</f>
        <v>N/A</v>
      </c>
      <c r="P63" s="423" cm="1">
        <f t="array" ref="P63">_xlfn.IFERROR('Direct Costs 2026'!$C$27*C63,"N/A")</f>
        <v>113500</v>
      </c>
      <c r="Q63" s="423" cm="1">
        <f t="array" ref="Q63">_xlfn.IFERROR(C63+SUM(E63:P63),"N/A")</f>
        <v>10017500</v>
      </c>
      <c r="R63" s="424"/>
      <c r="S63" s="423" cm="1">
        <f t="array" ref="S63">IF(B63&gt;0,'Allocation OH and Target 2026'!$E$31,"N/A")</f>
        <v>3100447.15769812</v>
      </c>
      <c r="T63" s="423" cm="1">
        <f t="array" ref="T63">IF(B63&gt;0,VLOOKUP(C48,'Allocation OH and Target 2026'!$C$35:$S$87,16,0),"N/A")</f>
        <v>0</v>
      </c>
      <c r="U63" s="423" cm="1">
        <f t="array" ref="U63">_xlfn.IFERROR((S63+T63),"N/A")</f>
        <v>3100447.15769812</v>
      </c>
      <c r="V63" s="424"/>
      <c r="W63" s="423" cm="1">
        <f t="array" ref="W63">_xlfn.IFERROR(U63+Q63,"N/A")</f>
        <v>13117947.1576981</v>
      </c>
      <c r="X63" s="423" cm="1">
        <f t="array" ref="X63">_xlfn.IFERROR(W63*0.5%,"N/A")</f>
        <v>65589.735788490507</v>
      </c>
      <c r="Y63" s="423" cm="1">
        <f t="array" ref="Y63">_xlfn.IFERROR(W63*25%,"N/A")</f>
        <v>3279486.78942453</v>
      </c>
      <c r="Z63" s="425" cm="1">
        <f t="array" ref="Z63">IF(B63&gt;0,SUM(W63:Y63),"N/A")</f>
        <v>16463023.6829111</v>
      </c>
      <c r="AA63" s="425" cm="1">
        <f t="array" ref="AA63">_xlfn.IFERROR((Z63-Z62),"N/A")</f>
        <v>195780</v>
      </c>
      <c r="AB63" s="424"/>
      <c r="AC63" t="str" s="426" cm="1">
        <f t="array" ref="AC63">IF(B63=6,AVERAGE(Z51:Z56),"N/A")</f>
        <v>N/A</v>
      </c>
      <c r="AD63" s="424"/>
      <c r="AE63" s="423"/>
      <c r="AF63" s="423"/>
      <c r="AG63" s="423"/>
      <c r="AH63" s="423"/>
      <c r="AI63" s="423"/>
      <c r="AJ63" s="423"/>
      <c r="AK63" s="423"/>
      <c r="AL63" s="423"/>
      <c r="AM63" s="423"/>
      <c r="AN63" s="427"/>
    </row>
    <row r="64" ht="15" customHeight="1">
      <c r="A64" s="12"/>
      <c r="B64" s="428" cm="1">
        <f t="array" ref="B64">IF(B63=0,0,IF(B63&lt;VLOOKUP(C48,'Boats Data Sheet 2026'!$C$3:$H$57,6,0),B63+1,0))</f>
        <v>0</v>
      </c>
      <c r="C64" t="str" s="431" cm="1">
        <f t="array" ref="C64">IF(B64&gt;0,IF(VLOOKUP(C48,'Boats Data Sheet 2026'!$C$3:$J$57,8,0)="N/A",0,VLOOKUP(C48,'Boats Data Sheet 2026'!$C$3:$J$57,8,0)),"N/A")</f>
        <v>N/A</v>
      </c>
      <c r="D64" t="str" s="431" cm="1">
        <f t="array" ref="D64">IF(B64&gt;7,2,IF(B64=0,"N/A",1))</f>
        <v>N/A</v>
      </c>
      <c r="E64" t="str" s="431" cm="1">
        <f t="array" ref="E64">_xlfn.IFERROR(SUM('Direct Costs 2026'!$C$4:$C$5)*D64,"N/A")</f>
        <v>N/A</v>
      </c>
      <c r="F64" s="423" cm="1">
        <f t="array" ref="F64">_xlfn.IFERROR('Direct Costs 2026'!$C$43*B64,"N/A")</f>
        <v>0</v>
      </c>
      <c r="G64" t="str" s="431" cm="1">
        <f t="array" ref="G64">IF(B64&gt;0,'Direct Costs 2026'!$C$25,"N/A")</f>
        <v>N/A</v>
      </c>
      <c r="H64" t="str" s="431" cm="1">
        <f t="array" ref="H64">IF(B64&gt;0,'Direct Costs 2026'!$C$22,"N/A")</f>
        <v>N/A</v>
      </c>
      <c r="I64" s="423">
        <v>0</v>
      </c>
      <c r="J64" s="423">
        <v>0</v>
      </c>
      <c r="K64" t="str" s="431" cm="1">
        <f t="array" ref="K64">IF(B64&gt;0,'Direct Costs 2026'!$C$26,"N/A")</f>
        <v>N/A</v>
      </c>
      <c r="L64" t="str" s="431" cm="1">
        <f t="array" ref="L64">IF(B64&gt;0,'Direct Costs 2026'!$C$23,"N/A")</f>
        <v>N/A</v>
      </c>
      <c r="M64" t="str" s="431" cm="1">
        <f t="array" ref="M64">IF(B64&gt;0,'Direct Costs 2026'!$C$45*B64,"N/A")</f>
        <v>N/A</v>
      </c>
      <c r="N64" t="str" s="431" cm="1">
        <f t="array" ref="N64">IF(B64&gt;0,_xlfn.IFERROR(VLOOKUP(C48,'Boats Data Sheet 2026'!$C$3:$I$57,7,0)*'Direct Costs 2026'!$C$36,"N/A"),"N/A")</f>
        <v>N/A</v>
      </c>
      <c r="O64" t="str" s="431" cm="1">
        <f t="array" ref="O64">IF(B64&gt;0,IF(OR(VLOOKUP(C48,'Boats Data Sheet 2026'!$C$3:$F$57,4,0)="Own",VLOOKUP(C48,'Boats Data Sheet 2026'!$C$3:$F$57,4,0)="Management"),('Direct Costs 2026'!$C$37+'Direct Costs 2026'!$C$39),"N/A"),"N/A")</f>
        <v>N/A</v>
      </c>
      <c r="P64" t="str" s="431" cm="1">
        <f t="array" ref="P64">_xlfn.IFERROR('Direct Costs 2026'!$C$27*C64,"N/A")</f>
        <v>N/A</v>
      </c>
      <c r="Q64" t="str" s="431" cm="1">
        <f t="array" ref="Q64">_xlfn.IFERROR(C64+SUM(E64:P64),"N/A")</f>
        <v>N/A</v>
      </c>
      <c r="R64" s="424"/>
      <c r="S64" t="str" s="431" cm="1">
        <f t="array" ref="S64">IF(B64&gt;0,'Allocation OH and Target 2026'!$E$31,"N/A")</f>
        <v>N/A</v>
      </c>
      <c r="T64" t="str" s="431" cm="1">
        <f t="array" ref="T64">IF(B64&gt;0,VLOOKUP(C48,'Allocation OH and Target 2026'!$C$35:$S$87,16,0),"N/A")</f>
        <v>N/A</v>
      </c>
      <c r="U64" t="str" s="431" cm="1">
        <f t="array" ref="U64">_xlfn.IFERROR((S64+T64),"N/A")</f>
        <v>N/A</v>
      </c>
      <c r="V64" s="424"/>
      <c r="W64" t="str" s="431" cm="1">
        <f t="array" ref="W64">_xlfn.IFERROR(U64+Q64,"N/A")</f>
        <v>N/A</v>
      </c>
      <c r="X64" t="str" s="431" cm="1">
        <f t="array" ref="X64">_xlfn.IFERROR(W64*0.5%,"N/A")</f>
        <v>N/A</v>
      </c>
      <c r="Y64" t="str" s="431" cm="1">
        <f t="array" ref="Y64">_xlfn.IFERROR(W64*25%,"N/A")</f>
        <v>N/A</v>
      </c>
      <c r="Z64" t="str" s="426" cm="1">
        <f t="array" ref="Z64">IF(B64&gt;0,SUM(W64:Y64),"N/A")</f>
        <v>N/A</v>
      </c>
      <c r="AA64" t="str" s="426" cm="1">
        <f t="array" ref="AA64">_xlfn.IFERROR((Z64-Z63),"N/A")</f>
        <v>N/A</v>
      </c>
      <c r="AB64" s="424"/>
      <c r="AC64" t="str" s="426" cm="1">
        <f t="array" ref="AC64">IF(B64=6,AVERAGE(Z51:Z56),"N/A")</f>
        <v>N/A</v>
      </c>
      <c r="AD64" s="424"/>
      <c r="AE64" s="423"/>
      <c r="AF64" s="423"/>
      <c r="AG64" s="423"/>
      <c r="AH64" s="423"/>
      <c r="AI64" s="423"/>
      <c r="AJ64" s="423"/>
      <c r="AK64" s="423"/>
      <c r="AL64" s="423"/>
      <c r="AM64" s="423"/>
      <c r="AN64" s="427"/>
    </row>
    <row r="65" ht="15" customHeight="1">
      <c r="A65" s="12"/>
      <c r="B65" s="428" cm="1">
        <f t="array" ref="B65">IF(B64=0,0,IF(B64&lt;VLOOKUP(C48,'Boats Data Sheet 2026'!$C$3:$H$57,6,0),B64+1,0))</f>
        <v>0</v>
      </c>
      <c r="C65" t="str" s="431" cm="1">
        <f t="array" ref="C65">IF(B65&gt;0,IF(VLOOKUP(C48,'Boats Data Sheet 2026'!$C$3:$J$57,8,0)="N/A",0,VLOOKUP(C48,'Boats Data Sheet 2026'!$C$3:$J$57,8,0)),"N/A")</f>
        <v>N/A</v>
      </c>
      <c r="D65" t="str" s="431" cm="1">
        <f t="array" ref="D65">IF(B65&gt;7,2,IF(B65=0,"N/A",1))</f>
        <v>N/A</v>
      </c>
      <c r="E65" t="str" s="431" cm="1">
        <f t="array" ref="E65">_xlfn.IFERROR(SUM('Direct Costs 2026'!$C$4:$C$5)*D65,"N/A")</f>
        <v>N/A</v>
      </c>
      <c r="F65" s="423" cm="1">
        <f t="array" ref="F65">_xlfn.IFERROR('Direct Costs 2026'!$C$43*B65,"N/A")</f>
        <v>0</v>
      </c>
      <c r="G65" t="str" s="431" cm="1">
        <f t="array" ref="G65">IF(B65&gt;0,'Direct Costs 2026'!$C$25,"N/A")</f>
        <v>N/A</v>
      </c>
      <c r="H65" t="str" s="431" cm="1">
        <f t="array" ref="H65">IF(B65&gt;0,'Direct Costs 2026'!$C$22,"N/A")</f>
        <v>N/A</v>
      </c>
      <c r="I65" s="423">
        <v>0</v>
      </c>
      <c r="J65" s="423">
        <v>0</v>
      </c>
      <c r="K65" t="str" s="431" cm="1">
        <f t="array" ref="K65">IF(B65&gt;0,'Direct Costs 2026'!$C$26,"N/A")</f>
        <v>N/A</v>
      </c>
      <c r="L65" t="str" s="431" cm="1">
        <f t="array" ref="L65">IF(B65&gt;0,'Direct Costs 2026'!$C$23,"N/A")</f>
        <v>N/A</v>
      </c>
      <c r="M65" t="str" s="431" cm="1">
        <f t="array" ref="M65">IF(B65&gt;0,'Direct Costs 2026'!$C$45*B65,"N/A")</f>
        <v>N/A</v>
      </c>
      <c r="N65" t="str" s="431" cm="1">
        <f t="array" ref="N65">IF(B65&gt;0,_xlfn.IFERROR(VLOOKUP(C48,'Boats Data Sheet 2026'!$C$3:$I$57,7,0)*'Direct Costs 2026'!$C$36,"N/A"),"N/A")</f>
        <v>N/A</v>
      </c>
      <c r="O65" t="str" s="431" cm="1">
        <f t="array" ref="O65">IF(B65&gt;0,IF(OR(VLOOKUP(C48,'Boats Data Sheet 2026'!$C$3:$F$57,4,0)="Own",VLOOKUP(C48,'Boats Data Sheet 2026'!$C$3:$F$57,4,0)="Management"),('Direct Costs 2026'!$C$37+'Direct Costs 2026'!$C$39),"N/A"),"N/A")</f>
        <v>N/A</v>
      </c>
      <c r="P65" t="str" s="431" cm="1">
        <f t="array" ref="P65">_xlfn.IFERROR('Direct Costs 2026'!$C$27*C65,"N/A")</f>
        <v>N/A</v>
      </c>
      <c r="Q65" t="str" s="431" cm="1">
        <f t="array" ref="Q65">_xlfn.IFERROR(C65+SUM(E65:P65),"N/A")</f>
        <v>N/A</v>
      </c>
      <c r="R65" s="424"/>
      <c r="S65" t="str" s="431" cm="1">
        <f t="array" ref="S65">IF(B65&gt;0,'Allocation OH and Target 2026'!$E$31,"N/A")</f>
        <v>N/A</v>
      </c>
      <c r="T65" t="str" s="431" cm="1">
        <f t="array" ref="T65">IF(B65&gt;0,VLOOKUP(C48,'Allocation OH and Target 2026'!$C$35:$S$87,16,0),"N/A")</f>
        <v>N/A</v>
      </c>
      <c r="U65" t="str" s="431" cm="1">
        <f t="array" ref="U65">_xlfn.IFERROR((S65+T65),"N/A")</f>
        <v>N/A</v>
      </c>
      <c r="V65" s="424"/>
      <c r="W65" t="str" s="431" cm="1">
        <f t="array" ref="W65">_xlfn.IFERROR(U65+Q65,"N/A")</f>
        <v>N/A</v>
      </c>
      <c r="X65" t="str" s="431" cm="1">
        <f t="array" ref="X65">_xlfn.IFERROR(W65*0.5%,"N/A")</f>
        <v>N/A</v>
      </c>
      <c r="Y65" t="str" s="431" cm="1">
        <f t="array" ref="Y65">_xlfn.IFERROR(W65*25%,"N/A")</f>
        <v>N/A</v>
      </c>
      <c r="Z65" t="str" s="426" cm="1">
        <f t="array" ref="Z65">IF(B65&gt;0,SUM(W65:Y65),"N/A")</f>
        <v>N/A</v>
      </c>
      <c r="AA65" t="str" s="426" cm="1">
        <f t="array" ref="AA65">_xlfn.IFERROR((Z65-Z64),"N/A")</f>
        <v>N/A</v>
      </c>
      <c r="AB65" s="424"/>
      <c r="AC65" t="str" s="426" cm="1">
        <f t="array" ref="AC65">IF(B65=6,AVERAGE(Z51:Z56),"N/A")</f>
        <v>N/A</v>
      </c>
      <c r="AD65" s="424"/>
      <c r="AE65" s="423"/>
      <c r="AF65" s="423"/>
      <c r="AG65" s="423"/>
      <c r="AH65" s="423"/>
      <c r="AI65" s="423"/>
      <c r="AJ65" s="423"/>
      <c r="AK65" s="423"/>
      <c r="AL65" s="423"/>
      <c r="AM65" s="423"/>
      <c r="AN65" s="427"/>
    </row>
    <row r="66" ht="15" customHeight="1">
      <c r="A66" s="12"/>
      <c r="B66" s="428" cm="1">
        <f t="array" ref="B66">IF(B65=0,0,IF(B65&lt;VLOOKUP(C48,'Boats Data Sheet 2026'!$C$3:$H$57,6,0),B65+1,0))</f>
        <v>0</v>
      </c>
      <c r="C66" t="str" s="431" cm="1">
        <f t="array" ref="C66">IF(B66&gt;0,IF(VLOOKUP(C48,'Boats Data Sheet 2026'!$C$3:$J$57,8,0)="N/A",0,VLOOKUP(C48,'Boats Data Sheet 2026'!$C$3:$J$57,8,0)),"N/A")</f>
        <v>N/A</v>
      </c>
      <c r="D66" t="str" s="431" cm="1">
        <f t="array" ref="D66">IF(B66&gt;7,2,IF(B66=0,"N/A",1))</f>
        <v>N/A</v>
      </c>
      <c r="E66" t="str" s="431" cm="1">
        <f t="array" ref="E66">_xlfn.IFERROR(SUM('Direct Costs 2026'!$C$4:$C$5)*D66,"N/A")</f>
        <v>N/A</v>
      </c>
      <c r="F66" s="423" cm="1">
        <f t="array" ref="F66">_xlfn.IFERROR('Direct Costs 2026'!$C$43*B66,"N/A")</f>
        <v>0</v>
      </c>
      <c r="G66" t="str" s="431" cm="1">
        <f t="array" ref="G66">IF(B66&gt;0,'Direct Costs 2026'!$C$25,"N/A")</f>
        <v>N/A</v>
      </c>
      <c r="H66" t="str" s="431" cm="1">
        <f t="array" ref="H66">IF(B66&gt;0,'Direct Costs 2026'!$C$22,"N/A")</f>
        <v>N/A</v>
      </c>
      <c r="I66" s="423">
        <v>0</v>
      </c>
      <c r="J66" s="423">
        <v>0</v>
      </c>
      <c r="K66" t="str" s="431" cm="1">
        <f t="array" ref="K66">IF(B66&gt;0,'Direct Costs 2026'!$C$26,"N/A")</f>
        <v>N/A</v>
      </c>
      <c r="L66" t="str" s="431" cm="1">
        <f t="array" ref="L66">IF(B66&gt;0,'Direct Costs 2026'!$C$23,"N/A")</f>
        <v>N/A</v>
      </c>
      <c r="M66" t="str" s="431" cm="1">
        <f t="array" ref="M66">IF(B66&gt;0,'Direct Costs 2026'!$C$45*B66,"N/A")</f>
        <v>N/A</v>
      </c>
      <c r="N66" t="str" s="431" cm="1">
        <f t="array" ref="N66">IF(B66&gt;0,_xlfn.IFERROR(VLOOKUP(C48,'Boats Data Sheet 2026'!$C$3:$I$57,7,0)*'Direct Costs 2026'!$C$36,"N/A"),"N/A")</f>
        <v>N/A</v>
      </c>
      <c r="O66" t="str" s="431" cm="1">
        <f t="array" ref="O66">IF(B66&gt;0,IF(OR(VLOOKUP(C48,'Boats Data Sheet 2026'!$C$3:$F$57,4,0)="Own",VLOOKUP(C48,'Boats Data Sheet 2026'!$C$3:$F$57,4,0)="Management"),('Direct Costs 2026'!$C$37+'Direct Costs 2026'!$C$39),"N/A"),"N/A")</f>
        <v>N/A</v>
      </c>
      <c r="P66" t="str" s="431" cm="1">
        <f t="array" ref="P66">_xlfn.IFERROR('Direct Costs 2026'!$C$27*C66,"N/A")</f>
        <v>N/A</v>
      </c>
      <c r="Q66" t="str" s="431" cm="1">
        <f t="array" ref="Q66">_xlfn.IFERROR(C66+SUM(E66:P66),"N/A")</f>
        <v>N/A</v>
      </c>
      <c r="R66" s="424"/>
      <c r="S66" t="str" s="431" cm="1">
        <f t="array" ref="S66">IF(B66&gt;0,'Allocation OH and Target 2026'!$E$31,"N/A")</f>
        <v>N/A</v>
      </c>
      <c r="T66" t="str" s="431" cm="1">
        <f t="array" ref="T66">IF(B66&gt;0,VLOOKUP(C48,'Allocation OH and Target 2026'!$C$35:$S$87,16,0),"N/A")</f>
        <v>N/A</v>
      </c>
      <c r="U66" t="str" s="431" cm="1">
        <f t="array" ref="U66">_xlfn.IFERROR((S66+T66),"N/A")</f>
        <v>N/A</v>
      </c>
      <c r="V66" s="424"/>
      <c r="W66" t="str" s="431" cm="1">
        <f t="array" ref="W66">_xlfn.IFERROR(U66+Q66,"N/A")</f>
        <v>N/A</v>
      </c>
      <c r="X66" t="str" s="431" cm="1">
        <f t="array" ref="X66">_xlfn.IFERROR(W66*0.5%,"N/A")</f>
        <v>N/A</v>
      </c>
      <c r="Y66" t="str" s="431" cm="1">
        <f t="array" ref="Y66">_xlfn.IFERROR(W66*25%,"N/A")</f>
        <v>N/A</v>
      </c>
      <c r="Z66" t="str" s="426" cm="1">
        <f t="array" ref="Z66">IF(B66&gt;0,SUM(W66:Y66),"N/A")</f>
        <v>N/A</v>
      </c>
      <c r="AA66" t="str" s="426" cm="1">
        <f t="array" ref="AA66">_xlfn.IFERROR((Z66-Z65),"N/A")</f>
        <v>N/A</v>
      </c>
      <c r="AB66" s="424"/>
      <c r="AC66" t="str" s="426" cm="1">
        <f t="array" ref="AC66">IF(B66=6,AVERAGE(Z51:Z56),"N/A")</f>
        <v>N/A</v>
      </c>
      <c r="AD66" s="424"/>
      <c r="AE66" s="423"/>
      <c r="AF66" s="423"/>
      <c r="AG66" s="423"/>
      <c r="AH66" s="423"/>
      <c r="AI66" s="423"/>
      <c r="AJ66" s="423"/>
      <c r="AK66" s="423"/>
      <c r="AL66" s="423"/>
      <c r="AM66" s="423"/>
      <c r="AN66" s="427"/>
    </row>
    <row r="67" ht="15" customHeight="1">
      <c r="A67" s="12"/>
      <c r="B67" s="428" cm="1">
        <f t="array" ref="B67">IF(B66=0,0,IF(B66&lt;VLOOKUP(C48,'Boats Data Sheet 2026'!$C$3:$H$57,6,0),B66+1,0))</f>
        <v>0</v>
      </c>
      <c r="C67" t="str" s="431" cm="1">
        <f t="array" ref="C67">IF(B67&gt;0,IF(VLOOKUP(C48,'Boats Data Sheet 2026'!$C$3:$J$57,8,0)="N/A",0,VLOOKUP(C48,'Boats Data Sheet 2026'!$C$3:$J$57,8,0)),"N/A")</f>
        <v>N/A</v>
      </c>
      <c r="D67" t="str" s="431" cm="1">
        <f t="array" ref="D67">IF(B67&gt;7,2,IF(B67=0,"N/A",1))</f>
        <v>N/A</v>
      </c>
      <c r="E67" t="str" s="431" cm="1">
        <f t="array" ref="E67">_xlfn.IFERROR(SUM('Direct Costs 2026'!$C$4:$C$5)*D67,"N/A")</f>
        <v>N/A</v>
      </c>
      <c r="F67" s="423" cm="1">
        <f t="array" ref="F67">_xlfn.IFERROR('Direct Costs 2026'!$C$43*B67,"N/A")</f>
        <v>0</v>
      </c>
      <c r="G67" t="str" s="431" cm="1">
        <f t="array" ref="G67">IF(B67&gt;0,'Direct Costs 2026'!$C$25,"N/A")</f>
        <v>N/A</v>
      </c>
      <c r="H67" t="str" s="431" cm="1">
        <f t="array" ref="H67">IF(B67&gt;0,'Direct Costs 2026'!$C$22,"N/A")</f>
        <v>N/A</v>
      </c>
      <c r="I67" s="423">
        <v>0</v>
      </c>
      <c r="J67" s="423">
        <v>0</v>
      </c>
      <c r="K67" t="str" s="431" cm="1">
        <f t="array" ref="K67">IF(B67&gt;0,'Direct Costs 2026'!$C$26,"N/A")</f>
        <v>N/A</v>
      </c>
      <c r="L67" t="str" s="431" cm="1">
        <f t="array" ref="L67">IF(B67&gt;0,'Direct Costs 2026'!$C$23,"N/A")</f>
        <v>N/A</v>
      </c>
      <c r="M67" t="str" s="431" cm="1">
        <f t="array" ref="M67">IF(B67&gt;0,'Direct Costs 2026'!$C$45*B67,"N/A")</f>
        <v>N/A</v>
      </c>
      <c r="N67" t="str" s="431" cm="1">
        <f t="array" ref="N67">IF(B67&gt;0,_xlfn.IFERROR(VLOOKUP(C48,'Boats Data Sheet 2026'!$C$3:$I$57,7,0)*'Direct Costs 2026'!$C$36,"N/A"),"N/A")</f>
        <v>N/A</v>
      </c>
      <c r="O67" t="str" s="431" cm="1">
        <f t="array" ref="O67">IF(B67&gt;0,IF(OR(VLOOKUP(C48,'Boats Data Sheet 2026'!$C$3:$F$57,4,0)="Own",VLOOKUP(C48,'Boats Data Sheet 2026'!$C$3:$F$57,4,0)="Management"),('Direct Costs 2026'!$C$37+'Direct Costs 2026'!$C$39),"N/A"),"N/A")</f>
        <v>N/A</v>
      </c>
      <c r="P67" t="str" s="431" cm="1">
        <f t="array" ref="P67">_xlfn.IFERROR('Direct Costs 2026'!$C$27*C67,"N/A")</f>
        <v>N/A</v>
      </c>
      <c r="Q67" t="str" s="431" cm="1">
        <f t="array" ref="Q67">_xlfn.IFERROR(C67+SUM(E67:P67),"N/A")</f>
        <v>N/A</v>
      </c>
      <c r="R67" s="424"/>
      <c r="S67" t="str" s="431" cm="1">
        <f t="array" ref="S67">IF(B67&gt;0,'Allocation OH and Target 2026'!$E$31,"N/A")</f>
        <v>N/A</v>
      </c>
      <c r="T67" t="str" s="431" cm="1">
        <f t="array" ref="T67">IF(B67&gt;0,VLOOKUP(C48,'Allocation OH and Target 2026'!$C$35:$S$87,16,0),"N/A")</f>
        <v>N/A</v>
      </c>
      <c r="U67" t="str" s="431" cm="1">
        <f t="array" ref="U67">_xlfn.IFERROR((S67+T67),"N/A")</f>
        <v>N/A</v>
      </c>
      <c r="V67" s="424"/>
      <c r="W67" t="str" s="431" cm="1">
        <f t="array" ref="W67">_xlfn.IFERROR(U67+Q67,"N/A")</f>
        <v>N/A</v>
      </c>
      <c r="X67" t="str" s="431" cm="1">
        <f t="array" ref="X67">_xlfn.IFERROR(W67*0.5%,"N/A")</f>
        <v>N/A</v>
      </c>
      <c r="Y67" t="str" s="431" cm="1">
        <f t="array" ref="Y67">_xlfn.IFERROR(W67*25%,"N/A")</f>
        <v>N/A</v>
      </c>
      <c r="Z67" t="str" s="426" cm="1">
        <f t="array" ref="Z67">IF(B67&gt;0,SUM(W67:Y67),"N/A")</f>
        <v>N/A</v>
      </c>
      <c r="AA67" t="str" s="426" cm="1">
        <f t="array" ref="AA67">_xlfn.IFERROR((Z67-Z66),"N/A")</f>
        <v>N/A</v>
      </c>
      <c r="AB67" s="424"/>
      <c r="AC67" t="str" s="426" cm="1">
        <f t="array" ref="AC67">IF(B67=6,AVERAGE(Z51:Z56),"N/A")</f>
        <v>N/A</v>
      </c>
      <c r="AD67" s="424"/>
      <c r="AE67" s="423"/>
      <c r="AF67" s="423"/>
      <c r="AG67" s="423"/>
      <c r="AH67" s="423"/>
      <c r="AI67" s="423"/>
      <c r="AJ67" s="423"/>
      <c r="AK67" s="423"/>
      <c r="AL67" s="423"/>
      <c r="AM67" s="423"/>
      <c r="AN67" s="427"/>
    </row>
    <row r="68" ht="15.5" customHeight="1">
      <c r="A68" s="12"/>
      <c r="B68" s="432" cm="1">
        <f t="array" ref="B68">IF(B67=0,0,IF(B67&lt;VLOOKUP(C48,'Boats Data Sheet 2026'!$C$3:$H$57,6,0),B67+1,0))</f>
        <v>0</v>
      </c>
      <c r="C68" t="str" s="433" cm="1">
        <f t="array" ref="C68">IF(B68&gt;0,IF(VLOOKUP(C48,'Boats Data Sheet 2026'!$C$3:$J$57,8,0)="N/A",0,VLOOKUP(C48,'Boats Data Sheet 2026'!$C$3:$J$57,8,0)),"N/A")</f>
        <v>N/A</v>
      </c>
      <c r="D68" t="str" s="433" cm="1">
        <f t="array" ref="D68">IF(B68&gt;7,2,IF(B68=0,"N/A",1))</f>
        <v>N/A</v>
      </c>
      <c r="E68" t="str" s="433" cm="1">
        <f t="array" ref="E68">_xlfn.IFERROR(SUM('Direct Costs 2026'!$C$4:$C$5)*D68,"N/A")</f>
        <v>N/A</v>
      </c>
      <c r="F68" s="434" cm="1">
        <f t="array" ref="F68">_xlfn.IFERROR('Direct Costs 2026'!$C$43*B68,"N/A")</f>
        <v>0</v>
      </c>
      <c r="G68" t="str" s="433" cm="1">
        <f t="array" ref="G68">IF(B68&gt;0,'Direct Costs 2026'!$C$25,"N/A")</f>
        <v>N/A</v>
      </c>
      <c r="H68" t="str" s="433" cm="1">
        <f t="array" ref="H68">IF(B68&gt;0,'Direct Costs 2026'!$C$22,"N/A")</f>
        <v>N/A</v>
      </c>
      <c r="I68" s="434">
        <v>0</v>
      </c>
      <c r="J68" s="434">
        <v>0</v>
      </c>
      <c r="K68" t="str" s="433" cm="1">
        <f t="array" ref="K68">IF(B68&gt;0,'Direct Costs 2026'!$C$26,"N/A")</f>
        <v>N/A</v>
      </c>
      <c r="L68" t="str" s="433" cm="1">
        <f t="array" ref="L68">IF(B68&gt;0,'Direct Costs 2026'!$C$23,"N/A")</f>
        <v>N/A</v>
      </c>
      <c r="M68" t="str" s="433" cm="1">
        <f t="array" ref="M68">IF(B68&gt;0,'Direct Costs 2026'!$C$45*B68,"N/A")</f>
        <v>N/A</v>
      </c>
      <c r="N68" t="str" s="433" cm="1">
        <f t="array" ref="N68">IF(B68&gt;0,_xlfn.IFERROR(VLOOKUP(C48,'Boats Data Sheet 2026'!$C$3:$I$57,7,0)*'Direct Costs 2026'!$C$36,"N/A"),"N/A")</f>
        <v>N/A</v>
      </c>
      <c r="O68" t="str" s="433" cm="1">
        <f t="array" ref="O68">IF(B68&gt;0,IF(OR(VLOOKUP(C48,'Boats Data Sheet 2026'!$C$3:$F$57,4,0)="Own",VLOOKUP(C48,'Boats Data Sheet 2026'!$C$3:$F$57,4,0)="Management"),('Direct Costs 2026'!$C$37+'Direct Costs 2026'!$C$39),"N/A"),"N/A")</f>
        <v>N/A</v>
      </c>
      <c r="P68" t="str" s="433" cm="1">
        <f t="array" ref="P68">_xlfn.IFERROR('Direct Costs 2026'!$C$27*C68,"N/A")</f>
        <v>N/A</v>
      </c>
      <c r="Q68" t="str" s="433" cm="1">
        <f t="array" ref="Q68">_xlfn.IFERROR(C68+SUM(E68:P68),"N/A")</f>
        <v>N/A</v>
      </c>
      <c r="R68" s="435"/>
      <c r="S68" t="str" s="433" cm="1">
        <f t="array" ref="S68">IF(B68&gt;0,'Allocation OH and Target 2026'!$E$31,"N/A")</f>
        <v>N/A</v>
      </c>
      <c r="T68" t="str" s="433" cm="1">
        <f t="array" ref="T68">IF(B68&gt;0,VLOOKUP(C48,'Allocation OH and Target 2026'!$C$35:$S$87,16,0),"N/A")</f>
        <v>N/A</v>
      </c>
      <c r="U68" t="str" s="433" cm="1">
        <f t="array" ref="U68">_xlfn.IFERROR((S68+T68),"N/A")</f>
        <v>N/A</v>
      </c>
      <c r="V68" s="435"/>
      <c r="W68" t="str" s="433" cm="1">
        <f t="array" ref="W68">_xlfn.IFERROR(U68+Q68,"N/A")</f>
        <v>N/A</v>
      </c>
      <c r="X68" t="str" s="433" cm="1">
        <f t="array" ref="X68">_xlfn.IFERROR(W68*0.5%,"N/A")</f>
        <v>N/A</v>
      </c>
      <c r="Y68" t="str" s="433" cm="1">
        <f t="array" ref="Y68">_xlfn.IFERROR(W68*25%,"N/A")</f>
        <v>N/A</v>
      </c>
      <c r="Z68" t="str" s="436" cm="1">
        <f t="array" ref="Z68">IF(B68&gt;0,SUM(W68:Y68),"N/A")</f>
        <v>N/A</v>
      </c>
      <c r="AA68" t="str" s="436" cm="1">
        <f t="array" ref="AA68">_xlfn.IFERROR((Z68-Z67),"N/A")</f>
        <v>N/A</v>
      </c>
      <c r="AB68" s="435"/>
      <c r="AC68" t="str" s="436" cm="1">
        <f t="array" ref="AC68">IF(B68=6,AVERAGE(Z51:Z56),"N/A")</f>
        <v>N/A</v>
      </c>
      <c r="AD68" s="435"/>
      <c r="AE68" s="434"/>
      <c r="AF68" s="434"/>
      <c r="AG68" s="434"/>
      <c r="AH68" s="434"/>
      <c r="AI68" s="434"/>
      <c r="AJ68" s="434"/>
      <c r="AK68" s="434"/>
      <c r="AL68" s="434"/>
      <c r="AM68" s="434"/>
      <c r="AN68" s="437"/>
    </row>
    <row r="69" ht="15" customHeight="1">
      <c r="A69" s="32"/>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313"/>
    </row>
    <row r="70" ht="15" customHeight="1">
      <c r="A70" s="32"/>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442"/>
    </row>
    <row r="71" ht="15.5" customHeight="1">
      <c r="A71" s="395">
        <v>4</v>
      </c>
      <c r="B71" t="s" s="396">
        <v>506</v>
      </c>
      <c r="C71" t="s" s="397">
        <v>186</v>
      </c>
      <c r="D71" s="398"/>
      <c r="E71" s="398"/>
      <c r="F71" s="398"/>
      <c r="G71" s="398"/>
      <c r="H71" s="398"/>
      <c r="I71" s="398"/>
      <c r="J71" s="398"/>
      <c r="K71" s="398"/>
      <c r="L71" s="398"/>
      <c r="M71" s="398"/>
      <c r="N71" s="398"/>
      <c r="O71" s="398"/>
      <c r="P71" s="398"/>
      <c r="Q71" s="398"/>
      <c r="R71" s="399"/>
      <c r="S71" s="398"/>
      <c r="T71" s="398"/>
      <c r="U71" s="398"/>
      <c r="V71" s="399"/>
      <c r="W71" s="398"/>
      <c r="X71" s="398"/>
      <c r="Y71" s="398"/>
      <c r="Z71" s="398"/>
      <c r="AA71" s="398"/>
      <c r="AB71" s="399"/>
      <c r="AC71" s="398"/>
      <c r="AD71" s="399"/>
      <c r="AE71" t="s" s="397">
        <v>508</v>
      </c>
      <c r="AF71" s="401" cm="1">
        <f t="array" ref="AF71">AVERAGE(Q74:Q79)</f>
        <v>8680000</v>
      </c>
      <c r="AG71" t="s" s="400">
        <v>509</v>
      </c>
      <c r="AH71" s="401" cm="1">
        <f t="array" ref="AH71">AVERAGE(Q80:Q87)-AF71</f>
        <v>1858062.5</v>
      </c>
      <c r="AI71" t="s" s="400">
        <v>510</v>
      </c>
      <c r="AJ71" s="401" cm="1">
        <f t="array" ref="AJ71">AVERAGE(Y74:Y81)</f>
        <v>3011471.16442453</v>
      </c>
      <c r="AK71" t="s" s="397">
        <v>511</v>
      </c>
      <c r="AL71" s="401" cm="1">
        <f t="array" ref="AL71">AVERAGE(W74:W79)</f>
        <v>11780447.1576981</v>
      </c>
      <c r="AM71" t="s" s="400">
        <v>512</v>
      </c>
      <c r="AN71" s="402" cm="1">
        <f t="array" ref="AN71">W74</f>
        <v>11390447.1576981</v>
      </c>
    </row>
    <row r="72" ht="15" customHeight="1">
      <c r="A72" s="12"/>
      <c r="B72" s="403"/>
      <c r="C72" t="s" s="404">
        <v>513</v>
      </c>
      <c r="D72" s="405"/>
      <c r="E72" s="405"/>
      <c r="F72" s="405"/>
      <c r="G72" s="405"/>
      <c r="H72" s="405"/>
      <c r="I72" s="405"/>
      <c r="J72" s="405"/>
      <c r="K72" s="405"/>
      <c r="L72" s="405"/>
      <c r="M72" s="405"/>
      <c r="N72" s="405"/>
      <c r="O72" s="405"/>
      <c r="P72" s="405"/>
      <c r="Q72" s="406"/>
      <c r="R72" s="407"/>
      <c r="S72" t="s" s="404">
        <v>514</v>
      </c>
      <c r="T72" s="405"/>
      <c r="U72" s="406"/>
      <c r="V72" s="407"/>
      <c r="W72" t="s" s="404">
        <v>515</v>
      </c>
      <c r="X72" s="405"/>
      <c r="Y72" s="405"/>
      <c r="Z72" s="405"/>
      <c r="AA72" s="405"/>
      <c r="AB72" s="408"/>
      <c r="AC72" t="s" s="409">
        <v>516</v>
      </c>
      <c r="AD72" s="410"/>
      <c r="AE72" s="443"/>
      <c r="AF72" s="443"/>
      <c r="AG72" s="443"/>
      <c r="AH72" s="443"/>
      <c r="AI72" s="443"/>
      <c r="AJ72" s="443"/>
      <c r="AK72" s="443"/>
      <c r="AL72" s="414"/>
      <c r="AM72" s="415"/>
      <c r="AN72" s="414"/>
    </row>
    <row r="73" ht="46.25" customHeight="1">
      <c r="A73" s="187"/>
      <c r="B73" t="s" s="416">
        <v>517</v>
      </c>
      <c r="C73" t="s" s="417">
        <v>518</v>
      </c>
      <c r="D73" t="s" s="417">
        <v>519</v>
      </c>
      <c r="E73" t="s" s="417">
        <v>520</v>
      </c>
      <c r="F73" t="s" s="159">
        <v>521</v>
      </c>
      <c r="G73" t="s" s="159">
        <v>522</v>
      </c>
      <c r="H73" t="s" s="159">
        <v>541</v>
      </c>
      <c r="I73" t="s" s="159">
        <v>524</v>
      </c>
      <c r="J73" t="s" s="159">
        <v>525</v>
      </c>
      <c r="K73" t="s" s="159">
        <v>526</v>
      </c>
      <c r="L73" t="s" s="159">
        <v>527</v>
      </c>
      <c r="M73" t="s" s="159">
        <v>528</v>
      </c>
      <c r="N73" t="s" s="159">
        <v>529</v>
      </c>
      <c r="O73" t="s" s="159">
        <v>530</v>
      </c>
      <c r="P73" t="s" s="159">
        <v>531</v>
      </c>
      <c r="Q73" t="s" s="159">
        <v>532</v>
      </c>
      <c r="R73" s="418"/>
      <c r="S73" t="s" s="159">
        <v>533</v>
      </c>
      <c r="T73" t="s" s="159">
        <v>534</v>
      </c>
      <c r="U73" t="s" s="159">
        <v>535</v>
      </c>
      <c r="V73" s="418"/>
      <c r="W73" t="s" s="159">
        <v>536</v>
      </c>
      <c r="X73" t="s" s="159">
        <v>537</v>
      </c>
      <c r="Y73" t="s" s="159">
        <v>538</v>
      </c>
      <c r="Z73" t="s" s="159">
        <v>539</v>
      </c>
      <c r="AA73" t="s" s="159">
        <v>121</v>
      </c>
      <c r="AB73" s="419"/>
      <c r="AC73" t="s" s="159">
        <v>39</v>
      </c>
      <c r="AD73" s="419"/>
      <c r="AE73" s="77"/>
      <c r="AF73" s="77"/>
      <c r="AG73" s="77"/>
      <c r="AH73" s="77"/>
      <c r="AI73" s="77"/>
      <c r="AJ73" s="77"/>
      <c r="AK73" s="77"/>
      <c r="AL73" s="77"/>
      <c r="AM73" s="77"/>
      <c r="AN73" s="78"/>
    </row>
    <row r="74" ht="15" customHeight="1">
      <c r="A74" s="12"/>
      <c r="B74" s="420">
        <v>1</v>
      </c>
      <c r="C74" s="421" cm="1">
        <f t="array" ref="C74">IF(B74&gt;0,IF(VLOOKUP(C71,'Boats Data Sheet 2026'!$C$3:$J$57,8,0)="N/A",0,VLOOKUP(C71,'Boats Data Sheet 2026'!$C$3:$J$57,8,0)),"N/A")</f>
        <v>6675000</v>
      </c>
      <c r="D74" s="422" cm="1">
        <f t="array" ref="D74">IF(B74&gt;7,2,IF(B74=0,"N/A",1))</f>
        <v>1</v>
      </c>
      <c r="E74" s="421" cm="1">
        <f t="array" ref="E74">_xlfn.IFERROR(SUM('Direct Costs 2026'!$C$4:$C$5)*D74,"N/A")</f>
        <v>875500</v>
      </c>
      <c r="F74" s="423" cm="1">
        <f t="array" ref="F74">_xlfn.IFERROR('Direct Costs 2026'!$C$43*B74,"N/A")</f>
        <v>6000</v>
      </c>
      <c r="G74" s="423" cm="1">
        <f t="array" ref="G74">IF(B74&gt;0,'Direct Costs 2026'!$C$25,"N/A")</f>
        <v>90000</v>
      </c>
      <c r="H74" s="423" cm="1">
        <f t="array" ref="H74">IF(B74&gt;0,'Direct Costs 2026'!$C$22,"N/A")</f>
        <v>200000</v>
      </c>
      <c r="I74" s="423">
        <v>0</v>
      </c>
      <c r="J74" s="423">
        <v>0</v>
      </c>
      <c r="K74" s="423" cm="1">
        <f t="array" ref="K74">IF(B74&gt;0,'Direct Costs 2026'!$C$26,"N/A")</f>
        <v>20000</v>
      </c>
      <c r="L74" s="423" cm="1">
        <f t="array" ref="L74">IF(B74&gt;0,'Direct Costs 2026'!$C$23,"N/A")</f>
        <v>140000</v>
      </c>
      <c r="M74" s="423" cm="1">
        <f t="array" ref="M74">IF(B74&gt;0,'Direct Costs 2026'!$C$45*B74,"N/A")</f>
        <v>150000</v>
      </c>
      <c r="N74" t="str" s="431" cm="1">
        <f t="array" ref="N74">IF(B74&gt;0,_xlfn.IFERROR(VLOOKUP(C71,'Boats Data Sheet 2026'!$C$3:$I$57,7,0)*'Direct Costs 2026'!$C$36,"N/A"),"N/A")</f>
        <v>N/A</v>
      </c>
      <c r="O74" t="str" s="431" cm="1">
        <f t="array" ref="O74">IF(B74&gt;0,IF(OR(VLOOKUP(C71,'Boats Data Sheet 2026'!$C$3:$F$57,4,0)="Own",VLOOKUP(C71,'Boats Data Sheet 2026'!$C$3:$F$57,4,0)="Management"),('Direct Costs 2026'!$C$37+'Direct Costs 2026'!$C$39),"N/A"),"N/A")</f>
        <v>N/A</v>
      </c>
      <c r="P74" s="423" cm="1">
        <f t="array" ref="P74">_xlfn.IFERROR('Direct Costs 2026'!$C$27*C74,"N/A")</f>
        <v>133500</v>
      </c>
      <c r="Q74" s="423" cm="1">
        <f t="array" ref="Q74">_xlfn.IFERROR(C74+SUM(E74:P74),"N/A")</f>
        <v>8290000</v>
      </c>
      <c r="R74" s="424"/>
      <c r="S74" s="423" cm="1">
        <f t="array" ref="S74">IF(B74&gt;0,'Allocation OH and Target 2026'!$E$31,"N/A")</f>
        <v>3100447.15769812</v>
      </c>
      <c r="T74" s="423" cm="1">
        <f t="array" ref="T74">IF(B74&gt;0,VLOOKUP(C71,'Allocation OH and Target 2026'!$C$35:$S$87,16,0),"N/A")</f>
        <v>0</v>
      </c>
      <c r="U74" s="423" cm="1">
        <f t="array" ref="U74">_xlfn.IFERROR((S74+T74),"N/A")</f>
        <v>3100447.15769812</v>
      </c>
      <c r="V74" s="424"/>
      <c r="W74" s="423" cm="1">
        <f t="array" ref="W74">_xlfn.IFERROR(U74+Q74,"N/A")</f>
        <v>11390447.1576981</v>
      </c>
      <c r="X74" s="423" cm="1">
        <f t="array" ref="X74">_xlfn.IFERROR(W74*0.5%,"N/A")</f>
        <v>56952.2357884905</v>
      </c>
      <c r="Y74" s="423" cm="1">
        <f t="array" ref="Y74">_xlfn.IFERROR(W74*25%,"N/A")</f>
        <v>2847611.78942453</v>
      </c>
      <c r="Z74" s="425" cm="1">
        <f t="array" ref="Z74">IF(B74&gt;0,SUM(W74:Y74),"N/A")</f>
        <v>14295011.1829111</v>
      </c>
      <c r="AA74" s="425">
        <v>0</v>
      </c>
      <c r="AB74" s="424"/>
      <c r="AC74" t="str" s="426" cm="1">
        <f t="array" ref="AC74">IF(B74=6,AVERAGE(Z74:Z79),"N/A")</f>
        <v>N/A</v>
      </c>
      <c r="AD74" s="424"/>
      <c r="AE74" s="423"/>
      <c r="AF74" s="423"/>
      <c r="AG74" s="423"/>
      <c r="AH74" s="423"/>
      <c r="AI74" s="423"/>
      <c r="AJ74" s="423"/>
      <c r="AK74" s="423"/>
      <c r="AL74" s="423"/>
      <c r="AM74" s="423"/>
      <c r="AN74" s="427"/>
    </row>
    <row r="75" ht="15" customHeight="1">
      <c r="A75" s="12"/>
      <c r="B75" s="428" cm="1">
        <f t="array" ref="B75">IF(B74=0,0,IF(B74&lt;VLOOKUP(C71,'Boats Data Sheet 2026'!$C$3:$H$57,6,0),B74+1,0))</f>
        <v>2</v>
      </c>
      <c r="C75" s="423" cm="1">
        <f t="array" ref="C75">IF(B75&gt;0,IF(VLOOKUP(C71,'Boats Data Sheet 2026'!$C$3:$J$57,8,0)="N/A",0,VLOOKUP(C71,'Boats Data Sheet 2026'!$C$3:$J$57,8,0)),"N/A")</f>
        <v>6675000</v>
      </c>
      <c r="D75" s="429" cm="1">
        <f t="array" ref="D75">IF(B75&gt;7,2,IF(B75=0,"N/A",1))</f>
        <v>1</v>
      </c>
      <c r="E75" s="423" cm="1">
        <f t="array" ref="E75">_xlfn.IFERROR(SUM('Direct Costs 2026'!$C$4:$C$5)*D75,"N/A")</f>
        <v>875500</v>
      </c>
      <c r="F75" s="423" cm="1">
        <f t="array" ref="F75">_xlfn.IFERROR('Direct Costs 2026'!$C$43*B75,"N/A")</f>
        <v>12000</v>
      </c>
      <c r="G75" s="423" cm="1">
        <f t="array" ref="G75">IF(B75&gt;0,'Direct Costs 2026'!$C$25,"N/A")</f>
        <v>90000</v>
      </c>
      <c r="H75" s="423" cm="1">
        <f t="array" ref="H75">IF(B75&gt;0,'Direct Costs 2026'!$C$22,"N/A")</f>
        <v>200000</v>
      </c>
      <c r="I75" s="423">
        <v>0</v>
      </c>
      <c r="J75" s="423">
        <v>0</v>
      </c>
      <c r="K75" s="423" cm="1">
        <f t="array" ref="K75">IF(B75&gt;0,'Direct Costs 2026'!$C$26,"N/A")</f>
        <v>20000</v>
      </c>
      <c r="L75" s="423" cm="1">
        <f t="array" ref="L75">IF(B75&gt;0,'Direct Costs 2026'!$C$23,"N/A")</f>
        <v>140000</v>
      </c>
      <c r="M75" s="423" cm="1">
        <f t="array" ref="M75">IF(B75&gt;0,'Direct Costs 2026'!$C$45*B75,"N/A")</f>
        <v>300000</v>
      </c>
      <c r="N75" t="str" s="431" cm="1">
        <f t="array" ref="N75">IF(B75&gt;0,_xlfn.IFERROR(VLOOKUP(C71,'Boats Data Sheet 2026'!$C$3:$I$57,7,0)*'Direct Costs 2026'!$C$36,"N/A"),"N/A")</f>
        <v>N/A</v>
      </c>
      <c r="O75" t="str" s="431" cm="1">
        <f t="array" ref="O75">IF(B75&gt;0,IF(OR(VLOOKUP(C71,'Boats Data Sheet 2026'!$C$3:$F$57,4,0)="Own",VLOOKUP(C71,'Boats Data Sheet 2026'!$C$3:$F$57,4,0)="Management"),('Direct Costs 2026'!$C$37+'Direct Costs 2026'!$C$39),"N/A"),"N/A")</f>
        <v>N/A</v>
      </c>
      <c r="P75" s="423" cm="1">
        <f t="array" ref="P75">_xlfn.IFERROR('Direct Costs 2026'!$C$27*C75,"N/A")</f>
        <v>133500</v>
      </c>
      <c r="Q75" s="423" cm="1">
        <f t="array" ref="Q75">_xlfn.IFERROR(C75+SUM(E75:P75),"N/A")</f>
        <v>8446000</v>
      </c>
      <c r="R75" s="424"/>
      <c r="S75" s="423" cm="1">
        <f t="array" ref="S75">IF(B75&gt;0,'Allocation OH and Target 2026'!$E$31,"N/A")</f>
        <v>3100447.15769812</v>
      </c>
      <c r="T75" s="423" cm="1">
        <f t="array" ref="T75">IF(B75&gt;0,VLOOKUP(C71,'Allocation OH and Target 2026'!$C$35:$S$87,16,0),"N/A")</f>
        <v>0</v>
      </c>
      <c r="U75" s="423" cm="1">
        <f t="array" ref="U75">_xlfn.IFERROR((S75+T75),"N/A")</f>
        <v>3100447.15769812</v>
      </c>
      <c r="V75" s="424"/>
      <c r="W75" s="423" cm="1">
        <f t="array" ref="W75">_xlfn.IFERROR(U75+Q75,"N/A")</f>
        <v>11546447.1576981</v>
      </c>
      <c r="X75" s="423" cm="1">
        <f t="array" ref="X75">_xlfn.IFERROR(W75*0.5%,"N/A")</f>
        <v>57732.2357884905</v>
      </c>
      <c r="Y75" s="423" cm="1">
        <f t="array" ref="Y75">_xlfn.IFERROR(W75*25%,"N/A")</f>
        <v>2886611.78942453</v>
      </c>
      <c r="Z75" s="425" cm="1">
        <f t="array" ref="Z75">IF(B75&gt;0,SUM(W75:Y75),"N/A")</f>
        <v>14490791.1829111</v>
      </c>
      <c r="AA75" s="425" cm="1">
        <f t="array" ref="AA75">_xlfn.IFERROR((Z75-Z74),"N/A")</f>
        <v>195780</v>
      </c>
      <c r="AB75" s="424"/>
      <c r="AC75" t="str" s="426" cm="1">
        <f t="array" ref="AC75">IF(B75=6,AVERAGE(Z74:Z79),"N/A")</f>
        <v>N/A</v>
      </c>
      <c r="AD75" s="424"/>
      <c r="AE75" s="423"/>
      <c r="AF75" s="423"/>
      <c r="AG75" s="423"/>
      <c r="AH75" s="423"/>
      <c r="AI75" s="423"/>
      <c r="AJ75" s="423"/>
      <c r="AK75" s="423"/>
      <c r="AL75" s="423"/>
      <c r="AM75" s="423"/>
      <c r="AN75" s="427"/>
    </row>
    <row r="76" ht="15" customHeight="1">
      <c r="A76" s="12"/>
      <c r="B76" s="428" cm="1">
        <f t="array" ref="B76">IF(B75=0,0,IF(B75&lt;VLOOKUP(C71,'Boats Data Sheet 2026'!$C$3:$H$57,6,0),B75+1,0))</f>
        <v>3</v>
      </c>
      <c r="C76" s="423" cm="1">
        <f t="array" ref="C76">IF(B76&gt;0,IF(VLOOKUP(C71,'Boats Data Sheet 2026'!$C$3:$J$57,8,0)="N/A",0,VLOOKUP(C71,'Boats Data Sheet 2026'!$C$3:$J$57,8,0)),"N/A")</f>
        <v>6675000</v>
      </c>
      <c r="D76" s="429" cm="1">
        <f t="array" ref="D76">IF(B76&gt;7,2,IF(B76=0,"N/A",1))</f>
        <v>1</v>
      </c>
      <c r="E76" s="423" cm="1">
        <f t="array" ref="E76">_xlfn.IFERROR(SUM('Direct Costs 2026'!$C$4:$C$5)*D76,"N/A")</f>
        <v>875500</v>
      </c>
      <c r="F76" s="423" cm="1">
        <f t="array" ref="F76">_xlfn.IFERROR('Direct Costs 2026'!$C$43*B76,"N/A")</f>
        <v>18000</v>
      </c>
      <c r="G76" s="423" cm="1">
        <f t="array" ref="G76">IF(B76&gt;0,'Direct Costs 2026'!$C$25,"N/A")</f>
        <v>90000</v>
      </c>
      <c r="H76" s="423" cm="1">
        <f t="array" ref="H76">IF(B76&gt;0,'Direct Costs 2026'!$C$22,"N/A")</f>
        <v>200000</v>
      </c>
      <c r="I76" s="423">
        <v>0</v>
      </c>
      <c r="J76" s="423">
        <v>0</v>
      </c>
      <c r="K76" s="423" cm="1">
        <f t="array" ref="K76">IF(B76&gt;0,'Direct Costs 2026'!$C$26,"N/A")</f>
        <v>20000</v>
      </c>
      <c r="L76" s="423" cm="1">
        <f t="array" ref="L76">IF(B76&gt;0,'Direct Costs 2026'!$C$23,"N/A")</f>
        <v>140000</v>
      </c>
      <c r="M76" s="423" cm="1">
        <f t="array" ref="M76">IF(B76&gt;0,'Direct Costs 2026'!$C$45*B76,"N/A")</f>
        <v>450000</v>
      </c>
      <c r="N76" t="str" s="431" cm="1">
        <f t="array" ref="N76">IF(B76&gt;0,_xlfn.IFERROR(VLOOKUP(C71,'Boats Data Sheet 2026'!$C$3:$I$57,7,0)*'Direct Costs 2026'!$C$36,"N/A"),"N/A")</f>
        <v>N/A</v>
      </c>
      <c r="O76" t="str" s="431" cm="1">
        <f t="array" ref="O76">IF(B76&gt;0,IF(OR(VLOOKUP(C71,'Boats Data Sheet 2026'!$C$3:$F$57,4,0)="Own",VLOOKUP(C71,'Boats Data Sheet 2026'!$C$3:$F$57,4,0)="Management"),('Direct Costs 2026'!$C$37+'Direct Costs 2026'!$C$39),"N/A"),"N/A")</f>
        <v>N/A</v>
      </c>
      <c r="P76" s="423" cm="1">
        <f t="array" ref="P76">_xlfn.IFERROR('Direct Costs 2026'!$C$27*C76,"N/A")</f>
        <v>133500</v>
      </c>
      <c r="Q76" s="423" cm="1">
        <f t="array" ref="Q76">_xlfn.IFERROR(C76+SUM(E76:P76),"N/A")</f>
        <v>8602000</v>
      </c>
      <c r="R76" s="424"/>
      <c r="S76" s="423" cm="1">
        <f t="array" ref="S76">IF(B76&gt;0,'Allocation OH and Target 2026'!$E$31,"N/A")</f>
        <v>3100447.15769812</v>
      </c>
      <c r="T76" s="423" cm="1">
        <f t="array" ref="T76">IF(B76&gt;0,VLOOKUP(C71,'Allocation OH and Target 2026'!$C$35:$S$87,16,0),"N/A")</f>
        <v>0</v>
      </c>
      <c r="U76" s="423" cm="1">
        <f t="array" ref="U76">_xlfn.IFERROR((S76+T76),"N/A")</f>
        <v>3100447.15769812</v>
      </c>
      <c r="V76" s="424"/>
      <c r="W76" s="423" cm="1">
        <f t="array" ref="W76">_xlfn.IFERROR(U76+Q76,"N/A")</f>
        <v>11702447.1576981</v>
      </c>
      <c r="X76" s="423" cm="1">
        <f t="array" ref="X76">_xlfn.IFERROR(W76*0.5%,"N/A")</f>
        <v>58512.2357884905</v>
      </c>
      <c r="Y76" s="423" cm="1">
        <f t="array" ref="Y76">_xlfn.IFERROR(W76*25%,"N/A")</f>
        <v>2925611.78942453</v>
      </c>
      <c r="Z76" s="425" cm="1">
        <f t="array" ref="Z76">IF(B76&gt;0,SUM(W76:Y76),"N/A")</f>
        <v>14686571.1829111</v>
      </c>
      <c r="AA76" s="425" cm="1">
        <f t="array" ref="AA76">_xlfn.IFERROR((Z76-Z75),"N/A")</f>
        <v>195780</v>
      </c>
      <c r="AB76" s="424"/>
      <c r="AC76" t="str" s="426" cm="1">
        <f t="array" ref="AC76">IF(B76=6,AVERAGE(Z74:Z79),"N/A")</f>
        <v>N/A</v>
      </c>
      <c r="AD76" s="424"/>
      <c r="AE76" s="423"/>
      <c r="AF76" s="423"/>
      <c r="AG76" s="423"/>
      <c r="AH76" s="423"/>
      <c r="AI76" s="423"/>
      <c r="AJ76" s="423"/>
      <c r="AK76" s="423"/>
      <c r="AL76" s="423"/>
      <c r="AM76" s="423"/>
      <c r="AN76" s="427"/>
    </row>
    <row r="77" ht="15" customHeight="1">
      <c r="A77" s="12"/>
      <c r="B77" s="428" cm="1">
        <f t="array" ref="B77">IF(B76=0,0,IF(B76&lt;VLOOKUP(C71,'Boats Data Sheet 2026'!$C$3:$H$57,6,0),B76+1,0))</f>
        <v>4</v>
      </c>
      <c r="C77" s="423" cm="1">
        <f t="array" ref="C77">IF(B77&gt;0,IF(VLOOKUP(C71,'Boats Data Sheet 2026'!$C$3:$J$57,8,0)="N/A",0,VLOOKUP(C71,'Boats Data Sheet 2026'!$C$3:$J$57,8,0)),"N/A")</f>
        <v>6675000</v>
      </c>
      <c r="D77" s="429" cm="1">
        <f t="array" ref="D77">IF(B77&gt;7,2,IF(B77=0,"N/A",1))</f>
        <v>1</v>
      </c>
      <c r="E77" s="423" cm="1">
        <f t="array" ref="E77">_xlfn.IFERROR(SUM('Direct Costs 2026'!$C$4:$C$5)*D77,"N/A")</f>
        <v>875500</v>
      </c>
      <c r="F77" s="423" cm="1">
        <f t="array" ref="F77">_xlfn.IFERROR('Direct Costs 2026'!$C$43*B77,"N/A")</f>
        <v>24000</v>
      </c>
      <c r="G77" s="423" cm="1">
        <f t="array" ref="G77">IF(B77&gt;0,'Direct Costs 2026'!$C$25,"N/A")</f>
        <v>90000</v>
      </c>
      <c r="H77" s="423" cm="1">
        <f t="array" ref="H77">IF(B77&gt;0,'Direct Costs 2026'!$C$22,"N/A")</f>
        <v>200000</v>
      </c>
      <c r="I77" s="423">
        <v>0</v>
      </c>
      <c r="J77" s="423">
        <v>0</v>
      </c>
      <c r="K77" s="423" cm="1">
        <f t="array" ref="K77">IF(B77&gt;0,'Direct Costs 2026'!$C$26,"N/A")</f>
        <v>20000</v>
      </c>
      <c r="L77" s="423" cm="1">
        <f t="array" ref="L77">IF(B77&gt;0,'Direct Costs 2026'!$C$23,"N/A")</f>
        <v>140000</v>
      </c>
      <c r="M77" s="423" cm="1">
        <f t="array" ref="M77">IF(B77&gt;0,'Direct Costs 2026'!$C$45*B77,"N/A")</f>
        <v>600000</v>
      </c>
      <c r="N77" t="str" s="431" cm="1">
        <f t="array" ref="N77">IF(B77&gt;0,_xlfn.IFERROR(VLOOKUP(C71,'Boats Data Sheet 2026'!$C$3:$I$57,7,0)*'Direct Costs 2026'!$C$36,"N/A"),"N/A")</f>
        <v>N/A</v>
      </c>
      <c r="O77" t="str" s="431" cm="1">
        <f t="array" ref="O77">IF(B77&gt;0,IF(OR(VLOOKUP(C71,'Boats Data Sheet 2026'!$C$3:$F$57,4,0)="Own",VLOOKUP(C71,'Boats Data Sheet 2026'!$C$3:$F$57,4,0)="Management"),('Direct Costs 2026'!$C$37+'Direct Costs 2026'!$C$39),"N/A"),"N/A")</f>
        <v>N/A</v>
      </c>
      <c r="P77" s="423" cm="1">
        <f t="array" ref="P77">_xlfn.IFERROR('Direct Costs 2026'!$C$27*C77,"N/A")</f>
        <v>133500</v>
      </c>
      <c r="Q77" s="423" cm="1">
        <f t="array" ref="Q77">_xlfn.IFERROR(C77+SUM(E77:P77),"N/A")</f>
        <v>8758000</v>
      </c>
      <c r="R77" s="424"/>
      <c r="S77" s="423" cm="1">
        <f t="array" ref="S77">IF(B77&gt;0,'Allocation OH and Target 2026'!$E$31,"N/A")</f>
        <v>3100447.15769812</v>
      </c>
      <c r="T77" s="423" cm="1">
        <f t="array" ref="T77">IF(B77&gt;0,VLOOKUP(C71,'Allocation OH and Target 2026'!$C$35:$S$87,16,0),"N/A")</f>
        <v>0</v>
      </c>
      <c r="U77" s="423" cm="1">
        <f t="array" ref="U77">_xlfn.IFERROR((S77+T77),"N/A")</f>
        <v>3100447.15769812</v>
      </c>
      <c r="V77" s="424"/>
      <c r="W77" s="423" cm="1">
        <f t="array" ref="W77">_xlfn.IFERROR(U77+Q77,"N/A")</f>
        <v>11858447.1576981</v>
      </c>
      <c r="X77" s="423" cm="1">
        <f t="array" ref="X77">_xlfn.IFERROR(W77*0.5%,"N/A")</f>
        <v>59292.2357884905</v>
      </c>
      <c r="Y77" s="423" cm="1">
        <f t="array" ref="Y77">_xlfn.IFERROR(W77*25%,"N/A")</f>
        <v>2964611.78942453</v>
      </c>
      <c r="Z77" s="425" cm="1">
        <f t="array" ref="Z77">IF(B77&gt;0,SUM(W77:Y77),"N/A")</f>
        <v>14882351.1829111</v>
      </c>
      <c r="AA77" s="425" cm="1">
        <f t="array" ref="AA77">_xlfn.IFERROR((Z77-Z76),"N/A")</f>
        <v>195780</v>
      </c>
      <c r="AB77" s="424"/>
      <c r="AC77" t="str" s="426" cm="1">
        <f t="array" ref="AC77">IF(B77=6,AVERAGE(Z74:Z79),"N/A")</f>
        <v>N/A</v>
      </c>
      <c r="AD77" s="424"/>
      <c r="AE77" s="423"/>
      <c r="AF77" s="423"/>
      <c r="AG77" s="423"/>
      <c r="AH77" s="423"/>
      <c r="AI77" s="423"/>
      <c r="AJ77" s="423"/>
      <c r="AK77" s="423"/>
      <c r="AL77" s="423"/>
      <c r="AM77" s="423"/>
      <c r="AN77" s="427"/>
    </row>
    <row r="78" ht="15" customHeight="1">
      <c r="A78" s="12"/>
      <c r="B78" s="428" cm="1">
        <f t="array" ref="B78">IF(B77=0,0,IF(B77&lt;VLOOKUP(C71,'Boats Data Sheet 2026'!$C$3:$H$57,6,0),B77+1,0))</f>
        <v>5</v>
      </c>
      <c r="C78" s="423" cm="1">
        <f t="array" ref="C78">IF(B78&gt;0,IF(VLOOKUP(C71,'Boats Data Sheet 2026'!$C$3:$J$57,8,0)="N/A",0,VLOOKUP(C71,'Boats Data Sheet 2026'!$C$3:$J$57,8,0)),"N/A")</f>
        <v>6675000</v>
      </c>
      <c r="D78" s="429" cm="1">
        <f t="array" ref="D78">IF(B78&gt;7,2,IF(B78=0,"N/A",1))</f>
        <v>1</v>
      </c>
      <c r="E78" s="423" cm="1">
        <f t="array" ref="E78">_xlfn.IFERROR(SUM('Direct Costs 2026'!$C$4:$C$5)*D78,"N/A")</f>
        <v>875500</v>
      </c>
      <c r="F78" s="423" cm="1">
        <f t="array" ref="F78">_xlfn.IFERROR('Direct Costs 2026'!$C$43*B78,"N/A")</f>
        <v>30000</v>
      </c>
      <c r="G78" s="423" cm="1">
        <f t="array" ref="G78">IF(B78&gt;0,'Direct Costs 2026'!$C$25,"N/A")</f>
        <v>90000</v>
      </c>
      <c r="H78" s="423" cm="1">
        <f t="array" ref="H78">IF(B78&gt;0,'Direct Costs 2026'!$C$22,"N/A")</f>
        <v>200000</v>
      </c>
      <c r="I78" s="423">
        <v>0</v>
      </c>
      <c r="J78" s="423">
        <v>0</v>
      </c>
      <c r="K78" s="423" cm="1">
        <f t="array" ref="K78">IF(B78&gt;0,'Direct Costs 2026'!$C$26,"N/A")</f>
        <v>20000</v>
      </c>
      <c r="L78" s="423" cm="1">
        <f t="array" ref="L78">IF(B78&gt;0,'Direct Costs 2026'!$C$23,"N/A")</f>
        <v>140000</v>
      </c>
      <c r="M78" s="423" cm="1">
        <f t="array" ref="M78">IF(B78&gt;0,'Direct Costs 2026'!$C$45*B78,"N/A")</f>
        <v>750000</v>
      </c>
      <c r="N78" t="str" s="431" cm="1">
        <f t="array" ref="N78">IF(B78&gt;0,_xlfn.IFERROR(VLOOKUP(C71,'Boats Data Sheet 2026'!$C$3:$I$57,7,0)*'Direct Costs 2026'!$C$36,"N/A"),"N/A")</f>
        <v>N/A</v>
      </c>
      <c r="O78" t="str" s="431" cm="1">
        <f t="array" ref="O78">IF(B78&gt;0,IF(OR(VLOOKUP(C71,'Boats Data Sheet 2026'!$C$3:$F$57,4,0)="Own",VLOOKUP(C71,'Boats Data Sheet 2026'!$C$3:$F$57,4,0)="Management"),('Direct Costs 2026'!$C$37+'Direct Costs 2026'!$C$39),"N/A"),"N/A")</f>
        <v>N/A</v>
      </c>
      <c r="P78" s="423" cm="1">
        <f t="array" ref="P78">_xlfn.IFERROR('Direct Costs 2026'!$C$27*C78,"N/A")</f>
        <v>133500</v>
      </c>
      <c r="Q78" s="423" cm="1">
        <f t="array" ref="Q78">_xlfn.IFERROR(C78+SUM(E78:P78),"N/A")</f>
        <v>8914000</v>
      </c>
      <c r="R78" s="424"/>
      <c r="S78" s="423" cm="1">
        <f t="array" ref="S78">IF(B78&gt;0,'Allocation OH and Target 2026'!$E$31,"N/A")</f>
        <v>3100447.15769812</v>
      </c>
      <c r="T78" s="423" cm="1">
        <f t="array" ref="T78">IF(B78&gt;0,VLOOKUP(C71,'Allocation OH and Target 2026'!$C$35:$S$87,16,0),"N/A")</f>
        <v>0</v>
      </c>
      <c r="U78" s="423" cm="1">
        <f t="array" ref="U78">_xlfn.IFERROR((S78+T78),"N/A")</f>
        <v>3100447.15769812</v>
      </c>
      <c r="V78" s="424"/>
      <c r="W78" s="423" cm="1">
        <f t="array" ref="W78">_xlfn.IFERROR(U78+Q78,"N/A")</f>
        <v>12014447.1576981</v>
      </c>
      <c r="X78" s="423" cm="1">
        <f t="array" ref="X78">_xlfn.IFERROR(W78*0.5%,"N/A")</f>
        <v>60072.2357884905</v>
      </c>
      <c r="Y78" s="423" cm="1">
        <f t="array" ref="Y78">_xlfn.IFERROR(W78*25%,"N/A")</f>
        <v>3003611.78942453</v>
      </c>
      <c r="Z78" s="425" cm="1">
        <f t="array" ref="Z78">IF(B78&gt;0,SUM(W78:Y78),"N/A")</f>
        <v>15078131.1829111</v>
      </c>
      <c r="AA78" s="425" cm="1">
        <f t="array" ref="AA78">_xlfn.IFERROR((Z78-Z77),"N/A")</f>
        <v>195780</v>
      </c>
      <c r="AB78" s="424"/>
      <c r="AC78" t="str" s="426" cm="1">
        <f t="array" ref="AC78">IF(B78=6,AVERAGE(Z74:Z79),"N/A")</f>
        <v>N/A</v>
      </c>
      <c r="AD78" s="424"/>
      <c r="AE78" s="423"/>
      <c r="AF78" s="423"/>
      <c r="AG78" s="423"/>
      <c r="AH78" s="423"/>
      <c r="AI78" s="423"/>
      <c r="AJ78" s="423"/>
      <c r="AK78" s="423"/>
      <c r="AL78" s="423"/>
      <c r="AM78" s="423"/>
      <c r="AN78" s="427"/>
    </row>
    <row r="79" ht="15" customHeight="1">
      <c r="A79" s="12"/>
      <c r="B79" s="428" cm="1">
        <f t="array" ref="B79">IF(B78=0,0,IF(B78&lt;VLOOKUP(C71,'Boats Data Sheet 2026'!$C$3:$H$57,6,0),B78+1,0))</f>
        <v>6</v>
      </c>
      <c r="C79" s="423" cm="1">
        <f t="array" ref="C79">IF(B79&gt;0,IF(VLOOKUP(C71,'Boats Data Sheet 2026'!$C$3:$J$57,8,0)="N/A",0,VLOOKUP(C71,'Boats Data Sheet 2026'!$C$3:$J$57,8,0)),"N/A")</f>
        <v>6675000</v>
      </c>
      <c r="D79" s="429" cm="1">
        <f t="array" ref="D79">IF(B79&gt;7,2,IF(B79=0,"N/A",1))</f>
        <v>1</v>
      </c>
      <c r="E79" s="423" cm="1">
        <f t="array" ref="E79">_xlfn.IFERROR(SUM('Direct Costs 2026'!$C$4:$C$5)*D79,"N/A")</f>
        <v>875500</v>
      </c>
      <c r="F79" s="423" cm="1">
        <f t="array" ref="F79">_xlfn.IFERROR('Direct Costs 2026'!$C$43*B79,"N/A")</f>
        <v>36000</v>
      </c>
      <c r="G79" s="423" cm="1">
        <f t="array" ref="G79">IF(B79&gt;0,'Direct Costs 2026'!$C$25,"N/A")</f>
        <v>90000</v>
      </c>
      <c r="H79" s="423" cm="1">
        <f t="array" ref="H79">IF(B79&gt;0,'Direct Costs 2026'!$C$22,"N/A")</f>
        <v>200000</v>
      </c>
      <c r="I79" s="423">
        <v>0</v>
      </c>
      <c r="J79" s="423">
        <v>0</v>
      </c>
      <c r="K79" s="423" cm="1">
        <f t="array" ref="K79">IF(B79&gt;0,'Direct Costs 2026'!$C$26,"N/A")</f>
        <v>20000</v>
      </c>
      <c r="L79" s="423" cm="1">
        <f t="array" ref="L79">IF(B79&gt;0,'Direct Costs 2026'!$C$23,"N/A")</f>
        <v>140000</v>
      </c>
      <c r="M79" s="423" cm="1">
        <f t="array" ref="M79">IF(B79&gt;0,'Direct Costs 2026'!$C$45*B79,"N/A")</f>
        <v>900000</v>
      </c>
      <c r="N79" t="str" s="431" cm="1">
        <f t="array" ref="N79">IF(B79&gt;0,_xlfn.IFERROR(VLOOKUP(C71,'Boats Data Sheet 2026'!$C$3:$I$57,7,0)*'Direct Costs 2026'!$C$36,"N/A"),"N/A")</f>
        <v>N/A</v>
      </c>
      <c r="O79" t="str" s="431" cm="1">
        <f t="array" ref="O79">IF(B79&gt;0,IF(OR(VLOOKUP(C71,'Boats Data Sheet 2026'!$C$3:$F$57,4,0)="Own",VLOOKUP(C71,'Boats Data Sheet 2026'!$C$3:$F$57,4,0)="Management"),('Direct Costs 2026'!$C$37+'Direct Costs 2026'!$C$39),"N/A"),"N/A")</f>
        <v>N/A</v>
      </c>
      <c r="P79" s="423" cm="1">
        <f t="array" ref="P79">_xlfn.IFERROR('Direct Costs 2026'!$C$27*C79,"N/A")</f>
        <v>133500</v>
      </c>
      <c r="Q79" s="423" cm="1">
        <f t="array" ref="Q79">_xlfn.IFERROR(C79+SUM(E79:P79),"N/A")</f>
        <v>9070000</v>
      </c>
      <c r="R79" s="424"/>
      <c r="S79" s="423" cm="1">
        <f t="array" ref="S79">IF(B79&gt;0,'Allocation OH and Target 2026'!$E$31,"N/A")</f>
        <v>3100447.15769812</v>
      </c>
      <c r="T79" s="423" cm="1">
        <f t="array" ref="T79">IF(B79&gt;0,VLOOKUP(C71,'Allocation OH and Target 2026'!$C$35:$S$87,16,0),"N/A")</f>
        <v>0</v>
      </c>
      <c r="U79" s="423" cm="1">
        <f t="array" ref="U79">_xlfn.IFERROR((S79+T79),"N/A")</f>
        <v>3100447.15769812</v>
      </c>
      <c r="V79" s="424"/>
      <c r="W79" s="423" cm="1">
        <f t="array" ref="W79">_xlfn.IFERROR(U79+Q79,"N/A")</f>
        <v>12170447.1576981</v>
      </c>
      <c r="X79" s="423" cm="1">
        <f t="array" ref="X79">_xlfn.IFERROR(W79*0.5%,"N/A")</f>
        <v>60852.2357884905</v>
      </c>
      <c r="Y79" s="423" cm="1">
        <f t="array" ref="Y79">_xlfn.IFERROR(W79*25%,"N/A")</f>
        <v>3042611.78942453</v>
      </c>
      <c r="Z79" s="425" cm="1">
        <f t="array" ref="Z79">IF(B79&gt;0,SUM(W79:Y79),"N/A")</f>
        <v>15273911.1829111</v>
      </c>
      <c r="AA79" s="425" cm="1">
        <f t="array" ref="AA79">_xlfn.IFERROR((Z79-Z78),"N/A")</f>
        <v>195780</v>
      </c>
      <c r="AB79" s="424"/>
      <c r="AC79" s="425" cm="1">
        <f t="array" ref="AC79">IF(B79=6,AVERAGE(Z74:Z79),"N/A")</f>
        <v>14784461.1829111</v>
      </c>
      <c r="AD79" s="424"/>
      <c r="AE79" s="423"/>
      <c r="AF79" s="423"/>
      <c r="AG79" s="423"/>
      <c r="AH79" s="423"/>
      <c r="AI79" s="423"/>
      <c r="AJ79" s="423"/>
      <c r="AK79" s="423"/>
      <c r="AL79" s="423"/>
      <c r="AM79" s="423"/>
      <c r="AN79" s="427"/>
    </row>
    <row r="80" ht="15" customHeight="1">
      <c r="A80" s="12"/>
      <c r="B80" s="428" cm="1">
        <f t="array" ref="B80">IF(B79=0,0,IF(B79&lt;VLOOKUP(C71,'Boats Data Sheet 2026'!$C$3:$H$57,6,0),B79+1,0))</f>
        <v>7</v>
      </c>
      <c r="C80" s="423" cm="1">
        <f t="array" ref="C80">IF(B80&gt;0,IF(VLOOKUP(C71,'Boats Data Sheet 2026'!$C$3:$J$57,8,0)="N/A",0,VLOOKUP(C71,'Boats Data Sheet 2026'!$C$3:$J$57,8,0)),"N/A")</f>
        <v>6675000</v>
      </c>
      <c r="D80" s="429" cm="1">
        <f t="array" ref="D80">IF(B80&gt;7,2,IF(B80=0,"N/A",1))</f>
        <v>1</v>
      </c>
      <c r="E80" s="423" cm="1">
        <f t="array" ref="E80">_xlfn.IFERROR(SUM('Direct Costs 2026'!$C$4:$C$5)*D80,"N/A")</f>
        <v>875500</v>
      </c>
      <c r="F80" s="423" cm="1">
        <f t="array" ref="F80">_xlfn.IFERROR('Direct Costs 2026'!$C$43*B80,"N/A")</f>
        <v>42000</v>
      </c>
      <c r="G80" s="423" cm="1">
        <f t="array" ref="G80">IF(B80&gt;0,'Direct Costs 2026'!$C$25,"N/A")</f>
        <v>90000</v>
      </c>
      <c r="H80" s="423" cm="1">
        <f t="array" ref="H80">IF(B80&gt;0,'Direct Costs 2026'!$C$22,"N/A")</f>
        <v>200000</v>
      </c>
      <c r="I80" s="423">
        <v>0</v>
      </c>
      <c r="J80" s="423">
        <v>0</v>
      </c>
      <c r="K80" s="423" cm="1">
        <f t="array" ref="K80">IF(B80&gt;0,'Direct Costs 2026'!$C$26,"N/A")</f>
        <v>20000</v>
      </c>
      <c r="L80" s="423" cm="1">
        <f t="array" ref="L80">IF(B80&gt;0,'Direct Costs 2026'!$C$23,"N/A")</f>
        <v>140000</v>
      </c>
      <c r="M80" s="423" cm="1">
        <f t="array" ref="M80">IF(B80&gt;0,'Direct Costs 2026'!$C$45*B80,"N/A")</f>
        <v>1050000</v>
      </c>
      <c r="N80" t="str" s="431" cm="1">
        <f t="array" ref="N80">IF(B80&gt;0,_xlfn.IFERROR(VLOOKUP(C71,'Boats Data Sheet 2026'!$C$3:$I$57,7,0)*'Direct Costs 2026'!$C$36,"N/A"),"N/A")</f>
        <v>N/A</v>
      </c>
      <c r="O80" t="str" s="431" cm="1">
        <f t="array" ref="O80">IF(B80&gt;0,IF(OR(VLOOKUP(C71,'Boats Data Sheet 2026'!$C$3:$F$57,4,0)="Own",VLOOKUP(C71,'Boats Data Sheet 2026'!$C$3:$F$57,4,0)="Management"),('Direct Costs 2026'!$C$37+'Direct Costs 2026'!$C$39),"N/A"),"N/A")</f>
        <v>N/A</v>
      </c>
      <c r="P80" s="423" cm="1">
        <f t="array" ref="P80">_xlfn.IFERROR('Direct Costs 2026'!$C$27*C80,"N/A")</f>
        <v>133500</v>
      </c>
      <c r="Q80" s="423" cm="1">
        <f t="array" ref="Q80">_xlfn.IFERROR(C80+SUM(E80:P80),"N/A")</f>
        <v>9226000</v>
      </c>
      <c r="R80" s="424"/>
      <c r="S80" s="423" cm="1">
        <f t="array" ref="S80">IF(B80&gt;0,'Allocation OH and Target 2026'!$E$31,"N/A")</f>
        <v>3100447.15769812</v>
      </c>
      <c r="T80" s="423" cm="1">
        <f t="array" ref="T80">IF(B80&gt;0,VLOOKUP(C71,'Allocation OH and Target 2026'!$C$35:$S$87,16,0),"N/A")</f>
        <v>0</v>
      </c>
      <c r="U80" s="423" cm="1">
        <f t="array" ref="U80">_xlfn.IFERROR((S80+T80),"N/A")</f>
        <v>3100447.15769812</v>
      </c>
      <c r="V80" s="424"/>
      <c r="W80" s="423" cm="1">
        <f t="array" ref="W80">_xlfn.IFERROR(U80+Q80,"N/A")</f>
        <v>12326447.1576981</v>
      </c>
      <c r="X80" s="423" cm="1">
        <f t="array" ref="X80">_xlfn.IFERROR(W80*0.5%,"N/A")</f>
        <v>61632.2357884905</v>
      </c>
      <c r="Y80" s="423" cm="1">
        <f t="array" ref="Y80">_xlfn.IFERROR(W80*25%,"N/A")</f>
        <v>3081611.78942453</v>
      </c>
      <c r="Z80" s="425" cm="1">
        <f t="array" ref="Z80">IF(B80&gt;0,SUM(W80:Y80),"N/A")</f>
        <v>15469691.1829111</v>
      </c>
      <c r="AA80" s="425" cm="1">
        <f t="array" ref="AA80">_xlfn.IFERROR((Z80-Z79),"N/A")</f>
        <v>195780</v>
      </c>
      <c r="AB80" s="424"/>
      <c r="AC80" t="str" s="426" cm="1">
        <f t="array" ref="AC80">IF(B80=6,AVERAGE(Z74:Z79),"N/A")</f>
        <v>N/A</v>
      </c>
      <c r="AD80" s="424"/>
      <c r="AE80" s="423"/>
      <c r="AF80" s="423"/>
      <c r="AG80" s="423"/>
      <c r="AH80" s="423"/>
      <c r="AI80" s="423"/>
      <c r="AJ80" s="423"/>
      <c r="AK80" s="423"/>
      <c r="AL80" s="423"/>
      <c r="AM80" s="423"/>
      <c r="AN80" s="427"/>
    </row>
    <row r="81" ht="15" customHeight="1">
      <c r="A81" s="12"/>
      <c r="B81" s="428" cm="1">
        <f t="array" ref="B81">IF(B80=0,0,IF(B80&lt;VLOOKUP(C71,'Boats Data Sheet 2026'!$C$3:$H$57,6,0),B80+1,0))</f>
        <v>8</v>
      </c>
      <c r="C81" s="423" cm="1">
        <f t="array" ref="C81">IF(B81&gt;0,IF(VLOOKUP(C71,'Boats Data Sheet 2026'!$C$3:$J$57,8,0)="N/A",0,VLOOKUP(C71,'Boats Data Sheet 2026'!$C$3:$J$57,8,0)),"N/A")</f>
        <v>6675000</v>
      </c>
      <c r="D81" s="429" cm="1">
        <f t="array" ref="D81">IF(B81&gt;7,2,IF(B81=0,"N/A",1))</f>
        <v>2</v>
      </c>
      <c r="E81" s="423" cm="1">
        <f t="array" ref="E81">_xlfn.IFERROR(SUM('Direct Costs 2026'!$C$4:$C$5)*D81,"N/A")</f>
        <v>1751000</v>
      </c>
      <c r="F81" s="423" cm="1">
        <f t="array" ref="F81">_xlfn.IFERROR('Direct Costs 2026'!$C$43*B81,"N/A")</f>
        <v>48000</v>
      </c>
      <c r="G81" s="423" cm="1">
        <f t="array" ref="G81">IF(B81&gt;0,'Direct Costs 2026'!$C$25,"N/A")</f>
        <v>90000</v>
      </c>
      <c r="H81" s="423" cm="1">
        <f t="array" ref="H81">IF(B81&gt;0,'Direct Costs 2026'!$C$22,"N/A")</f>
        <v>200000</v>
      </c>
      <c r="I81" s="423">
        <v>0</v>
      </c>
      <c r="J81" s="423">
        <v>0</v>
      </c>
      <c r="K81" s="423" cm="1">
        <f t="array" ref="K81">IF(B81&gt;0,'Direct Costs 2026'!$C$26,"N/A")</f>
        <v>20000</v>
      </c>
      <c r="L81" s="423" cm="1">
        <f t="array" ref="L81">IF(B81&gt;0,'Direct Costs 2026'!$C$23,"N/A")</f>
        <v>140000</v>
      </c>
      <c r="M81" s="423" cm="1">
        <f t="array" ref="M81">IF(B81&gt;0,'Direct Costs 2026'!$C$45*B81,"N/A")</f>
        <v>1200000</v>
      </c>
      <c r="N81" t="str" s="431" cm="1">
        <f t="array" ref="N81">IF(B81&gt;0,_xlfn.IFERROR(VLOOKUP(C71,'Boats Data Sheet 2026'!$C$3:$I$57,7,0)*'Direct Costs 2026'!$C$36,"N/A"),"N/A")</f>
        <v>N/A</v>
      </c>
      <c r="O81" t="str" s="431" cm="1">
        <f t="array" ref="O81">IF(B81&gt;0,IF(OR(VLOOKUP(C71,'Boats Data Sheet 2026'!$C$3:$F$57,4,0)="Own",VLOOKUP(C71,'Boats Data Sheet 2026'!$C$3:$F$57,4,0)="Management"),('Direct Costs 2026'!$C$37+'Direct Costs 2026'!$C$39),"N/A"),"N/A")</f>
        <v>N/A</v>
      </c>
      <c r="P81" s="423" cm="1">
        <f t="array" ref="P81">_xlfn.IFERROR('Direct Costs 2026'!$C$27*C81,"N/A")</f>
        <v>133500</v>
      </c>
      <c r="Q81" s="423" cm="1">
        <f t="array" ref="Q81">_xlfn.IFERROR(C81+SUM(E81:P81),"N/A")</f>
        <v>10257500</v>
      </c>
      <c r="R81" s="424"/>
      <c r="S81" s="423" cm="1">
        <f t="array" ref="S81">IF(B81&gt;0,'Allocation OH and Target 2026'!$E$31,"N/A")</f>
        <v>3100447.15769812</v>
      </c>
      <c r="T81" s="423" cm="1">
        <f t="array" ref="T81">IF(B81&gt;0,VLOOKUP(C71,'Allocation OH and Target 2026'!$C$35:$S$87,16,0),"N/A")</f>
        <v>0</v>
      </c>
      <c r="U81" s="423" cm="1">
        <f t="array" ref="U81">_xlfn.IFERROR((S81+T81),"N/A")</f>
        <v>3100447.15769812</v>
      </c>
      <c r="V81" s="424"/>
      <c r="W81" s="423" cm="1">
        <f t="array" ref="W81">_xlfn.IFERROR(U81+Q81,"N/A")</f>
        <v>13357947.1576981</v>
      </c>
      <c r="X81" s="423" cm="1">
        <f t="array" ref="X81">_xlfn.IFERROR(W81*0.5%,"N/A")</f>
        <v>66789.735788490507</v>
      </c>
      <c r="Y81" s="423" cm="1">
        <f t="array" ref="Y81">_xlfn.IFERROR(W81*25%,"N/A")</f>
        <v>3339486.78942453</v>
      </c>
      <c r="Z81" s="425" cm="1">
        <f t="array" ref="Z81">IF(B81&gt;0,SUM(W81:Y81),"N/A")</f>
        <v>16764223.6829111</v>
      </c>
      <c r="AA81" s="425" cm="1">
        <f t="array" ref="AA81">_xlfn.IFERROR((Z81-Z80),"N/A")</f>
        <v>1294532.5</v>
      </c>
      <c r="AB81" s="424"/>
      <c r="AC81" t="str" s="426" cm="1">
        <f t="array" ref="AC81">IF(B81=6,AVERAGE(Z74:Z79),"N/A")</f>
        <v>N/A</v>
      </c>
      <c r="AD81" s="424"/>
      <c r="AE81" s="423"/>
      <c r="AF81" s="423"/>
      <c r="AG81" s="423"/>
      <c r="AH81" s="423"/>
      <c r="AI81" s="423"/>
      <c r="AJ81" s="423"/>
      <c r="AK81" s="423"/>
      <c r="AL81" s="423"/>
      <c r="AM81" s="423"/>
      <c r="AN81" s="427"/>
    </row>
    <row r="82" ht="15" customHeight="1">
      <c r="A82" s="12"/>
      <c r="B82" s="428" cm="1">
        <f t="array" ref="B82">IF(B81=0,0,IF(B81&lt;VLOOKUP(C71,'Boats Data Sheet 2026'!$C$3:$H$57,6,0),B81+1,0))</f>
        <v>9</v>
      </c>
      <c r="C82" s="423" cm="1">
        <f t="array" ref="C82">IF(B82&gt;0,IF(VLOOKUP(C71,'Boats Data Sheet 2026'!$C$3:$J$57,8,0)="N/A",0,VLOOKUP(C71,'Boats Data Sheet 2026'!$C$3:$J$57,8,0)),"N/A")</f>
        <v>6675000</v>
      </c>
      <c r="D82" s="429" cm="1">
        <f t="array" ref="D82">IF(B82&gt;7,2,IF(B82=0,"N/A",1))</f>
        <v>2</v>
      </c>
      <c r="E82" s="423" cm="1">
        <f t="array" ref="E82">_xlfn.IFERROR(SUM('Direct Costs 2026'!$C$4:$C$5)*D82,"N/A")</f>
        <v>1751000</v>
      </c>
      <c r="F82" s="423" cm="1">
        <f t="array" ref="F82">_xlfn.IFERROR('Direct Costs 2026'!$C$43*B82,"N/A")</f>
        <v>54000</v>
      </c>
      <c r="G82" s="423" cm="1">
        <f t="array" ref="G82">IF(B82&gt;0,'Direct Costs 2026'!$C$25,"N/A")</f>
        <v>90000</v>
      </c>
      <c r="H82" s="423" cm="1">
        <f t="array" ref="H82">IF(B82&gt;0,'Direct Costs 2026'!$C$22,"N/A")</f>
        <v>200000</v>
      </c>
      <c r="I82" s="423">
        <v>0</v>
      </c>
      <c r="J82" s="423">
        <v>0</v>
      </c>
      <c r="K82" s="423" cm="1">
        <f t="array" ref="K82">IF(B82&gt;0,'Direct Costs 2026'!$C$26,"N/A")</f>
        <v>20000</v>
      </c>
      <c r="L82" s="423" cm="1">
        <f t="array" ref="L82">IF(B82&gt;0,'Direct Costs 2026'!$C$23,"N/A")</f>
        <v>140000</v>
      </c>
      <c r="M82" s="423" cm="1">
        <f t="array" ref="M82">IF(B82&gt;0,'Direct Costs 2026'!$C$45*B82,"N/A")</f>
        <v>1350000</v>
      </c>
      <c r="N82" t="str" s="431" cm="1">
        <f t="array" ref="N82">IF(B82&gt;0,_xlfn.IFERROR(VLOOKUP(C71,'Boats Data Sheet 2026'!$C$3:$I$57,7,0)*'Direct Costs 2026'!$C$36,"N/A"),"N/A")</f>
        <v>N/A</v>
      </c>
      <c r="O82" t="str" s="431" cm="1">
        <f t="array" ref="O82">IF(B82&gt;0,IF(OR(VLOOKUP(C71,'Boats Data Sheet 2026'!$C$3:$F$57,4,0)="Own",VLOOKUP(C71,'Boats Data Sheet 2026'!$C$3:$F$57,4,0)="Management"),('Direct Costs 2026'!$C$37+'Direct Costs 2026'!$C$39),"N/A"),"N/A")</f>
        <v>N/A</v>
      </c>
      <c r="P82" s="423" cm="1">
        <f t="array" ref="P82">_xlfn.IFERROR('Direct Costs 2026'!$C$27*C82,"N/A")</f>
        <v>133500</v>
      </c>
      <c r="Q82" s="423" cm="1">
        <f t="array" ref="Q82">_xlfn.IFERROR(C82+SUM(E82:P82),"N/A")</f>
        <v>10413500</v>
      </c>
      <c r="R82" s="424"/>
      <c r="S82" s="423" cm="1">
        <f t="array" ref="S82">IF(B82&gt;0,'Allocation OH and Target 2026'!$E$31,"N/A")</f>
        <v>3100447.15769812</v>
      </c>
      <c r="T82" s="423" cm="1">
        <f t="array" ref="T82">IF(B82&gt;0,VLOOKUP(C71,'Allocation OH and Target 2026'!$C$35:$S$87,16,0),"N/A")</f>
        <v>0</v>
      </c>
      <c r="U82" s="423" cm="1">
        <f t="array" ref="U82">_xlfn.IFERROR((S82+T82),"N/A")</f>
        <v>3100447.15769812</v>
      </c>
      <c r="V82" s="424"/>
      <c r="W82" s="423" cm="1">
        <f t="array" ref="W82">_xlfn.IFERROR(U82+Q82,"N/A")</f>
        <v>13513947.1576981</v>
      </c>
      <c r="X82" s="423" cm="1">
        <f t="array" ref="X82">_xlfn.IFERROR(W82*0.5%,"N/A")</f>
        <v>67569.735788490507</v>
      </c>
      <c r="Y82" s="423" cm="1">
        <f t="array" ref="Y82">_xlfn.IFERROR(W82*25%,"N/A")</f>
        <v>3378486.78942453</v>
      </c>
      <c r="Z82" s="425" cm="1">
        <f t="array" ref="Z82">IF(B82&gt;0,SUM(W82:Y82),"N/A")</f>
        <v>16960003.6829111</v>
      </c>
      <c r="AA82" s="425" cm="1">
        <f t="array" ref="AA82">_xlfn.IFERROR((Z82-Z81),"N/A")</f>
        <v>195780</v>
      </c>
      <c r="AB82" s="424"/>
      <c r="AC82" t="str" s="426" cm="1">
        <f t="array" ref="AC82">IF(B82=6,AVERAGE(Z74:Z79),"N/A")</f>
        <v>N/A</v>
      </c>
      <c r="AD82" s="424"/>
      <c r="AE82" s="423"/>
      <c r="AF82" s="423"/>
      <c r="AG82" s="423"/>
      <c r="AH82" s="423"/>
      <c r="AI82" s="423"/>
      <c r="AJ82" s="423"/>
      <c r="AK82" s="423"/>
      <c r="AL82" s="423"/>
      <c r="AM82" s="423"/>
      <c r="AN82" s="427"/>
    </row>
    <row r="83" ht="15" customHeight="1">
      <c r="A83" s="12"/>
      <c r="B83" s="428" cm="1">
        <f t="array" ref="B83">IF(B82=0,0,IF(B82&lt;VLOOKUP(C71,'Boats Data Sheet 2026'!$C$3:$H$57,6,0),B82+1,0))</f>
        <v>10</v>
      </c>
      <c r="C83" s="423" cm="1">
        <f t="array" ref="C83">IF(B83&gt;0,IF(VLOOKUP(C71,'Boats Data Sheet 2026'!$C$3:$J$57,8,0)="N/A",0,VLOOKUP(C71,'Boats Data Sheet 2026'!$C$3:$J$57,8,0)),"N/A")</f>
        <v>6675000</v>
      </c>
      <c r="D83" s="429" cm="1">
        <f t="array" ref="D83">IF(B83&gt;7,2,IF(B83=0,"N/A",1))</f>
        <v>2</v>
      </c>
      <c r="E83" s="423" cm="1">
        <f t="array" ref="E83">_xlfn.IFERROR(SUM('Direct Costs 2026'!$C$4:$C$5)*D83,"N/A")</f>
        <v>1751000</v>
      </c>
      <c r="F83" s="423" cm="1">
        <f t="array" ref="F83">_xlfn.IFERROR('Direct Costs 2026'!$C$43*B83,"N/A")</f>
        <v>60000</v>
      </c>
      <c r="G83" s="423" cm="1">
        <f t="array" ref="G83">IF(B83&gt;0,'Direct Costs 2026'!$C$25,"N/A")</f>
        <v>90000</v>
      </c>
      <c r="H83" s="423" cm="1">
        <f t="array" ref="H83">IF(B83&gt;0,'Direct Costs 2026'!$C$22,"N/A")</f>
        <v>200000</v>
      </c>
      <c r="I83" s="423">
        <v>0</v>
      </c>
      <c r="J83" s="423">
        <v>0</v>
      </c>
      <c r="K83" s="423" cm="1">
        <f t="array" ref="K83">IF(B83&gt;0,'Direct Costs 2026'!$C$26,"N/A")</f>
        <v>20000</v>
      </c>
      <c r="L83" s="423" cm="1">
        <f t="array" ref="L83">IF(B83&gt;0,'Direct Costs 2026'!$C$23,"N/A")</f>
        <v>140000</v>
      </c>
      <c r="M83" s="423" cm="1">
        <f t="array" ref="M83">IF(B83&gt;0,'Direct Costs 2026'!$C$45*B83,"N/A")</f>
        <v>1500000</v>
      </c>
      <c r="N83" t="str" s="431" cm="1">
        <f t="array" ref="N83">IF(B83&gt;0,_xlfn.IFERROR(VLOOKUP(C71,'Boats Data Sheet 2026'!$C$3:$I$57,7,0)*'Direct Costs 2026'!$C$36,"N/A"),"N/A")</f>
        <v>N/A</v>
      </c>
      <c r="O83" t="str" s="431" cm="1">
        <f t="array" ref="O83">IF(B83&gt;0,IF(OR(VLOOKUP(C71,'Boats Data Sheet 2026'!$C$3:$F$57,4,0)="Own",VLOOKUP(C71,'Boats Data Sheet 2026'!$C$3:$F$57,4,0)="Management"),('Direct Costs 2026'!$C$37+'Direct Costs 2026'!$C$39),"N/A"),"N/A")</f>
        <v>N/A</v>
      </c>
      <c r="P83" s="423" cm="1">
        <f t="array" ref="P83">_xlfn.IFERROR('Direct Costs 2026'!$C$27*C83,"N/A")</f>
        <v>133500</v>
      </c>
      <c r="Q83" s="423" cm="1">
        <f t="array" ref="Q83">_xlfn.IFERROR(C83+SUM(E83:P83),"N/A")</f>
        <v>10569500</v>
      </c>
      <c r="R83" s="424"/>
      <c r="S83" s="423" cm="1">
        <f t="array" ref="S83">IF(B83&gt;0,'Allocation OH and Target 2026'!$E$31,"N/A")</f>
        <v>3100447.15769812</v>
      </c>
      <c r="T83" s="423" cm="1">
        <f t="array" ref="T83">IF(B83&gt;0,VLOOKUP(C71,'Allocation OH and Target 2026'!$C$35:$S$87,16,0),"N/A")</f>
        <v>0</v>
      </c>
      <c r="U83" s="423" cm="1">
        <f t="array" ref="U83">_xlfn.IFERROR((S83+T83),"N/A")</f>
        <v>3100447.15769812</v>
      </c>
      <c r="V83" s="424"/>
      <c r="W83" s="423" cm="1">
        <f t="array" ref="W83">_xlfn.IFERROR(U83+Q83,"N/A")</f>
        <v>13669947.1576981</v>
      </c>
      <c r="X83" s="423" cm="1">
        <f t="array" ref="X83">_xlfn.IFERROR(W83*0.5%,"N/A")</f>
        <v>68349.735788490507</v>
      </c>
      <c r="Y83" s="423" cm="1">
        <f t="array" ref="Y83">_xlfn.IFERROR(W83*25%,"N/A")</f>
        <v>3417486.78942453</v>
      </c>
      <c r="Z83" s="425" cm="1">
        <f t="array" ref="Z83">IF(B83&gt;0,SUM(W83:Y83),"N/A")</f>
        <v>17155783.6829111</v>
      </c>
      <c r="AA83" s="425" cm="1">
        <f t="array" ref="AA83">_xlfn.IFERROR((Z83-Z82),"N/A")</f>
        <v>195780</v>
      </c>
      <c r="AB83" s="424"/>
      <c r="AC83" t="str" s="426" cm="1">
        <f t="array" ref="AC83">IF(B83=6,AVERAGE(Z74:Z79),"N/A")</f>
        <v>N/A</v>
      </c>
      <c r="AD83" s="424"/>
      <c r="AE83" s="423"/>
      <c r="AF83" s="423"/>
      <c r="AG83" s="423"/>
      <c r="AH83" s="423"/>
      <c r="AI83" s="423"/>
      <c r="AJ83" s="423"/>
      <c r="AK83" s="423"/>
      <c r="AL83" s="423"/>
      <c r="AM83" s="423"/>
      <c r="AN83" s="427"/>
    </row>
    <row r="84" ht="15" customHeight="1">
      <c r="A84" s="12"/>
      <c r="B84" s="428" cm="1">
        <f t="array" ref="B84">IF(B83=0,0,IF(B83&lt;VLOOKUP(C71,'Boats Data Sheet 2026'!$C$3:$H$57,6,0),B83+1,0))</f>
        <v>11</v>
      </c>
      <c r="C84" s="423" cm="1">
        <f t="array" ref="C84">IF(B84&gt;0,IF(VLOOKUP(C71,'Boats Data Sheet 2026'!$C$3:$J$57,8,0)="N/A",0,VLOOKUP(C71,'Boats Data Sheet 2026'!$C$3:$J$57,8,0)),"N/A")</f>
        <v>6675000</v>
      </c>
      <c r="D84" s="429" cm="1">
        <f t="array" ref="D84">IF(B84&gt;7,2,IF(B84=0,"N/A",1))</f>
        <v>2</v>
      </c>
      <c r="E84" s="423" cm="1">
        <f t="array" ref="E84">_xlfn.IFERROR(SUM('Direct Costs 2026'!$C$4:$C$5)*D84,"N/A")</f>
        <v>1751000</v>
      </c>
      <c r="F84" s="423" cm="1">
        <f t="array" ref="F84">_xlfn.IFERROR('Direct Costs 2026'!$C$43*B84,"N/A")</f>
        <v>66000</v>
      </c>
      <c r="G84" s="423" cm="1">
        <f t="array" ref="G84">IF(B84&gt;0,'Direct Costs 2026'!$C$25,"N/A")</f>
        <v>90000</v>
      </c>
      <c r="H84" s="423" cm="1">
        <f t="array" ref="H84">IF(B84&gt;0,'Direct Costs 2026'!$C$22,"N/A")</f>
        <v>200000</v>
      </c>
      <c r="I84" s="423">
        <v>0</v>
      </c>
      <c r="J84" s="423">
        <v>0</v>
      </c>
      <c r="K84" s="423" cm="1">
        <f t="array" ref="K84">IF(B84&gt;0,'Direct Costs 2026'!$C$26,"N/A")</f>
        <v>20000</v>
      </c>
      <c r="L84" s="423" cm="1">
        <f t="array" ref="L84">IF(B84&gt;0,'Direct Costs 2026'!$C$23,"N/A")</f>
        <v>140000</v>
      </c>
      <c r="M84" s="423" cm="1">
        <f t="array" ref="M84">IF(B84&gt;0,'Direct Costs 2026'!$C$45*B84,"N/A")</f>
        <v>1650000</v>
      </c>
      <c r="N84" t="str" s="431" cm="1">
        <f t="array" ref="N84">IF(B84&gt;0,_xlfn.IFERROR(VLOOKUP(C71,'Boats Data Sheet 2026'!$C$3:$I$57,7,0)*'Direct Costs 2026'!$C$36,"N/A"),"N/A")</f>
        <v>N/A</v>
      </c>
      <c r="O84" t="str" s="431" cm="1">
        <f t="array" ref="O84">IF(B84&gt;0,IF(OR(VLOOKUP(C71,'Boats Data Sheet 2026'!$C$3:$F$57,4,0)="Own",VLOOKUP(C71,'Boats Data Sheet 2026'!$C$3:$F$57,4,0)="Management"),('Direct Costs 2026'!$C$37+'Direct Costs 2026'!$C$39),"N/A"),"N/A")</f>
        <v>N/A</v>
      </c>
      <c r="P84" s="423" cm="1">
        <f t="array" ref="P84">_xlfn.IFERROR('Direct Costs 2026'!$C$27*C84,"N/A")</f>
        <v>133500</v>
      </c>
      <c r="Q84" s="423" cm="1">
        <f t="array" ref="Q84">_xlfn.IFERROR(C84+SUM(E84:P84),"N/A")</f>
        <v>10725500</v>
      </c>
      <c r="R84" s="424"/>
      <c r="S84" s="423" cm="1">
        <f t="array" ref="S84">IF(B84&gt;0,'Allocation OH and Target 2026'!$E$31,"N/A")</f>
        <v>3100447.15769812</v>
      </c>
      <c r="T84" s="423" cm="1">
        <f t="array" ref="T84">IF(B84&gt;0,VLOOKUP(C71,'Allocation OH and Target 2026'!$C$35:$S$87,16,0),"N/A")</f>
        <v>0</v>
      </c>
      <c r="U84" s="423" cm="1">
        <f t="array" ref="U84">_xlfn.IFERROR((S84+T84),"N/A")</f>
        <v>3100447.15769812</v>
      </c>
      <c r="V84" s="424"/>
      <c r="W84" s="423" cm="1">
        <f t="array" ref="W84">_xlfn.IFERROR(U84+Q84,"N/A")</f>
        <v>13825947.1576981</v>
      </c>
      <c r="X84" s="423" cm="1">
        <f t="array" ref="X84">_xlfn.IFERROR(W84*0.5%,"N/A")</f>
        <v>69129.735788490507</v>
      </c>
      <c r="Y84" s="423" cm="1">
        <f t="array" ref="Y84">_xlfn.IFERROR(W84*25%,"N/A")</f>
        <v>3456486.78942453</v>
      </c>
      <c r="Z84" s="425" cm="1">
        <f t="array" ref="Z84">IF(B84&gt;0,SUM(W84:Y84),"N/A")</f>
        <v>17351563.6829111</v>
      </c>
      <c r="AA84" s="425" cm="1">
        <f t="array" ref="AA84">_xlfn.IFERROR((Z84-Z83),"N/A")</f>
        <v>195780</v>
      </c>
      <c r="AB84" s="424"/>
      <c r="AC84" t="str" s="426" cm="1">
        <f t="array" ref="AC84">IF(B84=6,AVERAGE(Z74:Z79),"N/A")</f>
        <v>N/A</v>
      </c>
      <c r="AD84" s="424"/>
      <c r="AE84" s="423"/>
      <c r="AF84" s="423"/>
      <c r="AG84" s="423"/>
      <c r="AH84" s="423"/>
      <c r="AI84" s="423"/>
      <c r="AJ84" s="423"/>
      <c r="AK84" s="423"/>
      <c r="AL84" s="423"/>
      <c r="AM84" s="423"/>
      <c r="AN84" s="427"/>
    </row>
    <row r="85" ht="15" customHeight="1">
      <c r="A85" s="12"/>
      <c r="B85" s="428" cm="1">
        <f t="array" ref="B85">IF(B84=0,0,IF(B84&lt;VLOOKUP(C71,'Boats Data Sheet 2026'!$C$3:$H$57,6,0),B84+1,0))</f>
        <v>12</v>
      </c>
      <c r="C85" s="423" cm="1">
        <f t="array" ref="C85">IF(B85&gt;0,IF(VLOOKUP(C71,'Boats Data Sheet 2026'!$C$3:$J$57,8,0)="N/A",0,VLOOKUP(C71,'Boats Data Sheet 2026'!$C$3:$J$57,8,0)),"N/A")</f>
        <v>6675000</v>
      </c>
      <c r="D85" s="429" cm="1">
        <f t="array" ref="D85">IF(B85&gt;7,2,IF(B85=0,"N/A",1))</f>
        <v>2</v>
      </c>
      <c r="E85" s="423" cm="1">
        <f t="array" ref="E85">_xlfn.IFERROR(SUM('Direct Costs 2026'!$C$4:$C$5)*D85,"N/A")</f>
        <v>1751000</v>
      </c>
      <c r="F85" s="423" cm="1">
        <f t="array" ref="F85">_xlfn.IFERROR('Direct Costs 2026'!$C$43*B85,"N/A")</f>
        <v>72000</v>
      </c>
      <c r="G85" s="423" cm="1">
        <f t="array" ref="G85">IF(B85&gt;0,'Direct Costs 2026'!$C$25,"N/A")</f>
        <v>90000</v>
      </c>
      <c r="H85" s="423" cm="1">
        <f t="array" ref="H85">IF(B85&gt;0,'Direct Costs 2026'!$C$22,"N/A")</f>
        <v>200000</v>
      </c>
      <c r="I85" s="423">
        <v>0</v>
      </c>
      <c r="J85" s="423">
        <v>0</v>
      </c>
      <c r="K85" s="423" cm="1">
        <f t="array" ref="K85">IF(B85&gt;0,'Direct Costs 2026'!$C$26,"N/A")</f>
        <v>20000</v>
      </c>
      <c r="L85" s="423" cm="1">
        <f t="array" ref="L85">IF(B85&gt;0,'Direct Costs 2026'!$C$23,"N/A")</f>
        <v>140000</v>
      </c>
      <c r="M85" s="423" cm="1">
        <f t="array" ref="M85">IF(B85&gt;0,'Direct Costs 2026'!$C$45*B85,"N/A")</f>
        <v>1800000</v>
      </c>
      <c r="N85" t="str" s="431" cm="1">
        <f t="array" ref="N85">IF(B85&gt;0,_xlfn.IFERROR(VLOOKUP(C71,'Boats Data Sheet 2026'!$C$3:$I$57,7,0)*'Direct Costs 2026'!$C$36,"N/A"),"N/A")</f>
        <v>N/A</v>
      </c>
      <c r="O85" t="str" s="431" cm="1">
        <f t="array" ref="O85">IF(B85&gt;0,IF(OR(VLOOKUP(C71,'Boats Data Sheet 2026'!$C$3:$F$57,4,0)="Own",VLOOKUP(C71,'Boats Data Sheet 2026'!$C$3:$F$57,4,0)="Management"),('Direct Costs 2026'!$C$37+'Direct Costs 2026'!$C$39),"N/A"),"N/A")</f>
        <v>N/A</v>
      </c>
      <c r="P85" s="423" cm="1">
        <f t="array" ref="P85">_xlfn.IFERROR('Direct Costs 2026'!$C$27*C85,"N/A")</f>
        <v>133500</v>
      </c>
      <c r="Q85" s="423" cm="1">
        <f t="array" ref="Q85">_xlfn.IFERROR(C85+SUM(E85:P85),"N/A")</f>
        <v>10881500</v>
      </c>
      <c r="R85" s="424"/>
      <c r="S85" s="423" cm="1">
        <f t="array" ref="S85">IF(B85&gt;0,'Allocation OH and Target 2026'!$E$31,"N/A")</f>
        <v>3100447.15769812</v>
      </c>
      <c r="T85" s="423" cm="1">
        <f t="array" ref="T85">IF(B85&gt;0,VLOOKUP(C71,'Allocation OH and Target 2026'!$C$35:$S$87,16,0),"N/A")</f>
        <v>0</v>
      </c>
      <c r="U85" s="423" cm="1">
        <f t="array" ref="U85">_xlfn.IFERROR((S85+T85),"N/A")</f>
        <v>3100447.15769812</v>
      </c>
      <c r="V85" s="424"/>
      <c r="W85" s="423" cm="1">
        <f t="array" ref="W85">_xlfn.IFERROR(U85+Q85,"N/A")</f>
        <v>13981947.1576981</v>
      </c>
      <c r="X85" s="423" cm="1">
        <f t="array" ref="X85">_xlfn.IFERROR(W85*0.5%,"N/A")</f>
        <v>69909.735788490507</v>
      </c>
      <c r="Y85" s="423" cm="1">
        <f t="array" ref="Y85">_xlfn.IFERROR(W85*25%,"N/A")</f>
        <v>3495486.78942453</v>
      </c>
      <c r="Z85" s="425" cm="1">
        <f t="array" ref="Z85">IF(B85&gt;0,SUM(W85:Y85),"N/A")</f>
        <v>17547343.6829111</v>
      </c>
      <c r="AA85" s="425" cm="1">
        <f t="array" ref="AA85">_xlfn.IFERROR((Z85-Z84),"N/A")</f>
        <v>195780</v>
      </c>
      <c r="AB85" s="424"/>
      <c r="AC85" t="str" s="426" cm="1">
        <f t="array" ref="AC85">IF(B85=6,AVERAGE(Z74:Z79),"N/A")</f>
        <v>N/A</v>
      </c>
      <c r="AD85" s="424"/>
      <c r="AE85" s="423"/>
      <c r="AF85" s="423"/>
      <c r="AG85" s="423"/>
      <c r="AH85" s="423"/>
      <c r="AI85" s="423"/>
      <c r="AJ85" s="423"/>
      <c r="AK85" s="423"/>
      <c r="AL85" s="423"/>
      <c r="AM85" s="423"/>
      <c r="AN85" s="427"/>
    </row>
    <row r="86" ht="15" customHeight="1">
      <c r="A86" s="12"/>
      <c r="B86" s="428" cm="1">
        <f t="array" ref="B86">IF(B85=0,0,IF(B85&lt;VLOOKUP(C71,'Boats Data Sheet 2026'!$C$3:$H$57,6,0),B85+1,0))</f>
        <v>13</v>
      </c>
      <c r="C86" s="423" cm="1">
        <f t="array" ref="C86">IF(B86&gt;0,IF(VLOOKUP(C71,'Boats Data Sheet 2026'!$C$3:$J$57,8,0)="N/A",0,VLOOKUP(C71,'Boats Data Sheet 2026'!$C$3:$J$57,8,0)),"N/A")</f>
        <v>6675000</v>
      </c>
      <c r="D86" s="429" cm="1">
        <f t="array" ref="D86">IF(B86&gt;7,2,IF(B86=0,"N/A",1))</f>
        <v>2</v>
      </c>
      <c r="E86" s="423" cm="1">
        <f t="array" ref="E86">_xlfn.IFERROR(SUM('Direct Costs 2026'!$C$4:$C$5)*D86,"N/A")</f>
        <v>1751000</v>
      </c>
      <c r="F86" s="423" cm="1">
        <f t="array" ref="F86">_xlfn.IFERROR('Direct Costs 2026'!$C$43*B86,"N/A")</f>
        <v>78000</v>
      </c>
      <c r="G86" s="423" cm="1">
        <f t="array" ref="G86">IF(B86&gt;0,'Direct Costs 2026'!$C$25,"N/A")</f>
        <v>90000</v>
      </c>
      <c r="H86" s="423" cm="1">
        <f t="array" ref="H86">IF(B86&gt;0,'Direct Costs 2026'!$C$22,"N/A")</f>
        <v>200000</v>
      </c>
      <c r="I86" s="423">
        <v>0</v>
      </c>
      <c r="J86" s="423">
        <v>0</v>
      </c>
      <c r="K86" s="423" cm="1">
        <f t="array" ref="K86">IF(B86&gt;0,'Direct Costs 2026'!$C$26,"N/A")</f>
        <v>20000</v>
      </c>
      <c r="L86" s="423" cm="1">
        <f t="array" ref="L86">IF(B86&gt;0,'Direct Costs 2026'!$C$23,"N/A")</f>
        <v>140000</v>
      </c>
      <c r="M86" s="423" cm="1">
        <f t="array" ref="M86">IF(B86&gt;0,'Direct Costs 2026'!$C$45*B86,"N/A")</f>
        <v>1950000</v>
      </c>
      <c r="N86" t="str" s="431" cm="1">
        <f t="array" ref="N86">IF(B86&gt;0,_xlfn.IFERROR(VLOOKUP(C71,'Boats Data Sheet 2026'!$C$3:$I$57,7,0)*'Direct Costs 2026'!$C$36,"N/A"),"N/A")</f>
        <v>N/A</v>
      </c>
      <c r="O86" t="str" s="431" cm="1">
        <f t="array" ref="O86">IF(B86&gt;0,IF(OR(VLOOKUP(C71,'Boats Data Sheet 2026'!$C$3:$F$57,4,0)="Own",VLOOKUP(C71,'Boats Data Sheet 2026'!$C$3:$F$57,4,0)="Management"),('Direct Costs 2026'!$C$37+'Direct Costs 2026'!$C$39),"N/A"),"N/A")</f>
        <v>N/A</v>
      </c>
      <c r="P86" s="423" cm="1">
        <f t="array" ref="P86">_xlfn.IFERROR('Direct Costs 2026'!$C$27*C86,"N/A")</f>
        <v>133500</v>
      </c>
      <c r="Q86" s="423" cm="1">
        <f t="array" ref="Q86">_xlfn.IFERROR(C86+SUM(E86:P86),"N/A")</f>
        <v>11037500</v>
      </c>
      <c r="R86" s="424"/>
      <c r="S86" s="423" cm="1">
        <f t="array" ref="S86">IF(B86&gt;0,'Allocation OH and Target 2026'!$E$31,"N/A")</f>
        <v>3100447.15769812</v>
      </c>
      <c r="T86" s="423" cm="1">
        <f t="array" ref="T86">IF(B86&gt;0,VLOOKUP(C71,'Allocation OH and Target 2026'!$C$35:$S$87,16,0),"N/A")</f>
        <v>0</v>
      </c>
      <c r="U86" s="423" cm="1">
        <f t="array" ref="U86">_xlfn.IFERROR((S86+T86),"N/A")</f>
        <v>3100447.15769812</v>
      </c>
      <c r="V86" s="424"/>
      <c r="W86" s="423" cm="1">
        <f t="array" ref="W86">_xlfn.IFERROR(U86+Q86,"N/A")</f>
        <v>14137947.1576981</v>
      </c>
      <c r="X86" s="423" cm="1">
        <f t="array" ref="X86">_xlfn.IFERROR(W86*0.5%,"N/A")</f>
        <v>70689.735788490507</v>
      </c>
      <c r="Y86" s="423" cm="1">
        <f t="array" ref="Y86">_xlfn.IFERROR(W86*25%,"N/A")</f>
        <v>3534486.78942453</v>
      </c>
      <c r="Z86" s="425" cm="1">
        <f t="array" ref="Z86">IF(B86&gt;0,SUM(W86:Y86),"N/A")</f>
        <v>17743123.6829111</v>
      </c>
      <c r="AA86" s="425" cm="1">
        <f t="array" ref="AA86">_xlfn.IFERROR((Z86-Z85),"N/A")</f>
        <v>195780</v>
      </c>
      <c r="AB86" s="424"/>
      <c r="AC86" t="str" s="426" cm="1">
        <f t="array" ref="AC86">IF(B86=6,AVERAGE(Z74:Z79),"N/A")</f>
        <v>N/A</v>
      </c>
      <c r="AD86" s="424"/>
      <c r="AE86" s="423"/>
      <c r="AF86" s="423"/>
      <c r="AG86" s="423"/>
      <c r="AH86" s="423"/>
      <c r="AI86" s="423"/>
      <c r="AJ86" s="423"/>
      <c r="AK86" s="423"/>
      <c r="AL86" s="423"/>
      <c r="AM86" s="423"/>
      <c r="AN86" s="427"/>
    </row>
    <row r="87" ht="15" customHeight="1">
      <c r="A87" s="12"/>
      <c r="B87" s="428" cm="1">
        <f t="array" ref="B87">IF(B86=0,0,IF(B86&lt;VLOOKUP(C71,'Boats Data Sheet 2026'!$C$3:$H$57,6,0),B86+1,0))</f>
        <v>14</v>
      </c>
      <c r="C87" s="423" cm="1">
        <f t="array" ref="C87">IF(B87&gt;0,IF(VLOOKUP(C71,'Boats Data Sheet 2026'!$C$3:$J$57,8,0)="N/A",0,VLOOKUP(C71,'Boats Data Sheet 2026'!$C$3:$J$57,8,0)),"N/A")</f>
        <v>6675000</v>
      </c>
      <c r="D87" s="430" cm="1">
        <f t="array" ref="D87">IF(B87&gt;7,2,IF(B87=0,"N/A",1))</f>
        <v>2</v>
      </c>
      <c r="E87" s="423" cm="1">
        <f t="array" ref="E87">_xlfn.IFERROR(SUM('Direct Costs 2026'!$C$4:$C$5)*D87,"N/A")</f>
        <v>1751000</v>
      </c>
      <c r="F87" s="423" cm="1">
        <f t="array" ref="F87">_xlfn.IFERROR('Direct Costs 2026'!$C$43*B87,"N/A")</f>
        <v>84000</v>
      </c>
      <c r="G87" s="423" cm="1">
        <f t="array" ref="G87">IF(B87&gt;0,'Direct Costs 2026'!$C$25,"N/A")</f>
        <v>90000</v>
      </c>
      <c r="H87" s="423" cm="1">
        <f t="array" ref="H87">IF(B87&gt;0,'Direct Costs 2026'!$C$22,"N/A")</f>
        <v>200000</v>
      </c>
      <c r="I87" s="423">
        <v>0</v>
      </c>
      <c r="J87" s="423">
        <v>0</v>
      </c>
      <c r="K87" s="423" cm="1">
        <f t="array" ref="K87">IF(B87&gt;0,'Direct Costs 2026'!$C$26,"N/A")</f>
        <v>20000</v>
      </c>
      <c r="L87" s="423" cm="1">
        <f t="array" ref="L87">IF(B87&gt;0,'Direct Costs 2026'!$C$23,"N/A")</f>
        <v>140000</v>
      </c>
      <c r="M87" s="423" cm="1">
        <f t="array" ref="M87">IF(B87&gt;0,'Direct Costs 2026'!$C$45*B87,"N/A")</f>
        <v>2100000</v>
      </c>
      <c r="N87" t="str" s="431" cm="1">
        <f t="array" ref="N87">IF(B87&gt;0,_xlfn.IFERROR(VLOOKUP(C71,'Boats Data Sheet 2026'!$C$3:$I$57,7,0)*'Direct Costs 2026'!$C$36,"N/A"),"N/A")</f>
        <v>N/A</v>
      </c>
      <c r="O87" t="str" s="431" cm="1">
        <f t="array" ref="O87">IF(B87&gt;0,IF(OR(VLOOKUP(C71,'Boats Data Sheet 2026'!$C$3:$F$57,4,0)="Own",VLOOKUP(C71,'Boats Data Sheet 2026'!$C$3:$F$57,4,0)="Management"),('Direct Costs 2026'!$C$37+'Direct Costs 2026'!$C$39),"N/A"),"N/A")</f>
        <v>N/A</v>
      </c>
      <c r="P87" s="423" cm="1">
        <f t="array" ref="P87">_xlfn.IFERROR('Direct Costs 2026'!$C$27*C87,"N/A")</f>
        <v>133500</v>
      </c>
      <c r="Q87" s="423" cm="1">
        <f t="array" ref="Q87">_xlfn.IFERROR(C87+SUM(E87:P87),"N/A")</f>
        <v>11193500</v>
      </c>
      <c r="R87" s="424"/>
      <c r="S87" s="423" cm="1">
        <f t="array" ref="S87">IF(B87&gt;0,'Allocation OH and Target 2026'!$E$31,"N/A")</f>
        <v>3100447.15769812</v>
      </c>
      <c r="T87" s="423" cm="1">
        <f t="array" ref="T87">IF(B87&gt;0,VLOOKUP(C71,'Allocation OH and Target 2026'!$C$35:$S$87,16,0),"N/A")</f>
        <v>0</v>
      </c>
      <c r="U87" s="423" cm="1">
        <f t="array" ref="U87">_xlfn.IFERROR((S87+T87),"N/A")</f>
        <v>3100447.15769812</v>
      </c>
      <c r="V87" s="424"/>
      <c r="W87" s="423" cm="1">
        <f t="array" ref="W87">_xlfn.IFERROR(U87+Q87,"N/A")</f>
        <v>14293947.1576981</v>
      </c>
      <c r="X87" s="423" cm="1">
        <f t="array" ref="X87">_xlfn.IFERROR(W87*0.5%,"N/A")</f>
        <v>71469.735788490507</v>
      </c>
      <c r="Y87" s="423" cm="1">
        <f t="array" ref="Y87">_xlfn.IFERROR(W87*25%,"N/A")</f>
        <v>3573486.78942453</v>
      </c>
      <c r="Z87" s="425" cm="1">
        <f t="array" ref="Z87">IF(B87&gt;0,SUM(W87:Y87),"N/A")</f>
        <v>17938903.6829111</v>
      </c>
      <c r="AA87" s="425" cm="1">
        <f t="array" ref="AA87">_xlfn.IFERROR((Z87-Z86),"N/A")</f>
        <v>195780</v>
      </c>
      <c r="AB87" s="424"/>
      <c r="AC87" t="str" s="426" cm="1">
        <f t="array" ref="AC87">IF(B87=6,AVERAGE(Z74:Z79),"N/A")</f>
        <v>N/A</v>
      </c>
      <c r="AD87" s="424"/>
      <c r="AE87" s="423"/>
      <c r="AF87" s="423"/>
      <c r="AG87" s="423"/>
      <c r="AH87" s="423"/>
      <c r="AI87" s="423"/>
      <c r="AJ87" s="423"/>
      <c r="AK87" s="423"/>
      <c r="AL87" s="423"/>
      <c r="AM87" s="423"/>
      <c r="AN87" s="427"/>
    </row>
    <row r="88" ht="15" customHeight="1">
      <c r="A88" s="12"/>
      <c r="B88" s="428" cm="1">
        <f t="array" ref="B88">IF(B87=0,0,IF(B87&lt;VLOOKUP(C71,'Boats Data Sheet 2026'!$C$3:$H$57,6,0),B87+1,0))</f>
        <v>0</v>
      </c>
      <c r="C88" t="str" s="431" cm="1">
        <f t="array" ref="C88">IF(B88&gt;0,IF(VLOOKUP(C71,'Boats Data Sheet 2026'!$C$3:$J$57,8,0)="N/A",0,VLOOKUP(C71,'Boats Data Sheet 2026'!$C$3:$J$57,8,0)),"N/A")</f>
        <v>N/A</v>
      </c>
      <c r="D88" t="str" s="431" cm="1">
        <f t="array" ref="D88">IF(B88&gt;7,2,IF(B88=0,"N/A",1))</f>
        <v>N/A</v>
      </c>
      <c r="E88" t="str" s="431" cm="1">
        <f t="array" ref="E88">_xlfn.IFERROR(SUM('Direct Costs 2026'!$C$4:$C$5)*D88,"N/A")</f>
        <v>N/A</v>
      </c>
      <c r="F88" s="423" cm="1">
        <f t="array" ref="F88">_xlfn.IFERROR('Direct Costs 2026'!$C$43*B88,"N/A")</f>
        <v>0</v>
      </c>
      <c r="G88" t="str" s="431" cm="1">
        <f t="array" ref="G88">IF(B88&gt;0,'Direct Costs 2026'!$C$25,"N/A")</f>
        <v>N/A</v>
      </c>
      <c r="H88" t="str" s="431" cm="1">
        <f t="array" ref="H88">IF(B88&gt;0,'Direct Costs 2026'!$C$22,"N/A")</f>
        <v>N/A</v>
      </c>
      <c r="I88" s="423">
        <v>0</v>
      </c>
      <c r="J88" s="423">
        <v>0</v>
      </c>
      <c r="K88" t="str" s="431" cm="1">
        <f t="array" ref="K88">IF(B88&gt;0,'Direct Costs 2026'!$C$26,"N/A")</f>
        <v>N/A</v>
      </c>
      <c r="L88" t="str" s="431" cm="1">
        <f t="array" ref="L88">IF(B88&gt;0,'Direct Costs 2026'!$C$23,"N/A")</f>
        <v>N/A</v>
      </c>
      <c r="M88" t="str" s="431" cm="1">
        <f t="array" ref="M88">IF(B88&gt;0,'Direct Costs 2026'!$C$45*B88,"N/A")</f>
        <v>N/A</v>
      </c>
      <c r="N88" t="str" s="431" cm="1">
        <f t="array" ref="N88">IF(B88&gt;0,_xlfn.IFERROR(VLOOKUP(C71,'Boats Data Sheet 2026'!$C$3:$I$57,7,0)*'Direct Costs 2026'!$C$36,"N/A"),"N/A")</f>
        <v>N/A</v>
      </c>
      <c r="O88" t="str" s="431" cm="1">
        <f t="array" ref="O88">IF(B88&gt;0,IF(OR(VLOOKUP(C71,'Boats Data Sheet 2026'!$C$3:$F$57,4,0)="Own",VLOOKUP(C71,'Boats Data Sheet 2026'!$C$3:$F$57,4,0)="Management"),('Direct Costs 2026'!$C$37+'Direct Costs 2026'!$C$39),"N/A"),"N/A")</f>
        <v>N/A</v>
      </c>
      <c r="P88" t="str" s="431" cm="1">
        <f t="array" ref="P88">_xlfn.IFERROR('Direct Costs 2026'!$C$27*C88,"N/A")</f>
        <v>N/A</v>
      </c>
      <c r="Q88" t="str" s="431" cm="1">
        <f t="array" ref="Q88">_xlfn.IFERROR(C88+SUM(E88:P88),"N/A")</f>
        <v>N/A</v>
      </c>
      <c r="R88" s="424"/>
      <c r="S88" t="str" s="431" cm="1">
        <f t="array" ref="S88">IF(B88&gt;0,'Allocation OH and Target 2026'!$E$31,"N/A")</f>
        <v>N/A</v>
      </c>
      <c r="T88" t="str" s="431" cm="1">
        <f t="array" ref="T88">IF(B88&gt;0,VLOOKUP(C71,'Allocation OH and Target 2026'!$C$35:$S$87,16,0),"N/A")</f>
        <v>N/A</v>
      </c>
      <c r="U88" t="str" s="431" cm="1">
        <f t="array" ref="U88">_xlfn.IFERROR((S88+T88),"N/A")</f>
        <v>N/A</v>
      </c>
      <c r="V88" s="424"/>
      <c r="W88" t="str" s="431" cm="1">
        <f t="array" ref="W88">_xlfn.IFERROR(U88+Q88,"N/A")</f>
        <v>N/A</v>
      </c>
      <c r="X88" t="str" s="431" cm="1">
        <f t="array" ref="X88">_xlfn.IFERROR(W88*0.5%,"N/A")</f>
        <v>N/A</v>
      </c>
      <c r="Y88" t="str" s="431" cm="1">
        <f t="array" ref="Y88">_xlfn.IFERROR(W88*25%,"N/A")</f>
        <v>N/A</v>
      </c>
      <c r="Z88" t="str" s="426" cm="1">
        <f t="array" ref="Z88">IF(B88&gt;0,SUM(W88:Y88),"N/A")</f>
        <v>N/A</v>
      </c>
      <c r="AA88" t="str" s="426" cm="1">
        <f t="array" ref="AA88">_xlfn.IFERROR((Z88-Z87),"N/A")</f>
        <v>N/A</v>
      </c>
      <c r="AB88" s="424"/>
      <c r="AC88" t="str" s="426" cm="1">
        <f t="array" ref="AC88">IF(B88=6,AVERAGE(Z74:Z79),"N/A")</f>
        <v>N/A</v>
      </c>
      <c r="AD88" s="424"/>
      <c r="AE88" s="423"/>
      <c r="AF88" s="423"/>
      <c r="AG88" s="423"/>
      <c r="AH88" s="423"/>
      <c r="AI88" s="423"/>
      <c r="AJ88" s="423"/>
      <c r="AK88" s="423"/>
      <c r="AL88" s="423"/>
      <c r="AM88" s="423"/>
      <c r="AN88" s="427"/>
    </row>
    <row r="89" ht="15" customHeight="1">
      <c r="A89" s="12"/>
      <c r="B89" s="428" cm="1">
        <f t="array" ref="B89">IF(B88=0,0,IF(B88&lt;VLOOKUP(C71,'Boats Data Sheet 2026'!$C$3:$H$57,6,0),B88+1,0))</f>
        <v>0</v>
      </c>
      <c r="C89" t="str" s="431" cm="1">
        <f t="array" ref="C89">IF(B89&gt;0,IF(VLOOKUP(C71,'Boats Data Sheet 2026'!$C$3:$J$57,8,0)="N/A",0,VLOOKUP(C71,'Boats Data Sheet 2026'!$C$3:$J$57,8,0)),"N/A")</f>
        <v>N/A</v>
      </c>
      <c r="D89" t="str" s="431" cm="1">
        <f t="array" ref="D89">IF(B89&gt;7,2,IF(B89=0,"N/A",1))</f>
        <v>N/A</v>
      </c>
      <c r="E89" t="str" s="431" cm="1">
        <f t="array" ref="E89">_xlfn.IFERROR(SUM('Direct Costs 2026'!$C$4:$C$5)*D89,"N/A")</f>
        <v>N/A</v>
      </c>
      <c r="F89" s="423" cm="1">
        <f t="array" ref="F89">_xlfn.IFERROR('Direct Costs 2026'!$C$43*B89,"N/A")</f>
        <v>0</v>
      </c>
      <c r="G89" t="str" s="431" cm="1">
        <f t="array" ref="G89">IF(B89&gt;0,'Direct Costs 2026'!$C$25,"N/A")</f>
        <v>N/A</v>
      </c>
      <c r="H89" t="str" s="431" cm="1">
        <f t="array" ref="H89">IF(B89&gt;0,'Direct Costs 2026'!$C$22,"N/A")</f>
        <v>N/A</v>
      </c>
      <c r="I89" s="423">
        <v>0</v>
      </c>
      <c r="J89" s="423">
        <v>0</v>
      </c>
      <c r="K89" t="str" s="431" cm="1">
        <f t="array" ref="K89">IF(B89&gt;0,'Direct Costs 2026'!$C$26,"N/A")</f>
        <v>N/A</v>
      </c>
      <c r="L89" t="str" s="431" cm="1">
        <f t="array" ref="L89">IF(B89&gt;0,'Direct Costs 2026'!$C$23,"N/A")</f>
        <v>N/A</v>
      </c>
      <c r="M89" t="str" s="431" cm="1">
        <f t="array" ref="M89">IF(B89&gt;0,'Direct Costs 2026'!$C$45*B89,"N/A")</f>
        <v>N/A</v>
      </c>
      <c r="N89" t="str" s="431" cm="1">
        <f t="array" ref="N89">IF(B89&gt;0,_xlfn.IFERROR(VLOOKUP(C71,'Boats Data Sheet 2026'!$C$3:$I$57,7,0)*'Direct Costs 2026'!$C$36,"N/A"),"N/A")</f>
        <v>N/A</v>
      </c>
      <c r="O89" t="str" s="431" cm="1">
        <f t="array" ref="O89">IF(B89&gt;0,IF(OR(VLOOKUP(C71,'Boats Data Sheet 2026'!$C$3:$F$57,4,0)="Own",VLOOKUP(C71,'Boats Data Sheet 2026'!$C$3:$F$57,4,0)="Management"),('Direct Costs 2026'!$C$37+'Direct Costs 2026'!$C$39),"N/A"),"N/A")</f>
        <v>N/A</v>
      </c>
      <c r="P89" t="str" s="431" cm="1">
        <f t="array" ref="P89">_xlfn.IFERROR('Direct Costs 2026'!$C$27*C89,"N/A")</f>
        <v>N/A</v>
      </c>
      <c r="Q89" t="str" s="431" cm="1">
        <f t="array" ref="Q89">_xlfn.IFERROR(C89+SUM(E89:P89),"N/A")</f>
        <v>N/A</v>
      </c>
      <c r="R89" s="424"/>
      <c r="S89" t="str" s="431" cm="1">
        <f t="array" ref="S89">IF(B89&gt;0,'Allocation OH and Target 2026'!$E$31,"N/A")</f>
        <v>N/A</v>
      </c>
      <c r="T89" t="str" s="431" cm="1">
        <f t="array" ref="T89">IF(B89&gt;0,VLOOKUP(C71,'Allocation OH and Target 2026'!$C$35:$S$87,16,0),"N/A")</f>
        <v>N/A</v>
      </c>
      <c r="U89" t="str" s="431" cm="1">
        <f t="array" ref="U89">_xlfn.IFERROR((S89+T89),"N/A")</f>
        <v>N/A</v>
      </c>
      <c r="V89" s="424"/>
      <c r="W89" t="str" s="431" cm="1">
        <f t="array" ref="W89">_xlfn.IFERROR(U89+Q89,"N/A")</f>
        <v>N/A</v>
      </c>
      <c r="X89" t="str" s="431" cm="1">
        <f t="array" ref="X89">_xlfn.IFERROR(W89*0.5%,"N/A")</f>
        <v>N/A</v>
      </c>
      <c r="Y89" t="str" s="431" cm="1">
        <f t="array" ref="Y89">_xlfn.IFERROR(W89*25%,"N/A")</f>
        <v>N/A</v>
      </c>
      <c r="Z89" t="str" s="426" cm="1">
        <f t="array" ref="Z89">IF(B89&gt;0,SUM(W89:Y89),"N/A")</f>
        <v>N/A</v>
      </c>
      <c r="AA89" t="str" s="426" cm="1">
        <f t="array" ref="AA89">_xlfn.IFERROR((Z89-Z88),"N/A")</f>
        <v>N/A</v>
      </c>
      <c r="AB89" s="424"/>
      <c r="AC89" t="str" s="426" cm="1">
        <f t="array" ref="AC89">IF(B89=6,AVERAGE(Z74:Z79),"N/A")</f>
        <v>N/A</v>
      </c>
      <c r="AD89" s="424"/>
      <c r="AE89" s="423"/>
      <c r="AF89" s="423"/>
      <c r="AG89" s="423"/>
      <c r="AH89" s="423"/>
      <c r="AI89" s="423"/>
      <c r="AJ89" s="423"/>
      <c r="AK89" s="423"/>
      <c r="AL89" s="423"/>
      <c r="AM89" s="423"/>
      <c r="AN89" s="427"/>
    </row>
    <row r="90" ht="15" customHeight="1">
      <c r="A90" s="12"/>
      <c r="B90" s="428" cm="1">
        <f t="array" ref="B90">IF(B89=0,0,IF(B89&lt;VLOOKUP(C71,'Boats Data Sheet 2026'!$C$3:$H$57,6,0),B89+1,0))</f>
        <v>0</v>
      </c>
      <c r="C90" t="str" s="431" cm="1">
        <f t="array" ref="C90">IF(B90&gt;0,IF(VLOOKUP(C71,'Boats Data Sheet 2026'!$C$3:$J$57,8,0)="N/A",0,VLOOKUP(C71,'Boats Data Sheet 2026'!$C$3:$J$57,8,0)),"N/A")</f>
        <v>N/A</v>
      </c>
      <c r="D90" t="str" s="431" cm="1">
        <f t="array" ref="D90">IF(B90&gt;7,2,IF(B90=0,"N/A",1))</f>
        <v>N/A</v>
      </c>
      <c r="E90" t="str" s="431" cm="1">
        <f t="array" ref="E90">_xlfn.IFERROR(SUM('Direct Costs 2026'!$C$4:$C$5)*D90,"N/A")</f>
        <v>N/A</v>
      </c>
      <c r="F90" s="423" cm="1">
        <f t="array" ref="F90">_xlfn.IFERROR('Direct Costs 2026'!$C$43*B90,"N/A")</f>
        <v>0</v>
      </c>
      <c r="G90" t="str" s="431" cm="1">
        <f t="array" ref="G90">IF(B90&gt;0,'Direct Costs 2026'!$C$25,"N/A")</f>
        <v>N/A</v>
      </c>
      <c r="H90" t="str" s="431" cm="1">
        <f t="array" ref="H90">IF(B90&gt;0,'Direct Costs 2026'!$C$22,"N/A")</f>
        <v>N/A</v>
      </c>
      <c r="I90" s="423">
        <v>0</v>
      </c>
      <c r="J90" s="423">
        <v>0</v>
      </c>
      <c r="K90" t="str" s="431" cm="1">
        <f t="array" ref="K90">IF(B90&gt;0,'Direct Costs 2026'!$C$26,"N/A")</f>
        <v>N/A</v>
      </c>
      <c r="L90" t="str" s="431" cm="1">
        <f t="array" ref="L90">IF(B90&gt;0,'Direct Costs 2026'!$C$23,"N/A")</f>
        <v>N/A</v>
      </c>
      <c r="M90" t="str" s="431" cm="1">
        <f t="array" ref="M90">IF(B90&gt;0,'Direct Costs 2026'!$C$45*B90,"N/A")</f>
        <v>N/A</v>
      </c>
      <c r="N90" t="str" s="431" cm="1">
        <f t="array" ref="N90">IF(B90&gt;0,_xlfn.IFERROR(VLOOKUP(C71,'Boats Data Sheet 2026'!$C$3:$I$57,7,0)*'Direct Costs 2026'!$C$36,"N/A"),"N/A")</f>
        <v>N/A</v>
      </c>
      <c r="O90" t="str" s="431" cm="1">
        <f t="array" ref="O90">IF(B90&gt;0,IF(OR(VLOOKUP(C71,'Boats Data Sheet 2026'!$C$3:$F$57,4,0)="Own",VLOOKUP(C71,'Boats Data Sheet 2026'!$C$3:$F$57,4,0)="Management"),('Direct Costs 2026'!$C$37+'Direct Costs 2026'!$C$39),"N/A"),"N/A")</f>
        <v>N/A</v>
      </c>
      <c r="P90" t="str" s="431" cm="1">
        <f t="array" ref="P90">_xlfn.IFERROR('Direct Costs 2026'!$C$27*C90,"N/A")</f>
        <v>N/A</v>
      </c>
      <c r="Q90" t="str" s="431" cm="1">
        <f t="array" ref="Q90">_xlfn.IFERROR(C90+SUM(E90:P90),"N/A")</f>
        <v>N/A</v>
      </c>
      <c r="R90" s="424"/>
      <c r="S90" t="str" s="431" cm="1">
        <f t="array" ref="S90">IF(B90&gt;0,'Allocation OH and Target 2026'!$E$31,"N/A")</f>
        <v>N/A</v>
      </c>
      <c r="T90" t="str" s="431" cm="1">
        <f t="array" ref="T90">IF(B90&gt;0,VLOOKUP(C71,'Allocation OH and Target 2026'!$C$35:$S$87,16,0),"N/A")</f>
        <v>N/A</v>
      </c>
      <c r="U90" t="str" s="431" cm="1">
        <f t="array" ref="U90">_xlfn.IFERROR((S90+T90),"N/A")</f>
        <v>N/A</v>
      </c>
      <c r="V90" s="424"/>
      <c r="W90" t="str" s="431" cm="1">
        <f t="array" ref="W90">_xlfn.IFERROR(U90+Q90,"N/A")</f>
        <v>N/A</v>
      </c>
      <c r="X90" t="str" s="431" cm="1">
        <f t="array" ref="X90">_xlfn.IFERROR(W90*0.5%,"N/A")</f>
        <v>N/A</v>
      </c>
      <c r="Y90" t="str" s="431" cm="1">
        <f t="array" ref="Y90">_xlfn.IFERROR(W90*25%,"N/A")</f>
        <v>N/A</v>
      </c>
      <c r="Z90" t="str" s="426" cm="1">
        <f t="array" ref="Z90">IF(B90&gt;0,SUM(W90:Y90),"N/A")</f>
        <v>N/A</v>
      </c>
      <c r="AA90" t="str" s="426" cm="1">
        <f t="array" ref="AA90">_xlfn.IFERROR((Z90-Z89),"N/A")</f>
        <v>N/A</v>
      </c>
      <c r="AB90" s="424"/>
      <c r="AC90" t="str" s="426" cm="1">
        <f t="array" ref="AC90">IF(B90=6,AVERAGE(Z74:Z79),"N/A")</f>
        <v>N/A</v>
      </c>
      <c r="AD90" s="424"/>
      <c r="AE90" s="423"/>
      <c r="AF90" s="423"/>
      <c r="AG90" s="423"/>
      <c r="AH90" s="423"/>
      <c r="AI90" s="423"/>
      <c r="AJ90" s="423"/>
      <c r="AK90" s="423"/>
      <c r="AL90" s="423"/>
      <c r="AM90" s="423"/>
      <c r="AN90" s="427"/>
    </row>
    <row r="91" ht="15.5" customHeight="1">
      <c r="A91" s="12"/>
      <c r="B91" s="432" cm="1">
        <f t="array" ref="B91">IF(B90=0,0,IF(B90&lt;VLOOKUP(C71,'Boats Data Sheet 2026'!$C$3:$H$57,6,0),B90+1,0))</f>
        <v>0</v>
      </c>
      <c r="C91" t="str" s="433" cm="1">
        <f t="array" ref="C91">IF(B91&gt;0,IF(VLOOKUP(C71,'Boats Data Sheet 2026'!$C$3:$J$57,8,0)="N/A",0,VLOOKUP(C71,'Boats Data Sheet 2026'!$C$3:$J$57,8,0)),"N/A")</f>
        <v>N/A</v>
      </c>
      <c r="D91" t="str" s="433" cm="1">
        <f t="array" ref="D91">IF(B91&gt;7,2,IF(B91=0,"N/A",1))</f>
        <v>N/A</v>
      </c>
      <c r="E91" t="str" s="433" cm="1">
        <f t="array" ref="E91">_xlfn.IFERROR(SUM('Direct Costs 2026'!$C$4:$C$5)*D91,"N/A")</f>
        <v>N/A</v>
      </c>
      <c r="F91" s="434" cm="1">
        <f t="array" ref="F91">_xlfn.IFERROR('Direct Costs 2026'!$C$43*B91,"N/A")</f>
        <v>0</v>
      </c>
      <c r="G91" t="str" s="433" cm="1">
        <f t="array" ref="G91">IF(B91&gt;0,'Direct Costs 2026'!$C$25,"N/A")</f>
        <v>N/A</v>
      </c>
      <c r="H91" t="str" s="433" cm="1">
        <f t="array" ref="H91">IF(B91&gt;0,'Direct Costs 2026'!$C$22,"N/A")</f>
        <v>N/A</v>
      </c>
      <c r="I91" s="434">
        <v>0</v>
      </c>
      <c r="J91" s="434">
        <v>0</v>
      </c>
      <c r="K91" t="str" s="433" cm="1">
        <f t="array" ref="K91">IF(B91&gt;0,'Direct Costs 2026'!$C$26,"N/A")</f>
        <v>N/A</v>
      </c>
      <c r="L91" t="str" s="433" cm="1">
        <f t="array" ref="L91">IF(B91&gt;0,'Direct Costs 2026'!$C$23,"N/A")</f>
        <v>N/A</v>
      </c>
      <c r="M91" t="str" s="433" cm="1">
        <f t="array" ref="M91">IF(B91&gt;0,'Direct Costs 2026'!$C$45*B91,"N/A")</f>
        <v>N/A</v>
      </c>
      <c r="N91" t="str" s="433" cm="1">
        <f t="array" ref="N91">IF(B91&gt;0,_xlfn.IFERROR(VLOOKUP(C71,'Boats Data Sheet 2026'!$C$3:$I$57,7,0)*'Direct Costs 2026'!$C$36,"N/A"),"N/A")</f>
        <v>N/A</v>
      </c>
      <c r="O91" t="str" s="433" cm="1">
        <f t="array" ref="O91">IF(B91&gt;0,IF(OR(VLOOKUP(C71,'Boats Data Sheet 2026'!$C$3:$F$57,4,0)="Own",VLOOKUP(C71,'Boats Data Sheet 2026'!$C$3:$F$57,4,0)="Management"),('Direct Costs 2026'!$C$37+'Direct Costs 2026'!$C$39),"N/A"),"N/A")</f>
        <v>N/A</v>
      </c>
      <c r="P91" t="str" s="433" cm="1">
        <f t="array" ref="P91">_xlfn.IFERROR('Direct Costs 2026'!$C$27*C91,"N/A")</f>
        <v>N/A</v>
      </c>
      <c r="Q91" t="str" s="433" cm="1">
        <f t="array" ref="Q91">_xlfn.IFERROR(C91+SUM(E91:P91),"N/A")</f>
        <v>N/A</v>
      </c>
      <c r="R91" s="435"/>
      <c r="S91" t="str" s="433" cm="1">
        <f t="array" ref="S91">IF(B91&gt;0,'Allocation OH and Target 2026'!$E$31,"N/A")</f>
        <v>N/A</v>
      </c>
      <c r="T91" t="str" s="433" cm="1">
        <f t="array" ref="T91">IF(B91&gt;0,VLOOKUP(C71,'Allocation OH and Target 2026'!$C$35:$S$87,16,0),"N/A")</f>
        <v>N/A</v>
      </c>
      <c r="U91" t="str" s="433" cm="1">
        <f t="array" ref="U91">_xlfn.IFERROR((S91+T91),"N/A")</f>
        <v>N/A</v>
      </c>
      <c r="V91" s="435"/>
      <c r="W91" t="str" s="433" cm="1">
        <f t="array" ref="W91">_xlfn.IFERROR(U91+Q91,"N/A")</f>
        <v>N/A</v>
      </c>
      <c r="X91" t="str" s="433" cm="1">
        <f t="array" ref="X91">_xlfn.IFERROR(W91*0.5%,"N/A")</f>
        <v>N/A</v>
      </c>
      <c r="Y91" t="str" s="433" cm="1">
        <f t="array" ref="Y91">_xlfn.IFERROR(W91*25%,"N/A")</f>
        <v>N/A</v>
      </c>
      <c r="Z91" t="str" s="436" cm="1">
        <f t="array" ref="Z91">IF(B91&gt;0,SUM(W91:Y91),"N/A")</f>
        <v>N/A</v>
      </c>
      <c r="AA91" t="str" s="436" cm="1">
        <f t="array" ref="AA91">_xlfn.IFERROR((Z91-Z90),"N/A")</f>
        <v>N/A</v>
      </c>
      <c r="AB91" s="435"/>
      <c r="AC91" t="str" s="436" cm="1">
        <f t="array" ref="AC91">IF(B91=6,AVERAGE(Z74:Z79),"N/A")</f>
        <v>N/A</v>
      </c>
      <c r="AD91" s="435"/>
      <c r="AE91" s="434"/>
      <c r="AF91" s="434"/>
      <c r="AG91" s="434"/>
      <c r="AH91" s="434"/>
      <c r="AI91" s="434"/>
      <c r="AJ91" s="434"/>
      <c r="AK91" s="434"/>
      <c r="AL91" s="434"/>
      <c r="AM91" s="434"/>
      <c r="AN91" s="437"/>
    </row>
    <row r="92" ht="15" customHeight="1">
      <c r="A92" s="32"/>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313"/>
    </row>
    <row r="93" ht="15" customHeight="1">
      <c r="A93" s="32"/>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442"/>
    </row>
    <row r="94" ht="15.5" customHeight="1">
      <c r="A94" s="395">
        <v>5</v>
      </c>
      <c r="B94" t="s" s="396">
        <v>506</v>
      </c>
      <c r="C94" t="s" s="397">
        <v>187</v>
      </c>
      <c r="D94" s="398"/>
      <c r="E94" s="398"/>
      <c r="F94" s="398"/>
      <c r="G94" s="398"/>
      <c r="H94" s="398"/>
      <c r="I94" s="398"/>
      <c r="J94" s="398"/>
      <c r="K94" s="398"/>
      <c r="L94" s="398"/>
      <c r="M94" s="398"/>
      <c r="N94" s="398"/>
      <c r="O94" s="398"/>
      <c r="P94" s="398"/>
      <c r="Q94" s="398"/>
      <c r="R94" s="399"/>
      <c r="S94" s="398"/>
      <c r="T94" s="398"/>
      <c r="U94" s="398"/>
      <c r="V94" s="399"/>
      <c r="W94" s="398"/>
      <c r="X94" s="398"/>
      <c r="Y94" s="398"/>
      <c r="Z94" s="398"/>
      <c r="AA94" s="398"/>
      <c r="AB94" s="399"/>
      <c r="AC94" s="398"/>
      <c r="AD94" s="399"/>
      <c r="AE94" t="s" s="397">
        <v>508</v>
      </c>
      <c r="AF94" s="401" cm="1">
        <f t="array" ref="AF94">AVERAGE(Q97:Q102)</f>
        <v>7660000</v>
      </c>
      <c r="AG94" t="s" s="400">
        <v>509</v>
      </c>
      <c r="AH94" s="401" cm="1">
        <f t="array" ref="AH94">AVERAGE(Q103:Q110)-AF94</f>
        <v>1764428.57142857</v>
      </c>
      <c r="AI94" t="s" s="400">
        <v>510</v>
      </c>
      <c r="AJ94" s="401" cm="1">
        <f t="array" ref="AJ94">AVERAGE(Y97:Y104)</f>
        <v>2756471.16442453</v>
      </c>
      <c r="AK94" t="s" s="397">
        <v>511</v>
      </c>
      <c r="AL94" s="401" cm="1">
        <f t="array" ref="AL94">AVERAGE(W97:W102)</f>
        <v>10760447.1576981</v>
      </c>
      <c r="AM94" t="s" s="400">
        <v>512</v>
      </c>
      <c r="AN94" s="402" cm="1">
        <f t="array" ref="AN94">W97</f>
        <v>10370447.1576981</v>
      </c>
    </row>
    <row r="95" ht="15" customHeight="1">
      <c r="A95" s="12"/>
      <c r="B95" s="403"/>
      <c r="C95" t="s" s="404">
        <v>513</v>
      </c>
      <c r="D95" s="405"/>
      <c r="E95" s="405"/>
      <c r="F95" s="405"/>
      <c r="G95" s="405"/>
      <c r="H95" s="405"/>
      <c r="I95" s="405"/>
      <c r="J95" s="405"/>
      <c r="K95" s="405"/>
      <c r="L95" s="405"/>
      <c r="M95" s="405"/>
      <c r="N95" s="405"/>
      <c r="O95" s="405"/>
      <c r="P95" s="405"/>
      <c r="Q95" s="406"/>
      <c r="R95" s="407"/>
      <c r="S95" t="s" s="404">
        <v>514</v>
      </c>
      <c r="T95" s="405"/>
      <c r="U95" s="406"/>
      <c r="V95" s="407"/>
      <c r="W95" t="s" s="404">
        <v>515</v>
      </c>
      <c r="X95" s="405"/>
      <c r="Y95" s="405"/>
      <c r="Z95" s="405"/>
      <c r="AA95" s="405"/>
      <c r="AB95" s="408"/>
      <c r="AC95" t="s" s="409">
        <v>516</v>
      </c>
      <c r="AD95" s="410"/>
      <c r="AE95" s="443"/>
      <c r="AF95" s="443"/>
      <c r="AG95" s="443"/>
      <c r="AH95" s="443"/>
      <c r="AI95" s="443"/>
      <c r="AJ95" s="443"/>
      <c r="AK95" s="443"/>
      <c r="AL95" s="414"/>
      <c r="AM95" s="415"/>
      <c r="AN95" s="414"/>
    </row>
    <row r="96" ht="46.25" customHeight="1">
      <c r="A96" s="187"/>
      <c r="B96" t="s" s="416">
        <v>517</v>
      </c>
      <c r="C96" t="s" s="417">
        <v>518</v>
      </c>
      <c r="D96" t="s" s="417">
        <v>519</v>
      </c>
      <c r="E96" t="s" s="417">
        <v>520</v>
      </c>
      <c r="F96" t="s" s="159">
        <v>521</v>
      </c>
      <c r="G96" t="s" s="159">
        <v>522</v>
      </c>
      <c r="H96" t="s" s="159">
        <v>541</v>
      </c>
      <c r="I96" t="s" s="159">
        <v>524</v>
      </c>
      <c r="J96" t="s" s="159">
        <v>525</v>
      </c>
      <c r="K96" t="s" s="159">
        <v>526</v>
      </c>
      <c r="L96" t="s" s="159">
        <v>527</v>
      </c>
      <c r="M96" t="s" s="159">
        <v>528</v>
      </c>
      <c r="N96" t="s" s="159">
        <v>529</v>
      </c>
      <c r="O96" t="s" s="159">
        <v>530</v>
      </c>
      <c r="P96" t="s" s="159">
        <v>531</v>
      </c>
      <c r="Q96" t="s" s="159">
        <v>532</v>
      </c>
      <c r="R96" s="418"/>
      <c r="S96" t="s" s="159">
        <v>533</v>
      </c>
      <c r="T96" t="s" s="159">
        <v>534</v>
      </c>
      <c r="U96" t="s" s="159">
        <v>535</v>
      </c>
      <c r="V96" s="418"/>
      <c r="W96" t="s" s="159">
        <v>536</v>
      </c>
      <c r="X96" t="s" s="159">
        <v>537</v>
      </c>
      <c r="Y96" t="s" s="159">
        <v>538</v>
      </c>
      <c r="Z96" t="s" s="159">
        <v>539</v>
      </c>
      <c r="AA96" t="s" s="159">
        <v>121</v>
      </c>
      <c r="AB96" s="419"/>
      <c r="AC96" t="s" s="159">
        <v>39</v>
      </c>
      <c r="AD96" s="419"/>
      <c r="AE96" s="77"/>
      <c r="AF96" s="77"/>
      <c r="AG96" s="77"/>
      <c r="AH96" s="77"/>
      <c r="AI96" s="77"/>
      <c r="AJ96" s="77"/>
      <c r="AK96" s="77"/>
      <c r="AL96" s="77"/>
      <c r="AM96" s="77"/>
      <c r="AN96" s="78"/>
    </row>
    <row r="97" ht="15" customHeight="1">
      <c r="A97" s="12"/>
      <c r="B97" s="420">
        <v>1</v>
      </c>
      <c r="C97" s="421" cm="1">
        <f t="array" ref="C97">IF(B97&gt;0,IF(VLOOKUP(C94,'Boats Data Sheet 2026'!$C$3:$J$57,8,0)="N/A",0,VLOOKUP(C94,'Boats Data Sheet 2026'!$C$3:$J$57,8,0)),"N/A")</f>
        <v>5675000</v>
      </c>
      <c r="D97" s="422" cm="1">
        <f t="array" ref="D97">IF(B97&gt;7,2,IF(B97=0,"N/A",1))</f>
        <v>1</v>
      </c>
      <c r="E97" s="421" cm="1">
        <f t="array" ref="E97">_xlfn.IFERROR(SUM('Direct Costs 2026'!$C$4:$C$5)*D97,"N/A")</f>
        <v>875500</v>
      </c>
      <c r="F97" s="423" cm="1">
        <f t="array" ref="F97">_xlfn.IFERROR('Direct Costs 2026'!$C$43*B97,"N/A")</f>
        <v>6000</v>
      </c>
      <c r="G97" s="423" cm="1">
        <f t="array" ref="G97">IF(B97&gt;0,'Direct Costs 2026'!$C$25,"N/A")</f>
        <v>90000</v>
      </c>
      <c r="H97" s="423" cm="1">
        <f t="array" ref="H97">IF(B97&gt;0,'Direct Costs 2026'!$C$22,"N/A")</f>
        <v>200000</v>
      </c>
      <c r="I97" s="423">
        <v>0</v>
      </c>
      <c r="J97" s="423">
        <v>0</v>
      </c>
      <c r="K97" s="423" cm="1">
        <f t="array" ref="K97">IF(B97&gt;0,'Direct Costs 2026'!$C$26,"N/A")</f>
        <v>20000</v>
      </c>
      <c r="L97" s="423" cm="1">
        <f t="array" ref="L97">IF(B97&gt;0,'Direct Costs 2026'!$C$23,"N/A")</f>
        <v>140000</v>
      </c>
      <c r="M97" s="423" cm="1">
        <f t="array" ref="M97">IF(B97&gt;0,'Direct Costs 2026'!$C$45*B97,"N/A")</f>
        <v>150000</v>
      </c>
      <c r="N97" t="str" s="431" cm="1">
        <f t="array" ref="N97">IF(B97&gt;0,_xlfn.IFERROR(VLOOKUP(C94,'Boats Data Sheet 2026'!$C$3:$I$57,7,0)*'Direct Costs 2026'!$C$36,"N/A"),"N/A")</f>
        <v>N/A</v>
      </c>
      <c r="O97" t="str" s="431" cm="1">
        <f t="array" ref="O97">IF(B97&gt;0,IF(OR(VLOOKUP(C94,'Boats Data Sheet 2026'!$C$3:$F$57,4,0)="Own",VLOOKUP(C94,'Boats Data Sheet 2026'!$C$3:$F$57,4,0)="Management"),('Direct Costs 2026'!$C$37+'Direct Costs 2026'!$C$39),"N/A"),"N/A")</f>
        <v>N/A</v>
      </c>
      <c r="P97" s="423" cm="1">
        <f t="array" ref="P97">_xlfn.IFERROR('Direct Costs 2026'!$C$27*C97,"N/A")</f>
        <v>113500</v>
      </c>
      <c r="Q97" s="423" cm="1">
        <f t="array" ref="Q97">_xlfn.IFERROR(C97+SUM(E97:P97),"N/A")</f>
        <v>7270000</v>
      </c>
      <c r="R97" s="424"/>
      <c r="S97" s="423" cm="1">
        <f t="array" ref="S97">IF(B97&gt;0,'Allocation OH and Target 2026'!$E$31,"N/A")</f>
        <v>3100447.15769812</v>
      </c>
      <c r="T97" s="423" cm="1">
        <f t="array" ref="T97">IF(B97&gt;0,VLOOKUP(C94,'Allocation OH and Target 2026'!$C$35:$S$87,16,0),"N/A")</f>
        <v>0</v>
      </c>
      <c r="U97" s="423" cm="1">
        <f t="array" ref="U97">_xlfn.IFERROR((S97+T97),"N/A")</f>
        <v>3100447.15769812</v>
      </c>
      <c r="V97" s="424"/>
      <c r="W97" s="423" cm="1">
        <f t="array" ref="W97">_xlfn.IFERROR(U97+Q97,"N/A")</f>
        <v>10370447.1576981</v>
      </c>
      <c r="X97" s="423" cm="1">
        <f t="array" ref="X97">_xlfn.IFERROR(W97*0.5%,"N/A")</f>
        <v>51852.2357884905</v>
      </c>
      <c r="Y97" s="423" cm="1">
        <f t="array" ref="Y97">_xlfn.IFERROR(W97*25%,"N/A")</f>
        <v>2592611.78942453</v>
      </c>
      <c r="Z97" s="425" cm="1">
        <f t="array" ref="Z97">IF(B97&gt;0,SUM(W97:Y97),"N/A")</f>
        <v>13014911.1829111</v>
      </c>
      <c r="AA97" s="425">
        <v>0</v>
      </c>
      <c r="AB97" s="424"/>
      <c r="AC97" t="str" s="426" cm="1">
        <f t="array" ref="AC97">IF(B97=6,AVERAGE(Z97:Z102),"N/A")</f>
        <v>N/A</v>
      </c>
      <c r="AD97" s="424"/>
      <c r="AE97" s="423"/>
      <c r="AF97" s="423"/>
      <c r="AG97" s="423"/>
      <c r="AH97" s="423"/>
      <c r="AI97" s="423"/>
      <c r="AJ97" s="423"/>
      <c r="AK97" s="423"/>
      <c r="AL97" s="423"/>
      <c r="AM97" s="423"/>
      <c r="AN97" s="427"/>
    </row>
    <row r="98" ht="15" customHeight="1">
      <c r="A98" s="12"/>
      <c r="B98" s="428" cm="1">
        <f t="array" ref="B98">IF(B97=0,0,IF(B97&lt;VLOOKUP(C94,'Boats Data Sheet 2026'!$C$3:$H$57,6,0),B97+1,0))</f>
        <v>2</v>
      </c>
      <c r="C98" s="423" cm="1">
        <f t="array" ref="C98">IF(B98&gt;0,IF(VLOOKUP(C94,'Boats Data Sheet 2026'!$C$3:$J$57,8,0)="N/A",0,VLOOKUP(C94,'Boats Data Sheet 2026'!$C$3:$J$57,8,0)),"N/A")</f>
        <v>5675000</v>
      </c>
      <c r="D98" s="429" cm="1">
        <f t="array" ref="D98">IF(B98&gt;7,2,IF(B98=0,"N/A",1))</f>
        <v>1</v>
      </c>
      <c r="E98" s="423" cm="1">
        <f t="array" ref="E98">_xlfn.IFERROR(SUM('Direct Costs 2026'!$C$4:$C$5)*D98,"N/A")</f>
        <v>875500</v>
      </c>
      <c r="F98" s="423" cm="1">
        <f t="array" ref="F98">_xlfn.IFERROR('Direct Costs 2026'!$C$43*B98,"N/A")</f>
        <v>12000</v>
      </c>
      <c r="G98" s="423" cm="1">
        <f t="array" ref="G98">IF(B98&gt;0,'Direct Costs 2026'!$C$25,"N/A")</f>
        <v>90000</v>
      </c>
      <c r="H98" s="423" cm="1">
        <f t="array" ref="H98">IF(B98&gt;0,'Direct Costs 2026'!$C$22,"N/A")</f>
        <v>200000</v>
      </c>
      <c r="I98" s="423">
        <v>0</v>
      </c>
      <c r="J98" s="423">
        <v>0</v>
      </c>
      <c r="K98" s="423" cm="1">
        <f t="array" ref="K98">IF(B98&gt;0,'Direct Costs 2026'!$C$26,"N/A")</f>
        <v>20000</v>
      </c>
      <c r="L98" s="423" cm="1">
        <f t="array" ref="L98">IF(B98&gt;0,'Direct Costs 2026'!$C$23,"N/A")</f>
        <v>140000</v>
      </c>
      <c r="M98" s="423" cm="1">
        <f t="array" ref="M98">IF(B98&gt;0,'Direct Costs 2026'!$C$45*B98,"N/A")</f>
        <v>300000</v>
      </c>
      <c r="N98" t="str" s="431" cm="1">
        <f t="array" ref="N98">IF(B98&gt;0,_xlfn.IFERROR(VLOOKUP(C94,'Boats Data Sheet 2026'!$C$3:$I$57,7,0)*'Direct Costs 2026'!$C$36,"N/A"),"N/A")</f>
        <v>N/A</v>
      </c>
      <c r="O98" t="str" s="431" cm="1">
        <f t="array" ref="O98">IF(B98&gt;0,IF(OR(VLOOKUP(C94,'Boats Data Sheet 2026'!$C$3:$F$57,4,0)="Own",VLOOKUP(C94,'Boats Data Sheet 2026'!$C$3:$F$57,4,0)="Management"),('Direct Costs 2026'!$C$37+'Direct Costs 2026'!$C$39),"N/A"),"N/A")</f>
        <v>N/A</v>
      </c>
      <c r="P98" s="423" cm="1">
        <f t="array" ref="P98">_xlfn.IFERROR('Direct Costs 2026'!$C$27*C98,"N/A")</f>
        <v>113500</v>
      </c>
      <c r="Q98" s="423" cm="1">
        <f t="array" ref="Q98">_xlfn.IFERROR(C98+SUM(E98:P98),"N/A")</f>
        <v>7426000</v>
      </c>
      <c r="R98" s="424"/>
      <c r="S98" s="423" cm="1">
        <f t="array" ref="S98">IF(B98&gt;0,'Allocation OH and Target 2026'!$E$31,"N/A")</f>
        <v>3100447.15769812</v>
      </c>
      <c r="T98" s="423" cm="1">
        <f t="array" ref="T98">IF(B98&gt;0,VLOOKUP(C94,'Allocation OH and Target 2026'!$C$35:$S$87,16,0),"N/A")</f>
        <v>0</v>
      </c>
      <c r="U98" s="423" cm="1">
        <f t="array" ref="U98">_xlfn.IFERROR((S98+T98),"N/A")</f>
        <v>3100447.15769812</v>
      </c>
      <c r="V98" s="424"/>
      <c r="W98" s="423" cm="1">
        <f t="array" ref="W98">_xlfn.IFERROR(U98+Q98,"N/A")</f>
        <v>10526447.1576981</v>
      </c>
      <c r="X98" s="423" cm="1">
        <f t="array" ref="X98">_xlfn.IFERROR(W98*0.5%,"N/A")</f>
        <v>52632.2357884905</v>
      </c>
      <c r="Y98" s="423" cm="1">
        <f t="array" ref="Y98">_xlfn.IFERROR(W98*25%,"N/A")</f>
        <v>2631611.78942453</v>
      </c>
      <c r="Z98" s="425" cm="1">
        <f t="array" ref="Z98">IF(B98&gt;0,SUM(W98:Y98),"N/A")</f>
        <v>13210691.1829111</v>
      </c>
      <c r="AA98" s="425" cm="1">
        <f t="array" ref="AA98">_xlfn.IFERROR((Z98-Z97),"N/A")</f>
        <v>195780</v>
      </c>
      <c r="AB98" s="424"/>
      <c r="AC98" t="str" s="426" cm="1">
        <f t="array" ref="AC98">IF(B98=6,AVERAGE(Z97:Z102),"N/A")</f>
        <v>N/A</v>
      </c>
      <c r="AD98" s="424"/>
      <c r="AE98" s="423"/>
      <c r="AF98" s="423"/>
      <c r="AG98" s="423"/>
      <c r="AH98" s="423"/>
      <c r="AI98" s="423"/>
      <c r="AJ98" s="423"/>
      <c r="AK98" s="423"/>
      <c r="AL98" s="423"/>
      <c r="AM98" s="423"/>
      <c r="AN98" s="427"/>
    </row>
    <row r="99" ht="15" customHeight="1">
      <c r="A99" s="12"/>
      <c r="B99" s="428" cm="1">
        <f t="array" ref="B99">IF(B98=0,0,IF(B98&lt;VLOOKUP(C94,'Boats Data Sheet 2026'!$C$3:$H$57,6,0),B98+1,0))</f>
        <v>3</v>
      </c>
      <c r="C99" s="423" cm="1">
        <f t="array" ref="C99">IF(B99&gt;0,IF(VLOOKUP(C94,'Boats Data Sheet 2026'!$C$3:$J$57,8,0)="N/A",0,VLOOKUP(C94,'Boats Data Sheet 2026'!$C$3:$J$57,8,0)),"N/A")</f>
        <v>5675000</v>
      </c>
      <c r="D99" s="429" cm="1">
        <f t="array" ref="D99">IF(B99&gt;7,2,IF(B99=0,"N/A",1))</f>
        <v>1</v>
      </c>
      <c r="E99" s="423" cm="1">
        <f t="array" ref="E99">_xlfn.IFERROR(SUM('Direct Costs 2026'!$C$4:$C$5)*D99,"N/A")</f>
        <v>875500</v>
      </c>
      <c r="F99" s="423" cm="1">
        <f t="array" ref="F99">_xlfn.IFERROR('Direct Costs 2026'!$C$43*B99,"N/A")</f>
        <v>18000</v>
      </c>
      <c r="G99" s="423" cm="1">
        <f t="array" ref="G99">IF(B99&gt;0,'Direct Costs 2026'!$C$25,"N/A")</f>
        <v>90000</v>
      </c>
      <c r="H99" s="423" cm="1">
        <f t="array" ref="H99">IF(B99&gt;0,'Direct Costs 2026'!$C$22,"N/A")</f>
        <v>200000</v>
      </c>
      <c r="I99" s="423">
        <v>0</v>
      </c>
      <c r="J99" s="423">
        <v>0</v>
      </c>
      <c r="K99" s="423" cm="1">
        <f t="array" ref="K99">IF(B99&gt;0,'Direct Costs 2026'!$C$26,"N/A")</f>
        <v>20000</v>
      </c>
      <c r="L99" s="423" cm="1">
        <f t="array" ref="L99">IF(B99&gt;0,'Direct Costs 2026'!$C$23,"N/A")</f>
        <v>140000</v>
      </c>
      <c r="M99" s="423" cm="1">
        <f t="array" ref="M99">IF(B99&gt;0,'Direct Costs 2026'!$C$45*B99,"N/A")</f>
        <v>450000</v>
      </c>
      <c r="N99" t="str" s="431" cm="1">
        <f t="array" ref="N99">IF(B99&gt;0,_xlfn.IFERROR(VLOOKUP(C94,'Boats Data Sheet 2026'!$C$3:$I$57,7,0)*'Direct Costs 2026'!$C$36,"N/A"),"N/A")</f>
        <v>N/A</v>
      </c>
      <c r="O99" t="str" s="431" cm="1">
        <f t="array" ref="O99">IF(B99&gt;0,IF(OR(VLOOKUP(C94,'Boats Data Sheet 2026'!$C$3:$F$57,4,0)="Own",VLOOKUP(C94,'Boats Data Sheet 2026'!$C$3:$F$57,4,0)="Management"),('Direct Costs 2026'!$C$37+'Direct Costs 2026'!$C$39),"N/A"),"N/A")</f>
        <v>N/A</v>
      </c>
      <c r="P99" s="423" cm="1">
        <f t="array" ref="P99">_xlfn.IFERROR('Direct Costs 2026'!$C$27*C99,"N/A")</f>
        <v>113500</v>
      </c>
      <c r="Q99" s="423" cm="1">
        <f t="array" ref="Q99">_xlfn.IFERROR(C99+SUM(E99:P99),"N/A")</f>
        <v>7582000</v>
      </c>
      <c r="R99" s="424"/>
      <c r="S99" s="423" cm="1">
        <f t="array" ref="S99">IF(B99&gt;0,'Allocation OH and Target 2026'!$E$31,"N/A")</f>
        <v>3100447.15769812</v>
      </c>
      <c r="T99" s="423" cm="1">
        <f t="array" ref="T99">IF(B99&gt;0,VLOOKUP(C94,'Allocation OH and Target 2026'!$C$35:$S$87,16,0),"N/A")</f>
        <v>0</v>
      </c>
      <c r="U99" s="423" cm="1">
        <f t="array" ref="U99">_xlfn.IFERROR((S99+T99),"N/A")</f>
        <v>3100447.15769812</v>
      </c>
      <c r="V99" s="424"/>
      <c r="W99" s="423" cm="1">
        <f t="array" ref="W99">_xlfn.IFERROR(U99+Q99,"N/A")</f>
        <v>10682447.1576981</v>
      </c>
      <c r="X99" s="423" cm="1">
        <f t="array" ref="X99">_xlfn.IFERROR(W99*0.5%,"N/A")</f>
        <v>53412.2357884905</v>
      </c>
      <c r="Y99" s="423" cm="1">
        <f t="array" ref="Y99">_xlfn.IFERROR(W99*25%,"N/A")</f>
        <v>2670611.78942453</v>
      </c>
      <c r="Z99" s="425" cm="1">
        <f t="array" ref="Z99">IF(B99&gt;0,SUM(W99:Y99),"N/A")</f>
        <v>13406471.1829111</v>
      </c>
      <c r="AA99" s="425" cm="1">
        <f t="array" ref="AA99">_xlfn.IFERROR((Z99-Z98),"N/A")</f>
        <v>195780</v>
      </c>
      <c r="AB99" s="424"/>
      <c r="AC99" t="str" s="426" cm="1">
        <f t="array" ref="AC99">IF(B99=6,AVERAGE(Z97:Z102),"N/A")</f>
        <v>N/A</v>
      </c>
      <c r="AD99" s="424"/>
      <c r="AE99" s="423"/>
      <c r="AF99" s="423"/>
      <c r="AG99" s="423"/>
      <c r="AH99" s="423"/>
      <c r="AI99" s="423"/>
      <c r="AJ99" s="423"/>
      <c r="AK99" s="423"/>
      <c r="AL99" s="423"/>
      <c r="AM99" s="423"/>
      <c r="AN99" s="427"/>
    </row>
    <row r="100" ht="15" customHeight="1">
      <c r="A100" s="12"/>
      <c r="B100" s="428" cm="1">
        <f t="array" ref="B100">IF(B99=0,0,IF(B99&lt;VLOOKUP(C94,'Boats Data Sheet 2026'!$C$3:$H$57,6,0),B99+1,0))</f>
        <v>4</v>
      </c>
      <c r="C100" s="423" cm="1">
        <f t="array" ref="C100">IF(B100&gt;0,IF(VLOOKUP(C94,'Boats Data Sheet 2026'!$C$3:$J$57,8,0)="N/A",0,VLOOKUP(C94,'Boats Data Sheet 2026'!$C$3:$J$57,8,0)),"N/A")</f>
        <v>5675000</v>
      </c>
      <c r="D100" s="429" cm="1">
        <f t="array" ref="D100">IF(B100&gt;7,2,IF(B100=0,"N/A",1))</f>
        <v>1</v>
      </c>
      <c r="E100" s="423" cm="1">
        <f t="array" ref="E100">_xlfn.IFERROR(SUM('Direct Costs 2026'!$C$4:$C$5)*D100,"N/A")</f>
        <v>875500</v>
      </c>
      <c r="F100" s="423" cm="1">
        <f t="array" ref="F100">_xlfn.IFERROR('Direct Costs 2026'!$C$43*B100,"N/A")</f>
        <v>24000</v>
      </c>
      <c r="G100" s="423" cm="1">
        <f t="array" ref="G100">IF(B100&gt;0,'Direct Costs 2026'!$C$25,"N/A")</f>
        <v>90000</v>
      </c>
      <c r="H100" s="423" cm="1">
        <f t="array" ref="H100">IF(B100&gt;0,'Direct Costs 2026'!$C$22,"N/A")</f>
        <v>200000</v>
      </c>
      <c r="I100" s="423">
        <v>0</v>
      </c>
      <c r="J100" s="423">
        <v>0</v>
      </c>
      <c r="K100" s="423" cm="1">
        <f t="array" ref="K100">IF(B100&gt;0,'Direct Costs 2026'!$C$26,"N/A")</f>
        <v>20000</v>
      </c>
      <c r="L100" s="423" cm="1">
        <f t="array" ref="L100">IF(B100&gt;0,'Direct Costs 2026'!$C$23,"N/A")</f>
        <v>140000</v>
      </c>
      <c r="M100" s="423" cm="1">
        <f t="array" ref="M100">IF(B100&gt;0,'Direct Costs 2026'!$C$45*B100,"N/A")</f>
        <v>600000</v>
      </c>
      <c r="N100" t="str" s="431" cm="1">
        <f t="array" ref="N100">IF(B100&gt;0,_xlfn.IFERROR(VLOOKUP(C94,'Boats Data Sheet 2026'!$C$3:$I$57,7,0)*'Direct Costs 2026'!$C$36,"N/A"),"N/A")</f>
        <v>N/A</v>
      </c>
      <c r="O100" t="str" s="431" cm="1">
        <f t="array" ref="O100">IF(B100&gt;0,IF(OR(VLOOKUP(C94,'Boats Data Sheet 2026'!$C$3:$F$57,4,0)="Own",VLOOKUP(C94,'Boats Data Sheet 2026'!$C$3:$F$57,4,0)="Management"),('Direct Costs 2026'!$C$37+'Direct Costs 2026'!$C$39),"N/A"),"N/A")</f>
        <v>N/A</v>
      </c>
      <c r="P100" s="423" cm="1">
        <f t="array" ref="P100">_xlfn.IFERROR('Direct Costs 2026'!$C$27*C100,"N/A")</f>
        <v>113500</v>
      </c>
      <c r="Q100" s="423" cm="1">
        <f t="array" ref="Q100">_xlfn.IFERROR(C100+SUM(E100:P100),"N/A")</f>
        <v>7738000</v>
      </c>
      <c r="R100" s="424"/>
      <c r="S100" s="423" cm="1">
        <f t="array" ref="S100">IF(B100&gt;0,'Allocation OH and Target 2026'!$E$31,"N/A")</f>
        <v>3100447.15769812</v>
      </c>
      <c r="T100" s="423" cm="1">
        <f t="array" ref="T100">IF(B100&gt;0,VLOOKUP(C94,'Allocation OH and Target 2026'!$C$35:$S$87,16,0),"N/A")</f>
        <v>0</v>
      </c>
      <c r="U100" s="423" cm="1">
        <f t="array" ref="U100">_xlfn.IFERROR((S100+T100),"N/A")</f>
        <v>3100447.15769812</v>
      </c>
      <c r="V100" s="424"/>
      <c r="W100" s="423" cm="1">
        <f t="array" ref="W100">_xlfn.IFERROR(U100+Q100,"N/A")</f>
        <v>10838447.1576981</v>
      </c>
      <c r="X100" s="423" cm="1">
        <f t="array" ref="X100">_xlfn.IFERROR(W100*0.5%,"N/A")</f>
        <v>54192.2357884905</v>
      </c>
      <c r="Y100" s="423" cm="1">
        <f t="array" ref="Y100">_xlfn.IFERROR(W100*25%,"N/A")</f>
        <v>2709611.78942453</v>
      </c>
      <c r="Z100" s="425" cm="1">
        <f t="array" ref="Z100">IF(B100&gt;0,SUM(W100:Y100),"N/A")</f>
        <v>13602251.1829111</v>
      </c>
      <c r="AA100" s="425" cm="1">
        <f t="array" ref="AA100">_xlfn.IFERROR((Z100-Z99),"N/A")</f>
        <v>195780</v>
      </c>
      <c r="AB100" s="424"/>
      <c r="AC100" t="str" s="426" cm="1">
        <f t="array" ref="AC100">IF(B100=6,AVERAGE(Z97:Z102),"N/A")</f>
        <v>N/A</v>
      </c>
      <c r="AD100" s="424"/>
      <c r="AE100" s="423"/>
      <c r="AF100" s="423"/>
      <c r="AG100" s="423"/>
      <c r="AH100" s="423"/>
      <c r="AI100" s="423"/>
      <c r="AJ100" s="423"/>
      <c r="AK100" s="423"/>
      <c r="AL100" s="423"/>
      <c r="AM100" s="423"/>
      <c r="AN100" s="427"/>
    </row>
    <row r="101" ht="15" customHeight="1">
      <c r="A101" s="12"/>
      <c r="B101" s="428" cm="1">
        <f t="array" ref="B101">IF(B100=0,0,IF(B100&lt;VLOOKUP(C94,'Boats Data Sheet 2026'!$C$3:$H$57,6,0),B100+1,0))</f>
        <v>5</v>
      </c>
      <c r="C101" s="423" cm="1">
        <f t="array" ref="C101">IF(B101&gt;0,IF(VLOOKUP(C94,'Boats Data Sheet 2026'!$C$3:$J$57,8,0)="N/A",0,VLOOKUP(C94,'Boats Data Sheet 2026'!$C$3:$J$57,8,0)),"N/A")</f>
        <v>5675000</v>
      </c>
      <c r="D101" s="429" cm="1">
        <f t="array" ref="D101">IF(B101&gt;7,2,IF(B101=0,"N/A",1))</f>
        <v>1</v>
      </c>
      <c r="E101" s="423" cm="1">
        <f t="array" ref="E101">_xlfn.IFERROR(SUM('Direct Costs 2026'!$C$4:$C$5)*D101,"N/A")</f>
        <v>875500</v>
      </c>
      <c r="F101" s="423" cm="1">
        <f t="array" ref="F101">_xlfn.IFERROR('Direct Costs 2026'!$C$43*B101,"N/A")</f>
        <v>30000</v>
      </c>
      <c r="G101" s="423" cm="1">
        <f t="array" ref="G101">IF(B101&gt;0,'Direct Costs 2026'!$C$25,"N/A")</f>
        <v>90000</v>
      </c>
      <c r="H101" s="423" cm="1">
        <f t="array" ref="H101">IF(B101&gt;0,'Direct Costs 2026'!$C$22,"N/A")</f>
        <v>200000</v>
      </c>
      <c r="I101" s="423">
        <v>0</v>
      </c>
      <c r="J101" s="423">
        <v>0</v>
      </c>
      <c r="K101" s="423" cm="1">
        <f t="array" ref="K101">IF(B101&gt;0,'Direct Costs 2026'!$C$26,"N/A")</f>
        <v>20000</v>
      </c>
      <c r="L101" s="423" cm="1">
        <f t="array" ref="L101">IF(B101&gt;0,'Direct Costs 2026'!$C$23,"N/A")</f>
        <v>140000</v>
      </c>
      <c r="M101" s="423" cm="1">
        <f t="array" ref="M101">IF(B101&gt;0,'Direct Costs 2026'!$C$45*B101,"N/A")</f>
        <v>750000</v>
      </c>
      <c r="N101" t="str" s="431" cm="1">
        <f t="array" ref="N101">IF(B101&gt;0,_xlfn.IFERROR(VLOOKUP(C94,'Boats Data Sheet 2026'!$C$3:$I$57,7,0)*'Direct Costs 2026'!$C$36,"N/A"),"N/A")</f>
        <v>N/A</v>
      </c>
      <c r="O101" t="str" s="431" cm="1">
        <f t="array" ref="O101">IF(B101&gt;0,IF(OR(VLOOKUP(C94,'Boats Data Sheet 2026'!$C$3:$F$57,4,0)="Own",VLOOKUP(C94,'Boats Data Sheet 2026'!$C$3:$F$57,4,0)="Management"),('Direct Costs 2026'!$C$37+'Direct Costs 2026'!$C$39),"N/A"),"N/A")</f>
        <v>N/A</v>
      </c>
      <c r="P101" s="423" cm="1">
        <f t="array" ref="P101">_xlfn.IFERROR('Direct Costs 2026'!$C$27*C101,"N/A")</f>
        <v>113500</v>
      </c>
      <c r="Q101" s="423" cm="1">
        <f t="array" ref="Q101">_xlfn.IFERROR(C101+SUM(E101:P101),"N/A")</f>
        <v>7894000</v>
      </c>
      <c r="R101" s="424"/>
      <c r="S101" s="423" cm="1">
        <f t="array" ref="S101">IF(B101&gt;0,'Allocation OH and Target 2026'!$E$31,"N/A")</f>
        <v>3100447.15769812</v>
      </c>
      <c r="T101" s="423" cm="1">
        <f t="array" ref="T101">IF(B101&gt;0,VLOOKUP(C94,'Allocation OH and Target 2026'!$C$35:$S$87,16,0),"N/A")</f>
        <v>0</v>
      </c>
      <c r="U101" s="423" cm="1">
        <f t="array" ref="U101">_xlfn.IFERROR((S101+T101),"N/A")</f>
        <v>3100447.15769812</v>
      </c>
      <c r="V101" s="424"/>
      <c r="W101" s="423" cm="1">
        <f t="array" ref="W101">_xlfn.IFERROR(U101+Q101,"N/A")</f>
        <v>10994447.1576981</v>
      </c>
      <c r="X101" s="423" cm="1">
        <f t="array" ref="X101">_xlfn.IFERROR(W101*0.5%,"N/A")</f>
        <v>54972.2357884905</v>
      </c>
      <c r="Y101" s="423" cm="1">
        <f t="array" ref="Y101">_xlfn.IFERROR(W101*25%,"N/A")</f>
        <v>2748611.78942453</v>
      </c>
      <c r="Z101" s="425" cm="1">
        <f t="array" ref="Z101">IF(B101&gt;0,SUM(W101:Y101),"N/A")</f>
        <v>13798031.1829111</v>
      </c>
      <c r="AA101" s="425" cm="1">
        <f t="array" ref="AA101">_xlfn.IFERROR((Z101-Z100),"N/A")</f>
        <v>195780</v>
      </c>
      <c r="AB101" s="424"/>
      <c r="AC101" t="str" s="426" cm="1">
        <f t="array" ref="AC101">IF(B101=6,AVERAGE(Z97:Z102),"N/A")</f>
        <v>N/A</v>
      </c>
      <c r="AD101" s="424"/>
      <c r="AE101" s="423"/>
      <c r="AF101" s="423"/>
      <c r="AG101" s="423"/>
      <c r="AH101" s="423"/>
      <c r="AI101" s="423"/>
      <c r="AJ101" s="423"/>
      <c r="AK101" s="423"/>
      <c r="AL101" s="423"/>
      <c r="AM101" s="423"/>
      <c r="AN101" s="427"/>
    </row>
    <row r="102" ht="15" customHeight="1">
      <c r="A102" s="12"/>
      <c r="B102" s="428" cm="1">
        <f t="array" ref="B102">IF(B101=0,0,IF(B101&lt;VLOOKUP(C94,'Boats Data Sheet 2026'!$C$3:$H$57,6,0),B101+1,0))</f>
        <v>6</v>
      </c>
      <c r="C102" s="423" cm="1">
        <f t="array" ref="C102">IF(B102&gt;0,IF(VLOOKUP(C94,'Boats Data Sheet 2026'!$C$3:$J$57,8,0)="N/A",0,VLOOKUP(C94,'Boats Data Sheet 2026'!$C$3:$J$57,8,0)),"N/A")</f>
        <v>5675000</v>
      </c>
      <c r="D102" s="429" cm="1">
        <f t="array" ref="D102">IF(B102&gt;7,2,IF(B102=0,"N/A",1))</f>
        <v>1</v>
      </c>
      <c r="E102" s="423" cm="1">
        <f t="array" ref="E102">_xlfn.IFERROR(SUM('Direct Costs 2026'!$C$4:$C$5)*D102,"N/A")</f>
        <v>875500</v>
      </c>
      <c r="F102" s="423" cm="1">
        <f t="array" ref="F102">_xlfn.IFERROR('Direct Costs 2026'!$C$43*B102,"N/A")</f>
        <v>36000</v>
      </c>
      <c r="G102" s="423" cm="1">
        <f t="array" ref="G102">IF(B102&gt;0,'Direct Costs 2026'!$C$25,"N/A")</f>
        <v>90000</v>
      </c>
      <c r="H102" s="423" cm="1">
        <f t="array" ref="H102">IF(B102&gt;0,'Direct Costs 2026'!$C$22,"N/A")</f>
        <v>200000</v>
      </c>
      <c r="I102" s="423">
        <v>0</v>
      </c>
      <c r="J102" s="423">
        <v>0</v>
      </c>
      <c r="K102" s="423" cm="1">
        <f t="array" ref="K102">IF(B102&gt;0,'Direct Costs 2026'!$C$26,"N/A")</f>
        <v>20000</v>
      </c>
      <c r="L102" s="423" cm="1">
        <f t="array" ref="L102">IF(B102&gt;0,'Direct Costs 2026'!$C$23,"N/A")</f>
        <v>140000</v>
      </c>
      <c r="M102" s="423" cm="1">
        <f t="array" ref="M102">IF(B102&gt;0,'Direct Costs 2026'!$C$45*B102,"N/A")</f>
        <v>900000</v>
      </c>
      <c r="N102" t="str" s="431" cm="1">
        <f t="array" ref="N102">IF(B102&gt;0,_xlfn.IFERROR(VLOOKUP(C94,'Boats Data Sheet 2026'!$C$3:$I$57,7,0)*'Direct Costs 2026'!$C$36,"N/A"),"N/A")</f>
        <v>N/A</v>
      </c>
      <c r="O102" t="str" s="431" cm="1">
        <f t="array" ref="O102">IF(B102&gt;0,IF(OR(VLOOKUP(C94,'Boats Data Sheet 2026'!$C$3:$F$57,4,0)="Own",VLOOKUP(C94,'Boats Data Sheet 2026'!$C$3:$F$57,4,0)="Management"),('Direct Costs 2026'!$C$37+'Direct Costs 2026'!$C$39),"N/A"),"N/A")</f>
        <v>N/A</v>
      </c>
      <c r="P102" s="423" cm="1">
        <f t="array" ref="P102">_xlfn.IFERROR('Direct Costs 2026'!$C$27*C102,"N/A")</f>
        <v>113500</v>
      </c>
      <c r="Q102" s="423" cm="1">
        <f t="array" ref="Q102">_xlfn.IFERROR(C102+SUM(E102:P102),"N/A")</f>
        <v>8050000</v>
      </c>
      <c r="R102" s="424"/>
      <c r="S102" s="423" cm="1">
        <f t="array" ref="S102">IF(B102&gt;0,'Allocation OH and Target 2026'!$E$31,"N/A")</f>
        <v>3100447.15769812</v>
      </c>
      <c r="T102" s="423" cm="1">
        <f t="array" ref="T102">IF(B102&gt;0,VLOOKUP(C94,'Allocation OH and Target 2026'!$C$35:$S$87,16,0),"N/A")</f>
        <v>0</v>
      </c>
      <c r="U102" s="423" cm="1">
        <f t="array" ref="U102">_xlfn.IFERROR((S102+T102),"N/A")</f>
        <v>3100447.15769812</v>
      </c>
      <c r="V102" s="424"/>
      <c r="W102" s="423" cm="1">
        <f t="array" ref="W102">_xlfn.IFERROR(U102+Q102,"N/A")</f>
        <v>11150447.1576981</v>
      </c>
      <c r="X102" s="423" cm="1">
        <f t="array" ref="X102">_xlfn.IFERROR(W102*0.5%,"N/A")</f>
        <v>55752.2357884905</v>
      </c>
      <c r="Y102" s="423" cm="1">
        <f t="array" ref="Y102">_xlfn.IFERROR(W102*25%,"N/A")</f>
        <v>2787611.78942453</v>
      </c>
      <c r="Z102" s="425" cm="1">
        <f t="array" ref="Z102">IF(B102&gt;0,SUM(W102:Y102),"N/A")</f>
        <v>13993811.1829111</v>
      </c>
      <c r="AA102" s="425" cm="1">
        <f t="array" ref="AA102">_xlfn.IFERROR((Z102-Z101),"N/A")</f>
        <v>195780</v>
      </c>
      <c r="AB102" s="424"/>
      <c r="AC102" s="425" cm="1">
        <f t="array" ref="AC102">IF(B102=6,AVERAGE(Z97:Z102),"N/A")</f>
        <v>13504361.1829111</v>
      </c>
      <c r="AD102" s="424"/>
      <c r="AE102" s="423"/>
      <c r="AF102" s="423"/>
      <c r="AG102" s="423"/>
      <c r="AH102" s="423"/>
      <c r="AI102" s="423"/>
      <c r="AJ102" s="423"/>
      <c r="AK102" s="423"/>
      <c r="AL102" s="423"/>
      <c r="AM102" s="423"/>
      <c r="AN102" s="427"/>
    </row>
    <row r="103" ht="15" customHeight="1">
      <c r="A103" s="12"/>
      <c r="B103" s="428" cm="1">
        <f t="array" ref="B103">IF(B102=0,0,IF(B102&lt;VLOOKUP(C94,'Boats Data Sheet 2026'!$C$3:$H$57,6,0),B102+1,0))</f>
        <v>7</v>
      </c>
      <c r="C103" s="423" cm="1">
        <f t="array" ref="C103">IF(B103&gt;0,IF(VLOOKUP(C94,'Boats Data Sheet 2026'!$C$3:$J$57,8,0)="N/A",0,VLOOKUP(C94,'Boats Data Sheet 2026'!$C$3:$J$57,8,0)),"N/A")</f>
        <v>5675000</v>
      </c>
      <c r="D103" s="429" cm="1">
        <f t="array" ref="D103">IF(B103&gt;7,2,IF(B103=0,"N/A",1))</f>
        <v>1</v>
      </c>
      <c r="E103" s="423" cm="1">
        <f t="array" ref="E103">_xlfn.IFERROR(SUM('Direct Costs 2026'!$C$4:$C$5)*D103,"N/A")</f>
        <v>875500</v>
      </c>
      <c r="F103" s="423" cm="1">
        <f t="array" ref="F103">_xlfn.IFERROR('Direct Costs 2026'!$C$43*B103,"N/A")</f>
        <v>42000</v>
      </c>
      <c r="G103" s="423" cm="1">
        <f t="array" ref="G103">IF(B103&gt;0,'Direct Costs 2026'!$C$25,"N/A")</f>
        <v>90000</v>
      </c>
      <c r="H103" s="423" cm="1">
        <f t="array" ref="H103">IF(B103&gt;0,'Direct Costs 2026'!$C$22,"N/A")</f>
        <v>200000</v>
      </c>
      <c r="I103" s="423">
        <v>0</v>
      </c>
      <c r="J103" s="423">
        <v>0</v>
      </c>
      <c r="K103" s="423" cm="1">
        <f t="array" ref="K103">IF(B103&gt;0,'Direct Costs 2026'!$C$26,"N/A")</f>
        <v>20000</v>
      </c>
      <c r="L103" s="423" cm="1">
        <f t="array" ref="L103">IF(B103&gt;0,'Direct Costs 2026'!$C$23,"N/A")</f>
        <v>140000</v>
      </c>
      <c r="M103" s="423" cm="1">
        <f t="array" ref="M103">IF(B103&gt;0,'Direct Costs 2026'!$C$45*B103,"N/A")</f>
        <v>1050000</v>
      </c>
      <c r="N103" t="str" s="431" cm="1">
        <f t="array" ref="N103">IF(B103&gt;0,_xlfn.IFERROR(VLOOKUP(C94,'Boats Data Sheet 2026'!$C$3:$I$57,7,0)*'Direct Costs 2026'!$C$36,"N/A"),"N/A")</f>
        <v>N/A</v>
      </c>
      <c r="O103" t="str" s="431" cm="1">
        <f t="array" ref="O103">IF(B103&gt;0,IF(OR(VLOOKUP(C94,'Boats Data Sheet 2026'!$C$3:$F$57,4,0)="Own",VLOOKUP(C94,'Boats Data Sheet 2026'!$C$3:$F$57,4,0)="Management"),('Direct Costs 2026'!$C$37+'Direct Costs 2026'!$C$39),"N/A"),"N/A")</f>
        <v>N/A</v>
      </c>
      <c r="P103" s="423" cm="1">
        <f t="array" ref="P103">_xlfn.IFERROR('Direct Costs 2026'!$C$27*C103,"N/A")</f>
        <v>113500</v>
      </c>
      <c r="Q103" s="423" cm="1">
        <f t="array" ref="Q103">_xlfn.IFERROR(C103+SUM(E103:P103),"N/A")</f>
        <v>8206000</v>
      </c>
      <c r="R103" s="424"/>
      <c r="S103" s="423" cm="1">
        <f t="array" ref="S103">IF(B103&gt;0,'Allocation OH and Target 2026'!$E$31,"N/A")</f>
        <v>3100447.15769812</v>
      </c>
      <c r="T103" s="423" cm="1">
        <f t="array" ref="T103">IF(B103&gt;0,VLOOKUP(C94,'Allocation OH and Target 2026'!$C$35:$S$87,16,0),"N/A")</f>
        <v>0</v>
      </c>
      <c r="U103" s="423" cm="1">
        <f t="array" ref="U103">_xlfn.IFERROR((S103+T103),"N/A")</f>
        <v>3100447.15769812</v>
      </c>
      <c r="V103" s="424"/>
      <c r="W103" s="423" cm="1">
        <f t="array" ref="W103">_xlfn.IFERROR(U103+Q103,"N/A")</f>
        <v>11306447.1576981</v>
      </c>
      <c r="X103" s="423" cm="1">
        <f t="array" ref="X103">_xlfn.IFERROR(W103*0.5%,"N/A")</f>
        <v>56532.2357884905</v>
      </c>
      <c r="Y103" s="423" cm="1">
        <f t="array" ref="Y103">_xlfn.IFERROR(W103*25%,"N/A")</f>
        <v>2826611.78942453</v>
      </c>
      <c r="Z103" s="425" cm="1">
        <f t="array" ref="Z103">IF(B103&gt;0,SUM(W103:Y103),"N/A")</f>
        <v>14189591.1829111</v>
      </c>
      <c r="AA103" s="425" cm="1">
        <f t="array" ref="AA103">_xlfn.IFERROR((Z103-Z102),"N/A")</f>
        <v>195780</v>
      </c>
      <c r="AB103" s="424"/>
      <c r="AC103" t="str" s="426" cm="1">
        <f t="array" ref="AC103">IF(B103=6,AVERAGE(Z97:Z102),"N/A")</f>
        <v>N/A</v>
      </c>
      <c r="AD103" s="424"/>
      <c r="AE103" s="423"/>
      <c r="AF103" s="423"/>
      <c r="AG103" s="423"/>
      <c r="AH103" s="423"/>
      <c r="AI103" s="423"/>
      <c r="AJ103" s="423"/>
      <c r="AK103" s="423"/>
      <c r="AL103" s="423"/>
      <c r="AM103" s="423"/>
      <c r="AN103" s="427"/>
    </row>
    <row r="104" ht="15" customHeight="1">
      <c r="A104" s="12"/>
      <c r="B104" s="428" cm="1">
        <f t="array" ref="B104">IF(B103=0,0,IF(B103&lt;VLOOKUP(C94,'Boats Data Sheet 2026'!$C$3:$H$57,6,0),B103+1,0))</f>
        <v>8</v>
      </c>
      <c r="C104" s="423" cm="1">
        <f t="array" ref="C104">IF(B104&gt;0,IF(VLOOKUP(C94,'Boats Data Sheet 2026'!$C$3:$J$57,8,0)="N/A",0,VLOOKUP(C94,'Boats Data Sheet 2026'!$C$3:$J$57,8,0)),"N/A")</f>
        <v>5675000</v>
      </c>
      <c r="D104" s="429" cm="1">
        <f t="array" ref="D104">IF(B104&gt;7,2,IF(B104=0,"N/A",1))</f>
        <v>2</v>
      </c>
      <c r="E104" s="423" cm="1">
        <f t="array" ref="E104">_xlfn.IFERROR(SUM('Direct Costs 2026'!$C$4:$C$5)*D104,"N/A")</f>
        <v>1751000</v>
      </c>
      <c r="F104" s="423" cm="1">
        <f t="array" ref="F104">_xlfn.IFERROR('Direct Costs 2026'!$C$43*B104,"N/A")</f>
        <v>48000</v>
      </c>
      <c r="G104" s="423" cm="1">
        <f t="array" ref="G104">IF(B104&gt;0,'Direct Costs 2026'!$C$25,"N/A")</f>
        <v>90000</v>
      </c>
      <c r="H104" s="423" cm="1">
        <f t="array" ref="H104">IF(B104&gt;0,'Direct Costs 2026'!$C$22,"N/A")</f>
        <v>200000</v>
      </c>
      <c r="I104" s="423">
        <v>0</v>
      </c>
      <c r="J104" s="423">
        <v>0</v>
      </c>
      <c r="K104" s="423" cm="1">
        <f t="array" ref="K104">IF(B104&gt;0,'Direct Costs 2026'!$C$26,"N/A")</f>
        <v>20000</v>
      </c>
      <c r="L104" s="423" cm="1">
        <f t="array" ref="L104">IF(B104&gt;0,'Direct Costs 2026'!$C$23,"N/A")</f>
        <v>140000</v>
      </c>
      <c r="M104" s="423" cm="1">
        <f t="array" ref="M104">IF(B104&gt;0,'Direct Costs 2026'!$C$45*B104,"N/A")</f>
        <v>1200000</v>
      </c>
      <c r="N104" t="str" s="431" cm="1">
        <f t="array" ref="N104">IF(B104&gt;0,_xlfn.IFERROR(VLOOKUP(C94,'Boats Data Sheet 2026'!$C$3:$I$57,7,0)*'Direct Costs 2026'!$C$36,"N/A"),"N/A")</f>
        <v>N/A</v>
      </c>
      <c r="O104" t="str" s="431" cm="1">
        <f t="array" ref="O104">IF(B104&gt;0,IF(OR(VLOOKUP(C94,'Boats Data Sheet 2026'!$C$3:$F$57,4,0)="Own",VLOOKUP(C94,'Boats Data Sheet 2026'!$C$3:$F$57,4,0)="Management"),('Direct Costs 2026'!$C$37+'Direct Costs 2026'!$C$39),"N/A"),"N/A")</f>
        <v>N/A</v>
      </c>
      <c r="P104" s="423" cm="1">
        <f t="array" ref="P104">_xlfn.IFERROR('Direct Costs 2026'!$C$27*C104,"N/A")</f>
        <v>113500</v>
      </c>
      <c r="Q104" s="423" cm="1">
        <f t="array" ref="Q104">_xlfn.IFERROR(C104+SUM(E104:P104),"N/A")</f>
        <v>9237500</v>
      </c>
      <c r="R104" s="424"/>
      <c r="S104" s="423" cm="1">
        <f t="array" ref="S104">IF(B104&gt;0,'Allocation OH and Target 2026'!$E$31,"N/A")</f>
        <v>3100447.15769812</v>
      </c>
      <c r="T104" s="423" cm="1">
        <f t="array" ref="T104">IF(B104&gt;0,VLOOKUP(C94,'Allocation OH and Target 2026'!$C$35:$S$87,16,0),"N/A")</f>
        <v>0</v>
      </c>
      <c r="U104" s="423" cm="1">
        <f t="array" ref="U104">_xlfn.IFERROR((S104+T104),"N/A")</f>
        <v>3100447.15769812</v>
      </c>
      <c r="V104" s="424"/>
      <c r="W104" s="423" cm="1">
        <f t="array" ref="W104">_xlfn.IFERROR(U104+Q104,"N/A")</f>
        <v>12337947.1576981</v>
      </c>
      <c r="X104" s="423" cm="1">
        <f t="array" ref="X104">_xlfn.IFERROR(W104*0.5%,"N/A")</f>
        <v>61689.7357884905</v>
      </c>
      <c r="Y104" s="423" cm="1">
        <f t="array" ref="Y104">_xlfn.IFERROR(W104*25%,"N/A")</f>
        <v>3084486.78942453</v>
      </c>
      <c r="Z104" s="425" cm="1">
        <f t="array" ref="Z104">IF(B104&gt;0,SUM(W104:Y104),"N/A")</f>
        <v>15484123.6829111</v>
      </c>
      <c r="AA104" s="425" cm="1">
        <f t="array" ref="AA104">_xlfn.IFERROR((Z104-Z103),"N/A")</f>
        <v>1294532.5</v>
      </c>
      <c r="AB104" s="424"/>
      <c r="AC104" t="str" s="426" cm="1">
        <f t="array" ref="AC104">IF(B104=6,AVERAGE(Z97:Z102),"N/A")</f>
        <v>N/A</v>
      </c>
      <c r="AD104" s="424"/>
      <c r="AE104" s="423"/>
      <c r="AF104" s="423"/>
      <c r="AG104" s="423"/>
      <c r="AH104" s="423"/>
      <c r="AI104" s="423"/>
      <c r="AJ104" s="423"/>
      <c r="AK104" s="423"/>
      <c r="AL104" s="423"/>
      <c r="AM104" s="423"/>
      <c r="AN104" s="427"/>
    </row>
    <row r="105" ht="15" customHeight="1">
      <c r="A105" s="12"/>
      <c r="B105" s="428" cm="1">
        <f t="array" ref="B105">IF(B104=0,0,IF(B104&lt;VLOOKUP(C94,'Boats Data Sheet 2026'!$C$3:$H$57,6,0),B104+1,0))</f>
        <v>9</v>
      </c>
      <c r="C105" s="423" cm="1">
        <f t="array" ref="C105">IF(B105&gt;0,IF(VLOOKUP(C94,'Boats Data Sheet 2026'!$C$3:$J$57,8,0)="N/A",0,VLOOKUP(C94,'Boats Data Sheet 2026'!$C$3:$J$57,8,0)),"N/A")</f>
        <v>5675000</v>
      </c>
      <c r="D105" s="429" cm="1">
        <f t="array" ref="D105">IF(B105&gt;7,2,IF(B105=0,"N/A",1))</f>
        <v>2</v>
      </c>
      <c r="E105" s="423" cm="1">
        <f t="array" ref="E105">_xlfn.IFERROR(SUM('Direct Costs 2026'!$C$4:$C$5)*D105,"N/A")</f>
        <v>1751000</v>
      </c>
      <c r="F105" s="423" cm="1">
        <f t="array" ref="F105">_xlfn.IFERROR('Direct Costs 2026'!$C$43*B105,"N/A")</f>
        <v>54000</v>
      </c>
      <c r="G105" s="423" cm="1">
        <f t="array" ref="G105">IF(B105&gt;0,'Direct Costs 2026'!$C$25,"N/A")</f>
        <v>90000</v>
      </c>
      <c r="H105" s="423" cm="1">
        <f t="array" ref="H105">IF(B105&gt;0,'Direct Costs 2026'!$C$22,"N/A")</f>
        <v>200000</v>
      </c>
      <c r="I105" s="423">
        <v>0</v>
      </c>
      <c r="J105" s="423">
        <v>0</v>
      </c>
      <c r="K105" s="423" cm="1">
        <f t="array" ref="K105">IF(B105&gt;0,'Direct Costs 2026'!$C$26,"N/A")</f>
        <v>20000</v>
      </c>
      <c r="L105" s="423" cm="1">
        <f t="array" ref="L105">IF(B105&gt;0,'Direct Costs 2026'!$C$23,"N/A")</f>
        <v>140000</v>
      </c>
      <c r="M105" s="423" cm="1">
        <f t="array" ref="M105">IF(B105&gt;0,'Direct Costs 2026'!$C$45*B105,"N/A")</f>
        <v>1350000</v>
      </c>
      <c r="N105" t="str" s="431" cm="1">
        <f t="array" ref="N105">IF(B105&gt;0,_xlfn.IFERROR(VLOOKUP(C94,'Boats Data Sheet 2026'!$C$3:$I$57,7,0)*'Direct Costs 2026'!$C$36,"N/A"),"N/A")</f>
        <v>N/A</v>
      </c>
      <c r="O105" t="str" s="431" cm="1">
        <f t="array" ref="O105">IF(B105&gt;0,IF(OR(VLOOKUP(C94,'Boats Data Sheet 2026'!$C$3:$F$57,4,0)="Own",VLOOKUP(C94,'Boats Data Sheet 2026'!$C$3:$F$57,4,0)="Management"),('Direct Costs 2026'!$C$37+'Direct Costs 2026'!$C$39),"N/A"),"N/A")</f>
        <v>N/A</v>
      </c>
      <c r="P105" s="423" cm="1">
        <f t="array" ref="P105">_xlfn.IFERROR('Direct Costs 2026'!$C$27*C105,"N/A")</f>
        <v>113500</v>
      </c>
      <c r="Q105" s="423" cm="1">
        <f t="array" ref="Q105">_xlfn.IFERROR(C105+SUM(E105:P105),"N/A")</f>
        <v>9393500</v>
      </c>
      <c r="R105" s="424"/>
      <c r="S105" s="423" cm="1">
        <f t="array" ref="S105">IF(B105&gt;0,'Allocation OH and Target 2026'!$E$31,"N/A")</f>
        <v>3100447.15769812</v>
      </c>
      <c r="T105" s="423" cm="1">
        <f t="array" ref="T105">IF(B105&gt;0,VLOOKUP(C94,'Allocation OH and Target 2026'!$C$35:$S$87,16,0),"N/A")</f>
        <v>0</v>
      </c>
      <c r="U105" s="423" cm="1">
        <f t="array" ref="U105">_xlfn.IFERROR((S105+T105),"N/A")</f>
        <v>3100447.15769812</v>
      </c>
      <c r="V105" s="424"/>
      <c r="W105" s="423" cm="1">
        <f t="array" ref="W105">_xlfn.IFERROR(U105+Q105,"N/A")</f>
        <v>12493947.1576981</v>
      </c>
      <c r="X105" s="423" cm="1">
        <f t="array" ref="X105">_xlfn.IFERROR(W105*0.5%,"N/A")</f>
        <v>62469.7357884905</v>
      </c>
      <c r="Y105" s="423" cm="1">
        <f t="array" ref="Y105">_xlfn.IFERROR(W105*25%,"N/A")</f>
        <v>3123486.78942453</v>
      </c>
      <c r="Z105" s="425" cm="1">
        <f t="array" ref="Z105">IF(B105&gt;0,SUM(W105:Y105),"N/A")</f>
        <v>15679903.6829111</v>
      </c>
      <c r="AA105" s="425" cm="1">
        <f t="array" ref="AA105">_xlfn.IFERROR((Z105-Z104),"N/A")</f>
        <v>195780</v>
      </c>
      <c r="AB105" s="424"/>
      <c r="AC105" t="str" s="426" cm="1">
        <f t="array" ref="AC105">IF(B105=6,AVERAGE(Z97:Z102),"N/A")</f>
        <v>N/A</v>
      </c>
      <c r="AD105" s="424"/>
      <c r="AE105" s="423"/>
      <c r="AF105" s="423"/>
      <c r="AG105" s="423"/>
      <c r="AH105" s="423"/>
      <c r="AI105" s="423"/>
      <c r="AJ105" s="423"/>
      <c r="AK105" s="423"/>
      <c r="AL105" s="423"/>
      <c r="AM105" s="423"/>
      <c r="AN105" s="427"/>
    </row>
    <row r="106" ht="15" customHeight="1">
      <c r="A106" s="12"/>
      <c r="B106" s="428" cm="1">
        <f t="array" ref="B106">IF(B105=0,0,IF(B105&lt;VLOOKUP(C94,'Boats Data Sheet 2026'!$C$3:$H$57,6,0),B105+1,0))</f>
        <v>10</v>
      </c>
      <c r="C106" s="423" cm="1">
        <f t="array" ref="C106">IF(B106&gt;0,IF(VLOOKUP(C94,'Boats Data Sheet 2026'!$C$3:$J$57,8,0)="N/A",0,VLOOKUP(C94,'Boats Data Sheet 2026'!$C$3:$J$57,8,0)),"N/A")</f>
        <v>5675000</v>
      </c>
      <c r="D106" s="429" cm="1">
        <f t="array" ref="D106">IF(B106&gt;7,2,IF(B106=0,"N/A",1))</f>
        <v>2</v>
      </c>
      <c r="E106" s="423" cm="1">
        <f t="array" ref="E106">_xlfn.IFERROR(SUM('Direct Costs 2026'!$C$4:$C$5)*D106,"N/A")</f>
        <v>1751000</v>
      </c>
      <c r="F106" s="423" cm="1">
        <f t="array" ref="F106">_xlfn.IFERROR('Direct Costs 2026'!$C$43*B106,"N/A")</f>
        <v>60000</v>
      </c>
      <c r="G106" s="423" cm="1">
        <f t="array" ref="G106">IF(B106&gt;0,'Direct Costs 2026'!$C$25,"N/A")</f>
        <v>90000</v>
      </c>
      <c r="H106" s="423" cm="1">
        <f t="array" ref="H106">IF(B106&gt;0,'Direct Costs 2026'!$C$22,"N/A")</f>
        <v>200000</v>
      </c>
      <c r="I106" s="423">
        <v>0</v>
      </c>
      <c r="J106" s="423">
        <v>0</v>
      </c>
      <c r="K106" s="423" cm="1">
        <f t="array" ref="K106">IF(B106&gt;0,'Direct Costs 2026'!$C$26,"N/A")</f>
        <v>20000</v>
      </c>
      <c r="L106" s="423" cm="1">
        <f t="array" ref="L106">IF(B106&gt;0,'Direct Costs 2026'!$C$23,"N/A")</f>
        <v>140000</v>
      </c>
      <c r="M106" s="423" cm="1">
        <f t="array" ref="M106">IF(B106&gt;0,'Direct Costs 2026'!$C$45*B106,"N/A")</f>
        <v>1500000</v>
      </c>
      <c r="N106" t="str" s="431" cm="1">
        <f t="array" ref="N106">IF(B106&gt;0,_xlfn.IFERROR(VLOOKUP(C94,'Boats Data Sheet 2026'!$C$3:$I$57,7,0)*'Direct Costs 2026'!$C$36,"N/A"),"N/A")</f>
        <v>N/A</v>
      </c>
      <c r="O106" t="str" s="431" cm="1">
        <f t="array" ref="O106">IF(B106&gt;0,IF(OR(VLOOKUP(C94,'Boats Data Sheet 2026'!$C$3:$F$57,4,0)="Own",VLOOKUP(C94,'Boats Data Sheet 2026'!$C$3:$F$57,4,0)="Management"),('Direct Costs 2026'!$C$37+'Direct Costs 2026'!$C$39),"N/A"),"N/A")</f>
        <v>N/A</v>
      </c>
      <c r="P106" s="423" cm="1">
        <f t="array" ref="P106">_xlfn.IFERROR('Direct Costs 2026'!$C$27*C106,"N/A")</f>
        <v>113500</v>
      </c>
      <c r="Q106" s="423" cm="1">
        <f t="array" ref="Q106">_xlfn.IFERROR(C106+SUM(E106:P106),"N/A")</f>
        <v>9549500</v>
      </c>
      <c r="R106" s="424"/>
      <c r="S106" s="423" cm="1">
        <f t="array" ref="S106">IF(B106&gt;0,'Allocation OH and Target 2026'!$E$31,"N/A")</f>
        <v>3100447.15769812</v>
      </c>
      <c r="T106" s="423" cm="1">
        <f t="array" ref="T106">IF(B106&gt;0,VLOOKUP(C94,'Allocation OH and Target 2026'!$C$35:$S$87,16,0),"N/A")</f>
        <v>0</v>
      </c>
      <c r="U106" s="423" cm="1">
        <f t="array" ref="U106">_xlfn.IFERROR((S106+T106),"N/A")</f>
        <v>3100447.15769812</v>
      </c>
      <c r="V106" s="424"/>
      <c r="W106" s="423" cm="1">
        <f t="array" ref="W106">_xlfn.IFERROR(U106+Q106,"N/A")</f>
        <v>12649947.1576981</v>
      </c>
      <c r="X106" s="423" cm="1">
        <f t="array" ref="X106">_xlfn.IFERROR(W106*0.5%,"N/A")</f>
        <v>63249.7357884905</v>
      </c>
      <c r="Y106" s="423" cm="1">
        <f t="array" ref="Y106">_xlfn.IFERROR(W106*25%,"N/A")</f>
        <v>3162486.78942453</v>
      </c>
      <c r="Z106" s="425" cm="1">
        <f t="array" ref="Z106">IF(B106&gt;0,SUM(W106:Y106),"N/A")</f>
        <v>15875683.6829111</v>
      </c>
      <c r="AA106" s="425" cm="1">
        <f t="array" ref="AA106">_xlfn.IFERROR((Z106-Z105),"N/A")</f>
        <v>195780</v>
      </c>
      <c r="AB106" s="424"/>
      <c r="AC106" t="str" s="426" cm="1">
        <f t="array" ref="AC106">IF(B106=6,AVERAGE(Z97:Z102),"N/A")</f>
        <v>N/A</v>
      </c>
      <c r="AD106" s="424"/>
      <c r="AE106" s="423"/>
      <c r="AF106" s="423"/>
      <c r="AG106" s="423"/>
      <c r="AH106" s="423"/>
      <c r="AI106" s="423"/>
      <c r="AJ106" s="423"/>
      <c r="AK106" s="423"/>
      <c r="AL106" s="423"/>
      <c r="AM106" s="423"/>
      <c r="AN106" s="427"/>
    </row>
    <row r="107" ht="15" customHeight="1">
      <c r="A107" s="12"/>
      <c r="B107" s="428" cm="1">
        <f t="array" ref="B107">IF(B106=0,0,IF(B106&lt;VLOOKUP(C94,'Boats Data Sheet 2026'!$C$3:$H$57,6,0),B106+1,0))</f>
        <v>11</v>
      </c>
      <c r="C107" s="423" cm="1">
        <f t="array" ref="C107">IF(B107&gt;0,IF(VLOOKUP(C94,'Boats Data Sheet 2026'!$C$3:$J$57,8,0)="N/A",0,VLOOKUP(C94,'Boats Data Sheet 2026'!$C$3:$J$57,8,0)),"N/A")</f>
        <v>5675000</v>
      </c>
      <c r="D107" s="429" cm="1">
        <f t="array" ref="D107">IF(B107&gt;7,2,IF(B107=0,"N/A",1))</f>
        <v>2</v>
      </c>
      <c r="E107" s="423" cm="1">
        <f t="array" ref="E107">_xlfn.IFERROR(SUM('Direct Costs 2026'!$C$4:$C$5)*D107,"N/A")</f>
        <v>1751000</v>
      </c>
      <c r="F107" s="423" cm="1">
        <f t="array" ref="F107">_xlfn.IFERROR('Direct Costs 2026'!$C$43*B107,"N/A")</f>
        <v>66000</v>
      </c>
      <c r="G107" s="423" cm="1">
        <f t="array" ref="G107">IF(B107&gt;0,'Direct Costs 2026'!$C$25,"N/A")</f>
        <v>90000</v>
      </c>
      <c r="H107" s="423" cm="1">
        <f t="array" ref="H107">IF(B107&gt;0,'Direct Costs 2026'!$C$22,"N/A")</f>
        <v>200000</v>
      </c>
      <c r="I107" s="423">
        <v>0</v>
      </c>
      <c r="J107" s="423">
        <v>0</v>
      </c>
      <c r="K107" s="423" cm="1">
        <f t="array" ref="K107">IF(B107&gt;0,'Direct Costs 2026'!$C$26,"N/A")</f>
        <v>20000</v>
      </c>
      <c r="L107" s="423" cm="1">
        <f t="array" ref="L107">IF(B107&gt;0,'Direct Costs 2026'!$C$23,"N/A")</f>
        <v>140000</v>
      </c>
      <c r="M107" s="423" cm="1">
        <f t="array" ref="M107">IF(B107&gt;0,'Direct Costs 2026'!$C$45*B107,"N/A")</f>
        <v>1650000</v>
      </c>
      <c r="N107" t="str" s="431" cm="1">
        <f t="array" ref="N107">IF(B107&gt;0,_xlfn.IFERROR(VLOOKUP(C94,'Boats Data Sheet 2026'!$C$3:$I$57,7,0)*'Direct Costs 2026'!$C$36,"N/A"),"N/A")</f>
        <v>N/A</v>
      </c>
      <c r="O107" t="str" s="431" cm="1">
        <f t="array" ref="O107">IF(B107&gt;0,IF(OR(VLOOKUP(C94,'Boats Data Sheet 2026'!$C$3:$F$57,4,0)="Own",VLOOKUP(C94,'Boats Data Sheet 2026'!$C$3:$F$57,4,0)="Management"),('Direct Costs 2026'!$C$37+'Direct Costs 2026'!$C$39),"N/A"),"N/A")</f>
        <v>N/A</v>
      </c>
      <c r="P107" s="423" cm="1">
        <f t="array" ref="P107">_xlfn.IFERROR('Direct Costs 2026'!$C$27*C107,"N/A")</f>
        <v>113500</v>
      </c>
      <c r="Q107" s="423" cm="1">
        <f t="array" ref="Q107">_xlfn.IFERROR(C107+SUM(E107:P107),"N/A")</f>
        <v>9705500</v>
      </c>
      <c r="R107" s="424"/>
      <c r="S107" s="423" cm="1">
        <f t="array" ref="S107">IF(B107&gt;0,'Allocation OH and Target 2026'!$E$31,"N/A")</f>
        <v>3100447.15769812</v>
      </c>
      <c r="T107" s="423" cm="1">
        <f t="array" ref="T107">IF(B107&gt;0,VLOOKUP(C94,'Allocation OH and Target 2026'!$C$35:$S$87,16,0),"N/A")</f>
        <v>0</v>
      </c>
      <c r="U107" s="423" cm="1">
        <f t="array" ref="U107">_xlfn.IFERROR((S107+T107),"N/A")</f>
        <v>3100447.15769812</v>
      </c>
      <c r="V107" s="424"/>
      <c r="W107" s="423" cm="1">
        <f t="array" ref="W107">_xlfn.IFERROR(U107+Q107,"N/A")</f>
        <v>12805947.1576981</v>
      </c>
      <c r="X107" s="423" cm="1">
        <f t="array" ref="X107">_xlfn.IFERROR(W107*0.5%,"N/A")</f>
        <v>64029.7357884905</v>
      </c>
      <c r="Y107" s="423" cm="1">
        <f t="array" ref="Y107">_xlfn.IFERROR(W107*25%,"N/A")</f>
        <v>3201486.78942453</v>
      </c>
      <c r="Z107" s="425" cm="1">
        <f t="array" ref="Z107">IF(B107&gt;0,SUM(W107:Y107),"N/A")</f>
        <v>16071463.6829111</v>
      </c>
      <c r="AA107" s="425" cm="1">
        <f t="array" ref="AA107">_xlfn.IFERROR((Z107-Z106),"N/A")</f>
        <v>195780</v>
      </c>
      <c r="AB107" s="424"/>
      <c r="AC107" t="str" s="426" cm="1">
        <f t="array" ref="AC107">IF(B107=6,AVERAGE(Z97:Z102),"N/A")</f>
        <v>N/A</v>
      </c>
      <c r="AD107" s="424"/>
      <c r="AE107" s="423"/>
      <c r="AF107" s="423"/>
      <c r="AG107" s="423"/>
      <c r="AH107" s="423"/>
      <c r="AI107" s="423"/>
      <c r="AJ107" s="423"/>
      <c r="AK107" s="423"/>
      <c r="AL107" s="423"/>
      <c r="AM107" s="423"/>
      <c r="AN107" s="427"/>
    </row>
    <row r="108" ht="15" customHeight="1">
      <c r="A108" s="12"/>
      <c r="B108" s="428" cm="1">
        <f t="array" ref="B108">IF(B107=0,0,IF(B107&lt;VLOOKUP(C94,'Boats Data Sheet 2026'!$C$3:$H$57,6,0),B107+1,0))</f>
        <v>12</v>
      </c>
      <c r="C108" s="423" cm="1">
        <f t="array" ref="C108">IF(B108&gt;0,IF(VLOOKUP(C94,'Boats Data Sheet 2026'!$C$3:$J$57,8,0)="N/A",0,VLOOKUP(C94,'Boats Data Sheet 2026'!$C$3:$J$57,8,0)),"N/A")</f>
        <v>5675000</v>
      </c>
      <c r="D108" s="429" cm="1">
        <f t="array" ref="D108">IF(B108&gt;7,2,IF(B108=0,"N/A",1))</f>
        <v>2</v>
      </c>
      <c r="E108" s="423" cm="1">
        <f t="array" ref="E108">_xlfn.IFERROR(SUM('Direct Costs 2026'!$C$4:$C$5)*D108,"N/A")</f>
        <v>1751000</v>
      </c>
      <c r="F108" s="423" cm="1">
        <f t="array" ref="F108">_xlfn.IFERROR('Direct Costs 2026'!$C$43*B108,"N/A")</f>
        <v>72000</v>
      </c>
      <c r="G108" s="423" cm="1">
        <f t="array" ref="G108">IF(B108&gt;0,'Direct Costs 2026'!$C$25,"N/A")</f>
        <v>90000</v>
      </c>
      <c r="H108" s="423" cm="1">
        <f t="array" ref="H108">IF(B108&gt;0,'Direct Costs 2026'!$C$22,"N/A")</f>
        <v>200000</v>
      </c>
      <c r="I108" s="423">
        <v>0</v>
      </c>
      <c r="J108" s="423">
        <v>0</v>
      </c>
      <c r="K108" s="423" cm="1">
        <f t="array" ref="K108">IF(B108&gt;0,'Direct Costs 2026'!$C$26,"N/A")</f>
        <v>20000</v>
      </c>
      <c r="L108" s="423" cm="1">
        <f t="array" ref="L108">IF(B108&gt;0,'Direct Costs 2026'!$C$23,"N/A")</f>
        <v>140000</v>
      </c>
      <c r="M108" s="423" cm="1">
        <f t="array" ref="M108">IF(B108&gt;0,'Direct Costs 2026'!$C$45*B108,"N/A")</f>
        <v>1800000</v>
      </c>
      <c r="N108" t="str" s="431" cm="1">
        <f t="array" ref="N108">IF(B108&gt;0,_xlfn.IFERROR(VLOOKUP(C94,'Boats Data Sheet 2026'!$C$3:$I$57,7,0)*'Direct Costs 2026'!$C$36,"N/A"),"N/A")</f>
        <v>N/A</v>
      </c>
      <c r="O108" t="str" s="431" cm="1">
        <f t="array" ref="O108">IF(B108&gt;0,IF(OR(VLOOKUP(C94,'Boats Data Sheet 2026'!$C$3:$F$57,4,0)="Own",VLOOKUP(C94,'Boats Data Sheet 2026'!$C$3:$F$57,4,0)="Management"),('Direct Costs 2026'!$C$37+'Direct Costs 2026'!$C$39),"N/A"),"N/A")</f>
        <v>N/A</v>
      </c>
      <c r="P108" s="423" cm="1">
        <f t="array" ref="P108">_xlfn.IFERROR('Direct Costs 2026'!$C$27*C108,"N/A")</f>
        <v>113500</v>
      </c>
      <c r="Q108" s="423" cm="1">
        <f t="array" ref="Q108">_xlfn.IFERROR(C108+SUM(E108:P108),"N/A")</f>
        <v>9861500</v>
      </c>
      <c r="R108" s="424"/>
      <c r="S108" s="423" cm="1">
        <f t="array" ref="S108">IF(B108&gt;0,'Allocation OH and Target 2026'!$E$31,"N/A")</f>
        <v>3100447.15769812</v>
      </c>
      <c r="T108" s="423" cm="1">
        <f t="array" ref="T108">IF(B108&gt;0,VLOOKUP(C94,'Allocation OH and Target 2026'!$C$35:$S$87,16,0),"N/A")</f>
        <v>0</v>
      </c>
      <c r="U108" s="423" cm="1">
        <f t="array" ref="U108">_xlfn.IFERROR((S108+T108),"N/A")</f>
        <v>3100447.15769812</v>
      </c>
      <c r="V108" s="424"/>
      <c r="W108" s="423" cm="1">
        <f t="array" ref="W108">_xlfn.IFERROR(U108+Q108,"N/A")</f>
        <v>12961947.1576981</v>
      </c>
      <c r="X108" s="423" cm="1">
        <f t="array" ref="X108">_xlfn.IFERROR(W108*0.5%,"N/A")</f>
        <v>64809.7357884905</v>
      </c>
      <c r="Y108" s="423" cm="1">
        <f t="array" ref="Y108">_xlfn.IFERROR(W108*25%,"N/A")</f>
        <v>3240486.78942453</v>
      </c>
      <c r="Z108" s="425" cm="1">
        <f t="array" ref="Z108">IF(B108&gt;0,SUM(W108:Y108),"N/A")</f>
        <v>16267243.6829111</v>
      </c>
      <c r="AA108" s="425" cm="1">
        <f t="array" ref="AA108">_xlfn.IFERROR((Z108-Z107),"N/A")</f>
        <v>195780</v>
      </c>
      <c r="AB108" s="424"/>
      <c r="AC108" t="str" s="426" cm="1">
        <f t="array" ref="AC108">IF(B108=6,AVERAGE(Z97:Z102),"N/A")</f>
        <v>N/A</v>
      </c>
      <c r="AD108" s="424"/>
      <c r="AE108" s="423"/>
      <c r="AF108" s="423"/>
      <c r="AG108" s="423"/>
      <c r="AH108" s="423"/>
      <c r="AI108" s="423"/>
      <c r="AJ108" s="423"/>
      <c r="AK108" s="423"/>
      <c r="AL108" s="423"/>
      <c r="AM108" s="423"/>
      <c r="AN108" s="427"/>
    </row>
    <row r="109" ht="15" customHeight="1">
      <c r="A109" s="12"/>
      <c r="B109" s="428" cm="1">
        <f t="array" ref="B109">IF(B108=0,0,IF(B108&lt;VLOOKUP(C94,'Boats Data Sheet 2026'!$C$3:$H$57,6,0),B108+1,0))</f>
        <v>13</v>
      </c>
      <c r="C109" s="423" cm="1">
        <f t="array" ref="C109">IF(B109&gt;0,IF(VLOOKUP(C94,'Boats Data Sheet 2026'!$C$3:$J$57,8,0)="N/A",0,VLOOKUP(C94,'Boats Data Sheet 2026'!$C$3:$J$57,8,0)),"N/A")</f>
        <v>5675000</v>
      </c>
      <c r="D109" s="429" cm="1">
        <f t="array" ref="D109">IF(B109&gt;7,2,IF(B109=0,"N/A",1))</f>
        <v>2</v>
      </c>
      <c r="E109" s="423" cm="1">
        <f t="array" ref="E109">_xlfn.IFERROR(SUM('Direct Costs 2026'!$C$4:$C$5)*D109,"N/A")</f>
        <v>1751000</v>
      </c>
      <c r="F109" s="423" cm="1">
        <f t="array" ref="F109">_xlfn.IFERROR('Direct Costs 2026'!$C$43*B109,"N/A")</f>
        <v>78000</v>
      </c>
      <c r="G109" s="423" cm="1">
        <f t="array" ref="G109">IF(B109&gt;0,'Direct Costs 2026'!$C$25,"N/A")</f>
        <v>90000</v>
      </c>
      <c r="H109" s="423" cm="1">
        <f t="array" ref="H109">IF(B109&gt;0,'Direct Costs 2026'!$C$22,"N/A")</f>
        <v>200000</v>
      </c>
      <c r="I109" s="423">
        <v>0</v>
      </c>
      <c r="J109" s="423">
        <v>0</v>
      </c>
      <c r="K109" s="423" cm="1">
        <f t="array" ref="K109">IF(B109&gt;0,'Direct Costs 2026'!$C$26,"N/A")</f>
        <v>20000</v>
      </c>
      <c r="L109" s="423" cm="1">
        <f t="array" ref="L109">IF(B109&gt;0,'Direct Costs 2026'!$C$23,"N/A")</f>
        <v>140000</v>
      </c>
      <c r="M109" s="423" cm="1">
        <f t="array" ref="M109">IF(B109&gt;0,'Direct Costs 2026'!$C$45*B109,"N/A")</f>
        <v>1950000</v>
      </c>
      <c r="N109" t="str" s="431" cm="1">
        <f t="array" ref="N109">IF(B109&gt;0,_xlfn.IFERROR(VLOOKUP(C94,'Boats Data Sheet 2026'!$C$3:$I$57,7,0)*'Direct Costs 2026'!$C$36,"N/A"),"N/A")</f>
        <v>N/A</v>
      </c>
      <c r="O109" t="str" s="431" cm="1">
        <f t="array" ref="O109">IF(B109&gt;0,IF(OR(VLOOKUP(C94,'Boats Data Sheet 2026'!$C$3:$F$57,4,0)="Own",VLOOKUP(C94,'Boats Data Sheet 2026'!$C$3:$F$57,4,0)="Management"),('Direct Costs 2026'!$C$37+'Direct Costs 2026'!$C$39),"N/A"),"N/A")</f>
        <v>N/A</v>
      </c>
      <c r="P109" s="423" cm="1">
        <f t="array" ref="P109">_xlfn.IFERROR('Direct Costs 2026'!$C$27*C109,"N/A")</f>
        <v>113500</v>
      </c>
      <c r="Q109" s="423" cm="1">
        <f t="array" ref="Q109">_xlfn.IFERROR(C109+SUM(E109:P109),"N/A")</f>
        <v>10017500</v>
      </c>
      <c r="R109" s="424"/>
      <c r="S109" s="423" cm="1">
        <f t="array" ref="S109">IF(B109&gt;0,'Allocation OH and Target 2026'!$E$31,"N/A")</f>
        <v>3100447.15769812</v>
      </c>
      <c r="T109" s="423" cm="1">
        <f t="array" ref="T109">IF(B109&gt;0,VLOOKUP(C94,'Allocation OH and Target 2026'!$C$35:$S$87,16,0),"N/A")</f>
        <v>0</v>
      </c>
      <c r="U109" s="423" cm="1">
        <f t="array" ref="U109">_xlfn.IFERROR((S109+T109),"N/A")</f>
        <v>3100447.15769812</v>
      </c>
      <c r="V109" s="424"/>
      <c r="W109" s="423" cm="1">
        <f t="array" ref="W109">_xlfn.IFERROR(U109+Q109,"N/A")</f>
        <v>13117947.1576981</v>
      </c>
      <c r="X109" s="423" cm="1">
        <f t="array" ref="X109">_xlfn.IFERROR(W109*0.5%,"N/A")</f>
        <v>65589.735788490507</v>
      </c>
      <c r="Y109" s="423" cm="1">
        <f t="array" ref="Y109">_xlfn.IFERROR(W109*25%,"N/A")</f>
        <v>3279486.78942453</v>
      </c>
      <c r="Z109" s="425" cm="1">
        <f t="array" ref="Z109">IF(B109&gt;0,SUM(W109:Y109),"N/A")</f>
        <v>16463023.6829111</v>
      </c>
      <c r="AA109" s="425" cm="1">
        <f t="array" ref="AA109">_xlfn.IFERROR((Z109-Z108),"N/A")</f>
        <v>195780</v>
      </c>
      <c r="AB109" s="424"/>
      <c r="AC109" t="str" s="426" cm="1">
        <f t="array" ref="AC109">IF(B109=6,AVERAGE(Z97:Z102),"N/A")</f>
        <v>N/A</v>
      </c>
      <c r="AD109" s="424"/>
      <c r="AE109" s="423"/>
      <c r="AF109" s="423"/>
      <c r="AG109" s="423"/>
      <c r="AH109" s="423"/>
      <c r="AI109" s="423"/>
      <c r="AJ109" s="423"/>
      <c r="AK109" s="423"/>
      <c r="AL109" s="423"/>
      <c r="AM109" s="423"/>
      <c r="AN109" s="427"/>
    </row>
    <row r="110" ht="15" customHeight="1">
      <c r="A110" s="12"/>
      <c r="B110" s="428" cm="1">
        <f t="array" ref="B110">IF(B109=0,0,IF(B109&lt;VLOOKUP(C94,'Boats Data Sheet 2026'!$C$3:$H$57,6,0),B109+1,0))</f>
        <v>0</v>
      </c>
      <c r="C110" t="str" s="431" cm="1">
        <f t="array" ref="C110">IF(B110&gt;0,IF(VLOOKUP(C94,'Boats Data Sheet 2026'!$C$3:$J$57,8,0)="N/A",0,VLOOKUP(C94,'Boats Data Sheet 2026'!$C$3:$J$57,8,0)),"N/A")</f>
        <v>N/A</v>
      </c>
      <c r="D110" t="str" s="431" cm="1">
        <f t="array" ref="D110">IF(B110&gt;7,2,IF(B110=0,"N/A",1))</f>
        <v>N/A</v>
      </c>
      <c r="E110" t="str" s="431" cm="1">
        <f t="array" ref="E110">_xlfn.IFERROR(SUM('Direct Costs 2026'!$C$4:$C$5)*D110,"N/A")</f>
        <v>N/A</v>
      </c>
      <c r="F110" s="423" cm="1">
        <f t="array" ref="F110">_xlfn.IFERROR('Direct Costs 2026'!$C$43*B110,"N/A")</f>
        <v>0</v>
      </c>
      <c r="G110" t="str" s="431" cm="1">
        <f t="array" ref="G110">IF(B110&gt;0,'Direct Costs 2026'!$C$25,"N/A")</f>
        <v>N/A</v>
      </c>
      <c r="H110" t="str" s="431" cm="1">
        <f t="array" ref="H110">IF(B110&gt;0,'Direct Costs 2026'!$C$22,"N/A")</f>
        <v>N/A</v>
      </c>
      <c r="I110" s="423">
        <v>0</v>
      </c>
      <c r="J110" s="423">
        <v>0</v>
      </c>
      <c r="K110" t="str" s="431" cm="1">
        <f t="array" ref="K110">IF(B110&gt;0,'Direct Costs 2026'!$C$26,"N/A")</f>
        <v>N/A</v>
      </c>
      <c r="L110" t="str" s="431" cm="1">
        <f t="array" ref="L110">IF(B110&gt;0,'Direct Costs 2026'!$C$23,"N/A")</f>
        <v>N/A</v>
      </c>
      <c r="M110" t="str" s="431" cm="1">
        <f t="array" ref="M110">IF(B110&gt;0,'Direct Costs 2026'!$C$45*B110,"N/A")</f>
        <v>N/A</v>
      </c>
      <c r="N110" t="str" s="431" cm="1">
        <f t="array" ref="N110">IF(B110&gt;0,_xlfn.IFERROR(VLOOKUP(C94,'Boats Data Sheet 2026'!$C$3:$I$57,7,0)*'Direct Costs 2026'!$C$36,"N/A"),"N/A")</f>
        <v>N/A</v>
      </c>
      <c r="O110" t="str" s="431" cm="1">
        <f t="array" ref="O110">IF(B110&gt;0,IF(OR(VLOOKUP(C94,'Boats Data Sheet 2026'!$C$3:$F$57,4,0)="Own",VLOOKUP(C94,'Boats Data Sheet 2026'!$C$3:$F$57,4,0)="Management"),('Direct Costs 2026'!$C$37+'Direct Costs 2026'!$C$39),"N/A"),"N/A")</f>
        <v>N/A</v>
      </c>
      <c r="P110" t="str" s="431" cm="1">
        <f t="array" ref="P110">_xlfn.IFERROR('Direct Costs 2026'!$C$27*C110,"N/A")</f>
        <v>N/A</v>
      </c>
      <c r="Q110" t="str" s="431" cm="1">
        <f t="array" ref="Q110">_xlfn.IFERROR(C110+SUM(E110:P110),"N/A")</f>
        <v>N/A</v>
      </c>
      <c r="R110" s="424"/>
      <c r="S110" t="str" s="431" cm="1">
        <f t="array" ref="S110">IF(B110&gt;0,'Allocation OH and Target 2026'!$E$31,"N/A")</f>
        <v>N/A</v>
      </c>
      <c r="T110" t="str" s="431" cm="1">
        <f t="array" ref="T110">IF(B110&gt;0,VLOOKUP(C94,'Allocation OH and Target 2026'!$C$35:$S$87,16,0),"N/A")</f>
        <v>N/A</v>
      </c>
      <c r="U110" t="str" s="431" cm="1">
        <f t="array" ref="U110">_xlfn.IFERROR((S110+T110),"N/A")</f>
        <v>N/A</v>
      </c>
      <c r="V110" s="424"/>
      <c r="W110" t="str" s="431" cm="1">
        <f t="array" ref="W110">_xlfn.IFERROR(U110+Q110,"N/A")</f>
        <v>N/A</v>
      </c>
      <c r="X110" t="str" s="431" cm="1">
        <f t="array" ref="X110">_xlfn.IFERROR(W110*0.5%,"N/A")</f>
        <v>N/A</v>
      </c>
      <c r="Y110" t="str" s="431" cm="1">
        <f t="array" ref="Y110">_xlfn.IFERROR(W110*25%,"N/A")</f>
        <v>N/A</v>
      </c>
      <c r="Z110" t="str" s="426" cm="1">
        <f t="array" ref="Z110">IF(B110&gt;0,SUM(W110:Y110),"N/A")</f>
        <v>N/A</v>
      </c>
      <c r="AA110" t="str" s="426" cm="1">
        <f t="array" ref="AA110">_xlfn.IFERROR((Z110-Z109),"N/A")</f>
        <v>N/A</v>
      </c>
      <c r="AB110" s="424"/>
      <c r="AC110" t="str" s="426" cm="1">
        <f t="array" ref="AC110">IF(B110=6,AVERAGE(Z97:Z102),"N/A")</f>
        <v>N/A</v>
      </c>
      <c r="AD110" s="424"/>
      <c r="AE110" s="423"/>
      <c r="AF110" s="423"/>
      <c r="AG110" s="423"/>
      <c r="AH110" s="423"/>
      <c r="AI110" s="423"/>
      <c r="AJ110" s="423"/>
      <c r="AK110" s="423"/>
      <c r="AL110" s="423"/>
      <c r="AM110" s="423"/>
      <c r="AN110" s="427"/>
    </row>
    <row r="111" ht="15" customHeight="1">
      <c r="A111" s="12"/>
      <c r="B111" s="428" cm="1">
        <f t="array" ref="B111">IF(B110=0,0,IF(B110&lt;VLOOKUP(C94,'Boats Data Sheet 2026'!$C$3:$H$57,6,0),B110+1,0))</f>
        <v>0</v>
      </c>
      <c r="C111" t="str" s="431" cm="1">
        <f t="array" ref="C111">IF(B111&gt;0,IF(VLOOKUP(C94,'Boats Data Sheet 2026'!$C$3:$J$57,8,0)="N/A",0,VLOOKUP(C94,'Boats Data Sheet 2026'!$C$3:$J$57,8,0)),"N/A")</f>
        <v>N/A</v>
      </c>
      <c r="D111" t="str" s="431" cm="1">
        <f t="array" ref="D111">IF(B111&gt;7,2,IF(B111=0,"N/A",1))</f>
        <v>N/A</v>
      </c>
      <c r="E111" t="str" s="431" cm="1">
        <f t="array" ref="E111">_xlfn.IFERROR(SUM('Direct Costs 2026'!$C$4:$C$5)*D111,"N/A")</f>
        <v>N/A</v>
      </c>
      <c r="F111" s="423" cm="1">
        <f t="array" ref="F111">_xlfn.IFERROR('Direct Costs 2026'!$C$43*B111,"N/A")</f>
        <v>0</v>
      </c>
      <c r="G111" t="str" s="431" cm="1">
        <f t="array" ref="G111">IF(B111&gt;0,'Direct Costs 2026'!$C$25,"N/A")</f>
        <v>N/A</v>
      </c>
      <c r="H111" t="str" s="431" cm="1">
        <f t="array" ref="H111">IF(B111&gt;0,'Direct Costs 2026'!$C$22,"N/A")</f>
        <v>N/A</v>
      </c>
      <c r="I111" s="423">
        <v>0</v>
      </c>
      <c r="J111" s="423">
        <v>0</v>
      </c>
      <c r="K111" t="str" s="431" cm="1">
        <f t="array" ref="K111">IF(B111&gt;0,'Direct Costs 2026'!$C$26,"N/A")</f>
        <v>N/A</v>
      </c>
      <c r="L111" t="str" s="431" cm="1">
        <f t="array" ref="L111">IF(B111&gt;0,'Direct Costs 2026'!$C$23,"N/A")</f>
        <v>N/A</v>
      </c>
      <c r="M111" t="str" s="431" cm="1">
        <f t="array" ref="M111">IF(B111&gt;0,'Direct Costs 2026'!$C$45*B111,"N/A")</f>
        <v>N/A</v>
      </c>
      <c r="N111" t="str" s="431" cm="1">
        <f t="array" ref="N111">IF(B111&gt;0,_xlfn.IFERROR(VLOOKUP(C94,'Boats Data Sheet 2026'!$C$3:$I$57,7,0)*'Direct Costs 2026'!$C$36,"N/A"),"N/A")</f>
        <v>N/A</v>
      </c>
      <c r="O111" t="str" s="431" cm="1">
        <f t="array" ref="O111">IF(B111&gt;0,IF(OR(VLOOKUP(C94,'Boats Data Sheet 2026'!$C$3:$F$57,4,0)="Own",VLOOKUP(C94,'Boats Data Sheet 2026'!$C$3:$F$57,4,0)="Management"),('Direct Costs 2026'!$C$37+'Direct Costs 2026'!$C$39),"N/A"),"N/A")</f>
        <v>N/A</v>
      </c>
      <c r="P111" t="str" s="431" cm="1">
        <f t="array" ref="P111">_xlfn.IFERROR('Direct Costs 2026'!$C$27*C111,"N/A")</f>
        <v>N/A</v>
      </c>
      <c r="Q111" t="str" s="431" cm="1">
        <f t="array" ref="Q111">_xlfn.IFERROR(C111+SUM(E111:P111),"N/A")</f>
        <v>N/A</v>
      </c>
      <c r="R111" s="424"/>
      <c r="S111" t="str" s="431" cm="1">
        <f t="array" ref="S111">IF(B111&gt;0,'Allocation OH and Target 2026'!$E$31,"N/A")</f>
        <v>N/A</v>
      </c>
      <c r="T111" t="str" s="431" cm="1">
        <f t="array" ref="T111">IF(B111&gt;0,VLOOKUP(C94,'Allocation OH and Target 2026'!$C$35:$S$87,16,0),"N/A")</f>
        <v>N/A</v>
      </c>
      <c r="U111" t="str" s="431" cm="1">
        <f t="array" ref="U111">_xlfn.IFERROR((S111+T111),"N/A")</f>
        <v>N/A</v>
      </c>
      <c r="V111" s="424"/>
      <c r="W111" t="str" s="431" cm="1">
        <f t="array" ref="W111">_xlfn.IFERROR(U111+Q111,"N/A")</f>
        <v>N/A</v>
      </c>
      <c r="X111" t="str" s="431" cm="1">
        <f t="array" ref="X111">_xlfn.IFERROR(W111*0.5%,"N/A")</f>
        <v>N/A</v>
      </c>
      <c r="Y111" t="str" s="431" cm="1">
        <f t="array" ref="Y111">_xlfn.IFERROR(W111*25%,"N/A")</f>
        <v>N/A</v>
      </c>
      <c r="Z111" t="str" s="426" cm="1">
        <f t="array" ref="Z111">IF(B111&gt;0,SUM(W111:Y111),"N/A")</f>
        <v>N/A</v>
      </c>
      <c r="AA111" t="str" s="426" cm="1">
        <f t="array" ref="AA111">_xlfn.IFERROR((Z111-Z110),"N/A")</f>
        <v>N/A</v>
      </c>
      <c r="AB111" s="424"/>
      <c r="AC111" t="str" s="426" cm="1">
        <f t="array" ref="AC111">IF(B111=6,AVERAGE(Z97:Z102),"N/A")</f>
        <v>N/A</v>
      </c>
      <c r="AD111" s="424"/>
      <c r="AE111" s="423"/>
      <c r="AF111" s="423"/>
      <c r="AG111" s="423"/>
      <c r="AH111" s="423"/>
      <c r="AI111" s="423"/>
      <c r="AJ111" s="423"/>
      <c r="AK111" s="423"/>
      <c r="AL111" s="423"/>
      <c r="AM111" s="423"/>
      <c r="AN111" s="427"/>
    </row>
    <row r="112" ht="15" customHeight="1">
      <c r="A112" s="12"/>
      <c r="B112" s="428" cm="1">
        <f t="array" ref="B112">IF(B111=0,0,IF(B111&lt;VLOOKUP(C94,'Boats Data Sheet 2026'!$C$3:$H$57,6,0),B111+1,0))</f>
        <v>0</v>
      </c>
      <c r="C112" t="str" s="431" cm="1">
        <f t="array" ref="C112">IF(B112&gt;0,IF(VLOOKUP(C94,'Boats Data Sheet 2026'!$C$3:$J$57,8,0)="N/A",0,VLOOKUP(C94,'Boats Data Sheet 2026'!$C$3:$J$57,8,0)),"N/A")</f>
        <v>N/A</v>
      </c>
      <c r="D112" t="str" s="431" cm="1">
        <f t="array" ref="D112">IF(B112&gt;7,2,IF(B112=0,"N/A",1))</f>
        <v>N/A</v>
      </c>
      <c r="E112" t="str" s="431" cm="1">
        <f t="array" ref="E112">_xlfn.IFERROR(SUM('Direct Costs 2026'!$C$4:$C$5)*D112,"N/A")</f>
        <v>N/A</v>
      </c>
      <c r="F112" s="423" cm="1">
        <f t="array" ref="F112">_xlfn.IFERROR('Direct Costs 2026'!$C$43*B112,"N/A")</f>
        <v>0</v>
      </c>
      <c r="G112" t="str" s="431" cm="1">
        <f t="array" ref="G112">IF(B112&gt;0,'Direct Costs 2026'!$C$25,"N/A")</f>
        <v>N/A</v>
      </c>
      <c r="H112" t="str" s="431" cm="1">
        <f t="array" ref="H112">IF(B112&gt;0,'Direct Costs 2026'!$C$22,"N/A")</f>
        <v>N/A</v>
      </c>
      <c r="I112" s="423">
        <v>0</v>
      </c>
      <c r="J112" s="423">
        <v>0</v>
      </c>
      <c r="K112" t="str" s="431" cm="1">
        <f t="array" ref="K112">IF(B112&gt;0,'Direct Costs 2026'!$C$26,"N/A")</f>
        <v>N/A</v>
      </c>
      <c r="L112" t="str" s="431" cm="1">
        <f t="array" ref="L112">IF(B112&gt;0,'Direct Costs 2026'!$C$23,"N/A")</f>
        <v>N/A</v>
      </c>
      <c r="M112" t="str" s="431" cm="1">
        <f t="array" ref="M112">IF(B112&gt;0,'Direct Costs 2026'!$C$45*B112,"N/A")</f>
        <v>N/A</v>
      </c>
      <c r="N112" t="str" s="431" cm="1">
        <f t="array" ref="N112">IF(B112&gt;0,_xlfn.IFERROR(VLOOKUP(C94,'Boats Data Sheet 2026'!$C$3:$I$57,7,0)*'Direct Costs 2026'!$C$36,"N/A"),"N/A")</f>
        <v>N/A</v>
      </c>
      <c r="O112" t="str" s="431" cm="1">
        <f t="array" ref="O112">IF(B112&gt;0,IF(OR(VLOOKUP(C94,'Boats Data Sheet 2026'!$C$3:$F$57,4,0)="Own",VLOOKUP(C94,'Boats Data Sheet 2026'!$C$3:$F$57,4,0)="Management"),('Direct Costs 2026'!$C$37+'Direct Costs 2026'!$C$39),"N/A"),"N/A")</f>
        <v>N/A</v>
      </c>
      <c r="P112" t="str" s="431" cm="1">
        <f t="array" ref="P112">_xlfn.IFERROR('Direct Costs 2026'!$C$27*C112,"N/A")</f>
        <v>N/A</v>
      </c>
      <c r="Q112" t="str" s="431" cm="1">
        <f t="array" ref="Q112">_xlfn.IFERROR(C112+SUM(E112:P112),"N/A")</f>
        <v>N/A</v>
      </c>
      <c r="R112" s="424"/>
      <c r="S112" t="str" s="431" cm="1">
        <f t="array" ref="S112">IF(B112&gt;0,'Allocation OH and Target 2026'!$E$31,"N/A")</f>
        <v>N/A</v>
      </c>
      <c r="T112" t="str" s="431" cm="1">
        <f t="array" ref="T112">IF(B112&gt;0,VLOOKUP(C94,'Allocation OH and Target 2026'!$C$35:$S$87,16,0),"N/A")</f>
        <v>N/A</v>
      </c>
      <c r="U112" t="str" s="431" cm="1">
        <f t="array" ref="U112">_xlfn.IFERROR((S112+T112),"N/A")</f>
        <v>N/A</v>
      </c>
      <c r="V112" s="424"/>
      <c r="W112" t="str" s="431" cm="1">
        <f t="array" ref="W112">_xlfn.IFERROR(U112+Q112,"N/A")</f>
        <v>N/A</v>
      </c>
      <c r="X112" t="str" s="431" cm="1">
        <f t="array" ref="X112">_xlfn.IFERROR(W112*0.5%,"N/A")</f>
        <v>N/A</v>
      </c>
      <c r="Y112" t="str" s="431" cm="1">
        <f t="array" ref="Y112">_xlfn.IFERROR(W112*25%,"N/A")</f>
        <v>N/A</v>
      </c>
      <c r="Z112" t="str" s="426" cm="1">
        <f t="array" ref="Z112">IF(B112&gt;0,SUM(W112:Y112),"N/A")</f>
        <v>N/A</v>
      </c>
      <c r="AA112" t="str" s="426" cm="1">
        <f t="array" ref="AA112">_xlfn.IFERROR((Z112-Z111),"N/A")</f>
        <v>N/A</v>
      </c>
      <c r="AB112" s="424"/>
      <c r="AC112" t="str" s="426" cm="1">
        <f t="array" ref="AC112">IF(B112=6,AVERAGE(Z97:Z102),"N/A")</f>
        <v>N/A</v>
      </c>
      <c r="AD112" s="424"/>
      <c r="AE112" s="423"/>
      <c r="AF112" s="423"/>
      <c r="AG112" s="423"/>
      <c r="AH112" s="423"/>
      <c r="AI112" s="423"/>
      <c r="AJ112" s="423"/>
      <c r="AK112" s="423"/>
      <c r="AL112" s="423"/>
      <c r="AM112" s="423"/>
      <c r="AN112" s="427"/>
    </row>
    <row r="113" ht="15" customHeight="1">
      <c r="A113" s="12"/>
      <c r="B113" s="428" cm="1">
        <f t="array" ref="B113">IF(B112=0,0,IF(B112&lt;VLOOKUP(C94,'Boats Data Sheet 2026'!$C$3:$H$57,6,0),B112+1,0))</f>
        <v>0</v>
      </c>
      <c r="C113" t="str" s="431" cm="1">
        <f t="array" ref="C113">IF(B113&gt;0,IF(VLOOKUP(C94,'Boats Data Sheet 2026'!$C$3:$J$57,8,0)="N/A",0,VLOOKUP(C94,'Boats Data Sheet 2026'!$C$3:$J$57,8,0)),"N/A")</f>
        <v>N/A</v>
      </c>
      <c r="D113" t="str" s="431" cm="1">
        <f t="array" ref="D113">IF(B113&gt;7,2,IF(B113=0,"N/A",1))</f>
        <v>N/A</v>
      </c>
      <c r="E113" t="str" s="431" cm="1">
        <f t="array" ref="E113">_xlfn.IFERROR(SUM('Direct Costs 2026'!$C$4:$C$5)*D113,"N/A")</f>
        <v>N/A</v>
      </c>
      <c r="F113" s="423" cm="1">
        <f t="array" ref="F113">_xlfn.IFERROR('Direct Costs 2026'!$C$43*B113,"N/A")</f>
        <v>0</v>
      </c>
      <c r="G113" t="str" s="431" cm="1">
        <f t="array" ref="G113">IF(B113&gt;0,'Direct Costs 2026'!$C$25,"N/A")</f>
        <v>N/A</v>
      </c>
      <c r="H113" t="str" s="431" cm="1">
        <f t="array" ref="H113">IF(B113&gt;0,'Direct Costs 2026'!$C$22,"N/A")</f>
        <v>N/A</v>
      </c>
      <c r="I113" s="423">
        <v>0</v>
      </c>
      <c r="J113" s="423">
        <v>0</v>
      </c>
      <c r="K113" t="str" s="431" cm="1">
        <f t="array" ref="K113">IF(B113&gt;0,'Direct Costs 2026'!$C$26,"N/A")</f>
        <v>N/A</v>
      </c>
      <c r="L113" t="str" s="431" cm="1">
        <f t="array" ref="L113">IF(B113&gt;0,'Direct Costs 2026'!$C$23,"N/A")</f>
        <v>N/A</v>
      </c>
      <c r="M113" t="str" s="431" cm="1">
        <f t="array" ref="M113">IF(B113&gt;0,'Direct Costs 2026'!$C$45*B113,"N/A")</f>
        <v>N/A</v>
      </c>
      <c r="N113" t="str" s="431" cm="1">
        <f t="array" ref="N113">IF(B113&gt;0,_xlfn.IFERROR(VLOOKUP(C94,'Boats Data Sheet 2026'!$C$3:$I$57,7,0)*'Direct Costs 2026'!$C$36,"N/A"),"N/A")</f>
        <v>N/A</v>
      </c>
      <c r="O113" t="str" s="431" cm="1">
        <f t="array" ref="O113">IF(B113&gt;0,IF(OR(VLOOKUP(C94,'Boats Data Sheet 2026'!$C$3:$F$57,4,0)="Own",VLOOKUP(C94,'Boats Data Sheet 2026'!$C$3:$F$57,4,0)="Management"),('Direct Costs 2026'!$C$37+'Direct Costs 2026'!$C$39),"N/A"),"N/A")</f>
        <v>N/A</v>
      </c>
      <c r="P113" t="str" s="431" cm="1">
        <f t="array" ref="P113">_xlfn.IFERROR('Direct Costs 2026'!$C$27*C113,"N/A")</f>
        <v>N/A</v>
      </c>
      <c r="Q113" t="str" s="431" cm="1">
        <f t="array" ref="Q113">_xlfn.IFERROR(C113+SUM(E113:P113),"N/A")</f>
        <v>N/A</v>
      </c>
      <c r="R113" s="424"/>
      <c r="S113" t="str" s="431" cm="1">
        <f t="array" ref="S113">IF(B113&gt;0,'Allocation OH and Target 2026'!$E$31,"N/A")</f>
        <v>N/A</v>
      </c>
      <c r="T113" t="str" s="431" cm="1">
        <f t="array" ref="T113">IF(B113&gt;0,VLOOKUP(C94,'Allocation OH and Target 2026'!$C$35:$S$87,16,0),"N/A")</f>
        <v>N/A</v>
      </c>
      <c r="U113" t="str" s="431" cm="1">
        <f t="array" ref="U113">_xlfn.IFERROR((S113+T113),"N/A")</f>
        <v>N/A</v>
      </c>
      <c r="V113" s="424"/>
      <c r="W113" t="str" s="431" cm="1">
        <f t="array" ref="W113">_xlfn.IFERROR(U113+Q113,"N/A")</f>
        <v>N/A</v>
      </c>
      <c r="X113" t="str" s="431" cm="1">
        <f t="array" ref="X113">_xlfn.IFERROR(W113*0.5%,"N/A")</f>
        <v>N/A</v>
      </c>
      <c r="Y113" t="str" s="431" cm="1">
        <f t="array" ref="Y113">_xlfn.IFERROR(W113*25%,"N/A")</f>
        <v>N/A</v>
      </c>
      <c r="Z113" t="str" s="426" cm="1">
        <f t="array" ref="Z113">IF(B113&gt;0,SUM(W113:Y113),"N/A")</f>
        <v>N/A</v>
      </c>
      <c r="AA113" t="str" s="426" cm="1">
        <f t="array" ref="AA113">_xlfn.IFERROR((Z113-Z112),"N/A")</f>
        <v>N/A</v>
      </c>
      <c r="AB113" s="424"/>
      <c r="AC113" t="str" s="426" cm="1">
        <f t="array" ref="AC113">IF(B113=6,AVERAGE(Z97:Z102),"N/A")</f>
        <v>N/A</v>
      </c>
      <c r="AD113" s="424"/>
      <c r="AE113" s="423"/>
      <c r="AF113" s="423"/>
      <c r="AG113" s="423"/>
      <c r="AH113" s="423"/>
      <c r="AI113" s="423"/>
      <c r="AJ113" s="423"/>
      <c r="AK113" s="423"/>
      <c r="AL113" s="423"/>
      <c r="AM113" s="423"/>
      <c r="AN113" s="427"/>
    </row>
    <row r="114" ht="15.5" customHeight="1">
      <c r="A114" s="12"/>
      <c r="B114" s="432" cm="1">
        <f t="array" ref="B114">IF(B113=0,0,IF(B113&lt;VLOOKUP(C94,'Boats Data Sheet 2026'!$C$3:$H$57,6,0),B113+1,0))</f>
        <v>0</v>
      </c>
      <c r="C114" t="str" s="433" cm="1">
        <f t="array" ref="C114">IF(B114&gt;0,IF(VLOOKUP(C94,'Boats Data Sheet 2026'!$C$3:$J$57,8,0)="N/A",0,VLOOKUP(C94,'Boats Data Sheet 2026'!$C$3:$J$57,8,0)),"N/A")</f>
        <v>N/A</v>
      </c>
      <c r="D114" t="str" s="433" cm="1">
        <f t="array" ref="D114">IF(B114&gt;7,2,IF(B114=0,"N/A",1))</f>
        <v>N/A</v>
      </c>
      <c r="E114" t="str" s="433" cm="1">
        <f t="array" ref="E114">_xlfn.IFERROR(SUM('Direct Costs 2026'!$C$4:$C$5)*D114,"N/A")</f>
        <v>N/A</v>
      </c>
      <c r="F114" s="434" cm="1">
        <f t="array" ref="F114">_xlfn.IFERROR('Direct Costs 2026'!$C$43*B114,"N/A")</f>
        <v>0</v>
      </c>
      <c r="G114" t="str" s="433" cm="1">
        <f t="array" ref="G114">IF(B114&gt;0,'Direct Costs 2026'!$C$25,"N/A")</f>
        <v>N/A</v>
      </c>
      <c r="H114" t="str" s="433" cm="1">
        <f t="array" ref="H114">IF(B114&gt;0,'Direct Costs 2026'!$C$22,"N/A")</f>
        <v>N/A</v>
      </c>
      <c r="I114" s="434">
        <v>0</v>
      </c>
      <c r="J114" s="434">
        <v>0</v>
      </c>
      <c r="K114" t="str" s="433" cm="1">
        <f t="array" ref="K114">IF(B114&gt;0,'Direct Costs 2026'!$C$26,"N/A")</f>
        <v>N/A</v>
      </c>
      <c r="L114" t="str" s="433" cm="1">
        <f t="array" ref="L114">IF(B114&gt;0,'Direct Costs 2026'!$C$23,"N/A")</f>
        <v>N/A</v>
      </c>
      <c r="M114" t="str" s="433" cm="1">
        <f t="array" ref="M114">IF(B114&gt;0,'Direct Costs 2026'!$C$45*B114,"N/A")</f>
        <v>N/A</v>
      </c>
      <c r="N114" t="str" s="433" cm="1">
        <f t="array" ref="N114">IF(B114&gt;0,_xlfn.IFERROR(VLOOKUP(C94,'Boats Data Sheet 2026'!$C$3:$I$57,7,0)*'Direct Costs 2026'!$C$36,"N/A"),"N/A")</f>
        <v>N/A</v>
      </c>
      <c r="O114" t="str" s="433" cm="1">
        <f t="array" ref="O114">IF(B114&gt;0,IF(OR(VLOOKUP(C94,'Boats Data Sheet 2026'!$C$3:$F$57,4,0)="Own",VLOOKUP(C94,'Boats Data Sheet 2026'!$C$3:$F$57,4,0)="Management"),('Direct Costs 2026'!$C$37+'Direct Costs 2026'!$C$39),"N/A"),"N/A")</f>
        <v>N/A</v>
      </c>
      <c r="P114" t="str" s="433" cm="1">
        <f t="array" ref="P114">_xlfn.IFERROR('Direct Costs 2026'!$C$27*C114,"N/A")</f>
        <v>N/A</v>
      </c>
      <c r="Q114" t="str" s="433" cm="1">
        <f t="array" ref="Q114">_xlfn.IFERROR(C114+SUM(E114:P114),"N/A")</f>
        <v>N/A</v>
      </c>
      <c r="R114" s="435"/>
      <c r="S114" t="str" s="433" cm="1">
        <f t="array" ref="S114">IF(B114&gt;0,'Allocation OH and Target 2026'!$E$31,"N/A")</f>
        <v>N/A</v>
      </c>
      <c r="T114" t="str" s="433" cm="1">
        <f t="array" ref="T114">IF(B114&gt;0,VLOOKUP(C94,'Allocation OH and Target 2026'!$C$35:$S$87,16,0),"N/A")</f>
        <v>N/A</v>
      </c>
      <c r="U114" t="str" s="433" cm="1">
        <f t="array" ref="U114">_xlfn.IFERROR((S114+T114),"N/A")</f>
        <v>N/A</v>
      </c>
      <c r="V114" s="435"/>
      <c r="W114" t="str" s="433" cm="1">
        <f t="array" ref="W114">_xlfn.IFERROR(U114+Q114,"N/A")</f>
        <v>N/A</v>
      </c>
      <c r="X114" t="str" s="433" cm="1">
        <f t="array" ref="X114">_xlfn.IFERROR(W114*0.5%,"N/A")</f>
        <v>N/A</v>
      </c>
      <c r="Y114" t="str" s="433" cm="1">
        <f t="array" ref="Y114">_xlfn.IFERROR(W114*25%,"N/A")</f>
        <v>N/A</v>
      </c>
      <c r="Z114" t="str" s="436" cm="1">
        <f t="array" ref="Z114">IF(B114&gt;0,SUM(W114:Y114),"N/A")</f>
        <v>N/A</v>
      </c>
      <c r="AA114" t="str" s="436" cm="1">
        <f t="array" ref="AA114">_xlfn.IFERROR((Z114-Z113),"N/A")</f>
        <v>N/A</v>
      </c>
      <c r="AB114" s="435"/>
      <c r="AC114" t="str" s="436" cm="1">
        <f t="array" ref="AC114">IF(B114=6,AVERAGE(Z97:Z102),"N/A")</f>
        <v>N/A</v>
      </c>
      <c r="AD114" s="435"/>
      <c r="AE114" s="434"/>
      <c r="AF114" s="434"/>
      <c r="AG114" s="434"/>
      <c r="AH114" s="434"/>
      <c r="AI114" s="434"/>
      <c r="AJ114" s="434"/>
      <c r="AK114" s="434"/>
      <c r="AL114" s="434"/>
      <c r="AM114" s="434"/>
      <c r="AN114" s="437"/>
    </row>
    <row r="115" ht="15" customHeight="1">
      <c r="A115" s="32"/>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313"/>
    </row>
    <row r="116" ht="15" customHeight="1">
      <c r="A116" s="32"/>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442"/>
    </row>
    <row r="117" ht="15.5" customHeight="1">
      <c r="A117" s="395">
        <v>6</v>
      </c>
      <c r="B117" t="s" s="444">
        <v>506</v>
      </c>
      <c r="C117" t="s" s="445">
        <v>189</v>
      </c>
      <c r="D117" s="446"/>
      <c r="E117" t="s" s="447">
        <v>542</v>
      </c>
      <c r="F117" s="446"/>
      <c r="G117" s="446"/>
      <c r="H117" s="446"/>
      <c r="I117" s="446"/>
      <c r="J117" s="446"/>
      <c r="K117" s="446"/>
      <c r="L117" s="446"/>
      <c r="M117" s="446"/>
      <c r="N117" s="446"/>
      <c r="O117" s="446"/>
      <c r="P117" s="446"/>
      <c r="Q117" s="446"/>
      <c r="R117" s="446"/>
      <c r="S117" s="446"/>
      <c r="T117" s="446"/>
      <c r="U117" s="446"/>
      <c r="V117" s="446"/>
      <c r="W117" s="446"/>
      <c r="X117" s="446"/>
      <c r="Y117" s="446"/>
      <c r="Z117" s="446"/>
      <c r="AA117" s="446"/>
      <c r="AB117" s="446"/>
      <c r="AC117" s="446"/>
      <c r="AD117" s="446"/>
      <c r="AE117" t="s" s="445">
        <v>508</v>
      </c>
      <c r="AF117" s="448" cm="1">
        <f t="array" ref="AF117">AVERAGE(Q120:Q125)</f>
        <v>9006500</v>
      </c>
      <c r="AG117" t="s" s="449">
        <v>509</v>
      </c>
      <c r="AH117" s="448" cm="1">
        <f t="array" ref="AH117">AVERAGE(Q126:Q133)-AF117</f>
        <v>1858062.5</v>
      </c>
      <c r="AI117" t="s" s="449">
        <v>510</v>
      </c>
      <c r="AJ117" s="448" cm="1">
        <f t="array" ref="AJ117">AVERAGE(Y120:Y127)</f>
        <v>3093096.16442453</v>
      </c>
      <c r="AK117" t="s" s="445">
        <v>511</v>
      </c>
      <c r="AL117" s="448" cm="1">
        <f t="array" ref="AL117">AVERAGE(W120:W125)</f>
        <v>12106947.1576981</v>
      </c>
      <c r="AM117" t="s" s="449">
        <v>512</v>
      </c>
      <c r="AN117" s="450" cm="1">
        <f t="array" ref="AN117">W120</f>
        <v>11716947.1576981</v>
      </c>
    </row>
    <row r="118" ht="15" customHeight="1">
      <c r="A118" s="12"/>
      <c r="B118" s="451"/>
      <c r="C118" t="s" s="452">
        <v>513</v>
      </c>
      <c r="D118" s="453"/>
      <c r="E118" s="453"/>
      <c r="F118" s="453"/>
      <c r="G118" s="453"/>
      <c r="H118" s="453"/>
      <c r="I118" s="453"/>
      <c r="J118" s="453"/>
      <c r="K118" s="453"/>
      <c r="L118" s="453"/>
      <c r="M118" s="453"/>
      <c r="N118" s="453"/>
      <c r="O118" s="453"/>
      <c r="P118" s="453"/>
      <c r="Q118" s="454"/>
      <c r="R118" s="455"/>
      <c r="S118" t="s" s="452">
        <v>514</v>
      </c>
      <c r="T118" s="453"/>
      <c r="U118" s="454"/>
      <c r="V118" s="455"/>
      <c r="W118" t="s" s="452">
        <v>515</v>
      </c>
      <c r="X118" s="453"/>
      <c r="Y118" s="453"/>
      <c r="Z118" s="453"/>
      <c r="AA118" s="453"/>
      <c r="AB118" s="456"/>
      <c r="AC118" s="457"/>
      <c r="AD118" s="457"/>
      <c r="AE118" s="457"/>
      <c r="AF118" s="457"/>
      <c r="AG118" s="457"/>
      <c r="AH118" s="457"/>
      <c r="AI118" s="457"/>
      <c r="AJ118" s="457"/>
      <c r="AK118" s="457"/>
      <c r="AL118" s="458"/>
      <c r="AM118" s="459"/>
      <c r="AN118" s="458"/>
    </row>
    <row r="119" ht="46.25" customHeight="1">
      <c r="A119" s="187"/>
      <c r="B119" t="s" s="460">
        <v>517</v>
      </c>
      <c r="C119" t="s" s="461">
        <v>518</v>
      </c>
      <c r="D119" t="s" s="461">
        <v>519</v>
      </c>
      <c r="E119" t="s" s="461">
        <v>520</v>
      </c>
      <c r="F119" t="s" s="461">
        <v>521</v>
      </c>
      <c r="G119" t="s" s="461">
        <v>522</v>
      </c>
      <c r="H119" t="s" s="461">
        <v>540</v>
      </c>
      <c r="I119" t="s" s="461">
        <v>524</v>
      </c>
      <c r="J119" t="s" s="461">
        <v>525</v>
      </c>
      <c r="K119" t="s" s="461">
        <v>526</v>
      </c>
      <c r="L119" t="s" s="461">
        <v>527</v>
      </c>
      <c r="M119" t="s" s="461">
        <v>528</v>
      </c>
      <c r="N119" t="s" s="461">
        <v>529</v>
      </c>
      <c r="O119" t="s" s="461">
        <v>530</v>
      </c>
      <c r="P119" t="s" s="461">
        <v>531</v>
      </c>
      <c r="Q119" t="s" s="461">
        <v>532</v>
      </c>
      <c r="R119" s="462"/>
      <c r="S119" t="s" s="461">
        <v>533</v>
      </c>
      <c r="T119" t="s" s="461">
        <v>534</v>
      </c>
      <c r="U119" t="s" s="461">
        <v>535</v>
      </c>
      <c r="V119" s="462"/>
      <c r="W119" t="s" s="461">
        <v>536</v>
      </c>
      <c r="X119" t="s" s="461">
        <v>537</v>
      </c>
      <c r="Y119" t="s" s="461">
        <v>538</v>
      </c>
      <c r="Z119" t="s" s="461">
        <v>539</v>
      </c>
      <c r="AA119" t="s" s="461">
        <v>121</v>
      </c>
      <c r="AB119" s="463"/>
      <c r="AC119" t="s" s="461">
        <v>39</v>
      </c>
      <c r="AD119" s="463"/>
      <c r="AE119" t="s" s="461">
        <v>543</v>
      </c>
      <c r="AF119" t="s" s="461">
        <v>544</v>
      </c>
      <c r="AG119" s="463"/>
      <c r="AH119" s="463"/>
      <c r="AI119" s="463"/>
      <c r="AJ119" s="463"/>
      <c r="AK119" s="463"/>
      <c r="AL119" s="463"/>
      <c r="AM119" s="463"/>
      <c r="AN119" s="464"/>
    </row>
    <row r="120" ht="15" customHeight="1" hidden="1">
      <c r="A120" s="12"/>
      <c r="B120" s="465">
        <v>1</v>
      </c>
      <c r="C120" s="466" cm="1">
        <f t="array" ref="C120">IF(B120&gt;0,IF(VLOOKUP(C117,'Boats Data Sheet 2026'!$C$3:$J$57,8,0)="N/A",0,VLOOKUP(C117,'Boats Data Sheet 2026'!$C$3:$J$57,8,0)),"N/A")</f>
        <v>0</v>
      </c>
      <c r="D120" s="467" cm="1">
        <f t="array" ref="D120">IF(B120&gt;7,2,IF(B120=0,"N/A",1))</f>
        <v>1</v>
      </c>
      <c r="E120" s="466" cm="1">
        <f t="array" ref="E120">_xlfn.IFERROR(SUM('Direct Costs 2026'!$C$4:$C$5)*D120,"N/A")</f>
        <v>875500</v>
      </c>
      <c r="F120" s="466" cm="1">
        <f t="array" ref="F120">_xlfn.IFERROR('Direct Costs 2026'!$C$43*B120,"N/A")</f>
        <v>6000</v>
      </c>
      <c r="G120" s="466" cm="1">
        <f t="array" ref="G120">IF(B120&gt;0,'Direct Costs 2026'!$C$25,"N/A")</f>
        <v>90000</v>
      </c>
      <c r="H120" s="466" cm="1">
        <f t="array" ref="H120">IF(B120&gt;0,('Direct Costs 2026'!$C$16+'Direct Costs 2026'!$C$17),"N/A")</f>
        <v>685000</v>
      </c>
      <c r="I120" s="466">
        <v>0</v>
      </c>
      <c r="J120" s="466">
        <v>0</v>
      </c>
      <c r="K120" s="466" cm="1">
        <f t="array" ref="K120">IF(B120&gt;0,'Direct Costs 2026'!$C$26,"N/A")</f>
        <v>20000</v>
      </c>
      <c r="L120" s="466" cm="1">
        <f t="array" ref="L120">IF(B120&gt;0,'Direct Costs 2026'!$C$23,"N/A")</f>
        <v>140000</v>
      </c>
      <c r="M120" s="466" cm="1">
        <f t="array" ref="M120">IF(B120&gt;0,'Direct Costs 2026'!$C$45*B120,"N/A")</f>
        <v>150000</v>
      </c>
      <c r="N120" s="466" cm="1">
        <f t="array" ref="N120">IF(B120&gt;0,_xlfn.IFERROR(VLOOKUP(C117,'Boats Data Sheet 2026'!$C$3:$I$57,7,0)*'Direct Costs 2026'!$C$36,"N/A"),"N/A")</f>
        <v>6650000</v>
      </c>
      <c r="O120" t="str" s="468" cm="1">
        <f t="array" ref="O120">IF(B120&gt;0,IF(OR(VLOOKUP(C117,'Boats Data Sheet 2026'!$C$3:$F$57,4,0)="Own",VLOOKUP(C117,'Boats Data Sheet 2026'!$C$3:$F$57,4,0)="Management"),('Direct Costs 2026'!$C$37+'Direct Costs 2026'!$C$39),"N/A"),"N/A")</f>
        <v>N/A</v>
      </c>
      <c r="P120" s="466" cm="1">
        <f t="array" ref="P120">_xlfn.IFERROR('Direct Costs 2026'!$C$27*C120,"N/A")</f>
        <v>0</v>
      </c>
      <c r="Q120" s="466" cm="1">
        <f t="array" ref="Q120">_xlfn.IFERROR(C120+SUM(E120:P120),"N/A")</f>
        <v>8616500</v>
      </c>
      <c r="R120" s="466"/>
      <c r="S120" s="466" cm="1">
        <f t="array" ref="S120">IF(B120&gt;0,'Allocation OH and Target 2026'!$E$31,"N/A")</f>
        <v>3100447.15769812</v>
      </c>
      <c r="T120" s="466" cm="1">
        <f t="array" ref="T120">IF(B120&gt;0,VLOOKUP(C117,'Allocation OH and Target 2026'!$C$35:$S$87,16,0),"N/A")</f>
        <v>0</v>
      </c>
      <c r="U120" s="466" cm="1">
        <f t="array" ref="U120">_xlfn.IFERROR((S120+T120),"N/A")</f>
        <v>3100447.15769812</v>
      </c>
      <c r="V120" s="466"/>
      <c r="W120" s="466" cm="1">
        <f t="array" ref="W120">_xlfn.IFERROR(U120+Q120,"N/A")</f>
        <v>11716947.1576981</v>
      </c>
      <c r="X120" s="466" cm="1">
        <f t="array" ref="X120">_xlfn.IFERROR(W120*0.5%,"N/A")</f>
        <v>58584.7357884905</v>
      </c>
      <c r="Y120" s="466" cm="1">
        <f t="array" ref="Y120">_xlfn.IFERROR(W120*25%,"N/A")</f>
        <v>2929236.78942453</v>
      </c>
      <c r="Z120" s="469" cm="1">
        <f t="array" ref="Z120">IF(B120&gt;0,SUM(W120:Y120),"N/A")</f>
        <v>14704768.6829111</v>
      </c>
      <c r="AA120" s="469">
        <v>0</v>
      </c>
      <c r="AB120" s="466"/>
      <c r="AC120" t="str" s="470" cm="1">
        <f t="array" ref="AC120">IF(B120=6,AVERAGE(Z120:Z125),"N/A")</f>
        <v>N/A</v>
      </c>
      <c r="AD120" s="466"/>
      <c r="AE120" t="s" s="471">
        <v>545</v>
      </c>
      <c r="AF120" s="472" cm="1">
        <f t="array" ref="AF120">VLOOKUP(C117,'Allocation OH and Target 2026'!$C$35:$K$87,9,0)</f>
        <v>0</v>
      </c>
      <c r="AG120" s="466"/>
      <c r="AH120" s="466"/>
      <c r="AI120" s="466"/>
      <c r="AJ120" s="466"/>
      <c r="AK120" s="466"/>
      <c r="AL120" s="466"/>
      <c r="AM120" s="466"/>
      <c r="AN120" s="473"/>
    </row>
    <row r="121" ht="15" customHeight="1" hidden="1">
      <c r="A121" s="12"/>
      <c r="B121" s="465" cm="1">
        <f t="array" ref="B121">IF(B120=0,0,IF(B120&lt;VLOOKUP(C117,'Boats Data Sheet 2026'!$C$3:$H$57,6,0),B120+1,0))</f>
        <v>2</v>
      </c>
      <c r="C121" s="466" cm="1">
        <f t="array" ref="C121">IF(B121&gt;0,IF(VLOOKUP(C117,'Boats Data Sheet 2026'!$C$3:$J$57,8,0)="N/A",0,VLOOKUP(C117,'Boats Data Sheet 2026'!$C$3:$J$57,8,0)),"N/A")</f>
        <v>0</v>
      </c>
      <c r="D121" s="467" cm="1">
        <f t="array" ref="D121">IF(B121&gt;7,2,IF(B121=0,"N/A",1))</f>
        <v>1</v>
      </c>
      <c r="E121" s="466" cm="1">
        <f t="array" ref="E121">_xlfn.IFERROR(SUM('Direct Costs 2026'!$C$4:$C$5)*D121,"N/A")</f>
        <v>875500</v>
      </c>
      <c r="F121" s="466" cm="1">
        <f t="array" ref="F121">_xlfn.IFERROR('Direct Costs 2026'!$C$43*B121,"N/A")</f>
        <v>12000</v>
      </c>
      <c r="G121" s="466" cm="1">
        <f t="array" ref="G121">IF(B121&gt;0,'Direct Costs 2026'!$C$25,"N/A")</f>
        <v>90000</v>
      </c>
      <c r="H121" s="466" cm="1">
        <f t="array" ref="H121">IF(B121&gt;0,('Direct Costs 2026'!$C$16+'Direct Costs 2026'!$C$17),"N/A")</f>
        <v>685000</v>
      </c>
      <c r="I121" s="466">
        <v>0</v>
      </c>
      <c r="J121" s="466">
        <v>0</v>
      </c>
      <c r="K121" s="466" cm="1">
        <f t="array" ref="K121">IF(B121&gt;0,'Direct Costs 2026'!$C$26,"N/A")</f>
        <v>20000</v>
      </c>
      <c r="L121" s="466" cm="1">
        <f t="array" ref="L121">IF(B121&gt;0,'Direct Costs 2026'!$C$23,"N/A")</f>
        <v>140000</v>
      </c>
      <c r="M121" s="466" cm="1">
        <f t="array" ref="M121">IF(B121&gt;0,'Direct Costs 2026'!$C$45*B121,"N/A")</f>
        <v>300000</v>
      </c>
      <c r="N121" s="466" cm="1">
        <f t="array" ref="N121">IF(B121&gt;0,_xlfn.IFERROR(VLOOKUP(C117,'Boats Data Sheet 2026'!$C$3:$I$57,7,0)*'Direct Costs 2026'!$C$36,"N/A"),"N/A")</f>
        <v>6650000</v>
      </c>
      <c r="O121" t="str" s="468" cm="1">
        <f t="array" ref="O121">IF(B121&gt;0,IF(OR(VLOOKUP(C117,'Boats Data Sheet 2026'!$C$3:$F$57,4,0)="Own",VLOOKUP(C117,'Boats Data Sheet 2026'!$C$3:$F$57,4,0)="Management"),('Direct Costs 2026'!$C$37+'Direct Costs 2026'!$C$39),"N/A"),"N/A")</f>
        <v>N/A</v>
      </c>
      <c r="P121" s="466" cm="1">
        <f t="array" ref="P121">_xlfn.IFERROR('Direct Costs 2026'!$C$27*C121,"N/A")</f>
        <v>0</v>
      </c>
      <c r="Q121" s="466" cm="1">
        <f t="array" ref="Q121">_xlfn.IFERROR(C121+SUM(E121:P121),"N/A")</f>
        <v>8772500</v>
      </c>
      <c r="R121" s="466"/>
      <c r="S121" s="466" cm="1">
        <f t="array" ref="S121">IF(B121&gt;0,'Allocation OH and Target 2026'!$E$31,"N/A")</f>
        <v>3100447.15769812</v>
      </c>
      <c r="T121" s="466" cm="1">
        <f t="array" ref="T121">IF(B121&gt;0,VLOOKUP(C117,'Allocation OH and Target 2026'!$C$35:$S$87,16,0),"N/A")</f>
        <v>0</v>
      </c>
      <c r="U121" s="466" cm="1">
        <f t="array" ref="U121">_xlfn.IFERROR((S121+T121),"N/A")</f>
        <v>3100447.15769812</v>
      </c>
      <c r="V121" s="466"/>
      <c r="W121" s="466" cm="1">
        <f t="array" ref="W121">_xlfn.IFERROR(U121+Q121,"N/A")</f>
        <v>11872947.1576981</v>
      </c>
      <c r="X121" s="466" cm="1">
        <f t="array" ref="X121">_xlfn.IFERROR(W121*0.5%,"N/A")</f>
        <v>59364.7357884905</v>
      </c>
      <c r="Y121" s="466" cm="1">
        <f t="array" ref="Y121">_xlfn.IFERROR(W121*25%,"N/A")</f>
        <v>2968236.78942453</v>
      </c>
      <c r="Z121" s="469" cm="1">
        <f t="array" ref="Z121">IF(B121&gt;0,SUM(W121:Y121),"N/A")</f>
        <v>14900548.6829111</v>
      </c>
      <c r="AA121" s="469" cm="1">
        <f t="array" ref="AA121">_xlfn.IFERROR((Z121-Z120),"N/A")</f>
        <v>195780</v>
      </c>
      <c r="AB121" s="466"/>
      <c r="AC121" t="str" s="470" cm="1">
        <f t="array" ref="AC121">IF(B121=6,AVERAGE(Z120:Z125),"N/A")</f>
        <v>N/A</v>
      </c>
      <c r="AD121" s="466"/>
      <c r="AE121" t="s" s="474">
        <v>546</v>
      </c>
      <c r="AF121" s="466"/>
      <c r="AG121" s="466"/>
      <c r="AH121" s="466"/>
      <c r="AI121" s="466"/>
      <c r="AJ121" s="466"/>
      <c r="AK121" s="466"/>
      <c r="AL121" s="466"/>
      <c r="AM121" s="466"/>
      <c r="AN121" s="473"/>
    </row>
    <row r="122" ht="15" customHeight="1" hidden="1">
      <c r="A122" s="12"/>
      <c r="B122" s="465" cm="1">
        <f t="array" ref="B122">IF(B121=0,0,IF(B121&lt;VLOOKUP(C117,'Boats Data Sheet 2026'!$C$3:$H$57,6,0),B121+1,0))</f>
        <v>3</v>
      </c>
      <c r="C122" s="466" cm="1">
        <f t="array" ref="C122">IF(B122&gt;0,IF(VLOOKUP(C117,'Boats Data Sheet 2026'!$C$3:$J$57,8,0)="N/A",0,VLOOKUP(C117,'Boats Data Sheet 2026'!$C$3:$J$57,8,0)),"N/A")</f>
        <v>0</v>
      </c>
      <c r="D122" s="467" cm="1">
        <f t="array" ref="D122">IF(B122&gt;7,2,IF(B122=0,"N/A",1))</f>
        <v>1</v>
      </c>
      <c r="E122" s="466" cm="1">
        <f t="array" ref="E122">_xlfn.IFERROR(SUM('Direct Costs 2026'!$C$4:$C$5)*D122,"N/A")</f>
        <v>875500</v>
      </c>
      <c r="F122" s="466" cm="1">
        <f t="array" ref="F122">_xlfn.IFERROR('Direct Costs 2026'!$C$43*B122,"N/A")</f>
        <v>18000</v>
      </c>
      <c r="G122" s="466" cm="1">
        <f t="array" ref="G122">IF(B122&gt;0,'Direct Costs 2026'!$C$25,"N/A")</f>
        <v>90000</v>
      </c>
      <c r="H122" s="466" cm="1">
        <f t="array" ref="H122">IF(B122&gt;0,('Direct Costs 2026'!$C$16+'Direct Costs 2026'!$C$17),"N/A")</f>
        <v>685000</v>
      </c>
      <c r="I122" s="466">
        <v>0</v>
      </c>
      <c r="J122" s="466">
        <v>0</v>
      </c>
      <c r="K122" s="466" cm="1">
        <f t="array" ref="K122">IF(B122&gt;0,'Direct Costs 2026'!$C$26,"N/A")</f>
        <v>20000</v>
      </c>
      <c r="L122" s="466" cm="1">
        <f t="array" ref="L122">IF(B122&gt;0,'Direct Costs 2026'!$C$23,"N/A")</f>
        <v>140000</v>
      </c>
      <c r="M122" s="466" cm="1">
        <f t="array" ref="M122">IF(B122&gt;0,'Direct Costs 2026'!$C$45*B122,"N/A")</f>
        <v>450000</v>
      </c>
      <c r="N122" s="466" cm="1">
        <f t="array" ref="N122">IF(B122&gt;0,_xlfn.IFERROR(VLOOKUP(C117,'Boats Data Sheet 2026'!$C$3:$I$57,7,0)*'Direct Costs 2026'!$C$36,"N/A"),"N/A")</f>
        <v>6650000</v>
      </c>
      <c r="O122" t="str" s="468" cm="1">
        <f t="array" ref="O122">IF(B122&gt;0,IF(OR(VLOOKUP(C117,'Boats Data Sheet 2026'!$C$3:$F$57,4,0)="Own",VLOOKUP(C117,'Boats Data Sheet 2026'!$C$3:$F$57,4,0)="Management"),('Direct Costs 2026'!$C$37+'Direct Costs 2026'!$C$39),"N/A"),"N/A")</f>
        <v>N/A</v>
      </c>
      <c r="P122" s="466" cm="1">
        <f t="array" ref="P122">_xlfn.IFERROR('Direct Costs 2026'!$C$27*C122,"N/A")</f>
        <v>0</v>
      </c>
      <c r="Q122" s="466" cm="1">
        <f t="array" ref="Q122">_xlfn.IFERROR(C122+SUM(E122:P122),"N/A")</f>
        <v>8928500</v>
      </c>
      <c r="R122" s="466"/>
      <c r="S122" s="466" cm="1">
        <f t="array" ref="S122">IF(B122&gt;0,'Allocation OH and Target 2026'!$E$31,"N/A")</f>
        <v>3100447.15769812</v>
      </c>
      <c r="T122" s="466" cm="1">
        <f t="array" ref="T122">IF(B122&gt;0,VLOOKUP(C117,'Allocation OH and Target 2026'!$C$35:$S$87,16,0),"N/A")</f>
        <v>0</v>
      </c>
      <c r="U122" s="466" cm="1">
        <f t="array" ref="U122">_xlfn.IFERROR((S122+T122),"N/A")</f>
        <v>3100447.15769812</v>
      </c>
      <c r="V122" s="466"/>
      <c r="W122" s="466" cm="1">
        <f t="array" ref="W122">_xlfn.IFERROR(U122+Q122,"N/A")</f>
        <v>12028947.1576981</v>
      </c>
      <c r="X122" s="466" cm="1">
        <f t="array" ref="X122">_xlfn.IFERROR(W122*0.5%,"N/A")</f>
        <v>60144.7357884905</v>
      </c>
      <c r="Y122" s="466" cm="1">
        <f t="array" ref="Y122">_xlfn.IFERROR(W122*25%,"N/A")</f>
        <v>3007236.78942453</v>
      </c>
      <c r="Z122" s="469" cm="1">
        <f t="array" ref="Z122">IF(B122&gt;0,SUM(W122:Y122),"N/A")</f>
        <v>15096328.6829111</v>
      </c>
      <c r="AA122" s="469" cm="1">
        <f t="array" ref="AA122">_xlfn.IFERROR((Z122-Z121),"N/A")</f>
        <v>195780</v>
      </c>
      <c r="AB122" s="466"/>
      <c r="AC122" t="str" s="470" cm="1">
        <f t="array" ref="AC122">IF(B122=6,AVERAGE(Z120:Z125),"N/A")</f>
        <v>N/A</v>
      </c>
      <c r="AD122" s="466"/>
      <c r="AE122" t="s" s="471">
        <v>547</v>
      </c>
      <c r="AF122" s="466" cm="1">
        <f t="array" ref="AF122">AF120*'RECOMMENDED PRICES'!$D$17</f>
        <v>0</v>
      </c>
      <c r="AG122" s="466"/>
      <c r="AH122" s="466"/>
      <c r="AI122" s="466"/>
      <c r="AJ122" s="466"/>
      <c r="AK122" s="466"/>
      <c r="AL122" s="466"/>
      <c r="AM122" s="466"/>
      <c r="AN122" s="473"/>
    </row>
    <row r="123" ht="15" customHeight="1" hidden="1">
      <c r="A123" s="12"/>
      <c r="B123" s="465" cm="1">
        <f t="array" ref="B123">IF(B122=0,0,IF(B122&lt;VLOOKUP(C117,'Boats Data Sheet 2026'!$C$3:$H$57,6,0),B122+1,0))</f>
        <v>4</v>
      </c>
      <c r="C123" s="466" cm="1">
        <f t="array" ref="C123">IF(B123&gt;0,IF(VLOOKUP(C117,'Boats Data Sheet 2026'!$C$3:$J$57,8,0)="N/A",0,VLOOKUP(C117,'Boats Data Sheet 2026'!$C$3:$J$57,8,0)),"N/A")</f>
        <v>0</v>
      </c>
      <c r="D123" s="467" cm="1">
        <f t="array" ref="D123">IF(B123&gt;7,2,IF(B123=0,"N/A",1))</f>
        <v>1</v>
      </c>
      <c r="E123" s="466" cm="1">
        <f t="array" ref="E123">_xlfn.IFERROR(SUM('Direct Costs 2026'!$C$4:$C$5)*D123,"N/A")</f>
        <v>875500</v>
      </c>
      <c r="F123" s="466" cm="1">
        <f t="array" ref="F123">_xlfn.IFERROR('Direct Costs 2026'!$C$43*B123,"N/A")</f>
        <v>24000</v>
      </c>
      <c r="G123" s="466" cm="1">
        <f t="array" ref="G123">IF(B123&gt;0,'Direct Costs 2026'!$C$25,"N/A")</f>
        <v>90000</v>
      </c>
      <c r="H123" s="466" cm="1">
        <f t="array" ref="H123">IF(B123&gt;0,('Direct Costs 2026'!$C$16+'Direct Costs 2026'!$C$17),"N/A")</f>
        <v>685000</v>
      </c>
      <c r="I123" s="466">
        <v>0</v>
      </c>
      <c r="J123" s="466">
        <v>0</v>
      </c>
      <c r="K123" s="466" cm="1">
        <f t="array" ref="K123">IF(B123&gt;0,'Direct Costs 2026'!$C$26,"N/A")</f>
        <v>20000</v>
      </c>
      <c r="L123" s="466" cm="1">
        <f t="array" ref="L123">IF(B123&gt;0,'Direct Costs 2026'!$C$23,"N/A")</f>
        <v>140000</v>
      </c>
      <c r="M123" s="466" cm="1">
        <f t="array" ref="M123">IF(B123&gt;0,'Direct Costs 2026'!$C$45*B123,"N/A")</f>
        <v>600000</v>
      </c>
      <c r="N123" s="466" cm="1">
        <f t="array" ref="N123">IF(B123&gt;0,_xlfn.IFERROR(VLOOKUP(C117,'Boats Data Sheet 2026'!$C$3:$I$57,7,0)*'Direct Costs 2026'!$C$36,"N/A"),"N/A")</f>
        <v>6650000</v>
      </c>
      <c r="O123" t="str" s="468" cm="1">
        <f t="array" ref="O123">IF(B123&gt;0,IF(OR(VLOOKUP(C117,'Boats Data Sheet 2026'!$C$3:$F$57,4,0)="Own",VLOOKUP(C117,'Boats Data Sheet 2026'!$C$3:$F$57,4,0)="Management"),('Direct Costs 2026'!$C$37+'Direct Costs 2026'!$C$39),"N/A"),"N/A")</f>
        <v>N/A</v>
      </c>
      <c r="P123" s="466" cm="1">
        <f t="array" ref="P123">_xlfn.IFERROR('Direct Costs 2026'!$C$27*C123,"N/A")</f>
        <v>0</v>
      </c>
      <c r="Q123" s="466" cm="1">
        <f t="array" ref="Q123">_xlfn.IFERROR(C123+SUM(E123:P123),"N/A")</f>
        <v>9084500</v>
      </c>
      <c r="R123" s="466"/>
      <c r="S123" s="466" cm="1">
        <f t="array" ref="S123">IF(B123&gt;0,'Allocation OH and Target 2026'!$E$31,"N/A")</f>
        <v>3100447.15769812</v>
      </c>
      <c r="T123" s="466" cm="1">
        <f t="array" ref="T123">IF(B123&gt;0,VLOOKUP(C117,'Allocation OH and Target 2026'!$C$35:$S$87,16,0),"N/A")</f>
        <v>0</v>
      </c>
      <c r="U123" s="466" cm="1">
        <f t="array" ref="U123">_xlfn.IFERROR((S123+T123),"N/A")</f>
        <v>3100447.15769812</v>
      </c>
      <c r="V123" s="466"/>
      <c r="W123" s="466" cm="1">
        <f t="array" ref="W123">_xlfn.IFERROR(U123+Q123,"N/A")</f>
        <v>12184947.1576981</v>
      </c>
      <c r="X123" s="466" cm="1">
        <f t="array" ref="X123">_xlfn.IFERROR(W123*0.5%,"N/A")</f>
        <v>60924.7357884905</v>
      </c>
      <c r="Y123" s="466" cm="1">
        <f t="array" ref="Y123">_xlfn.IFERROR(W123*25%,"N/A")</f>
        <v>3046236.78942453</v>
      </c>
      <c r="Z123" s="469" cm="1">
        <f t="array" ref="Z123">IF(B123&gt;0,SUM(W123:Y123),"N/A")</f>
        <v>15292108.6829111</v>
      </c>
      <c r="AA123" s="469" cm="1">
        <f t="array" ref="AA123">_xlfn.IFERROR((Z123-Z122),"N/A")</f>
        <v>195780</v>
      </c>
      <c r="AB123" s="466"/>
      <c r="AC123" t="str" s="470" cm="1">
        <f t="array" ref="AC123">IF(B123=6,AVERAGE(Z120:Z125),"N/A")</f>
        <v>N/A</v>
      </c>
      <c r="AD123" s="466"/>
      <c r="AE123" t="s" s="471">
        <v>548</v>
      </c>
      <c r="AF123" s="466" cm="1">
        <f t="array" ref="AF123">AF120*'RECOMMENDED PRICES'!$D$37</f>
        <v>0</v>
      </c>
      <c r="AG123" s="466"/>
      <c r="AH123" s="466"/>
      <c r="AI123" s="466"/>
      <c r="AJ123" s="466"/>
      <c r="AK123" s="466"/>
      <c r="AL123" s="466"/>
      <c r="AM123" s="466"/>
      <c r="AN123" s="473"/>
    </row>
    <row r="124" ht="15" customHeight="1" hidden="1">
      <c r="A124" s="12"/>
      <c r="B124" s="465" cm="1">
        <f t="array" ref="B124">IF(B123=0,0,IF(B123&lt;VLOOKUP(C117,'Boats Data Sheet 2026'!$C$3:$H$57,6,0),B123+1,0))</f>
        <v>5</v>
      </c>
      <c r="C124" s="466" cm="1">
        <f t="array" ref="C124">IF(B124&gt;0,IF(VLOOKUP(C117,'Boats Data Sheet 2026'!$C$3:$J$57,8,0)="N/A",0,VLOOKUP(C117,'Boats Data Sheet 2026'!$C$3:$J$57,8,0)),"N/A")</f>
        <v>0</v>
      </c>
      <c r="D124" s="467" cm="1">
        <f t="array" ref="D124">IF(B124&gt;7,2,IF(B124=0,"N/A",1))</f>
        <v>1</v>
      </c>
      <c r="E124" s="466" cm="1">
        <f t="array" ref="E124">_xlfn.IFERROR(SUM('Direct Costs 2026'!$C$4:$C$5)*D124,"N/A")</f>
        <v>875500</v>
      </c>
      <c r="F124" s="466" cm="1">
        <f t="array" ref="F124">_xlfn.IFERROR('Direct Costs 2026'!$C$43*B124,"N/A")</f>
        <v>30000</v>
      </c>
      <c r="G124" s="466" cm="1">
        <f t="array" ref="G124">IF(B124&gt;0,'Direct Costs 2026'!$C$25,"N/A")</f>
        <v>90000</v>
      </c>
      <c r="H124" s="466" cm="1">
        <f t="array" ref="H124">IF(B124&gt;0,('Direct Costs 2026'!$C$16+'Direct Costs 2026'!$C$17),"N/A")</f>
        <v>685000</v>
      </c>
      <c r="I124" s="466">
        <v>0</v>
      </c>
      <c r="J124" s="466">
        <v>0</v>
      </c>
      <c r="K124" s="466" cm="1">
        <f t="array" ref="K124">IF(B124&gt;0,'Direct Costs 2026'!$C$26,"N/A")</f>
        <v>20000</v>
      </c>
      <c r="L124" s="466" cm="1">
        <f t="array" ref="L124">IF(B124&gt;0,'Direct Costs 2026'!$C$23,"N/A")</f>
        <v>140000</v>
      </c>
      <c r="M124" s="466" cm="1">
        <f t="array" ref="M124">IF(B124&gt;0,'Direct Costs 2026'!$C$45*B124,"N/A")</f>
        <v>750000</v>
      </c>
      <c r="N124" s="466" cm="1">
        <f t="array" ref="N124">IF(B124&gt;0,_xlfn.IFERROR(VLOOKUP(C117,'Boats Data Sheet 2026'!$C$3:$I$57,7,0)*'Direct Costs 2026'!$C$36,"N/A"),"N/A")</f>
        <v>6650000</v>
      </c>
      <c r="O124" t="str" s="468" cm="1">
        <f t="array" ref="O124">IF(B124&gt;0,IF(OR(VLOOKUP(C117,'Boats Data Sheet 2026'!$C$3:$F$57,4,0)="Own",VLOOKUP(C117,'Boats Data Sheet 2026'!$C$3:$F$57,4,0)="Management"),('Direct Costs 2026'!$C$37+'Direct Costs 2026'!$C$39),"N/A"),"N/A")</f>
        <v>N/A</v>
      </c>
      <c r="P124" s="466" cm="1">
        <f t="array" ref="P124">_xlfn.IFERROR('Direct Costs 2026'!$C$27*C124,"N/A")</f>
        <v>0</v>
      </c>
      <c r="Q124" s="466" cm="1">
        <f t="array" ref="Q124">_xlfn.IFERROR(C124+SUM(E124:P124),"N/A")</f>
        <v>9240500</v>
      </c>
      <c r="R124" s="466"/>
      <c r="S124" s="466" cm="1">
        <f t="array" ref="S124">IF(B124&gt;0,'Allocation OH and Target 2026'!$E$31,"N/A")</f>
        <v>3100447.15769812</v>
      </c>
      <c r="T124" s="466" cm="1">
        <f t="array" ref="T124">IF(B124&gt;0,VLOOKUP(C117,'Allocation OH and Target 2026'!$C$35:$S$87,16,0),"N/A")</f>
        <v>0</v>
      </c>
      <c r="U124" s="466" cm="1">
        <f t="array" ref="U124">_xlfn.IFERROR((S124+T124),"N/A")</f>
        <v>3100447.15769812</v>
      </c>
      <c r="V124" s="466"/>
      <c r="W124" s="466" cm="1">
        <f t="array" ref="W124">_xlfn.IFERROR(U124+Q124,"N/A")</f>
        <v>12340947.1576981</v>
      </c>
      <c r="X124" s="466" cm="1">
        <f t="array" ref="X124">_xlfn.IFERROR(W124*0.5%,"N/A")</f>
        <v>61704.7357884905</v>
      </c>
      <c r="Y124" s="466" cm="1">
        <f t="array" ref="Y124">_xlfn.IFERROR(W124*25%,"N/A")</f>
        <v>3085236.78942453</v>
      </c>
      <c r="Z124" s="469" cm="1">
        <f t="array" ref="Z124">IF(B124&gt;0,SUM(W124:Y124),"N/A")</f>
        <v>15487888.6829111</v>
      </c>
      <c r="AA124" s="469" cm="1">
        <f t="array" ref="AA124">_xlfn.IFERROR((Z124-Z123),"N/A")</f>
        <v>195780</v>
      </c>
      <c r="AB124" s="466"/>
      <c r="AC124" t="str" s="470" cm="1">
        <f t="array" ref="AC124">IF(B124=6,AVERAGE(Z120:Z125),"N/A")</f>
        <v>N/A</v>
      </c>
      <c r="AD124" s="466"/>
      <c r="AE124" t="s" s="471">
        <v>549</v>
      </c>
      <c r="AF124" s="466">
        <v>0</v>
      </c>
      <c r="AG124" s="466"/>
      <c r="AH124" s="466"/>
      <c r="AI124" s="466"/>
      <c r="AJ124" s="466"/>
      <c r="AK124" s="466"/>
      <c r="AL124" s="466"/>
      <c r="AM124" s="466"/>
      <c r="AN124" s="473"/>
    </row>
    <row r="125" ht="15" customHeight="1" hidden="1">
      <c r="A125" s="12"/>
      <c r="B125" s="465" cm="1">
        <f t="array" ref="B125">IF(B124=0,0,IF(B124&lt;VLOOKUP(C117,'Boats Data Sheet 2026'!$C$3:$H$57,6,0),B124+1,0))</f>
        <v>6</v>
      </c>
      <c r="C125" s="466" cm="1">
        <f t="array" ref="C125">IF(B125&gt;0,IF(VLOOKUP(C117,'Boats Data Sheet 2026'!$C$3:$J$57,8,0)="N/A",0,VLOOKUP(C117,'Boats Data Sheet 2026'!$C$3:$J$57,8,0)),"N/A")</f>
        <v>0</v>
      </c>
      <c r="D125" s="467" cm="1">
        <f t="array" ref="D125">IF(B125&gt;7,2,IF(B125=0,"N/A",1))</f>
        <v>1</v>
      </c>
      <c r="E125" s="466" cm="1">
        <f t="array" ref="E125">_xlfn.IFERROR(SUM('Direct Costs 2026'!$C$4:$C$5)*D125,"N/A")</f>
        <v>875500</v>
      </c>
      <c r="F125" s="466" cm="1">
        <f t="array" ref="F125">_xlfn.IFERROR('Direct Costs 2026'!$C$43*B125,"N/A")</f>
        <v>36000</v>
      </c>
      <c r="G125" s="466" cm="1">
        <f t="array" ref="G125">IF(B125&gt;0,'Direct Costs 2026'!$C$25,"N/A")</f>
        <v>90000</v>
      </c>
      <c r="H125" s="466" cm="1">
        <f t="array" ref="H125">IF(B125&gt;0,('Direct Costs 2026'!$C$16+'Direct Costs 2026'!$C$17),"N/A")</f>
        <v>685000</v>
      </c>
      <c r="I125" s="466">
        <v>0</v>
      </c>
      <c r="J125" s="466">
        <v>0</v>
      </c>
      <c r="K125" s="466" cm="1">
        <f t="array" ref="K125">IF(B125&gt;0,'Direct Costs 2026'!$C$26,"N/A")</f>
        <v>20000</v>
      </c>
      <c r="L125" s="466" cm="1">
        <f t="array" ref="L125">IF(B125&gt;0,'Direct Costs 2026'!$C$23,"N/A")</f>
        <v>140000</v>
      </c>
      <c r="M125" s="466" cm="1">
        <f t="array" ref="M125">IF(B125&gt;0,'Direct Costs 2026'!$C$45*B125,"N/A")</f>
        <v>900000</v>
      </c>
      <c r="N125" s="466" cm="1">
        <f t="array" ref="N125">IF(B125&gt;0,_xlfn.IFERROR(VLOOKUP(C117,'Boats Data Sheet 2026'!$C$3:$I$57,7,0)*'Direct Costs 2026'!$C$36,"N/A"),"N/A")</f>
        <v>6650000</v>
      </c>
      <c r="O125" t="str" s="468" cm="1">
        <f t="array" ref="O125">IF(B125&gt;0,IF(OR(VLOOKUP(C117,'Boats Data Sheet 2026'!$C$3:$F$57,4,0)="Own",VLOOKUP(C117,'Boats Data Sheet 2026'!$C$3:$F$57,4,0)="Management"),('Direct Costs 2026'!$C$37+'Direct Costs 2026'!$C$39),"N/A"),"N/A")</f>
        <v>N/A</v>
      </c>
      <c r="P125" s="466" cm="1">
        <f t="array" ref="P125">_xlfn.IFERROR('Direct Costs 2026'!$C$27*C125,"N/A")</f>
        <v>0</v>
      </c>
      <c r="Q125" s="466" cm="1">
        <f t="array" ref="Q125">_xlfn.IFERROR(C125+SUM(E125:P125),"N/A")</f>
        <v>9396500</v>
      </c>
      <c r="R125" s="466"/>
      <c r="S125" s="466" cm="1">
        <f t="array" ref="S125">IF(B125&gt;0,'Allocation OH and Target 2026'!$E$31,"N/A")</f>
        <v>3100447.15769812</v>
      </c>
      <c r="T125" s="466" cm="1">
        <f t="array" ref="T125">IF(B125&gt;0,VLOOKUP(C117,'Allocation OH and Target 2026'!$C$35:$S$87,16,0),"N/A")</f>
        <v>0</v>
      </c>
      <c r="U125" s="466" cm="1">
        <f t="array" ref="U125">_xlfn.IFERROR((S125+T125),"N/A")</f>
        <v>3100447.15769812</v>
      </c>
      <c r="V125" s="466"/>
      <c r="W125" s="466" cm="1">
        <f t="array" ref="W125">_xlfn.IFERROR(U125+Q125,"N/A")</f>
        <v>12496947.1576981</v>
      </c>
      <c r="X125" s="466" cm="1">
        <f t="array" ref="X125">_xlfn.IFERROR(W125*0.5%,"N/A")</f>
        <v>62484.7357884905</v>
      </c>
      <c r="Y125" s="466" cm="1">
        <f t="array" ref="Y125">_xlfn.IFERROR(W125*25%,"N/A")</f>
        <v>3124236.78942453</v>
      </c>
      <c r="Z125" s="469" cm="1">
        <f t="array" ref="Z125">IF(B125&gt;0,SUM(W125:Y125),"N/A")</f>
        <v>15683668.6829111</v>
      </c>
      <c r="AA125" s="469" cm="1">
        <f t="array" ref="AA125">_xlfn.IFERROR((Z125-Z124),"N/A")</f>
        <v>195780</v>
      </c>
      <c r="AB125" s="466"/>
      <c r="AC125" s="469" cm="1">
        <f t="array" ref="AC125">IF(B125=6,AVERAGE(Z120:Z125),"N/A")</f>
        <v>15194218.6829111</v>
      </c>
      <c r="AD125" s="466"/>
      <c r="AE125" t="s" s="474">
        <v>550</v>
      </c>
      <c r="AF125" s="466"/>
      <c r="AG125" s="466"/>
      <c r="AH125" s="466"/>
      <c r="AI125" s="466"/>
      <c r="AJ125" s="466"/>
      <c r="AK125" s="466"/>
      <c r="AL125" s="466"/>
      <c r="AM125" s="466"/>
      <c r="AN125" s="473"/>
    </row>
    <row r="126" ht="15" customHeight="1" hidden="1">
      <c r="A126" s="12"/>
      <c r="B126" s="465" cm="1">
        <f t="array" ref="B126">IF(B125=0,0,IF(B125&lt;VLOOKUP(C117,'Boats Data Sheet 2026'!$C$3:$H$57,6,0),B125+1,0))</f>
        <v>7</v>
      </c>
      <c r="C126" s="466" cm="1">
        <f t="array" ref="C126">IF(B126&gt;0,IF(VLOOKUP(C117,'Boats Data Sheet 2026'!$C$3:$J$57,8,0)="N/A",0,VLOOKUP(C117,'Boats Data Sheet 2026'!$C$3:$J$57,8,0)),"N/A")</f>
        <v>0</v>
      </c>
      <c r="D126" s="467" cm="1">
        <f t="array" ref="D126">IF(B126&gt;7,2,IF(B126=0,"N/A",1))</f>
        <v>1</v>
      </c>
      <c r="E126" s="466" cm="1">
        <f t="array" ref="E126">_xlfn.IFERROR(SUM('Direct Costs 2026'!$C$4:$C$5)*D126,"N/A")</f>
        <v>875500</v>
      </c>
      <c r="F126" s="466" cm="1">
        <f t="array" ref="F126">_xlfn.IFERROR('Direct Costs 2026'!$C$43*B126,"N/A")</f>
        <v>42000</v>
      </c>
      <c r="G126" s="466" cm="1">
        <f t="array" ref="G126">IF(B126&gt;0,'Direct Costs 2026'!$C$25,"N/A")</f>
        <v>90000</v>
      </c>
      <c r="H126" s="466" cm="1">
        <f t="array" ref="H126">IF(B126&gt;0,('Direct Costs 2026'!$C$16+'Direct Costs 2026'!$C$17),"N/A")</f>
        <v>685000</v>
      </c>
      <c r="I126" s="466">
        <v>0</v>
      </c>
      <c r="J126" s="466">
        <v>0</v>
      </c>
      <c r="K126" s="466" cm="1">
        <f t="array" ref="K126">IF(B126&gt;0,'Direct Costs 2026'!$C$26,"N/A")</f>
        <v>20000</v>
      </c>
      <c r="L126" s="466" cm="1">
        <f t="array" ref="L126">IF(B126&gt;0,'Direct Costs 2026'!$C$23,"N/A")</f>
        <v>140000</v>
      </c>
      <c r="M126" s="466" cm="1">
        <f t="array" ref="M126">IF(B126&gt;0,'Direct Costs 2026'!$C$45*B126,"N/A")</f>
        <v>1050000</v>
      </c>
      <c r="N126" s="466" cm="1">
        <f t="array" ref="N126">IF(B126&gt;0,_xlfn.IFERROR(VLOOKUP(C117,'Boats Data Sheet 2026'!$C$3:$I$57,7,0)*'Direct Costs 2026'!$C$36,"N/A"),"N/A")</f>
        <v>6650000</v>
      </c>
      <c r="O126" t="str" s="468" cm="1">
        <f t="array" ref="O126">IF(B126&gt;0,IF(OR(VLOOKUP(C117,'Boats Data Sheet 2026'!$C$3:$F$57,4,0)="Own",VLOOKUP(C117,'Boats Data Sheet 2026'!$C$3:$F$57,4,0)="Management"),('Direct Costs 2026'!$C$37+'Direct Costs 2026'!$C$39),"N/A"),"N/A")</f>
        <v>N/A</v>
      </c>
      <c r="P126" s="466" cm="1">
        <f t="array" ref="P126">_xlfn.IFERROR('Direct Costs 2026'!$C$27*C126,"N/A")</f>
        <v>0</v>
      </c>
      <c r="Q126" s="466" cm="1">
        <f t="array" ref="Q126">_xlfn.IFERROR(C126+SUM(E126:P126),"N/A")</f>
        <v>9552500</v>
      </c>
      <c r="R126" s="466"/>
      <c r="S126" s="466" cm="1">
        <f t="array" ref="S126">IF(B126&gt;0,'Allocation OH and Target 2026'!$E$31,"N/A")</f>
        <v>3100447.15769812</v>
      </c>
      <c r="T126" s="466" cm="1">
        <f t="array" ref="T126">IF(B126&gt;0,VLOOKUP(C117,'Allocation OH and Target 2026'!$C$35:$S$87,16,0),"N/A")</f>
        <v>0</v>
      </c>
      <c r="U126" s="466" cm="1">
        <f t="array" ref="U126">_xlfn.IFERROR((S126+T126),"N/A")</f>
        <v>3100447.15769812</v>
      </c>
      <c r="V126" s="466"/>
      <c r="W126" s="466" cm="1">
        <f t="array" ref="W126">_xlfn.IFERROR(U126+Q126,"N/A")</f>
        <v>12652947.1576981</v>
      </c>
      <c r="X126" s="466" cm="1">
        <f t="array" ref="X126">_xlfn.IFERROR(W126*0.5%,"N/A")</f>
        <v>63264.7357884905</v>
      </c>
      <c r="Y126" s="466" cm="1">
        <f t="array" ref="Y126">_xlfn.IFERROR(W126*25%,"N/A")</f>
        <v>3163236.78942453</v>
      </c>
      <c r="Z126" s="469" cm="1">
        <f t="array" ref="Z126">IF(B126&gt;0,SUM(W126:Y126),"N/A")</f>
        <v>15879448.6829111</v>
      </c>
      <c r="AA126" s="469" cm="1">
        <f t="array" ref="AA126">_xlfn.IFERROR((Z126-Z125),"N/A")</f>
        <v>195780</v>
      </c>
      <c r="AB126" s="466"/>
      <c r="AC126" t="str" s="470" cm="1">
        <f t="array" ref="AC126">IF(B126=6,AVERAGE(Z120:Z125),"N/A")</f>
        <v>N/A</v>
      </c>
      <c r="AD126" s="466"/>
      <c r="AE126" t="s" s="471">
        <v>551</v>
      </c>
      <c r="AF126" s="466" cm="1">
        <f t="array" ref="AF126">-AVERAGE(Q120:Q125)*AF120</f>
        <v>0</v>
      </c>
      <c r="AG126" s="466"/>
      <c r="AH126" s="466"/>
      <c r="AI126" s="466"/>
      <c r="AJ126" s="466"/>
      <c r="AK126" s="466"/>
      <c r="AL126" s="466"/>
      <c r="AM126" s="466"/>
      <c r="AN126" s="473"/>
    </row>
    <row r="127" ht="15" customHeight="1" hidden="1">
      <c r="A127" s="12"/>
      <c r="B127" s="465" cm="1">
        <f t="array" ref="B127">IF(B126=0,0,IF(B126&lt;VLOOKUP(C117,'Boats Data Sheet 2026'!$C$3:$H$57,6,0),B126+1,0))</f>
        <v>8</v>
      </c>
      <c r="C127" s="466" cm="1">
        <f t="array" ref="C127">IF(B127&gt;0,IF(VLOOKUP(C117,'Boats Data Sheet 2026'!$C$3:$J$57,8,0)="N/A",0,VLOOKUP(C117,'Boats Data Sheet 2026'!$C$3:$J$57,8,0)),"N/A")</f>
        <v>0</v>
      </c>
      <c r="D127" s="467" cm="1">
        <f t="array" ref="D127">IF(B127&gt;7,2,IF(B127=0,"N/A",1))</f>
        <v>2</v>
      </c>
      <c r="E127" s="466" cm="1">
        <f t="array" ref="E127">_xlfn.IFERROR(SUM('Direct Costs 2026'!$C$4:$C$5)*D127,"N/A")</f>
        <v>1751000</v>
      </c>
      <c r="F127" s="466" cm="1">
        <f t="array" ref="F127">_xlfn.IFERROR('Direct Costs 2026'!$C$43*B127,"N/A")</f>
        <v>48000</v>
      </c>
      <c r="G127" s="466" cm="1">
        <f t="array" ref="G127">IF(B127&gt;0,'Direct Costs 2026'!$C$25,"N/A")</f>
        <v>90000</v>
      </c>
      <c r="H127" s="466" cm="1">
        <f t="array" ref="H127">IF(B127&gt;0,('Direct Costs 2026'!$C$16+'Direct Costs 2026'!$C$17),"N/A")</f>
        <v>685000</v>
      </c>
      <c r="I127" s="466">
        <v>0</v>
      </c>
      <c r="J127" s="466">
        <v>0</v>
      </c>
      <c r="K127" s="466" cm="1">
        <f t="array" ref="K127">IF(B127&gt;0,'Direct Costs 2026'!$C$26,"N/A")</f>
        <v>20000</v>
      </c>
      <c r="L127" s="466" cm="1">
        <f t="array" ref="L127">IF(B127&gt;0,'Direct Costs 2026'!$C$23,"N/A")</f>
        <v>140000</v>
      </c>
      <c r="M127" s="466" cm="1">
        <f t="array" ref="M127">IF(B127&gt;0,'Direct Costs 2026'!$C$45*B127,"N/A")</f>
        <v>1200000</v>
      </c>
      <c r="N127" s="466" cm="1">
        <f t="array" ref="N127">IF(B127&gt;0,_xlfn.IFERROR(VLOOKUP(C117,'Boats Data Sheet 2026'!$C$3:$I$57,7,0)*'Direct Costs 2026'!$C$36,"N/A"),"N/A")</f>
        <v>6650000</v>
      </c>
      <c r="O127" t="str" s="468" cm="1">
        <f t="array" ref="O127">IF(B127&gt;0,IF(OR(VLOOKUP(C117,'Boats Data Sheet 2026'!$C$3:$F$57,4,0)="Own",VLOOKUP(C117,'Boats Data Sheet 2026'!$C$3:$F$57,4,0)="Management"),('Direct Costs 2026'!$C$37+'Direct Costs 2026'!$C$39),"N/A"),"N/A")</f>
        <v>N/A</v>
      </c>
      <c r="P127" s="466" cm="1">
        <f t="array" ref="P127">_xlfn.IFERROR('Direct Costs 2026'!$C$27*C127,"N/A")</f>
        <v>0</v>
      </c>
      <c r="Q127" s="466" cm="1">
        <f t="array" ref="Q127">_xlfn.IFERROR(C127+SUM(E127:P127),"N/A")</f>
        <v>10584000</v>
      </c>
      <c r="R127" s="466"/>
      <c r="S127" s="466" cm="1">
        <f t="array" ref="S127">IF(B127&gt;0,'Allocation OH and Target 2026'!$E$31,"N/A")</f>
        <v>3100447.15769812</v>
      </c>
      <c r="T127" s="466" cm="1">
        <f t="array" ref="T127">IF(B127&gt;0,VLOOKUP(C117,'Allocation OH and Target 2026'!$C$35:$S$87,16,0),"N/A")</f>
        <v>0</v>
      </c>
      <c r="U127" s="466" cm="1">
        <f t="array" ref="U127">_xlfn.IFERROR((S127+T127),"N/A")</f>
        <v>3100447.15769812</v>
      </c>
      <c r="V127" s="466"/>
      <c r="W127" s="466" cm="1">
        <f t="array" ref="W127">_xlfn.IFERROR(U127+Q127,"N/A")</f>
        <v>13684447.1576981</v>
      </c>
      <c r="X127" s="466" cm="1">
        <f t="array" ref="X127">_xlfn.IFERROR(W127*0.5%,"N/A")</f>
        <v>68422.235788490507</v>
      </c>
      <c r="Y127" s="466" cm="1">
        <f t="array" ref="Y127">_xlfn.IFERROR(W127*25%,"N/A")</f>
        <v>3421111.78942453</v>
      </c>
      <c r="Z127" s="469" cm="1">
        <f t="array" ref="Z127">IF(B127&gt;0,SUM(W127:Y127),"N/A")</f>
        <v>17173981.1829111</v>
      </c>
      <c r="AA127" s="469" cm="1">
        <f t="array" ref="AA127">_xlfn.IFERROR((Z127-Z126),"N/A")</f>
        <v>1294532.5</v>
      </c>
      <c r="AB127" s="466"/>
      <c r="AC127" t="str" s="470" cm="1">
        <f t="array" ref="AC127">IF(B127=6,AVERAGE(Z120:Z125),"N/A")</f>
        <v>N/A</v>
      </c>
      <c r="AD127" s="466"/>
      <c r="AE127" t="s" s="471">
        <v>552</v>
      </c>
      <c r="AF127" s="466" cm="1">
        <f t="array" ref="AF127">-((AVERAGE(Q126:Q136)-AVERAGE(Q120:Q125))*AF120*SUM('OLD Actual Sales Jan-Mar 2024'!$F$118:$F$127)/'OLD Actual Sales Jan-Mar 2024'!$F$16)</f>
        <v>0</v>
      </c>
      <c r="AG127" s="466"/>
      <c r="AH127" s="466"/>
      <c r="AI127" s="466"/>
      <c r="AJ127" s="466"/>
      <c r="AK127" s="466"/>
      <c r="AL127" s="466"/>
      <c r="AM127" s="466"/>
      <c r="AN127" s="473"/>
    </row>
    <row r="128" ht="15" customHeight="1" hidden="1">
      <c r="A128" s="12"/>
      <c r="B128" s="465" cm="1">
        <f t="array" ref="B128">IF(B127=0,0,IF(B127&lt;VLOOKUP(C117,'Boats Data Sheet 2026'!$C$3:$H$57,6,0),B127+1,0))</f>
        <v>9</v>
      </c>
      <c r="C128" s="466" cm="1">
        <f t="array" ref="C128">IF(B128&gt;0,IF(VLOOKUP(C117,'Boats Data Sheet 2026'!$C$3:$J$57,8,0)="N/A",0,VLOOKUP(C117,'Boats Data Sheet 2026'!$C$3:$J$57,8,0)),"N/A")</f>
        <v>0</v>
      </c>
      <c r="D128" s="467" cm="1">
        <f t="array" ref="D128">IF(B128&gt;7,2,IF(B128=0,"N/A",1))</f>
        <v>2</v>
      </c>
      <c r="E128" s="466" cm="1">
        <f t="array" ref="E128">_xlfn.IFERROR(SUM('Direct Costs 2026'!$C$4:$C$5)*D128,"N/A")</f>
        <v>1751000</v>
      </c>
      <c r="F128" s="466" cm="1">
        <f t="array" ref="F128">_xlfn.IFERROR('Direct Costs 2026'!$C$43*B128,"N/A")</f>
        <v>54000</v>
      </c>
      <c r="G128" s="466" cm="1">
        <f t="array" ref="G128">IF(B128&gt;0,'Direct Costs 2026'!$C$25,"N/A")</f>
        <v>90000</v>
      </c>
      <c r="H128" s="466" cm="1">
        <f t="array" ref="H128">IF(B128&gt;0,('Direct Costs 2026'!$C$16+'Direct Costs 2026'!$C$17),"N/A")</f>
        <v>685000</v>
      </c>
      <c r="I128" s="466">
        <v>0</v>
      </c>
      <c r="J128" s="466">
        <v>0</v>
      </c>
      <c r="K128" s="466" cm="1">
        <f t="array" ref="K128">IF(B128&gt;0,'Direct Costs 2026'!$C$26,"N/A")</f>
        <v>20000</v>
      </c>
      <c r="L128" s="466" cm="1">
        <f t="array" ref="L128">IF(B128&gt;0,'Direct Costs 2026'!$C$23,"N/A")</f>
        <v>140000</v>
      </c>
      <c r="M128" s="466" cm="1">
        <f t="array" ref="M128">IF(B128&gt;0,'Direct Costs 2026'!$C$45*B128,"N/A")</f>
        <v>1350000</v>
      </c>
      <c r="N128" s="466" cm="1">
        <f t="array" ref="N128">IF(B128&gt;0,_xlfn.IFERROR(VLOOKUP(C117,'Boats Data Sheet 2026'!$C$3:$I$57,7,0)*'Direct Costs 2026'!$C$36,"N/A"),"N/A")</f>
        <v>6650000</v>
      </c>
      <c r="O128" t="str" s="468" cm="1">
        <f t="array" ref="O128">IF(B128&gt;0,IF(OR(VLOOKUP(C117,'Boats Data Sheet 2026'!$C$3:$F$57,4,0)="Own",VLOOKUP(C117,'Boats Data Sheet 2026'!$C$3:$F$57,4,0)="Management"),('Direct Costs 2026'!$C$37+'Direct Costs 2026'!$C$39),"N/A"),"N/A")</f>
        <v>N/A</v>
      </c>
      <c r="P128" s="466" cm="1">
        <f t="array" ref="P128">_xlfn.IFERROR('Direct Costs 2026'!$C$27*C128,"N/A")</f>
        <v>0</v>
      </c>
      <c r="Q128" s="466" cm="1">
        <f t="array" ref="Q128">_xlfn.IFERROR(C128+SUM(E128:P128),"N/A")</f>
        <v>10740000</v>
      </c>
      <c r="R128" s="466"/>
      <c r="S128" s="466" cm="1">
        <f t="array" ref="S128">IF(B128&gt;0,'Allocation OH and Target 2026'!$E$31,"N/A")</f>
        <v>3100447.15769812</v>
      </c>
      <c r="T128" s="466" cm="1">
        <f t="array" ref="T128">IF(B128&gt;0,VLOOKUP(C117,'Allocation OH and Target 2026'!$C$35:$S$87,16,0),"N/A")</f>
        <v>0</v>
      </c>
      <c r="U128" s="466" cm="1">
        <f t="array" ref="U128">_xlfn.IFERROR((S128+T128),"N/A")</f>
        <v>3100447.15769812</v>
      </c>
      <c r="V128" s="466"/>
      <c r="W128" s="466" cm="1">
        <f t="array" ref="W128">_xlfn.IFERROR(U128+Q128,"N/A")</f>
        <v>13840447.1576981</v>
      </c>
      <c r="X128" s="466" cm="1">
        <f t="array" ref="X128">_xlfn.IFERROR(W128*0.5%,"N/A")</f>
        <v>69202.235788490507</v>
      </c>
      <c r="Y128" s="466" cm="1">
        <f t="array" ref="Y128">_xlfn.IFERROR(W128*25%,"N/A")</f>
        <v>3460111.78942453</v>
      </c>
      <c r="Z128" s="469" cm="1">
        <f t="array" ref="Z128">IF(B128&gt;0,SUM(W128:Y128),"N/A")</f>
        <v>17369761.1829111</v>
      </c>
      <c r="AA128" s="469" cm="1">
        <f t="array" ref="AA128">_xlfn.IFERROR((Z128-Z127),"N/A")</f>
        <v>195780</v>
      </c>
      <c r="AB128" s="466"/>
      <c r="AC128" t="str" s="470" cm="1">
        <f t="array" ref="AC128">IF(B128=6,AVERAGE(Z120:Z125),"N/A")</f>
        <v>N/A</v>
      </c>
      <c r="AD128" s="466"/>
      <c r="AE128" t="s" s="474">
        <v>394</v>
      </c>
      <c r="AF128" s="466" cm="1">
        <f t="array" ref="AF128">SUM(AF122:AF127)</f>
        <v>0</v>
      </c>
      <c r="AG128" s="466"/>
      <c r="AH128" s="466"/>
      <c r="AI128" s="466"/>
      <c r="AJ128" s="466"/>
      <c r="AK128" s="466"/>
      <c r="AL128" s="466"/>
      <c r="AM128" s="466"/>
      <c r="AN128" s="473"/>
    </row>
    <row r="129" ht="15" customHeight="1" hidden="1">
      <c r="A129" s="12"/>
      <c r="B129" s="465" cm="1">
        <f t="array" ref="B129">IF(B128=0,0,IF(B128&lt;VLOOKUP(C117,'Boats Data Sheet 2026'!$C$3:$H$57,6,0),B128+1,0))</f>
        <v>10</v>
      </c>
      <c r="C129" s="466" cm="1">
        <f t="array" ref="C129">IF(B129&gt;0,IF(VLOOKUP(C117,'Boats Data Sheet 2026'!$C$3:$J$57,8,0)="N/A",0,VLOOKUP(C117,'Boats Data Sheet 2026'!$C$3:$J$57,8,0)),"N/A")</f>
        <v>0</v>
      </c>
      <c r="D129" s="467" cm="1">
        <f t="array" ref="D129">IF(B129&gt;7,2,IF(B129=0,"N/A",1))</f>
        <v>2</v>
      </c>
      <c r="E129" s="466" cm="1">
        <f t="array" ref="E129">_xlfn.IFERROR(SUM('Direct Costs 2026'!$C$4:$C$5)*D129,"N/A")</f>
        <v>1751000</v>
      </c>
      <c r="F129" s="466" cm="1">
        <f t="array" ref="F129">_xlfn.IFERROR('Direct Costs 2026'!$C$43*B129,"N/A")</f>
        <v>60000</v>
      </c>
      <c r="G129" s="466" cm="1">
        <f t="array" ref="G129">IF(B129&gt;0,'Direct Costs 2026'!$C$25,"N/A")</f>
        <v>90000</v>
      </c>
      <c r="H129" s="466" cm="1">
        <f t="array" ref="H129">IF(B129&gt;0,('Direct Costs 2026'!$C$16+'Direct Costs 2026'!$C$17),"N/A")</f>
        <v>685000</v>
      </c>
      <c r="I129" s="466">
        <v>0</v>
      </c>
      <c r="J129" s="466">
        <v>0</v>
      </c>
      <c r="K129" s="466" cm="1">
        <f t="array" ref="K129">IF(B129&gt;0,'Direct Costs 2026'!$C$26,"N/A")</f>
        <v>20000</v>
      </c>
      <c r="L129" s="466" cm="1">
        <f t="array" ref="L129">IF(B129&gt;0,'Direct Costs 2026'!$C$23,"N/A")</f>
        <v>140000</v>
      </c>
      <c r="M129" s="466" cm="1">
        <f t="array" ref="M129">IF(B129&gt;0,'Direct Costs 2026'!$C$45*B129,"N/A")</f>
        <v>1500000</v>
      </c>
      <c r="N129" s="466" cm="1">
        <f t="array" ref="N129">IF(B129&gt;0,_xlfn.IFERROR(VLOOKUP(C117,'Boats Data Sheet 2026'!$C$3:$I$57,7,0)*'Direct Costs 2026'!$C$36,"N/A"),"N/A")</f>
        <v>6650000</v>
      </c>
      <c r="O129" t="str" s="468" cm="1">
        <f t="array" ref="O129">IF(B129&gt;0,IF(OR(VLOOKUP(C117,'Boats Data Sheet 2026'!$C$3:$F$57,4,0)="Own",VLOOKUP(C117,'Boats Data Sheet 2026'!$C$3:$F$57,4,0)="Management"),('Direct Costs 2026'!$C$37+'Direct Costs 2026'!$C$39),"N/A"),"N/A")</f>
        <v>N/A</v>
      </c>
      <c r="P129" s="466" cm="1">
        <f t="array" ref="P129">_xlfn.IFERROR('Direct Costs 2026'!$C$27*C129,"N/A")</f>
        <v>0</v>
      </c>
      <c r="Q129" s="466" cm="1">
        <f t="array" ref="Q129">_xlfn.IFERROR(C129+SUM(E129:P129),"N/A")</f>
        <v>10896000</v>
      </c>
      <c r="R129" s="466"/>
      <c r="S129" s="466" cm="1">
        <f t="array" ref="S129">IF(B129&gt;0,'Allocation OH and Target 2026'!$E$31,"N/A")</f>
        <v>3100447.15769812</v>
      </c>
      <c r="T129" s="466" cm="1">
        <f t="array" ref="T129">IF(B129&gt;0,VLOOKUP(C117,'Allocation OH and Target 2026'!$C$35:$S$87,16,0),"N/A")</f>
        <v>0</v>
      </c>
      <c r="U129" s="466" cm="1">
        <f t="array" ref="U129">_xlfn.IFERROR((S129+T129),"N/A")</f>
        <v>3100447.15769812</v>
      </c>
      <c r="V129" s="466"/>
      <c r="W129" s="466" cm="1">
        <f t="array" ref="W129">_xlfn.IFERROR(U129+Q129,"N/A")</f>
        <v>13996447.1576981</v>
      </c>
      <c r="X129" s="466" cm="1">
        <f t="array" ref="X129">_xlfn.IFERROR(W129*0.5%,"N/A")</f>
        <v>69982.235788490507</v>
      </c>
      <c r="Y129" s="466" cm="1">
        <f t="array" ref="Y129">_xlfn.IFERROR(W129*25%,"N/A")</f>
        <v>3499111.78942453</v>
      </c>
      <c r="Z129" s="469" cm="1">
        <f t="array" ref="Z129">IF(B129&gt;0,SUM(W129:Y129),"N/A")</f>
        <v>17565541.1829111</v>
      </c>
      <c r="AA129" s="469" cm="1">
        <f t="array" ref="AA129">_xlfn.IFERROR((Z129-Z128),"N/A")</f>
        <v>195780</v>
      </c>
      <c r="AB129" s="466"/>
      <c r="AC129" t="str" s="470" cm="1">
        <f t="array" ref="AC129">IF(B129=6,AVERAGE(Z120:Z125),"N/A")</f>
        <v>N/A</v>
      </c>
      <c r="AD129" s="466"/>
      <c r="AE129" t="s" s="475">
        <v>543</v>
      </c>
      <c r="AF129" s="469" cm="1">
        <f t="array" ref="AF129">AF128*60%</f>
        <v>0</v>
      </c>
      <c r="AG129" s="466"/>
      <c r="AH129" s="466"/>
      <c r="AI129" s="466"/>
      <c r="AJ129" s="466"/>
      <c r="AK129" s="466"/>
      <c r="AL129" s="466"/>
      <c r="AM129" s="466"/>
      <c r="AN129" s="473"/>
    </row>
    <row r="130" ht="15" customHeight="1" hidden="1">
      <c r="A130" s="12"/>
      <c r="B130" s="465" cm="1">
        <f t="array" ref="B130">IF(B129=0,0,IF(B129&lt;VLOOKUP(C117,'Boats Data Sheet 2026'!$C$3:$H$57,6,0),B129+1,0))</f>
        <v>11</v>
      </c>
      <c r="C130" s="466" cm="1">
        <f t="array" ref="C130">IF(B130&gt;0,IF(VLOOKUP(C117,'Boats Data Sheet 2026'!$C$3:$J$57,8,0)="N/A",0,VLOOKUP(C117,'Boats Data Sheet 2026'!$C$3:$J$57,8,0)),"N/A")</f>
        <v>0</v>
      </c>
      <c r="D130" s="467" cm="1">
        <f t="array" ref="D130">IF(B130&gt;7,2,IF(B130=0,"N/A",1))</f>
        <v>2</v>
      </c>
      <c r="E130" s="466" cm="1">
        <f t="array" ref="E130">_xlfn.IFERROR(SUM('Direct Costs 2026'!$C$4:$C$5)*D130,"N/A")</f>
        <v>1751000</v>
      </c>
      <c r="F130" s="466" cm="1">
        <f t="array" ref="F130">_xlfn.IFERROR('Direct Costs 2026'!$C$43*B130,"N/A")</f>
        <v>66000</v>
      </c>
      <c r="G130" s="466" cm="1">
        <f t="array" ref="G130">IF(B130&gt;0,'Direct Costs 2026'!$C$25,"N/A")</f>
        <v>90000</v>
      </c>
      <c r="H130" s="466" cm="1">
        <f t="array" ref="H130">IF(B130&gt;0,('Direct Costs 2026'!$C$16+'Direct Costs 2026'!$C$17),"N/A")</f>
        <v>685000</v>
      </c>
      <c r="I130" s="466">
        <v>0</v>
      </c>
      <c r="J130" s="466">
        <v>0</v>
      </c>
      <c r="K130" s="466" cm="1">
        <f t="array" ref="K130">IF(B130&gt;0,'Direct Costs 2026'!$C$26,"N/A")</f>
        <v>20000</v>
      </c>
      <c r="L130" s="466" cm="1">
        <f t="array" ref="L130">IF(B130&gt;0,'Direct Costs 2026'!$C$23,"N/A")</f>
        <v>140000</v>
      </c>
      <c r="M130" s="466" cm="1">
        <f t="array" ref="M130">IF(B130&gt;0,'Direct Costs 2026'!$C$45*B130,"N/A")</f>
        <v>1650000</v>
      </c>
      <c r="N130" s="466" cm="1">
        <f t="array" ref="N130">IF(B130&gt;0,_xlfn.IFERROR(VLOOKUP(C117,'Boats Data Sheet 2026'!$C$3:$I$57,7,0)*'Direct Costs 2026'!$C$36,"N/A"),"N/A")</f>
        <v>6650000</v>
      </c>
      <c r="O130" t="str" s="468" cm="1">
        <f t="array" ref="O130">IF(B130&gt;0,IF(OR(VLOOKUP(C117,'Boats Data Sheet 2026'!$C$3:$F$57,4,0)="Own",VLOOKUP(C117,'Boats Data Sheet 2026'!$C$3:$F$57,4,0)="Management"),('Direct Costs 2026'!$C$37+'Direct Costs 2026'!$C$39),"N/A"),"N/A")</f>
        <v>N/A</v>
      </c>
      <c r="P130" s="466" cm="1">
        <f t="array" ref="P130">_xlfn.IFERROR('Direct Costs 2026'!$C$27*C130,"N/A")</f>
        <v>0</v>
      </c>
      <c r="Q130" s="466" cm="1">
        <f t="array" ref="Q130">_xlfn.IFERROR(C130+SUM(E130:P130),"N/A")</f>
        <v>11052000</v>
      </c>
      <c r="R130" s="466"/>
      <c r="S130" s="466" cm="1">
        <f t="array" ref="S130">IF(B130&gt;0,'Allocation OH and Target 2026'!$E$31,"N/A")</f>
        <v>3100447.15769812</v>
      </c>
      <c r="T130" s="466" cm="1">
        <f t="array" ref="T130">IF(B130&gt;0,VLOOKUP(C117,'Allocation OH and Target 2026'!$C$35:$S$87,16,0),"N/A")</f>
        <v>0</v>
      </c>
      <c r="U130" s="466" cm="1">
        <f t="array" ref="U130">_xlfn.IFERROR((S130+T130),"N/A")</f>
        <v>3100447.15769812</v>
      </c>
      <c r="V130" s="466"/>
      <c r="W130" s="466" cm="1">
        <f t="array" ref="W130">_xlfn.IFERROR(U130+Q130,"N/A")</f>
        <v>14152447.1576981</v>
      </c>
      <c r="X130" s="466" cm="1">
        <f t="array" ref="X130">_xlfn.IFERROR(W130*0.5%,"N/A")</f>
        <v>70762.235788490507</v>
      </c>
      <c r="Y130" s="466" cm="1">
        <f t="array" ref="Y130">_xlfn.IFERROR(W130*25%,"N/A")</f>
        <v>3538111.78942453</v>
      </c>
      <c r="Z130" s="469" cm="1">
        <f t="array" ref="Z130">IF(B130&gt;0,SUM(W130:Y130),"N/A")</f>
        <v>17761321.1829111</v>
      </c>
      <c r="AA130" s="469" cm="1">
        <f t="array" ref="AA130">_xlfn.IFERROR((Z130-Z129),"N/A")</f>
        <v>195780</v>
      </c>
      <c r="AB130" s="466"/>
      <c r="AC130" t="str" s="470" cm="1">
        <f t="array" ref="AC130">IF(B130=6,AVERAGE(Z120:Z125),"N/A")</f>
        <v>N/A</v>
      </c>
      <c r="AD130" s="466"/>
      <c r="AE130" s="466"/>
      <c r="AF130" s="466"/>
      <c r="AG130" s="466"/>
      <c r="AH130" s="466"/>
      <c r="AI130" s="466"/>
      <c r="AJ130" s="466"/>
      <c r="AK130" s="466"/>
      <c r="AL130" s="466"/>
      <c r="AM130" s="466"/>
      <c r="AN130" s="473"/>
    </row>
    <row r="131" ht="15" customHeight="1" hidden="1">
      <c r="A131" s="12"/>
      <c r="B131" s="465" cm="1">
        <f t="array" ref="B131">IF(B130=0,0,IF(B130&lt;VLOOKUP(C117,'Boats Data Sheet 2026'!$C$3:$H$57,6,0),B130+1,0))</f>
        <v>12</v>
      </c>
      <c r="C131" s="466" cm="1">
        <f t="array" ref="C131">IF(B131&gt;0,IF(VLOOKUP(C117,'Boats Data Sheet 2026'!$C$3:$J$57,8,0)="N/A",0,VLOOKUP(C117,'Boats Data Sheet 2026'!$C$3:$J$57,8,0)),"N/A")</f>
        <v>0</v>
      </c>
      <c r="D131" s="467" cm="1">
        <f t="array" ref="D131">IF(B131&gt;7,2,IF(B131=0,"N/A",1))</f>
        <v>2</v>
      </c>
      <c r="E131" s="466" cm="1">
        <f t="array" ref="E131">_xlfn.IFERROR(SUM('Direct Costs 2026'!$C$4:$C$5)*D131,"N/A")</f>
        <v>1751000</v>
      </c>
      <c r="F131" s="466" cm="1">
        <f t="array" ref="F131">_xlfn.IFERROR('Direct Costs 2026'!$C$43*B131,"N/A")</f>
        <v>72000</v>
      </c>
      <c r="G131" s="466" cm="1">
        <f t="array" ref="G131">IF(B131&gt;0,'Direct Costs 2026'!$C$25,"N/A")</f>
        <v>90000</v>
      </c>
      <c r="H131" s="466" cm="1">
        <f t="array" ref="H131">IF(B131&gt;0,('Direct Costs 2026'!$C$16+'Direct Costs 2026'!$C$17),"N/A")</f>
        <v>685000</v>
      </c>
      <c r="I131" s="466">
        <v>0</v>
      </c>
      <c r="J131" s="466">
        <v>0</v>
      </c>
      <c r="K131" s="466" cm="1">
        <f t="array" ref="K131">IF(B131&gt;0,'Direct Costs 2026'!$C$26,"N/A")</f>
        <v>20000</v>
      </c>
      <c r="L131" s="466" cm="1">
        <f t="array" ref="L131">IF(B131&gt;0,'Direct Costs 2026'!$C$23,"N/A")</f>
        <v>140000</v>
      </c>
      <c r="M131" s="466" cm="1">
        <f t="array" ref="M131">IF(B131&gt;0,'Direct Costs 2026'!$C$45*B131,"N/A")</f>
        <v>1800000</v>
      </c>
      <c r="N131" s="466" cm="1">
        <f t="array" ref="N131">IF(B131&gt;0,_xlfn.IFERROR(VLOOKUP(C117,'Boats Data Sheet 2026'!$C$3:$I$57,7,0)*'Direct Costs 2026'!$C$36,"N/A"),"N/A")</f>
        <v>6650000</v>
      </c>
      <c r="O131" t="str" s="468" cm="1">
        <f t="array" ref="O131">IF(B131&gt;0,IF(OR(VLOOKUP(C117,'Boats Data Sheet 2026'!$C$3:$F$57,4,0)="Own",VLOOKUP(C117,'Boats Data Sheet 2026'!$C$3:$F$57,4,0)="Management"),('Direct Costs 2026'!$C$37+'Direct Costs 2026'!$C$39),"N/A"),"N/A")</f>
        <v>N/A</v>
      </c>
      <c r="P131" s="466" cm="1">
        <f t="array" ref="P131">_xlfn.IFERROR('Direct Costs 2026'!$C$27*C131,"N/A")</f>
        <v>0</v>
      </c>
      <c r="Q131" s="466" cm="1">
        <f t="array" ref="Q131">_xlfn.IFERROR(C131+SUM(E131:P131),"N/A")</f>
        <v>11208000</v>
      </c>
      <c r="R131" s="466"/>
      <c r="S131" s="466" cm="1">
        <f t="array" ref="S131">IF(B131&gt;0,'Allocation OH and Target 2026'!$E$31,"N/A")</f>
        <v>3100447.15769812</v>
      </c>
      <c r="T131" s="466" cm="1">
        <f t="array" ref="T131">IF(B131&gt;0,VLOOKUP(C117,'Allocation OH and Target 2026'!$C$35:$S$87,16,0),"N/A")</f>
        <v>0</v>
      </c>
      <c r="U131" s="466" cm="1">
        <f t="array" ref="U131">_xlfn.IFERROR((S131+T131),"N/A")</f>
        <v>3100447.15769812</v>
      </c>
      <c r="V131" s="466"/>
      <c r="W131" s="466" cm="1">
        <f t="array" ref="W131">_xlfn.IFERROR(U131+Q131,"N/A")</f>
        <v>14308447.1576981</v>
      </c>
      <c r="X131" s="466" cm="1">
        <f t="array" ref="X131">_xlfn.IFERROR(W131*0.5%,"N/A")</f>
        <v>71542.235788490507</v>
      </c>
      <c r="Y131" s="466" cm="1">
        <f t="array" ref="Y131">_xlfn.IFERROR(W131*25%,"N/A")</f>
        <v>3577111.78942453</v>
      </c>
      <c r="Z131" s="469" cm="1">
        <f t="array" ref="Z131">IF(B131&gt;0,SUM(W131:Y131),"N/A")</f>
        <v>17957101.1829111</v>
      </c>
      <c r="AA131" s="469" cm="1">
        <f t="array" ref="AA131">_xlfn.IFERROR((Z131-Z130),"N/A")</f>
        <v>195780</v>
      </c>
      <c r="AB131" s="466"/>
      <c r="AC131" t="str" s="470" cm="1">
        <f t="array" ref="AC131">IF(B131=6,AVERAGE(Z120:Z125),"N/A")</f>
        <v>N/A</v>
      </c>
      <c r="AD131" s="466"/>
      <c r="AE131" s="466"/>
      <c r="AF131" s="466"/>
      <c r="AG131" s="466"/>
      <c r="AH131" s="466"/>
      <c r="AI131" s="466"/>
      <c r="AJ131" s="466"/>
      <c r="AK131" s="466"/>
      <c r="AL131" s="466"/>
      <c r="AM131" s="466"/>
      <c r="AN131" s="473"/>
    </row>
    <row r="132" ht="15" customHeight="1" hidden="1">
      <c r="A132" s="12"/>
      <c r="B132" s="465" cm="1">
        <f t="array" ref="B132">IF(B131=0,0,IF(B131&lt;VLOOKUP(C117,'Boats Data Sheet 2026'!$C$3:$H$57,6,0),B131+1,0))</f>
        <v>13</v>
      </c>
      <c r="C132" s="466" cm="1">
        <f t="array" ref="C132">IF(B132&gt;0,IF(VLOOKUP(C117,'Boats Data Sheet 2026'!$C$3:$J$57,8,0)="N/A",0,VLOOKUP(C117,'Boats Data Sheet 2026'!$C$3:$J$57,8,0)),"N/A")</f>
        <v>0</v>
      </c>
      <c r="D132" s="467" cm="1">
        <f t="array" ref="D132">IF(B132&gt;7,2,IF(B132=0,"N/A",1))</f>
        <v>2</v>
      </c>
      <c r="E132" s="466" cm="1">
        <f t="array" ref="E132">_xlfn.IFERROR(SUM('Direct Costs 2026'!$C$4:$C$5)*D132,"N/A")</f>
        <v>1751000</v>
      </c>
      <c r="F132" s="466" cm="1">
        <f t="array" ref="F132">_xlfn.IFERROR('Direct Costs 2026'!$C$43*B132,"N/A")</f>
        <v>78000</v>
      </c>
      <c r="G132" s="466" cm="1">
        <f t="array" ref="G132">IF(B132&gt;0,'Direct Costs 2026'!$C$25,"N/A")</f>
        <v>90000</v>
      </c>
      <c r="H132" s="466" cm="1">
        <f t="array" ref="H132">IF(B132&gt;0,('Direct Costs 2026'!$C$16+'Direct Costs 2026'!$C$17),"N/A")</f>
        <v>685000</v>
      </c>
      <c r="I132" s="466">
        <v>0</v>
      </c>
      <c r="J132" s="466">
        <v>0</v>
      </c>
      <c r="K132" s="466" cm="1">
        <f t="array" ref="K132">IF(B132&gt;0,'Direct Costs 2026'!$C$26,"N/A")</f>
        <v>20000</v>
      </c>
      <c r="L132" s="466" cm="1">
        <f t="array" ref="L132">IF(B132&gt;0,'Direct Costs 2026'!$C$23,"N/A")</f>
        <v>140000</v>
      </c>
      <c r="M132" s="466" cm="1">
        <f t="array" ref="M132">IF(B132&gt;0,'Direct Costs 2026'!$C$45*B132,"N/A")</f>
        <v>1950000</v>
      </c>
      <c r="N132" s="466" cm="1">
        <f t="array" ref="N132">IF(B132&gt;0,_xlfn.IFERROR(VLOOKUP(C117,'Boats Data Sheet 2026'!$C$3:$I$57,7,0)*'Direct Costs 2026'!$C$36,"N/A"),"N/A")</f>
        <v>6650000</v>
      </c>
      <c r="O132" t="str" s="468" cm="1">
        <f t="array" ref="O132">IF(B132&gt;0,IF(OR(VLOOKUP(C117,'Boats Data Sheet 2026'!$C$3:$F$57,4,0)="Own",VLOOKUP(C117,'Boats Data Sheet 2026'!$C$3:$F$57,4,0)="Management"),('Direct Costs 2026'!$C$37+'Direct Costs 2026'!$C$39),"N/A"),"N/A")</f>
        <v>N/A</v>
      </c>
      <c r="P132" s="466" cm="1">
        <f t="array" ref="P132">_xlfn.IFERROR('Direct Costs 2026'!$C$27*C132,"N/A")</f>
        <v>0</v>
      </c>
      <c r="Q132" s="466" cm="1">
        <f t="array" ref="Q132">_xlfn.IFERROR(C132+SUM(E132:P132),"N/A")</f>
        <v>11364000</v>
      </c>
      <c r="R132" s="466"/>
      <c r="S132" s="466" cm="1">
        <f t="array" ref="S132">IF(B132&gt;0,'Allocation OH and Target 2026'!$E$31,"N/A")</f>
        <v>3100447.15769812</v>
      </c>
      <c r="T132" s="466" cm="1">
        <f t="array" ref="T132">IF(B132&gt;0,VLOOKUP(C117,'Allocation OH and Target 2026'!$C$35:$S$87,16,0),"N/A")</f>
        <v>0</v>
      </c>
      <c r="U132" s="466" cm="1">
        <f t="array" ref="U132">_xlfn.IFERROR((S132+T132),"N/A")</f>
        <v>3100447.15769812</v>
      </c>
      <c r="V132" s="466"/>
      <c r="W132" s="466" cm="1">
        <f t="array" ref="W132">_xlfn.IFERROR(U132+Q132,"N/A")</f>
        <v>14464447.1576981</v>
      </c>
      <c r="X132" s="466" cm="1">
        <f t="array" ref="X132">_xlfn.IFERROR(W132*0.5%,"N/A")</f>
        <v>72322.235788490507</v>
      </c>
      <c r="Y132" s="466" cm="1">
        <f t="array" ref="Y132">_xlfn.IFERROR(W132*25%,"N/A")</f>
        <v>3616111.78942453</v>
      </c>
      <c r="Z132" s="469" cm="1">
        <f t="array" ref="Z132">IF(B132&gt;0,SUM(W132:Y132),"N/A")</f>
        <v>18152881.1829111</v>
      </c>
      <c r="AA132" s="469" cm="1">
        <f t="array" ref="AA132">_xlfn.IFERROR((Z132-Z131),"N/A")</f>
        <v>195780</v>
      </c>
      <c r="AB132" s="466"/>
      <c r="AC132" t="str" s="470" cm="1">
        <f t="array" ref="AC132">IF(B132=6,AVERAGE(Z120:Z125),"N/A")</f>
        <v>N/A</v>
      </c>
      <c r="AD132" s="466"/>
      <c r="AE132" s="466"/>
      <c r="AF132" s="466"/>
      <c r="AG132" s="466"/>
      <c r="AH132" s="466"/>
      <c r="AI132" s="466"/>
      <c r="AJ132" s="466"/>
      <c r="AK132" s="466"/>
      <c r="AL132" s="466"/>
      <c r="AM132" s="466"/>
      <c r="AN132" s="473"/>
    </row>
    <row r="133" ht="15" customHeight="1" hidden="1">
      <c r="A133" s="12"/>
      <c r="B133" s="465" cm="1">
        <f t="array" ref="B133">IF(B132=0,0,IF(B132&lt;VLOOKUP(C117,'Boats Data Sheet 2026'!$C$3:$H$57,6,0),B132+1,0))</f>
        <v>14</v>
      </c>
      <c r="C133" s="466" cm="1">
        <f t="array" ref="C133">IF(B133&gt;0,IF(VLOOKUP(C117,'Boats Data Sheet 2026'!$C$3:$J$57,8,0)="N/A",0,VLOOKUP(C117,'Boats Data Sheet 2026'!$C$3:$J$57,8,0)),"N/A")</f>
        <v>0</v>
      </c>
      <c r="D133" s="476" cm="1">
        <f t="array" ref="D133">IF(B133&gt;7,2,IF(B133=0,"N/A",1))</f>
        <v>2</v>
      </c>
      <c r="E133" s="466" cm="1">
        <f t="array" ref="E133">_xlfn.IFERROR(SUM('Direct Costs 2026'!$C$4:$C$5)*D133,"N/A")</f>
        <v>1751000</v>
      </c>
      <c r="F133" s="466" cm="1">
        <f t="array" ref="F133">_xlfn.IFERROR('Direct Costs 2026'!$C$43*B133,"N/A")</f>
        <v>84000</v>
      </c>
      <c r="G133" s="466" cm="1">
        <f t="array" ref="G133">IF(B133&gt;0,'Direct Costs 2026'!$C$25,"N/A")</f>
        <v>90000</v>
      </c>
      <c r="H133" s="466" cm="1">
        <f t="array" ref="H133">IF(B133&gt;0,('Direct Costs 2026'!$C$16+'Direct Costs 2026'!$C$17),"N/A")</f>
        <v>685000</v>
      </c>
      <c r="I133" s="466">
        <v>0</v>
      </c>
      <c r="J133" s="466">
        <v>0</v>
      </c>
      <c r="K133" s="466" cm="1">
        <f t="array" ref="K133">IF(B133&gt;0,'Direct Costs 2026'!$C$26,"N/A")</f>
        <v>20000</v>
      </c>
      <c r="L133" s="466" cm="1">
        <f t="array" ref="L133">IF(B133&gt;0,'Direct Costs 2026'!$C$23,"N/A")</f>
        <v>140000</v>
      </c>
      <c r="M133" s="466" cm="1">
        <f t="array" ref="M133">IF(B133&gt;0,'Direct Costs 2026'!$C$45*B133,"N/A")</f>
        <v>2100000</v>
      </c>
      <c r="N133" s="466" cm="1">
        <f t="array" ref="N133">IF(B133&gt;0,_xlfn.IFERROR(VLOOKUP(C117,'Boats Data Sheet 2026'!$C$3:$I$57,7,0)*'Direct Costs 2026'!$C$36,"N/A"),"N/A")</f>
        <v>6650000</v>
      </c>
      <c r="O133" t="str" s="468" cm="1">
        <f t="array" ref="O133">IF(B133&gt;0,IF(OR(VLOOKUP(C117,'Boats Data Sheet 2026'!$C$3:$F$57,4,0)="Own",VLOOKUP(C117,'Boats Data Sheet 2026'!$C$3:$F$57,4,0)="Management"),('Direct Costs 2026'!$C$37+'Direct Costs 2026'!$C$39),"N/A"),"N/A")</f>
        <v>N/A</v>
      </c>
      <c r="P133" s="466" cm="1">
        <f t="array" ref="P133">_xlfn.IFERROR('Direct Costs 2026'!$C$27*C133,"N/A")</f>
        <v>0</v>
      </c>
      <c r="Q133" s="466" cm="1">
        <f t="array" ref="Q133">_xlfn.IFERROR(C133+SUM(E133:P133),"N/A")</f>
        <v>11520000</v>
      </c>
      <c r="R133" s="466"/>
      <c r="S133" s="466" cm="1">
        <f t="array" ref="S133">IF(B133&gt;0,'Allocation OH and Target 2026'!$E$31,"N/A")</f>
        <v>3100447.15769812</v>
      </c>
      <c r="T133" s="466" cm="1">
        <f t="array" ref="T133">IF(B133&gt;0,VLOOKUP(C117,'Allocation OH and Target 2026'!$C$35:$S$87,16,0),"N/A")</f>
        <v>0</v>
      </c>
      <c r="U133" s="466" cm="1">
        <f t="array" ref="U133">_xlfn.IFERROR((S133+T133),"N/A")</f>
        <v>3100447.15769812</v>
      </c>
      <c r="V133" s="466"/>
      <c r="W133" s="466" cm="1">
        <f t="array" ref="W133">_xlfn.IFERROR(U133+Q133,"N/A")</f>
        <v>14620447.1576981</v>
      </c>
      <c r="X133" s="466" cm="1">
        <f t="array" ref="X133">_xlfn.IFERROR(W133*0.5%,"N/A")</f>
        <v>73102.235788490507</v>
      </c>
      <c r="Y133" s="466" cm="1">
        <f t="array" ref="Y133">_xlfn.IFERROR(W133*25%,"N/A")</f>
        <v>3655111.78942453</v>
      </c>
      <c r="Z133" s="469" cm="1">
        <f t="array" ref="Z133">IF(B133&gt;0,SUM(W133:Y133),"N/A")</f>
        <v>18348661.1829111</v>
      </c>
      <c r="AA133" s="469" cm="1">
        <f t="array" ref="AA133">_xlfn.IFERROR((Z133-Z132),"N/A")</f>
        <v>195780</v>
      </c>
      <c r="AB133" s="466"/>
      <c r="AC133" t="str" s="470" cm="1">
        <f t="array" ref="AC133">IF(B133=6,AVERAGE(Z120:Z125),"N/A")</f>
        <v>N/A</v>
      </c>
      <c r="AD133" s="466"/>
      <c r="AE133" s="466"/>
      <c r="AF133" s="466"/>
      <c r="AG133" s="466"/>
      <c r="AH133" s="466"/>
      <c r="AI133" s="466"/>
      <c r="AJ133" s="466"/>
      <c r="AK133" s="466"/>
      <c r="AL133" s="466"/>
      <c r="AM133" s="466"/>
      <c r="AN133" s="473"/>
    </row>
    <row r="134" ht="15" customHeight="1" hidden="1">
      <c r="A134" s="12"/>
      <c r="B134" s="465" cm="1">
        <f t="array" ref="B134">IF(B133=0,0,IF(B133&lt;VLOOKUP(C117,'Boats Data Sheet 2026'!$C$3:$H$57,6,0),B133+1,0))</f>
        <v>15</v>
      </c>
      <c r="C134" s="466" cm="1">
        <f t="array" ref="C134">IF(B134&gt;0,IF(VLOOKUP(C117,'Boats Data Sheet 2026'!$C$3:$J$57,8,0)="N/A",0,VLOOKUP(C117,'Boats Data Sheet 2026'!$C$3:$J$57,8,0)),"N/A")</f>
        <v>0</v>
      </c>
      <c r="D134" s="476" cm="1">
        <f t="array" ref="D134">IF(B134&gt;7,2,IF(B134=0,"N/A",1))</f>
        <v>2</v>
      </c>
      <c r="E134" s="466" cm="1">
        <f t="array" ref="E134">_xlfn.IFERROR(SUM('Direct Costs 2026'!$C$4:$C$5)*D134,"N/A")</f>
        <v>1751000</v>
      </c>
      <c r="F134" s="466" cm="1">
        <f t="array" ref="F134">_xlfn.IFERROR('Direct Costs 2026'!$C$43*B134,"N/A")</f>
        <v>90000</v>
      </c>
      <c r="G134" s="466" cm="1">
        <f t="array" ref="G134">IF(B134&gt;0,'Direct Costs 2026'!$C$25,"N/A")</f>
        <v>90000</v>
      </c>
      <c r="H134" s="466" cm="1">
        <f t="array" ref="H134">IF(B134&gt;0,('Direct Costs 2026'!$C$16+'Direct Costs 2026'!$C$17),"N/A")</f>
        <v>685000</v>
      </c>
      <c r="I134" s="466">
        <v>0</v>
      </c>
      <c r="J134" s="466">
        <v>0</v>
      </c>
      <c r="K134" s="466" cm="1">
        <f t="array" ref="K134">IF(B134&gt;0,'Direct Costs 2026'!$C$26,"N/A")</f>
        <v>20000</v>
      </c>
      <c r="L134" s="466" cm="1">
        <f t="array" ref="L134">IF(B134&gt;0,'Direct Costs 2026'!$C$23,"N/A")</f>
        <v>140000</v>
      </c>
      <c r="M134" s="466" cm="1">
        <f t="array" ref="M134">IF(B134&gt;0,'Direct Costs 2026'!$C$45*B134,"N/A")</f>
        <v>2250000</v>
      </c>
      <c r="N134" s="466" cm="1">
        <f t="array" ref="N134">IF(B134&gt;0,_xlfn.IFERROR(VLOOKUP(C117,'Boats Data Sheet 2026'!$C$3:$I$57,7,0)*'Direct Costs 2026'!$C$36,"N/A"),"N/A")</f>
        <v>6650000</v>
      </c>
      <c r="O134" t="str" s="468" cm="1">
        <f t="array" ref="O134">IF(B134&gt;0,IF(OR(VLOOKUP(C117,'Boats Data Sheet 2026'!$C$3:$F$57,4,0)="Own",VLOOKUP(C117,'Boats Data Sheet 2026'!$C$3:$F$57,4,0)="Management"),('Direct Costs 2026'!$C$37+'Direct Costs 2026'!$C$39),"N/A"),"N/A")</f>
        <v>N/A</v>
      </c>
      <c r="P134" s="466" cm="1">
        <f t="array" ref="P134">_xlfn.IFERROR('Direct Costs 2026'!$C$27*C134,"N/A")</f>
        <v>0</v>
      </c>
      <c r="Q134" s="466" cm="1">
        <f t="array" ref="Q134">_xlfn.IFERROR(C134+SUM(E134:P134),"N/A")</f>
        <v>11676000</v>
      </c>
      <c r="R134" s="466"/>
      <c r="S134" s="466" cm="1">
        <f t="array" ref="S134">IF(B134&gt;0,'Allocation OH and Target 2026'!$E$31,"N/A")</f>
        <v>3100447.15769812</v>
      </c>
      <c r="T134" s="466" cm="1">
        <f t="array" ref="T134">IF(B134&gt;0,VLOOKUP(C117,'Allocation OH and Target 2026'!$C$35:$S$87,16,0),"N/A")</f>
        <v>0</v>
      </c>
      <c r="U134" s="466" cm="1">
        <f t="array" ref="U134">_xlfn.IFERROR((S134+T134),"N/A")</f>
        <v>3100447.15769812</v>
      </c>
      <c r="V134" s="466"/>
      <c r="W134" s="466" cm="1">
        <f t="array" ref="W134">_xlfn.IFERROR(U134+Q134,"N/A")</f>
        <v>14776447.1576981</v>
      </c>
      <c r="X134" s="466" cm="1">
        <f t="array" ref="X134">_xlfn.IFERROR(W134*0.5%,"N/A")</f>
        <v>73882.235788490507</v>
      </c>
      <c r="Y134" s="466" cm="1">
        <f t="array" ref="Y134">_xlfn.IFERROR(W134*25%,"N/A")</f>
        <v>3694111.78942453</v>
      </c>
      <c r="Z134" s="469" cm="1">
        <f t="array" ref="Z134">IF(B134&gt;0,SUM(W134:Y134),"N/A")</f>
        <v>18544441.1829111</v>
      </c>
      <c r="AA134" s="469" cm="1">
        <f t="array" ref="AA134">_xlfn.IFERROR((Z134-Z133),"N/A")</f>
        <v>195780</v>
      </c>
      <c r="AB134" s="466"/>
      <c r="AC134" t="str" s="470" cm="1">
        <f t="array" ref="AC134">IF(B134=6,AVERAGE(Z120:Z125),"N/A")</f>
        <v>N/A</v>
      </c>
      <c r="AD134" s="466"/>
      <c r="AE134" s="466"/>
      <c r="AF134" s="466"/>
      <c r="AG134" s="466"/>
      <c r="AH134" s="466"/>
      <c r="AI134" s="466"/>
      <c r="AJ134" s="466"/>
      <c r="AK134" s="466"/>
      <c r="AL134" s="466"/>
      <c r="AM134" s="466"/>
      <c r="AN134" s="473"/>
    </row>
    <row r="135" ht="15" customHeight="1" hidden="1">
      <c r="A135" s="12"/>
      <c r="B135" s="465" cm="1">
        <f t="array" ref="B135">IF(B134=0,0,IF(B134&lt;VLOOKUP(C117,'Boats Data Sheet 2026'!$C$3:$H$57,6,0),B134+1,0))</f>
        <v>16</v>
      </c>
      <c r="C135" s="466" cm="1">
        <f t="array" ref="C135">IF(B135&gt;0,IF(VLOOKUP(C117,'Boats Data Sheet 2026'!$C$3:$J$57,8,0)="N/A",0,VLOOKUP(C117,'Boats Data Sheet 2026'!$C$3:$J$57,8,0)),"N/A")</f>
        <v>0</v>
      </c>
      <c r="D135" s="476" cm="1">
        <f t="array" ref="D135">IF(B135&gt;7,2,IF(B135=0,"N/A",1))</f>
        <v>2</v>
      </c>
      <c r="E135" s="466" cm="1">
        <f t="array" ref="E135">_xlfn.IFERROR(SUM('Direct Costs 2026'!$C$4:$C$5)*D135,"N/A")</f>
        <v>1751000</v>
      </c>
      <c r="F135" s="466" cm="1">
        <f t="array" ref="F135">_xlfn.IFERROR('Direct Costs 2026'!$C$43*B135,"N/A")</f>
        <v>96000</v>
      </c>
      <c r="G135" s="466" cm="1">
        <f t="array" ref="G135">IF(B135&gt;0,'Direct Costs 2026'!$C$25,"N/A")</f>
        <v>90000</v>
      </c>
      <c r="H135" s="466" cm="1">
        <f t="array" ref="H135">IF(B135&gt;0,('Direct Costs 2026'!$C$16+'Direct Costs 2026'!$C$17),"N/A")</f>
        <v>685000</v>
      </c>
      <c r="I135" s="466">
        <v>0</v>
      </c>
      <c r="J135" s="466">
        <v>0</v>
      </c>
      <c r="K135" s="466" cm="1">
        <f t="array" ref="K135">IF(B135&gt;0,'Direct Costs 2026'!$C$26,"N/A")</f>
        <v>20000</v>
      </c>
      <c r="L135" s="466" cm="1">
        <f t="array" ref="L135">IF(B135&gt;0,'Direct Costs 2026'!$C$23,"N/A")</f>
        <v>140000</v>
      </c>
      <c r="M135" s="466" cm="1">
        <f t="array" ref="M135">IF(B135&gt;0,'Direct Costs 2026'!$C$45*B135,"N/A")</f>
        <v>2400000</v>
      </c>
      <c r="N135" s="466" cm="1">
        <f t="array" ref="N135">IF(B135&gt;0,_xlfn.IFERROR(VLOOKUP(C117,'Boats Data Sheet 2026'!$C$3:$I$57,7,0)*'Direct Costs 2026'!$C$36,"N/A"),"N/A")</f>
        <v>6650000</v>
      </c>
      <c r="O135" t="str" s="468" cm="1">
        <f t="array" ref="O135">IF(B135&gt;0,IF(OR(VLOOKUP(C117,'Boats Data Sheet 2026'!$C$3:$F$57,4,0)="Own",VLOOKUP(C117,'Boats Data Sheet 2026'!$C$3:$F$57,4,0)="Management"),('Direct Costs 2026'!$C$37+'Direct Costs 2026'!$C$39),"N/A"),"N/A")</f>
        <v>N/A</v>
      </c>
      <c r="P135" s="466" cm="1">
        <f t="array" ref="P135">_xlfn.IFERROR('Direct Costs 2026'!$C$27*C135,"N/A")</f>
        <v>0</v>
      </c>
      <c r="Q135" s="466" cm="1">
        <f t="array" ref="Q135">_xlfn.IFERROR(C135+SUM(E135:P135),"N/A")</f>
        <v>11832000</v>
      </c>
      <c r="R135" s="466"/>
      <c r="S135" s="466" cm="1">
        <f t="array" ref="S135">IF(B135&gt;0,'Allocation OH and Target 2026'!$E$31,"N/A")</f>
        <v>3100447.15769812</v>
      </c>
      <c r="T135" s="466" cm="1">
        <f t="array" ref="T135">IF(B135&gt;0,VLOOKUP(C117,'Allocation OH and Target 2026'!$C$35:$S$87,16,0),"N/A")</f>
        <v>0</v>
      </c>
      <c r="U135" s="466" cm="1">
        <f t="array" ref="U135">_xlfn.IFERROR((S135+T135),"N/A")</f>
        <v>3100447.15769812</v>
      </c>
      <c r="V135" s="466"/>
      <c r="W135" s="466" cm="1">
        <f t="array" ref="W135">_xlfn.IFERROR(U135+Q135,"N/A")</f>
        <v>14932447.1576981</v>
      </c>
      <c r="X135" s="466" cm="1">
        <f t="array" ref="X135">_xlfn.IFERROR(W135*0.5%,"N/A")</f>
        <v>74662.235788490507</v>
      </c>
      <c r="Y135" s="466" cm="1">
        <f t="array" ref="Y135">_xlfn.IFERROR(W135*25%,"N/A")</f>
        <v>3733111.78942453</v>
      </c>
      <c r="Z135" s="469" cm="1">
        <f t="array" ref="Z135">IF(B135&gt;0,SUM(W135:Y135),"N/A")</f>
        <v>18740221.1829111</v>
      </c>
      <c r="AA135" s="469" cm="1">
        <f t="array" ref="AA135">_xlfn.IFERROR((Z135-Z134),"N/A")</f>
        <v>195780</v>
      </c>
      <c r="AB135" s="466"/>
      <c r="AC135" t="str" s="470" cm="1">
        <f t="array" ref="AC135">IF(B135=6,AVERAGE(Z120:Z125),"N/A")</f>
        <v>N/A</v>
      </c>
      <c r="AD135" s="466"/>
      <c r="AE135" s="466"/>
      <c r="AF135" s="466"/>
      <c r="AG135" s="466"/>
      <c r="AH135" s="466"/>
      <c r="AI135" s="466"/>
      <c r="AJ135" s="466"/>
      <c r="AK135" s="466"/>
      <c r="AL135" s="466"/>
      <c r="AM135" s="466"/>
      <c r="AN135" s="473"/>
    </row>
    <row r="136" ht="15" customHeight="1" hidden="1">
      <c r="A136" s="12"/>
      <c r="B136" s="465" cm="1">
        <f t="array" ref="B136">IF(B135=0,0,IF(B135&lt;VLOOKUP(C117,'Boats Data Sheet 2026'!$C$3:$H$57,6,0),B135+1,0))</f>
        <v>17</v>
      </c>
      <c r="C136" s="466" cm="1">
        <f t="array" ref="C136">IF(B136&gt;0,IF(VLOOKUP(C117,'Boats Data Sheet 2026'!$C$3:$J$57,8,0)="N/A",0,VLOOKUP(C117,'Boats Data Sheet 2026'!$C$3:$J$57,8,0)),"N/A")</f>
        <v>0</v>
      </c>
      <c r="D136" s="476" cm="1">
        <f t="array" ref="D136">IF(B136&gt;7,2,IF(B136=0,"N/A",1))</f>
        <v>2</v>
      </c>
      <c r="E136" s="466" cm="1">
        <f t="array" ref="E136">_xlfn.IFERROR(SUM('Direct Costs 2026'!$C$4:$C$5)*D136,"N/A")</f>
        <v>1751000</v>
      </c>
      <c r="F136" s="466" cm="1">
        <f t="array" ref="F136">_xlfn.IFERROR('Direct Costs 2026'!$C$43*B136,"N/A")</f>
        <v>102000</v>
      </c>
      <c r="G136" s="466" cm="1">
        <f t="array" ref="G136">IF(B136&gt;0,'Direct Costs 2026'!$C$25,"N/A")</f>
        <v>90000</v>
      </c>
      <c r="H136" s="466" cm="1">
        <f t="array" ref="H136">IF(B136&gt;0,('Direct Costs 2026'!$C$16+'Direct Costs 2026'!$C$17),"N/A")</f>
        <v>685000</v>
      </c>
      <c r="I136" s="466">
        <v>0</v>
      </c>
      <c r="J136" s="466">
        <v>0</v>
      </c>
      <c r="K136" s="466" cm="1">
        <f t="array" ref="K136">IF(B136&gt;0,'Direct Costs 2026'!$C$26,"N/A")</f>
        <v>20000</v>
      </c>
      <c r="L136" s="466" cm="1">
        <f t="array" ref="L136">IF(B136&gt;0,'Direct Costs 2026'!$C$23,"N/A")</f>
        <v>140000</v>
      </c>
      <c r="M136" s="466" cm="1">
        <f t="array" ref="M136">IF(B136&gt;0,'Direct Costs 2026'!$C$45*B136,"N/A")</f>
        <v>2550000</v>
      </c>
      <c r="N136" s="466" cm="1">
        <f t="array" ref="N136">IF(B136&gt;0,_xlfn.IFERROR(VLOOKUP(C117,'Boats Data Sheet 2026'!$C$3:$I$57,7,0)*'Direct Costs 2026'!$C$36,"N/A"),"N/A")</f>
        <v>6650000</v>
      </c>
      <c r="O136" t="str" s="468" cm="1">
        <f t="array" ref="O136">IF(B136&gt;0,IF(OR(VLOOKUP(C117,'Boats Data Sheet 2026'!$C$3:$F$57,4,0)="Own",VLOOKUP(C117,'Boats Data Sheet 2026'!$C$3:$F$57,4,0)="Management"),('Direct Costs 2026'!$C$37+'Direct Costs 2026'!$C$39),"N/A"),"N/A")</f>
        <v>N/A</v>
      </c>
      <c r="P136" s="466" cm="1">
        <f t="array" ref="P136">_xlfn.IFERROR('Direct Costs 2026'!$C$27*C136,"N/A")</f>
        <v>0</v>
      </c>
      <c r="Q136" s="466" cm="1">
        <f t="array" ref="Q136">_xlfn.IFERROR(C136+SUM(E136:P136),"N/A")</f>
        <v>11988000</v>
      </c>
      <c r="R136" s="466"/>
      <c r="S136" s="466" cm="1">
        <f t="array" ref="S136">IF(B136&gt;0,'Allocation OH and Target 2026'!$E$31,"N/A")</f>
        <v>3100447.15769812</v>
      </c>
      <c r="T136" s="466" cm="1">
        <f t="array" ref="T136">IF(B136&gt;0,VLOOKUP(C117,'Allocation OH and Target 2026'!$C$35:$S$87,16,0),"N/A")</f>
        <v>0</v>
      </c>
      <c r="U136" s="466" cm="1">
        <f t="array" ref="U136">_xlfn.IFERROR((S136+T136),"N/A")</f>
        <v>3100447.15769812</v>
      </c>
      <c r="V136" s="466"/>
      <c r="W136" s="466" cm="1">
        <f t="array" ref="W136">_xlfn.IFERROR(U136+Q136,"N/A")</f>
        <v>15088447.1576981</v>
      </c>
      <c r="X136" s="466" cm="1">
        <f t="array" ref="X136">_xlfn.IFERROR(W136*0.5%,"N/A")</f>
        <v>75442.235788490507</v>
      </c>
      <c r="Y136" s="466" cm="1">
        <f t="array" ref="Y136">_xlfn.IFERROR(W136*25%,"N/A")</f>
        <v>3772111.78942453</v>
      </c>
      <c r="Z136" s="469" cm="1">
        <f t="array" ref="Z136">IF(B136&gt;0,SUM(W136:Y136),"N/A")</f>
        <v>18936001.1829111</v>
      </c>
      <c r="AA136" s="469" cm="1">
        <f t="array" ref="AA136">_xlfn.IFERROR((Z136-Z135),"N/A")</f>
        <v>195780</v>
      </c>
      <c r="AB136" s="466"/>
      <c r="AC136" t="str" s="470" cm="1">
        <f t="array" ref="AC136">IF(B136=6,AVERAGE(Z120:Z125),"N/A")</f>
        <v>N/A</v>
      </c>
      <c r="AD136" s="466"/>
      <c r="AE136" s="466"/>
      <c r="AF136" s="466"/>
      <c r="AG136" s="466"/>
      <c r="AH136" s="466"/>
      <c r="AI136" s="466"/>
      <c r="AJ136" s="466"/>
      <c r="AK136" s="466"/>
      <c r="AL136" s="466"/>
      <c r="AM136" s="466"/>
      <c r="AN136" s="473"/>
    </row>
    <row r="137" ht="15" customHeight="1" hidden="1">
      <c r="A137" s="12"/>
      <c r="B137" s="465" cm="1">
        <f t="array" ref="B137">IF(B136=0,0,IF(B136&lt;VLOOKUP(C117,'Boats Data Sheet 2026'!$C$3:$H$57,6,0),B136+1,0))</f>
        <v>18</v>
      </c>
      <c r="C137" s="466" cm="1">
        <f t="array" ref="C137">IF(B137&gt;0,IF(VLOOKUP(C117,'Boats Data Sheet 2026'!$C$3:$J$57,8,0)="N/A",0,VLOOKUP(C117,'Boats Data Sheet 2026'!$C$3:$J$57,8,0)),"N/A")</f>
        <v>0</v>
      </c>
      <c r="D137" s="476" cm="1">
        <f t="array" ref="D137">IF(B137&gt;7,2,IF(B137=0,"N/A",1))</f>
        <v>2</v>
      </c>
      <c r="E137" s="466" cm="1">
        <f t="array" ref="E137">_xlfn.IFERROR(SUM('Direct Costs 2026'!$C$4:$C$5)*D137,"N/A")</f>
        <v>1751000</v>
      </c>
      <c r="F137" s="466" cm="1">
        <f t="array" ref="F137">_xlfn.IFERROR('Direct Costs 2026'!$C$43*B137,"N/A")</f>
        <v>108000</v>
      </c>
      <c r="G137" s="466" cm="1">
        <f t="array" ref="G137">IF(B137&gt;0,'Direct Costs 2026'!$C$25,"N/A")</f>
        <v>90000</v>
      </c>
      <c r="H137" s="466" cm="1">
        <f t="array" ref="H137">IF(B137&gt;0,('Direct Costs 2026'!$C$16+'Direct Costs 2026'!$C$17),"N/A")</f>
        <v>685000</v>
      </c>
      <c r="I137" s="466">
        <v>0</v>
      </c>
      <c r="J137" s="466">
        <v>0</v>
      </c>
      <c r="K137" s="466" cm="1">
        <f t="array" ref="K137">IF(B137&gt;0,'Direct Costs 2026'!$C$26,"N/A")</f>
        <v>20000</v>
      </c>
      <c r="L137" s="466" cm="1">
        <f t="array" ref="L137">IF(B137&gt;0,'Direct Costs 2026'!$C$23,"N/A")</f>
        <v>140000</v>
      </c>
      <c r="M137" s="466" cm="1">
        <f t="array" ref="M137">IF(B137&gt;0,'Direct Costs 2026'!$C$45*B137,"N/A")</f>
        <v>2700000</v>
      </c>
      <c r="N137" s="466" cm="1">
        <f t="array" ref="N137">IF(B137&gt;0,_xlfn.IFERROR(VLOOKUP(C117,'Boats Data Sheet 2026'!$C$3:$I$57,7,0)*'Direct Costs 2026'!$C$36,"N/A"),"N/A")</f>
        <v>6650000</v>
      </c>
      <c r="O137" t="str" s="468" cm="1">
        <f t="array" ref="O137">IF(B137&gt;0,IF(OR(VLOOKUP(C117,'Boats Data Sheet 2026'!$C$3:$F$57,4,0)="Own",VLOOKUP(C117,'Boats Data Sheet 2026'!$C$3:$F$57,4,0)="Management"),('Direct Costs 2026'!$C$37+'Direct Costs 2026'!$C$39),"N/A"),"N/A")</f>
        <v>N/A</v>
      </c>
      <c r="P137" s="466" cm="1">
        <f t="array" ref="P137">_xlfn.IFERROR('Direct Costs 2026'!$C$27*C137,"N/A")</f>
        <v>0</v>
      </c>
      <c r="Q137" s="466" cm="1">
        <f t="array" ref="Q137">_xlfn.IFERROR(C137+SUM(E137:P137),"N/A")</f>
        <v>12144000</v>
      </c>
      <c r="R137" s="466"/>
      <c r="S137" s="466" cm="1">
        <f t="array" ref="S137">IF(B137&gt;0,'Allocation OH and Target 2026'!$E$31,"N/A")</f>
        <v>3100447.15769812</v>
      </c>
      <c r="T137" s="466" cm="1">
        <f t="array" ref="T137">IF(B137&gt;0,VLOOKUP(C117,'Allocation OH and Target 2026'!$C$35:$S$87,16,0),"N/A")</f>
        <v>0</v>
      </c>
      <c r="U137" s="466" cm="1">
        <f t="array" ref="U137">_xlfn.IFERROR((S137+T137),"N/A")</f>
        <v>3100447.15769812</v>
      </c>
      <c r="V137" s="466"/>
      <c r="W137" s="466" cm="1">
        <f t="array" ref="W137">_xlfn.IFERROR(U137+Q137,"N/A")</f>
        <v>15244447.1576981</v>
      </c>
      <c r="X137" s="466" cm="1">
        <f t="array" ref="X137">_xlfn.IFERROR(W137*0.5%,"N/A")</f>
        <v>76222.235788490507</v>
      </c>
      <c r="Y137" s="466" cm="1">
        <f t="array" ref="Y137">_xlfn.IFERROR(W137*25%,"N/A")</f>
        <v>3811111.78942453</v>
      </c>
      <c r="Z137" s="469" cm="1">
        <f t="array" ref="Z137">IF(B137&gt;0,SUM(W137:Y137),"N/A")</f>
        <v>19131781.1829111</v>
      </c>
      <c r="AA137" s="469" cm="1">
        <f t="array" ref="AA137">_xlfn.IFERROR((Z137-Z136),"N/A")</f>
        <v>195780</v>
      </c>
      <c r="AB137" s="466"/>
      <c r="AC137" t="str" s="470" cm="1">
        <f t="array" ref="AC137">IF(B137=6,AVERAGE(Z121:Z126),"N/A")</f>
        <v>N/A</v>
      </c>
      <c r="AD137" s="466"/>
      <c r="AE137" s="466"/>
      <c r="AF137" s="466"/>
      <c r="AG137" s="466"/>
      <c r="AH137" s="466"/>
      <c r="AI137" s="466"/>
      <c r="AJ137" s="466"/>
      <c r="AK137" s="466"/>
      <c r="AL137" s="466"/>
      <c r="AM137" s="466"/>
      <c r="AN137" s="473"/>
    </row>
    <row r="138" ht="15" customHeight="1" hidden="1">
      <c r="A138" s="12"/>
      <c r="B138" s="465" cm="1">
        <f t="array" ref="B138">IF(B137=0,0,IF(B137&lt;VLOOKUP(C117,'Boats Data Sheet 2026'!$C$3:$H$57,6,0),B137+1,0))</f>
        <v>19</v>
      </c>
      <c r="C138" s="466" cm="1">
        <f t="array" ref="C138">IF(B138&gt;0,IF(VLOOKUP(C117,'Boats Data Sheet 2026'!$C$3:$J$57,8,0)="N/A",0,VLOOKUP(C117,'Boats Data Sheet 2026'!$C$3:$J$57,8,0)),"N/A")</f>
        <v>0</v>
      </c>
      <c r="D138" s="476" cm="1">
        <f t="array" ref="D138">IF(B138&gt;7,2,IF(B138=0,"N/A",1))</f>
        <v>2</v>
      </c>
      <c r="E138" s="466" cm="1">
        <f t="array" ref="E138">_xlfn.IFERROR(SUM('Direct Costs 2026'!$C$4:$C$5)*D138,"N/A")</f>
        <v>1751000</v>
      </c>
      <c r="F138" s="466" cm="1">
        <f t="array" ref="F138">_xlfn.IFERROR('Direct Costs 2026'!$C$43*B138,"N/A")</f>
        <v>114000</v>
      </c>
      <c r="G138" s="466" cm="1">
        <f t="array" ref="G138">IF(B138&gt;0,'Direct Costs 2026'!$C$25,"N/A")</f>
        <v>90000</v>
      </c>
      <c r="H138" s="466" cm="1">
        <f t="array" ref="H138">IF(B138&gt;0,('Direct Costs 2026'!$C$16+'Direct Costs 2026'!$C$17),"N/A")</f>
        <v>685000</v>
      </c>
      <c r="I138" s="466">
        <v>0</v>
      </c>
      <c r="J138" s="466">
        <v>0</v>
      </c>
      <c r="K138" s="466" cm="1">
        <f t="array" ref="K138">IF(B138&gt;0,'Direct Costs 2026'!$C$26,"N/A")</f>
        <v>20000</v>
      </c>
      <c r="L138" s="466" cm="1">
        <f t="array" ref="L138">IF(B138&gt;0,'Direct Costs 2026'!$C$23,"N/A")</f>
        <v>140000</v>
      </c>
      <c r="M138" s="466" cm="1">
        <f t="array" ref="M138">IF(B138&gt;0,'Direct Costs 2026'!$C$45*B138,"N/A")</f>
        <v>2850000</v>
      </c>
      <c r="N138" s="466" cm="1">
        <f t="array" ref="N138">IF(B138&gt;0,_xlfn.IFERROR(VLOOKUP(C117,'Boats Data Sheet 2026'!$C$3:$I$57,7,0)*'Direct Costs 2026'!$C$36,"N/A"),"N/A")</f>
        <v>6650000</v>
      </c>
      <c r="O138" t="str" s="468" cm="1">
        <f t="array" ref="O138">IF(B138&gt;0,IF(OR(VLOOKUP(C117,'Boats Data Sheet 2026'!$C$3:$F$57,4,0)="Own",VLOOKUP(C117,'Boats Data Sheet 2026'!$C$3:$F$57,4,0)="Management"),('Direct Costs 2026'!$C$37+'Direct Costs 2026'!$C$39),"N/A"),"N/A")</f>
        <v>N/A</v>
      </c>
      <c r="P138" s="466" cm="1">
        <f t="array" ref="P138">_xlfn.IFERROR('Direct Costs 2026'!$C$27*C138,"N/A")</f>
        <v>0</v>
      </c>
      <c r="Q138" s="466" cm="1">
        <f t="array" ref="Q138">_xlfn.IFERROR(C138+SUM(E138:P138),"N/A")</f>
        <v>12300000</v>
      </c>
      <c r="R138" s="466"/>
      <c r="S138" s="466" cm="1">
        <f t="array" ref="S138">IF(B138&gt;0,'Allocation OH and Target 2026'!$E$31,"N/A")</f>
        <v>3100447.15769812</v>
      </c>
      <c r="T138" s="466" cm="1">
        <f t="array" ref="T138">IF(B138&gt;0,VLOOKUP(C117,'Allocation OH and Target 2026'!$C$35:$S$87,16,0),"N/A")</f>
        <v>0</v>
      </c>
      <c r="U138" s="466" cm="1">
        <f t="array" ref="U138">_xlfn.IFERROR((S138+T138),"N/A")</f>
        <v>3100447.15769812</v>
      </c>
      <c r="V138" s="466"/>
      <c r="W138" s="466" cm="1">
        <f t="array" ref="W138">_xlfn.IFERROR(U138+Q138,"N/A")</f>
        <v>15400447.1576981</v>
      </c>
      <c r="X138" s="466" cm="1">
        <f t="array" ref="X138">_xlfn.IFERROR(W138*0.5%,"N/A")</f>
        <v>77002.235788490507</v>
      </c>
      <c r="Y138" s="466" cm="1">
        <f t="array" ref="Y138">_xlfn.IFERROR(W138*25%,"N/A")</f>
        <v>3850111.78942453</v>
      </c>
      <c r="Z138" s="469" cm="1">
        <f t="array" ref="Z138">IF(B138&gt;0,SUM(W138:Y138),"N/A")</f>
        <v>19327561.1829111</v>
      </c>
      <c r="AA138" s="469" cm="1">
        <f t="array" ref="AA138">_xlfn.IFERROR((Z138-Z137),"N/A")</f>
        <v>195780</v>
      </c>
      <c r="AB138" s="466"/>
      <c r="AC138" t="str" s="470" cm="1">
        <f t="array" ref="AC138">IF(B138=6,AVERAGE(Z122:Z127),"N/A")</f>
        <v>N/A</v>
      </c>
      <c r="AD138" s="466"/>
      <c r="AE138" s="466"/>
      <c r="AF138" s="466"/>
      <c r="AG138" s="466"/>
      <c r="AH138" s="466"/>
      <c r="AI138" s="466"/>
      <c r="AJ138" s="466"/>
      <c r="AK138" s="466"/>
      <c r="AL138" s="466"/>
      <c r="AM138" s="466"/>
      <c r="AN138" s="473"/>
    </row>
    <row r="139" ht="15.5" customHeight="1" hidden="1">
      <c r="A139" s="12"/>
      <c r="B139" s="465" cm="1">
        <f t="array" ref="B139">IF(B138=0,0,IF(B138&lt;VLOOKUP(C117,'Boats Data Sheet 2026'!$C$3:$H$57,6,0),B138+1,0))</f>
        <v>20</v>
      </c>
      <c r="C139" s="466" cm="1">
        <f t="array" ref="C139">IF(B139&gt;0,IF(VLOOKUP(C117,'Boats Data Sheet 2026'!$C$3:$J$57,8,0)="N/A",0,VLOOKUP(C117,'Boats Data Sheet 2026'!$C$3:$J$57,8,0)),"N/A")</f>
        <v>0</v>
      </c>
      <c r="D139" s="476" cm="1">
        <f t="array" ref="D139">IF(B139&gt;7,2,IF(B139=0,"N/A",1))</f>
        <v>2</v>
      </c>
      <c r="E139" s="466" cm="1">
        <f t="array" ref="E139">_xlfn.IFERROR(SUM('Direct Costs 2026'!$C$4:$C$5)*D139,"N/A")</f>
        <v>1751000</v>
      </c>
      <c r="F139" s="466" cm="1">
        <f t="array" ref="F139">_xlfn.IFERROR('Direct Costs 2026'!$C$43*B139,"N/A")</f>
        <v>120000</v>
      </c>
      <c r="G139" s="466" cm="1">
        <f t="array" ref="G139">IF(B139&gt;0,'Direct Costs 2026'!$C$25,"N/A")</f>
        <v>90000</v>
      </c>
      <c r="H139" s="466" cm="1">
        <f t="array" ref="H139">IF(B139&gt;0,('Direct Costs 2026'!$C$16+'Direct Costs 2026'!$C$17),"N/A")</f>
        <v>685000</v>
      </c>
      <c r="I139" s="466">
        <v>0</v>
      </c>
      <c r="J139" s="466">
        <v>0</v>
      </c>
      <c r="K139" s="466" cm="1">
        <f t="array" ref="K139">IF(B139&gt;0,'Direct Costs 2026'!$C$26,"N/A")</f>
        <v>20000</v>
      </c>
      <c r="L139" s="466" cm="1">
        <f t="array" ref="L139">IF(B139&gt;0,'Direct Costs 2026'!$C$23,"N/A")</f>
        <v>140000</v>
      </c>
      <c r="M139" s="466" cm="1">
        <f t="array" ref="M139">IF(B139&gt;0,'Direct Costs 2026'!$C$45*B139,"N/A")</f>
        <v>3000000</v>
      </c>
      <c r="N139" s="466" cm="1">
        <f t="array" ref="N139">IF(B139&gt;0,_xlfn.IFERROR(VLOOKUP(C117,'Boats Data Sheet 2026'!$C$3:$I$57,7,0)*'Direct Costs 2026'!$C$36,"N/A"),"N/A")</f>
        <v>6650000</v>
      </c>
      <c r="O139" t="str" s="468" cm="1">
        <f t="array" ref="O139">IF(B139&gt;0,IF(OR(VLOOKUP(C117,'Boats Data Sheet 2026'!$C$3:$F$57,4,0)="Own",VLOOKUP(C117,'Boats Data Sheet 2026'!$C$3:$F$57,4,0)="Management"),('Direct Costs 2026'!$C$37+'Direct Costs 2026'!$C$39),"N/A"),"N/A")</f>
        <v>N/A</v>
      </c>
      <c r="P139" s="466" cm="1">
        <f t="array" ref="P139">_xlfn.IFERROR('Direct Costs 2026'!$C$27*C139,"N/A")</f>
        <v>0</v>
      </c>
      <c r="Q139" s="466" cm="1">
        <f t="array" ref="Q139">_xlfn.IFERROR(C139+SUM(E139:P139),"N/A")</f>
        <v>12456000</v>
      </c>
      <c r="R139" s="466"/>
      <c r="S139" s="466" cm="1">
        <f t="array" ref="S139">IF(B139&gt;0,'Allocation OH and Target 2026'!$E$31,"N/A")</f>
        <v>3100447.15769812</v>
      </c>
      <c r="T139" s="466" cm="1">
        <f t="array" ref="T139">IF(B139&gt;0,VLOOKUP(C117,'Allocation OH and Target 2026'!$C$35:$S$87,16,0),"N/A")</f>
        <v>0</v>
      </c>
      <c r="U139" s="466" cm="1">
        <f t="array" ref="U139">_xlfn.IFERROR((S139+T139),"N/A")</f>
        <v>3100447.15769812</v>
      </c>
      <c r="V139" s="466"/>
      <c r="W139" s="466" cm="1">
        <f t="array" ref="W139">_xlfn.IFERROR(U139+Q139,"N/A")</f>
        <v>15556447.1576981</v>
      </c>
      <c r="X139" s="466" cm="1">
        <f t="array" ref="X139">_xlfn.IFERROR(W139*0.5%,"N/A")</f>
        <v>77782.235788490507</v>
      </c>
      <c r="Y139" s="466" cm="1">
        <f t="array" ref="Y139">_xlfn.IFERROR(W139*25%,"N/A")</f>
        <v>3889111.78942453</v>
      </c>
      <c r="Z139" s="469" cm="1">
        <f t="array" ref="Z139">IF(B139&gt;0,SUM(W139:Y139),"N/A")</f>
        <v>19523341.1829111</v>
      </c>
      <c r="AA139" s="469" cm="1">
        <f t="array" ref="AA139">_xlfn.IFERROR((Z139-Z138),"N/A")</f>
        <v>195780</v>
      </c>
      <c r="AB139" s="466"/>
      <c r="AC139" t="str" s="470" cm="1">
        <f t="array" ref="AC139">IF(B139=6,AVERAGE(Z123:Z128),"N/A")</f>
        <v>N/A</v>
      </c>
      <c r="AD139" s="466"/>
      <c r="AE139" s="466"/>
      <c r="AF139" s="466"/>
      <c r="AG139" s="466"/>
      <c r="AH139" s="466"/>
      <c r="AI139" s="466"/>
      <c r="AJ139" s="466"/>
      <c r="AK139" s="466"/>
      <c r="AL139" s="466"/>
      <c r="AM139" s="466"/>
      <c r="AN139" s="473"/>
    </row>
    <row r="140" ht="14.05" customHeight="1">
      <c r="A140" s="32"/>
      <c r="B140" s="477"/>
      <c r="C140" s="477"/>
      <c r="D140" s="477"/>
      <c r="E140" s="477"/>
      <c r="F140" s="477"/>
      <c r="G140" s="477"/>
      <c r="H140" s="477"/>
      <c r="I140" s="477"/>
      <c r="J140" s="477"/>
      <c r="K140" s="477"/>
      <c r="L140" s="477"/>
      <c r="M140" s="477"/>
      <c r="N140" s="477"/>
      <c r="O140" s="477"/>
      <c r="P140" s="477"/>
      <c r="Q140" s="477"/>
      <c r="R140" s="477"/>
      <c r="S140" s="477"/>
      <c r="T140" s="477"/>
      <c r="U140" s="477"/>
      <c r="V140" s="477"/>
      <c r="W140" s="477"/>
      <c r="X140" s="477"/>
      <c r="Y140" s="477"/>
      <c r="Z140" s="477"/>
      <c r="AA140" s="477"/>
      <c r="AB140" s="477"/>
      <c r="AC140" s="477"/>
      <c r="AD140" s="477"/>
      <c r="AE140" s="477"/>
      <c r="AF140" s="477"/>
      <c r="AG140" s="477"/>
      <c r="AH140" s="477"/>
      <c r="AI140" s="477"/>
      <c r="AJ140" s="477"/>
      <c r="AK140" s="477"/>
      <c r="AL140" s="477"/>
      <c r="AM140" s="477"/>
      <c r="AN140" s="478"/>
    </row>
    <row r="141" ht="15" customHeight="1">
      <c r="A141" s="32"/>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442"/>
    </row>
    <row r="142" ht="15.5" customHeight="1">
      <c r="A142" s="395">
        <v>7</v>
      </c>
      <c r="B142" t="s" s="444">
        <v>506</v>
      </c>
      <c r="C142" t="s" s="445">
        <v>190</v>
      </c>
      <c r="D142" s="446"/>
      <c r="E142" t="s" s="447">
        <v>542</v>
      </c>
      <c r="F142" s="446"/>
      <c r="G142" s="446"/>
      <c r="H142" s="446"/>
      <c r="I142" s="446"/>
      <c r="J142" s="446"/>
      <c r="K142" s="446"/>
      <c r="L142" s="446"/>
      <c r="M142" s="446"/>
      <c r="N142" s="446"/>
      <c r="O142" s="446"/>
      <c r="P142" s="446"/>
      <c r="Q142" s="446"/>
      <c r="R142" s="446"/>
      <c r="S142" s="446"/>
      <c r="T142" s="446"/>
      <c r="U142" s="446"/>
      <c r="V142" s="446"/>
      <c r="W142" s="446"/>
      <c r="X142" s="446"/>
      <c r="Y142" s="446"/>
      <c r="Z142" s="446"/>
      <c r="AA142" s="446"/>
      <c r="AB142" s="446"/>
      <c r="AC142" s="446"/>
      <c r="AD142" s="446"/>
      <c r="AE142" t="s" s="445">
        <v>508</v>
      </c>
      <c r="AF142" s="448" cm="1">
        <f t="array" ref="AF142">AVERAGE(Q145:Q150)</f>
        <v>11081500</v>
      </c>
      <c r="AG142" t="s" s="449">
        <v>509</v>
      </c>
      <c r="AH142" s="448" cm="1">
        <f t="array" ref="AH142">AVERAGE(Q151:Q158)-AF142</f>
        <v>1665583.33333333</v>
      </c>
      <c r="AI142" t="s" s="449">
        <v>510</v>
      </c>
      <c r="AJ142" s="448" cm="1">
        <f t="array" ref="AJ142">AVERAGE(Y145:Y152)</f>
        <v>3611846.16442453</v>
      </c>
      <c r="AK142" t="s" s="445">
        <v>511</v>
      </c>
      <c r="AL142" s="448" cm="1">
        <f t="array" ref="AL142">AVERAGE(W145:W150)</f>
        <v>14181947.1576981</v>
      </c>
      <c r="AM142" t="s" s="449">
        <v>512</v>
      </c>
      <c r="AN142" s="450" cm="1">
        <f t="array" ref="AN142">W145</f>
        <v>13791947.1576981</v>
      </c>
    </row>
    <row r="143" ht="15" customHeight="1">
      <c r="A143" s="12"/>
      <c r="B143" s="451"/>
      <c r="C143" t="s" s="452">
        <v>513</v>
      </c>
      <c r="D143" s="453"/>
      <c r="E143" s="453"/>
      <c r="F143" s="453"/>
      <c r="G143" s="453"/>
      <c r="H143" s="453"/>
      <c r="I143" s="453"/>
      <c r="J143" s="453"/>
      <c r="K143" s="453"/>
      <c r="L143" s="453"/>
      <c r="M143" s="453"/>
      <c r="N143" s="453"/>
      <c r="O143" s="453"/>
      <c r="P143" s="453"/>
      <c r="Q143" s="454"/>
      <c r="R143" s="455"/>
      <c r="S143" t="s" s="452">
        <v>514</v>
      </c>
      <c r="T143" s="453"/>
      <c r="U143" s="454"/>
      <c r="V143" s="455"/>
      <c r="W143" t="s" s="452">
        <v>515</v>
      </c>
      <c r="X143" s="453"/>
      <c r="Y143" s="453"/>
      <c r="Z143" s="453"/>
      <c r="AA143" s="453"/>
      <c r="AB143" s="456"/>
      <c r="AC143" s="457"/>
      <c r="AD143" s="457"/>
      <c r="AE143" s="457"/>
      <c r="AF143" s="457"/>
      <c r="AG143" s="457"/>
      <c r="AH143" s="457"/>
      <c r="AI143" s="457"/>
      <c r="AJ143" s="457"/>
      <c r="AK143" s="457"/>
      <c r="AL143" s="458"/>
      <c r="AM143" s="459"/>
      <c r="AN143" s="458"/>
    </row>
    <row r="144" ht="46.25" customHeight="1">
      <c r="A144" s="187"/>
      <c r="B144" t="s" s="460">
        <v>517</v>
      </c>
      <c r="C144" t="s" s="461">
        <v>518</v>
      </c>
      <c r="D144" t="s" s="461">
        <v>519</v>
      </c>
      <c r="E144" t="s" s="461">
        <v>520</v>
      </c>
      <c r="F144" t="s" s="461">
        <v>521</v>
      </c>
      <c r="G144" t="s" s="461">
        <v>522</v>
      </c>
      <c r="H144" t="s" s="461">
        <v>553</v>
      </c>
      <c r="I144" t="s" s="461">
        <v>524</v>
      </c>
      <c r="J144" t="s" s="461">
        <v>525</v>
      </c>
      <c r="K144" t="s" s="461">
        <v>526</v>
      </c>
      <c r="L144" t="s" s="461">
        <v>527</v>
      </c>
      <c r="M144" t="s" s="461">
        <v>528</v>
      </c>
      <c r="N144" t="s" s="461">
        <v>529</v>
      </c>
      <c r="O144" t="s" s="461">
        <v>530</v>
      </c>
      <c r="P144" t="s" s="461">
        <v>531</v>
      </c>
      <c r="Q144" t="s" s="461">
        <v>532</v>
      </c>
      <c r="R144" s="462"/>
      <c r="S144" t="s" s="461">
        <v>533</v>
      </c>
      <c r="T144" t="s" s="461">
        <v>534</v>
      </c>
      <c r="U144" t="s" s="461">
        <v>535</v>
      </c>
      <c r="V144" s="462"/>
      <c r="W144" t="s" s="461">
        <v>536</v>
      </c>
      <c r="X144" t="s" s="461">
        <v>537</v>
      </c>
      <c r="Y144" t="s" s="461">
        <v>538</v>
      </c>
      <c r="Z144" t="s" s="461">
        <v>539</v>
      </c>
      <c r="AA144" t="s" s="461">
        <v>121</v>
      </c>
      <c r="AB144" s="463"/>
      <c r="AC144" t="s" s="461">
        <v>39</v>
      </c>
      <c r="AD144" s="463"/>
      <c r="AE144" s="463"/>
      <c r="AF144" s="463"/>
      <c r="AG144" s="463"/>
      <c r="AH144" s="463"/>
      <c r="AI144" s="463"/>
      <c r="AJ144" s="463"/>
      <c r="AK144" s="463"/>
      <c r="AL144" s="463"/>
      <c r="AM144" s="463"/>
      <c r="AN144" s="464"/>
    </row>
    <row r="145" ht="15" customHeight="1" hidden="1">
      <c r="A145" s="12"/>
      <c r="B145" s="479">
        <v>1</v>
      </c>
      <c r="C145" s="480" cm="1">
        <f t="array" ref="C145">IF(B145&gt;0,IF(VLOOKUP(C142,'Boats Data Sheet 2026'!$C$3:$J$57,8,0)="N/A",0,VLOOKUP(C142,'Boats Data Sheet 2026'!$C$3:$J$57,8,0)),"N/A")</f>
        <v>9000000</v>
      </c>
      <c r="D145" s="481" cm="1">
        <f t="array" ref="D145">IF(B145&gt;7,2,IF(B145=0,"N/A",1))</f>
        <v>1</v>
      </c>
      <c r="E145" s="480" cm="1">
        <f t="array" ref="E145">_xlfn.IFERROR(SUM('Direct Costs 2026'!$C$4:$C$5)*D145,"N/A")</f>
        <v>875500</v>
      </c>
      <c r="F145" s="480" cm="1">
        <f t="array" ref="F145">_xlfn.IFERROR('Direct Costs 2026'!$C$43*B145,"N/A")</f>
        <v>6000</v>
      </c>
      <c r="G145" s="480" cm="1">
        <f t="array" ref="G145">IF(B145&gt;0,'Direct Costs 2026'!$C$25,"N/A")</f>
        <v>90000</v>
      </c>
      <c r="H145" s="480" cm="1">
        <f t="array" ref="H145">IF(B145&gt;0,'Direct Costs 2026'!$C$15+'Direct Costs 2026'!$C$14,"N/A")</f>
        <v>230000</v>
      </c>
      <c r="I145" s="480">
        <v>0</v>
      </c>
      <c r="J145" s="480">
        <v>0</v>
      </c>
      <c r="K145" s="480" cm="1">
        <f t="array" ref="K145">IF(B145&gt;0,'Direct Costs 2026'!$C$26,"N/A")</f>
        <v>20000</v>
      </c>
      <c r="L145" s="480" cm="1">
        <f t="array" ref="L145">IF(B145&gt;0,'Direct Costs 2026'!$C$23,"N/A")</f>
        <v>140000</v>
      </c>
      <c r="M145" s="480" cm="1">
        <f t="array" ref="M145">IF(B145&gt;0,'Direct Costs 2026'!$C$45*B145,"N/A")</f>
        <v>150000</v>
      </c>
      <c r="N145" t="str" s="482" cm="1">
        <f t="array" ref="N145">IF(B145&gt;0,_xlfn.IFERROR(VLOOKUP(C142,'Boats Data Sheet 2026'!$C$3:$I$57,7,0)*'Direct Costs 2026'!$C$36,"N/A"),"N/A")</f>
        <v>N/A</v>
      </c>
      <c r="O145" t="str" s="482" cm="1">
        <f t="array" ref="O145">IF(B145&gt;0,IF(OR(VLOOKUP(C142,'Boats Data Sheet 2026'!$C$3:$F$57,4,0)="Own",VLOOKUP(C142,'Boats Data Sheet 2026'!$C$3:$F$57,4,0)="Management"),('Direct Costs 2026'!$C$37+'Direct Costs 2026'!$C$39),"N/A"),"N/A")</f>
        <v>N/A</v>
      </c>
      <c r="P145" s="480" cm="1">
        <f t="array" ref="P145">_xlfn.IFERROR('Direct Costs 2026'!$C$27*C145,"N/A")</f>
        <v>180000</v>
      </c>
      <c r="Q145" s="480" cm="1">
        <f t="array" ref="Q145">_xlfn.IFERROR(C145+SUM(E145:P145),"N/A")</f>
        <v>10691500</v>
      </c>
      <c r="R145" s="483"/>
      <c r="S145" s="480" cm="1">
        <f t="array" ref="S145">IF(B145&gt;0,'Allocation OH and Target 2026'!$E$31,"N/A")</f>
        <v>3100447.15769812</v>
      </c>
      <c r="T145" s="480" cm="1">
        <f t="array" ref="T145">IF(B145&gt;0,VLOOKUP(C142,'Allocation OH and Target 2026'!$C$35:$S$87,16,0),"N/A")</f>
        <v>0</v>
      </c>
      <c r="U145" s="480" cm="1">
        <f t="array" ref="U145">_xlfn.IFERROR((S145+T145),"N/A")</f>
        <v>3100447.15769812</v>
      </c>
      <c r="V145" s="483"/>
      <c r="W145" s="480" cm="1">
        <f t="array" ref="W145">_xlfn.IFERROR(U145+Q145,"N/A")</f>
        <v>13791947.1576981</v>
      </c>
      <c r="X145" s="480" cm="1">
        <f t="array" ref="X145">_xlfn.IFERROR(W145*0.5%,"N/A")</f>
        <v>68959.735788490507</v>
      </c>
      <c r="Y145" s="480" cm="1">
        <f t="array" ref="Y145">_xlfn.IFERROR(W145*25%,"N/A")</f>
        <v>3447986.78942453</v>
      </c>
      <c r="Z145" s="484" cm="1">
        <f t="array" ref="Z145">IF(B145&gt;0,SUM(W145:Y145),"N/A")</f>
        <v>17308893.6829111</v>
      </c>
      <c r="AA145" s="484">
        <v>0</v>
      </c>
      <c r="AB145" s="483"/>
      <c r="AC145" t="str" s="485" cm="1">
        <f t="array" ref="AC145">IF(B145=6,AVERAGE(Z145:Z150),"N/A")</f>
        <v>N/A</v>
      </c>
      <c r="AD145" s="483"/>
      <c r="AE145" s="480"/>
      <c r="AF145" s="480"/>
      <c r="AG145" s="480"/>
      <c r="AH145" s="480"/>
      <c r="AI145" s="480"/>
      <c r="AJ145" s="480"/>
      <c r="AK145" s="480"/>
      <c r="AL145" s="480"/>
      <c r="AM145" s="480"/>
      <c r="AN145" s="486"/>
    </row>
    <row r="146" ht="15" customHeight="1" hidden="1">
      <c r="A146" s="12"/>
      <c r="B146" s="479" cm="1">
        <f t="array" ref="B146">IF(B145=0,0,IF(B145&lt;VLOOKUP(C142,'Boats Data Sheet 2026'!$C$3:$H$57,6,0),B145+1,0))</f>
        <v>2</v>
      </c>
      <c r="C146" s="480" cm="1">
        <f t="array" ref="C146">IF(B146&gt;0,IF(VLOOKUP(C142,'Boats Data Sheet 2026'!$C$3:$J$57,8,0)="N/A",0,VLOOKUP(C142,'Boats Data Sheet 2026'!$C$3:$J$57,8,0)),"N/A")</f>
        <v>9000000</v>
      </c>
      <c r="D146" s="481" cm="1">
        <f t="array" ref="D146">IF(B146&gt;7,2,IF(B146=0,"N/A",1))</f>
        <v>1</v>
      </c>
      <c r="E146" s="480" cm="1">
        <f t="array" ref="E146">_xlfn.IFERROR(SUM('Direct Costs 2026'!$C$4:$C$5)*D146,"N/A")</f>
        <v>875500</v>
      </c>
      <c r="F146" s="480" cm="1">
        <f t="array" ref="F146">_xlfn.IFERROR('Direct Costs 2026'!$C$43*B146,"N/A")</f>
        <v>12000</v>
      </c>
      <c r="G146" s="480" cm="1">
        <f t="array" ref="G146">IF(B146&gt;0,'Direct Costs 2026'!$C$25,"N/A")</f>
        <v>90000</v>
      </c>
      <c r="H146" s="480" cm="1">
        <f t="array" ref="H146">IF(B146&gt;0,'Direct Costs 2026'!$C$15+'Direct Costs 2026'!$C$14,"N/A")</f>
        <v>230000</v>
      </c>
      <c r="I146" s="480">
        <v>0</v>
      </c>
      <c r="J146" s="480">
        <v>0</v>
      </c>
      <c r="K146" s="480" cm="1">
        <f t="array" ref="K146">IF(B146&gt;0,'Direct Costs 2026'!$C$26,"N/A")</f>
        <v>20000</v>
      </c>
      <c r="L146" s="480" cm="1">
        <f t="array" ref="L146">IF(B146&gt;0,'Direct Costs 2026'!$C$23,"N/A")</f>
        <v>140000</v>
      </c>
      <c r="M146" s="480" cm="1">
        <f t="array" ref="M146">IF(B146&gt;0,'Direct Costs 2026'!$C$45*B146,"N/A")</f>
        <v>300000</v>
      </c>
      <c r="N146" t="str" s="482" cm="1">
        <f t="array" ref="N146">IF(B146&gt;0,_xlfn.IFERROR(VLOOKUP(C142,'Boats Data Sheet 2026'!$C$3:$I$57,7,0)*'Direct Costs 2026'!$C$36,"N/A"),"N/A")</f>
        <v>N/A</v>
      </c>
      <c r="O146" t="str" s="482" cm="1">
        <f t="array" ref="O146">IF(B146&gt;0,IF(OR(VLOOKUP(C142,'Boats Data Sheet 2026'!$C$3:$F$57,4,0)="Own",VLOOKUP(C142,'Boats Data Sheet 2026'!$C$3:$F$57,4,0)="Management"),('Direct Costs 2026'!$C$37+'Direct Costs 2026'!$C$39),"N/A"),"N/A")</f>
        <v>N/A</v>
      </c>
      <c r="P146" s="480" cm="1">
        <f t="array" ref="P146">_xlfn.IFERROR('Direct Costs 2026'!$C$27*C146,"N/A")</f>
        <v>180000</v>
      </c>
      <c r="Q146" s="480" cm="1">
        <f t="array" ref="Q146">_xlfn.IFERROR(C146+SUM(E146:P146),"N/A")</f>
        <v>10847500</v>
      </c>
      <c r="R146" s="483"/>
      <c r="S146" s="480" cm="1">
        <f t="array" ref="S146">IF(B146&gt;0,'Allocation OH and Target 2026'!$E$31,"N/A")</f>
        <v>3100447.15769812</v>
      </c>
      <c r="T146" s="480" cm="1">
        <f t="array" ref="T146">IF(B146&gt;0,VLOOKUP(C142,'Allocation OH and Target 2026'!$C$35:$S$87,16,0),"N/A")</f>
        <v>0</v>
      </c>
      <c r="U146" s="480" cm="1">
        <f t="array" ref="U146">_xlfn.IFERROR((S146+T146),"N/A")</f>
        <v>3100447.15769812</v>
      </c>
      <c r="V146" s="483"/>
      <c r="W146" s="480" cm="1">
        <f t="array" ref="W146">_xlfn.IFERROR(U146+Q146,"N/A")</f>
        <v>13947947.1576981</v>
      </c>
      <c r="X146" s="480" cm="1">
        <f t="array" ref="X146">_xlfn.IFERROR(W146*0.5%,"N/A")</f>
        <v>69739.735788490507</v>
      </c>
      <c r="Y146" s="480" cm="1">
        <f t="array" ref="Y146">_xlfn.IFERROR(W146*25%,"N/A")</f>
        <v>3486986.78942453</v>
      </c>
      <c r="Z146" s="484" cm="1">
        <f t="array" ref="Z146">IF(B146&gt;0,SUM(W146:Y146),"N/A")</f>
        <v>17504673.6829111</v>
      </c>
      <c r="AA146" s="484">
        <v>0</v>
      </c>
      <c r="AB146" s="483"/>
      <c r="AC146" t="str" s="485" cm="1">
        <f t="array" ref="AC146">IF(B146=6,AVERAGE(Z145:Z150),"N/A")</f>
        <v>N/A</v>
      </c>
      <c r="AD146" s="483"/>
      <c r="AE146" s="480"/>
      <c r="AF146" s="480"/>
      <c r="AG146" s="480"/>
      <c r="AH146" s="480"/>
      <c r="AI146" s="480"/>
      <c r="AJ146" s="480"/>
      <c r="AK146" s="480"/>
      <c r="AL146" s="480"/>
      <c r="AM146" s="480"/>
      <c r="AN146" s="486"/>
    </row>
    <row r="147" ht="15" customHeight="1" hidden="1">
      <c r="A147" s="12"/>
      <c r="B147" s="479" cm="1">
        <f t="array" ref="B147">IF(B146=0,0,IF(B146&lt;VLOOKUP(C142,'Boats Data Sheet 2026'!$C$3:$H$57,6,0),B146+1,0))</f>
        <v>3</v>
      </c>
      <c r="C147" s="480" cm="1">
        <f t="array" ref="C147">IF(B147&gt;0,IF(VLOOKUP(C142,'Boats Data Sheet 2026'!$C$3:$J$57,8,0)="N/A",0,VLOOKUP(C142,'Boats Data Sheet 2026'!$C$3:$J$57,8,0)),"N/A")</f>
        <v>9000000</v>
      </c>
      <c r="D147" s="481" cm="1">
        <f t="array" ref="D147">IF(B147&gt;7,2,IF(B147=0,"N/A",1))</f>
        <v>1</v>
      </c>
      <c r="E147" s="480" cm="1">
        <f t="array" ref="E147">_xlfn.IFERROR(SUM('Direct Costs 2026'!$C$4:$C$5)*D147,"N/A")</f>
        <v>875500</v>
      </c>
      <c r="F147" s="480" cm="1">
        <f t="array" ref="F147">_xlfn.IFERROR('Direct Costs 2026'!$C$43*B147,"N/A")</f>
        <v>18000</v>
      </c>
      <c r="G147" s="480" cm="1">
        <f t="array" ref="G147">IF(B147&gt;0,'Direct Costs 2026'!$C$25,"N/A")</f>
        <v>90000</v>
      </c>
      <c r="H147" s="480" cm="1">
        <f t="array" ref="H147">IF(B147&gt;0,'Direct Costs 2026'!$C$15+'Direct Costs 2026'!$C$14,"N/A")</f>
        <v>230000</v>
      </c>
      <c r="I147" s="480">
        <v>0</v>
      </c>
      <c r="J147" s="480">
        <v>0</v>
      </c>
      <c r="K147" s="480" cm="1">
        <f t="array" ref="K147">IF(B147&gt;0,'Direct Costs 2026'!$C$26,"N/A")</f>
        <v>20000</v>
      </c>
      <c r="L147" s="480" cm="1">
        <f t="array" ref="L147">IF(B147&gt;0,'Direct Costs 2026'!$C$23,"N/A")</f>
        <v>140000</v>
      </c>
      <c r="M147" s="480" cm="1">
        <f t="array" ref="M147">IF(B147&gt;0,'Direct Costs 2026'!$C$45*B147,"N/A")</f>
        <v>450000</v>
      </c>
      <c r="N147" t="str" s="482" cm="1">
        <f t="array" ref="N147">IF(B147&gt;0,_xlfn.IFERROR(VLOOKUP(C142,'Boats Data Sheet 2026'!$C$3:$I$57,7,0)*'Direct Costs 2026'!$C$36,"N/A"),"N/A")</f>
        <v>N/A</v>
      </c>
      <c r="O147" t="str" s="482" cm="1">
        <f t="array" ref="O147">IF(B147&gt;0,IF(OR(VLOOKUP(C142,'Boats Data Sheet 2026'!$C$3:$F$57,4,0)="Own",VLOOKUP(C142,'Boats Data Sheet 2026'!$C$3:$F$57,4,0)="Management"),('Direct Costs 2026'!$C$37+'Direct Costs 2026'!$C$39),"N/A"),"N/A")</f>
        <v>N/A</v>
      </c>
      <c r="P147" s="480" cm="1">
        <f t="array" ref="P147">_xlfn.IFERROR('Direct Costs 2026'!$C$27*C147,"N/A")</f>
        <v>180000</v>
      </c>
      <c r="Q147" s="480" cm="1">
        <f t="array" ref="Q147">_xlfn.IFERROR(C147+SUM(E147:P147),"N/A")</f>
        <v>11003500</v>
      </c>
      <c r="R147" s="483"/>
      <c r="S147" s="480" cm="1">
        <f t="array" ref="S147">IF(B147&gt;0,'Allocation OH and Target 2026'!$E$31,"N/A")</f>
        <v>3100447.15769812</v>
      </c>
      <c r="T147" s="480" cm="1">
        <f t="array" ref="T147">IF(B147&gt;0,VLOOKUP(C142,'Allocation OH and Target 2026'!$C$35:$S$87,16,0),"N/A")</f>
        <v>0</v>
      </c>
      <c r="U147" s="480" cm="1">
        <f t="array" ref="U147">_xlfn.IFERROR((S147+T147),"N/A")</f>
        <v>3100447.15769812</v>
      </c>
      <c r="V147" s="483"/>
      <c r="W147" s="480" cm="1">
        <f t="array" ref="W147">_xlfn.IFERROR(U147+Q147,"N/A")</f>
        <v>14103947.1576981</v>
      </c>
      <c r="X147" s="480" cm="1">
        <f t="array" ref="X147">_xlfn.IFERROR(W147*0.5%,"N/A")</f>
        <v>70519.735788490507</v>
      </c>
      <c r="Y147" s="480" cm="1">
        <f t="array" ref="Y147">_xlfn.IFERROR(W147*25%,"N/A")</f>
        <v>3525986.78942453</v>
      </c>
      <c r="Z147" s="484" cm="1">
        <f t="array" ref="Z147">IF(B147&gt;0,SUM(W147:Y147),"N/A")</f>
        <v>17700453.6829111</v>
      </c>
      <c r="AA147" s="484">
        <v>0</v>
      </c>
      <c r="AB147" s="483"/>
      <c r="AC147" t="str" s="485" cm="1">
        <f t="array" ref="AC147">IF(B147=6,AVERAGE(Z145:Z150),"N/A")</f>
        <v>N/A</v>
      </c>
      <c r="AD147" s="483"/>
      <c r="AE147" s="480"/>
      <c r="AF147" s="480"/>
      <c r="AG147" s="480"/>
      <c r="AH147" s="480"/>
      <c r="AI147" s="480"/>
      <c r="AJ147" s="480"/>
      <c r="AK147" s="480"/>
      <c r="AL147" s="480"/>
      <c r="AM147" s="480"/>
      <c r="AN147" s="486"/>
    </row>
    <row r="148" ht="15" customHeight="1" hidden="1">
      <c r="A148" s="12"/>
      <c r="B148" s="479" cm="1">
        <f t="array" ref="B148">IF(B147=0,0,IF(B147&lt;VLOOKUP(C142,'Boats Data Sheet 2026'!$C$3:$H$57,6,0),B147+1,0))</f>
        <v>4</v>
      </c>
      <c r="C148" s="480" cm="1">
        <f t="array" ref="C148">IF(B148&gt;0,IF(VLOOKUP(C142,'Boats Data Sheet 2026'!$C$3:$J$57,8,0)="N/A",0,VLOOKUP(C142,'Boats Data Sheet 2026'!$C$3:$J$57,8,0)),"N/A")</f>
        <v>9000000</v>
      </c>
      <c r="D148" s="481" cm="1">
        <f t="array" ref="D148">IF(B148&gt;7,2,IF(B148=0,"N/A",1))</f>
        <v>1</v>
      </c>
      <c r="E148" s="480" cm="1">
        <f t="array" ref="E148">_xlfn.IFERROR(SUM('Direct Costs 2026'!$C$4:$C$5)*D148,"N/A")</f>
        <v>875500</v>
      </c>
      <c r="F148" s="480" cm="1">
        <f t="array" ref="F148">_xlfn.IFERROR('Direct Costs 2026'!$C$43*B148,"N/A")</f>
        <v>24000</v>
      </c>
      <c r="G148" s="480" cm="1">
        <f t="array" ref="G148">IF(B148&gt;0,'Direct Costs 2026'!$C$25,"N/A")</f>
        <v>90000</v>
      </c>
      <c r="H148" s="480" cm="1">
        <f t="array" ref="H148">IF(B148&gt;0,'Direct Costs 2026'!$C$15+'Direct Costs 2026'!$C$14,"N/A")</f>
        <v>230000</v>
      </c>
      <c r="I148" s="480">
        <v>0</v>
      </c>
      <c r="J148" s="480">
        <v>0</v>
      </c>
      <c r="K148" s="480" cm="1">
        <f t="array" ref="K148">IF(B148&gt;0,'Direct Costs 2026'!$C$26,"N/A")</f>
        <v>20000</v>
      </c>
      <c r="L148" s="480" cm="1">
        <f t="array" ref="L148">IF(B148&gt;0,'Direct Costs 2026'!$C$23,"N/A")</f>
        <v>140000</v>
      </c>
      <c r="M148" s="480" cm="1">
        <f t="array" ref="M148">IF(B148&gt;0,'Direct Costs 2026'!$C$45*B148,"N/A")</f>
        <v>600000</v>
      </c>
      <c r="N148" t="str" s="482" cm="1">
        <f t="array" ref="N148">IF(B148&gt;0,_xlfn.IFERROR(VLOOKUP(C142,'Boats Data Sheet 2026'!$C$3:$I$57,7,0)*'Direct Costs 2026'!$C$36,"N/A"),"N/A")</f>
        <v>N/A</v>
      </c>
      <c r="O148" t="str" s="482" cm="1">
        <f t="array" ref="O148">IF(B148&gt;0,IF(OR(VLOOKUP(C142,'Boats Data Sheet 2026'!$C$3:$F$57,4,0)="Own",VLOOKUP(C142,'Boats Data Sheet 2026'!$C$3:$F$57,4,0)="Management"),('Direct Costs 2026'!$C$37+'Direct Costs 2026'!$C$39),"N/A"),"N/A")</f>
        <v>N/A</v>
      </c>
      <c r="P148" s="480" cm="1">
        <f t="array" ref="P148">_xlfn.IFERROR('Direct Costs 2026'!$C$27*C148,"N/A")</f>
        <v>180000</v>
      </c>
      <c r="Q148" s="480" cm="1">
        <f t="array" ref="Q148">_xlfn.IFERROR(C148+SUM(E148:P148),"N/A")</f>
        <v>11159500</v>
      </c>
      <c r="R148" s="483"/>
      <c r="S148" s="480" cm="1">
        <f t="array" ref="S148">IF(B148&gt;0,'Allocation OH and Target 2026'!$E$31,"N/A")</f>
        <v>3100447.15769812</v>
      </c>
      <c r="T148" s="480" cm="1">
        <f t="array" ref="T148">IF(B148&gt;0,VLOOKUP(C142,'Allocation OH and Target 2026'!$C$35:$S$87,16,0),"N/A")</f>
        <v>0</v>
      </c>
      <c r="U148" s="480" cm="1">
        <f t="array" ref="U148">_xlfn.IFERROR((S148+T148),"N/A")</f>
        <v>3100447.15769812</v>
      </c>
      <c r="V148" s="483"/>
      <c r="W148" s="480" cm="1">
        <f t="array" ref="W148">_xlfn.IFERROR(U148+Q148,"N/A")</f>
        <v>14259947.1576981</v>
      </c>
      <c r="X148" s="480" cm="1">
        <f t="array" ref="X148">_xlfn.IFERROR(W148*0.5%,"N/A")</f>
        <v>71299.735788490507</v>
      </c>
      <c r="Y148" s="480" cm="1">
        <f t="array" ref="Y148">_xlfn.IFERROR(W148*25%,"N/A")</f>
        <v>3564986.78942453</v>
      </c>
      <c r="Z148" s="484" cm="1">
        <f t="array" ref="Z148">IF(B148&gt;0,SUM(W148:Y148),"N/A")</f>
        <v>17896233.6829111</v>
      </c>
      <c r="AA148" s="484">
        <v>0</v>
      </c>
      <c r="AB148" s="483"/>
      <c r="AC148" t="str" s="485" cm="1">
        <f t="array" ref="AC148">IF(B148=6,AVERAGE(Z145:Z150),"N/A")</f>
        <v>N/A</v>
      </c>
      <c r="AD148" s="483"/>
      <c r="AE148" s="480"/>
      <c r="AF148" s="480"/>
      <c r="AG148" s="480"/>
      <c r="AH148" s="480"/>
      <c r="AI148" s="480"/>
      <c r="AJ148" s="480"/>
      <c r="AK148" s="480"/>
      <c r="AL148" s="480"/>
      <c r="AM148" s="480"/>
      <c r="AN148" s="486"/>
    </row>
    <row r="149" ht="15" customHeight="1" hidden="1">
      <c r="A149" s="12"/>
      <c r="B149" s="479" cm="1">
        <f t="array" ref="B149">IF(B148=0,0,IF(B148&lt;VLOOKUP(C142,'Boats Data Sheet 2026'!$C$3:$H$57,6,0),B148+1,0))</f>
        <v>5</v>
      </c>
      <c r="C149" s="480" cm="1">
        <f t="array" ref="C149">IF(B149&gt;0,IF(VLOOKUP(C142,'Boats Data Sheet 2026'!$C$3:$J$57,8,0)="N/A",0,VLOOKUP(C142,'Boats Data Sheet 2026'!$C$3:$J$57,8,0)),"N/A")</f>
        <v>9000000</v>
      </c>
      <c r="D149" s="481" cm="1">
        <f t="array" ref="D149">IF(B149&gt;7,2,IF(B149=0,"N/A",1))</f>
        <v>1</v>
      </c>
      <c r="E149" s="480" cm="1">
        <f t="array" ref="E149">_xlfn.IFERROR(SUM('Direct Costs 2026'!$C$4:$C$5)*D149,"N/A")</f>
        <v>875500</v>
      </c>
      <c r="F149" s="480" cm="1">
        <f t="array" ref="F149">_xlfn.IFERROR('Direct Costs 2026'!$C$43*B149,"N/A")</f>
        <v>30000</v>
      </c>
      <c r="G149" s="480" cm="1">
        <f t="array" ref="G149">IF(B149&gt;0,'Direct Costs 2026'!$C$25,"N/A")</f>
        <v>90000</v>
      </c>
      <c r="H149" s="480" cm="1">
        <f t="array" ref="H149">IF(B149&gt;0,'Direct Costs 2026'!$C$15+'Direct Costs 2026'!$C$14,"N/A")</f>
        <v>230000</v>
      </c>
      <c r="I149" s="480">
        <v>0</v>
      </c>
      <c r="J149" s="480">
        <v>0</v>
      </c>
      <c r="K149" s="480" cm="1">
        <f t="array" ref="K149">IF(B149&gt;0,'Direct Costs 2026'!$C$26,"N/A")</f>
        <v>20000</v>
      </c>
      <c r="L149" s="480" cm="1">
        <f t="array" ref="L149">IF(B149&gt;0,'Direct Costs 2026'!$C$23,"N/A")</f>
        <v>140000</v>
      </c>
      <c r="M149" s="480" cm="1">
        <f t="array" ref="M149">IF(B149&gt;0,'Direct Costs 2026'!$C$45*B149,"N/A")</f>
        <v>750000</v>
      </c>
      <c r="N149" t="str" s="482" cm="1">
        <f t="array" ref="N149">IF(B149&gt;0,_xlfn.IFERROR(VLOOKUP(C142,'Boats Data Sheet 2026'!$C$3:$I$57,7,0)*'Direct Costs 2026'!$C$36,"N/A"),"N/A")</f>
        <v>N/A</v>
      </c>
      <c r="O149" t="str" s="482" cm="1">
        <f t="array" ref="O149">IF(B149&gt;0,IF(OR(VLOOKUP(C142,'Boats Data Sheet 2026'!$C$3:$F$57,4,0)="Own",VLOOKUP(C142,'Boats Data Sheet 2026'!$C$3:$F$57,4,0)="Management"),('Direct Costs 2026'!$C$37+'Direct Costs 2026'!$C$39),"N/A"),"N/A")</f>
        <v>N/A</v>
      </c>
      <c r="P149" s="480" cm="1">
        <f t="array" ref="P149">_xlfn.IFERROR('Direct Costs 2026'!$C$27*C149,"N/A")</f>
        <v>180000</v>
      </c>
      <c r="Q149" s="480" cm="1">
        <f t="array" ref="Q149">_xlfn.IFERROR(C149+SUM(E149:P149),"N/A")</f>
        <v>11315500</v>
      </c>
      <c r="R149" s="483"/>
      <c r="S149" s="480" cm="1">
        <f t="array" ref="S149">IF(B149&gt;0,'Allocation OH and Target 2026'!$E$31,"N/A")</f>
        <v>3100447.15769812</v>
      </c>
      <c r="T149" s="480" cm="1">
        <f t="array" ref="T149">IF(B149&gt;0,VLOOKUP(C142,'Allocation OH and Target 2026'!$C$35:$S$87,16,0),"N/A")</f>
        <v>0</v>
      </c>
      <c r="U149" s="480" cm="1">
        <f t="array" ref="U149">_xlfn.IFERROR((S149+T149),"N/A")</f>
        <v>3100447.15769812</v>
      </c>
      <c r="V149" s="483"/>
      <c r="W149" s="480" cm="1">
        <f t="array" ref="W149">_xlfn.IFERROR(U149+Q149,"N/A")</f>
        <v>14415947.1576981</v>
      </c>
      <c r="X149" s="480" cm="1">
        <f t="array" ref="X149">_xlfn.IFERROR(W149*0.5%,"N/A")</f>
        <v>72079.735788490507</v>
      </c>
      <c r="Y149" s="480" cm="1">
        <f t="array" ref="Y149">_xlfn.IFERROR(W149*25%,"N/A")</f>
        <v>3603986.78942453</v>
      </c>
      <c r="Z149" s="484" cm="1">
        <f t="array" ref="Z149">IF(B149&gt;0,SUM(W149:Y149),"N/A")</f>
        <v>18092013.6829111</v>
      </c>
      <c r="AA149" s="484">
        <v>0</v>
      </c>
      <c r="AB149" s="483"/>
      <c r="AC149" t="str" s="485" cm="1">
        <f t="array" ref="AC149">IF(B149=6,AVERAGE(Z145:Z150),"N/A")</f>
        <v>N/A</v>
      </c>
      <c r="AD149" s="483"/>
      <c r="AE149" s="480"/>
      <c r="AF149" s="480"/>
      <c r="AG149" s="480"/>
      <c r="AH149" s="480"/>
      <c r="AI149" s="480"/>
      <c r="AJ149" s="480"/>
      <c r="AK149" s="480"/>
      <c r="AL149" s="480"/>
      <c r="AM149" s="480"/>
      <c r="AN149" s="486"/>
    </row>
    <row r="150" ht="15" customHeight="1" hidden="1">
      <c r="A150" s="12"/>
      <c r="B150" s="479" cm="1">
        <f t="array" ref="B150">IF(B149=0,0,IF(B149&lt;VLOOKUP(C142,'Boats Data Sheet 2026'!$C$3:$H$57,6,0),B149+1,0))</f>
        <v>6</v>
      </c>
      <c r="C150" s="480" cm="1">
        <f t="array" ref="C150">IF(B150&gt;0,IF(VLOOKUP(C142,'Boats Data Sheet 2026'!$C$3:$J$57,8,0)="N/A",0,VLOOKUP(C142,'Boats Data Sheet 2026'!$C$3:$J$57,8,0)),"N/A")</f>
        <v>9000000</v>
      </c>
      <c r="D150" s="481" cm="1">
        <f t="array" ref="D150">IF(B150&gt;7,2,IF(B150=0,"N/A",1))</f>
        <v>1</v>
      </c>
      <c r="E150" s="480" cm="1">
        <f t="array" ref="E150">_xlfn.IFERROR(SUM('Direct Costs 2026'!$C$4:$C$5)*D150,"N/A")</f>
        <v>875500</v>
      </c>
      <c r="F150" s="480" cm="1">
        <f t="array" ref="F150">_xlfn.IFERROR('Direct Costs 2026'!$C$43*B150,"N/A")</f>
        <v>36000</v>
      </c>
      <c r="G150" s="480" cm="1">
        <f t="array" ref="G150">IF(B150&gt;0,'Direct Costs 2026'!$C$25,"N/A")</f>
        <v>90000</v>
      </c>
      <c r="H150" s="480" cm="1">
        <f t="array" ref="H150">IF(B150&gt;0,'Direct Costs 2026'!$C$15+'Direct Costs 2026'!$C$14,"N/A")</f>
        <v>230000</v>
      </c>
      <c r="I150" s="480">
        <v>0</v>
      </c>
      <c r="J150" s="480">
        <v>0</v>
      </c>
      <c r="K150" s="480" cm="1">
        <f t="array" ref="K150">IF(B150&gt;0,'Direct Costs 2026'!$C$26,"N/A")</f>
        <v>20000</v>
      </c>
      <c r="L150" s="480" cm="1">
        <f t="array" ref="L150">IF(B150&gt;0,'Direct Costs 2026'!$C$23,"N/A")</f>
        <v>140000</v>
      </c>
      <c r="M150" s="480" cm="1">
        <f t="array" ref="M150">IF(B150&gt;0,'Direct Costs 2026'!$C$45*B150,"N/A")</f>
        <v>900000</v>
      </c>
      <c r="N150" t="str" s="482" cm="1">
        <f t="array" ref="N150">IF(B150&gt;0,_xlfn.IFERROR(VLOOKUP(C142,'Boats Data Sheet 2026'!$C$3:$I$57,7,0)*'Direct Costs 2026'!$C$36,"N/A"),"N/A")</f>
        <v>N/A</v>
      </c>
      <c r="O150" t="str" s="482" cm="1">
        <f t="array" ref="O150">IF(B150&gt;0,IF(OR(VLOOKUP(C142,'Boats Data Sheet 2026'!$C$3:$F$57,4,0)="Own",VLOOKUP(C142,'Boats Data Sheet 2026'!$C$3:$F$57,4,0)="Management"),('Direct Costs 2026'!$C$37+'Direct Costs 2026'!$C$39),"N/A"),"N/A")</f>
        <v>N/A</v>
      </c>
      <c r="P150" s="480" cm="1">
        <f t="array" ref="P150">_xlfn.IFERROR('Direct Costs 2026'!$C$27*C150,"N/A")</f>
        <v>180000</v>
      </c>
      <c r="Q150" s="480" cm="1">
        <f t="array" ref="Q150">_xlfn.IFERROR(C150+SUM(E150:P150),"N/A")</f>
        <v>11471500</v>
      </c>
      <c r="R150" s="483"/>
      <c r="S150" s="480" cm="1">
        <f t="array" ref="S150">IF(B150&gt;0,'Allocation OH and Target 2026'!$E$31,"N/A")</f>
        <v>3100447.15769812</v>
      </c>
      <c r="T150" s="480" cm="1">
        <f t="array" ref="T150">IF(B150&gt;0,VLOOKUP(C142,'Allocation OH and Target 2026'!$C$35:$S$87,16,0),"N/A")</f>
        <v>0</v>
      </c>
      <c r="U150" s="480" cm="1">
        <f t="array" ref="U150">_xlfn.IFERROR((S150+T150),"N/A")</f>
        <v>3100447.15769812</v>
      </c>
      <c r="V150" s="483"/>
      <c r="W150" s="480" cm="1">
        <f t="array" ref="W150">_xlfn.IFERROR(U150+Q150,"N/A")</f>
        <v>14571947.1576981</v>
      </c>
      <c r="X150" s="480" cm="1">
        <f t="array" ref="X150">_xlfn.IFERROR(W150*0.5%,"N/A")</f>
        <v>72859.735788490507</v>
      </c>
      <c r="Y150" s="480" cm="1">
        <f t="array" ref="Y150">_xlfn.IFERROR(W150*25%,"N/A")</f>
        <v>3642986.78942453</v>
      </c>
      <c r="Z150" s="484" cm="1">
        <f t="array" ref="Z150">IF(B150&gt;0,SUM(W150:Y150),"N/A")</f>
        <v>18287793.6829111</v>
      </c>
      <c r="AA150" s="484">
        <v>0</v>
      </c>
      <c r="AB150" s="483"/>
      <c r="AC150" s="484" cm="1">
        <f t="array" ref="AC150">IF(B150=6,AVERAGE(Z145:Z150),"N/A")</f>
        <v>17798343.6829111</v>
      </c>
      <c r="AD150" s="483"/>
      <c r="AE150" s="480"/>
      <c r="AF150" s="480"/>
      <c r="AG150" s="480"/>
      <c r="AH150" s="480"/>
      <c r="AI150" s="480"/>
      <c r="AJ150" s="480"/>
      <c r="AK150" s="480"/>
      <c r="AL150" s="480"/>
      <c r="AM150" s="480"/>
      <c r="AN150" s="486"/>
    </row>
    <row r="151" ht="15" customHeight="1" hidden="1">
      <c r="A151" s="12"/>
      <c r="B151" s="479" cm="1">
        <f t="array" ref="B151">IF(B150=0,0,IF(B150&lt;VLOOKUP(C142,'Boats Data Sheet 2026'!$C$3:$H$57,6,0),B150+1,0))</f>
        <v>7</v>
      </c>
      <c r="C151" s="480" cm="1">
        <f t="array" ref="C151">IF(B151&gt;0,IF(VLOOKUP(C142,'Boats Data Sheet 2026'!$C$3:$J$57,8,0)="N/A",0,VLOOKUP(C142,'Boats Data Sheet 2026'!$C$3:$J$57,8,0)),"N/A")</f>
        <v>9000000</v>
      </c>
      <c r="D151" s="481" cm="1">
        <f t="array" ref="D151">IF(B151&gt;7,2,IF(B151=0,"N/A",1))</f>
        <v>1</v>
      </c>
      <c r="E151" s="480" cm="1">
        <f t="array" ref="E151">_xlfn.IFERROR(SUM('Direct Costs 2026'!$C$4:$C$5)*D151,"N/A")</f>
        <v>875500</v>
      </c>
      <c r="F151" s="480" cm="1">
        <f t="array" ref="F151">_xlfn.IFERROR('Direct Costs 2026'!$C$43*B151,"N/A")</f>
        <v>42000</v>
      </c>
      <c r="G151" s="480" cm="1">
        <f t="array" ref="G151">IF(B151&gt;0,'Direct Costs 2026'!$C$25,"N/A")</f>
        <v>90000</v>
      </c>
      <c r="H151" s="480" cm="1">
        <f t="array" ref="H151">IF(B151&gt;0,'Direct Costs 2026'!$C$15+'Direct Costs 2026'!$C$14,"N/A")</f>
        <v>230000</v>
      </c>
      <c r="I151" s="480">
        <v>0</v>
      </c>
      <c r="J151" s="480">
        <v>0</v>
      </c>
      <c r="K151" s="480" cm="1">
        <f t="array" ref="K151">IF(B151&gt;0,'Direct Costs 2026'!$C$26,"N/A")</f>
        <v>20000</v>
      </c>
      <c r="L151" s="480" cm="1">
        <f t="array" ref="L151">IF(B151&gt;0,'Direct Costs 2026'!$C$23,"N/A")</f>
        <v>140000</v>
      </c>
      <c r="M151" s="480" cm="1">
        <f t="array" ref="M151">IF(B151&gt;0,'Direct Costs 2026'!$C$45*B151,"N/A")</f>
        <v>1050000</v>
      </c>
      <c r="N151" t="str" s="482" cm="1">
        <f t="array" ref="N151">IF(B151&gt;0,_xlfn.IFERROR(VLOOKUP(C142,'Boats Data Sheet 2026'!$C$3:$I$57,7,0)*'Direct Costs 2026'!$C$36,"N/A"),"N/A")</f>
        <v>N/A</v>
      </c>
      <c r="O151" t="str" s="482" cm="1">
        <f t="array" ref="O151">IF(B151&gt;0,IF(OR(VLOOKUP(C142,'Boats Data Sheet 2026'!$C$3:$F$57,4,0)="Own",VLOOKUP(C142,'Boats Data Sheet 2026'!$C$3:$F$57,4,0)="Management"),('Direct Costs 2026'!$C$37+'Direct Costs 2026'!$C$39),"N/A"),"N/A")</f>
        <v>N/A</v>
      </c>
      <c r="P151" s="480" cm="1">
        <f t="array" ref="P151">_xlfn.IFERROR('Direct Costs 2026'!$C$27*C151,"N/A")</f>
        <v>180000</v>
      </c>
      <c r="Q151" s="480" cm="1">
        <f t="array" ref="Q151">_xlfn.IFERROR(C151+SUM(E151:P151),"N/A")</f>
        <v>11627500</v>
      </c>
      <c r="R151" s="483"/>
      <c r="S151" s="480" cm="1">
        <f t="array" ref="S151">IF(B151&gt;0,'Allocation OH and Target 2026'!$E$31,"N/A")</f>
        <v>3100447.15769812</v>
      </c>
      <c r="T151" s="480" cm="1">
        <f t="array" ref="T151">IF(B151&gt;0,VLOOKUP(C142,'Allocation OH and Target 2026'!$C$35:$S$87,16,0),"N/A")</f>
        <v>0</v>
      </c>
      <c r="U151" s="480" cm="1">
        <f t="array" ref="U151">_xlfn.IFERROR((S151+T151),"N/A")</f>
        <v>3100447.15769812</v>
      </c>
      <c r="V151" s="483"/>
      <c r="W151" s="480" cm="1">
        <f t="array" ref="W151">_xlfn.IFERROR(U151+Q151,"N/A")</f>
        <v>14727947.1576981</v>
      </c>
      <c r="X151" s="480" cm="1">
        <f t="array" ref="X151">_xlfn.IFERROR(W151*0.5%,"N/A")</f>
        <v>73639.735788490507</v>
      </c>
      <c r="Y151" s="480" cm="1">
        <f t="array" ref="Y151">_xlfn.IFERROR(W151*25%,"N/A")</f>
        <v>3681986.78942453</v>
      </c>
      <c r="Z151" s="484" cm="1">
        <f t="array" ref="Z151">IF(B151&gt;0,SUM(W151:Y151),"N/A")</f>
        <v>18483573.6829111</v>
      </c>
      <c r="AA151" s="484" cm="1">
        <f t="array" ref="AA151">_xlfn.IFERROR((Z151-AVERAGE(Z145:Z150)),"N/A")</f>
        <v>685230</v>
      </c>
      <c r="AB151" s="483"/>
      <c r="AC151" t="str" s="485" cm="1">
        <f t="array" ref="AC151">IF(B151=6,AVERAGE(Z145:Z150),"N/A")</f>
        <v>N/A</v>
      </c>
      <c r="AD151" s="483"/>
      <c r="AE151" s="480"/>
      <c r="AF151" s="480"/>
      <c r="AG151" s="480"/>
      <c r="AH151" s="480"/>
      <c r="AI151" s="480"/>
      <c r="AJ151" s="480"/>
      <c r="AK151" s="480"/>
      <c r="AL151" s="480"/>
      <c r="AM151" s="480"/>
      <c r="AN151" s="486"/>
    </row>
    <row r="152" ht="15" customHeight="1" hidden="1">
      <c r="A152" s="12"/>
      <c r="B152" s="479" cm="1">
        <f t="array" ref="B152">IF(B151=0,0,IF(B151&lt;VLOOKUP(C142,'Boats Data Sheet 2026'!$C$3:$H$57,6,0),B151+1,0))</f>
        <v>8</v>
      </c>
      <c r="C152" s="480" cm="1">
        <f t="array" ref="C152">IF(B152&gt;0,IF(VLOOKUP(C142,'Boats Data Sheet 2026'!$C$3:$J$57,8,0)="N/A",0,VLOOKUP(C142,'Boats Data Sheet 2026'!$C$3:$J$57,8,0)),"N/A")</f>
        <v>9000000</v>
      </c>
      <c r="D152" s="481" cm="1">
        <f t="array" ref="D152">IF(B152&gt;7,2,IF(B152=0,"N/A",1))</f>
        <v>2</v>
      </c>
      <c r="E152" s="480" cm="1">
        <f t="array" ref="E152">_xlfn.IFERROR(SUM('Direct Costs 2026'!$C$4:$C$5)*D152,"N/A")</f>
        <v>1751000</v>
      </c>
      <c r="F152" s="480" cm="1">
        <f t="array" ref="F152">_xlfn.IFERROR('Direct Costs 2026'!$C$43*B152,"N/A")</f>
        <v>48000</v>
      </c>
      <c r="G152" s="480" cm="1">
        <f t="array" ref="G152">IF(B152&gt;0,'Direct Costs 2026'!$C$25,"N/A")</f>
        <v>90000</v>
      </c>
      <c r="H152" s="480" cm="1">
        <f t="array" ref="H152">IF(B152&gt;0,'Direct Costs 2026'!$C$15+'Direct Costs 2026'!$C$14,"N/A")</f>
        <v>230000</v>
      </c>
      <c r="I152" s="480">
        <v>0</v>
      </c>
      <c r="J152" s="480">
        <v>0</v>
      </c>
      <c r="K152" s="480" cm="1">
        <f t="array" ref="K152">IF(B152&gt;0,'Direct Costs 2026'!$C$26,"N/A")</f>
        <v>20000</v>
      </c>
      <c r="L152" s="480" cm="1">
        <f t="array" ref="L152">IF(B152&gt;0,'Direct Costs 2026'!$C$23,"N/A")</f>
        <v>140000</v>
      </c>
      <c r="M152" s="480" cm="1">
        <f t="array" ref="M152">IF(B152&gt;0,'Direct Costs 2026'!$C$45*B152,"N/A")</f>
        <v>1200000</v>
      </c>
      <c r="N152" t="str" s="482" cm="1">
        <f t="array" ref="N152">IF(B152&gt;0,_xlfn.IFERROR(VLOOKUP(C142,'Boats Data Sheet 2026'!$C$3:$I$57,7,0)*'Direct Costs 2026'!$C$36,"N/A"),"N/A")</f>
        <v>N/A</v>
      </c>
      <c r="O152" t="str" s="482" cm="1">
        <f t="array" ref="O152">IF(B152&gt;0,IF(OR(VLOOKUP(C142,'Boats Data Sheet 2026'!$C$3:$F$57,4,0)="Own",VLOOKUP(C142,'Boats Data Sheet 2026'!$C$3:$F$57,4,0)="Management"),('Direct Costs 2026'!$C$37+'Direct Costs 2026'!$C$39),"N/A"),"N/A")</f>
        <v>N/A</v>
      </c>
      <c r="P152" s="480" cm="1">
        <f t="array" ref="P152">_xlfn.IFERROR('Direct Costs 2026'!$C$27*C152,"N/A")</f>
        <v>180000</v>
      </c>
      <c r="Q152" s="480" cm="1">
        <f t="array" ref="Q152">_xlfn.IFERROR(C152+SUM(E152:P152),"N/A")</f>
        <v>12659000</v>
      </c>
      <c r="R152" s="483"/>
      <c r="S152" s="480" cm="1">
        <f t="array" ref="S152">IF(B152&gt;0,'Allocation OH and Target 2026'!$E$31,"N/A")</f>
        <v>3100447.15769812</v>
      </c>
      <c r="T152" s="480" cm="1">
        <f t="array" ref="T152">IF(B152&gt;0,VLOOKUP(C142,'Allocation OH and Target 2026'!$C$35:$S$87,16,0),"N/A")</f>
        <v>0</v>
      </c>
      <c r="U152" s="480" cm="1">
        <f t="array" ref="U152">_xlfn.IFERROR((S152+T152),"N/A")</f>
        <v>3100447.15769812</v>
      </c>
      <c r="V152" s="483"/>
      <c r="W152" s="480" cm="1">
        <f t="array" ref="W152">_xlfn.IFERROR(U152+Q152,"N/A")</f>
        <v>15759447.1576981</v>
      </c>
      <c r="X152" s="480" cm="1">
        <f t="array" ref="X152">_xlfn.IFERROR(W152*0.5%,"N/A")</f>
        <v>78797.235788490507</v>
      </c>
      <c r="Y152" s="480" cm="1">
        <f t="array" ref="Y152">_xlfn.IFERROR(W152*25%,"N/A")</f>
        <v>3939861.78942453</v>
      </c>
      <c r="Z152" s="484" cm="1">
        <f t="array" ref="Z152">IF(B152&gt;0,SUM(W152:Y152),"N/A")</f>
        <v>19778106.1829111</v>
      </c>
      <c r="AA152" s="484" cm="1">
        <f t="array" ref="AA152">_xlfn.IFERROR((Z152-AVERAGE(Z145:Z150)),"N/A")</f>
        <v>1979762.5</v>
      </c>
      <c r="AB152" s="483"/>
      <c r="AC152" t="str" s="485" cm="1">
        <f t="array" ref="AC152">IF(B152=6,AVERAGE(Z145:Z150),"N/A")</f>
        <v>N/A</v>
      </c>
      <c r="AD152" s="483"/>
      <c r="AE152" s="480"/>
      <c r="AF152" s="480"/>
      <c r="AG152" s="480"/>
      <c r="AH152" s="480"/>
      <c r="AI152" s="480"/>
      <c r="AJ152" s="480"/>
      <c r="AK152" s="480"/>
      <c r="AL152" s="480"/>
      <c r="AM152" s="480"/>
      <c r="AN152" s="486"/>
    </row>
    <row r="153" ht="15" customHeight="1" hidden="1">
      <c r="A153" s="12"/>
      <c r="B153" s="479" cm="1">
        <f t="array" ref="B153">IF(B152=0,0,IF(B152&lt;VLOOKUP(C142,'Boats Data Sheet 2026'!$C$3:$H$57,6,0),B152+1,0))</f>
        <v>9</v>
      </c>
      <c r="C153" s="480" cm="1">
        <f t="array" ref="C153">IF(B153&gt;0,IF(VLOOKUP(C142,'Boats Data Sheet 2026'!$C$3:$J$57,8,0)="N/A",0,VLOOKUP(C142,'Boats Data Sheet 2026'!$C$3:$J$57,8,0)),"N/A")</f>
        <v>9000000</v>
      </c>
      <c r="D153" s="481" cm="1">
        <f t="array" ref="D153">IF(B153&gt;7,2,IF(B153=0,"N/A",1))</f>
        <v>2</v>
      </c>
      <c r="E153" s="480" cm="1">
        <f t="array" ref="E153">_xlfn.IFERROR(SUM('Direct Costs 2026'!$C$4:$C$5)*D153,"N/A")</f>
        <v>1751000</v>
      </c>
      <c r="F153" s="480" cm="1">
        <f t="array" ref="F153">_xlfn.IFERROR('Direct Costs 2026'!$C$43*B153,"N/A")</f>
        <v>54000</v>
      </c>
      <c r="G153" s="480" cm="1">
        <f t="array" ref="G153">IF(B153&gt;0,'Direct Costs 2026'!$C$25,"N/A")</f>
        <v>90000</v>
      </c>
      <c r="H153" s="480" cm="1">
        <f t="array" ref="H153">IF(B153&gt;0,'Direct Costs 2026'!$C$15+'Direct Costs 2026'!$C$14,"N/A")</f>
        <v>230000</v>
      </c>
      <c r="I153" s="480">
        <v>0</v>
      </c>
      <c r="J153" s="480">
        <v>0</v>
      </c>
      <c r="K153" s="480" cm="1">
        <f t="array" ref="K153">IF(B153&gt;0,'Direct Costs 2026'!$C$26,"N/A")</f>
        <v>20000</v>
      </c>
      <c r="L153" s="480" cm="1">
        <f t="array" ref="L153">IF(B153&gt;0,'Direct Costs 2026'!$C$23,"N/A")</f>
        <v>140000</v>
      </c>
      <c r="M153" s="480" cm="1">
        <f t="array" ref="M153">IF(B153&gt;0,'Direct Costs 2026'!$C$45*B153,"N/A")</f>
        <v>1350000</v>
      </c>
      <c r="N153" t="str" s="482" cm="1">
        <f t="array" ref="N153">IF(B153&gt;0,_xlfn.IFERROR(VLOOKUP(C142,'Boats Data Sheet 2026'!$C$3:$I$57,7,0)*'Direct Costs 2026'!$C$36,"N/A"),"N/A")</f>
        <v>N/A</v>
      </c>
      <c r="O153" t="str" s="482" cm="1">
        <f t="array" ref="O153">IF(B153&gt;0,IF(OR(VLOOKUP(C142,'Boats Data Sheet 2026'!$C$3:$F$57,4,0)="Own",VLOOKUP(C142,'Boats Data Sheet 2026'!$C$3:$F$57,4,0)="Management"),('Direct Costs 2026'!$C$37+'Direct Costs 2026'!$C$39),"N/A"),"N/A")</f>
        <v>N/A</v>
      </c>
      <c r="P153" s="480" cm="1">
        <f t="array" ref="P153">_xlfn.IFERROR('Direct Costs 2026'!$C$27*C153,"N/A")</f>
        <v>180000</v>
      </c>
      <c r="Q153" s="480" cm="1">
        <f t="array" ref="Q153">_xlfn.IFERROR(C153+SUM(E153:P153),"N/A")</f>
        <v>12815000</v>
      </c>
      <c r="R153" s="483"/>
      <c r="S153" s="480" cm="1">
        <f t="array" ref="S153">IF(B153&gt;0,'Allocation OH and Target 2026'!$E$31,"N/A")</f>
        <v>3100447.15769812</v>
      </c>
      <c r="T153" s="480" cm="1">
        <f t="array" ref="T153">IF(B153&gt;0,VLOOKUP(C142,'Allocation OH and Target 2026'!$C$35:$S$87,16,0),"N/A")</f>
        <v>0</v>
      </c>
      <c r="U153" s="480" cm="1">
        <f t="array" ref="U153">_xlfn.IFERROR((S153+T153),"N/A")</f>
        <v>3100447.15769812</v>
      </c>
      <c r="V153" s="483"/>
      <c r="W153" s="480" cm="1">
        <f t="array" ref="W153">_xlfn.IFERROR(U153+Q153,"N/A")</f>
        <v>15915447.1576981</v>
      </c>
      <c r="X153" s="480" cm="1">
        <f t="array" ref="X153">_xlfn.IFERROR(W153*0.5%,"N/A")</f>
        <v>79577.235788490507</v>
      </c>
      <c r="Y153" s="480" cm="1">
        <f t="array" ref="Y153">_xlfn.IFERROR(W153*25%,"N/A")</f>
        <v>3978861.78942453</v>
      </c>
      <c r="Z153" s="484" cm="1">
        <f t="array" ref="Z153">IF(B153&gt;0,SUM(W153:Y153),"N/A")</f>
        <v>19973886.1829111</v>
      </c>
      <c r="AA153" s="484" cm="1">
        <f t="array" ref="AA153">_xlfn.IFERROR((Z153-AVERAGE(Z145:Z150)),"N/A")</f>
        <v>2175542.5</v>
      </c>
      <c r="AB153" s="483"/>
      <c r="AC153" t="str" s="485" cm="1">
        <f t="array" ref="AC153">IF(B153=6,AVERAGE(Z145:Z150),"N/A")</f>
        <v>N/A</v>
      </c>
      <c r="AD153" s="483"/>
      <c r="AE153" s="480"/>
      <c r="AF153" s="480"/>
      <c r="AG153" s="480"/>
      <c r="AH153" s="480"/>
      <c r="AI153" s="480"/>
      <c r="AJ153" s="480"/>
      <c r="AK153" s="480"/>
      <c r="AL153" s="480"/>
      <c r="AM153" s="480"/>
      <c r="AN153" s="486"/>
    </row>
    <row r="154" ht="15" customHeight="1" hidden="1">
      <c r="A154" s="12"/>
      <c r="B154" s="479" cm="1">
        <f t="array" ref="B154">IF(B153=0,0,IF(B153&lt;VLOOKUP(C142,'Boats Data Sheet 2026'!$C$3:$H$57,6,0),B153+1,0))</f>
        <v>10</v>
      </c>
      <c r="C154" s="480" cm="1">
        <f t="array" ref="C154">IF(B154&gt;0,IF(VLOOKUP(C142,'Boats Data Sheet 2026'!$C$3:$J$57,8,0)="N/A",0,VLOOKUP(C142,'Boats Data Sheet 2026'!$C$3:$J$57,8,0)),"N/A")</f>
        <v>9000000</v>
      </c>
      <c r="D154" s="481" cm="1">
        <f t="array" ref="D154">IF(B154&gt;7,2,IF(B154=0,"N/A",1))</f>
        <v>2</v>
      </c>
      <c r="E154" s="480" cm="1">
        <f t="array" ref="E154">_xlfn.IFERROR(SUM('Direct Costs 2026'!$C$4:$C$5)*D154,"N/A")</f>
        <v>1751000</v>
      </c>
      <c r="F154" s="480" cm="1">
        <f t="array" ref="F154">_xlfn.IFERROR('Direct Costs 2026'!$C$43*B154,"N/A")</f>
        <v>60000</v>
      </c>
      <c r="G154" s="480" cm="1">
        <f t="array" ref="G154">IF(B154&gt;0,'Direct Costs 2026'!$C$25,"N/A")</f>
        <v>90000</v>
      </c>
      <c r="H154" s="480" cm="1">
        <f t="array" ref="H154">IF(B154&gt;0,'Direct Costs 2026'!$C$15+'Direct Costs 2026'!$C$14,"N/A")</f>
        <v>230000</v>
      </c>
      <c r="I154" s="480">
        <v>0</v>
      </c>
      <c r="J154" s="480">
        <v>0</v>
      </c>
      <c r="K154" s="480" cm="1">
        <f t="array" ref="K154">IF(B154&gt;0,'Direct Costs 2026'!$C$26,"N/A")</f>
        <v>20000</v>
      </c>
      <c r="L154" s="480" cm="1">
        <f t="array" ref="L154">IF(B154&gt;0,'Direct Costs 2026'!$C$23,"N/A")</f>
        <v>140000</v>
      </c>
      <c r="M154" s="480" cm="1">
        <f t="array" ref="M154">IF(B154&gt;0,'Direct Costs 2026'!$C$45*B154,"N/A")</f>
        <v>1500000</v>
      </c>
      <c r="N154" t="str" s="482" cm="1">
        <f t="array" ref="N154">IF(B154&gt;0,_xlfn.IFERROR(VLOOKUP(C142,'Boats Data Sheet 2026'!$C$3:$I$57,7,0)*'Direct Costs 2026'!$C$36,"N/A"),"N/A")</f>
        <v>N/A</v>
      </c>
      <c r="O154" t="str" s="482" cm="1">
        <f t="array" ref="O154">IF(B154&gt;0,IF(OR(VLOOKUP(C142,'Boats Data Sheet 2026'!$C$3:$F$57,4,0)="Own",VLOOKUP(C142,'Boats Data Sheet 2026'!$C$3:$F$57,4,0)="Management"),('Direct Costs 2026'!$C$37+'Direct Costs 2026'!$C$39),"N/A"),"N/A")</f>
        <v>N/A</v>
      </c>
      <c r="P154" s="480" cm="1">
        <f t="array" ref="P154">_xlfn.IFERROR('Direct Costs 2026'!$C$27*C154,"N/A")</f>
        <v>180000</v>
      </c>
      <c r="Q154" s="480" cm="1">
        <f t="array" ref="Q154">_xlfn.IFERROR(C154+SUM(E154:P154),"N/A")</f>
        <v>12971000</v>
      </c>
      <c r="R154" s="483"/>
      <c r="S154" s="480" cm="1">
        <f t="array" ref="S154">IF(B154&gt;0,'Allocation OH and Target 2026'!$E$31,"N/A")</f>
        <v>3100447.15769812</v>
      </c>
      <c r="T154" s="480" cm="1">
        <f t="array" ref="T154">IF(B154&gt;0,VLOOKUP(C142,'Allocation OH and Target 2026'!$C$35:$S$87,16,0),"N/A")</f>
        <v>0</v>
      </c>
      <c r="U154" s="480" cm="1">
        <f t="array" ref="U154">_xlfn.IFERROR((S154+T154),"N/A")</f>
        <v>3100447.15769812</v>
      </c>
      <c r="V154" s="483"/>
      <c r="W154" s="480" cm="1">
        <f t="array" ref="W154">_xlfn.IFERROR(U154+Q154,"N/A")</f>
        <v>16071447.1576981</v>
      </c>
      <c r="X154" s="480" cm="1">
        <f t="array" ref="X154">_xlfn.IFERROR(W154*0.5%,"N/A")</f>
        <v>80357.235788490507</v>
      </c>
      <c r="Y154" s="480" cm="1">
        <f t="array" ref="Y154">_xlfn.IFERROR(W154*25%,"N/A")</f>
        <v>4017861.78942453</v>
      </c>
      <c r="Z154" s="484" cm="1">
        <f t="array" ref="Z154">IF(B154&gt;0,SUM(W154:Y154),"N/A")</f>
        <v>20169666.1829111</v>
      </c>
      <c r="AA154" s="484" cm="1">
        <f t="array" ref="AA154">_xlfn.IFERROR((Z154-AVERAGE(Z145:Z150)),"N/A")</f>
        <v>2371322.5</v>
      </c>
      <c r="AB154" s="483"/>
      <c r="AC154" t="str" s="485" cm="1">
        <f t="array" ref="AC154">IF(B154=6,AVERAGE(Z145:Z150),"N/A")</f>
        <v>N/A</v>
      </c>
      <c r="AD154" s="483"/>
      <c r="AE154" s="480"/>
      <c r="AF154" s="480"/>
      <c r="AG154" s="480"/>
      <c r="AH154" s="480"/>
      <c r="AI154" s="480"/>
      <c r="AJ154" s="480"/>
      <c r="AK154" s="480"/>
      <c r="AL154" s="480"/>
      <c r="AM154" s="480"/>
      <c r="AN154" s="486"/>
    </row>
    <row r="155" ht="15" customHeight="1" hidden="1">
      <c r="A155" s="12"/>
      <c r="B155" s="479" cm="1">
        <f t="array" ref="B155">IF(B154=0,0,IF(B154&lt;VLOOKUP(C142,'Boats Data Sheet 2026'!$C$3:$H$57,6,0),B154+1,0))</f>
        <v>11</v>
      </c>
      <c r="C155" s="480" cm="1">
        <f t="array" ref="C155">IF(B155&gt;0,IF(VLOOKUP(C142,'Boats Data Sheet 2026'!$C$3:$J$57,8,0)="N/A",0,VLOOKUP(C142,'Boats Data Sheet 2026'!$C$3:$J$57,8,0)),"N/A")</f>
        <v>9000000</v>
      </c>
      <c r="D155" s="481" cm="1">
        <f t="array" ref="D155">IF(B155&gt;7,2,IF(B155=0,"N/A",1))</f>
        <v>2</v>
      </c>
      <c r="E155" s="480" cm="1">
        <f t="array" ref="E155">_xlfn.IFERROR(SUM('Direct Costs 2026'!$C$4:$C$5)*D155,"N/A")</f>
        <v>1751000</v>
      </c>
      <c r="F155" s="480" cm="1">
        <f t="array" ref="F155">_xlfn.IFERROR('Direct Costs 2026'!$C$43*B155,"N/A")</f>
        <v>66000</v>
      </c>
      <c r="G155" s="480" cm="1">
        <f t="array" ref="G155">IF(B155&gt;0,'Direct Costs 2026'!$C$25,"N/A")</f>
        <v>90000</v>
      </c>
      <c r="H155" s="480" cm="1">
        <f t="array" ref="H155">IF(B155&gt;0,'Direct Costs 2026'!$C$15+'Direct Costs 2026'!$C$14,"N/A")</f>
        <v>230000</v>
      </c>
      <c r="I155" s="480">
        <v>0</v>
      </c>
      <c r="J155" s="480">
        <v>0</v>
      </c>
      <c r="K155" s="480" cm="1">
        <f t="array" ref="K155">IF(B155&gt;0,'Direct Costs 2026'!$C$26,"N/A")</f>
        <v>20000</v>
      </c>
      <c r="L155" s="480" cm="1">
        <f t="array" ref="L155">IF(B155&gt;0,'Direct Costs 2026'!$C$23,"N/A")</f>
        <v>140000</v>
      </c>
      <c r="M155" s="480" cm="1">
        <f t="array" ref="M155">IF(B155&gt;0,'Direct Costs 2026'!$C$45*B155,"N/A")</f>
        <v>1650000</v>
      </c>
      <c r="N155" t="str" s="482" cm="1">
        <f t="array" ref="N155">IF(B155&gt;0,_xlfn.IFERROR(VLOOKUP(C142,'Boats Data Sheet 2026'!$C$3:$I$57,7,0)*'Direct Costs 2026'!$C$36,"N/A"),"N/A")</f>
        <v>N/A</v>
      </c>
      <c r="O155" t="str" s="482" cm="1">
        <f t="array" ref="O155">IF(B155&gt;0,IF(OR(VLOOKUP(C142,'Boats Data Sheet 2026'!$C$3:$F$57,4,0)="Own",VLOOKUP(C142,'Boats Data Sheet 2026'!$C$3:$F$57,4,0)="Management"),('Direct Costs 2026'!$C$37+'Direct Costs 2026'!$C$39),"N/A"),"N/A")</f>
        <v>N/A</v>
      </c>
      <c r="P155" s="480" cm="1">
        <f t="array" ref="P155">_xlfn.IFERROR('Direct Costs 2026'!$C$27*C155,"N/A")</f>
        <v>180000</v>
      </c>
      <c r="Q155" s="480" cm="1">
        <f t="array" ref="Q155">_xlfn.IFERROR(C155+SUM(E155:P155),"N/A")</f>
        <v>13127000</v>
      </c>
      <c r="R155" s="483"/>
      <c r="S155" s="480" cm="1">
        <f t="array" ref="S155">IF(B155&gt;0,'Allocation OH and Target 2026'!$E$31,"N/A")</f>
        <v>3100447.15769812</v>
      </c>
      <c r="T155" s="480" cm="1">
        <f t="array" ref="T155">IF(B155&gt;0,VLOOKUP(C142,'Allocation OH and Target 2026'!$C$35:$S$87,16,0),"N/A")</f>
        <v>0</v>
      </c>
      <c r="U155" s="480" cm="1">
        <f t="array" ref="U155">_xlfn.IFERROR((S155+T155),"N/A")</f>
        <v>3100447.15769812</v>
      </c>
      <c r="V155" s="483"/>
      <c r="W155" s="480" cm="1">
        <f t="array" ref="W155">_xlfn.IFERROR(U155+Q155,"N/A")</f>
        <v>16227447.1576981</v>
      </c>
      <c r="X155" s="480" cm="1">
        <f t="array" ref="X155">_xlfn.IFERROR(W155*0.5%,"N/A")</f>
        <v>81137.235788490507</v>
      </c>
      <c r="Y155" s="480" cm="1">
        <f t="array" ref="Y155">_xlfn.IFERROR(W155*25%,"N/A")</f>
        <v>4056861.78942453</v>
      </c>
      <c r="Z155" s="484" cm="1">
        <f t="array" ref="Z155">IF(B155&gt;0,SUM(W155:Y155),"N/A")</f>
        <v>20365446.1829111</v>
      </c>
      <c r="AA155" s="484" cm="1">
        <f t="array" ref="AA155">_xlfn.IFERROR((Z155-AVERAGE(Z145:Z150)),"N/A")</f>
        <v>2567102.5</v>
      </c>
      <c r="AB155" s="483"/>
      <c r="AC155" t="str" s="485" cm="1">
        <f t="array" ref="AC155">IF(B155=6,AVERAGE(Z145:Z150),"N/A")</f>
        <v>N/A</v>
      </c>
      <c r="AD155" s="483"/>
      <c r="AE155" s="480"/>
      <c r="AF155" s="480"/>
      <c r="AG155" s="480"/>
      <c r="AH155" s="480"/>
      <c r="AI155" s="480"/>
      <c r="AJ155" s="480"/>
      <c r="AK155" s="480"/>
      <c r="AL155" s="480"/>
      <c r="AM155" s="480"/>
      <c r="AN155" s="486"/>
    </row>
    <row r="156" ht="15" customHeight="1" hidden="1">
      <c r="A156" s="12"/>
      <c r="B156" s="479" cm="1">
        <f t="array" ref="B156">IF(B155=0,0,IF(B155&lt;VLOOKUP(C142,'Boats Data Sheet 2026'!$C$3:$H$57,6,0),B155+1,0))</f>
        <v>12</v>
      </c>
      <c r="C156" s="480" cm="1">
        <f t="array" ref="C156">IF(B156&gt;0,IF(VLOOKUP(C142,'Boats Data Sheet 2026'!$C$3:$J$57,8,0)="N/A",0,VLOOKUP(C142,'Boats Data Sheet 2026'!$C$3:$J$57,8,0)),"N/A")</f>
        <v>9000000</v>
      </c>
      <c r="D156" s="481" cm="1">
        <f t="array" ref="D156">IF(B156&gt;7,2,IF(B156=0,"N/A",1))</f>
        <v>2</v>
      </c>
      <c r="E156" s="480" cm="1">
        <f t="array" ref="E156">_xlfn.IFERROR(SUM('Direct Costs 2026'!$C$4:$C$5)*D156,"N/A")</f>
        <v>1751000</v>
      </c>
      <c r="F156" s="480" cm="1">
        <f t="array" ref="F156">_xlfn.IFERROR('Direct Costs 2026'!$C$43*B156,"N/A")</f>
        <v>72000</v>
      </c>
      <c r="G156" s="480" cm="1">
        <f t="array" ref="G156">IF(B156&gt;0,'Direct Costs 2026'!$C$25,"N/A")</f>
        <v>90000</v>
      </c>
      <c r="H156" s="480" cm="1">
        <f t="array" ref="H156">IF(B156&gt;0,'Direct Costs 2026'!$C$15+'Direct Costs 2026'!$C$14,"N/A")</f>
        <v>230000</v>
      </c>
      <c r="I156" s="480">
        <v>0</v>
      </c>
      <c r="J156" s="480">
        <v>0</v>
      </c>
      <c r="K156" s="480" cm="1">
        <f t="array" ref="K156">IF(B156&gt;0,'Direct Costs 2026'!$C$26,"N/A")</f>
        <v>20000</v>
      </c>
      <c r="L156" s="480" cm="1">
        <f t="array" ref="L156">IF(B156&gt;0,'Direct Costs 2026'!$C$23,"N/A")</f>
        <v>140000</v>
      </c>
      <c r="M156" s="480" cm="1">
        <f t="array" ref="M156">IF(B156&gt;0,'Direct Costs 2026'!$C$45*B156,"N/A")</f>
        <v>1800000</v>
      </c>
      <c r="N156" t="str" s="482" cm="1">
        <f t="array" ref="N156">IF(B156&gt;0,_xlfn.IFERROR(VLOOKUP(C142,'Boats Data Sheet 2026'!$C$3:$I$57,7,0)*'Direct Costs 2026'!$C$36,"N/A"),"N/A")</f>
        <v>N/A</v>
      </c>
      <c r="O156" t="str" s="482" cm="1">
        <f t="array" ref="O156">IF(B156&gt;0,IF(OR(VLOOKUP(C142,'Boats Data Sheet 2026'!$C$3:$F$57,4,0)="Own",VLOOKUP(C142,'Boats Data Sheet 2026'!$C$3:$F$57,4,0)="Management"),('Direct Costs 2026'!$C$37+'Direct Costs 2026'!$C$39),"N/A"),"N/A")</f>
        <v>N/A</v>
      </c>
      <c r="P156" s="480" cm="1">
        <f t="array" ref="P156">_xlfn.IFERROR('Direct Costs 2026'!$C$27*C156,"N/A")</f>
        <v>180000</v>
      </c>
      <c r="Q156" s="480" cm="1">
        <f t="array" ref="Q156">_xlfn.IFERROR(C156+SUM(E156:P156),"N/A")</f>
        <v>13283000</v>
      </c>
      <c r="R156" s="483"/>
      <c r="S156" s="480" cm="1">
        <f t="array" ref="S156">IF(B156&gt;0,'Allocation OH and Target 2026'!$E$31,"N/A")</f>
        <v>3100447.15769812</v>
      </c>
      <c r="T156" s="480" cm="1">
        <f t="array" ref="T156">IF(B156&gt;0,VLOOKUP(C142,'Allocation OH and Target 2026'!$C$35:$S$87,16,0),"N/A")</f>
        <v>0</v>
      </c>
      <c r="U156" s="480" cm="1">
        <f t="array" ref="U156">_xlfn.IFERROR((S156+T156),"N/A")</f>
        <v>3100447.15769812</v>
      </c>
      <c r="V156" s="483"/>
      <c r="W156" s="480" cm="1">
        <f t="array" ref="W156">_xlfn.IFERROR(U156+Q156,"N/A")</f>
        <v>16383447.1576981</v>
      </c>
      <c r="X156" s="480" cm="1">
        <f t="array" ref="X156">_xlfn.IFERROR(W156*0.5%,"N/A")</f>
        <v>81917.235788490507</v>
      </c>
      <c r="Y156" s="480" cm="1">
        <f t="array" ref="Y156">_xlfn.IFERROR(W156*25%,"N/A")</f>
        <v>4095861.78942453</v>
      </c>
      <c r="Z156" s="484" cm="1">
        <f t="array" ref="Z156">IF(B156&gt;0,SUM(W156:Y156),"N/A")</f>
        <v>20561226.1829111</v>
      </c>
      <c r="AA156" s="484" cm="1">
        <f t="array" ref="AA156">_xlfn.IFERROR((Z156-AVERAGE(Z145:Z150)),"N/A")</f>
        <v>2762882.5</v>
      </c>
      <c r="AB156" s="483"/>
      <c r="AC156" t="str" s="485" cm="1">
        <f t="array" ref="AC156">IF(B156=6,AVERAGE(Z145:Z150),"N/A")</f>
        <v>N/A</v>
      </c>
      <c r="AD156" s="483"/>
      <c r="AE156" s="480"/>
      <c r="AF156" s="480"/>
      <c r="AG156" s="480"/>
      <c r="AH156" s="480"/>
      <c r="AI156" s="480"/>
      <c r="AJ156" s="480"/>
      <c r="AK156" s="480"/>
      <c r="AL156" s="480"/>
      <c r="AM156" s="480"/>
      <c r="AN156" s="486"/>
    </row>
    <row r="157" ht="15" customHeight="1" hidden="1">
      <c r="A157" s="12"/>
      <c r="B157" s="479" cm="1">
        <f t="array" ref="B157">IF(B156=0,0,IF(B156&lt;VLOOKUP(C142,'Boats Data Sheet 2026'!$C$3:$H$57,6,0),B156+1,0))</f>
        <v>0</v>
      </c>
      <c r="C157" t="str" s="482" cm="1">
        <f t="array" ref="C157">IF(B157&gt;0,IF(VLOOKUP(C142,'Boats Data Sheet 2026'!$C$3:$J$57,8,0)="N/A",0,VLOOKUP(C142,'Boats Data Sheet 2026'!$C$3:$J$57,8,0)),"N/A")</f>
        <v>N/A</v>
      </c>
      <c r="D157" t="str" s="487" cm="1">
        <f t="array" ref="D157">IF(B157&gt;7,2,IF(B157=0,"N/A",1))</f>
        <v>N/A</v>
      </c>
      <c r="E157" t="str" s="482" cm="1">
        <f t="array" ref="E157">_xlfn.IFERROR(SUM('Direct Costs 2026'!$C$4:$C$5)*D157,"N/A")</f>
        <v>N/A</v>
      </c>
      <c r="F157" s="480" cm="1">
        <f t="array" ref="F157">_xlfn.IFERROR('Direct Costs 2026'!$C$43*B157,"N/A")</f>
        <v>0</v>
      </c>
      <c r="G157" t="str" s="482" cm="1">
        <f t="array" ref="G157">IF(B157&gt;0,'Direct Costs 2026'!$C$25,"N/A")</f>
        <v>N/A</v>
      </c>
      <c r="H157" t="str" s="482" cm="1">
        <f t="array" ref="H157">IF(B157&gt;0,'Direct Costs 2026'!$C$15+'Direct Costs 2026'!$C$14,"N/A")</f>
        <v>N/A</v>
      </c>
      <c r="I157" s="480">
        <v>0</v>
      </c>
      <c r="J157" s="480">
        <v>0</v>
      </c>
      <c r="K157" t="str" s="482" cm="1">
        <f t="array" ref="K157">IF(B157&gt;0,'Direct Costs 2026'!$C$26,"N/A")</f>
        <v>N/A</v>
      </c>
      <c r="L157" t="str" s="482" cm="1">
        <f t="array" ref="L157">IF(B157&gt;0,'Direct Costs 2026'!$C$23,"N/A")</f>
        <v>N/A</v>
      </c>
      <c r="M157" t="str" s="482" cm="1">
        <f t="array" ref="M157">IF(B157&gt;0,'Direct Costs 2026'!$C$45*B157,"N/A")</f>
        <v>N/A</v>
      </c>
      <c r="N157" t="str" s="482" cm="1">
        <f t="array" ref="N157">IF(B157&gt;0,_xlfn.IFERROR(VLOOKUP(C142,'Boats Data Sheet 2026'!$C$3:$I$57,7,0)*'Direct Costs 2026'!$C$36,"N/A"),"N/A")</f>
        <v>N/A</v>
      </c>
      <c r="O157" t="str" s="482" cm="1">
        <f t="array" ref="O157">IF(B157&gt;0,IF(OR(VLOOKUP(C142,'Boats Data Sheet 2026'!$C$3:$F$57,4,0)="Own",VLOOKUP(C142,'Boats Data Sheet 2026'!$C$3:$F$57,4,0)="Management"),('Direct Costs 2026'!$C$37+'Direct Costs 2026'!$C$39),"N/A"),"N/A")</f>
        <v>N/A</v>
      </c>
      <c r="P157" t="str" s="482" cm="1">
        <f t="array" ref="P157">_xlfn.IFERROR('Direct Costs 2026'!$C$27*C157,"N/A")</f>
        <v>N/A</v>
      </c>
      <c r="Q157" t="str" s="482" cm="1">
        <f t="array" ref="Q157">_xlfn.IFERROR(C157+SUM(E157:P157),"N/A")</f>
        <v>N/A</v>
      </c>
      <c r="R157" s="483"/>
      <c r="S157" t="str" s="482" cm="1">
        <f t="array" ref="S157">IF(B157&gt;0,'Allocation OH and Target 2026'!$E$31,"N/A")</f>
        <v>N/A</v>
      </c>
      <c r="T157" t="str" s="482" cm="1">
        <f t="array" ref="T157">IF(B157&gt;0,VLOOKUP(C142,'Allocation OH and Target 2026'!$C$35:$S$87,16,0),"N/A")</f>
        <v>N/A</v>
      </c>
      <c r="U157" t="str" s="482" cm="1">
        <f t="array" ref="U157">_xlfn.IFERROR((S157+T157),"N/A")</f>
        <v>N/A</v>
      </c>
      <c r="V157" s="483"/>
      <c r="W157" t="str" s="482" cm="1">
        <f t="array" ref="W157">_xlfn.IFERROR(U157+Q157,"N/A")</f>
        <v>N/A</v>
      </c>
      <c r="X157" t="str" s="482" cm="1">
        <f t="array" ref="X157">_xlfn.IFERROR(W157*0.5%,"N/A")</f>
        <v>N/A</v>
      </c>
      <c r="Y157" t="str" s="482" cm="1">
        <f t="array" ref="Y157">_xlfn.IFERROR(W157*25%,"N/A")</f>
        <v>N/A</v>
      </c>
      <c r="Z157" t="str" s="485" cm="1">
        <f t="array" ref="Z157">IF(B157&gt;0,SUM(W157:Y157),"N/A")</f>
        <v>N/A</v>
      </c>
      <c r="AA157" t="str" s="485" cm="1">
        <f t="array" ref="AA157">_xlfn.IFERROR((Z157-AVERAGE(Z145:Z150)),"N/A")</f>
        <v>N/A</v>
      </c>
      <c r="AB157" s="483"/>
      <c r="AC157" t="str" s="485" cm="1">
        <f t="array" ref="AC157">IF(B157=6,AVERAGE(Z145:Z150),"N/A")</f>
        <v>N/A</v>
      </c>
      <c r="AD157" s="483"/>
      <c r="AE157" s="480"/>
      <c r="AF157" s="480"/>
      <c r="AG157" s="480"/>
      <c r="AH157" s="480"/>
      <c r="AI157" s="480"/>
      <c r="AJ157" s="480"/>
      <c r="AK157" s="480"/>
      <c r="AL157" s="480"/>
      <c r="AM157" s="480"/>
      <c r="AN157" s="486"/>
    </row>
    <row r="158" ht="15" customHeight="1" hidden="1">
      <c r="A158" s="12"/>
      <c r="B158" s="479" cm="1">
        <f t="array" ref="B158">IF(B157=0,0,IF(B157&lt;VLOOKUP(C142,'Boats Data Sheet 2026'!$C$3:$H$57,6,0),B157+1,0))</f>
        <v>0</v>
      </c>
      <c r="C158" t="str" s="482" cm="1">
        <f t="array" ref="C158">IF(B158&gt;0,IF(VLOOKUP(C142,'Boats Data Sheet 2026'!$C$3:$J$57,8,0)="N/A",0,VLOOKUP(C142,'Boats Data Sheet 2026'!$C$3:$J$57,8,0)),"N/A")</f>
        <v>N/A</v>
      </c>
      <c r="D158" t="str" s="482" cm="1">
        <f t="array" ref="D158">IF(B158&gt;7,2,IF(B158=0,"N/A",1))</f>
        <v>N/A</v>
      </c>
      <c r="E158" t="str" s="482" cm="1">
        <f t="array" ref="E158">_xlfn.IFERROR(SUM('Direct Costs 2026'!$C$4:$C$5)*D158,"N/A")</f>
        <v>N/A</v>
      </c>
      <c r="F158" s="480" cm="1">
        <f t="array" ref="F158">_xlfn.IFERROR('Direct Costs 2026'!$C$43*B158,"N/A")</f>
        <v>0</v>
      </c>
      <c r="G158" t="str" s="482" cm="1">
        <f t="array" ref="G158">IF(B158&gt;0,'Direct Costs 2026'!$C$25,"N/A")</f>
        <v>N/A</v>
      </c>
      <c r="H158" t="str" s="482" cm="1">
        <f t="array" ref="H158">IF(B158&gt;0,'Direct Costs 2026'!$C$15+'Direct Costs 2026'!$C$14,"N/A")</f>
        <v>N/A</v>
      </c>
      <c r="I158" s="480">
        <v>0</v>
      </c>
      <c r="J158" s="480">
        <v>0</v>
      </c>
      <c r="K158" t="str" s="482" cm="1">
        <f t="array" ref="K158">IF(B158&gt;0,'Direct Costs 2026'!$C$26,"N/A")</f>
        <v>N/A</v>
      </c>
      <c r="L158" t="str" s="482" cm="1">
        <f t="array" ref="L158">IF(B158&gt;0,'Direct Costs 2026'!$C$23,"N/A")</f>
        <v>N/A</v>
      </c>
      <c r="M158" t="str" s="482" cm="1">
        <f t="array" ref="M158">IF(B158&gt;0,'Direct Costs 2026'!$C$45*B158,"N/A")</f>
        <v>N/A</v>
      </c>
      <c r="N158" t="str" s="482" cm="1">
        <f t="array" ref="N158">IF(B158&gt;0,_xlfn.IFERROR(VLOOKUP(C142,'Boats Data Sheet 2026'!$C$3:$I$57,7,0)*'Direct Costs 2026'!$C$36,"N/A"),"N/A")</f>
        <v>N/A</v>
      </c>
      <c r="O158" t="str" s="482" cm="1">
        <f t="array" ref="O158">IF(B158&gt;0,IF(OR(VLOOKUP(C142,'Boats Data Sheet 2026'!$C$3:$F$57,4,0)="Own",VLOOKUP(C142,'Boats Data Sheet 2026'!$C$3:$F$57,4,0)="Management"),('Direct Costs 2026'!$C$37+'Direct Costs 2026'!$C$39),"N/A"),"N/A")</f>
        <v>N/A</v>
      </c>
      <c r="P158" t="str" s="482" cm="1">
        <f t="array" ref="P158">_xlfn.IFERROR('Direct Costs 2026'!$C$27*C158,"N/A")</f>
        <v>N/A</v>
      </c>
      <c r="Q158" t="str" s="482" cm="1">
        <f t="array" ref="Q158">_xlfn.IFERROR(C158+SUM(E158:P158),"N/A")</f>
        <v>N/A</v>
      </c>
      <c r="R158" s="483"/>
      <c r="S158" t="str" s="482" cm="1">
        <f t="array" ref="S158">IF(B158&gt;0,'Allocation OH and Target 2026'!$E$31,"N/A")</f>
        <v>N/A</v>
      </c>
      <c r="T158" t="str" s="482" cm="1">
        <f t="array" ref="T158">IF(B158&gt;0,VLOOKUP(C142,'Allocation OH and Target 2026'!$C$35:$S$87,16,0),"N/A")</f>
        <v>N/A</v>
      </c>
      <c r="U158" t="str" s="482" cm="1">
        <f t="array" ref="U158">_xlfn.IFERROR((S158+T158),"N/A")</f>
        <v>N/A</v>
      </c>
      <c r="V158" s="483"/>
      <c r="W158" t="str" s="482" cm="1">
        <f t="array" ref="W158">_xlfn.IFERROR(U158+Q158,"N/A")</f>
        <v>N/A</v>
      </c>
      <c r="X158" t="str" s="482" cm="1">
        <f t="array" ref="X158">_xlfn.IFERROR(W158*0.5%,"N/A")</f>
        <v>N/A</v>
      </c>
      <c r="Y158" t="str" s="482" cm="1">
        <f t="array" ref="Y158">_xlfn.IFERROR(W158*25%,"N/A")</f>
        <v>N/A</v>
      </c>
      <c r="Z158" t="str" s="485" cm="1">
        <f t="array" ref="Z158">IF(B158&gt;0,SUM(W158:Y158),"N/A")</f>
        <v>N/A</v>
      </c>
      <c r="AA158" t="str" s="485" cm="1">
        <f t="array" ref="AA158">_xlfn.IFERROR((Z158-AVERAGE(Z145:Z150)),"N/A")</f>
        <v>N/A</v>
      </c>
      <c r="AB158" s="483"/>
      <c r="AC158" t="str" s="485" cm="1">
        <f t="array" ref="AC158">IF(B158=6,AVERAGE(Z145:Z150),"N/A")</f>
        <v>N/A</v>
      </c>
      <c r="AD158" s="483"/>
      <c r="AE158" s="480"/>
      <c r="AF158" s="480"/>
      <c r="AG158" s="480"/>
      <c r="AH158" s="480"/>
      <c r="AI158" s="480"/>
      <c r="AJ158" s="480"/>
      <c r="AK158" s="480"/>
      <c r="AL158" s="480"/>
      <c r="AM158" s="480"/>
      <c r="AN158" s="486"/>
    </row>
    <row r="159" ht="15" customHeight="1" hidden="1">
      <c r="A159" s="12"/>
      <c r="B159" s="479" cm="1">
        <f t="array" ref="B159">IF(B158=0,0,IF(B158&lt;VLOOKUP(C142,'Boats Data Sheet 2026'!$C$3:$H$57,6,0),B158+1,0))</f>
        <v>0</v>
      </c>
      <c r="C159" t="str" s="482" cm="1">
        <f t="array" ref="C159">IF(B159&gt;0,IF(VLOOKUP(C142,'Boats Data Sheet 2026'!$C$3:$J$57,8,0)="N/A",0,VLOOKUP(C142,'Boats Data Sheet 2026'!$C$3:$J$57,8,0)),"N/A")</f>
        <v>N/A</v>
      </c>
      <c r="D159" t="str" s="482" cm="1">
        <f t="array" ref="D159">IF(B159&gt;7,2,IF(B159=0,"N/A",1))</f>
        <v>N/A</v>
      </c>
      <c r="E159" t="str" s="482" cm="1">
        <f t="array" ref="E159">_xlfn.IFERROR(SUM('Direct Costs 2026'!$C$4:$C$5)*D159,"N/A")</f>
        <v>N/A</v>
      </c>
      <c r="F159" s="480" cm="1">
        <f t="array" ref="F159">_xlfn.IFERROR('Direct Costs 2026'!$C$43*B159,"N/A")</f>
        <v>0</v>
      </c>
      <c r="G159" t="str" s="482" cm="1">
        <f t="array" ref="G159">IF(B159&gt;0,'Direct Costs 2026'!$C$25,"N/A")</f>
        <v>N/A</v>
      </c>
      <c r="H159" t="str" s="482" cm="1">
        <f t="array" ref="H159">IF(B159&gt;0,'Direct Costs 2026'!$C$15+'Direct Costs 2026'!$C$14,"N/A")</f>
        <v>N/A</v>
      </c>
      <c r="I159" s="480">
        <v>0</v>
      </c>
      <c r="J159" s="480">
        <v>0</v>
      </c>
      <c r="K159" t="str" s="482" cm="1">
        <f t="array" ref="K159">IF(B159&gt;0,'Direct Costs 2026'!$C$26,"N/A")</f>
        <v>N/A</v>
      </c>
      <c r="L159" t="str" s="482" cm="1">
        <f t="array" ref="L159">IF(B159&gt;0,'Direct Costs 2026'!$C$23,"N/A")</f>
        <v>N/A</v>
      </c>
      <c r="M159" t="str" s="482" cm="1">
        <f t="array" ref="M159">IF(B159&gt;0,'Direct Costs 2026'!$C$45*B159,"N/A")</f>
        <v>N/A</v>
      </c>
      <c r="N159" t="str" s="482" cm="1">
        <f t="array" ref="N159">IF(B159&gt;0,_xlfn.IFERROR(VLOOKUP(C142,'Boats Data Sheet 2026'!$C$3:$I$57,7,0)*'Direct Costs 2026'!$C$36,"N/A"),"N/A")</f>
        <v>N/A</v>
      </c>
      <c r="O159" t="str" s="482" cm="1">
        <f t="array" ref="O159">IF(B159&gt;0,IF(OR(VLOOKUP(C142,'Boats Data Sheet 2026'!$C$3:$F$57,4,0)="Own",VLOOKUP(C142,'Boats Data Sheet 2026'!$C$3:$F$57,4,0)="Management"),('Direct Costs 2026'!$C$37+'Direct Costs 2026'!$C$39),"N/A"),"N/A")</f>
        <v>N/A</v>
      </c>
      <c r="P159" t="str" s="482" cm="1">
        <f t="array" ref="P159">_xlfn.IFERROR('Direct Costs 2026'!$C$27*C159,"N/A")</f>
        <v>N/A</v>
      </c>
      <c r="Q159" t="str" s="482" cm="1">
        <f t="array" ref="Q159">_xlfn.IFERROR(C159+SUM(E159:P159),"N/A")</f>
        <v>N/A</v>
      </c>
      <c r="R159" s="483"/>
      <c r="S159" t="str" s="482" cm="1">
        <f t="array" ref="S159">IF(B159&gt;0,'Allocation OH and Target 2026'!$E$31,"N/A")</f>
        <v>N/A</v>
      </c>
      <c r="T159" t="str" s="482" cm="1">
        <f t="array" ref="T159">IF(B159&gt;0,VLOOKUP(C142,'Allocation OH and Target 2026'!$C$35:$S$87,16,0),"N/A")</f>
        <v>N/A</v>
      </c>
      <c r="U159" t="str" s="482" cm="1">
        <f t="array" ref="U159">_xlfn.IFERROR((S159+T159),"N/A")</f>
        <v>N/A</v>
      </c>
      <c r="V159" s="483"/>
      <c r="W159" t="str" s="482" cm="1">
        <f t="array" ref="W159">_xlfn.IFERROR(U159+Q159,"N/A")</f>
        <v>N/A</v>
      </c>
      <c r="X159" t="str" s="482" cm="1">
        <f t="array" ref="X159">_xlfn.IFERROR(W159*0.5%,"N/A")</f>
        <v>N/A</v>
      </c>
      <c r="Y159" t="str" s="482" cm="1">
        <f t="array" ref="Y159">_xlfn.IFERROR(W159*25%,"N/A")</f>
        <v>N/A</v>
      </c>
      <c r="Z159" t="str" s="485" cm="1">
        <f t="array" ref="Z159">IF(B159&gt;0,SUM(W159:Y159),"N/A")</f>
        <v>N/A</v>
      </c>
      <c r="AA159" t="str" s="485" cm="1">
        <f t="array" ref="AA159">_xlfn.IFERROR((Z159-AVERAGE(Z145:Z150)),"N/A")</f>
        <v>N/A</v>
      </c>
      <c r="AB159" s="483"/>
      <c r="AC159" t="str" s="485" cm="1">
        <f t="array" ref="AC159">IF(B159=6,AVERAGE(Z145:Z150),"N/A")</f>
        <v>N/A</v>
      </c>
      <c r="AD159" s="483"/>
      <c r="AE159" s="480"/>
      <c r="AF159" s="480"/>
      <c r="AG159" s="480"/>
      <c r="AH159" s="480"/>
      <c r="AI159" s="480"/>
      <c r="AJ159" s="480"/>
      <c r="AK159" s="480"/>
      <c r="AL159" s="480"/>
      <c r="AM159" s="480"/>
      <c r="AN159" s="486"/>
    </row>
    <row r="160" ht="15" customHeight="1" hidden="1">
      <c r="A160" s="12"/>
      <c r="B160" s="479" cm="1">
        <f t="array" ref="B160">IF(B159=0,0,IF(B159&lt;VLOOKUP(C142,'Boats Data Sheet 2026'!$C$3:$H$57,6,0),B159+1,0))</f>
        <v>0</v>
      </c>
      <c r="C160" t="str" s="482" cm="1">
        <f t="array" ref="C160">IF(B160&gt;0,IF(VLOOKUP(C142,'Boats Data Sheet 2026'!$C$3:$J$57,8,0)="N/A",0,VLOOKUP(C142,'Boats Data Sheet 2026'!$C$3:$J$57,8,0)),"N/A")</f>
        <v>N/A</v>
      </c>
      <c r="D160" t="str" s="482" cm="1">
        <f t="array" ref="D160">IF(B160&gt;7,2,IF(B160=0,"N/A",1))</f>
        <v>N/A</v>
      </c>
      <c r="E160" t="str" s="482" cm="1">
        <f t="array" ref="E160">_xlfn.IFERROR(SUM('Direct Costs 2026'!$C$4:$C$5)*D160,"N/A")</f>
        <v>N/A</v>
      </c>
      <c r="F160" s="480" cm="1">
        <f t="array" ref="F160">_xlfn.IFERROR('Direct Costs 2026'!$C$43*B160,"N/A")</f>
        <v>0</v>
      </c>
      <c r="G160" t="str" s="482" cm="1">
        <f t="array" ref="G160">IF(B160&gt;0,'Direct Costs 2026'!$C$25,"N/A")</f>
        <v>N/A</v>
      </c>
      <c r="H160" t="str" s="482" cm="1">
        <f t="array" ref="H160">IF(B160&gt;0,'Direct Costs 2026'!$C$15+'Direct Costs 2026'!$C$14,"N/A")</f>
        <v>N/A</v>
      </c>
      <c r="I160" s="480">
        <v>0</v>
      </c>
      <c r="J160" s="480">
        <v>0</v>
      </c>
      <c r="K160" t="str" s="482" cm="1">
        <f t="array" ref="K160">IF(B160&gt;0,'Direct Costs 2026'!$C$26,"N/A")</f>
        <v>N/A</v>
      </c>
      <c r="L160" t="str" s="482" cm="1">
        <f t="array" ref="L160">IF(B160&gt;0,'Direct Costs 2026'!$C$23,"N/A")</f>
        <v>N/A</v>
      </c>
      <c r="M160" t="str" s="482" cm="1">
        <f t="array" ref="M160">IF(B160&gt;0,'Direct Costs 2026'!$C$45*B160,"N/A")</f>
        <v>N/A</v>
      </c>
      <c r="N160" t="str" s="482" cm="1">
        <f t="array" ref="N160">IF(B160&gt;0,_xlfn.IFERROR(VLOOKUP(C142,'Boats Data Sheet 2026'!$C$3:$I$57,7,0)*'Direct Costs 2026'!$C$36,"N/A"),"N/A")</f>
        <v>N/A</v>
      </c>
      <c r="O160" t="str" s="482" cm="1">
        <f t="array" ref="O160">IF(B160&gt;0,IF(OR(VLOOKUP(C142,'Boats Data Sheet 2026'!$C$3:$F$57,4,0)="Own",VLOOKUP(C142,'Boats Data Sheet 2026'!$C$3:$F$57,4,0)="Management"),('Direct Costs 2026'!$C$37+'Direct Costs 2026'!$C$39),"N/A"),"N/A")</f>
        <v>N/A</v>
      </c>
      <c r="P160" t="str" s="482" cm="1">
        <f t="array" ref="P160">_xlfn.IFERROR('Direct Costs 2026'!$C$27*C160,"N/A")</f>
        <v>N/A</v>
      </c>
      <c r="Q160" t="str" s="482" cm="1">
        <f t="array" ref="Q160">_xlfn.IFERROR(C160+SUM(E160:P160),"N/A")</f>
        <v>N/A</v>
      </c>
      <c r="R160" s="483"/>
      <c r="S160" t="str" s="482" cm="1">
        <f t="array" ref="S160">IF(B160&gt;0,'Allocation OH and Target 2026'!$E$31,"N/A")</f>
        <v>N/A</v>
      </c>
      <c r="T160" t="str" s="482" cm="1">
        <f t="array" ref="T160">IF(B160&gt;0,VLOOKUP(C142,'Allocation OH and Target 2026'!$C$35:$S$87,16,0),"N/A")</f>
        <v>N/A</v>
      </c>
      <c r="U160" t="str" s="482" cm="1">
        <f t="array" ref="U160">_xlfn.IFERROR((S160+T160),"N/A")</f>
        <v>N/A</v>
      </c>
      <c r="V160" s="483"/>
      <c r="W160" t="str" s="482" cm="1">
        <f t="array" ref="W160">_xlfn.IFERROR(U160+Q160,"N/A")</f>
        <v>N/A</v>
      </c>
      <c r="X160" t="str" s="482" cm="1">
        <f t="array" ref="X160">_xlfn.IFERROR(W160*0.5%,"N/A")</f>
        <v>N/A</v>
      </c>
      <c r="Y160" t="str" s="482" cm="1">
        <f t="array" ref="Y160">_xlfn.IFERROR(W160*25%,"N/A")</f>
        <v>N/A</v>
      </c>
      <c r="Z160" t="str" s="485" cm="1">
        <f t="array" ref="Z160">IF(B160&gt;0,SUM(W160:Y160),"N/A")</f>
        <v>N/A</v>
      </c>
      <c r="AA160" t="str" s="485" cm="1">
        <f t="array" ref="AA160">_xlfn.IFERROR((Z160-AVERAGE(Z145:Z150)),"N/A")</f>
        <v>N/A</v>
      </c>
      <c r="AB160" s="483"/>
      <c r="AC160" t="str" s="485" cm="1">
        <f t="array" ref="AC160">IF(B160=6,AVERAGE(Z145:Z150),"N/A")</f>
        <v>N/A</v>
      </c>
      <c r="AD160" s="483"/>
      <c r="AE160" s="480"/>
      <c r="AF160" s="480"/>
      <c r="AG160" s="480"/>
      <c r="AH160" s="480"/>
      <c r="AI160" s="480"/>
      <c r="AJ160" s="480"/>
      <c r="AK160" s="480"/>
      <c r="AL160" s="480"/>
      <c r="AM160" s="480"/>
      <c r="AN160" s="486"/>
    </row>
    <row r="161" ht="15" customHeight="1" hidden="1">
      <c r="A161" s="12"/>
      <c r="B161" s="479" cm="1">
        <f t="array" ref="B161">IF(B160=0,0,IF(B160&lt;VLOOKUP(C142,'Boats Data Sheet 2026'!$C$3:$H$57,6,0),B160+1,0))</f>
        <v>0</v>
      </c>
      <c r="C161" t="str" s="482" cm="1">
        <f t="array" ref="C161">IF(B161&gt;0,IF(VLOOKUP(C142,'Boats Data Sheet 2026'!$C$3:$J$57,8,0)="N/A",0,VLOOKUP(C142,'Boats Data Sheet 2026'!$C$3:$J$57,8,0)),"N/A")</f>
        <v>N/A</v>
      </c>
      <c r="D161" t="str" s="482" cm="1">
        <f t="array" ref="D161">IF(B161&gt;7,2,IF(B161=0,"N/A",1))</f>
        <v>N/A</v>
      </c>
      <c r="E161" t="str" s="482" cm="1">
        <f t="array" ref="E161">_xlfn.IFERROR(SUM('Direct Costs 2026'!$C$4:$C$5)*D161,"N/A")</f>
        <v>N/A</v>
      </c>
      <c r="F161" s="480" cm="1">
        <f t="array" ref="F161">_xlfn.IFERROR('Direct Costs 2026'!$C$43*B161,"N/A")</f>
        <v>0</v>
      </c>
      <c r="G161" t="str" s="482" cm="1">
        <f t="array" ref="G161">IF(B161&gt;0,'Direct Costs 2026'!$C$25,"N/A")</f>
        <v>N/A</v>
      </c>
      <c r="H161" t="str" s="482" cm="1">
        <f t="array" ref="H161">IF(B161&gt;0,'Direct Costs 2026'!$C$15+'Direct Costs 2026'!$C$14,"N/A")</f>
        <v>N/A</v>
      </c>
      <c r="I161" s="480">
        <v>0</v>
      </c>
      <c r="J161" s="480">
        <v>0</v>
      </c>
      <c r="K161" t="str" s="482" cm="1">
        <f t="array" ref="K161">IF(B161&gt;0,'Direct Costs 2026'!$C$26,"N/A")</f>
        <v>N/A</v>
      </c>
      <c r="L161" t="str" s="482" cm="1">
        <f t="array" ref="L161">IF(B161&gt;0,'Direct Costs 2026'!$C$23,"N/A")</f>
        <v>N/A</v>
      </c>
      <c r="M161" t="str" s="482" cm="1">
        <f t="array" ref="M161">IF(B161&gt;0,'Direct Costs 2026'!$C$45*B161,"N/A")</f>
        <v>N/A</v>
      </c>
      <c r="N161" t="str" s="482" cm="1">
        <f t="array" ref="N161">IF(B161&gt;0,_xlfn.IFERROR(VLOOKUP(C142,'Boats Data Sheet 2026'!$C$3:$I$57,7,0)*'Direct Costs 2026'!$C$36,"N/A"),"N/A")</f>
        <v>N/A</v>
      </c>
      <c r="O161" t="str" s="482" cm="1">
        <f t="array" ref="O161">IF(B161&gt;0,IF(OR(VLOOKUP(C142,'Boats Data Sheet 2026'!$C$3:$F$57,4,0)="Own",VLOOKUP(C142,'Boats Data Sheet 2026'!$C$3:$F$57,4,0)="Management"),('Direct Costs 2026'!$C$37+'Direct Costs 2026'!$C$39),"N/A"),"N/A")</f>
        <v>N/A</v>
      </c>
      <c r="P161" t="str" s="482" cm="1">
        <f t="array" ref="P161">_xlfn.IFERROR('Direct Costs 2026'!$C$27*C161,"N/A")</f>
        <v>N/A</v>
      </c>
      <c r="Q161" t="str" s="482" cm="1">
        <f t="array" ref="Q161">_xlfn.IFERROR(C161+SUM(E161:P161),"N/A")</f>
        <v>N/A</v>
      </c>
      <c r="R161" s="483"/>
      <c r="S161" t="str" s="482" cm="1">
        <f t="array" ref="S161">IF(B161&gt;0,'Allocation OH and Target 2026'!$E$31,"N/A")</f>
        <v>N/A</v>
      </c>
      <c r="T161" t="str" s="482" cm="1">
        <f t="array" ref="T161">IF(B161&gt;0,VLOOKUP(C142,'Allocation OH and Target 2026'!$C$35:$S$87,16,0),"N/A")</f>
        <v>N/A</v>
      </c>
      <c r="U161" t="str" s="482" cm="1">
        <f t="array" ref="U161">_xlfn.IFERROR((S161+T161),"N/A")</f>
        <v>N/A</v>
      </c>
      <c r="V161" s="483"/>
      <c r="W161" t="str" s="482" cm="1">
        <f t="array" ref="W161">_xlfn.IFERROR(U161+Q161,"N/A")</f>
        <v>N/A</v>
      </c>
      <c r="X161" t="str" s="482" cm="1">
        <f t="array" ref="X161">_xlfn.IFERROR(W161*0.5%,"N/A")</f>
        <v>N/A</v>
      </c>
      <c r="Y161" t="str" s="482" cm="1">
        <f t="array" ref="Y161">_xlfn.IFERROR(W161*25%,"N/A")</f>
        <v>N/A</v>
      </c>
      <c r="Z161" t="str" s="485" cm="1">
        <f t="array" ref="Z161">IF(B161&gt;0,SUM(W161:Y161),"N/A")</f>
        <v>N/A</v>
      </c>
      <c r="AA161" t="str" s="485" cm="1">
        <f t="array" ref="AA161">_xlfn.IFERROR((Z161-AVERAGE(Z145:Z150)),"N/A")</f>
        <v>N/A</v>
      </c>
      <c r="AB161" s="483"/>
      <c r="AC161" t="str" s="485" cm="1">
        <f t="array" ref="AC161">IF(B161=6,AVERAGE(Z145:Z150),"N/A")</f>
        <v>N/A</v>
      </c>
      <c r="AD161" s="483"/>
      <c r="AE161" s="480"/>
      <c r="AF161" s="480"/>
      <c r="AG161" s="480"/>
      <c r="AH161" s="480"/>
      <c r="AI161" s="480"/>
      <c r="AJ161" s="480"/>
      <c r="AK161" s="480"/>
      <c r="AL161" s="480"/>
      <c r="AM161" s="480"/>
      <c r="AN161" s="486"/>
    </row>
    <row r="162" ht="15.5" customHeight="1" hidden="1">
      <c r="A162" s="12"/>
      <c r="B162" s="479" cm="1">
        <f t="array" ref="B162">IF(B161=0,0,IF(B161&lt;VLOOKUP(C142,'Boats Data Sheet 2026'!$C$3:$H$57,6,0),B161+1,0))</f>
        <v>0</v>
      </c>
      <c r="C162" t="str" s="482" cm="1">
        <f t="array" ref="C162">IF(B162&gt;0,IF(VLOOKUP(C142,'Boats Data Sheet 2026'!$C$3:$J$57,8,0)="N/A",0,VLOOKUP(C142,'Boats Data Sheet 2026'!$C$3:$J$57,8,0)),"N/A")</f>
        <v>N/A</v>
      </c>
      <c r="D162" t="str" s="482" cm="1">
        <f t="array" ref="D162">IF(B162&gt;7,2,IF(B162=0,"N/A",1))</f>
        <v>N/A</v>
      </c>
      <c r="E162" t="str" s="482" cm="1">
        <f t="array" ref="E162">_xlfn.IFERROR(SUM('Direct Costs 2026'!$C$4:$C$5)*D162,"N/A")</f>
        <v>N/A</v>
      </c>
      <c r="F162" s="480" cm="1">
        <f t="array" ref="F162">_xlfn.IFERROR('Direct Costs 2026'!$C$43*B162,"N/A")</f>
        <v>0</v>
      </c>
      <c r="G162" t="str" s="482" cm="1">
        <f t="array" ref="G162">IF(B162&gt;0,'Direct Costs 2026'!$C$25,"N/A")</f>
        <v>N/A</v>
      </c>
      <c r="H162" t="str" s="482" cm="1">
        <f t="array" ref="H162">IF(B162&gt;0,'Direct Costs 2026'!$C$15+'Direct Costs 2026'!$C$14,"N/A")</f>
        <v>N/A</v>
      </c>
      <c r="I162" s="480">
        <v>0</v>
      </c>
      <c r="J162" s="480">
        <v>0</v>
      </c>
      <c r="K162" t="str" s="482" cm="1">
        <f t="array" ref="K162">IF(B162&gt;0,'Direct Costs 2026'!$C$26,"N/A")</f>
        <v>N/A</v>
      </c>
      <c r="L162" t="str" s="482" cm="1">
        <f t="array" ref="L162">IF(B162&gt;0,'Direct Costs 2026'!$C$23,"N/A")</f>
        <v>N/A</v>
      </c>
      <c r="M162" t="str" s="482" cm="1">
        <f t="array" ref="M162">IF(B162&gt;0,'Direct Costs 2026'!$C$45*B162,"N/A")</f>
        <v>N/A</v>
      </c>
      <c r="N162" t="str" s="482" cm="1">
        <f t="array" ref="N162">IF(B162&gt;0,_xlfn.IFERROR(VLOOKUP(C142,'Boats Data Sheet 2026'!$C$3:$I$57,7,0)*'Direct Costs 2026'!$C$36,"N/A"),"N/A")</f>
        <v>N/A</v>
      </c>
      <c r="O162" t="str" s="482" cm="1">
        <f t="array" ref="O162">IF(B162&gt;0,IF(OR(VLOOKUP(C142,'Boats Data Sheet 2026'!$C$3:$F$57,4,0)="Own",VLOOKUP(C142,'Boats Data Sheet 2026'!$C$3:$F$57,4,0)="Management"),('Direct Costs 2026'!$C$37+'Direct Costs 2026'!$C$39),"N/A"),"N/A")</f>
        <v>N/A</v>
      </c>
      <c r="P162" t="str" s="482" cm="1">
        <f t="array" ref="P162">_xlfn.IFERROR('Direct Costs 2026'!$C$27*C162,"N/A")</f>
        <v>N/A</v>
      </c>
      <c r="Q162" t="str" s="482" cm="1">
        <f t="array" ref="Q162">_xlfn.IFERROR(C162+SUM(E162:P162),"N/A")</f>
        <v>N/A</v>
      </c>
      <c r="R162" s="483"/>
      <c r="S162" t="str" s="482" cm="1">
        <f t="array" ref="S162">IF(B162&gt;0,'Allocation OH and Target 2026'!$E$31,"N/A")</f>
        <v>N/A</v>
      </c>
      <c r="T162" t="str" s="482" cm="1">
        <f t="array" ref="T162">IF(B162&gt;0,VLOOKUP(C142,'Allocation OH and Target 2026'!$C$35:$S$87,16,0),"N/A")</f>
        <v>N/A</v>
      </c>
      <c r="U162" t="str" s="482" cm="1">
        <f t="array" ref="U162">_xlfn.IFERROR((S162+T162),"N/A")</f>
        <v>N/A</v>
      </c>
      <c r="V162" s="483"/>
      <c r="W162" t="str" s="482" cm="1">
        <f t="array" ref="W162">_xlfn.IFERROR(U162+Q162,"N/A")</f>
        <v>N/A</v>
      </c>
      <c r="X162" t="str" s="482" cm="1">
        <f t="array" ref="X162">_xlfn.IFERROR(W162*0.5%,"N/A")</f>
        <v>N/A</v>
      </c>
      <c r="Y162" t="str" s="482" cm="1">
        <f t="array" ref="Y162">_xlfn.IFERROR(W162*25%,"N/A")</f>
        <v>N/A</v>
      </c>
      <c r="Z162" t="str" s="485" cm="1">
        <f t="array" ref="Z162">IF(B162&gt;0,SUM(W162:Y162),"N/A")</f>
        <v>N/A</v>
      </c>
      <c r="AA162" t="str" s="485" cm="1">
        <f t="array" ref="AA162">_xlfn.IFERROR((Z162-AVERAGE(Z145:Z150)),"N/A")</f>
        <v>N/A</v>
      </c>
      <c r="AB162" s="483"/>
      <c r="AC162" t="str" s="485" cm="1">
        <f t="array" ref="AC162">IF(B162=6,AVERAGE(Z145:Z150),"N/A")</f>
        <v>N/A</v>
      </c>
      <c r="AD162" s="483"/>
      <c r="AE162" s="480"/>
      <c r="AF162" s="480"/>
      <c r="AG162" s="480"/>
      <c r="AH162" s="480"/>
      <c r="AI162" s="480"/>
      <c r="AJ162" s="480"/>
      <c r="AK162" s="480"/>
      <c r="AL162" s="480"/>
      <c r="AM162" s="480"/>
      <c r="AN162" s="486"/>
    </row>
    <row r="163" ht="14.05" customHeight="1">
      <c r="A163" s="32"/>
      <c r="B163" s="477"/>
      <c r="C163" s="477"/>
      <c r="D163" s="477"/>
      <c r="E163" s="477"/>
      <c r="F163" s="477"/>
      <c r="G163" s="477"/>
      <c r="H163" s="477"/>
      <c r="I163" s="477"/>
      <c r="J163" s="477"/>
      <c r="K163" s="477"/>
      <c r="L163" s="477"/>
      <c r="M163" s="477"/>
      <c r="N163" s="477"/>
      <c r="O163" s="477"/>
      <c r="P163" s="477"/>
      <c r="Q163" s="477"/>
      <c r="R163" s="477"/>
      <c r="S163" s="477"/>
      <c r="T163" s="477"/>
      <c r="U163" s="477"/>
      <c r="V163" s="477"/>
      <c r="W163" s="477"/>
      <c r="X163" s="477"/>
      <c r="Y163" s="477"/>
      <c r="Z163" s="477"/>
      <c r="AA163" s="477"/>
      <c r="AB163" s="477"/>
      <c r="AC163" s="477"/>
      <c r="AD163" s="477"/>
      <c r="AE163" s="477"/>
      <c r="AF163" s="477"/>
      <c r="AG163" s="477"/>
      <c r="AH163" s="477"/>
      <c r="AI163" s="477"/>
      <c r="AJ163" s="477"/>
      <c r="AK163" s="477"/>
      <c r="AL163" s="477"/>
      <c r="AM163" s="477"/>
      <c r="AN163" s="478"/>
    </row>
    <row r="164" ht="15" customHeight="1">
      <c r="A164" s="32"/>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442"/>
    </row>
    <row r="165" ht="15.5" customHeight="1">
      <c r="A165" s="395">
        <v>8</v>
      </c>
      <c r="B165" t="s" s="396">
        <v>506</v>
      </c>
      <c r="C165" t="s" s="397">
        <v>191</v>
      </c>
      <c r="D165" s="398"/>
      <c r="E165" s="398"/>
      <c r="F165" s="398"/>
      <c r="G165" s="398"/>
      <c r="H165" s="398"/>
      <c r="I165" s="398"/>
      <c r="J165" s="398"/>
      <c r="K165" s="398"/>
      <c r="L165" s="398"/>
      <c r="M165" s="398"/>
      <c r="N165" s="398"/>
      <c r="O165" s="398"/>
      <c r="P165" s="398"/>
      <c r="Q165" s="398"/>
      <c r="R165" s="399"/>
      <c r="S165" s="398"/>
      <c r="T165" s="398"/>
      <c r="U165" s="398"/>
      <c r="V165" s="399"/>
      <c r="W165" s="398"/>
      <c r="X165" s="398"/>
      <c r="Y165" s="398"/>
      <c r="Z165" s="398"/>
      <c r="AA165" s="398"/>
      <c r="AB165" s="399"/>
      <c r="AC165" s="398"/>
      <c r="AD165" s="399"/>
      <c r="AE165" t="s" s="397">
        <v>508</v>
      </c>
      <c r="AF165" s="401" cm="1">
        <f t="array" ref="AF165">AVERAGE(Q168:Q173)</f>
        <v>7175500</v>
      </c>
      <c r="AG165" s="488"/>
      <c r="AH165" s="401"/>
      <c r="AI165" t="s" s="400">
        <v>510</v>
      </c>
      <c r="AJ165" s="401" cm="1">
        <f t="array" ref="AJ165">AVERAGE(Y168:Y175)</f>
        <v>2635346.16442453</v>
      </c>
      <c r="AK165" t="s" s="397">
        <v>511</v>
      </c>
      <c r="AL165" s="401" cm="1">
        <f t="array" ref="AL165">AVERAGE(W168:W173)</f>
        <v>10275947.1576981</v>
      </c>
      <c r="AM165" t="s" s="400">
        <v>512</v>
      </c>
      <c r="AN165" s="402" cm="1">
        <f t="array" ref="AN165">W168</f>
        <v>9885947.157698121</v>
      </c>
    </row>
    <row r="166" ht="15" customHeight="1">
      <c r="A166" s="12"/>
      <c r="B166" s="403"/>
      <c r="C166" t="s" s="404">
        <v>513</v>
      </c>
      <c r="D166" s="405"/>
      <c r="E166" s="405"/>
      <c r="F166" s="405"/>
      <c r="G166" s="405"/>
      <c r="H166" s="405"/>
      <c r="I166" s="405"/>
      <c r="J166" s="405"/>
      <c r="K166" s="405"/>
      <c r="L166" s="405"/>
      <c r="M166" s="405"/>
      <c r="N166" s="405"/>
      <c r="O166" s="405"/>
      <c r="P166" s="405"/>
      <c r="Q166" s="406"/>
      <c r="R166" s="407"/>
      <c r="S166" t="s" s="404">
        <v>514</v>
      </c>
      <c r="T166" s="405"/>
      <c r="U166" s="406"/>
      <c r="V166" s="407"/>
      <c r="W166" t="s" s="404">
        <v>515</v>
      </c>
      <c r="X166" s="405"/>
      <c r="Y166" s="405"/>
      <c r="Z166" s="405"/>
      <c r="AA166" s="405"/>
      <c r="AB166" s="408"/>
      <c r="AC166" t="s" s="409">
        <v>516</v>
      </c>
      <c r="AD166" s="410"/>
      <c r="AE166" s="443"/>
      <c r="AF166" s="443"/>
      <c r="AG166" s="443"/>
      <c r="AH166" s="443"/>
      <c r="AI166" s="443"/>
      <c r="AJ166" s="443"/>
      <c r="AK166" s="443"/>
      <c r="AL166" s="414"/>
      <c r="AM166" s="415"/>
      <c r="AN166" s="414"/>
    </row>
    <row r="167" ht="46.25" customHeight="1">
      <c r="A167" s="187"/>
      <c r="B167" t="s" s="416">
        <v>517</v>
      </c>
      <c r="C167" t="s" s="417">
        <v>518</v>
      </c>
      <c r="D167" t="s" s="417">
        <v>519</v>
      </c>
      <c r="E167" t="s" s="417">
        <v>520</v>
      </c>
      <c r="F167" t="s" s="159">
        <v>521</v>
      </c>
      <c r="G167" t="s" s="159">
        <v>522</v>
      </c>
      <c r="H167" t="s" s="159">
        <v>553</v>
      </c>
      <c r="I167" t="s" s="159">
        <v>524</v>
      </c>
      <c r="J167" t="s" s="159">
        <v>525</v>
      </c>
      <c r="K167" t="s" s="159">
        <v>526</v>
      </c>
      <c r="L167" t="s" s="159">
        <v>527</v>
      </c>
      <c r="M167" t="s" s="159">
        <v>528</v>
      </c>
      <c r="N167" t="s" s="159">
        <v>529</v>
      </c>
      <c r="O167" t="s" s="159">
        <v>530</v>
      </c>
      <c r="P167" t="s" s="159">
        <v>531</v>
      </c>
      <c r="Q167" t="s" s="159">
        <v>532</v>
      </c>
      <c r="R167" s="418"/>
      <c r="S167" t="s" s="159">
        <v>533</v>
      </c>
      <c r="T167" t="s" s="159">
        <v>534</v>
      </c>
      <c r="U167" t="s" s="159">
        <v>535</v>
      </c>
      <c r="V167" s="418"/>
      <c r="W167" t="s" s="159">
        <v>536</v>
      </c>
      <c r="X167" t="s" s="159">
        <v>537</v>
      </c>
      <c r="Y167" t="s" s="159">
        <v>538</v>
      </c>
      <c r="Z167" t="s" s="159">
        <v>539</v>
      </c>
      <c r="AA167" t="s" s="159">
        <v>121</v>
      </c>
      <c r="AB167" s="419"/>
      <c r="AC167" t="s" s="159">
        <v>39</v>
      </c>
      <c r="AD167" s="419"/>
      <c r="AE167" s="77"/>
      <c r="AF167" s="77"/>
      <c r="AG167" s="77"/>
      <c r="AH167" s="77"/>
      <c r="AI167" s="77"/>
      <c r="AJ167" s="77"/>
      <c r="AK167" s="77"/>
      <c r="AL167" s="77"/>
      <c r="AM167" s="77"/>
      <c r="AN167" s="78"/>
    </row>
    <row r="168" ht="15" customHeight="1">
      <c r="A168" s="12"/>
      <c r="B168" s="420">
        <v>1</v>
      </c>
      <c r="C168" s="421" cm="1">
        <f t="array" ref="C168">IF(B168&gt;0,IF(VLOOKUP(C165,'Boats Data Sheet 2026'!$C$3:$J$57,8,0)="N/A",0,VLOOKUP(C165,'Boats Data Sheet 2026'!$C$3:$J$57,8,0)),"N/A")</f>
        <v>5200000</v>
      </c>
      <c r="D168" s="422" cm="1">
        <f t="array" ref="D168">IF(B168&gt;7,2,IF(B168=0,"N/A",1))</f>
        <v>1</v>
      </c>
      <c r="E168" s="421" cm="1">
        <f t="array" ref="E168">_xlfn.IFERROR(SUM('Direct Costs 2026'!$C$4:$C$5)*D168,"N/A")</f>
        <v>875500</v>
      </c>
      <c r="F168" s="423" cm="1">
        <f t="array" ref="F168">_xlfn.IFERROR('Direct Costs 2026'!$C$43*B168,"N/A")</f>
        <v>6000</v>
      </c>
      <c r="G168" s="423" cm="1">
        <f t="array" ref="G168">IF(B168&gt;0,'Direct Costs 2026'!$C$25,"N/A")</f>
        <v>90000</v>
      </c>
      <c r="H168" s="423" cm="1">
        <f t="array" ref="H168">IF(B168&gt;0,'Direct Costs 2026'!$C$22,"N/A")</f>
        <v>200000</v>
      </c>
      <c r="I168" s="423">
        <v>0</v>
      </c>
      <c r="J168" s="423">
        <v>0</v>
      </c>
      <c r="K168" s="423" cm="1">
        <f t="array" ref="K168">IF(B168&gt;0,'Direct Costs 2026'!$C$26,"N/A")</f>
        <v>20000</v>
      </c>
      <c r="L168" s="423" cm="1">
        <f t="array" ref="L168">IF(B168&gt;0,'Direct Costs 2026'!$C$23,"N/A")</f>
        <v>140000</v>
      </c>
      <c r="M168" s="423" cm="1">
        <f t="array" ref="M168">IF(B168&gt;0,'Direct Costs 2026'!$C$45*B168,"N/A")</f>
        <v>150000</v>
      </c>
      <c r="N168" t="str" s="431" cm="1">
        <f t="array" ref="N168">IF(B168&gt;0,_xlfn.IFERROR(VLOOKUP(C165,'Boats Data Sheet 2026'!$C$3:$I$57,7,0)*'Direct Costs 2026'!$C$36,"N/A"),"N/A")</f>
        <v>N/A</v>
      </c>
      <c r="O168" t="str" s="431" cm="1">
        <f t="array" ref="O168">IF(B168&gt;0,IF(OR(VLOOKUP(C165,'Boats Data Sheet 2026'!$C$3:$F$57,4,0)="Own",VLOOKUP(C165,'Boats Data Sheet 2026'!$C$3:$F$57,4,0)="Management"),('Direct Costs 2026'!$C$37+'Direct Costs 2026'!$C$39),"N/A"),"N/A")</f>
        <v>N/A</v>
      </c>
      <c r="P168" s="423" cm="1">
        <f t="array" ref="P168">_xlfn.IFERROR('Direct Costs 2026'!$C$27*C168,"N/A")</f>
        <v>104000</v>
      </c>
      <c r="Q168" s="423" cm="1">
        <f t="array" ref="Q168">_xlfn.IFERROR(C168+SUM(E168:P168),"N/A")</f>
        <v>6785500</v>
      </c>
      <c r="R168" s="424"/>
      <c r="S168" s="423" cm="1">
        <f t="array" ref="S168">IF(B168&gt;0,'Allocation OH and Target 2026'!$E$31,"N/A")</f>
        <v>3100447.15769812</v>
      </c>
      <c r="T168" s="423" cm="1">
        <f t="array" ref="T168">IF(B168&gt;0,VLOOKUP(C165,'Allocation OH and Target 2026'!$C$35:$S$87,16,0),"N/A")</f>
        <v>0</v>
      </c>
      <c r="U168" s="423" cm="1">
        <f t="array" ref="U168">_xlfn.IFERROR((S168+T168),"N/A")</f>
        <v>3100447.15769812</v>
      </c>
      <c r="V168" s="424"/>
      <c r="W168" s="423" cm="1">
        <f t="array" ref="W168">_xlfn.IFERROR(U168+Q168,"N/A")</f>
        <v>9885947.157698121</v>
      </c>
      <c r="X168" s="423" cm="1">
        <f t="array" ref="X168">_xlfn.IFERROR(W168*0.5%,"N/A")</f>
        <v>49429.7357884906</v>
      </c>
      <c r="Y168" s="423" cm="1">
        <f t="array" ref="Y168">_xlfn.IFERROR(W168*25%,"N/A")</f>
        <v>2471486.78942453</v>
      </c>
      <c r="Z168" s="425" cm="1">
        <f t="array" ref="Z168">IF(B168&gt;0,SUM(W168:Y168),"N/A")</f>
        <v>12406863.6829111</v>
      </c>
      <c r="AA168" s="425">
        <v>0</v>
      </c>
      <c r="AB168" s="424"/>
      <c r="AC168" t="str" s="426" cm="1">
        <f t="array" ref="AC168">IF(B168=6,AVERAGE(Z168:Z173),"N/A")</f>
        <v>N/A</v>
      </c>
      <c r="AD168" s="424"/>
      <c r="AE168" s="423"/>
      <c r="AF168" s="423"/>
      <c r="AG168" s="423"/>
      <c r="AH168" s="423"/>
      <c r="AI168" s="423"/>
      <c r="AJ168" s="423"/>
      <c r="AK168" s="423"/>
      <c r="AL168" s="423"/>
      <c r="AM168" s="423"/>
      <c r="AN168" s="427"/>
    </row>
    <row r="169" ht="15" customHeight="1">
      <c r="A169" s="12"/>
      <c r="B169" s="428" cm="1">
        <f t="array" ref="B169">IF(B168=0,0,IF(B168&lt;VLOOKUP(C165,'Boats Data Sheet 2026'!$C$3:$H$57,6,0),B168+1,0))</f>
        <v>2</v>
      </c>
      <c r="C169" s="423" cm="1">
        <f t="array" ref="C169">IF(B169&gt;0,IF(VLOOKUP(C165,'Boats Data Sheet 2026'!$C$3:$J$57,8,0)="N/A",0,VLOOKUP(C165,'Boats Data Sheet 2026'!$C$3:$J$57,8,0)),"N/A")</f>
        <v>5200000</v>
      </c>
      <c r="D169" s="429" cm="1">
        <f t="array" ref="D169">IF(B169&gt;7,2,IF(B169=0,"N/A",1))</f>
        <v>1</v>
      </c>
      <c r="E169" s="423" cm="1">
        <f t="array" ref="E169">_xlfn.IFERROR(SUM('Direct Costs 2026'!$C$4:$C$5)*D169,"N/A")</f>
        <v>875500</v>
      </c>
      <c r="F169" s="423" cm="1">
        <f t="array" ref="F169">_xlfn.IFERROR('Direct Costs 2026'!$C$43*B169,"N/A")</f>
        <v>12000</v>
      </c>
      <c r="G169" s="423" cm="1">
        <f t="array" ref="G169">IF(B169&gt;0,'Direct Costs 2026'!$C$25,"N/A")</f>
        <v>90000</v>
      </c>
      <c r="H169" s="423" cm="1">
        <f t="array" ref="H169">IF(B169&gt;0,'Direct Costs 2026'!$C$22,"N/A")</f>
        <v>200000</v>
      </c>
      <c r="I169" s="423">
        <v>0</v>
      </c>
      <c r="J169" s="423">
        <v>0</v>
      </c>
      <c r="K169" s="423" cm="1">
        <f t="array" ref="K169">IF(B169&gt;0,'Direct Costs 2026'!$C$26,"N/A")</f>
        <v>20000</v>
      </c>
      <c r="L169" s="423" cm="1">
        <f t="array" ref="L169">IF(B169&gt;0,'Direct Costs 2026'!$C$23,"N/A")</f>
        <v>140000</v>
      </c>
      <c r="M169" s="423" cm="1">
        <f t="array" ref="M169">IF(B169&gt;0,'Direct Costs 2026'!$C$45*B169,"N/A")</f>
        <v>300000</v>
      </c>
      <c r="N169" t="str" s="431" cm="1">
        <f t="array" ref="N169">IF(B169&gt;0,_xlfn.IFERROR(VLOOKUP(C165,'Boats Data Sheet 2026'!$C$3:$I$57,7,0)*'Direct Costs 2026'!$C$36,"N/A"),"N/A")</f>
        <v>N/A</v>
      </c>
      <c r="O169" t="str" s="431" cm="1">
        <f t="array" ref="O169">IF(B169&gt;0,IF(OR(VLOOKUP(C165,'Boats Data Sheet 2026'!$C$3:$F$57,4,0)="Own",VLOOKUP(C165,'Boats Data Sheet 2026'!$C$3:$F$57,4,0)="Management"),('Direct Costs 2026'!$C$37+'Direct Costs 2026'!$C$39),"N/A"),"N/A")</f>
        <v>N/A</v>
      </c>
      <c r="P169" s="423" cm="1">
        <f t="array" ref="P169">_xlfn.IFERROR('Direct Costs 2026'!$C$27*C169,"N/A")</f>
        <v>104000</v>
      </c>
      <c r="Q169" s="423" cm="1">
        <f t="array" ref="Q169">_xlfn.IFERROR(C169+SUM(E169:P169),"N/A")</f>
        <v>6941500</v>
      </c>
      <c r="R169" s="424"/>
      <c r="S169" s="423" cm="1">
        <f t="array" ref="S169">IF(B169&gt;0,'Allocation OH and Target 2026'!$E$31,"N/A")</f>
        <v>3100447.15769812</v>
      </c>
      <c r="T169" s="423" cm="1">
        <f t="array" ref="T169">IF(B169&gt;0,VLOOKUP(C165,'Allocation OH and Target 2026'!$C$35:$S$87,16,0),"N/A")</f>
        <v>0</v>
      </c>
      <c r="U169" s="423" cm="1">
        <f t="array" ref="U169">_xlfn.IFERROR((S169+T169),"N/A")</f>
        <v>3100447.15769812</v>
      </c>
      <c r="V169" s="424"/>
      <c r="W169" s="423" cm="1">
        <f t="array" ref="W169">_xlfn.IFERROR(U169+Q169,"N/A")</f>
        <v>10041947.1576981</v>
      </c>
      <c r="X169" s="423" cm="1">
        <f t="array" ref="X169">_xlfn.IFERROR(W169*0.5%,"N/A")</f>
        <v>50209.7357884905</v>
      </c>
      <c r="Y169" s="423" cm="1">
        <f t="array" ref="Y169">_xlfn.IFERROR(W169*25%,"N/A")</f>
        <v>2510486.78942453</v>
      </c>
      <c r="Z169" s="425" cm="1">
        <f t="array" ref="Z169">IF(B169&gt;0,SUM(W169:Y169),"N/A")</f>
        <v>12602643.6829111</v>
      </c>
      <c r="AA169" s="425" cm="1">
        <f t="array" ref="AA169">_xlfn.IFERROR((Z169-Z168),"N/A")</f>
        <v>195780</v>
      </c>
      <c r="AB169" s="424"/>
      <c r="AC169" t="str" s="426" cm="1">
        <f t="array" ref="AC169">IF(B169=6,AVERAGE(Z168:Z173),"N/A")</f>
        <v>N/A</v>
      </c>
      <c r="AD169" s="424"/>
      <c r="AE169" s="423"/>
      <c r="AF169" s="423"/>
      <c r="AG169" s="423"/>
      <c r="AH169" s="423"/>
      <c r="AI169" s="423"/>
      <c r="AJ169" s="423"/>
      <c r="AK169" s="423"/>
      <c r="AL169" s="423"/>
      <c r="AM169" s="423"/>
      <c r="AN169" s="427"/>
    </row>
    <row r="170" ht="15" customHeight="1">
      <c r="A170" s="12"/>
      <c r="B170" s="428" cm="1">
        <f t="array" ref="B170">IF(B169=0,0,IF(B169&lt;VLOOKUP(C165,'Boats Data Sheet 2026'!$C$3:$H$57,6,0),B169+1,0))</f>
        <v>3</v>
      </c>
      <c r="C170" s="423" cm="1">
        <f t="array" ref="C170">IF(B170&gt;0,IF(VLOOKUP(C165,'Boats Data Sheet 2026'!$C$3:$J$57,8,0)="N/A",0,VLOOKUP(C165,'Boats Data Sheet 2026'!$C$3:$J$57,8,0)),"N/A")</f>
        <v>5200000</v>
      </c>
      <c r="D170" s="429" cm="1">
        <f t="array" ref="D170">IF(B170&gt;7,2,IF(B170=0,"N/A",1))</f>
        <v>1</v>
      </c>
      <c r="E170" s="423" cm="1">
        <f t="array" ref="E170">_xlfn.IFERROR(SUM('Direct Costs 2026'!$C$4:$C$5)*D170,"N/A")</f>
        <v>875500</v>
      </c>
      <c r="F170" s="423" cm="1">
        <f t="array" ref="F170">_xlfn.IFERROR('Direct Costs 2026'!$C$43*B170,"N/A")</f>
        <v>18000</v>
      </c>
      <c r="G170" s="423" cm="1">
        <f t="array" ref="G170">IF(B170&gt;0,'Direct Costs 2026'!$C$25,"N/A")</f>
        <v>90000</v>
      </c>
      <c r="H170" s="423" cm="1">
        <f t="array" ref="H170">IF(B170&gt;0,'Direct Costs 2026'!$C$22,"N/A")</f>
        <v>200000</v>
      </c>
      <c r="I170" s="423">
        <v>0</v>
      </c>
      <c r="J170" s="423">
        <v>0</v>
      </c>
      <c r="K170" s="423" cm="1">
        <f t="array" ref="K170">IF(B170&gt;0,'Direct Costs 2026'!$C$26,"N/A")</f>
        <v>20000</v>
      </c>
      <c r="L170" s="423" cm="1">
        <f t="array" ref="L170">IF(B170&gt;0,'Direct Costs 2026'!$C$23,"N/A")</f>
        <v>140000</v>
      </c>
      <c r="M170" s="423" cm="1">
        <f t="array" ref="M170">IF(B170&gt;0,'Direct Costs 2026'!$C$45*B170,"N/A")</f>
        <v>450000</v>
      </c>
      <c r="N170" t="str" s="431" cm="1">
        <f t="array" ref="N170">IF(B170&gt;0,_xlfn.IFERROR(VLOOKUP(C165,'Boats Data Sheet 2026'!$C$3:$I$57,7,0)*'Direct Costs 2026'!$C$36,"N/A"),"N/A")</f>
        <v>N/A</v>
      </c>
      <c r="O170" t="str" s="431" cm="1">
        <f t="array" ref="O170">IF(B170&gt;0,IF(OR(VLOOKUP(C165,'Boats Data Sheet 2026'!$C$3:$F$57,4,0)="Own",VLOOKUP(C165,'Boats Data Sheet 2026'!$C$3:$F$57,4,0)="Management"),('Direct Costs 2026'!$C$37+'Direct Costs 2026'!$C$39),"N/A"),"N/A")</f>
        <v>N/A</v>
      </c>
      <c r="P170" s="423" cm="1">
        <f t="array" ref="P170">_xlfn.IFERROR('Direct Costs 2026'!$C$27*C170,"N/A")</f>
        <v>104000</v>
      </c>
      <c r="Q170" s="423" cm="1">
        <f t="array" ref="Q170">_xlfn.IFERROR(C170+SUM(E170:P170),"N/A")</f>
        <v>7097500</v>
      </c>
      <c r="R170" s="424"/>
      <c r="S170" s="423" cm="1">
        <f t="array" ref="S170">IF(B170&gt;0,'Allocation OH and Target 2026'!$E$31,"N/A")</f>
        <v>3100447.15769812</v>
      </c>
      <c r="T170" s="423" cm="1">
        <f t="array" ref="T170">IF(B170&gt;0,VLOOKUP(C165,'Allocation OH and Target 2026'!$C$35:$S$87,16,0),"N/A")</f>
        <v>0</v>
      </c>
      <c r="U170" s="423" cm="1">
        <f t="array" ref="U170">_xlfn.IFERROR((S170+T170),"N/A")</f>
        <v>3100447.15769812</v>
      </c>
      <c r="V170" s="424"/>
      <c r="W170" s="423" cm="1">
        <f t="array" ref="W170">_xlfn.IFERROR(U170+Q170,"N/A")</f>
        <v>10197947.1576981</v>
      </c>
      <c r="X170" s="423" cm="1">
        <f t="array" ref="X170">_xlfn.IFERROR(W170*0.5%,"N/A")</f>
        <v>50989.7357884905</v>
      </c>
      <c r="Y170" s="423" cm="1">
        <f t="array" ref="Y170">_xlfn.IFERROR(W170*25%,"N/A")</f>
        <v>2549486.78942453</v>
      </c>
      <c r="Z170" s="425" cm="1">
        <f t="array" ref="Z170">IF(B170&gt;0,SUM(W170:Y170),"N/A")</f>
        <v>12798423.6829111</v>
      </c>
      <c r="AA170" s="425" cm="1">
        <f t="array" ref="AA170">_xlfn.IFERROR((Z170-Z169),"N/A")</f>
        <v>195780</v>
      </c>
      <c r="AB170" s="424"/>
      <c r="AC170" t="str" s="426" cm="1">
        <f t="array" ref="AC170">IF(B170=6,AVERAGE(Z168:Z173),"N/A")</f>
        <v>N/A</v>
      </c>
      <c r="AD170" s="424"/>
      <c r="AE170" s="423"/>
      <c r="AF170" s="423"/>
      <c r="AG170" s="423"/>
      <c r="AH170" s="423"/>
      <c r="AI170" s="423"/>
      <c r="AJ170" s="423"/>
      <c r="AK170" s="423"/>
      <c r="AL170" s="423"/>
      <c r="AM170" s="423"/>
      <c r="AN170" s="427"/>
    </row>
    <row r="171" ht="15" customHeight="1">
      <c r="A171" s="12"/>
      <c r="B171" s="428" cm="1">
        <f t="array" ref="B171">IF(B170=0,0,IF(B170&lt;VLOOKUP(C165,'Boats Data Sheet 2026'!$C$3:$H$57,6,0),B170+1,0))</f>
        <v>4</v>
      </c>
      <c r="C171" s="423" cm="1">
        <f t="array" ref="C171">IF(B171&gt;0,IF(VLOOKUP(C165,'Boats Data Sheet 2026'!$C$3:$J$57,8,0)="N/A",0,VLOOKUP(C165,'Boats Data Sheet 2026'!$C$3:$J$57,8,0)),"N/A")</f>
        <v>5200000</v>
      </c>
      <c r="D171" s="429" cm="1">
        <f t="array" ref="D171">IF(B171&gt;7,2,IF(B171=0,"N/A",1))</f>
        <v>1</v>
      </c>
      <c r="E171" s="423" cm="1">
        <f t="array" ref="E171">_xlfn.IFERROR(SUM('Direct Costs 2026'!$C$4:$C$5)*D171,"N/A")</f>
        <v>875500</v>
      </c>
      <c r="F171" s="423" cm="1">
        <f t="array" ref="F171">_xlfn.IFERROR('Direct Costs 2026'!$C$43*B171,"N/A")</f>
        <v>24000</v>
      </c>
      <c r="G171" s="423" cm="1">
        <f t="array" ref="G171">IF(B171&gt;0,'Direct Costs 2026'!$C$25,"N/A")</f>
        <v>90000</v>
      </c>
      <c r="H171" s="423" cm="1">
        <f t="array" ref="H171">IF(B171&gt;0,'Direct Costs 2026'!$C$22,"N/A")</f>
        <v>200000</v>
      </c>
      <c r="I171" s="423">
        <v>0</v>
      </c>
      <c r="J171" s="423">
        <v>0</v>
      </c>
      <c r="K171" s="423" cm="1">
        <f t="array" ref="K171">IF(B171&gt;0,'Direct Costs 2026'!$C$26,"N/A")</f>
        <v>20000</v>
      </c>
      <c r="L171" s="423" cm="1">
        <f t="array" ref="L171">IF(B171&gt;0,'Direct Costs 2026'!$C$23,"N/A")</f>
        <v>140000</v>
      </c>
      <c r="M171" s="423" cm="1">
        <f t="array" ref="M171">IF(B171&gt;0,'Direct Costs 2026'!$C$45*B171,"N/A")</f>
        <v>600000</v>
      </c>
      <c r="N171" t="str" s="431" cm="1">
        <f t="array" ref="N171">IF(B171&gt;0,_xlfn.IFERROR(VLOOKUP(C165,'Boats Data Sheet 2026'!$C$3:$I$57,7,0)*'Direct Costs 2026'!$C$36,"N/A"),"N/A")</f>
        <v>N/A</v>
      </c>
      <c r="O171" t="str" s="431" cm="1">
        <f t="array" ref="O171">IF(B171&gt;0,IF(OR(VLOOKUP(C165,'Boats Data Sheet 2026'!$C$3:$F$57,4,0)="Own",VLOOKUP(C165,'Boats Data Sheet 2026'!$C$3:$F$57,4,0)="Management"),('Direct Costs 2026'!$C$37+'Direct Costs 2026'!$C$39),"N/A"),"N/A")</f>
        <v>N/A</v>
      </c>
      <c r="P171" s="423" cm="1">
        <f t="array" ref="P171">_xlfn.IFERROR('Direct Costs 2026'!$C$27*C171,"N/A")</f>
        <v>104000</v>
      </c>
      <c r="Q171" s="423" cm="1">
        <f t="array" ref="Q171">_xlfn.IFERROR(C171+SUM(E171:P171),"N/A")</f>
        <v>7253500</v>
      </c>
      <c r="R171" s="424"/>
      <c r="S171" s="423" cm="1">
        <f t="array" ref="S171">IF(B171&gt;0,'Allocation OH and Target 2026'!$E$31,"N/A")</f>
        <v>3100447.15769812</v>
      </c>
      <c r="T171" s="423" cm="1">
        <f t="array" ref="T171">IF(B171&gt;0,VLOOKUP(C165,'Allocation OH and Target 2026'!$C$35:$S$87,16,0),"N/A")</f>
        <v>0</v>
      </c>
      <c r="U171" s="423" cm="1">
        <f t="array" ref="U171">_xlfn.IFERROR((S171+T171),"N/A")</f>
        <v>3100447.15769812</v>
      </c>
      <c r="V171" s="424"/>
      <c r="W171" s="423" cm="1">
        <f t="array" ref="W171">_xlfn.IFERROR(U171+Q171,"N/A")</f>
        <v>10353947.1576981</v>
      </c>
      <c r="X171" s="423" cm="1">
        <f t="array" ref="X171">_xlfn.IFERROR(W171*0.5%,"N/A")</f>
        <v>51769.7357884905</v>
      </c>
      <c r="Y171" s="423" cm="1">
        <f t="array" ref="Y171">_xlfn.IFERROR(W171*25%,"N/A")</f>
        <v>2588486.78942453</v>
      </c>
      <c r="Z171" s="425" cm="1">
        <f t="array" ref="Z171">IF(B171&gt;0,SUM(W171:Y171),"N/A")</f>
        <v>12994203.6829111</v>
      </c>
      <c r="AA171" s="425" cm="1">
        <f t="array" ref="AA171">_xlfn.IFERROR((Z171-Z170),"N/A")</f>
        <v>195780</v>
      </c>
      <c r="AB171" s="424"/>
      <c r="AC171" t="str" s="426" cm="1">
        <f t="array" ref="AC171">IF(B171=6,AVERAGE(Z168:Z173),"N/A")</f>
        <v>N/A</v>
      </c>
      <c r="AD171" s="424"/>
      <c r="AE171" s="423"/>
      <c r="AF171" s="423"/>
      <c r="AG171" s="423"/>
      <c r="AH171" s="423"/>
      <c r="AI171" s="423"/>
      <c r="AJ171" s="423"/>
      <c r="AK171" s="423"/>
      <c r="AL171" s="423"/>
      <c r="AM171" s="423"/>
      <c r="AN171" s="427"/>
    </row>
    <row r="172" ht="15" customHeight="1">
      <c r="A172" s="12"/>
      <c r="B172" s="428" cm="1">
        <f t="array" ref="B172">IF(B171=0,0,IF(B171&lt;VLOOKUP(C165,'Boats Data Sheet 2026'!$C$3:$H$57,6,0),B171+1,0))</f>
        <v>5</v>
      </c>
      <c r="C172" s="423" cm="1">
        <f t="array" ref="C172">IF(B172&gt;0,IF(VLOOKUP(C165,'Boats Data Sheet 2026'!$C$3:$J$57,8,0)="N/A",0,VLOOKUP(C165,'Boats Data Sheet 2026'!$C$3:$J$57,8,0)),"N/A")</f>
        <v>5200000</v>
      </c>
      <c r="D172" s="429" cm="1">
        <f t="array" ref="D172">IF(B172&gt;7,2,IF(B172=0,"N/A",1))</f>
        <v>1</v>
      </c>
      <c r="E172" s="423" cm="1">
        <f t="array" ref="E172">_xlfn.IFERROR(SUM('Direct Costs 2026'!$C$4:$C$5)*D172,"N/A")</f>
        <v>875500</v>
      </c>
      <c r="F172" s="423" cm="1">
        <f t="array" ref="F172">_xlfn.IFERROR('Direct Costs 2026'!$C$43*B172,"N/A")</f>
        <v>30000</v>
      </c>
      <c r="G172" s="423" cm="1">
        <f t="array" ref="G172">IF(B172&gt;0,'Direct Costs 2026'!$C$25,"N/A")</f>
        <v>90000</v>
      </c>
      <c r="H172" s="423" cm="1">
        <f t="array" ref="H172">IF(B172&gt;0,'Direct Costs 2026'!$C$22,"N/A")</f>
        <v>200000</v>
      </c>
      <c r="I172" s="423">
        <v>0</v>
      </c>
      <c r="J172" s="423">
        <v>0</v>
      </c>
      <c r="K172" s="423" cm="1">
        <f t="array" ref="K172">IF(B172&gt;0,'Direct Costs 2026'!$C$26,"N/A")</f>
        <v>20000</v>
      </c>
      <c r="L172" s="423" cm="1">
        <f t="array" ref="L172">IF(B172&gt;0,'Direct Costs 2026'!$C$23,"N/A")</f>
        <v>140000</v>
      </c>
      <c r="M172" s="423" cm="1">
        <f t="array" ref="M172">IF(B172&gt;0,'Direct Costs 2026'!$C$45*B172,"N/A")</f>
        <v>750000</v>
      </c>
      <c r="N172" t="str" s="431" cm="1">
        <f t="array" ref="N172">IF(B172&gt;0,_xlfn.IFERROR(VLOOKUP(C165,'Boats Data Sheet 2026'!$C$3:$I$57,7,0)*'Direct Costs 2026'!$C$36,"N/A"),"N/A")</f>
        <v>N/A</v>
      </c>
      <c r="O172" t="str" s="431" cm="1">
        <f t="array" ref="O172">IF(B172&gt;0,IF(OR(VLOOKUP(C165,'Boats Data Sheet 2026'!$C$3:$F$57,4,0)="Own",VLOOKUP(C165,'Boats Data Sheet 2026'!$C$3:$F$57,4,0)="Management"),('Direct Costs 2026'!$C$37+'Direct Costs 2026'!$C$39),"N/A"),"N/A")</f>
        <v>N/A</v>
      </c>
      <c r="P172" s="423" cm="1">
        <f t="array" ref="P172">_xlfn.IFERROR('Direct Costs 2026'!$C$27*C172,"N/A")</f>
        <v>104000</v>
      </c>
      <c r="Q172" s="423" cm="1">
        <f t="array" ref="Q172">_xlfn.IFERROR(C172+SUM(E172:P172),"N/A")</f>
        <v>7409500</v>
      </c>
      <c r="R172" s="424"/>
      <c r="S172" s="423" cm="1">
        <f t="array" ref="S172">IF(B172&gt;0,'Allocation OH and Target 2026'!$E$31,"N/A")</f>
        <v>3100447.15769812</v>
      </c>
      <c r="T172" s="423" cm="1">
        <f t="array" ref="T172">IF(B172&gt;0,VLOOKUP(C165,'Allocation OH and Target 2026'!$C$35:$S$87,16,0),"N/A")</f>
        <v>0</v>
      </c>
      <c r="U172" s="423" cm="1">
        <f t="array" ref="U172">_xlfn.IFERROR((S172+T172),"N/A")</f>
        <v>3100447.15769812</v>
      </c>
      <c r="V172" s="424"/>
      <c r="W172" s="423" cm="1">
        <f t="array" ref="W172">_xlfn.IFERROR(U172+Q172,"N/A")</f>
        <v>10509947.1576981</v>
      </c>
      <c r="X172" s="423" cm="1">
        <f t="array" ref="X172">_xlfn.IFERROR(W172*0.5%,"N/A")</f>
        <v>52549.7357884905</v>
      </c>
      <c r="Y172" s="423" cm="1">
        <f t="array" ref="Y172">_xlfn.IFERROR(W172*25%,"N/A")</f>
        <v>2627486.78942453</v>
      </c>
      <c r="Z172" s="425" cm="1">
        <f t="array" ref="Z172">IF(B172&gt;0,SUM(W172:Y172),"N/A")</f>
        <v>13189983.6829111</v>
      </c>
      <c r="AA172" s="425" cm="1">
        <f t="array" ref="AA172">_xlfn.IFERROR((Z172-Z171),"N/A")</f>
        <v>195780</v>
      </c>
      <c r="AB172" s="424"/>
      <c r="AC172" t="str" s="426" cm="1">
        <f t="array" ref="AC172">IF(B172=6,AVERAGE(Z168:Z173),"N/A")</f>
        <v>N/A</v>
      </c>
      <c r="AD172" s="424"/>
      <c r="AE172" s="423"/>
      <c r="AF172" s="423"/>
      <c r="AG172" s="423"/>
      <c r="AH172" s="423"/>
      <c r="AI172" s="423"/>
      <c r="AJ172" s="423"/>
      <c r="AK172" s="423"/>
      <c r="AL172" s="423"/>
      <c r="AM172" s="423"/>
      <c r="AN172" s="427"/>
    </row>
    <row r="173" ht="15" customHeight="1">
      <c r="A173" s="12"/>
      <c r="B173" s="428" cm="1">
        <f t="array" ref="B173">IF(B172=0,0,IF(B172&lt;VLOOKUP(C165,'Boats Data Sheet 2026'!$C$3:$H$57,6,0),B172+1,0))</f>
        <v>6</v>
      </c>
      <c r="C173" s="423" cm="1">
        <f t="array" ref="C173">IF(B173&gt;0,IF(VLOOKUP(C165,'Boats Data Sheet 2026'!$C$3:$J$57,8,0)="N/A",0,VLOOKUP(C165,'Boats Data Sheet 2026'!$C$3:$J$57,8,0)),"N/A")</f>
        <v>5200000</v>
      </c>
      <c r="D173" s="429" cm="1">
        <f t="array" ref="D173">IF(B173&gt;7,2,IF(B173=0,"N/A",1))</f>
        <v>1</v>
      </c>
      <c r="E173" s="423" cm="1">
        <f t="array" ref="E173">_xlfn.IFERROR(SUM('Direct Costs 2026'!$C$4:$C$5)*D173,"N/A")</f>
        <v>875500</v>
      </c>
      <c r="F173" s="423" cm="1">
        <f t="array" ref="F173">_xlfn.IFERROR('Direct Costs 2026'!$C$43*B173,"N/A")</f>
        <v>36000</v>
      </c>
      <c r="G173" s="423" cm="1">
        <f t="array" ref="G173">IF(B173&gt;0,'Direct Costs 2026'!$C$25,"N/A")</f>
        <v>90000</v>
      </c>
      <c r="H173" s="423" cm="1">
        <f t="array" ref="H173">IF(B173&gt;0,'Direct Costs 2026'!$C$22,"N/A")</f>
        <v>200000</v>
      </c>
      <c r="I173" s="423">
        <v>0</v>
      </c>
      <c r="J173" s="423">
        <v>0</v>
      </c>
      <c r="K173" s="423" cm="1">
        <f t="array" ref="K173">IF(B173&gt;0,'Direct Costs 2026'!$C$26,"N/A")</f>
        <v>20000</v>
      </c>
      <c r="L173" s="423" cm="1">
        <f t="array" ref="L173">IF(B173&gt;0,'Direct Costs 2026'!$C$23,"N/A")</f>
        <v>140000</v>
      </c>
      <c r="M173" s="423" cm="1">
        <f t="array" ref="M173">IF(B173&gt;0,'Direct Costs 2026'!$C$45*B173,"N/A")</f>
        <v>900000</v>
      </c>
      <c r="N173" t="str" s="431" cm="1">
        <f t="array" ref="N173">IF(B173&gt;0,_xlfn.IFERROR(VLOOKUP(C165,'Boats Data Sheet 2026'!$C$3:$I$57,7,0)*'Direct Costs 2026'!$C$36,"N/A"),"N/A")</f>
        <v>N/A</v>
      </c>
      <c r="O173" t="str" s="431" cm="1">
        <f t="array" ref="O173">IF(B173&gt;0,IF(OR(VLOOKUP(C165,'Boats Data Sheet 2026'!$C$3:$F$57,4,0)="Own",VLOOKUP(C165,'Boats Data Sheet 2026'!$C$3:$F$57,4,0)="Management"),('Direct Costs 2026'!$C$37+'Direct Costs 2026'!$C$39),"N/A"),"N/A")</f>
        <v>N/A</v>
      </c>
      <c r="P173" s="423" cm="1">
        <f t="array" ref="P173">_xlfn.IFERROR('Direct Costs 2026'!$C$27*C173,"N/A")</f>
        <v>104000</v>
      </c>
      <c r="Q173" s="423" cm="1">
        <f t="array" ref="Q173">_xlfn.IFERROR(C173+SUM(E173:P173),"N/A")</f>
        <v>7565500</v>
      </c>
      <c r="R173" s="424"/>
      <c r="S173" s="423" cm="1">
        <f t="array" ref="S173">IF(B173&gt;0,'Allocation OH and Target 2026'!$E$31,"N/A")</f>
        <v>3100447.15769812</v>
      </c>
      <c r="T173" s="423" cm="1">
        <f t="array" ref="T173">IF(B173&gt;0,VLOOKUP(C165,'Allocation OH and Target 2026'!$C$35:$S$87,16,0),"N/A")</f>
        <v>0</v>
      </c>
      <c r="U173" s="423" cm="1">
        <f t="array" ref="U173">_xlfn.IFERROR((S173+T173),"N/A")</f>
        <v>3100447.15769812</v>
      </c>
      <c r="V173" s="424"/>
      <c r="W173" s="423" cm="1">
        <f t="array" ref="W173">_xlfn.IFERROR(U173+Q173,"N/A")</f>
        <v>10665947.1576981</v>
      </c>
      <c r="X173" s="423" cm="1">
        <f t="array" ref="X173">_xlfn.IFERROR(W173*0.5%,"N/A")</f>
        <v>53329.7357884905</v>
      </c>
      <c r="Y173" s="423" cm="1">
        <f t="array" ref="Y173">_xlfn.IFERROR(W173*25%,"N/A")</f>
        <v>2666486.78942453</v>
      </c>
      <c r="Z173" s="425" cm="1">
        <f t="array" ref="Z173">IF(B173&gt;0,SUM(W173:Y173),"N/A")</f>
        <v>13385763.6829111</v>
      </c>
      <c r="AA173" s="425" cm="1">
        <f t="array" ref="AA173">_xlfn.IFERROR((Z173-Z172),"N/A")</f>
        <v>195780</v>
      </c>
      <c r="AB173" s="424"/>
      <c r="AC173" s="425" cm="1">
        <f t="array" ref="AC173">IF(B173=6,AVERAGE(Z168:Z173),"N/A")</f>
        <v>12896313.6829111</v>
      </c>
      <c r="AD173" s="424"/>
      <c r="AE173" s="423"/>
      <c r="AF173" s="423"/>
      <c r="AG173" s="423"/>
      <c r="AH173" s="423"/>
      <c r="AI173" s="423"/>
      <c r="AJ173" s="423"/>
      <c r="AK173" s="423"/>
      <c r="AL173" s="423"/>
      <c r="AM173" s="423"/>
      <c r="AN173" s="427"/>
    </row>
    <row r="174" ht="15" customHeight="1">
      <c r="A174" s="12"/>
      <c r="B174" s="428" cm="1">
        <f t="array" ref="B174">IF(B173=0,0,IF(B173&lt;VLOOKUP(C165,'Boats Data Sheet 2026'!$C$3:$H$57,6,0),B173+1,0))</f>
        <v>7</v>
      </c>
      <c r="C174" s="423" cm="1">
        <f t="array" ref="C174">IF(B174&gt;0,IF(VLOOKUP(C165,'Boats Data Sheet 2026'!$C$3:$J$57,8,0)="N/A",0,VLOOKUP(C165,'Boats Data Sheet 2026'!$C$3:$J$57,8,0)),"N/A")</f>
        <v>5200000</v>
      </c>
      <c r="D174" s="429" cm="1">
        <f t="array" ref="D174">IF(B174&gt;7,2,IF(B174=0,"N/A",1))</f>
        <v>1</v>
      </c>
      <c r="E174" s="423" cm="1">
        <f t="array" ref="E174">_xlfn.IFERROR(SUM('Direct Costs 2026'!$C$4:$C$5)*D174,"N/A")</f>
        <v>875500</v>
      </c>
      <c r="F174" s="423" cm="1">
        <f t="array" ref="F174">_xlfn.IFERROR('Direct Costs 2026'!$C$43*B174,"N/A")</f>
        <v>42000</v>
      </c>
      <c r="G174" s="423" cm="1">
        <f t="array" ref="G174">IF(B174&gt;0,'Direct Costs 2026'!$C$25,"N/A")</f>
        <v>90000</v>
      </c>
      <c r="H174" s="423" cm="1">
        <f t="array" ref="H174">IF(B174&gt;0,'Direct Costs 2026'!$C$22,"N/A")</f>
        <v>200000</v>
      </c>
      <c r="I174" s="423">
        <v>0</v>
      </c>
      <c r="J174" s="423">
        <v>0</v>
      </c>
      <c r="K174" s="423" cm="1">
        <f t="array" ref="K174">IF(B174&gt;0,'Direct Costs 2026'!$C$26,"N/A")</f>
        <v>20000</v>
      </c>
      <c r="L174" s="423" cm="1">
        <f t="array" ref="L174">IF(B174&gt;0,'Direct Costs 2026'!$C$23,"N/A")</f>
        <v>140000</v>
      </c>
      <c r="M174" s="423" cm="1">
        <f t="array" ref="M174">IF(B174&gt;0,'Direct Costs 2026'!$C$45*B174,"N/A")</f>
        <v>1050000</v>
      </c>
      <c r="N174" t="str" s="431" cm="1">
        <f t="array" ref="N174">IF(B174&gt;0,_xlfn.IFERROR(VLOOKUP(C165,'Boats Data Sheet 2026'!$C$3:$I$57,7,0)*'Direct Costs 2026'!$C$36,"N/A"),"N/A")</f>
        <v>N/A</v>
      </c>
      <c r="O174" t="str" s="431" cm="1">
        <f t="array" ref="O174">IF(B174&gt;0,IF(OR(VLOOKUP(C165,'Boats Data Sheet 2026'!$C$3:$F$57,4,0)="Own",VLOOKUP(C165,'Boats Data Sheet 2026'!$C$3:$F$57,4,0)="Management"),('Direct Costs 2026'!$C$37+'Direct Costs 2026'!$C$39),"N/A"),"N/A")</f>
        <v>N/A</v>
      </c>
      <c r="P174" s="423" cm="1">
        <f t="array" ref="P174">_xlfn.IFERROR('Direct Costs 2026'!$C$27*C174,"N/A")</f>
        <v>104000</v>
      </c>
      <c r="Q174" s="423" cm="1">
        <f t="array" ref="Q174">_xlfn.IFERROR(C174+SUM(E174:P174),"N/A")</f>
        <v>7721500</v>
      </c>
      <c r="R174" s="424"/>
      <c r="S174" s="423" cm="1">
        <f t="array" ref="S174">IF(B174&gt;0,'Allocation OH and Target 2026'!$E$31,"N/A")</f>
        <v>3100447.15769812</v>
      </c>
      <c r="T174" s="423" cm="1">
        <f t="array" ref="T174">IF(B174&gt;0,VLOOKUP(C165,'Allocation OH and Target 2026'!$C$35:$S$87,16,0),"N/A")</f>
        <v>0</v>
      </c>
      <c r="U174" s="423" cm="1">
        <f t="array" ref="U174">_xlfn.IFERROR((S174+T174),"N/A")</f>
        <v>3100447.15769812</v>
      </c>
      <c r="V174" s="424"/>
      <c r="W174" s="423" cm="1">
        <f t="array" ref="W174">_xlfn.IFERROR(U174+Q174,"N/A")</f>
        <v>10821947.1576981</v>
      </c>
      <c r="X174" s="423" cm="1">
        <f t="array" ref="X174">_xlfn.IFERROR(W174*0.5%,"N/A")</f>
        <v>54109.7357884905</v>
      </c>
      <c r="Y174" s="423" cm="1">
        <f t="array" ref="Y174">_xlfn.IFERROR(W174*25%,"N/A")</f>
        <v>2705486.78942453</v>
      </c>
      <c r="Z174" s="425" cm="1">
        <f t="array" ref="Z174">IF(B174&gt;0,SUM(W174:Y174),"N/A")</f>
        <v>13581543.6829111</v>
      </c>
      <c r="AA174" s="425" cm="1">
        <f t="array" ref="AA174">_xlfn.IFERROR((Z174-Z173),"N/A")</f>
        <v>195780</v>
      </c>
      <c r="AB174" s="424"/>
      <c r="AC174" t="str" s="426" cm="1">
        <f t="array" ref="AC174">IF(B174=6,AVERAGE(Z168:Z173),"N/A")</f>
        <v>N/A</v>
      </c>
      <c r="AD174" s="424"/>
      <c r="AE174" s="423"/>
      <c r="AF174" s="423"/>
      <c r="AG174" s="423"/>
      <c r="AH174" s="423"/>
      <c r="AI174" s="423"/>
      <c r="AJ174" s="423"/>
      <c r="AK174" s="423"/>
      <c r="AL174" s="423"/>
      <c r="AM174" s="423"/>
      <c r="AN174" s="427"/>
    </row>
    <row r="175" ht="15" customHeight="1">
      <c r="A175" s="12"/>
      <c r="B175" s="428" cm="1">
        <f t="array" ref="B175">IF(B174=0,0,IF(B174&lt;VLOOKUP(C165,'Boats Data Sheet 2026'!$C$3:$H$57,6,0),B174+1,0))</f>
        <v>8</v>
      </c>
      <c r="C175" s="423" cm="1">
        <f t="array" ref="C175">IF(B175&gt;0,IF(VLOOKUP(C165,'Boats Data Sheet 2026'!$C$3:$J$57,8,0)="N/A",0,VLOOKUP(C165,'Boats Data Sheet 2026'!$C$3:$J$57,8,0)),"N/A")</f>
        <v>5200000</v>
      </c>
      <c r="D175" s="429" cm="1">
        <f t="array" ref="D175">IF(B175&gt;7,2,IF(B175=0,"N/A",1))</f>
        <v>2</v>
      </c>
      <c r="E175" s="423" cm="1">
        <f t="array" ref="E175">_xlfn.IFERROR(SUM('Direct Costs 2026'!$C$4:$C$5)*D175,"N/A")</f>
        <v>1751000</v>
      </c>
      <c r="F175" s="423" cm="1">
        <f t="array" ref="F175">_xlfn.IFERROR('Direct Costs 2026'!$C$43*B175,"N/A")</f>
        <v>48000</v>
      </c>
      <c r="G175" s="423" cm="1">
        <f t="array" ref="G175">IF(B175&gt;0,'Direct Costs 2026'!$C$25,"N/A")</f>
        <v>90000</v>
      </c>
      <c r="H175" s="423" cm="1">
        <f t="array" ref="H175">IF(B175&gt;0,'Direct Costs 2026'!$C$22,"N/A")</f>
        <v>200000</v>
      </c>
      <c r="I175" s="423">
        <v>0</v>
      </c>
      <c r="J175" s="423">
        <v>0</v>
      </c>
      <c r="K175" s="423" cm="1">
        <f t="array" ref="K175">IF(B175&gt;0,'Direct Costs 2026'!$C$26,"N/A")</f>
        <v>20000</v>
      </c>
      <c r="L175" s="423" cm="1">
        <f t="array" ref="L175">IF(B175&gt;0,'Direct Costs 2026'!$C$23,"N/A")</f>
        <v>140000</v>
      </c>
      <c r="M175" s="423" cm="1">
        <f t="array" ref="M175">IF(B175&gt;0,'Direct Costs 2026'!$C$45*B175,"N/A")</f>
        <v>1200000</v>
      </c>
      <c r="N175" t="str" s="431" cm="1">
        <f t="array" ref="N175">IF(B175&gt;0,_xlfn.IFERROR(VLOOKUP(C165,'Boats Data Sheet 2026'!$C$3:$I$57,7,0)*'Direct Costs 2026'!$C$36,"N/A"),"N/A")</f>
        <v>N/A</v>
      </c>
      <c r="O175" t="str" s="431" cm="1">
        <f t="array" ref="O175">IF(B175&gt;0,IF(OR(VLOOKUP(C165,'Boats Data Sheet 2026'!$C$3:$F$57,4,0)="Own",VLOOKUP(C165,'Boats Data Sheet 2026'!$C$3:$F$57,4,0)="Management"),('Direct Costs 2026'!$C$37+'Direct Costs 2026'!$C$39),"N/A"),"N/A")</f>
        <v>N/A</v>
      </c>
      <c r="P175" s="423" cm="1">
        <f t="array" ref="P175">_xlfn.IFERROR('Direct Costs 2026'!$C$27*C175,"N/A")</f>
        <v>104000</v>
      </c>
      <c r="Q175" s="423" cm="1">
        <f t="array" ref="Q175">_xlfn.IFERROR(C175+SUM(E175:P175),"N/A")</f>
        <v>8753000</v>
      </c>
      <c r="R175" s="424"/>
      <c r="S175" s="423" cm="1">
        <f t="array" ref="S175">IF(B175&gt;0,'Allocation OH and Target 2026'!$E$31,"N/A")</f>
        <v>3100447.15769812</v>
      </c>
      <c r="T175" s="423" cm="1">
        <f t="array" ref="T175">IF(B175&gt;0,VLOOKUP(C165,'Allocation OH and Target 2026'!$C$35:$S$87,16,0),"N/A")</f>
        <v>0</v>
      </c>
      <c r="U175" s="423" cm="1">
        <f t="array" ref="U175">_xlfn.IFERROR((S175+T175),"N/A")</f>
        <v>3100447.15769812</v>
      </c>
      <c r="V175" s="424"/>
      <c r="W175" s="423" cm="1">
        <f t="array" ref="W175">_xlfn.IFERROR(U175+Q175,"N/A")</f>
        <v>11853447.1576981</v>
      </c>
      <c r="X175" s="423" cm="1">
        <f t="array" ref="X175">_xlfn.IFERROR(W175*0.5%,"N/A")</f>
        <v>59267.2357884905</v>
      </c>
      <c r="Y175" s="423" cm="1">
        <f t="array" ref="Y175">_xlfn.IFERROR(W175*25%,"N/A")</f>
        <v>2963361.78942453</v>
      </c>
      <c r="Z175" s="425" cm="1">
        <f t="array" ref="Z175">IF(B175&gt;0,SUM(W175:Y175),"N/A")</f>
        <v>14876076.1829111</v>
      </c>
      <c r="AA175" s="425" cm="1">
        <f t="array" ref="AA175">_xlfn.IFERROR((Z175-Z174),"N/A")</f>
        <v>1294532.5</v>
      </c>
      <c r="AB175" s="424"/>
      <c r="AC175" t="str" s="426" cm="1">
        <f t="array" ref="AC175">IF(B175=6,AVERAGE(Z168:Z173),"N/A")</f>
        <v>N/A</v>
      </c>
      <c r="AD175" s="424"/>
      <c r="AE175" s="423"/>
      <c r="AF175" s="423"/>
      <c r="AG175" s="423"/>
      <c r="AH175" s="423"/>
      <c r="AI175" s="423"/>
      <c r="AJ175" s="423"/>
      <c r="AK175" s="423"/>
      <c r="AL175" s="423"/>
      <c r="AM175" s="423"/>
      <c r="AN175" s="427"/>
    </row>
    <row r="176" ht="15" customHeight="1">
      <c r="A176" s="12"/>
      <c r="B176" s="428" cm="1">
        <f t="array" ref="B176">IF(B175=0,0,IF(B175&lt;VLOOKUP(C165,'Boats Data Sheet 2026'!$C$3:$H$57,6,0),B175+1,0))</f>
        <v>0</v>
      </c>
      <c r="C176" t="str" s="431" cm="1">
        <f t="array" ref="C176">IF(B176&gt;0,IF(VLOOKUP(C165,'Boats Data Sheet 2026'!$C$3:$J$57,8,0)="N/A",0,VLOOKUP(C165,'Boats Data Sheet 2026'!$C$3:$J$57,8,0)),"N/A")</f>
        <v>N/A</v>
      </c>
      <c r="D176" t="str" s="431" cm="1">
        <f t="array" ref="D176">IF(B176&gt;7,2,IF(B176=0,"N/A",1))</f>
        <v>N/A</v>
      </c>
      <c r="E176" t="str" s="431" cm="1">
        <f t="array" ref="E176">_xlfn.IFERROR(SUM('Direct Costs 2026'!$C$4:$C$5)*D176,"N/A")</f>
        <v>N/A</v>
      </c>
      <c r="F176" s="423" cm="1">
        <f t="array" ref="F176">_xlfn.IFERROR('Direct Costs 2026'!$C$43*B176,"N/A")</f>
        <v>0</v>
      </c>
      <c r="G176" t="str" s="431" cm="1">
        <f t="array" ref="G176">IF(B176&gt;0,'Direct Costs 2026'!$C$25,"N/A")</f>
        <v>N/A</v>
      </c>
      <c r="H176" t="str" s="431" cm="1">
        <f t="array" ref="H176">IF(B176&gt;0,'Direct Costs 2026'!$C$22,"N/A")</f>
        <v>N/A</v>
      </c>
      <c r="I176" s="423">
        <v>0</v>
      </c>
      <c r="J176" s="423">
        <v>0</v>
      </c>
      <c r="K176" t="str" s="431" cm="1">
        <f t="array" ref="K176">IF(B176&gt;0,'Direct Costs 2026'!$C$26,"N/A")</f>
        <v>N/A</v>
      </c>
      <c r="L176" t="str" s="431" cm="1">
        <f t="array" ref="L176">IF(B176&gt;0,'Direct Costs 2026'!$C$23,"N/A")</f>
        <v>N/A</v>
      </c>
      <c r="M176" t="str" s="431" cm="1">
        <f t="array" ref="M176">IF(B176&gt;0,'Direct Costs 2026'!$C$45*B176,"N/A")</f>
        <v>N/A</v>
      </c>
      <c r="N176" t="str" s="431" cm="1">
        <f t="array" ref="N176">IF(B176&gt;0,_xlfn.IFERROR(VLOOKUP(C165,'Boats Data Sheet 2026'!$C$3:$I$57,7,0)*'Direct Costs 2026'!$C$36,"N/A"),"N/A")</f>
        <v>N/A</v>
      </c>
      <c r="O176" t="str" s="431" cm="1">
        <f t="array" ref="O176">IF(B176&gt;0,IF(OR(VLOOKUP(C165,'Boats Data Sheet 2026'!$C$3:$F$57,4,0)="Own",VLOOKUP(C165,'Boats Data Sheet 2026'!$C$3:$F$57,4,0)="Management"),('Direct Costs 2026'!$C$37+'Direct Costs 2026'!$C$39),"N/A"),"N/A")</f>
        <v>N/A</v>
      </c>
      <c r="P176" t="str" s="431" cm="1">
        <f t="array" ref="P176">_xlfn.IFERROR('Direct Costs 2026'!$C$27*C176,"N/A")</f>
        <v>N/A</v>
      </c>
      <c r="Q176" t="str" s="431" cm="1">
        <f t="array" ref="Q176">_xlfn.IFERROR(C176+SUM(E176:P176),"N/A")</f>
        <v>N/A</v>
      </c>
      <c r="R176" s="424"/>
      <c r="S176" t="str" s="431" cm="1">
        <f t="array" ref="S176">IF(B176&gt;0,'Allocation OH and Target 2026'!$E$31,"N/A")</f>
        <v>N/A</v>
      </c>
      <c r="T176" t="str" s="431" cm="1">
        <f t="array" ref="T176">IF(B176&gt;0,VLOOKUP(C165,'Allocation OH and Target 2026'!$C$35:$S$87,16,0),"N/A")</f>
        <v>N/A</v>
      </c>
      <c r="U176" t="str" s="431" cm="1">
        <f t="array" ref="U176">_xlfn.IFERROR((S176+T176),"N/A")</f>
        <v>N/A</v>
      </c>
      <c r="V176" s="424"/>
      <c r="W176" t="str" s="431" cm="1">
        <f t="array" ref="W176">_xlfn.IFERROR(U176+Q176,"N/A")</f>
        <v>N/A</v>
      </c>
      <c r="X176" t="str" s="431" cm="1">
        <f t="array" ref="X176">_xlfn.IFERROR(W176*0.5%,"N/A")</f>
        <v>N/A</v>
      </c>
      <c r="Y176" t="str" s="431" cm="1">
        <f t="array" ref="Y176">_xlfn.IFERROR(W176*25%,"N/A")</f>
        <v>N/A</v>
      </c>
      <c r="Z176" t="str" s="426" cm="1">
        <f t="array" ref="Z176">IF(B176&gt;0,SUM(W176:Y176),"N/A")</f>
        <v>N/A</v>
      </c>
      <c r="AA176" t="str" s="426" cm="1">
        <f t="array" ref="AA176">_xlfn.IFERROR((Z176-Z175),"N/A")</f>
        <v>N/A</v>
      </c>
      <c r="AB176" s="424"/>
      <c r="AC176" t="str" s="426" cm="1">
        <f t="array" ref="AC176">IF(B176=6,AVERAGE(Z168:Z173),"N/A")</f>
        <v>N/A</v>
      </c>
      <c r="AD176" s="424"/>
      <c r="AE176" s="423"/>
      <c r="AF176" s="423"/>
      <c r="AG176" s="423"/>
      <c r="AH176" s="423"/>
      <c r="AI176" s="423"/>
      <c r="AJ176" s="423"/>
      <c r="AK176" s="423"/>
      <c r="AL176" s="423"/>
      <c r="AM176" s="423"/>
      <c r="AN176" s="427"/>
    </row>
    <row r="177" ht="15" customHeight="1">
      <c r="A177" s="12"/>
      <c r="B177" s="428" cm="1">
        <f t="array" ref="B177">IF(B176=0,0,IF(B176&lt;VLOOKUP(C165,'Boats Data Sheet 2026'!$C$3:$H$57,6,0),B176+1,0))</f>
        <v>0</v>
      </c>
      <c r="C177" t="str" s="431" cm="1">
        <f t="array" ref="C177">IF(B177&gt;0,IF(VLOOKUP(C165,'Boats Data Sheet 2026'!$C$3:$J$57,8,0)="N/A",0,VLOOKUP(C165,'Boats Data Sheet 2026'!$C$3:$J$57,8,0)),"N/A")</f>
        <v>N/A</v>
      </c>
      <c r="D177" t="str" s="431" cm="1">
        <f t="array" ref="D177">IF(B177&gt;7,2,IF(B177=0,"N/A",1))</f>
        <v>N/A</v>
      </c>
      <c r="E177" t="str" s="431" cm="1">
        <f t="array" ref="E177">_xlfn.IFERROR(SUM('Direct Costs 2026'!$C$4:$C$5)*D177,"N/A")</f>
        <v>N/A</v>
      </c>
      <c r="F177" s="423" cm="1">
        <f t="array" ref="F177">_xlfn.IFERROR('Direct Costs 2026'!$C$43*B177,"N/A")</f>
        <v>0</v>
      </c>
      <c r="G177" t="str" s="431" cm="1">
        <f t="array" ref="G177">IF(B177&gt;0,'Direct Costs 2026'!$C$25,"N/A")</f>
        <v>N/A</v>
      </c>
      <c r="H177" t="str" s="431" cm="1">
        <f t="array" ref="H177">IF(B177&gt;0,'Direct Costs 2026'!$C$22,"N/A")</f>
        <v>N/A</v>
      </c>
      <c r="I177" s="423">
        <v>0</v>
      </c>
      <c r="J177" s="423">
        <v>0</v>
      </c>
      <c r="K177" t="str" s="431" cm="1">
        <f t="array" ref="K177">IF(B177&gt;0,'Direct Costs 2026'!$C$26,"N/A")</f>
        <v>N/A</v>
      </c>
      <c r="L177" t="str" s="431" cm="1">
        <f t="array" ref="L177">IF(B177&gt;0,'Direct Costs 2026'!$C$23,"N/A")</f>
        <v>N/A</v>
      </c>
      <c r="M177" t="str" s="431" cm="1">
        <f t="array" ref="M177">IF(B177&gt;0,'Direct Costs 2026'!$C$45*B177,"N/A")</f>
        <v>N/A</v>
      </c>
      <c r="N177" t="str" s="431" cm="1">
        <f t="array" ref="N177">IF(B177&gt;0,_xlfn.IFERROR(VLOOKUP(C165,'Boats Data Sheet 2026'!$C$3:$I$57,7,0)*'Direct Costs 2026'!$C$36,"N/A"),"N/A")</f>
        <v>N/A</v>
      </c>
      <c r="O177" t="str" s="431" cm="1">
        <f t="array" ref="O177">IF(B177&gt;0,IF(OR(VLOOKUP(C165,'Boats Data Sheet 2026'!$C$3:$F$57,4,0)="Own",VLOOKUP(C165,'Boats Data Sheet 2026'!$C$3:$F$57,4,0)="Management"),('Direct Costs 2026'!$C$37+'Direct Costs 2026'!$C$39),"N/A"),"N/A")</f>
        <v>N/A</v>
      </c>
      <c r="P177" t="str" s="431" cm="1">
        <f t="array" ref="P177">_xlfn.IFERROR('Direct Costs 2026'!$C$27*C177,"N/A")</f>
        <v>N/A</v>
      </c>
      <c r="Q177" t="str" s="431" cm="1">
        <f t="array" ref="Q177">_xlfn.IFERROR(C177+SUM(E177:P177),"N/A")</f>
        <v>N/A</v>
      </c>
      <c r="R177" s="424"/>
      <c r="S177" t="str" s="431" cm="1">
        <f t="array" ref="S177">IF(B177&gt;0,'Allocation OH and Target 2026'!$E$31,"N/A")</f>
        <v>N/A</v>
      </c>
      <c r="T177" t="str" s="431" cm="1">
        <f t="array" ref="T177">IF(B177&gt;0,VLOOKUP(C165,'Allocation OH and Target 2026'!$C$35:$S$87,16,0),"N/A")</f>
        <v>N/A</v>
      </c>
      <c r="U177" t="str" s="431" cm="1">
        <f t="array" ref="U177">_xlfn.IFERROR((S177+T177),"N/A")</f>
        <v>N/A</v>
      </c>
      <c r="V177" s="424"/>
      <c r="W177" t="str" s="431" cm="1">
        <f t="array" ref="W177">_xlfn.IFERROR(U177+Q177,"N/A")</f>
        <v>N/A</v>
      </c>
      <c r="X177" t="str" s="431" cm="1">
        <f t="array" ref="X177">_xlfn.IFERROR(W177*0.5%,"N/A")</f>
        <v>N/A</v>
      </c>
      <c r="Y177" t="str" s="431" cm="1">
        <f t="array" ref="Y177">_xlfn.IFERROR(W177*25%,"N/A")</f>
        <v>N/A</v>
      </c>
      <c r="Z177" t="str" s="426" cm="1">
        <f t="array" ref="Z177">IF(B177&gt;0,SUM(W177:Y177),"N/A")</f>
        <v>N/A</v>
      </c>
      <c r="AA177" t="str" s="426" cm="1">
        <f t="array" ref="AA177">_xlfn.IFERROR((Z177-Z176),"N/A")</f>
        <v>N/A</v>
      </c>
      <c r="AB177" s="424"/>
      <c r="AC177" t="str" s="426" cm="1">
        <f t="array" ref="AC177">IF(B177=6,AVERAGE(Z168:Z173),"N/A")</f>
        <v>N/A</v>
      </c>
      <c r="AD177" s="424"/>
      <c r="AE177" s="423"/>
      <c r="AF177" s="423"/>
      <c r="AG177" s="423"/>
      <c r="AH177" s="423"/>
      <c r="AI177" s="423"/>
      <c r="AJ177" s="423"/>
      <c r="AK177" s="423"/>
      <c r="AL177" s="423"/>
      <c r="AM177" s="423"/>
      <c r="AN177" s="427"/>
    </row>
    <row r="178" ht="15" customHeight="1">
      <c r="A178" s="12"/>
      <c r="B178" s="428" cm="1">
        <f t="array" ref="B178">IF(B177=0,0,IF(B177&lt;VLOOKUP(C165,'Boats Data Sheet 2026'!$C$3:$H$57,6,0),B177+1,0))</f>
        <v>0</v>
      </c>
      <c r="C178" t="str" s="431" cm="1">
        <f t="array" ref="C178">IF(B178&gt;0,IF(VLOOKUP(C165,'Boats Data Sheet 2026'!$C$3:$J$57,8,0)="N/A",0,VLOOKUP(C165,'Boats Data Sheet 2026'!$C$3:$J$57,8,0)),"N/A")</f>
        <v>N/A</v>
      </c>
      <c r="D178" t="str" s="431" cm="1">
        <f t="array" ref="D178">IF(B178&gt;7,2,IF(B178=0,"N/A",1))</f>
        <v>N/A</v>
      </c>
      <c r="E178" t="str" s="431" cm="1">
        <f t="array" ref="E178">_xlfn.IFERROR(SUM('Direct Costs 2026'!$C$4:$C$5)*D178,"N/A")</f>
        <v>N/A</v>
      </c>
      <c r="F178" s="423" cm="1">
        <f t="array" ref="F178">_xlfn.IFERROR('Direct Costs 2026'!$C$43*B178,"N/A")</f>
        <v>0</v>
      </c>
      <c r="G178" t="str" s="431" cm="1">
        <f t="array" ref="G178">IF(B178&gt;0,'Direct Costs 2026'!$C$25,"N/A")</f>
        <v>N/A</v>
      </c>
      <c r="H178" t="str" s="431" cm="1">
        <f t="array" ref="H178">IF(B178&gt;0,'Direct Costs 2026'!$C$22,"N/A")</f>
        <v>N/A</v>
      </c>
      <c r="I178" s="423">
        <v>0</v>
      </c>
      <c r="J178" s="423">
        <v>0</v>
      </c>
      <c r="K178" t="str" s="431" cm="1">
        <f t="array" ref="K178">IF(B178&gt;0,'Direct Costs 2026'!$C$26,"N/A")</f>
        <v>N/A</v>
      </c>
      <c r="L178" t="str" s="431" cm="1">
        <f t="array" ref="L178">IF(B178&gt;0,'Direct Costs 2026'!$C$23,"N/A")</f>
        <v>N/A</v>
      </c>
      <c r="M178" t="str" s="431" cm="1">
        <f t="array" ref="M178">IF(B178&gt;0,'Direct Costs 2026'!$C$45*B178,"N/A")</f>
        <v>N/A</v>
      </c>
      <c r="N178" t="str" s="431" cm="1">
        <f t="array" ref="N178">IF(B178&gt;0,_xlfn.IFERROR(VLOOKUP(C165,'Boats Data Sheet 2026'!$C$3:$I$57,7,0)*'Direct Costs 2026'!$C$36,"N/A"),"N/A")</f>
        <v>N/A</v>
      </c>
      <c r="O178" t="str" s="431" cm="1">
        <f t="array" ref="O178">IF(B178&gt;0,IF(OR(VLOOKUP(C165,'Boats Data Sheet 2026'!$C$3:$F$57,4,0)="Own",VLOOKUP(C165,'Boats Data Sheet 2026'!$C$3:$F$57,4,0)="Management"),('Direct Costs 2026'!$C$37+'Direct Costs 2026'!$C$39),"N/A"),"N/A")</f>
        <v>N/A</v>
      </c>
      <c r="P178" t="str" s="431" cm="1">
        <f t="array" ref="P178">_xlfn.IFERROR('Direct Costs 2026'!$C$27*C178,"N/A")</f>
        <v>N/A</v>
      </c>
      <c r="Q178" t="str" s="431" cm="1">
        <f t="array" ref="Q178">_xlfn.IFERROR(C178+SUM(E178:P178),"N/A")</f>
        <v>N/A</v>
      </c>
      <c r="R178" s="424"/>
      <c r="S178" t="str" s="431" cm="1">
        <f t="array" ref="S178">IF(B178&gt;0,'Allocation OH and Target 2026'!$E$31,"N/A")</f>
        <v>N/A</v>
      </c>
      <c r="T178" t="str" s="431" cm="1">
        <f t="array" ref="T178">IF(B178&gt;0,VLOOKUP(C165,'Allocation OH and Target 2026'!$C$35:$S$87,16,0),"N/A")</f>
        <v>N/A</v>
      </c>
      <c r="U178" t="str" s="431" cm="1">
        <f t="array" ref="U178">_xlfn.IFERROR((S178+T178),"N/A")</f>
        <v>N/A</v>
      </c>
      <c r="V178" s="424"/>
      <c r="W178" t="str" s="431" cm="1">
        <f t="array" ref="W178">_xlfn.IFERROR(U178+Q178,"N/A")</f>
        <v>N/A</v>
      </c>
      <c r="X178" t="str" s="431" cm="1">
        <f t="array" ref="X178">_xlfn.IFERROR(W178*0.5%,"N/A")</f>
        <v>N/A</v>
      </c>
      <c r="Y178" t="str" s="431" cm="1">
        <f t="array" ref="Y178">_xlfn.IFERROR(W178*25%,"N/A")</f>
        <v>N/A</v>
      </c>
      <c r="Z178" t="str" s="426" cm="1">
        <f t="array" ref="Z178">IF(B178&gt;0,SUM(W178:Y178),"N/A")</f>
        <v>N/A</v>
      </c>
      <c r="AA178" t="str" s="426" cm="1">
        <f t="array" ref="AA178">_xlfn.IFERROR((Z178-Z177),"N/A")</f>
        <v>N/A</v>
      </c>
      <c r="AB178" s="424"/>
      <c r="AC178" t="str" s="426" cm="1">
        <f t="array" ref="AC178">IF(B178=6,AVERAGE(Z168:Z173),"N/A")</f>
        <v>N/A</v>
      </c>
      <c r="AD178" s="424"/>
      <c r="AE178" s="423"/>
      <c r="AF178" s="423"/>
      <c r="AG178" s="423"/>
      <c r="AH178" s="423"/>
      <c r="AI178" s="423"/>
      <c r="AJ178" s="423"/>
      <c r="AK178" s="423"/>
      <c r="AL178" s="423"/>
      <c r="AM178" s="423"/>
      <c r="AN178" s="427"/>
    </row>
    <row r="179" ht="15" customHeight="1">
      <c r="A179" s="12"/>
      <c r="B179" s="428" cm="1">
        <f t="array" ref="B179">IF(B178=0,0,IF(B178&lt;VLOOKUP(C165,'Boats Data Sheet 2026'!$C$3:$H$57,6,0),B178+1,0))</f>
        <v>0</v>
      </c>
      <c r="C179" t="str" s="431" cm="1">
        <f t="array" ref="C179">IF(B179&gt;0,IF(VLOOKUP(C165,'Boats Data Sheet 2026'!$C$3:$J$57,8,0)="N/A",0,VLOOKUP(C165,'Boats Data Sheet 2026'!$C$3:$J$57,8,0)),"N/A")</f>
        <v>N/A</v>
      </c>
      <c r="D179" t="str" s="431" cm="1">
        <f t="array" ref="D179">IF(B179&gt;7,2,IF(B179=0,"N/A",1))</f>
        <v>N/A</v>
      </c>
      <c r="E179" t="str" s="431" cm="1">
        <f t="array" ref="E179">_xlfn.IFERROR(SUM('Direct Costs 2026'!$C$4:$C$5)*D179,"N/A")</f>
        <v>N/A</v>
      </c>
      <c r="F179" s="423" cm="1">
        <f t="array" ref="F179">_xlfn.IFERROR('Direct Costs 2026'!$C$43*B179,"N/A")</f>
        <v>0</v>
      </c>
      <c r="G179" t="str" s="431" cm="1">
        <f t="array" ref="G179">IF(B179&gt;0,'Direct Costs 2026'!$C$25,"N/A")</f>
        <v>N/A</v>
      </c>
      <c r="H179" t="str" s="431" cm="1">
        <f t="array" ref="H179">IF(B179&gt;0,'Direct Costs 2026'!$C$22,"N/A")</f>
        <v>N/A</v>
      </c>
      <c r="I179" s="423">
        <v>0</v>
      </c>
      <c r="J179" s="423">
        <v>0</v>
      </c>
      <c r="K179" t="str" s="431" cm="1">
        <f t="array" ref="K179">IF(B179&gt;0,'Direct Costs 2026'!$C$26,"N/A")</f>
        <v>N/A</v>
      </c>
      <c r="L179" t="str" s="431" cm="1">
        <f t="array" ref="L179">IF(B179&gt;0,'Direct Costs 2026'!$C$23,"N/A")</f>
        <v>N/A</v>
      </c>
      <c r="M179" t="str" s="431" cm="1">
        <f t="array" ref="M179">IF(B179&gt;0,'Direct Costs 2026'!$C$45*B179,"N/A")</f>
        <v>N/A</v>
      </c>
      <c r="N179" t="str" s="431" cm="1">
        <f t="array" ref="N179">IF(B179&gt;0,_xlfn.IFERROR(VLOOKUP(C165,'Boats Data Sheet 2026'!$C$3:$I$57,7,0)*'Direct Costs 2026'!$C$36,"N/A"),"N/A")</f>
        <v>N/A</v>
      </c>
      <c r="O179" t="str" s="431" cm="1">
        <f t="array" ref="O179">IF(B179&gt;0,IF(OR(VLOOKUP(C165,'Boats Data Sheet 2026'!$C$3:$F$57,4,0)="Own",VLOOKUP(C165,'Boats Data Sheet 2026'!$C$3:$F$57,4,0)="Management"),('Direct Costs 2026'!$C$37+'Direct Costs 2026'!$C$39),"N/A"),"N/A")</f>
        <v>N/A</v>
      </c>
      <c r="P179" t="str" s="431" cm="1">
        <f t="array" ref="P179">_xlfn.IFERROR('Direct Costs 2026'!$C$27*C179,"N/A")</f>
        <v>N/A</v>
      </c>
      <c r="Q179" t="str" s="431" cm="1">
        <f t="array" ref="Q179">_xlfn.IFERROR(C179+SUM(E179:P179),"N/A")</f>
        <v>N/A</v>
      </c>
      <c r="R179" s="424"/>
      <c r="S179" t="str" s="431" cm="1">
        <f t="array" ref="S179">IF(B179&gt;0,'Allocation OH and Target 2026'!$E$31,"N/A")</f>
        <v>N/A</v>
      </c>
      <c r="T179" t="str" s="431" cm="1">
        <f t="array" ref="T179">IF(B179&gt;0,VLOOKUP(C165,'Allocation OH and Target 2026'!$C$35:$S$87,16,0),"N/A")</f>
        <v>N/A</v>
      </c>
      <c r="U179" t="str" s="431" cm="1">
        <f t="array" ref="U179">_xlfn.IFERROR((S179+T179),"N/A")</f>
        <v>N/A</v>
      </c>
      <c r="V179" s="424"/>
      <c r="W179" t="str" s="431" cm="1">
        <f t="array" ref="W179">_xlfn.IFERROR(U179+Q179,"N/A")</f>
        <v>N/A</v>
      </c>
      <c r="X179" t="str" s="431" cm="1">
        <f t="array" ref="X179">_xlfn.IFERROR(W179*0.5%,"N/A")</f>
        <v>N/A</v>
      </c>
      <c r="Y179" t="str" s="431" cm="1">
        <f t="array" ref="Y179">_xlfn.IFERROR(W179*25%,"N/A")</f>
        <v>N/A</v>
      </c>
      <c r="Z179" t="str" s="426" cm="1">
        <f t="array" ref="Z179">IF(B179&gt;0,SUM(W179:Y179),"N/A")</f>
        <v>N/A</v>
      </c>
      <c r="AA179" t="str" s="426" cm="1">
        <f t="array" ref="AA179">_xlfn.IFERROR((Z179-Z178),"N/A")</f>
        <v>N/A</v>
      </c>
      <c r="AB179" s="424"/>
      <c r="AC179" t="str" s="426" cm="1">
        <f t="array" ref="AC179">IF(B179=6,AVERAGE(Z168:Z173),"N/A")</f>
        <v>N/A</v>
      </c>
      <c r="AD179" s="424"/>
      <c r="AE179" s="423"/>
      <c r="AF179" s="423"/>
      <c r="AG179" s="423"/>
      <c r="AH179" s="423"/>
      <c r="AI179" s="423"/>
      <c r="AJ179" s="423"/>
      <c r="AK179" s="423"/>
      <c r="AL179" s="423"/>
      <c r="AM179" s="423"/>
      <c r="AN179" s="427"/>
    </row>
    <row r="180" ht="15" customHeight="1">
      <c r="A180" s="12"/>
      <c r="B180" s="428" cm="1">
        <f t="array" ref="B180">IF(B179=0,0,IF(B179&lt;VLOOKUP(C165,'Boats Data Sheet 2026'!$C$3:$H$57,6,0),B179+1,0))</f>
        <v>0</v>
      </c>
      <c r="C180" t="str" s="431" cm="1">
        <f t="array" ref="C180">IF(B180&gt;0,IF(VLOOKUP(C165,'Boats Data Sheet 2026'!$C$3:$J$57,8,0)="N/A",0,VLOOKUP(C165,'Boats Data Sheet 2026'!$C$3:$J$57,8,0)),"N/A")</f>
        <v>N/A</v>
      </c>
      <c r="D180" t="str" s="431" cm="1">
        <f t="array" ref="D180">IF(B180&gt;7,2,IF(B180=0,"N/A",1))</f>
        <v>N/A</v>
      </c>
      <c r="E180" t="str" s="431" cm="1">
        <f t="array" ref="E180">_xlfn.IFERROR(SUM('Direct Costs 2026'!$C$4:$C$5)*D180,"N/A")</f>
        <v>N/A</v>
      </c>
      <c r="F180" s="423" cm="1">
        <f t="array" ref="F180">_xlfn.IFERROR('Direct Costs 2026'!$C$43*B180,"N/A")</f>
        <v>0</v>
      </c>
      <c r="G180" t="str" s="431" cm="1">
        <f t="array" ref="G180">IF(B180&gt;0,'Direct Costs 2026'!$C$25,"N/A")</f>
        <v>N/A</v>
      </c>
      <c r="H180" t="str" s="431" cm="1">
        <f t="array" ref="H180">IF(B180&gt;0,'Direct Costs 2026'!$C$22,"N/A")</f>
        <v>N/A</v>
      </c>
      <c r="I180" s="423">
        <v>0</v>
      </c>
      <c r="J180" s="423">
        <v>0</v>
      </c>
      <c r="K180" t="str" s="431" cm="1">
        <f t="array" ref="K180">IF(B180&gt;0,'Direct Costs 2026'!$C$26,"N/A")</f>
        <v>N/A</v>
      </c>
      <c r="L180" t="str" s="431" cm="1">
        <f t="array" ref="L180">IF(B180&gt;0,'Direct Costs 2026'!$C$23,"N/A")</f>
        <v>N/A</v>
      </c>
      <c r="M180" t="str" s="431" cm="1">
        <f t="array" ref="M180">IF(B180&gt;0,'Direct Costs 2026'!$C$45*B180,"N/A")</f>
        <v>N/A</v>
      </c>
      <c r="N180" t="str" s="431" cm="1">
        <f t="array" ref="N180">IF(B180&gt;0,_xlfn.IFERROR(VLOOKUP(C165,'Boats Data Sheet 2026'!$C$3:$I$57,7,0)*'Direct Costs 2026'!$C$36,"N/A"),"N/A")</f>
        <v>N/A</v>
      </c>
      <c r="O180" t="str" s="431" cm="1">
        <f t="array" ref="O180">IF(B180&gt;0,IF(OR(VLOOKUP(C165,'Boats Data Sheet 2026'!$C$3:$F$57,4,0)="Own",VLOOKUP(C165,'Boats Data Sheet 2026'!$C$3:$F$57,4,0)="Management"),('Direct Costs 2026'!$C$37+'Direct Costs 2026'!$C$39),"N/A"),"N/A")</f>
        <v>N/A</v>
      </c>
      <c r="P180" t="str" s="431" cm="1">
        <f t="array" ref="P180">_xlfn.IFERROR('Direct Costs 2026'!$C$27*C180,"N/A")</f>
        <v>N/A</v>
      </c>
      <c r="Q180" t="str" s="431" cm="1">
        <f t="array" ref="Q180">_xlfn.IFERROR(C180+SUM(E180:P180),"N/A")</f>
        <v>N/A</v>
      </c>
      <c r="R180" s="424"/>
      <c r="S180" t="str" s="431" cm="1">
        <f t="array" ref="S180">IF(B180&gt;0,'Allocation OH and Target 2026'!$E$31,"N/A")</f>
        <v>N/A</v>
      </c>
      <c r="T180" t="str" s="431" cm="1">
        <f t="array" ref="T180">IF(B180&gt;0,VLOOKUP(C165,'Allocation OH and Target 2026'!$C$35:$S$87,16,0),"N/A")</f>
        <v>N/A</v>
      </c>
      <c r="U180" t="str" s="431" cm="1">
        <f t="array" ref="U180">_xlfn.IFERROR((S180+T180),"N/A")</f>
        <v>N/A</v>
      </c>
      <c r="V180" s="424"/>
      <c r="W180" t="str" s="431" cm="1">
        <f t="array" ref="W180">_xlfn.IFERROR(U180+Q180,"N/A")</f>
        <v>N/A</v>
      </c>
      <c r="X180" t="str" s="431" cm="1">
        <f t="array" ref="X180">_xlfn.IFERROR(W180*0.5%,"N/A")</f>
        <v>N/A</v>
      </c>
      <c r="Y180" t="str" s="431" cm="1">
        <f t="array" ref="Y180">_xlfn.IFERROR(W180*25%,"N/A")</f>
        <v>N/A</v>
      </c>
      <c r="Z180" t="str" s="426" cm="1">
        <f t="array" ref="Z180">IF(B180&gt;0,SUM(W180:Y180),"N/A")</f>
        <v>N/A</v>
      </c>
      <c r="AA180" t="str" s="426" cm="1">
        <f t="array" ref="AA180">_xlfn.IFERROR((Z180-Z179),"N/A")</f>
        <v>N/A</v>
      </c>
      <c r="AB180" s="424"/>
      <c r="AC180" t="str" s="426" cm="1">
        <f t="array" ref="AC180">IF(B180=6,AVERAGE(Z168:Z173),"N/A")</f>
        <v>N/A</v>
      </c>
      <c r="AD180" s="424"/>
      <c r="AE180" s="423"/>
      <c r="AF180" s="423"/>
      <c r="AG180" s="423"/>
      <c r="AH180" s="423"/>
      <c r="AI180" s="423"/>
      <c r="AJ180" s="423"/>
      <c r="AK180" s="423"/>
      <c r="AL180" s="423"/>
      <c r="AM180" s="423"/>
      <c r="AN180" s="427"/>
    </row>
    <row r="181" ht="15" customHeight="1">
      <c r="A181" s="12"/>
      <c r="B181" s="428" cm="1">
        <f t="array" ref="B181">IF(B180=0,0,IF(B180&lt;VLOOKUP(C165,'Boats Data Sheet 2026'!$C$3:$H$57,6,0),B180+1,0))</f>
        <v>0</v>
      </c>
      <c r="C181" t="str" s="431" cm="1">
        <f t="array" ref="C181">IF(B181&gt;0,IF(VLOOKUP(C165,'Boats Data Sheet 2026'!$C$3:$J$57,8,0)="N/A",0,VLOOKUP(C165,'Boats Data Sheet 2026'!$C$3:$J$57,8,0)),"N/A")</f>
        <v>N/A</v>
      </c>
      <c r="D181" t="str" s="431" cm="1">
        <f t="array" ref="D181">IF(B181&gt;7,2,IF(B181=0,"N/A",1))</f>
        <v>N/A</v>
      </c>
      <c r="E181" t="str" s="431" cm="1">
        <f t="array" ref="E181">_xlfn.IFERROR(SUM('Direct Costs 2026'!$C$4:$C$5)*D181,"N/A")</f>
        <v>N/A</v>
      </c>
      <c r="F181" s="423" cm="1">
        <f t="array" ref="F181">_xlfn.IFERROR('Direct Costs 2026'!$C$43*B181,"N/A")</f>
        <v>0</v>
      </c>
      <c r="G181" t="str" s="431" cm="1">
        <f t="array" ref="G181">IF(B181&gt;0,'Direct Costs 2026'!$C$25,"N/A")</f>
        <v>N/A</v>
      </c>
      <c r="H181" t="str" s="431" cm="1">
        <f t="array" ref="H181">IF(B181&gt;0,'Direct Costs 2026'!$C$22,"N/A")</f>
        <v>N/A</v>
      </c>
      <c r="I181" s="423">
        <v>0</v>
      </c>
      <c r="J181" s="423">
        <v>0</v>
      </c>
      <c r="K181" t="str" s="431" cm="1">
        <f t="array" ref="K181">IF(B181&gt;0,'Direct Costs 2026'!$C$26,"N/A")</f>
        <v>N/A</v>
      </c>
      <c r="L181" t="str" s="431" cm="1">
        <f t="array" ref="L181">IF(B181&gt;0,'Direct Costs 2026'!$C$23,"N/A")</f>
        <v>N/A</v>
      </c>
      <c r="M181" t="str" s="431" cm="1">
        <f t="array" ref="M181">IF(B181&gt;0,'Direct Costs 2026'!$C$45*B181,"N/A")</f>
        <v>N/A</v>
      </c>
      <c r="N181" t="str" s="431" cm="1">
        <f t="array" ref="N181">IF(B181&gt;0,_xlfn.IFERROR(VLOOKUP(C165,'Boats Data Sheet 2026'!$C$3:$I$57,7,0)*'Direct Costs 2026'!$C$36,"N/A"),"N/A")</f>
        <v>N/A</v>
      </c>
      <c r="O181" t="str" s="431" cm="1">
        <f t="array" ref="O181">IF(B181&gt;0,IF(OR(VLOOKUP(C165,'Boats Data Sheet 2026'!$C$3:$F$57,4,0)="Own",VLOOKUP(C165,'Boats Data Sheet 2026'!$C$3:$F$57,4,0)="Management"),('Direct Costs 2026'!$C$37+'Direct Costs 2026'!$C$39),"N/A"),"N/A")</f>
        <v>N/A</v>
      </c>
      <c r="P181" t="str" s="431" cm="1">
        <f t="array" ref="P181">_xlfn.IFERROR('Direct Costs 2026'!$C$27*C181,"N/A")</f>
        <v>N/A</v>
      </c>
      <c r="Q181" t="str" s="431" cm="1">
        <f t="array" ref="Q181">_xlfn.IFERROR(C181+SUM(E181:P181),"N/A")</f>
        <v>N/A</v>
      </c>
      <c r="R181" s="424"/>
      <c r="S181" t="str" s="431" cm="1">
        <f t="array" ref="S181">IF(B181&gt;0,'Allocation OH and Target 2026'!$E$31,"N/A")</f>
        <v>N/A</v>
      </c>
      <c r="T181" t="str" s="431" cm="1">
        <f t="array" ref="T181">IF(B181&gt;0,VLOOKUP(C165,'Allocation OH and Target 2026'!$C$35:$S$87,16,0),"N/A")</f>
        <v>N/A</v>
      </c>
      <c r="U181" t="str" s="431" cm="1">
        <f t="array" ref="U181">_xlfn.IFERROR((S181+T181),"N/A")</f>
        <v>N/A</v>
      </c>
      <c r="V181" s="424"/>
      <c r="W181" t="str" s="431" cm="1">
        <f t="array" ref="W181">_xlfn.IFERROR(U181+Q181,"N/A")</f>
        <v>N/A</v>
      </c>
      <c r="X181" t="str" s="431" cm="1">
        <f t="array" ref="X181">_xlfn.IFERROR(W181*0.5%,"N/A")</f>
        <v>N/A</v>
      </c>
      <c r="Y181" t="str" s="431" cm="1">
        <f t="array" ref="Y181">_xlfn.IFERROR(W181*25%,"N/A")</f>
        <v>N/A</v>
      </c>
      <c r="Z181" t="str" s="426" cm="1">
        <f t="array" ref="Z181">IF(B181&gt;0,SUM(W181:Y181),"N/A")</f>
        <v>N/A</v>
      </c>
      <c r="AA181" t="str" s="426" cm="1">
        <f t="array" ref="AA181">_xlfn.IFERROR((Z181-Z180),"N/A")</f>
        <v>N/A</v>
      </c>
      <c r="AB181" s="424"/>
      <c r="AC181" t="str" s="426" cm="1">
        <f t="array" ref="AC181">IF(B181=6,AVERAGE(Z168:Z173),"N/A")</f>
        <v>N/A</v>
      </c>
      <c r="AD181" s="424"/>
      <c r="AE181" s="423"/>
      <c r="AF181" s="423"/>
      <c r="AG181" s="423"/>
      <c r="AH181" s="423"/>
      <c r="AI181" s="423"/>
      <c r="AJ181" s="423"/>
      <c r="AK181" s="423"/>
      <c r="AL181" s="423"/>
      <c r="AM181" s="423"/>
      <c r="AN181" s="427"/>
    </row>
    <row r="182" ht="15" customHeight="1">
      <c r="A182" s="12"/>
      <c r="B182" s="428" cm="1">
        <f t="array" ref="B182">IF(B181=0,0,IF(B181&lt;VLOOKUP(C165,'Boats Data Sheet 2026'!$C$3:$H$57,6,0),B181+1,0))</f>
        <v>0</v>
      </c>
      <c r="C182" t="str" s="431" cm="1">
        <f t="array" ref="C182">IF(B182&gt;0,IF(VLOOKUP(C165,'Boats Data Sheet 2026'!$C$3:$J$57,8,0)="N/A",0,VLOOKUP(C165,'Boats Data Sheet 2026'!$C$3:$J$57,8,0)),"N/A")</f>
        <v>N/A</v>
      </c>
      <c r="D182" t="str" s="431" cm="1">
        <f t="array" ref="D182">IF(B182&gt;7,2,IF(B182=0,"N/A",1))</f>
        <v>N/A</v>
      </c>
      <c r="E182" t="str" s="431" cm="1">
        <f t="array" ref="E182">_xlfn.IFERROR(SUM('Direct Costs 2026'!$C$4:$C$5)*D182,"N/A")</f>
        <v>N/A</v>
      </c>
      <c r="F182" s="423" cm="1">
        <f t="array" ref="F182">_xlfn.IFERROR('Direct Costs 2026'!$C$43*B182,"N/A")</f>
        <v>0</v>
      </c>
      <c r="G182" t="str" s="431" cm="1">
        <f t="array" ref="G182">IF(B182&gt;0,'Direct Costs 2026'!$C$25,"N/A")</f>
        <v>N/A</v>
      </c>
      <c r="H182" t="str" s="431" cm="1">
        <f t="array" ref="H182">IF(B182&gt;0,'Direct Costs 2026'!$C$22,"N/A")</f>
        <v>N/A</v>
      </c>
      <c r="I182" s="423">
        <v>0</v>
      </c>
      <c r="J182" s="423">
        <v>0</v>
      </c>
      <c r="K182" t="str" s="431" cm="1">
        <f t="array" ref="K182">IF(B182&gt;0,'Direct Costs 2026'!$C$26,"N/A")</f>
        <v>N/A</v>
      </c>
      <c r="L182" t="str" s="431" cm="1">
        <f t="array" ref="L182">IF(B182&gt;0,'Direct Costs 2026'!$C$23,"N/A")</f>
        <v>N/A</v>
      </c>
      <c r="M182" t="str" s="431" cm="1">
        <f t="array" ref="M182">IF(B182&gt;0,'Direct Costs 2026'!$C$45*B182,"N/A")</f>
        <v>N/A</v>
      </c>
      <c r="N182" t="str" s="431" cm="1">
        <f t="array" ref="N182">IF(B182&gt;0,_xlfn.IFERROR(VLOOKUP(C165,'Boats Data Sheet 2026'!$C$3:$I$57,7,0)*'Direct Costs 2026'!$C$36,"N/A"),"N/A")</f>
        <v>N/A</v>
      </c>
      <c r="O182" t="str" s="431" cm="1">
        <f t="array" ref="O182">IF(B182&gt;0,IF(OR(VLOOKUP(C165,'Boats Data Sheet 2026'!$C$3:$F$57,4,0)="Own",VLOOKUP(C165,'Boats Data Sheet 2026'!$C$3:$F$57,4,0)="Management"),('Direct Costs 2026'!$C$37+'Direct Costs 2026'!$C$39),"N/A"),"N/A")</f>
        <v>N/A</v>
      </c>
      <c r="P182" t="str" s="431" cm="1">
        <f t="array" ref="P182">_xlfn.IFERROR('Direct Costs 2026'!$C$27*C182,"N/A")</f>
        <v>N/A</v>
      </c>
      <c r="Q182" t="str" s="431" cm="1">
        <f t="array" ref="Q182">_xlfn.IFERROR(C182+SUM(E182:P182),"N/A")</f>
        <v>N/A</v>
      </c>
      <c r="R182" s="424"/>
      <c r="S182" t="str" s="431" cm="1">
        <f t="array" ref="S182">IF(B182&gt;0,'Allocation OH and Target 2026'!$E$31,"N/A")</f>
        <v>N/A</v>
      </c>
      <c r="T182" t="str" s="431" cm="1">
        <f t="array" ref="T182">IF(B182&gt;0,VLOOKUP(C165,'Allocation OH and Target 2026'!$C$35:$S$87,16,0),"N/A")</f>
        <v>N/A</v>
      </c>
      <c r="U182" t="str" s="431" cm="1">
        <f t="array" ref="U182">_xlfn.IFERROR((S182+T182),"N/A")</f>
        <v>N/A</v>
      </c>
      <c r="V182" s="424"/>
      <c r="W182" t="str" s="431" cm="1">
        <f t="array" ref="W182">_xlfn.IFERROR(U182+Q182,"N/A")</f>
        <v>N/A</v>
      </c>
      <c r="X182" t="str" s="431" cm="1">
        <f t="array" ref="X182">_xlfn.IFERROR(W182*0.5%,"N/A")</f>
        <v>N/A</v>
      </c>
      <c r="Y182" t="str" s="431" cm="1">
        <f t="array" ref="Y182">_xlfn.IFERROR(W182*25%,"N/A")</f>
        <v>N/A</v>
      </c>
      <c r="Z182" t="str" s="426" cm="1">
        <f t="array" ref="Z182">IF(B182&gt;0,SUM(W182:Y182),"N/A")</f>
        <v>N/A</v>
      </c>
      <c r="AA182" t="str" s="426" cm="1">
        <f t="array" ref="AA182">_xlfn.IFERROR((Z182-Z181),"N/A")</f>
        <v>N/A</v>
      </c>
      <c r="AB182" s="424"/>
      <c r="AC182" t="str" s="426" cm="1">
        <f t="array" ref="AC182">IF(B182=6,AVERAGE(Z168:Z173),"N/A")</f>
        <v>N/A</v>
      </c>
      <c r="AD182" s="424"/>
      <c r="AE182" s="423"/>
      <c r="AF182" s="423"/>
      <c r="AG182" s="423"/>
      <c r="AH182" s="423"/>
      <c r="AI182" s="423"/>
      <c r="AJ182" s="423"/>
      <c r="AK182" s="423"/>
      <c r="AL182" s="423"/>
      <c r="AM182" s="423"/>
      <c r="AN182" s="427"/>
    </row>
    <row r="183" ht="15" customHeight="1">
      <c r="A183" s="12"/>
      <c r="B183" s="428" cm="1">
        <f t="array" ref="B183">IF(B182=0,0,IF(B182&lt;VLOOKUP(C165,'Boats Data Sheet 2026'!$C$3:$H$57,6,0),B182+1,0))</f>
        <v>0</v>
      </c>
      <c r="C183" t="str" s="431" cm="1">
        <f t="array" ref="C183">IF(B183&gt;0,IF(VLOOKUP(C165,'Boats Data Sheet 2026'!$C$3:$J$57,8,0)="N/A",0,VLOOKUP(C165,'Boats Data Sheet 2026'!$C$3:$J$57,8,0)),"N/A")</f>
        <v>N/A</v>
      </c>
      <c r="D183" t="str" s="431" cm="1">
        <f t="array" ref="D183">IF(B183&gt;7,2,IF(B183=0,"N/A",1))</f>
        <v>N/A</v>
      </c>
      <c r="E183" t="str" s="431" cm="1">
        <f t="array" ref="E183">_xlfn.IFERROR(SUM('Direct Costs 2026'!$C$4:$C$5)*D183,"N/A")</f>
        <v>N/A</v>
      </c>
      <c r="F183" s="423" cm="1">
        <f t="array" ref="F183">_xlfn.IFERROR('Direct Costs 2026'!$C$43*B183,"N/A")</f>
        <v>0</v>
      </c>
      <c r="G183" t="str" s="431" cm="1">
        <f t="array" ref="G183">IF(B183&gt;0,'Direct Costs 2026'!$C$25,"N/A")</f>
        <v>N/A</v>
      </c>
      <c r="H183" t="str" s="431" cm="1">
        <f t="array" ref="H183">IF(B183&gt;0,'Direct Costs 2026'!$C$22,"N/A")</f>
        <v>N/A</v>
      </c>
      <c r="I183" s="423">
        <v>0</v>
      </c>
      <c r="J183" s="423">
        <v>0</v>
      </c>
      <c r="K183" t="str" s="431" cm="1">
        <f t="array" ref="K183">IF(B183&gt;0,'Direct Costs 2026'!$C$26,"N/A")</f>
        <v>N/A</v>
      </c>
      <c r="L183" t="str" s="431" cm="1">
        <f t="array" ref="L183">IF(B183&gt;0,'Direct Costs 2026'!$C$23,"N/A")</f>
        <v>N/A</v>
      </c>
      <c r="M183" t="str" s="431" cm="1">
        <f t="array" ref="M183">IF(B183&gt;0,'Direct Costs 2026'!$C$45*B183,"N/A")</f>
        <v>N/A</v>
      </c>
      <c r="N183" t="str" s="431" cm="1">
        <f t="array" ref="N183">IF(B183&gt;0,_xlfn.IFERROR(VLOOKUP(C165,'Boats Data Sheet 2026'!$C$3:$I$57,7,0)*'Direct Costs 2026'!$C$36,"N/A"),"N/A")</f>
        <v>N/A</v>
      </c>
      <c r="O183" t="str" s="431" cm="1">
        <f t="array" ref="O183">IF(B183&gt;0,IF(OR(VLOOKUP(C165,'Boats Data Sheet 2026'!$C$3:$F$57,4,0)="Own",VLOOKUP(C165,'Boats Data Sheet 2026'!$C$3:$F$57,4,0)="Management"),('Direct Costs 2026'!$C$37+'Direct Costs 2026'!$C$39),"N/A"),"N/A")</f>
        <v>N/A</v>
      </c>
      <c r="P183" t="str" s="431" cm="1">
        <f t="array" ref="P183">_xlfn.IFERROR('Direct Costs 2026'!$C$27*C183,"N/A")</f>
        <v>N/A</v>
      </c>
      <c r="Q183" t="str" s="431" cm="1">
        <f t="array" ref="Q183">_xlfn.IFERROR(C183+SUM(E183:P183),"N/A")</f>
        <v>N/A</v>
      </c>
      <c r="R183" s="424"/>
      <c r="S183" t="str" s="431" cm="1">
        <f t="array" ref="S183">IF(B183&gt;0,'Allocation OH and Target 2026'!$E$31,"N/A")</f>
        <v>N/A</v>
      </c>
      <c r="T183" t="str" s="431" cm="1">
        <f t="array" ref="T183">IF(B183&gt;0,VLOOKUP(C165,'Allocation OH and Target 2026'!$C$35:$S$87,16,0),"N/A")</f>
        <v>N/A</v>
      </c>
      <c r="U183" t="str" s="431" cm="1">
        <f t="array" ref="U183">_xlfn.IFERROR((S183+T183),"N/A")</f>
        <v>N/A</v>
      </c>
      <c r="V183" s="424"/>
      <c r="W183" t="str" s="431" cm="1">
        <f t="array" ref="W183">_xlfn.IFERROR(U183+Q183,"N/A")</f>
        <v>N/A</v>
      </c>
      <c r="X183" t="str" s="431" cm="1">
        <f t="array" ref="X183">_xlfn.IFERROR(W183*0.5%,"N/A")</f>
        <v>N/A</v>
      </c>
      <c r="Y183" t="str" s="431" cm="1">
        <f t="array" ref="Y183">_xlfn.IFERROR(W183*25%,"N/A")</f>
        <v>N/A</v>
      </c>
      <c r="Z183" t="str" s="426" cm="1">
        <f t="array" ref="Z183">IF(B183&gt;0,SUM(W183:Y183),"N/A")</f>
        <v>N/A</v>
      </c>
      <c r="AA183" t="str" s="426" cm="1">
        <f t="array" ref="AA183">_xlfn.IFERROR((Z183-Z182),"N/A")</f>
        <v>N/A</v>
      </c>
      <c r="AB183" s="424"/>
      <c r="AC183" t="str" s="426" cm="1">
        <f t="array" ref="AC183">IF(B183=6,AVERAGE(Z168:Z173),"N/A")</f>
        <v>N/A</v>
      </c>
      <c r="AD183" s="424"/>
      <c r="AE183" s="423"/>
      <c r="AF183" s="423"/>
      <c r="AG183" s="423"/>
      <c r="AH183" s="423"/>
      <c r="AI183" s="423"/>
      <c r="AJ183" s="423"/>
      <c r="AK183" s="423"/>
      <c r="AL183" s="423"/>
      <c r="AM183" s="423"/>
      <c r="AN183" s="427"/>
    </row>
    <row r="184" ht="15" customHeight="1">
      <c r="A184" s="12"/>
      <c r="B184" s="428" cm="1">
        <f t="array" ref="B184">IF(B183=0,0,IF(B183&lt;VLOOKUP(C165,'Boats Data Sheet 2026'!$C$3:$H$57,6,0),B183+1,0))</f>
        <v>0</v>
      </c>
      <c r="C184" t="str" s="431" cm="1">
        <f t="array" ref="C184">IF(B184&gt;0,IF(VLOOKUP(C165,'Boats Data Sheet 2026'!$C$3:$J$57,8,0)="N/A",0,VLOOKUP(C165,'Boats Data Sheet 2026'!$C$3:$J$57,8,0)),"N/A")</f>
        <v>N/A</v>
      </c>
      <c r="D184" t="str" s="431" cm="1">
        <f t="array" ref="D184">IF(B184&gt;7,2,IF(B184=0,"N/A",1))</f>
        <v>N/A</v>
      </c>
      <c r="E184" t="str" s="431" cm="1">
        <f t="array" ref="E184">_xlfn.IFERROR(SUM('Direct Costs 2026'!$C$4:$C$5)*D184,"N/A")</f>
        <v>N/A</v>
      </c>
      <c r="F184" s="423" cm="1">
        <f t="array" ref="F184">_xlfn.IFERROR('Direct Costs 2026'!$C$43*B184,"N/A")</f>
        <v>0</v>
      </c>
      <c r="G184" t="str" s="431" cm="1">
        <f t="array" ref="G184">IF(B184&gt;0,'Direct Costs 2026'!$C$25,"N/A")</f>
        <v>N/A</v>
      </c>
      <c r="H184" t="str" s="431" cm="1">
        <f t="array" ref="H184">IF(B184&gt;0,'Direct Costs 2026'!$C$22,"N/A")</f>
        <v>N/A</v>
      </c>
      <c r="I184" s="423">
        <v>0</v>
      </c>
      <c r="J184" s="423">
        <v>0</v>
      </c>
      <c r="K184" t="str" s="431" cm="1">
        <f t="array" ref="K184">IF(B184&gt;0,'Direct Costs 2026'!$C$26,"N/A")</f>
        <v>N/A</v>
      </c>
      <c r="L184" t="str" s="431" cm="1">
        <f t="array" ref="L184">IF(B184&gt;0,'Direct Costs 2026'!$C$23,"N/A")</f>
        <v>N/A</v>
      </c>
      <c r="M184" t="str" s="431" cm="1">
        <f t="array" ref="M184">IF(B184&gt;0,'Direct Costs 2026'!$C$45*B184,"N/A")</f>
        <v>N/A</v>
      </c>
      <c r="N184" t="str" s="431" cm="1">
        <f t="array" ref="N184">IF(B184&gt;0,_xlfn.IFERROR(VLOOKUP(C165,'Boats Data Sheet 2026'!$C$3:$I$57,7,0)*'Direct Costs 2026'!$C$36,"N/A"),"N/A")</f>
        <v>N/A</v>
      </c>
      <c r="O184" t="str" s="431" cm="1">
        <f t="array" ref="O184">IF(B184&gt;0,IF(OR(VLOOKUP(C165,'Boats Data Sheet 2026'!$C$3:$F$57,4,0)="Own",VLOOKUP(C165,'Boats Data Sheet 2026'!$C$3:$F$57,4,0)="Management"),('Direct Costs 2026'!$C$37+'Direct Costs 2026'!$C$39),"N/A"),"N/A")</f>
        <v>N/A</v>
      </c>
      <c r="P184" t="str" s="431" cm="1">
        <f t="array" ref="P184">_xlfn.IFERROR('Direct Costs 2026'!$C$27*C184,"N/A")</f>
        <v>N/A</v>
      </c>
      <c r="Q184" t="str" s="431" cm="1">
        <f t="array" ref="Q184">_xlfn.IFERROR(C184+SUM(E184:P184),"N/A")</f>
        <v>N/A</v>
      </c>
      <c r="R184" s="424"/>
      <c r="S184" t="str" s="431" cm="1">
        <f t="array" ref="S184">IF(B184&gt;0,'Allocation OH and Target 2026'!$E$31,"N/A")</f>
        <v>N/A</v>
      </c>
      <c r="T184" t="str" s="431" cm="1">
        <f t="array" ref="T184">IF(B184&gt;0,VLOOKUP(C165,'Allocation OH and Target 2026'!$C$35:$S$87,16,0),"N/A")</f>
        <v>N/A</v>
      </c>
      <c r="U184" t="str" s="431" cm="1">
        <f t="array" ref="U184">_xlfn.IFERROR((S184+T184),"N/A")</f>
        <v>N/A</v>
      </c>
      <c r="V184" s="424"/>
      <c r="W184" t="str" s="431" cm="1">
        <f t="array" ref="W184">_xlfn.IFERROR(U184+Q184,"N/A")</f>
        <v>N/A</v>
      </c>
      <c r="X184" t="str" s="431" cm="1">
        <f t="array" ref="X184">_xlfn.IFERROR(W184*0.5%,"N/A")</f>
        <v>N/A</v>
      </c>
      <c r="Y184" t="str" s="431" cm="1">
        <f t="array" ref="Y184">_xlfn.IFERROR(W184*25%,"N/A")</f>
        <v>N/A</v>
      </c>
      <c r="Z184" t="str" s="426" cm="1">
        <f t="array" ref="Z184">IF(B184&gt;0,SUM(W184:Y184),"N/A")</f>
        <v>N/A</v>
      </c>
      <c r="AA184" t="str" s="426" cm="1">
        <f t="array" ref="AA184">_xlfn.IFERROR((Z184-Z183),"N/A")</f>
        <v>N/A</v>
      </c>
      <c r="AB184" s="424"/>
      <c r="AC184" t="str" s="426" cm="1">
        <f t="array" ref="AC184">IF(B184=6,AVERAGE(Z168:Z173),"N/A")</f>
        <v>N/A</v>
      </c>
      <c r="AD184" s="424"/>
      <c r="AE184" s="423"/>
      <c r="AF184" s="423"/>
      <c r="AG184" s="423"/>
      <c r="AH184" s="423"/>
      <c r="AI184" s="423"/>
      <c r="AJ184" s="423"/>
      <c r="AK184" s="423"/>
      <c r="AL184" s="423"/>
      <c r="AM184" s="423"/>
      <c r="AN184" s="427"/>
    </row>
    <row r="185" ht="15.5" customHeight="1">
      <c r="A185" s="12"/>
      <c r="B185" s="432" cm="1">
        <f t="array" ref="B185">IF(B184=0,0,IF(B184&lt;VLOOKUP(C165,'Boats Data Sheet 2026'!$C$3:$H$57,6,0),B184+1,0))</f>
        <v>0</v>
      </c>
      <c r="C185" t="str" s="433" cm="1">
        <f t="array" ref="C185">IF(B185&gt;0,IF(VLOOKUP(C165,'Boats Data Sheet 2026'!$C$3:$J$57,8,0)="N/A",0,VLOOKUP(C165,'Boats Data Sheet 2026'!$C$3:$J$57,8,0)),"N/A")</f>
        <v>N/A</v>
      </c>
      <c r="D185" t="str" s="433" cm="1">
        <f t="array" ref="D185">IF(B185&gt;7,2,IF(B185=0,"N/A",1))</f>
        <v>N/A</v>
      </c>
      <c r="E185" t="str" s="433" cm="1">
        <f t="array" ref="E185">_xlfn.IFERROR(SUM('Direct Costs 2026'!$C$4:$C$5)*D185,"N/A")</f>
        <v>N/A</v>
      </c>
      <c r="F185" s="434" cm="1">
        <f t="array" ref="F185">_xlfn.IFERROR('Direct Costs 2026'!$C$43*B185,"N/A")</f>
        <v>0</v>
      </c>
      <c r="G185" t="str" s="433" cm="1">
        <f t="array" ref="G185">IF(B185&gt;0,'Direct Costs 2026'!$C$25,"N/A")</f>
        <v>N/A</v>
      </c>
      <c r="H185" t="str" s="433" cm="1">
        <f t="array" ref="H185">IF(B185&gt;0,'Direct Costs 2026'!$C$22,"N/A")</f>
        <v>N/A</v>
      </c>
      <c r="I185" s="434">
        <v>0</v>
      </c>
      <c r="J185" s="434">
        <v>0</v>
      </c>
      <c r="K185" t="str" s="433" cm="1">
        <f t="array" ref="K185">IF(B185&gt;0,'Direct Costs 2026'!$C$26,"N/A")</f>
        <v>N/A</v>
      </c>
      <c r="L185" t="str" s="433" cm="1">
        <f t="array" ref="L185">IF(B185&gt;0,'Direct Costs 2026'!$C$23,"N/A")</f>
        <v>N/A</v>
      </c>
      <c r="M185" t="str" s="433" cm="1">
        <f t="array" ref="M185">IF(B185&gt;0,'Direct Costs 2026'!$C$45*B185,"N/A")</f>
        <v>N/A</v>
      </c>
      <c r="N185" t="str" s="433" cm="1">
        <f t="array" ref="N185">IF(B185&gt;0,_xlfn.IFERROR(VLOOKUP(C165,'Boats Data Sheet 2026'!$C$3:$I$57,7,0)*'Direct Costs 2026'!$C$36,"N/A"),"N/A")</f>
        <v>N/A</v>
      </c>
      <c r="O185" t="str" s="433" cm="1">
        <f t="array" ref="O185">IF(B185&gt;0,IF(OR(VLOOKUP(C165,'Boats Data Sheet 2026'!$C$3:$F$57,4,0)="Own",VLOOKUP(C165,'Boats Data Sheet 2026'!$C$3:$F$57,4,0)="Management"),('Direct Costs 2026'!$C$37+'Direct Costs 2026'!$C$39),"N/A"),"N/A")</f>
        <v>N/A</v>
      </c>
      <c r="P185" t="str" s="433" cm="1">
        <f t="array" ref="P185">_xlfn.IFERROR('Direct Costs 2026'!$C$27*C185,"N/A")</f>
        <v>N/A</v>
      </c>
      <c r="Q185" t="str" s="433" cm="1">
        <f t="array" ref="Q185">_xlfn.IFERROR(C185+SUM(E185:P185),"N/A")</f>
        <v>N/A</v>
      </c>
      <c r="R185" s="435"/>
      <c r="S185" t="str" s="433" cm="1">
        <f t="array" ref="S185">IF(B185&gt;0,'Allocation OH and Target 2026'!$E$31,"N/A")</f>
        <v>N/A</v>
      </c>
      <c r="T185" t="str" s="433" cm="1">
        <f t="array" ref="T185">IF(B185&gt;0,VLOOKUP(C165,'Allocation OH and Target 2026'!$C$35:$S$87,16,0),"N/A")</f>
        <v>N/A</v>
      </c>
      <c r="U185" t="str" s="433" cm="1">
        <f t="array" ref="U185">_xlfn.IFERROR((S185+T185),"N/A")</f>
        <v>N/A</v>
      </c>
      <c r="V185" s="435"/>
      <c r="W185" t="str" s="433" cm="1">
        <f t="array" ref="W185">_xlfn.IFERROR(U185+Q185,"N/A")</f>
        <v>N/A</v>
      </c>
      <c r="X185" t="str" s="433" cm="1">
        <f t="array" ref="X185">_xlfn.IFERROR(W185*0.5%,"N/A")</f>
        <v>N/A</v>
      </c>
      <c r="Y185" t="str" s="433" cm="1">
        <f t="array" ref="Y185">_xlfn.IFERROR(W185*25%,"N/A")</f>
        <v>N/A</v>
      </c>
      <c r="Z185" t="str" s="436" cm="1">
        <f t="array" ref="Z185">IF(B185&gt;0,SUM(W185:Y185),"N/A")</f>
        <v>N/A</v>
      </c>
      <c r="AA185" t="str" s="436" cm="1">
        <f t="array" ref="AA185">_xlfn.IFERROR((Z185-Z184),"N/A")</f>
        <v>N/A</v>
      </c>
      <c r="AB185" s="435"/>
      <c r="AC185" t="str" s="436" cm="1">
        <f t="array" ref="AC185">IF(B185=6,AVERAGE(Z168:Z173),"N/A")</f>
        <v>N/A</v>
      </c>
      <c r="AD185" s="435"/>
      <c r="AE185" s="434"/>
      <c r="AF185" s="434"/>
      <c r="AG185" s="434"/>
      <c r="AH185" s="434"/>
      <c r="AI185" s="434"/>
      <c r="AJ185" s="434"/>
      <c r="AK185" s="434"/>
      <c r="AL185" s="434"/>
      <c r="AM185" s="434"/>
      <c r="AN185" s="437"/>
    </row>
    <row r="186" ht="15" customHeight="1">
      <c r="A186" s="32"/>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313"/>
    </row>
    <row r="187" ht="15" customHeight="1">
      <c r="A187" s="32"/>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442"/>
    </row>
    <row r="188" ht="15.5" customHeight="1">
      <c r="A188" s="395">
        <v>9</v>
      </c>
      <c r="B188" t="s" s="396">
        <v>506</v>
      </c>
      <c r="C188" t="s" s="397">
        <v>192</v>
      </c>
      <c r="D188" s="398"/>
      <c r="E188" s="398"/>
      <c r="F188" s="398"/>
      <c r="G188" s="398"/>
      <c r="H188" s="398"/>
      <c r="I188" s="398"/>
      <c r="J188" s="398"/>
      <c r="K188" s="398"/>
      <c r="L188" s="398"/>
      <c r="M188" s="398"/>
      <c r="N188" s="398"/>
      <c r="O188" s="398"/>
      <c r="P188" s="398"/>
      <c r="Q188" s="398"/>
      <c r="R188" s="399"/>
      <c r="S188" s="398"/>
      <c r="T188" s="398"/>
      <c r="U188" s="398"/>
      <c r="V188" s="399"/>
      <c r="W188" s="398"/>
      <c r="X188" s="398"/>
      <c r="Y188" s="398"/>
      <c r="Z188" s="398"/>
      <c r="AA188" s="398"/>
      <c r="AB188" s="399"/>
      <c r="AC188" s="398"/>
      <c r="AD188" s="399"/>
      <c r="AE188" t="s" s="397">
        <v>508</v>
      </c>
      <c r="AF188" s="401" cm="1">
        <f t="array" ref="AF188">AVERAGE(Q191:Q196)</f>
        <v>8501500</v>
      </c>
      <c r="AG188" t="s" s="400">
        <v>509</v>
      </c>
      <c r="AH188" s="401" cm="1">
        <f t="array" ref="AH188">AVERAGE(Q197:Q204)-AF188</f>
        <v>1436625</v>
      </c>
      <c r="AI188" t="s" s="400">
        <v>510</v>
      </c>
      <c r="AJ188" s="401" cm="1">
        <f t="array" ref="AJ188">AVERAGE(Y191:Y198)</f>
        <v>2966846.16442453</v>
      </c>
      <c r="AK188" t="s" s="397">
        <v>511</v>
      </c>
      <c r="AL188" s="401" cm="1">
        <f t="array" ref="AL188">AVERAGE(W191:W196)</f>
        <v>11601947.1576981</v>
      </c>
      <c r="AM188" t="s" s="400">
        <v>512</v>
      </c>
      <c r="AN188" s="402" cm="1">
        <f t="array" ref="AN188">W191</f>
        <v>11211947.1576981</v>
      </c>
    </row>
    <row r="189" ht="15" customHeight="1">
      <c r="A189" s="12"/>
      <c r="B189" s="403"/>
      <c r="C189" t="s" s="404">
        <v>513</v>
      </c>
      <c r="D189" s="405"/>
      <c r="E189" s="405"/>
      <c r="F189" s="405"/>
      <c r="G189" s="405"/>
      <c r="H189" s="405"/>
      <c r="I189" s="405"/>
      <c r="J189" s="405"/>
      <c r="K189" s="405"/>
      <c r="L189" s="405"/>
      <c r="M189" s="405"/>
      <c r="N189" s="405"/>
      <c r="O189" s="405"/>
      <c r="P189" s="405"/>
      <c r="Q189" s="406"/>
      <c r="R189" s="407"/>
      <c r="S189" t="s" s="404">
        <v>514</v>
      </c>
      <c r="T189" s="405"/>
      <c r="U189" s="406"/>
      <c r="V189" s="407"/>
      <c r="W189" t="s" s="404">
        <v>515</v>
      </c>
      <c r="X189" s="405"/>
      <c r="Y189" s="405"/>
      <c r="Z189" s="405"/>
      <c r="AA189" s="405"/>
      <c r="AB189" s="408"/>
      <c r="AC189" s="489"/>
      <c r="AD189" s="410"/>
      <c r="AE189" s="443"/>
      <c r="AF189" s="443"/>
      <c r="AG189" s="443"/>
      <c r="AH189" s="443"/>
      <c r="AI189" s="443"/>
      <c r="AJ189" s="443"/>
      <c r="AK189" s="443"/>
      <c r="AL189" s="414"/>
      <c r="AM189" s="415"/>
      <c r="AN189" s="414"/>
    </row>
    <row r="190" ht="46.25" customHeight="1">
      <c r="A190" s="187"/>
      <c r="B190" t="s" s="416">
        <v>517</v>
      </c>
      <c r="C190" t="s" s="417">
        <v>518</v>
      </c>
      <c r="D190" t="s" s="417">
        <v>519</v>
      </c>
      <c r="E190" t="s" s="417">
        <v>520</v>
      </c>
      <c r="F190" t="s" s="159">
        <v>521</v>
      </c>
      <c r="G190" t="s" s="159">
        <v>522</v>
      </c>
      <c r="H190" t="s" s="159">
        <v>541</v>
      </c>
      <c r="I190" t="s" s="159">
        <v>524</v>
      </c>
      <c r="J190" t="s" s="159">
        <v>525</v>
      </c>
      <c r="K190" t="s" s="159">
        <v>526</v>
      </c>
      <c r="L190" t="s" s="159">
        <v>527</v>
      </c>
      <c r="M190" t="s" s="159">
        <v>528</v>
      </c>
      <c r="N190" t="s" s="159">
        <v>529</v>
      </c>
      <c r="O190" t="s" s="159">
        <v>530</v>
      </c>
      <c r="P190" t="s" s="159">
        <v>531</v>
      </c>
      <c r="Q190" t="s" s="159">
        <v>532</v>
      </c>
      <c r="R190" s="418"/>
      <c r="S190" t="s" s="159">
        <v>533</v>
      </c>
      <c r="T190" t="s" s="159">
        <v>534</v>
      </c>
      <c r="U190" t="s" s="159">
        <v>535</v>
      </c>
      <c r="V190" s="418"/>
      <c r="W190" t="s" s="159">
        <v>536</v>
      </c>
      <c r="X190" t="s" s="159">
        <v>537</v>
      </c>
      <c r="Y190" t="s" s="159">
        <v>538</v>
      </c>
      <c r="Z190" t="s" s="159">
        <v>539</v>
      </c>
      <c r="AA190" t="s" s="159">
        <v>121</v>
      </c>
      <c r="AB190" s="419"/>
      <c r="AC190" t="s" s="159">
        <v>39</v>
      </c>
      <c r="AD190" s="419"/>
      <c r="AE190" s="77"/>
      <c r="AF190" s="77"/>
      <c r="AG190" s="77"/>
      <c r="AH190" s="77"/>
      <c r="AI190" s="77"/>
      <c r="AJ190" s="77"/>
      <c r="AK190" s="77"/>
      <c r="AL190" s="77"/>
      <c r="AM190" s="77"/>
      <c r="AN190" s="78"/>
    </row>
    <row r="191" ht="15" customHeight="1">
      <c r="A191" s="12"/>
      <c r="B191" s="420">
        <v>1</v>
      </c>
      <c r="C191" s="421" cm="1">
        <f t="array" ref="C191">IF(B191&gt;0,IF(VLOOKUP(C188,'Boats Data Sheet 2026'!$C$3:$J$57,8,0)="N/A",0,VLOOKUP(C188,'Boats Data Sheet 2026'!$C$3:$J$57,8,0)),"N/A")</f>
        <v>6500000</v>
      </c>
      <c r="D191" s="422" cm="1">
        <f t="array" ref="D191">IF(B191&gt;7,2,IF(B191=0,"N/A",1))</f>
        <v>1</v>
      </c>
      <c r="E191" s="421" cm="1">
        <f t="array" ref="E191">_xlfn.IFERROR(SUM('Direct Costs 2026'!$C$4:$C$5)*D191,"N/A")</f>
        <v>875500</v>
      </c>
      <c r="F191" s="423" cm="1">
        <f t="array" ref="F191">_xlfn.IFERROR('Direct Costs 2026'!$C$43*B191,"N/A")</f>
        <v>6000</v>
      </c>
      <c r="G191" s="423" cm="1">
        <f t="array" ref="G191">IF(B191&gt;0,'Direct Costs 2026'!$C$25,"N/A")</f>
        <v>90000</v>
      </c>
      <c r="H191" s="423" cm="1">
        <f t="array" ref="H191">IF(B191&gt;0,'Direct Costs 2026'!$C$22,"N/A")</f>
        <v>200000</v>
      </c>
      <c r="I191" s="423">
        <v>0</v>
      </c>
      <c r="J191" s="423">
        <v>0</v>
      </c>
      <c r="K191" s="423" cm="1">
        <f t="array" ref="K191">IF(B191&gt;0,'Direct Costs 2026'!$C$26,"N/A")</f>
        <v>20000</v>
      </c>
      <c r="L191" s="423" cm="1">
        <f t="array" ref="L191">IF(B191&gt;0,'Direct Costs 2026'!$C$23,"N/A")</f>
        <v>140000</v>
      </c>
      <c r="M191" s="423" cm="1">
        <f t="array" ref="M191">IF(B191&gt;0,'Direct Costs 2026'!$C$45*B191,"N/A")</f>
        <v>150000</v>
      </c>
      <c r="N191" t="str" s="431" cm="1">
        <f t="array" ref="N191">IF(B191&gt;0,_xlfn.IFERROR(VLOOKUP(C188,'Boats Data Sheet 2026'!$C$3:$I$57,7,0)*'Direct Costs 2026'!$C$36,"N/A"),"N/A")</f>
        <v>N/A</v>
      </c>
      <c r="O191" t="str" s="431" cm="1">
        <f t="array" ref="O191">IF(B191&gt;0,IF(OR(VLOOKUP(C188,'Boats Data Sheet 2026'!$C$3:$F$57,4,0)="Own",VLOOKUP(C188,'Boats Data Sheet 2026'!$C$3:$F$57,4,0)="Management"),('Direct Costs 2026'!$C$37+'Direct Costs 2026'!$C$39),"N/A"),"N/A")</f>
        <v>N/A</v>
      </c>
      <c r="P191" s="423" cm="1">
        <f t="array" ref="P191">_xlfn.IFERROR('Direct Costs 2026'!$C$27*C191,"N/A")</f>
        <v>130000</v>
      </c>
      <c r="Q191" s="423" cm="1">
        <f t="array" ref="Q191">_xlfn.IFERROR(C191+SUM(E191:P191),"N/A")</f>
        <v>8111500</v>
      </c>
      <c r="R191" s="424"/>
      <c r="S191" s="423" cm="1">
        <f t="array" ref="S191">IF(B191&gt;0,'Allocation OH and Target 2026'!$E$31,"N/A")</f>
        <v>3100447.15769812</v>
      </c>
      <c r="T191" s="423" cm="1">
        <f t="array" ref="T191">IF(B191&gt;0,VLOOKUP(C188,'Allocation OH and Target 2026'!$C$35:$S$87,16,0),"N/A")</f>
        <v>0</v>
      </c>
      <c r="U191" s="423" cm="1">
        <f t="array" ref="U191">_xlfn.IFERROR((S191+T191),"N/A")</f>
        <v>3100447.15769812</v>
      </c>
      <c r="V191" s="424"/>
      <c r="W191" s="423" cm="1">
        <f t="array" ref="W191">_xlfn.IFERROR(U191+Q191,"N/A")</f>
        <v>11211947.1576981</v>
      </c>
      <c r="X191" s="423" cm="1">
        <f t="array" ref="X191">_xlfn.IFERROR(W191*0.5%,"N/A")</f>
        <v>56059.7357884905</v>
      </c>
      <c r="Y191" s="423" cm="1">
        <f t="array" ref="Y191">_xlfn.IFERROR(W191*25%,"N/A")</f>
        <v>2802986.78942453</v>
      </c>
      <c r="Z191" s="425" cm="1">
        <f t="array" ref="Z191">IF(B191&gt;0,SUM(W191:Y191),"N/A")</f>
        <v>14070993.6829111</v>
      </c>
      <c r="AA191" s="425">
        <v>0</v>
      </c>
      <c r="AB191" s="424"/>
      <c r="AC191" t="str" s="426" cm="1">
        <f t="array" ref="AC191">IF(B191=6,AVERAGE(Z191:Z196),"N/A")</f>
        <v>N/A</v>
      </c>
      <c r="AD191" s="424"/>
      <c r="AE191" s="423"/>
      <c r="AF191" s="423"/>
      <c r="AG191" s="423"/>
      <c r="AH191" s="423"/>
      <c r="AI191" s="423"/>
      <c r="AJ191" s="423"/>
      <c r="AK191" s="423"/>
      <c r="AL191" s="423"/>
      <c r="AM191" s="423"/>
      <c r="AN191" s="427"/>
    </row>
    <row r="192" ht="15" customHeight="1">
      <c r="A192" s="12"/>
      <c r="B192" s="428" cm="1">
        <f t="array" ref="B192">IF(B191=0,0,IF(B191&lt;VLOOKUP(C188,'Boats Data Sheet 2026'!$C$3:$H$57,6,0),B191+1,0))</f>
        <v>2</v>
      </c>
      <c r="C192" s="423" cm="1">
        <f t="array" ref="C192">IF(B192&gt;0,IF(VLOOKUP(C188,'Boats Data Sheet 2026'!$C$3:$J$57,8,0)="N/A",0,VLOOKUP(C188,'Boats Data Sheet 2026'!$C$3:$J$57,8,0)),"N/A")</f>
        <v>6500000</v>
      </c>
      <c r="D192" s="429" cm="1">
        <f t="array" ref="D192">IF(B192&gt;7,2,IF(B192=0,"N/A",1))</f>
        <v>1</v>
      </c>
      <c r="E192" s="423" cm="1">
        <f t="array" ref="E192">_xlfn.IFERROR(SUM('Direct Costs 2026'!$C$4:$C$5)*D192,"N/A")</f>
        <v>875500</v>
      </c>
      <c r="F192" s="423" cm="1">
        <f t="array" ref="F192">_xlfn.IFERROR('Direct Costs 2026'!$C$43*B192,"N/A")</f>
        <v>12000</v>
      </c>
      <c r="G192" s="423" cm="1">
        <f t="array" ref="G192">IF(B192&gt;0,'Direct Costs 2026'!$C$25,"N/A")</f>
        <v>90000</v>
      </c>
      <c r="H192" s="423" cm="1">
        <f t="array" ref="H192">IF(B192&gt;0,'Direct Costs 2026'!$C$22,"N/A")</f>
        <v>200000</v>
      </c>
      <c r="I192" s="423">
        <v>0</v>
      </c>
      <c r="J192" s="423">
        <v>0</v>
      </c>
      <c r="K192" s="423" cm="1">
        <f t="array" ref="K192">IF(B192&gt;0,'Direct Costs 2026'!$C$26,"N/A")</f>
        <v>20000</v>
      </c>
      <c r="L192" s="423" cm="1">
        <f t="array" ref="L192">IF(B192&gt;0,'Direct Costs 2026'!$C$23,"N/A")</f>
        <v>140000</v>
      </c>
      <c r="M192" s="423" cm="1">
        <f t="array" ref="M192">IF(B192&gt;0,'Direct Costs 2026'!$C$45*B192,"N/A")</f>
        <v>300000</v>
      </c>
      <c r="N192" t="str" s="431" cm="1">
        <f t="array" ref="N192">IF(B192&gt;0,_xlfn.IFERROR(VLOOKUP(C188,'Boats Data Sheet 2026'!$C$3:$I$57,7,0)*'Direct Costs 2026'!$C$36,"N/A"),"N/A")</f>
        <v>N/A</v>
      </c>
      <c r="O192" t="str" s="431" cm="1">
        <f t="array" ref="O192">IF(B192&gt;0,IF(OR(VLOOKUP(C188,'Boats Data Sheet 2026'!$C$3:$F$57,4,0)="Own",VLOOKUP(C188,'Boats Data Sheet 2026'!$C$3:$F$57,4,0)="Management"),('Direct Costs 2026'!$C$37+'Direct Costs 2026'!$C$39),"N/A"),"N/A")</f>
        <v>N/A</v>
      </c>
      <c r="P192" s="423" cm="1">
        <f t="array" ref="P192">_xlfn.IFERROR('Direct Costs 2026'!$C$27*C192,"N/A")</f>
        <v>130000</v>
      </c>
      <c r="Q192" s="423" cm="1">
        <f t="array" ref="Q192">_xlfn.IFERROR(C192+SUM(E192:P192),"N/A")</f>
        <v>8267500</v>
      </c>
      <c r="R192" s="424"/>
      <c r="S192" s="423" cm="1">
        <f t="array" ref="S192">IF(B192&gt;0,'Allocation OH and Target 2026'!$E$31,"N/A")</f>
        <v>3100447.15769812</v>
      </c>
      <c r="T192" s="423" cm="1">
        <f t="array" ref="T192">IF(B192&gt;0,VLOOKUP(C188,'Allocation OH and Target 2026'!$C$35:$S$87,16,0),"N/A")</f>
        <v>0</v>
      </c>
      <c r="U192" s="423" cm="1">
        <f t="array" ref="U192">_xlfn.IFERROR((S192+T192),"N/A")</f>
        <v>3100447.15769812</v>
      </c>
      <c r="V192" s="424"/>
      <c r="W192" s="423" cm="1">
        <f t="array" ref="W192">_xlfn.IFERROR(U192+Q192,"N/A")</f>
        <v>11367947.1576981</v>
      </c>
      <c r="X192" s="423" cm="1">
        <f t="array" ref="X192">_xlfn.IFERROR(W192*0.5%,"N/A")</f>
        <v>56839.7357884905</v>
      </c>
      <c r="Y192" s="423" cm="1">
        <f t="array" ref="Y192">_xlfn.IFERROR(W192*25%,"N/A")</f>
        <v>2841986.78942453</v>
      </c>
      <c r="Z192" s="425" cm="1">
        <f t="array" ref="Z192">IF(B192&gt;0,SUM(W192:Y192),"N/A")</f>
        <v>14266773.6829111</v>
      </c>
      <c r="AA192" s="425" cm="1">
        <f t="array" ref="AA192">_xlfn.IFERROR((Z192-Z191),"N/A")</f>
        <v>195780</v>
      </c>
      <c r="AB192" s="424"/>
      <c r="AC192" t="str" s="426" cm="1">
        <f t="array" ref="AC192">IF(B192=6,AVERAGE(Z191:Z196),"N/A")</f>
        <v>N/A</v>
      </c>
      <c r="AD192" s="424"/>
      <c r="AE192" s="423"/>
      <c r="AF192" s="423"/>
      <c r="AG192" s="423"/>
      <c r="AH192" s="423"/>
      <c r="AI192" s="423"/>
      <c r="AJ192" s="423"/>
      <c r="AK192" s="423"/>
      <c r="AL192" s="423"/>
      <c r="AM192" s="423"/>
      <c r="AN192" s="427"/>
    </row>
    <row r="193" ht="15" customHeight="1">
      <c r="A193" s="12"/>
      <c r="B193" s="428" cm="1">
        <f t="array" ref="B193">IF(B192=0,0,IF(B192&lt;VLOOKUP(C188,'Boats Data Sheet 2026'!$C$3:$H$57,6,0),B192+1,0))</f>
        <v>3</v>
      </c>
      <c r="C193" s="423" cm="1">
        <f t="array" ref="C193">IF(B193&gt;0,IF(VLOOKUP(C188,'Boats Data Sheet 2026'!$C$3:$J$57,8,0)="N/A",0,VLOOKUP(C188,'Boats Data Sheet 2026'!$C$3:$J$57,8,0)),"N/A")</f>
        <v>6500000</v>
      </c>
      <c r="D193" s="429" cm="1">
        <f t="array" ref="D193">IF(B193&gt;7,2,IF(B193=0,"N/A",1))</f>
        <v>1</v>
      </c>
      <c r="E193" s="423" cm="1">
        <f t="array" ref="E193">_xlfn.IFERROR(SUM('Direct Costs 2026'!$C$4:$C$5)*D193,"N/A")</f>
        <v>875500</v>
      </c>
      <c r="F193" s="423" cm="1">
        <f t="array" ref="F193">_xlfn.IFERROR('Direct Costs 2026'!$C$43*B193,"N/A")</f>
        <v>18000</v>
      </c>
      <c r="G193" s="423" cm="1">
        <f t="array" ref="G193">IF(B193&gt;0,'Direct Costs 2026'!$C$25,"N/A")</f>
        <v>90000</v>
      </c>
      <c r="H193" s="423" cm="1">
        <f t="array" ref="H193">IF(B193&gt;0,'Direct Costs 2026'!$C$22,"N/A")</f>
        <v>200000</v>
      </c>
      <c r="I193" s="423">
        <v>0</v>
      </c>
      <c r="J193" s="423">
        <v>0</v>
      </c>
      <c r="K193" s="423" cm="1">
        <f t="array" ref="K193">IF(B193&gt;0,'Direct Costs 2026'!$C$26,"N/A")</f>
        <v>20000</v>
      </c>
      <c r="L193" s="423" cm="1">
        <f t="array" ref="L193">IF(B193&gt;0,'Direct Costs 2026'!$C$23,"N/A")</f>
        <v>140000</v>
      </c>
      <c r="M193" s="423" cm="1">
        <f t="array" ref="M193">IF(B193&gt;0,'Direct Costs 2026'!$C$45*B193,"N/A")</f>
        <v>450000</v>
      </c>
      <c r="N193" t="str" s="431" cm="1">
        <f t="array" ref="N193">IF(B193&gt;0,_xlfn.IFERROR(VLOOKUP(C188,'Boats Data Sheet 2026'!$C$3:$I$57,7,0)*'Direct Costs 2026'!$C$36,"N/A"),"N/A")</f>
        <v>N/A</v>
      </c>
      <c r="O193" t="str" s="431" cm="1">
        <f t="array" ref="O193">IF(B193&gt;0,IF(OR(VLOOKUP(C188,'Boats Data Sheet 2026'!$C$3:$F$57,4,0)="Own",VLOOKUP(C188,'Boats Data Sheet 2026'!$C$3:$F$57,4,0)="Management"),('Direct Costs 2026'!$C$37+'Direct Costs 2026'!$C$39),"N/A"),"N/A")</f>
        <v>N/A</v>
      </c>
      <c r="P193" s="423" cm="1">
        <f t="array" ref="P193">_xlfn.IFERROR('Direct Costs 2026'!$C$27*C193,"N/A")</f>
        <v>130000</v>
      </c>
      <c r="Q193" s="423" cm="1">
        <f t="array" ref="Q193">_xlfn.IFERROR(C193+SUM(E193:P193),"N/A")</f>
        <v>8423500</v>
      </c>
      <c r="R193" s="424"/>
      <c r="S193" s="423" cm="1">
        <f t="array" ref="S193">IF(B193&gt;0,'Allocation OH and Target 2026'!$E$31,"N/A")</f>
        <v>3100447.15769812</v>
      </c>
      <c r="T193" s="423" cm="1">
        <f t="array" ref="T193">IF(B193&gt;0,VLOOKUP(C188,'Allocation OH and Target 2026'!$C$35:$S$87,16,0),"N/A")</f>
        <v>0</v>
      </c>
      <c r="U193" s="423" cm="1">
        <f t="array" ref="U193">_xlfn.IFERROR((S193+T193),"N/A")</f>
        <v>3100447.15769812</v>
      </c>
      <c r="V193" s="424"/>
      <c r="W193" s="423" cm="1">
        <f t="array" ref="W193">_xlfn.IFERROR(U193+Q193,"N/A")</f>
        <v>11523947.1576981</v>
      </c>
      <c r="X193" s="423" cm="1">
        <f t="array" ref="X193">_xlfn.IFERROR(W193*0.5%,"N/A")</f>
        <v>57619.7357884905</v>
      </c>
      <c r="Y193" s="423" cm="1">
        <f t="array" ref="Y193">_xlfn.IFERROR(W193*25%,"N/A")</f>
        <v>2880986.78942453</v>
      </c>
      <c r="Z193" s="425" cm="1">
        <f t="array" ref="Z193">IF(B193&gt;0,SUM(W193:Y193),"N/A")</f>
        <v>14462553.6829111</v>
      </c>
      <c r="AA193" s="425" cm="1">
        <f t="array" ref="AA193">_xlfn.IFERROR((Z193-Z192),"N/A")</f>
        <v>195780</v>
      </c>
      <c r="AB193" s="424"/>
      <c r="AC193" t="str" s="426" cm="1">
        <f t="array" ref="AC193">IF(B193=6,AVERAGE(Z191:Z196),"N/A")</f>
        <v>N/A</v>
      </c>
      <c r="AD193" s="424"/>
      <c r="AE193" s="423"/>
      <c r="AF193" s="423"/>
      <c r="AG193" s="423"/>
      <c r="AH193" s="423"/>
      <c r="AI193" s="423"/>
      <c r="AJ193" s="423"/>
      <c r="AK193" s="423"/>
      <c r="AL193" s="423"/>
      <c r="AM193" s="423"/>
      <c r="AN193" s="427"/>
    </row>
    <row r="194" ht="15" customHeight="1">
      <c r="A194" s="12"/>
      <c r="B194" s="428" cm="1">
        <f t="array" ref="B194">IF(B193=0,0,IF(B193&lt;VLOOKUP(C188,'Boats Data Sheet 2026'!$C$3:$H$57,6,0),B193+1,0))</f>
        <v>4</v>
      </c>
      <c r="C194" s="423" cm="1">
        <f t="array" ref="C194">IF(B194&gt;0,IF(VLOOKUP(C188,'Boats Data Sheet 2026'!$C$3:$J$57,8,0)="N/A",0,VLOOKUP(C188,'Boats Data Sheet 2026'!$C$3:$J$57,8,0)),"N/A")</f>
        <v>6500000</v>
      </c>
      <c r="D194" s="429" cm="1">
        <f t="array" ref="D194">IF(B194&gt;7,2,IF(B194=0,"N/A",1))</f>
        <v>1</v>
      </c>
      <c r="E194" s="423" cm="1">
        <f t="array" ref="E194">_xlfn.IFERROR(SUM('Direct Costs 2026'!$C$4:$C$5)*D194,"N/A")</f>
        <v>875500</v>
      </c>
      <c r="F194" s="423" cm="1">
        <f t="array" ref="F194">_xlfn.IFERROR('Direct Costs 2026'!$C$43*B194,"N/A")</f>
        <v>24000</v>
      </c>
      <c r="G194" s="423" cm="1">
        <f t="array" ref="G194">IF(B194&gt;0,'Direct Costs 2026'!$C$25,"N/A")</f>
        <v>90000</v>
      </c>
      <c r="H194" s="423" cm="1">
        <f t="array" ref="H194">IF(B194&gt;0,'Direct Costs 2026'!$C$22,"N/A")</f>
        <v>200000</v>
      </c>
      <c r="I194" s="423">
        <v>0</v>
      </c>
      <c r="J194" s="423">
        <v>0</v>
      </c>
      <c r="K194" s="423" cm="1">
        <f t="array" ref="K194">IF(B194&gt;0,'Direct Costs 2026'!$C$26,"N/A")</f>
        <v>20000</v>
      </c>
      <c r="L194" s="423" cm="1">
        <f t="array" ref="L194">IF(B194&gt;0,'Direct Costs 2026'!$C$23,"N/A")</f>
        <v>140000</v>
      </c>
      <c r="M194" s="423" cm="1">
        <f t="array" ref="M194">IF(B194&gt;0,'Direct Costs 2026'!$C$45*B194,"N/A")</f>
        <v>600000</v>
      </c>
      <c r="N194" t="str" s="431" cm="1">
        <f t="array" ref="N194">IF(B194&gt;0,_xlfn.IFERROR(VLOOKUP(C188,'Boats Data Sheet 2026'!$C$3:$I$57,7,0)*'Direct Costs 2026'!$C$36,"N/A"),"N/A")</f>
        <v>N/A</v>
      </c>
      <c r="O194" t="str" s="431" cm="1">
        <f t="array" ref="O194">IF(B194&gt;0,IF(OR(VLOOKUP(C188,'Boats Data Sheet 2026'!$C$3:$F$57,4,0)="Own",VLOOKUP(C188,'Boats Data Sheet 2026'!$C$3:$F$57,4,0)="Management"),('Direct Costs 2026'!$C$37+'Direct Costs 2026'!$C$39),"N/A"),"N/A")</f>
        <v>N/A</v>
      </c>
      <c r="P194" s="423" cm="1">
        <f t="array" ref="P194">_xlfn.IFERROR('Direct Costs 2026'!$C$27*C194,"N/A")</f>
        <v>130000</v>
      </c>
      <c r="Q194" s="423" cm="1">
        <f t="array" ref="Q194">_xlfn.IFERROR(C194+SUM(E194:P194),"N/A")</f>
        <v>8579500</v>
      </c>
      <c r="R194" s="424"/>
      <c r="S194" s="423" cm="1">
        <f t="array" ref="S194">IF(B194&gt;0,'Allocation OH and Target 2026'!$E$31,"N/A")</f>
        <v>3100447.15769812</v>
      </c>
      <c r="T194" s="423" cm="1">
        <f t="array" ref="T194">IF(B194&gt;0,VLOOKUP(C188,'Allocation OH and Target 2026'!$C$35:$S$87,16,0),"N/A")</f>
        <v>0</v>
      </c>
      <c r="U194" s="423" cm="1">
        <f t="array" ref="U194">_xlfn.IFERROR((S194+T194),"N/A")</f>
        <v>3100447.15769812</v>
      </c>
      <c r="V194" s="424"/>
      <c r="W194" s="423" cm="1">
        <f t="array" ref="W194">_xlfn.IFERROR(U194+Q194,"N/A")</f>
        <v>11679947.1576981</v>
      </c>
      <c r="X194" s="423" cm="1">
        <f t="array" ref="X194">_xlfn.IFERROR(W194*0.5%,"N/A")</f>
        <v>58399.7357884905</v>
      </c>
      <c r="Y194" s="423" cm="1">
        <f t="array" ref="Y194">_xlfn.IFERROR(W194*25%,"N/A")</f>
        <v>2919986.78942453</v>
      </c>
      <c r="Z194" s="425" cm="1">
        <f t="array" ref="Z194">IF(B194&gt;0,SUM(W194:Y194),"N/A")</f>
        <v>14658333.6829111</v>
      </c>
      <c r="AA194" s="425" cm="1">
        <f t="array" ref="AA194">_xlfn.IFERROR((Z194-Z193),"N/A")</f>
        <v>195780</v>
      </c>
      <c r="AB194" s="424"/>
      <c r="AC194" t="str" s="426" cm="1">
        <f t="array" ref="AC194">IF(B194=6,AVERAGE(Z191:Z196),"N/A")</f>
        <v>N/A</v>
      </c>
      <c r="AD194" s="424"/>
      <c r="AE194" s="423"/>
      <c r="AF194" s="423"/>
      <c r="AG194" s="423"/>
      <c r="AH194" s="423"/>
      <c r="AI194" s="423"/>
      <c r="AJ194" s="423"/>
      <c r="AK194" s="423"/>
      <c r="AL194" s="423"/>
      <c r="AM194" s="423"/>
      <c r="AN194" s="427"/>
    </row>
    <row r="195" ht="15" customHeight="1">
      <c r="A195" s="12"/>
      <c r="B195" s="428" cm="1">
        <f t="array" ref="B195">IF(B194=0,0,IF(B194&lt;VLOOKUP(C188,'Boats Data Sheet 2026'!$C$3:$H$57,6,0),B194+1,0))</f>
        <v>5</v>
      </c>
      <c r="C195" s="423" cm="1">
        <f t="array" ref="C195">IF(B195&gt;0,IF(VLOOKUP(C188,'Boats Data Sheet 2026'!$C$3:$J$57,8,0)="N/A",0,VLOOKUP(C188,'Boats Data Sheet 2026'!$C$3:$J$57,8,0)),"N/A")</f>
        <v>6500000</v>
      </c>
      <c r="D195" s="429" cm="1">
        <f t="array" ref="D195">IF(B195&gt;7,2,IF(B195=0,"N/A",1))</f>
        <v>1</v>
      </c>
      <c r="E195" s="423" cm="1">
        <f t="array" ref="E195">_xlfn.IFERROR(SUM('Direct Costs 2026'!$C$4:$C$5)*D195,"N/A")</f>
        <v>875500</v>
      </c>
      <c r="F195" s="423" cm="1">
        <f t="array" ref="F195">_xlfn.IFERROR('Direct Costs 2026'!$C$43*B195,"N/A")</f>
        <v>30000</v>
      </c>
      <c r="G195" s="423" cm="1">
        <f t="array" ref="G195">IF(B195&gt;0,'Direct Costs 2026'!$C$25,"N/A")</f>
        <v>90000</v>
      </c>
      <c r="H195" s="423" cm="1">
        <f t="array" ref="H195">IF(B195&gt;0,'Direct Costs 2026'!$C$22,"N/A")</f>
        <v>200000</v>
      </c>
      <c r="I195" s="423">
        <v>0</v>
      </c>
      <c r="J195" s="423">
        <v>0</v>
      </c>
      <c r="K195" s="423" cm="1">
        <f t="array" ref="K195">IF(B195&gt;0,'Direct Costs 2026'!$C$26,"N/A")</f>
        <v>20000</v>
      </c>
      <c r="L195" s="423" cm="1">
        <f t="array" ref="L195">IF(B195&gt;0,'Direct Costs 2026'!$C$23,"N/A")</f>
        <v>140000</v>
      </c>
      <c r="M195" s="423" cm="1">
        <f t="array" ref="M195">IF(B195&gt;0,'Direct Costs 2026'!$C$45*B195,"N/A")</f>
        <v>750000</v>
      </c>
      <c r="N195" t="str" s="431" cm="1">
        <f t="array" ref="N195">IF(B195&gt;0,_xlfn.IFERROR(VLOOKUP(C188,'Boats Data Sheet 2026'!$C$3:$I$57,7,0)*'Direct Costs 2026'!$C$36,"N/A"),"N/A")</f>
        <v>N/A</v>
      </c>
      <c r="O195" t="str" s="431" cm="1">
        <f t="array" ref="O195">IF(B195&gt;0,IF(OR(VLOOKUP(C188,'Boats Data Sheet 2026'!$C$3:$F$57,4,0)="Own",VLOOKUP(C188,'Boats Data Sheet 2026'!$C$3:$F$57,4,0)="Management"),('Direct Costs 2026'!$C$37+'Direct Costs 2026'!$C$39),"N/A"),"N/A")</f>
        <v>N/A</v>
      </c>
      <c r="P195" s="423" cm="1">
        <f t="array" ref="P195">_xlfn.IFERROR('Direct Costs 2026'!$C$27*C195,"N/A")</f>
        <v>130000</v>
      </c>
      <c r="Q195" s="423" cm="1">
        <f t="array" ref="Q195">_xlfn.IFERROR(C195+SUM(E195:P195),"N/A")</f>
        <v>8735500</v>
      </c>
      <c r="R195" s="424"/>
      <c r="S195" s="423" cm="1">
        <f t="array" ref="S195">IF(B195&gt;0,'Allocation OH and Target 2026'!$E$31,"N/A")</f>
        <v>3100447.15769812</v>
      </c>
      <c r="T195" s="423" cm="1">
        <f t="array" ref="T195">IF(B195&gt;0,VLOOKUP(C188,'Allocation OH and Target 2026'!$C$35:$S$87,16,0),"N/A")</f>
        <v>0</v>
      </c>
      <c r="U195" s="423" cm="1">
        <f t="array" ref="U195">_xlfn.IFERROR((S195+T195),"N/A")</f>
        <v>3100447.15769812</v>
      </c>
      <c r="V195" s="424"/>
      <c r="W195" s="423" cm="1">
        <f t="array" ref="W195">_xlfn.IFERROR(U195+Q195,"N/A")</f>
        <v>11835947.1576981</v>
      </c>
      <c r="X195" s="423" cm="1">
        <f t="array" ref="X195">_xlfn.IFERROR(W195*0.5%,"N/A")</f>
        <v>59179.7357884905</v>
      </c>
      <c r="Y195" s="423" cm="1">
        <f t="array" ref="Y195">_xlfn.IFERROR(W195*25%,"N/A")</f>
        <v>2958986.78942453</v>
      </c>
      <c r="Z195" s="425" cm="1">
        <f t="array" ref="Z195">IF(B195&gt;0,SUM(W195:Y195),"N/A")</f>
        <v>14854113.6829111</v>
      </c>
      <c r="AA195" s="425" cm="1">
        <f t="array" ref="AA195">_xlfn.IFERROR((Z195-Z194),"N/A")</f>
        <v>195780</v>
      </c>
      <c r="AB195" s="424"/>
      <c r="AC195" t="str" s="426" cm="1">
        <f t="array" ref="AC195">IF(B195=6,AVERAGE(Z191:Z196),"N/A")</f>
        <v>N/A</v>
      </c>
      <c r="AD195" s="424"/>
      <c r="AE195" s="423"/>
      <c r="AF195" s="423"/>
      <c r="AG195" s="423"/>
      <c r="AH195" s="423"/>
      <c r="AI195" s="423"/>
      <c r="AJ195" s="423"/>
      <c r="AK195" s="423"/>
      <c r="AL195" s="423"/>
      <c r="AM195" s="423"/>
      <c r="AN195" s="427"/>
    </row>
    <row r="196" ht="15" customHeight="1">
      <c r="A196" s="12"/>
      <c r="B196" s="428" cm="1">
        <f t="array" ref="B196">IF(B195=0,0,IF(B195&lt;VLOOKUP(C188,'Boats Data Sheet 2026'!$C$3:$H$57,6,0),B195+1,0))</f>
        <v>6</v>
      </c>
      <c r="C196" s="423" cm="1">
        <f t="array" ref="C196">IF(B196&gt;0,IF(VLOOKUP(C188,'Boats Data Sheet 2026'!$C$3:$J$57,8,0)="N/A",0,VLOOKUP(C188,'Boats Data Sheet 2026'!$C$3:$J$57,8,0)),"N/A")</f>
        <v>6500000</v>
      </c>
      <c r="D196" s="429" cm="1">
        <f t="array" ref="D196">IF(B196&gt;7,2,IF(B196=0,"N/A",1))</f>
        <v>1</v>
      </c>
      <c r="E196" s="423" cm="1">
        <f t="array" ref="E196">_xlfn.IFERROR(SUM('Direct Costs 2026'!$C$4:$C$5)*D196,"N/A")</f>
        <v>875500</v>
      </c>
      <c r="F196" s="423" cm="1">
        <f t="array" ref="F196">_xlfn.IFERROR('Direct Costs 2026'!$C$43*B196,"N/A")</f>
        <v>36000</v>
      </c>
      <c r="G196" s="423" cm="1">
        <f t="array" ref="G196">IF(B196&gt;0,'Direct Costs 2026'!$C$25,"N/A")</f>
        <v>90000</v>
      </c>
      <c r="H196" s="423" cm="1">
        <f t="array" ref="H196">IF(B196&gt;0,'Direct Costs 2026'!$C$22,"N/A")</f>
        <v>200000</v>
      </c>
      <c r="I196" s="423">
        <v>0</v>
      </c>
      <c r="J196" s="423">
        <v>0</v>
      </c>
      <c r="K196" s="423" cm="1">
        <f t="array" ref="K196">IF(B196&gt;0,'Direct Costs 2026'!$C$26,"N/A")</f>
        <v>20000</v>
      </c>
      <c r="L196" s="423" cm="1">
        <f t="array" ref="L196">IF(B196&gt;0,'Direct Costs 2026'!$C$23,"N/A")</f>
        <v>140000</v>
      </c>
      <c r="M196" s="423" cm="1">
        <f t="array" ref="M196">IF(B196&gt;0,'Direct Costs 2026'!$C$45*B196,"N/A")</f>
        <v>900000</v>
      </c>
      <c r="N196" t="str" s="431" cm="1">
        <f t="array" ref="N196">IF(B196&gt;0,_xlfn.IFERROR(VLOOKUP(C188,'Boats Data Sheet 2026'!$C$3:$I$57,7,0)*'Direct Costs 2026'!$C$36,"N/A"),"N/A")</f>
        <v>N/A</v>
      </c>
      <c r="O196" t="str" s="431" cm="1">
        <f t="array" ref="O196">IF(B196&gt;0,IF(OR(VLOOKUP(C188,'Boats Data Sheet 2026'!$C$3:$F$57,4,0)="Own",VLOOKUP(C188,'Boats Data Sheet 2026'!$C$3:$F$57,4,0)="Management"),('Direct Costs 2026'!$C$37+'Direct Costs 2026'!$C$39),"N/A"),"N/A")</f>
        <v>N/A</v>
      </c>
      <c r="P196" s="423" cm="1">
        <f t="array" ref="P196">_xlfn.IFERROR('Direct Costs 2026'!$C$27*C196,"N/A")</f>
        <v>130000</v>
      </c>
      <c r="Q196" s="423" cm="1">
        <f t="array" ref="Q196">_xlfn.IFERROR(C196+SUM(E196:P196),"N/A")</f>
        <v>8891500</v>
      </c>
      <c r="R196" s="424"/>
      <c r="S196" s="423" cm="1">
        <f t="array" ref="S196">IF(B196&gt;0,'Allocation OH and Target 2026'!$E$31,"N/A")</f>
        <v>3100447.15769812</v>
      </c>
      <c r="T196" s="423" cm="1">
        <f t="array" ref="T196">IF(B196&gt;0,VLOOKUP(C188,'Allocation OH and Target 2026'!$C$35:$S$87,16,0),"N/A")</f>
        <v>0</v>
      </c>
      <c r="U196" s="423" cm="1">
        <f t="array" ref="U196">_xlfn.IFERROR((S196+T196),"N/A")</f>
        <v>3100447.15769812</v>
      </c>
      <c r="V196" s="424"/>
      <c r="W196" s="423" cm="1">
        <f t="array" ref="W196">_xlfn.IFERROR(U196+Q196,"N/A")</f>
        <v>11991947.1576981</v>
      </c>
      <c r="X196" s="423" cm="1">
        <f t="array" ref="X196">_xlfn.IFERROR(W196*0.5%,"N/A")</f>
        <v>59959.7357884905</v>
      </c>
      <c r="Y196" s="423" cm="1">
        <f t="array" ref="Y196">_xlfn.IFERROR(W196*25%,"N/A")</f>
        <v>2997986.78942453</v>
      </c>
      <c r="Z196" s="425" cm="1">
        <f t="array" ref="Z196">IF(B196&gt;0,SUM(W196:Y196),"N/A")</f>
        <v>15049893.6829111</v>
      </c>
      <c r="AA196" s="425" cm="1">
        <f t="array" ref="AA196">_xlfn.IFERROR((Z196-Z195),"N/A")</f>
        <v>195780</v>
      </c>
      <c r="AB196" s="424"/>
      <c r="AC196" s="425" cm="1">
        <f t="array" ref="AC196">IF(B196=6,AVERAGE(Z191:Z196),"N/A")</f>
        <v>14560443.6829111</v>
      </c>
      <c r="AD196" s="424"/>
      <c r="AE196" s="423"/>
      <c r="AF196" s="423"/>
      <c r="AG196" s="423"/>
      <c r="AH196" s="423"/>
      <c r="AI196" s="423"/>
      <c r="AJ196" s="423"/>
      <c r="AK196" s="423"/>
      <c r="AL196" s="423"/>
      <c r="AM196" s="423"/>
      <c r="AN196" s="427"/>
    </row>
    <row r="197" ht="15" customHeight="1">
      <c r="A197" s="12"/>
      <c r="B197" s="428" cm="1">
        <f t="array" ref="B197">IF(B196=0,0,IF(B196&lt;VLOOKUP(C188,'Boats Data Sheet 2026'!$C$3:$H$57,6,0),B196+1,0))</f>
        <v>7</v>
      </c>
      <c r="C197" s="423" cm="1">
        <f t="array" ref="C197">IF(B197&gt;0,IF(VLOOKUP(C188,'Boats Data Sheet 2026'!$C$3:$J$57,8,0)="N/A",0,VLOOKUP(C188,'Boats Data Sheet 2026'!$C$3:$J$57,8,0)),"N/A")</f>
        <v>6500000</v>
      </c>
      <c r="D197" s="429" cm="1">
        <f t="array" ref="D197">IF(B197&gt;7,2,IF(B197=0,"N/A",1))</f>
        <v>1</v>
      </c>
      <c r="E197" s="423" cm="1">
        <f t="array" ref="E197">_xlfn.IFERROR(SUM('Direct Costs 2026'!$C$4:$C$5)*D197,"N/A")</f>
        <v>875500</v>
      </c>
      <c r="F197" s="423" cm="1">
        <f t="array" ref="F197">_xlfn.IFERROR('Direct Costs 2026'!$C$43*B197,"N/A")</f>
        <v>42000</v>
      </c>
      <c r="G197" s="423" cm="1">
        <f t="array" ref="G197">IF(B197&gt;0,'Direct Costs 2026'!$C$25,"N/A")</f>
        <v>90000</v>
      </c>
      <c r="H197" s="423" cm="1">
        <f t="array" ref="H197">IF(B197&gt;0,'Direct Costs 2026'!$C$22,"N/A")</f>
        <v>200000</v>
      </c>
      <c r="I197" s="423">
        <v>0</v>
      </c>
      <c r="J197" s="423">
        <v>0</v>
      </c>
      <c r="K197" s="423" cm="1">
        <f t="array" ref="K197">IF(B197&gt;0,'Direct Costs 2026'!$C$26,"N/A")</f>
        <v>20000</v>
      </c>
      <c r="L197" s="423" cm="1">
        <f t="array" ref="L197">IF(B197&gt;0,'Direct Costs 2026'!$C$23,"N/A")</f>
        <v>140000</v>
      </c>
      <c r="M197" s="423" cm="1">
        <f t="array" ref="M197">IF(B197&gt;0,'Direct Costs 2026'!$C$45*B197,"N/A")</f>
        <v>1050000</v>
      </c>
      <c r="N197" t="str" s="431" cm="1">
        <f t="array" ref="N197">IF(B197&gt;0,_xlfn.IFERROR(VLOOKUP(C188,'Boats Data Sheet 2026'!$C$3:$I$57,7,0)*'Direct Costs 2026'!$C$36,"N/A"),"N/A")</f>
        <v>N/A</v>
      </c>
      <c r="O197" t="str" s="431" cm="1">
        <f t="array" ref="O197">IF(B197&gt;0,IF(OR(VLOOKUP(C188,'Boats Data Sheet 2026'!$C$3:$F$57,4,0)="Own",VLOOKUP(C188,'Boats Data Sheet 2026'!$C$3:$F$57,4,0)="Management"),('Direct Costs 2026'!$C$37+'Direct Costs 2026'!$C$39),"N/A"),"N/A")</f>
        <v>N/A</v>
      </c>
      <c r="P197" s="423" cm="1">
        <f t="array" ref="P197">_xlfn.IFERROR('Direct Costs 2026'!$C$27*C197,"N/A")</f>
        <v>130000</v>
      </c>
      <c r="Q197" s="423" cm="1">
        <f t="array" ref="Q197">_xlfn.IFERROR(C197+SUM(E197:P197),"N/A")</f>
        <v>9047500</v>
      </c>
      <c r="R197" s="424"/>
      <c r="S197" s="423" cm="1">
        <f t="array" ref="S197">IF(B197&gt;0,'Allocation OH and Target 2026'!$E$31,"N/A")</f>
        <v>3100447.15769812</v>
      </c>
      <c r="T197" s="423" cm="1">
        <f t="array" ref="T197">IF(B197&gt;0,VLOOKUP(C188,'Allocation OH and Target 2026'!$C$35:$S$87,16,0),"N/A")</f>
        <v>0</v>
      </c>
      <c r="U197" s="423" cm="1">
        <f t="array" ref="U197">_xlfn.IFERROR((S197+T197),"N/A")</f>
        <v>3100447.15769812</v>
      </c>
      <c r="V197" s="424"/>
      <c r="W197" s="423" cm="1">
        <f t="array" ref="W197">_xlfn.IFERROR(U197+Q197,"N/A")</f>
        <v>12147947.1576981</v>
      </c>
      <c r="X197" s="423" cm="1">
        <f t="array" ref="X197">_xlfn.IFERROR(W197*0.5%,"N/A")</f>
        <v>60739.7357884905</v>
      </c>
      <c r="Y197" s="423" cm="1">
        <f t="array" ref="Y197">_xlfn.IFERROR(W197*25%,"N/A")</f>
        <v>3036986.78942453</v>
      </c>
      <c r="Z197" s="425" cm="1">
        <f t="array" ref="Z197">IF(B197&gt;0,SUM(W197:Y197),"N/A")</f>
        <v>15245673.6829111</v>
      </c>
      <c r="AA197" s="425" cm="1">
        <f t="array" ref="AA197">_xlfn.IFERROR((Z197-Z196),"N/A")</f>
        <v>195780</v>
      </c>
      <c r="AB197" s="424"/>
      <c r="AC197" t="str" s="426" cm="1">
        <f t="array" ref="AC197">IF(B197=6,AVERAGE(Z191:Z196),"N/A")</f>
        <v>N/A</v>
      </c>
      <c r="AD197" s="424"/>
      <c r="AE197" s="423"/>
      <c r="AF197" s="423"/>
      <c r="AG197" s="423"/>
      <c r="AH197" s="423"/>
      <c r="AI197" s="423"/>
      <c r="AJ197" s="423"/>
      <c r="AK197" s="423"/>
      <c r="AL197" s="423"/>
      <c r="AM197" s="423"/>
      <c r="AN197" s="427"/>
    </row>
    <row r="198" ht="15" customHeight="1">
      <c r="A198" s="12"/>
      <c r="B198" s="428" cm="1">
        <f t="array" ref="B198">IF(B197=0,0,IF(B197&lt;VLOOKUP(C188,'Boats Data Sheet 2026'!$C$3:$H$57,6,0),B197+1,0))</f>
        <v>8</v>
      </c>
      <c r="C198" s="423" cm="1">
        <f t="array" ref="C198">IF(B198&gt;0,IF(VLOOKUP(C188,'Boats Data Sheet 2026'!$C$3:$J$57,8,0)="N/A",0,VLOOKUP(C188,'Boats Data Sheet 2026'!$C$3:$J$57,8,0)),"N/A")</f>
        <v>6500000</v>
      </c>
      <c r="D198" s="429" cm="1">
        <f t="array" ref="D198">IF(B198&gt;7,2,IF(B198=0,"N/A",1))</f>
        <v>2</v>
      </c>
      <c r="E198" s="423" cm="1">
        <f t="array" ref="E198">_xlfn.IFERROR(SUM('Direct Costs 2026'!$C$4:$C$5)*D198,"N/A")</f>
        <v>1751000</v>
      </c>
      <c r="F198" s="423" cm="1">
        <f t="array" ref="F198">_xlfn.IFERROR('Direct Costs 2026'!$C$43*B198,"N/A")</f>
        <v>48000</v>
      </c>
      <c r="G198" s="423" cm="1">
        <f t="array" ref="G198">IF(B198&gt;0,'Direct Costs 2026'!$C$25,"N/A")</f>
        <v>90000</v>
      </c>
      <c r="H198" s="423" cm="1">
        <f t="array" ref="H198">IF(B198&gt;0,'Direct Costs 2026'!$C$22,"N/A")</f>
        <v>200000</v>
      </c>
      <c r="I198" s="423">
        <v>0</v>
      </c>
      <c r="J198" s="423">
        <v>0</v>
      </c>
      <c r="K198" s="423" cm="1">
        <f t="array" ref="K198">IF(B198&gt;0,'Direct Costs 2026'!$C$26,"N/A")</f>
        <v>20000</v>
      </c>
      <c r="L198" s="423" cm="1">
        <f t="array" ref="L198">IF(B198&gt;0,'Direct Costs 2026'!$C$23,"N/A")</f>
        <v>140000</v>
      </c>
      <c r="M198" s="423" cm="1">
        <f t="array" ref="M198">IF(B198&gt;0,'Direct Costs 2026'!$C$45*B198,"N/A")</f>
        <v>1200000</v>
      </c>
      <c r="N198" t="str" s="431" cm="1">
        <f t="array" ref="N198">IF(B198&gt;0,_xlfn.IFERROR(VLOOKUP(C188,'Boats Data Sheet 2026'!$C$3:$I$57,7,0)*'Direct Costs 2026'!$C$36,"N/A"),"N/A")</f>
        <v>N/A</v>
      </c>
      <c r="O198" t="str" s="431" cm="1">
        <f t="array" ref="O198">IF(B198&gt;0,IF(OR(VLOOKUP(C188,'Boats Data Sheet 2026'!$C$3:$F$57,4,0)="Own",VLOOKUP(C188,'Boats Data Sheet 2026'!$C$3:$F$57,4,0)="Management"),('Direct Costs 2026'!$C$37+'Direct Costs 2026'!$C$39),"N/A"),"N/A")</f>
        <v>N/A</v>
      </c>
      <c r="P198" s="423" cm="1">
        <f t="array" ref="P198">_xlfn.IFERROR('Direct Costs 2026'!$C$27*C198,"N/A")</f>
        <v>130000</v>
      </c>
      <c r="Q198" s="423" cm="1">
        <f t="array" ref="Q198">_xlfn.IFERROR(C198+SUM(E198:P198),"N/A")</f>
        <v>10079000</v>
      </c>
      <c r="R198" s="424"/>
      <c r="S198" s="423" cm="1">
        <f t="array" ref="S198">IF(B198&gt;0,'Allocation OH and Target 2026'!$E$31,"N/A")</f>
        <v>3100447.15769812</v>
      </c>
      <c r="T198" s="423" cm="1">
        <f t="array" ref="T198">IF(B198&gt;0,VLOOKUP(C188,'Allocation OH and Target 2026'!$C$35:$S$87,16,0),"N/A")</f>
        <v>0</v>
      </c>
      <c r="U198" s="423" cm="1">
        <f t="array" ref="U198">_xlfn.IFERROR((S198+T198),"N/A")</f>
        <v>3100447.15769812</v>
      </c>
      <c r="V198" s="424"/>
      <c r="W198" s="423" cm="1">
        <f t="array" ref="W198">_xlfn.IFERROR(U198+Q198,"N/A")</f>
        <v>13179447.1576981</v>
      </c>
      <c r="X198" s="423" cm="1">
        <f t="array" ref="X198">_xlfn.IFERROR(W198*0.5%,"N/A")</f>
        <v>65897.235788490507</v>
      </c>
      <c r="Y198" s="423" cm="1">
        <f t="array" ref="Y198">_xlfn.IFERROR(W198*25%,"N/A")</f>
        <v>3294861.78942453</v>
      </c>
      <c r="Z198" s="425" cm="1">
        <f t="array" ref="Z198">IF(B198&gt;0,SUM(W198:Y198),"N/A")</f>
        <v>16540206.1829111</v>
      </c>
      <c r="AA198" s="425" cm="1">
        <f t="array" ref="AA198">_xlfn.IFERROR((Z198-Z197),"N/A")</f>
        <v>1294532.5</v>
      </c>
      <c r="AB198" s="424"/>
      <c r="AC198" t="str" s="426" cm="1">
        <f t="array" ref="AC198">IF(B198=6,AVERAGE(Z191:Z196),"N/A")</f>
        <v>N/A</v>
      </c>
      <c r="AD198" s="424"/>
      <c r="AE198" s="423"/>
      <c r="AF198" s="423"/>
      <c r="AG198" s="423"/>
      <c r="AH198" s="423"/>
      <c r="AI198" s="423"/>
      <c r="AJ198" s="423"/>
      <c r="AK198" s="423"/>
      <c r="AL198" s="423"/>
      <c r="AM198" s="423"/>
      <c r="AN198" s="427"/>
    </row>
    <row r="199" ht="15" customHeight="1">
      <c r="A199" s="12"/>
      <c r="B199" s="428" cm="1">
        <f t="array" ref="B199">IF(B198=0,0,IF(B198&lt;VLOOKUP(C188,'Boats Data Sheet 2026'!$C$3:$H$57,6,0),B198+1,0))</f>
        <v>9</v>
      </c>
      <c r="C199" s="423" cm="1">
        <f t="array" ref="C199">IF(B199&gt;0,IF(VLOOKUP(C188,'Boats Data Sheet 2026'!$C$3:$J$57,8,0)="N/A",0,VLOOKUP(C188,'Boats Data Sheet 2026'!$C$3:$J$57,8,0)),"N/A")</f>
        <v>6500000</v>
      </c>
      <c r="D199" s="430" cm="1">
        <f t="array" ref="D199">IF(B199&gt;7,2,IF(B199=0,"N/A",1))</f>
        <v>2</v>
      </c>
      <c r="E199" s="423" cm="1">
        <f t="array" ref="E199">_xlfn.IFERROR(SUM('Direct Costs 2026'!$C$4:$C$5)*D199,"N/A")</f>
        <v>1751000</v>
      </c>
      <c r="F199" s="423" cm="1">
        <f t="array" ref="F199">_xlfn.IFERROR('Direct Costs 2026'!$C$43*B199,"N/A")</f>
        <v>54000</v>
      </c>
      <c r="G199" s="423" cm="1">
        <f t="array" ref="G199">IF(B199&gt;0,'Direct Costs 2026'!$C$25,"N/A")</f>
        <v>90000</v>
      </c>
      <c r="H199" s="423" cm="1">
        <f t="array" ref="H199">IF(B199&gt;0,'Direct Costs 2026'!$C$22,"N/A")</f>
        <v>200000</v>
      </c>
      <c r="I199" s="423">
        <v>0</v>
      </c>
      <c r="J199" s="423">
        <v>0</v>
      </c>
      <c r="K199" s="423" cm="1">
        <f t="array" ref="K199">IF(B199&gt;0,'Direct Costs 2026'!$C$26,"N/A")</f>
        <v>20000</v>
      </c>
      <c r="L199" s="423" cm="1">
        <f t="array" ref="L199">IF(B199&gt;0,'Direct Costs 2026'!$C$23,"N/A")</f>
        <v>140000</v>
      </c>
      <c r="M199" s="423" cm="1">
        <f t="array" ref="M199">IF(B199&gt;0,'Direct Costs 2026'!$C$45*B199,"N/A")</f>
        <v>1350000</v>
      </c>
      <c r="N199" t="str" s="431" cm="1">
        <f t="array" ref="N199">IF(B199&gt;0,_xlfn.IFERROR(VLOOKUP(C188,'Boats Data Sheet 2026'!$C$3:$I$57,7,0)*'Direct Costs 2026'!$C$36,"N/A"),"N/A")</f>
        <v>N/A</v>
      </c>
      <c r="O199" t="str" s="431" cm="1">
        <f t="array" ref="O199">IF(B199&gt;0,IF(OR(VLOOKUP(C188,'Boats Data Sheet 2026'!$C$3:$F$57,4,0)="Own",VLOOKUP(C188,'Boats Data Sheet 2026'!$C$3:$F$57,4,0)="Management"),('Direct Costs 2026'!$C$37+'Direct Costs 2026'!$C$39),"N/A"),"N/A")</f>
        <v>N/A</v>
      </c>
      <c r="P199" s="423" cm="1">
        <f t="array" ref="P199">_xlfn.IFERROR('Direct Costs 2026'!$C$27*C199,"N/A")</f>
        <v>130000</v>
      </c>
      <c r="Q199" s="423" cm="1">
        <f t="array" ref="Q199">_xlfn.IFERROR(C199+SUM(E199:P199),"N/A")</f>
        <v>10235000</v>
      </c>
      <c r="R199" s="424"/>
      <c r="S199" s="423" cm="1">
        <f t="array" ref="S199">IF(B199&gt;0,'Allocation OH and Target 2026'!$E$31,"N/A")</f>
        <v>3100447.15769812</v>
      </c>
      <c r="T199" s="423" cm="1">
        <f t="array" ref="T199">IF(B199&gt;0,VLOOKUP(C188,'Allocation OH and Target 2026'!$C$35:$S$87,16,0),"N/A")</f>
        <v>0</v>
      </c>
      <c r="U199" s="423" cm="1">
        <f t="array" ref="U199">_xlfn.IFERROR((S199+T199),"N/A")</f>
        <v>3100447.15769812</v>
      </c>
      <c r="V199" s="424"/>
      <c r="W199" s="423" cm="1">
        <f t="array" ref="W199">_xlfn.IFERROR(U199+Q199,"N/A")</f>
        <v>13335447.1576981</v>
      </c>
      <c r="X199" s="423" cm="1">
        <f t="array" ref="X199">_xlfn.IFERROR(W199*0.5%,"N/A")</f>
        <v>66677.235788490507</v>
      </c>
      <c r="Y199" s="423" cm="1">
        <f t="array" ref="Y199">_xlfn.IFERROR(W199*25%,"N/A")</f>
        <v>3333861.78942453</v>
      </c>
      <c r="Z199" s="425" cm="1">
        <f t="array" ref="Z199">IF(B199&gt;0,SUM(W199:Y199),"N/A")</f>
        <v>16735986.1829111</v>
      </c>
      <c r="AA199" s="425" cm="1">
        <f t="array" ref="AA199">_xlfn.IFERROR((Z199-Z198),"N/A")</f>
        <v>195780</v>
      </c>
      <c r="AB199" s="424"/>
      <c r="AC199" t="str" s="426" cm="1">
        <f t="array" ref="AC199">IF(B199=6,AVERAGE(Z191:Z196),"N/A")</f>
        <v>N/A</v>
      </c>
      <c r="AD199" s="424"/>
      <c r="AE199" s="423"/>
      <c r="AF199" s="423"/>
      <c r="AG199" s="423"/>
      <c r="AH199" s="423"/>
      <c r="AI199" s="423"/>
      <c r="AJ199" s="423"/>
      <c r="AK199" s="423"/>
      <c r="AL199" s="423"/>
      <c r="AM199" s="423"/>
      <c r="AN199" s="427"/>
    </row>
    <row r="200" ht="15" customHeight="1">
      <c r="A200" s="12"/>
      <c r="B200" s="428" cm="1">
        <f t="array" ref="B200">IF(B199=0,0,IF(B199&lt;VLOOKUP(C188,'Boats Data Sheet 2026'!$C$3:$H$57,6,0),B199+1,0))</f>
        <v>10</v>
      </c>
      <c r="C200" s="423" cm="1">
        <f t="array" ref="C200">IF(B200&gt;0,IF(VLOOKUP(C188,'Boats Data Sheet 2026'!$C$3:$J$57,8,0)="N/A",0,VLOOKUP(C188,'Boats Data Sheet 2026'!$C$3:$J$57,8,0)),"N/A")</f>
        <v>6500000</v>
      </c>
      <c r="D200" s="430" cm="1">
        <f t="array" ref="D200">IF(B200&gt;7,2,IF(B200=0,"N/A",1))</f>
        <v>2</v>
      </c>
      <c r="E200" s="423" cm="1">
        <f t="array" ref="E200">_xlfn.IFERROR(SUM('Direct Costs 2026'!$C$4:$C$5)*D200,"N/A")</f>
        <v>1751000</v>
      </c>
      <c r="F200" s="423" cm="1">
        <f t="array" ref="F200">_xlfn.IFERROR('Direct Costs 2026'!$C$43*B200,"N/A")</f>
        <v>60000</v>
      </c>
      <c r="G200" s="423" cm="1">
        <f t="array" ref="G200">IF(B200&gt;0,'Direct Costs 2026'!$C$25,"N/A")</f>
        <v>90000</v>
      </c>
      <c r="H200" s="423" cm="1">
        <f t="array" ref="H200">IF(B200&gt;0,'Direct Costs 2026'!$C$22,"N/A")</f>
        <v>200000</v>
      </c>
      <c r="I200" s="423">
        <v>0</v>
      </c>
      <c r="J200" s="423">
        <v>0</v>
      </c>
      <c r="K200" s="423" cm="1">
        <f t="array" ref="K200">IF(B200&gt;0,'Direct Costs 2026'!$C$26,"N/A")</f>
        <v>20000</v>
      </c>
      <c r="L200" s="423" cm="1">
        <f t="array" ref="L200">IF(B200&gt;0,'Direct Costs 2026'!$C$23,"N/A")</f>
        <v>140000</v>
      </c>
      <c r="M200" s="423" cm="1">
        <f t="array" ref="M200">IF(B200&gt;0,'Direct Costs 2026'!$C$45*B200,"N/A")</f>
        <v>1500000</v>
      </c>
      <c r="N200" t="str" s="431" cm="1">
        <f t="array" ref="N200">IF(B200&gt;0,_xlfn.IFERROR(VLOOKUP(C188,'Boats Data Sheet 2026'!$C$3:$I$57,7,0)*'Direct Costs 2026'!$C$36,"N/A"),"N/A")</f>
        <v>N/A</v>
      </c>
      <c r="O200" t="str" s="431" cm="1">
        <f t="array" ref="O200">IF(B200&gt;0,IF(OR(VLOOKUP(C188,'Boats Data Sheet 2026'!$C$3:$F$57,4,0)="Own",VLOOKUP(C188,'Boats Data Sheet 2026'!$C$3:$F$57,4,0)="Management"),('Direct Costs 2026'!$C$37+'Direct Costs 2026'!$C$39),"N/A"),"N/A")</f>
        <v>N/A</v>
      </c>
      <c r="P200" s="423" cm="1">
        <f t="array" ref="P200">_xlfn.IFERROR('Direct Costs 2026'!$C$27*C200,"N/A")</f>
        <v>130000</v>
      </c>
      <c r="Q200" s="423" cm="1">
        <f t="array" ref="Q200">_xlfn.IFERROR(C200+SUM(E200:P200),"N/A")</f>
        <v>10391000</v>
      </c>
      <c r="R200" s="424"/>
      <c r="S200" s="423" cm="1">
        <f t="array" ref="S200">IF(B200&gt;0,'Allocation OH and Target 2026'!$E$31,"N/A")</f>
        <v>3100447.15769812</v>
      </c>
      <c r="T200" s="423" cm="1">
        <f t="array" ref="T200">IF(B200&gt;0,VLOOKUP(C188,'Allocation OH and Target 2026'!$C$35:$S$87,16,0),"N/A")</f>
        <v>0</v>
      </c>
      <c r="U200" s="423" cm="1">
        <f t="array" ref="U200">_xlfn.IFERROR((S200+T200),"N/A")</f>
        <v>3100447.15769812</v>
      </c>
      <c r="V200" s="424"/>
      <c r="W200" s="423" cm="1">
        <f t="array" ref="W200">_xlfn.IFERROR(U200+Q200,"N/A")</f>
        <v>13491447.1576981</v>
      </c>
      <c r="X200" s="423" cm="1">
        <f t="array" ref="X200">_xlfn.IFERROR(W200*0.5%,"N/A")</f>
        <v>67457.235788490507</v>
      </c>
      <c r="Y200" s="423" cm="1">
        <f t="array" ref="Y200">_xlfn.IFERROR(W200*25%,"N/A")</f>
        <v>3372861.78942453</v>
      </c>
      <c r="Z200" s="425" cm="1">
        <f t="array" ref="Z200">IF(B200&gt;0,SUM(W200:Y200),"N/A")</f>
        <v>16931766.1829111</v>
      </c>
      <c r="AA200" s="425" cm="1">
        <f t="array" ref="AA200">_xlfn.IFERROR((Z200-Z199),"N/A")</f>
        <v>195780</v>
      </c>
      <c r="AB200" s="424"/>
      <c r="AC200" t="str" s="426" cm="1">
        <f t="array" ref="AC200">IF(B200=6,AVERAGE(Z191:Z196),"N/A")</f>
        <v>N/A</v>
      </c>
      <c r="AD200" s="424"/>
      <c r="AE200" s="423"/>
      <c r="AF200" s="423"/>
      <c r="AG200" s="423"/>
      <c r="AH200" s="423"/>
      <c r="AI200" s="423"/>
      <c r="AJ200" s="423"/>
      <c r="AK200" s="423"/>
      <c r="AL200" s="423"/>
      <c r="AM200" s="423"/>
      <c r="AN200" s="427"/>
    </row>
    <row r="201" ht="15" customHeight="1">
      <c r="A201" s="12"/>
      <c r="B201" s="428" cm="1">
        <f t="array" ref="B201">IF(B200=0,0,IF(B200&lt;VLOOKUP(C188,'Boats Data Sheet 2026'!$C$3:$H$57,6,0),B200+1,0))</f>
        <v>0</v>
      </c>
      <c r="C201" t="str" s="431" cm="1">
        <f t="array" ref="C201">IF(B201&gt;0,IF(VLOOKUP(C188,'Boats Data Sheet 2026'!$C$3:$J$57,8,0)="N/A",0,VLOOKUP(C188,'Boats Data Sheet 2026'!$C$3:$J$57,8,0)),"N/A")</f>
        <v>N/A</v>
      </c>
      <c r="D201" t="str" s="431" cm="1">
        <f t="array" ref="D201">IF(B201&gt;7,2,IF(B201=0,"N/A",1))</f>
        <v>N/A</v>
      </c>
      <c r="E201" t="str" s="431" cm="1">
        <f t="array" ref="E201">_xlfn.IFERROR(SUM('Direct Costs 2026'!$C$4:$C$5)*D201,"N/A")</f>
        <v>N/A</v>
      </c>
      <c r="F201" s="423" cm="1">
        <f t="array" ref="F201">_xlfn.IFERROR('Direct Costs 2026'!$C$43*B201,"N/A")</f>
        <v>0</v>
      </c>
      <c r="G201" t="str" s="431" cm="1">
        <f t="array" ref="G201">IF(B201&gt;0,'Direct Costs 2026'!$C$25,"N/A")</f>
        <v>N/A</v>
      </c>
      <c r="H201" t="str" s="431" cm="1">
        <f t="array" ref="H201">IF(B201&gt;0,'Direct Costs 2026'!$C$22,"N/A")</f>
        <v>N/A</v>
      </c>
      <c r="I201" s="423">
        <v>0</v>
      </c>
      <c r="J201" s="423">
        <v>0</v>
      </c>
      <c r="K201" t="str" s="431" cm="1">
        <f t="array" ref="K201">IF(B201&gt;0,'Direct Costs 2026'!$C$26,"N/A")</f>
        <v>N/A</v>
      </c>
      <c r="L201" t="str" s="431" cm="1">
        <f t="array" ref="L201">IF(B201&gt;0,'Direct Costs 2026'!$C$23,"N/A")</f>
        <v>N/A</v>
      </c>
      <c r="M201" t="str" s="431" cm="1">
        <f t="array" ref="M201">IF(B201&gt;0,'Direct Costs 2026'!$C$45*B201,"N/A")</f>
        <v>N/A</v>
      </c>
      <c r="N201" t="str" s="431" cm="1">
        <f t="array" ref="N201">IF(B201&gt;0,_xlfn.IFERROR(VLOOKUP(C188,'Boats Data Sheet 2026'!$C$3:$I$57,7,0)*'Direct Costs 2026'!$C$36,"N/A"),"N/A")</f>
        <v>N/A</v>
      </c>
      <c r="O201" t="str" s="431" cm="1">
        <f t="array" ref="O201">IF(B201&gt;0,IF(OR(VLOOKUP(C188,'Boats Data Sheet 2026'!$C$3:$F$57,4,0)="Own",VLOOKUP(C188,'Boats Data Sheet 2026'!$C$3:$F$57,4,0)="Management"),('Direct Costs 2026'!$C$37+'Direct Costs 2026'!$C$39),"N/A"),"N/A")</f>
        <v>N/A</v>
      </c>
      <c r="P201" t="str" s="431" cm="1">
        <f t="array" ref="P201">_xlfn.IFERROR('Direct Costs 2026'!$C$27*C201,"N/A")</f>
        <v>N/A</v>
      </c>
      <c r="Q201" t="str" s="431" cm="1">
        <f t="array" ref="Q201">_xlfn.IFERROR(C201+SUM(E201:P201),"N/A")</f>
        <v>N/A</v>
      </c>
      <c r="R201" s="424"/>
      <c r="S201" t="str" s="431" cm="1">
        <f t="array" ref="S201">IF(B201&gt;0,'Allocation OH and Target 2026'!$E$31,"N/A")</f>
        <v>N/A</v>
      </c>
      <c r="T201" t="str" s="431" cm="1">
        <f t="array" ref="T201">IF(B201&gt;0,VLOOKUP(C188,'Allocation OH and Target 2026'!$C$35:$S$87,16,0),"N/A")</f>
        <v>N/A</v>
      </c>
      <c r="U201" t="str" s="431" cm="1">
        <f t="array" ref="U201">_xlfn.IFERROR((S201+T201),"N/A")</f>
        <v>N/A</v>
      </c>
      <c r="V201" s="424"/>
      <c r="W201" t="str" s="431" cm="1">
        <f t="array" ref="W201">_xlfn.IFERROR(U201+Q201,"N/A")</f>
        <v>N/A</v>
      </c>
      <c r="X201" t="str" s="431" cm="1">
        <f t="array" ref="X201">_xlfn.IFERROR(W201*0.5%,"N/A")</f>
        <v>N/A</v>
      </c>
      <c r="Y201" t="str" s="431" cm="1">
        <f t="array" ref="Y201">_xlfn.IFERROR(W201*25%,"N/A")</f>
        <v>N/A</v>
      </c>
      <c r="Z201" t="str" s="426" cm="1">
        <f t="array" ref="Z201">IF(B201&gt;0,SUM(W201:Y201),"N/A")</f>
        <v>N/A</v>
      </c>
      <c r="AA201" t="str" s="426" cm="1">
        <f t="array" ref="AA201">_xlfn.IFERROR((Z201-Z200),"N/A")</f>
        <v>N/A</v>
      </c>
      <c r="AB201" s="424"/>
      <c r="AC201" t="str" s="426" cm="1">
        <f t="array" ref="AC201">IF(B201=6,AVERAGE(Z191:Z196),"N/A")</f>
        <v>N/A</v>
      </c>
      <c r="AD201" s="424"/>
      <c r="AE201" s="423"/>
      <c r="AF201" s="423"/>
      <c r="AG201" s="423"/>
      <c r="AH201" s="423"/>
      <c r="AI201" s="423"/>
      <c r="AJ201" s="423"/>
      <c r="AK201" s="423"/>
      <c r="AL201" s="423"/>
      <c r="AM201" s="423"/>
      <c r="AN201" s="427"/>
    </row>
    <row r="202" ht="15" customHeight="1">
      <c r="A202" s="12"/>
      <c r="B202" s="428" cm="1">
        <f t="array" ref="B202">IF(B201=0,0,IF(B201&lt;VLOOKUP(C188,'Boats Data Sheet 2026'!$C$3:$H$57,6,0),B201+1,0))</f>
        <v>0</v>
      </c>
      <c r="C202" t="str" s="431" cm="1">
        <f t="array" ref="C202">IF(B202&gt;0,IF(VLOOKUP(C188,'Boats Data Sheet 2026'!$C$3:$J$57,8,0)="N/A",0,VLOOKUP(C188,'Boats Data Sheet 2026'!$C$3:$J$57,8,0)),"N/A")</f>
        <v>N/A</v>
      </c>
      <c r="D202" t="str" s="431" cm="1">
        <f t="array" ref="D202">IF(B202&gt;7,2,IF(B202=0,"N/A",1))</f>
        <v>N/A</v>
      </c>
      <c r="E202" t="str" s="431" cm="1">
        <f t="array" ref="E202">_xlfn.IFERROR(SUM('Direct Costs 2026'!$C$4:$C$5)*D202,"N/A")</f>
        <v>N/A</v>
      </c>
      <c r="F202" s="423" cm="1">
        <f t="array" ref="F202">_xlfn.IFERROR('Direct Costs 2026'!$C$43*B202,"N/A")</f>
        <v>0</v>
      </c>
      <c r="G202" t="str" s="431" cm="1">
        <f t="array" ref="G202">IF(B202&gt;0,'Direct Costs 2026'!$C$25,"N/A")</f>
        <v>N/A</v>
      </c>
      <c r="H202" t="str" s="431" cm="1">
        <f t="array" ref="H202">IF(B202&gt;0,'Direct Costs 2026'!$C$22,"N/A")</f>
        <v>N/A</v>
      </c>
      <c r="I202" s="423">
        <v>0</v>
      </c>
      <c r="J202" s="423">
        <v>0</v>
      </c>
      <c r="K202" t="str" s="431" cm="1">
        <f t="array" ref="K202">IF(B202&gt;0,'Direct Costs 2026'!$C$26,"N/A")</f>
        <v>N/A</v>
      </c>
      <c r="L202" t="str" s="431" cm="1">
        <f t="array" ref="L202">IF(B202&gt;0,'Direct Costs 2026'!$C$23,"N/A")</f>
        <v>N/A</v>
      </c>
      <c r="M202" t="str" s="431" cm="1">
        <f t="array" ref="M202">IF(B202&gt;0,'Direct Costs 2026'!$C$45*B202,"N/A")</f>
        <v>N/A</v>
      </c>
      <c r="N202" t="str" s="431" cm="1">
        <f t="array" ref="N202">IF(B202&gt;0,_xlfn.IFERROR(VLOOKUP(C188,'Boats Data Sheet 2026'!$C$3:$I$57,7,0)*'Direct Costs 2026'!$C$36,"N/A"),"N/A")</f>
        <v>N/A</v>
      </c>
      <c r="O202" t="str" s="431" cm="1">
        <f t="array" ref="O202">IF(B202&gt;0,IF(OR(VLOOKUP(C188,'Boats Data Sheet 2026'!$C$3:$F$57,4,0)="Own",VLOOKUP(C188,'Boats Data Sheet 2026'!$C$3:$F$57,4,0)="Management"),('Direct Costs 2026'!$C$37+'Direct Costs 2026'!$C$39),"N/A"),"N/A")</f>
        <v>N/A</v>
      </c>
      <c r="P202" t="str" s="431" cm="1">
        <f t="array" ref="P202">_xlfn.IFERROR('Direct Costs 2026'!$C$27*C202,"N/A")</f>
        <v>N/A</v>
      </c>
      <c r="Q202" t="str" s="431" cm="1">
        <f t="array" ref="Q202">_xlfn.IFERROR(C202+SUM(E202:P202),"N/A")</f>
        <v>N/A</v>
      </c>
      <c r="R202" s="424"/>
      <c r="S202" t="str" s="431" cm="1">
        <f t="array" ref="S202">IF(B202&gt;0,'Allocation OH and Target 2026'!$E$31,"N/A")</f>
        <v>N/A</v>
      </c>
      <c r="T202" t="str" s="431" cm="1">
        <f t="array" ref="T202">IF(B202&gt;0,VLOOKUP(C188,'Allocation OH and Target 2026'!$C$35:$S$87,16,0),"N/A")</f>
        <v>N/A</v>
      </c>
      <c r="U202" t="str" s="431" cm="1">
        <f t="array" ref="U202">_xlfn.IFERROR((S202+T202),"N/A")</f>
        <v>N/A</v>
      </c>
      <c r="V202" s="424"/>
      <c r="W202" t="str" s="431" cm="1">
        <f t="array" ref="W202">_xlfn.IFERROR(U202+Q202,"N/A")</f>
        <v>N/A</v>
      </c>
      <c r="X202" t="str" s="431" cm="1">
        <f t="array" ref="X202">_xlfn.IFERROR(W202*0.5%,"N/A")</f>
        <v>N/A</v>
      </c>
      <c r="Y202" t="str" s="431" cm="1">
        <f t="array" ref="Y202">_xlfn.IFERROR(W202*25%,"N/A")</f>
        <v>N/A</v>
      </c>
      <c r="Z202" t="str" s="426" cm="1">
        <f t="array" ref="Z202">IF(B202&gt;0,SUM(W202:Y202),"N/A")</f>
        <v>N/A</v>
      </c>
      <c r="AA202" t="str" s="426" cm="1">
        <f t="array" ref="AA202">_xlfn.IFERROR((Z202-Z201),"N/A")</f>
        <v>N/A</v>
      </c>
      <c r="AB202" s="424"/>
      <c r="AC202" t="str" s="426" cm="1">
        <f t="array" ref="AC202">IF(B202=6,AVERAGE(Z191:Z196),"N/A")</f>
        <v>N/A</v>
      </c>
      <c r="AD202" s="424"/>
      <c r="AE202" s="423"/>
      <c r="AF202" s="423"/>
      <c r="AG202" s="423"/>
      <c r="AH202" s="423"/>
      <c r="AI202" s="423"/>
      <c r="AJ202" s="423"/>
      <c r="AK202" s="423"/>
      <c r="AL202" s="423"/>
      <c r="AM202" s="423"/>
      <c r="AN202" s="427"/>
    </row>
    <row r="203" ht="15" customHeight="1">
      <c r="A203" s="12"/>
      <c r="B203" s="428" cm="1">
        <f t="array" ref="B203">IF(B202=0,0,IF(B202&lt;VLOOKUP(C188,'Boats Data Sheet 2026'!$C$3:$H$57,6,0),B202+1,0))</f>
        <v>0</v>
      </c>
      <c r="C203" t="str" s="431" cm="1">
        <f t="array" ref="C203">IF(B203&gt;0,IF(VLOOKUP(C188,'Boats Data Sheet 2026'!$C$3:$J$57,8,0)="N/A",0,VLOOKUP(C188,'Boats Data Sheet 2026'!$C$3:$J$57,8,0)),"N/A")</f>
        <v>N/A</v>
      </c>
      <c r="D203" t="str" s="431" cm="1">
        <f t="array" ref="D203">IF(B203&gt;7,2,IF(B203=0,"N/A",1))</f>
        <v>N/A</v>
      </c>
      <c r="E203" t="str" s="431" cm="1">
        <f t="array" ref="E203">_xlfn.IFERROR(SUM('Direct Costs 2026'!$C$4:$C$5)*D203,"N/A")</f>
        <v>N/A</v>
      </c>
      <c r="F203" s="423" cm="1">
        <f t="array" ref="F203">_xlfn.IFERROR('Direct Costs 2026'!$C$43*B203,"N/A")</f>
        <v>0</v>
      </c>
      <c r="G203" t="str" s="431" cm="1">
        <f t="array" ref="G203">IF(B203&gt;0,'Direct Costs 2026'!$C$25,"N/A")</f>
        <v>N/A</v>
      </c>
      <c r="H203" t="str" s="431" cm="1">
        <f t="array" ref="H203">IF(B203&gt;0,'Direct Costs 2026'!$C$22,"N/A")</f>
        <v>N/A</v>
      </c>
      <c r="I203" s="423">
        <v>0</v>
      </c>
      <c r="J203" s="423">
        <v>0</v>
      </c>
      <c r="K203" t="str" s="431" cm="1">
        <f t="array" ref="K203">IF(B203&gt;0,'Direct Costs 2026'!$C$26,"N/A")</f>
        <v>N/A</v>
      </c>
      <c r="L203" t="str" s="431" cm="1">
        <f t="array" ref="L203">IF(B203&gt;0,'Direct Costs 2026'!$C$23,"N/A")</f>
        <v>N/A</v>
      </c>
      <c r="M203" t="str" s="431" cm="1">
        <f t="array" ref="M203">IF(B203&gt;0,'Direct Costs 2026'!$C$45*B203,"N/A")</f>
        <v>N/A</v>
      </c>
      <c r="N203" t="str" s="431" cm="1">
        <f t="array" ref="N203">IF(B203&gt;0,_xlfn.IFERROR(VLOOKUP(C188,'Boats Data Sheet 2026'!$C$3:$I$57,7,0)*'Direct Costs 2026'!$C$36,"N/A"),"N/A")</f>
        <v>N/A</v>
      </c>
      <c r="O203" t="str" s="431" cm="1">
        <f t="array" ref="O203">IF(B203&gt;0,IF(OR(VLOOKUP(C188,'Boats Data Sheet 2026'!$C$3:$F$57,4,0)="Own",VLOOKUP(C188,'Boats Data Sheet 2026'!$C$3:$F$57,4,0)="Management"),('Direct Costs 2026'!$C$37+'Direct Costs 2026'!$C$39),"N/A"),"N/A")</f>
        <v>N/A</v>
      </c>
      <c r="P203" t="str" s="431" cm="1">
        <f t="array" ref="P203">_xlfn.IFERROR('Direct Costs 2026'!$C$27*C203,"N/A")</f>
        <v>N/A</v>
      </c>
      <c r="Q203" t="str" s="431" cm="1">
        <f t="array" ref="Q203">_xlfn.IFERROR(C203+SUM(E203:P203),"N/A")</f>
        <v>N/A</v>
      </c>
      <c r="R203" s="424"/>
      <c r="S203" t="str" s="431" cm="1">
        <f t="array" ref="S203">IF(B203&gt;0,'Allocation OH and Target 2026'!$E$31,"N/A")</f>
        <v>N/A</v>
      </c>
      <c r="T203" t="str" s="431" cm="1">
        <f t="array" ref="T203">IF(B203&gt;0,VLOOKUP(C188,'Allocation OH and Target 2026'!$C$35:$S$87,16,0),"N/A")</f>
        <v>N/A</v>
      </c>
      <c r="U203" t="str" s="431" cm="1">
        <f t="array" ref="U203">_xlfn.IFERROR((S203+T203),"N/A")</f>
        <v>N/A</v>
      </c>
      <c r="V203" s="424"/>
      <c r="W203" t="str" s="431" cm="1">
        <f t="array" ref="W203">_xlfn.IFERROR(U203+Q203,"N/A")</f>
        <v>N/A</v>
      </c>
      <c r="X203" t="str" s="431" cm="1">
        <f t="array" ref="X203">_xlfn.IFERROR(W203*0.5%,"N/A")</f>
        <v>N/A</v>
      </c>
      <c r="Y203" t="str" s="431" cm="1">
        <f t="array" ref="Y203">_xlfn.IFERROR(W203*25%,"N/A")</f>
        <v>N/A</v>
      </c>
      <c r="Z203" t="str" s="426" cm="1">
        <f t="array" ref="Z203">IF(B203&gt;0,SUM(W203:Y203),"N/A")</f>
        <v>N/A</v>
      </c>
      <c r="AA203" t="str" s="426" cm="1">
        <f t="array" ref="AA203">_xlfn.IFERROR((Z203-Z202),"N/A")</f>
        <v>N/A</v>
      </c>
      <c r="AB203" s="424"/>
      <c r="AC203" t="str" s="426" cm="1">
        <f t="array" ref="AC203">IF(B203=6,AVERAGE(Z191:Z196),"N/A")</f>
        <v>N/A</v>
      </c>
      <c r="AD203" s="424"/>
      <c r="AE203" s="423"/>
      <c r="AF203" s="423"/>
      <c r="AG203" s="423"/>
      <c r="AH203" s="423"/>
      <c r="AI203" s="423"/>
      <c r="AJ203" s="423"/>
      <c r="AK203" s="423"/>
      <c r="AL203" s="423"/>
      <c r="AM203" s="423"/>
      <c r="AN203" s="427"/>
    </row>
    <row r="204" ht="15" customHeight="1">
      <c r="A204" s="12"/>
      <c r="B204" s="428" cm="1">
        <f t="array" ref="B204">IF(B203=0,0,IF(B203&lt;VLOOKUP(C188,'Boats Data Sheet 2026'!$C$3:$H$57,6,0),B203+1,0))</f>
        <v>0</v>
      </c>
      <c r="C204" t="str" s="431" cm="1">
        <f t="array" ref="C204">IF(B204&gt;0,IF(VLOOKUP(C188,'Boats Data Sheet 2026'!$C$3:$J$57,8,0)="N/A",0,VLOOKUP(C188,'Boats Data Sheet 2026'!$C$3:$J$57,8,0)),"N/A")</f>
        <v>N/A</v>
      </c>
      <c r="D204" t="str" s="431" cm="1">
        <f t="array" ref="D204">IF(B204&gt;7,2,IF(B204=0,"N/A",1))</f>
        <v>N/A</v>
      </c>
      <c r="E204" t="str" s="431" cm="1">
        <f t="array" ref="E204">_xlfn.IFERROR(SUM('Direct Costs 2026'!$C$4:$C$5)*D204,"N/A")</f>
        <v>N/A</v>
      </c>
      <c r="F204" s="423" cm="1">
        <f t="array" ref="F204">_xlfn.IFERROR('Direct Costs 2026'!$C$43*B204,"N/A")</f>
        <v>0</v>
      </c>
      <c r="G204" t="str" s="431" cm="1">
        <f t="array" ref="G204">IF(B204&gt;0,'Direct Costs 2026'!$C$25,"N/A")</f>
        <v>N/A</v>
      </c>
      <c r="H204" t="str" s="431" cm="1">
        <f t="array" ref="H204">IF(B204&gt;0,'Direct Costs 2026'!$C$22,"N/A")</f>
        <v>N/A</v>
      </c>
      <c r="I204" s="423">
        <v>0</v>
      </c>
      <c r="J204" s="423">
        <v>0</v>
      </c>
      <c r="K204" t="str" s="431" cm="1">
        <f t="array" ref="K204">IF(B204&gt;0,'Direct Costs 2026'!$C$26,"N/A")</f>
        <v>N/A</v>
      </c>
      <c r="L204" t="str" s="431" cm="1">
        <f t="array" ref="L204">IF(B204&gt;0,'Direct Costs 2026'!$C$23,"N/A")</f>
        <v>N/A</v>
      </c>
      <c r="M204" t="str" s="431" cm="1">
        <f t="array" ref="M204">IF(B204&gt;0,'Direct Costs 2026'!$C$45*B204,"N/A")</f>
        <v>N/A</v>
      </c>
      <c r="N204" t="str" s="431" cm="1">
        <f t="array" ref="N204">IF(B204&gt;0,_xlfn.IFERROR(VLOOKUP(C188,'Boats Data Sheet 2026'!$C$3:$I$57,7,0)*'Direct Costs 2026'!$C$36,"N/A"),"N/A")</f>
        <v>N/A</v>
      </c>
      <c r="O204" t="str" s="431" cm="1">
        <f t="array" ref="O204">IF(B204&gt;0,IF(OR(VLOOKUP(C188,'Boats Data Sheet 2026'!$C$3:$F$57,4,0)="Own",VLOOKUP(C188,'Boats Data Sheet 2026'!$C$3:$F$57,4,0)="Management"),('Direct Costs 2026'!$C$37+'Direct Costs 2026'!$C$39),"N/A"),"N/A")</f>
        <v>N/A</v>
      </c>
      <c r="P204" t="str" s="431" cm="1">
        <f t="array" ref="P204">_xlfn.IFERROR('Direct Costs 2026'!$C$27*C204,"N/A")</f>
        <v>N/A</v>
      </c>
      <c r="Q204" t="str" s="431" cm="1">
        <f t="array" ref="Q204">_xlfn.IFERROR(C204+SUM(E204:P204),"N/A")</f>
        <v>N/A</v>
      </c>
      <c r="R204" s="424"/>
      <c r="S204" t="str" s="431" cm="1">
        <f t="array" ref="S204">IF(B204&gt;0,'Allocation OH and Target 2026'!$E$31,"N/A")</f>
        <v>N/A</v>
      </c>
      <c r="T204" t="str" s="431" cm="1">
        <f t="array" ref="T204">IF(B204&gt;0,VLOOKUP(C188,'Allocation OH and Target 2026'!$C$35:$S$87,16,0),"N/A")</f>
        <v>N/A</v>
      </c>
      <c r="U204" t="str" s="431" cm="1">
        <f t="array" ref="U204">_xlfn.IFERROR((S204+T204),"N/A")</f>
        <v>N/A</v>
      </c>
      <c r="V204" s="424"/>
      <c r="W204" t="str" s="431" cm="1">
        <f t="array" ref="W204">_xlfn.IFERROR(U204+Q204,"N/A")</f>
        <v>N/A</v>
      </c>
      <c r="X204" t="str" s="431" cm="1">
        <f t="array" ref="X204">_xlfn.IFERROR(W204*0.5%,"N/A")</f>
        <v>N/A</v>
      </c>
      <c r="Y204" t="str" s="431" cm="1">
        <f t="array" ref="Y204">_xlfn.IFERROR(W204*25%,"N/A")</f>
        <v>N/A</v>
      </c>
      <c r="Z204" t="str" s="426" cm="1">
        <f t="array" ref="Z204">IF(B204&gt;0,SUM(W204:Y204),"N/A")</f>
        <v>N/A</v>
      </c>
      <c r="AA204" t="str" s="426" cm="1">
        <f t="array" ref="AA204">_xlfn.IFERROR((Z204-Z203),"N/A")</f>
        <v>N/A</v>
      </c>
      <c r="AB204" s="424"/>
      <c r="AC204" t="str" s="426" cm="1">
        <f t="array" ref="AC204">IF(B204=6,AVERAGE(Z191:Z196),"N/A")</f>
        <v>N/A</v>
      </c>
      <c r="AD204" s="424"/>
      <c r="AE204" s="423"/>
      <c r="AF204" s="423"/>
      <c r="AG204" s="423"/>
      <c r="AH204" s="423"/>
      <c r="AI204" s="423"/>
      <c r="AJ204" s="423"/>
      <c r="AK204" s="423"/>
      <c r="AL204" s="423"/>
      <c r="AM204" s="423"/>
      <c r="AN204" s="427"/>
    </row>
    <row r="205" ht="15" customHeight="1">
      <c r="A205" s="12"/>
      <c r="B205" s="428" cm="1">
        <f t="array" ref="B205">IF(B204=0,0,IF(B204&lt;VLOOKUP(C188,'Boats Data Sheet 2026'!$C$3:$H$57,6,0),B204+1,0))</f>
        <v>0</v>
      </c>
      <c r="C205" t="str" s="431" cm="1">
        <f t="array" ref="C205">IF(B205&gt;0,IF(VLOOKUP(C188,'Boats Data Sheet 2026'!$C$3:$J$57,8,0)="N/A",0,VLOOKUP(C188,'Boats Data Sheet 2026'!$C$3:$J$57,8,0)),"N/A")</f>
        <v>N/A</v>
      </c>
      <c r="D205" t="str" s="431" cm="1">
        <f t="array" ref="D205">IF(B205&gt;7,2,IF(B205=0,"N/A",1))</f>
        <v>N/A</v>
      </c>
      <c r="E205" t="str" s="431" cm="1">
        <f t="array" ref="E205">_xlfn.IFERROR(SUM('Direct Costs 2026'!$C$4:$C$5)*D205,"N/A")</f>
        <v>N/A</v>
      </c>
      <c r="F205" s="423" cm="1">
        <f t="array" ref="F205">_xlfn.IFERROR('Direct Costs 2026'!$C$43*B205,"N/A")</f>
        <v>0</v>
      </c>
      <c r="G205" t="str" s="431" cm="1">
        <f t="array" ref="G205">IF(B205&gt;0,'Direct Costs 2026'!$C$25,"N/A")</f>
        <v>N/A</v>
      </c>
      <c r="H205" t="str" s="431" cm="1">
        <f t="array" ref="H205">IF(B205&gt;0,'Direct Costs 2026'!$C$22,"N/A")</f>
        <v>N/A</v>
      </c>
      <c r="I205" s="423">
        <v>0</v>
      </c>
      <c r="J205" s="423">
        <v>0</v>
      </c>
      <c r="K205" t="str" s="431" cm="1">
        <f t="array" ref="K205">IF(B205&gt;0,'Direct Costs 2026'!$C$26,"N/A")</f>
        <v>N/A</v>
      </c>
      <c r="L205" t="str" s="431" cm="1">
        <f t="array" ref="L205">IF(B205&gt;0,'Direct Costs 2026'!$C$23,"N/A")</f>
        <v>N/A</v>
      </c>
      <c r="M205" t="str" s="431" cm="1">
        <f t="array" ref="M205">IF(B205&gt;0,'Direct Costs 2026'!$C$45*B205,"N/A")</f>
        <v>N/A</v>
      </c>
      <c r="N205" t="str" s="431" cm="1">
        <f t="array" ref="N205">IF(B205&gt;0,_xlfn.IFERROR(VLOOKUP(C188,'Boats Data Sheet 2026'!$C$3:$I$57,7,0)*'Direct Costs 2026'!$C$36,"N/A"),"N/A")</f>
        <v>N/A</v>
      </c>
      <c r="O205" t="str" s="431" cm="1">
        <f t="array" ref="O205">IF(B205&gt;0,IF(OR(VLOOKUP(C188,'Boats Data Sheet 2026'!$C$3:$F$57,4,0)="Own",VLOOKUP(C188,'Boats Data Sheet 2026'!$C$3:$F$57,4,0)="Management"),('Direct Costs 2026'!$C$37+'Direct Costs 2026'!$C$39),"N/A"),"N/A")</f>
        <v>N/A</v>
      </c>
      <c r="P205" t="str" s="431" cm="1">
        <f t="array" ref="P205">_xlfn.IFERROR('Direct Costs 2026'!$C$27*C205,"N/A")</f>
        <v>N/A</v>
      </c>
      <c r="Q205" t="str" s="431" cm="1">
        <f t="array" ref="Q205">_xlfn.IFERROR(C205+SUM(E205:P205),"N/A")</f>
        <v>N/A</v>
      </c>
      <c r="R205" s="424"/>
      <c r="S205" t="str" s="431" cm="1">
        <f t="array" ref="S205">IF(B205&gt;0,'Allocation OH and Target 2026'!$E$31,"N/A")</f>
        <v>N/A</v>
      </c>
      <c r="T205" t="str" s="431" cm="1">
        <f t="array" ref="T205">IF(B205&gt;0,VLOOKUP(C188,'Allocation OH and Target 2026'!$C$35:$S$87,16,0),"N/A")</f>
        <v>N/A</v>
      </c>
      <c r="U205" t="str" s="431" cm="1">
        <f t="array" ref="U205">_xlfn.IFERROR((S205+T205),"N/A")</f>
        <v>N/A</v>
      </c>
      <c r="V205" s="424"/>
      <c r="W205" t="str" s="431" cm="1">
        <f t="array" ref="W205">_xlfn.IFERROR(U205+Q205,"N/A")</f>
        <v>N/A</v>
      </c>
      <c r="X205" t="str" s="431" cm="1">
        <f t="array" ref="X205">_xlfn.IFERROR(W205*0.5%,"N/A")</f>
        <v>N/A</v>
      </c>
      <c r="Y205" t="str" s="431" cm="1">
        <f t="array" ref="Y205">_xlfn.IFERROR(W205*25%,"N/A")</f>
        <v>N/A</v>
      </c>
      <c r="Z205" t="str" s="426" cm="1">
        <f t="array" ref="Z205">IF(B205&gt;0,SUM(W205:Y205),"N/A")</f>
        <v>N/A</v>
      </c>
      <c r="AA205" t="str" s="426" cm="1">
        <f t="array" ref="AA205">_xlfn.IFERROR((Z205-Z204),"N/A")</f>
        <v>N/A</v>
      </c>
      <c r="AB205" s="424"/>
      <c r="AC205" t="str" s="426" cm="1">
        <f t="array" ref="AC205">IF(B205=6,AVERAGE(Z191:Z196),"N/A")</f>
        <v>N/A</v>
      </c>
      <c r="AD205" s="424"/>
      <c r="AE205" s="423"/>
      <c r="AF205" s="423"/>
      <c r="AG205" s="423"/>
      <c r="AH205" s="423"/>
      <c r="AI205" s="423"/>
      <c r="AJ205" s="423"/>
      <c r="AK205" s="423"/>
      <c r="AL205" s="423"/>
      <c r="AM205" s="423"/>
      <c r="AN205" s="427"/>
    </row>
    <row r="206" ht="15" customHeight="1">
      <c r="A206" s="12"/>
      <c r="B206" s="428" cm="1">
        <f t="array" ref="B206">IF(B205=0,0,IF(B205&lt;VLOOKUP(C188,'Boats Data Sheet 2026'!$C$3:$H$57,6,0),B205+1,0))</f>
        <v>0</v>
      </c>
      <c r="C206" t="str" s="431" cm="1">
        <f t="array" ref="C206">IF(B206&gt;0,IF(VLOOKUP(C188,'Boats Data Sheet 2026'!$C$3:$J$57,8,0)="N/A",0,VLOOKUP(C188,'Boats Data Sheet 2026'!$C$3:$J$57,8,0)),"N/A")</f>
        <v>N/A</v>
      </c>
      <c r="D206" t="str" s="431" cm="1">
        <f t="array" ref="D206">IF(B206&gt;7,2,IF(B206=0,"N/A",1))</f>
        <v>N/A</v>
      </c>
      <c r="E206" t="str" s="431" cm="1">
        <f t="array" ref="E206">_xlfn.IFERROR(SUM('Direct Costs 2026'!$C$4:$C$5)*D206,"N/A")</f>
        <v>N/A</v>
      </c>
      <c r="F206" s="423" cm="1">
        <f t="array" ref="F206">_xlfn.IFERROR('Direct Costs 2026'!$C$43*B206,"N/A")</f>
        <v>0</v>
      </c>
      <c r="G206" t="str" s="431" cm="1">
        <f t="array" ref="G206">IF(B206&gt;0,'Direct Costs 2026'!$C$25,"N/A")</f>
        <v>N/A</v>
      </c>
      <c r="H206" t="str" s="431" cm="1">
        <f t="array" ref="H206">IF(B206&gt;0,'Direct Costs 2026'!$C$22,"N/A")</f>
        <v>N/A</v>
      </c>
      <c r="I206" s="423">
        <v>0</v>
      </c>
      <c r="J206" s="423">
        <v>0</v>
      </c>
      <c r="K206" t="str" s="431" cm="1">
        <f t="array" ref="K206">IF(B206&gt;0,'Direct Costs 2026'!$C$26,"N/A")</f>
        <v>N/A</v>
      </c>
      <c r="L206" t="str" s="431" cm="1">
        <f t="array" ref="L206">IF(B206&gt;0,'Direct Costs 2026'!$C$23,"N/A")</f>
        <v>N/A</v>
      </c>
      <c r="M206" t="str" s="431" cm="1">
        <f t="array" ref="M206">IF(B206&gt;0,'Direct Costs 2026'!$C$45*B206,"N/A")</f>
        <v>N/A</v>
      </c>
      <c r="N206" t="str" s="431" cm="1">
        <f t="array" ref="N206">IF(B206&gt;0,_xlfn.IFERROR(VLOOKUP(C188,'Boats Data Sheet 2026'!$C$3:$I$57,7,0)*'Direct Costs 2026'!$C$36,"N/A"),"N/A")</f>
        <v>N/A</v>
      </c>
      <c r="O206" t="str" s="431" cm="1">
        <f t="array" ref="O206">IF(B206&gt;0,IF(OR(VLOOKUP(C188,'Boats Data Sheet 2026'!$C$3:$F$57,4,0)="Own",VLOOKUP(C188,'Boats Data Sheet 2026'!$C$3:$F$57,4,0)="Management"),('Direct Costs 2026'!$C$37+'Direct Costs 2026'!$C$39),"N/A"),"N/A")</f>
        <v>N/A</v>
      </c>
      <c r="P206" t="str" s="431" cm="1">
        <f t="array" ref="P206">_xlfn.IFERROR('Direct Costs 2026'!$C$27*C206,"N/A")</f>
        <v>N/A</v>
      </c>
      <c r="Q206" t="str" s="431" cm="1">
        <f t="array" ref="Q206">_xlfn.IFERROR(C206+SUM(E206:P206),"N/A")</f>
        <v>N/A</v>
      </c>
      <c r="R206" s="424"/>
      <c r="S206" t="str" s="431" cm="1">
        <f t="array" ref="S206">IF(B206&gt;0,'Allocation OH and Target 2026'!$E$31,"N/A")</f>
        <v>N/A</v>
      </c>
      <c r="T206" t="str" s="431" cm="1">
        <f t="array" ref="T206">IF(B206&gt;0,VLOOKUP(C188,'Allocation OH and Target 2026'!$C$35:$S$87,16,0),"N/A")</f>
        <v>N/A</v>
      </c>
      <c r="U206" t="str" s="431" cm="1">
        <f t="array" ref="U206">_xlfn.IFERROR((S206+T206),"N/A")</f>
        <v>N/A</v>
      </c>
      <c r="V206" s="424"/>
      <c r="W206" t="str" s="431" cm="1">
        <f t="array" ref="W206">_xlfn.IFERROR(U206+Q206,"N/A")</f>
        <v>N/A</v>
      </c>
      <c r="X206" t="str" s="431" cm="1">
        <f t="array" ref="X206">_xlfn.IFERROR(W206*0.5%,"N/A")</f>
        <v>N/A</v>
      </c>
      <c r="Y206" t="str" s="431" cm="1">
        <f t="array" ref="Y206">_xlfn.IFERROR(W206*25%,"N/A")</f>
        <v>N/A</v>
      </c>
      <c r="Z206" t="str" s="426" cm="1">
        <f t="array" ref="Z206">IF(B206&gt;0,SUM(W206:Y206),"N/A")</f>
        <v>N/A</v>
      </c>
      <c r="AA206" t="str" s="426" cm="1">
        <f t="array" ref="AA206">_xlfn.IFERROR((Z206-Z205),"N/A")</f>
        <v>N/A</v>
      </c>
      <c r="AB206" s="424"/>
      <c r="AC206" t="str" s="426" cm="1">
        <f t="array" ref="AC206">IF(B206=6,AVERAGE(Z191:Z196),"N/A")</f>
        <v>N/A</v>
      </c>
      <c r="AD206" s="424"/>
      <c r="AE206" s="423"/>
      <c r="AF206" s="423"/>
      <c r="AG206" s="423"/>
      <c r="AH206" s="423"/>
      <c r="AI206" s="423"/>
      <c r="AJ206" s="423"/>
      <c r="AK206" s="423"/>
      <c r="AL206" s="423"/>
      <c r="AM206" s="423"/>
      <c r="AN206" s="427"/>
    </row>
    <row r="207" ht="15" customHeight="1">
      <c r="A207" s="12"/>
      <c r="B207" s="428" cm="1">
        <f t="array" ref="B207">IF(B206=0,0,IF(B206&lt;VLOOKUP(C188,'Boats Data Sheet 2026'!$C$3:$H$57,6,0),B206+1,0))</f>
        <v>0</v>
      </c>
      <c r="C207" t="str" s="431" cm="1">
        <f t="array" ref="C207">IF(B207&gt;0,IF(VLOOKUP(C188,'Boats Data Sheet 2026'!$C$3:$J$57,8,0)="N/A",0,VLOOKUP(C188,'Boats Data Sheet 2026'!$C$3:$J$57,8,0)),"N/A")</f>
        <v>N/A</v>
      </c>
      <c r="D207" t="str" s="431" cm="1">
        <f t="array" ref="D207">IF(B207&gt;7,2,IF(B207=0,"N/A",1))</f>
        <v>N/A</v>
      </c>
      <c r="E207" t="str" s="431" cm="1">
        <f t="array" ref="E207">_xlfn.IFERROR(SUM('Direct Costs 2026'!$C$4:$C$5)*D207,"N/A")</f>
        <v>N/A</v>
      </c>
      <c r="F207" s="423" cm="1">
        <f t="array" ref="F207">_xlfn.IFERROR('Direct Costs 2026'!$C$43*B207,"N/A")</f>
        <v>0</v>
      </c>
      <c r="G207" t="str" s="431" cm="1">
        <f t="array" ref="G207">IF(B207&gt;0,'Direct Costs 2026'!$C$25,"N/A")</f>
        <v>N/A</v>
      </c>
      <c r="H207" t="str" s="431" cm="1">
        <f t="array" ref="H207">IF(B207&gt;0,'Direct Costs 2026'!$C$22,"N/A")</f>
        <v>N/A</v>
      </c>
      <c r="I207" s="423">
        <v>0</v>
      </c>
      <c r="J207" s="423">
        <v>0</v>
      </c>
      <c r="K207" t="str" s="431" cm="1">
        <f t="array" ref="K207">IF(B207&gt;0,'Direct Costs 2026'!$C$26,"N/A")</f>
        <v>N/A</v>
      </c>
      <c r="L207" t="str" s="431" cm="1">
        <f t="array" ref="L207">IF(B207&gt;0,'Direct Costs 2026'!$C$23,"N/A")</f>
        <v>N/A</v>
      </c>
      <c r="M207" t="str" s="431" cm="1">
        <f t="array" ref="M207">IF(B207&gt;0,'Direct Costs 2026'!$C$45*B207,"N/A")</f>
        <v>N/A</v>
      </c>
      <c r="N207" t="str" s="431" cm="1">
        <f t="array" ref="N207">IF(B207&gt;0,_xlfn.IFERROR(VLOOKUP(C188,'Boats Data Sheet 2026'!$C$3:$I$57,7,0)*'Direct Costs 2026'!$C$36,"N/A"),"N/A")</f>
        <v>N/A</v>
      </c>
      <c r="O207" t="str" s="431" cm="1">
        <f t="array" ref="O207">IF(B207&gt;0,IF(OR(VLOOKUP(C188,'Boats Data Sheet 2026'!$C$3:$F$57,4,0)="Own",VLOOKUP(C188,'Boats Data Sheet 2026'!$C$3:$F$57,4,0)="Management"),('Direct Costs 2026'!$C$37+'Direct Costs 2026'!$C$39),"N/A"),"N/A")</f>
        <v>N/A</v>
      </c>
      <c r="P207" t="str" s="431" cm="1">
        <f t="array" ref="P207">_xlfn.IFERROR('Direct Costs 2026'!$C$27*C207,"N/A")</f>
        <v>N/A</v>
      </c>
      <c r="Q207" t="str" s="431" cm="1">
        <f t="array" ref="Q207">_xlfn.IFERROR(C207+SUM(E207:P207),"N/A")</f>
        <v>N/A</v>
      </c>
      <c r="R207" s="424"/>
      <c r="S207" t="str" s="431" cm="1">
        <f t="array" ref="S207">IF(B207&gt;0,'Allocation OH and Target 2026'!$E$31,"N/A")</f>
        <v>N/A</v>
      </c>
      <c r="T207" t="str" s="431" cm="1">
        <f t="array" ref="T207">IF(B207&gt;0,VLOOKUP(C188,'Allocation OH and Target 2026'!$C$35:$S$87,16,0),"N/A")</f>
        <v>N/A</v>
      </c>
      <c r="U207" t="str" s="431" cm="1">
        <f t="array" ref="U207">_xlfn.IFERROR((S207+T207),"N/A")</f>
        <v>N/A</v>
      </c>
      <c r="V207" s="424"/>
      <c r="W207" t="str" s="431" cm="1">
        <f t="array" ref="W207">_xlfn.IFERROR(U207+Q207,"N/A")</f>
        <v>N/A</v>
      </c>
      <c r="X207" t="str" s="431" cm="1">
        <f t="array" ref="X207">_xlfn.IFERROR(W207*0.5%,"N/A")</f>
        <v>N/A</v>
      </c>
      <c r="Y207" t="str" s="431" cm="1">
        <f t="array" ref="Y207">_xlfn.IFERROR(W207*25%,"N/A")</f>
        <v>N/A</v>
      </c>
      <c r="Z207" t="str" s="426" cm="1">
        <f t="array" ref="Z207">IF(B207&gt;0,SUM(W207:Y207),"N/A")</f>
        <v>N/A</v>
      </c>
      <c r="AA207" t="str" s="426" cm="1">
        <f t="array" ref="AA207">_xlfn.IFERROR((Z207-Z206),"N/A")</f>
        <v>N/A</v>
      </c>
      <c r="AB207" s="424"/>
      <c r="AC207" t="str" s="426" cm="1">
        <f t="array" ref="AC207">IF(B207=6,AVERAGE(Z191:Z196),"N/A")</f>
        <v>N/A</v>
      </c>
      <c r="AD207" s="424"/>
      <c r="AE207" s="423"/>
      <c r="AF207" s="423"/>
      <c r="AG207" s="423"/>
      <c r="AH207" s="423"/>
      <c r="AI207" s="423"/>
      <c r="AJ207" s="423"/>
      <c r="AK207" s="423"/>
      <c r="AL207" s="423"/>
      <c r="AM207" s="423"/>
      <c r="AN207" s="427"/>
    </row>
    <row r="208" ht="15.5" customHeight="1">
      <c r="A208" s="12"/>
      <c r="B208" s="432" cm="1">
        <f t="array" ref="B208">IF(B207=0,0,IF(B207&lt;VLOOKUP(C188,'Boats Data Sheet 2026'!$C$3:$H$57,6,0),B207+1,0))</f>
        <v>0</v>
      </c>
      <c r="C208" t="str" s="433" cm="1">
        <f t="array" ref="C208">IF(B208&gt;0,IF(VLOOKUP(C188,'Boats Data Sheet 2026'!$C$3:$J$57,8,0)="N/A",0,VLOOKUP(C188,'Boats Data Sheet 2026'!$C$3:$J$57,8,0)),"N/A")</f>
        <v>N/A</v>
      </c>
      <c r="D208" t="str" s="433" cm="1">
        <f t="array" ref="D208">IF(B208&gt;7,2,IF(B208=0,"N/A",1))</f>
        <v>N/A</v>
      </c>
      <c r="E208" t="str" s="433" cm="1">
        <f t="array" ref="E208">_xlfn.IFERROR(SUM('Direct Costs 2026'!$C$4:$C$5)*D208,"N/A")</f>
        <v>N/A</v>
      </c>
      <c r="F208" s="434" cm="1">
        <f t="array" ref="F208">_xlfn.IFERROR('Direct Costs 2026'!$C$43*B208,"N/A")</f>
        <v>0</v>
      </c>
      <c r="G208" t="str" s="433" cm="1">
        <f t="array" ref="G208">IF(B208&gt;0,'Direct Costs 2026'!$C$25,"N/A")</f>
        <v>N/A</v>
      </c>
      <c r="H208" t="str" s="433" cm="1">
        <f t="array" ref="H208">IF(B208&gt;0,'Direct Costs 2026'!$C$22,"N/A")</f>
        <v>N/A</v>
      </c>
      <c r="I208" s="434">
        <v>0</v>
      </c>
      <c r="J208" s="434">
        <v>0</v>
      </c>
      <c r="K208" t="str" s="433" cm="1">
        <f t="array" ref="K208">IF(B208&gt;0,'Direct Costs 2026'!$C$26,"N/A")</f>
        <v>N/A</v>
      </c>
      <c r="L208" t="str" s="433" cm="1">
        <f t="array" ref="L208">IF(B208&gt;0,'Direct Costs 2026'!$C$23,"N/A")</f>
        <v>N/A</v>
      </c>
      <c r="M208" t="str" s="433" cm="1">
        <f t="array" ref="M208">IF(B208&gt;0,'Direct Costs 2026'!$C$45*B208,"N/A")</f>
        <v>N/A</v>
      </c>
      <c r="N208" t="str" s="433" cm="1">
        <f t="array" ref="N208">IF(B208&gt;0,_xlfn.IFERROR(VLOOKUP(C188,'Boats Data Sheet 2026'!$C$3:$I$57,7,0)*'Direct Costs 2026'!$C$36,"N/A"),"N/A")</f>
        <v>N/A</v>
      </c>
      <c r="O208" t="str" s="433" cm="1">
        <f t="array" ref="O208">IF(B208&gt;0,IF(OR(VLOOKUP(C188,'Boats Data Sheet 2026'!$C$3:$F$57,4,0)="Own",VLOOKUP(C188,'Boats Data Sheet 2026'!$C$3:$F$57,4,0)="Management"),('Direct Costs 2026'!$C$37+'Direct Costs 2026'!$C$39),"N/A"),"N/A")</f>
        <v>N/A</v>
      </c>
      <c r="P208" t="str" s="433" cm="1">
        <f t="array" ref="P208">_xlfn.IFERROR('Direct Costs 2026'!$C$27*C208,"N/A")</f>
        <v>N/A</v>
      </c>
      <c r="Q208" t="str" s="433" cm="1">
        <f t="array" ref="Q208">_xlfn.IFERROR(C208+SUM(E208:P208),"N/A")</f>
        <v>N/A</v>
      </c>
      <c r="R208" s="435"/>
      <c r="S208" t="str" s="433" cm="1">
        <f t="array" ref="S208">IF(B208&gt;0,'Allocation OH and Target 2026'!$E$31,"N/A")</f>
        <v>N/A</v>
      </c>
      <c r="T208" t="str" s="433" cm="1">
        <f t="array" ref="T208">IF(B208&gt;0,VLOOKUP(C188,'Allocation OH and Target 2026'!$C$35:$S$87,16,0),"N/A")</f>
        <v>N/A</v>
      </c>
      <c r="U208" t="str" s="433" cm="1">
        <f t="array" ref="U208">_xlfn.IFERROR((S208+T208),"N/A")</f>
        <v>N/A</v>
      </c>
      <c r="V208" s="435"/>
      <c r="W208" t="str" s="433" cm="1">
        <f t="array" ref="W208">_xlfn.IFERROR(U208+Q208,"N/A")</f>
        <v>N/A</v>
      </c>
      <c r="X208" t="str" s="433" cm="1">
        <f t="array" ref="X208">_xlfn.IFERROR(W208*0.5%,"N/A")</f>
        <v>N/A</v>
      </c>
      <c r="Y208" t="str" s="433" cm="1">
        <f t="array" ref="Y208">_xlfn.IFERROR(W208*25%,"N/A")</f>
        <v>N/A</v>
      </c>
      <c r="Z208" t="str" s="436" cm="1">
        <f t="array" ref="Z208">IF(B208&gt;0,SUM(W208:Y208),"N/A")</f>
        <v>N/A</v>
      </c>
      <c r="AA208" t="str" s="436" cm="1">
        <f t="array" ref="AA208">_xlfn.IFERROR((Z208-Z207),"N/A")</f>
        <v>N/A</v>
      </c>
      <c r="AB208" s="435"/>
      <c r="AC208" t="str" s="436" cm="1">
        <f t="array" ref="AC208">IF(B208=6,AVERAGE(Z191:Z196),"N/A")</f>
        <v>N/A</v>
      </c>
      <c r="AD208" s="435"/>
      <c r="AE208" s="434"/>
      <c r="AF208" s="434"/>
      <c r="AG208" s="434"/>
      <c r="AH208" s="434"/>
      <c r="AI208" s="434"/>
      <c r="AJ208" s="434"/>
      <c r="AK208" s="434"/>
      <c r="AL208" s="434"/>
      <c r="AM208" s="434"/>
      <c r="AN208" s="437"/>
    </row>
    <row r="209" ht="15" customHeight="1">
      <c r="A209" s="32"/>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c r="AD209" s="124"/>
      <c r="AE209" s="124"/>
      <c r="AF209" s="124"/>
      <c r="AG209" s="124"/>
      <c r="AH209" s="124"/>
      <c r="AI209" s="124"/>
      <c r="AJ209" s="124"/>
      <c r="AK209" s="124"/>
      <c r="AL209" s="124"/>
      <c r="AM209" s="124"/>
      <c r="AN209" s="313"/>
    </row>
    <row r="210" ht="15" customHeight="1">
      <c r="A210" s="32"/>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442"/>
    </row>
    <row r="211" ht="15.5" customHeight="1">
      <c r="A211" s="395">
        <v>11</v>
      </c>
      <c r="B211" t="s" s="396">
        <v>506</v>
      </c>
      <c r="C211" t="s" s="397">
        <v>193</v>
      </c>
      <c r="D211" s="398"/>
      <c r="E211" s="398"/>
      <c r="F211" s="398"/>
      <c r="G211" s="398"/>
      <c r="H211" s="398"/>
      <c r="I211" s="398"/>
      <c r="J211" s="398"/>
      <c r="K211" s="398"/>
      <c r="L211" s="398"/>
      <c r="M211" s="398"/>
      <c r="N211" s="398"/>
      <c r="O211" s="398"/>
      <c r="P211" s="398"/>
      <c r="Q211" s="398"/>
      <c r="R211" s="399"/>
      <c r="S211" s="398"/>
      <c r="T211" s="398"/>
      <c r="U211" s="398"/>
      <c r="V211" s="399"/>
      <c r="W211" s="398"/>
      <c r="X211" s="398"/>
      <c r="Y211" s="398"/>
      <c r="Z211" s="398"/>
      <c r="AA211" s="398"/>
      <c r="AB211" s="399"/>
      <c r="AC211" s="398"/>
      <c r="AD211" s="399"/>
      <c r="AE211" t="s" s="397">
        <v>508</v>
      </c>
      <c r="AF211" s="401" cm="1">
        <f t="array" ref="AF211">AVERAGE(Q214:Q219)</f>
        <v>6869500</v>
      </c>
      <c r="AG211" t="s" s="400">
        <v>509</v>
      </c>
      <c r="AH211" s="401" cm="1">
        <f t="array" ref="AH211">AVERAGE(Q220:Q227)-AF211</f>
        <v>1061750</v>
      </c>
      <c r="AI211" t="s" s="400">
        <v>510</v>
      </c>
      <c r="AJ211" s="401" cm="1">
        <f t="array" ref="AJ211">AVERAGE(Y214:Y221)</f>
        <v>2558846.16442453</v>
      </c>
      <c r="AK211" t="s" s="397">
        <v>511</v>
      </c>
      <c r="AL211" s="401" cm="1">
        <f t="array" ref="AL211">AVERAGE(W214:W219)</f>
        <v>9969947.15769811</v>
      </c>
      <c r="AM211" t="s" s="400">
        <v>512</v>
      </c>
      <c r="AN211" s="402" cm="1">
        <f t="array" ref="AN211">W214</f>
        <v>9579947.157698121</v>
      </c>
    </row>
    <row r="212" ht="15" customHeight="1">
      <c r="A212" s="12"/>
      <c r="B212" s="403"/>
      <c r="C212" t="s" s="404">
        <v>513</v>
      </c>
      <c r="D212" s="405"/>
      <c r="E212" s="405"/>
      <c r="F212" s="405"/>
      <c r="G212" s="405"/>
      <c r="H212" s="405"/>
      <c r="I212" s="405"/>
      <c r="J212" s="405"/>
      <c r="K212" s="405"/>
      <c r="L212" s="405"/>
      <c r="M212" s="405"/>
      <c r="N212" s="405"/>
      <c r="O212" s="405"/>
      <c r="P212" s="405"/>
      <c r="Q212" s="406"/>
      <c r="R212" s="407"/>
      <c r="S212" t="s" s="404">
        <v>514</v>
      </c>
      <c r="T212" s="405"/>
      <c r="U212" s="406"/>
      <c r="V212" s="407"/>
      <c r="W212" t="s" s="404">
        <v>515</v>
      </c>
      <c r="X212" s="405"/>
      <c r="Y212" s="405"/>
      <c r="Z212" s="405"/>
      <c r="AA212" s="405"/>
      <c r="AB212" s="408"/>
      <c r="AC212" t="s" s="409">
        <v>516</v>
      </c>
      <c r="AD212" s="410"/>
      <c r="AE212" s="443"/>
      <c r="AF212" s="443"/>
      <c r="AG212" s="443"/>
      <c r="AH212" s="443"/>
      <c r="AI212" s="443"/>
      <c r="AJ212" s="443"/>
      <c r="AK212" s="443"/>
      <c r="AL212" s="414"/>
      <c r="AM212" s="415"/>
      <c r="AN212" s="414"/>
    </row>
    <row r="213" ht="46.25" customHeight="1">
      <c r="A213" s="187"/>
      <c r="B213" t="s" s="416">
        <v>517</v>
      </c>
      <c r="C213" t="s" s="417">
        <v>518</v>
      </c>
      <c r="D213" t="s" s="417">
        <v>519</v>
      </c>
      <c r="E213" t="s" s="417">
        <v>520</v>
      </c>
      <c r="F213" t="s" s="159">
        <v>521</v>
      </c>
      <c r="G213" t="s" s="159">
        <v>522</v>
      </c>
      <c r="H213" t="s" s="159">
        <v>541</v>
      </c>
      <c r="I213" t="s" s="159">
        <v>524</v>
      </c>
      <c r="J213" t="s" s="159">
        <v>525</v>
      </c>
      <c r="K213" t="s" s="159">
        <v>526</v>
      </c>
      <c r="L213" t="s" s="159">
        <v>527</v>
      </c>
      <c r="M213" t="s" s="159">
        <v>528</v>
      </c>
      <c r="N213" t="s" s="159">
        <v>529</v>
      </c>
      <c r="O213" t="s" s="159">
        <v>530</v>
      </c>
      <c r="P213" t="s" s="159">
        <v>531</v>
      </c>
      <c r="Q213" t="s" s="159">
        <v>532</v>
      </c>
      <c r="R213" s="418"/>
      <c r="S213" t="s" s="159">
        <v>533</v>
      </c>
      <c r="T213" t="s" s="159">
        <v>534</v>
      </c>
      <c r="U213" t="s" s="159">
        <v>535</v>
      </c>
      <c r="V213" s="418"/>
      <c r="W213" t="s" s="159">
        <v>536</v>
      </c>
      <c r="X213" t="s" s="159">
        <v>537</v>
      </c>
      <c r="Y213" t="s" s="159">
        <v>538</v>
      </c>
      <c r="Z213" t="s" s="159">
        <v>539</v>
      </c>
      <c r="AA213" t="s" s="159">
        <v>121</v>
      </c>
      <c r="AB213" s="419"/>
      <c r="AC213" t="s" s="159">
        <v>39</v>
      </c>
      <c r="AD213" s="419"/>
      <c r="AE213" s="77"/>
      <c r="AF213" s="77"/>
      <c r="AG213" s="77"/>
      <c r="AH213" s="77"/>
      <c r="AI213" s="77"/>
      <c r="AJ213" s="77"/>
      <c r="AK213" s="77"/>
      <c r="AL213" s="77"/>
      <c r="AM213" s="77"/>
      <c r="AN213" s="78"/>
    </row>
    <row r="214" ht="15" customHeight="1">
      <c r="A214" s="12"/>
      <c r="B214" s="420">
        <v>1</v>
      </c>
      <c r="C214" s="421" cm="1">
        <f t="array" ref="C214">IF(B214&gt;0,IF(VLOOKUP(C211,'Boats Data Sheet 2026'!$C$3:$J$57,8,0)="N/A",0,VLOOKUP(C211,'Boats Data Sheet 2026'!$C$3:$J$57,8,0)),"N/A")</f>
        <v>4900000</v>
      </c>
      <c r="D214" s="422" cm="1">
        <f t="array" ref="D214">IF(B214&gt;7,2,IF(B214=0,"N/A",1))</f>
        <v>1</v>
      </c>
      <c r="E214" s="421" cm="1">
        <f t="array" ref="E214">_xlfn.IFERROR(SUM('Direct Costs 2026'!$C$4:$C$5)*D214,"N/A")</f>
        <v>875500</v>
      </c>
      <c r="F214" s="423" cm="1">
        <f t="array" ref="F214">_xlfn.IFERROR('Direct Costs 2026'!$C$43*B214,"N/A")</f>
        <v>6000</v>
      </c>
      <c r="G214" s="423" cm="1">
        <f t="array" ref="G214">IF(B214&gt;0,'Direct Costs 2026'!$C$25,"N/A")</f>
        <v>90000</v>
      </c>
      <c r="H214" s="423" cm="1">
        <f t="array" ref="H214">IF(B214&gt;0,'Direct Costs 2026'!$C$22,"N/A")</f>
        <v>200000</v>
      </c>
      <c r="I214" s="423">
        <v>0</v>
      </c>
      <c r="J214" s="423">
        <v>0</v>
      </c>
      <c r="K214" s="423" cm="1">
        <f t="array" ref="K214">IF(B214&gt;0,'Direct Costs 2026'!$C$26,"N/A")</f>
        <v>20000</v>
      </c>
      <c r="L214" s="423" cm="1">
        <f t="array" ref="L214">IF(B214&gt;0,'Direct Costs 2026'!$C$23,"N/A")</f>
        <v>140000</v>
      </c>
      <c r="M214" s="423" cm="1">
        <f t="array" ref="M214">IF(B214&gt;0,'Direct Costs 2026'!$C$45*B214,"N/A")</f>
        <v>150000</v>
      </c>
      <c r="N214" t="str" s="431" cm="1">
        <f t="array" ref="N214">IF(B214&gt;0,_xlfn.IFERROR(VLOOKUP(C211,'Boats Data Sheet 2026'!$C$3:$I$57,7,0)*'Direct Costs 2026'!$C$36,"N/A"),"N/A")</f>
        <v>N/A</v>
      </c>
      <c r="O214" t="str" s="431" cm="1">
        <f t="array" ref="O214">IF(B214&gt;0,IF(OR(VLOOKUP(C211,'Boats Data Sheet 2026'!$C$3:$F$57,4,0)="Own",VLOOKUP(C211,'Boats Data Sheet 2026'!$C$3:$F$57,4,0)="Management"),('Direct Costs 2026'!$C$37+'Direct Costs 2026'!$C$39),"N/A"),"N/A")</f>
        <v>N/A</v>
      </c>
      <c r="P214" s="423" cm="1">
        <f t="array" ref="P214">_xlfn.IFERROR('Direct Costs 2026'!$C$27*C214,"N/A")</f>
        <v>98000</v>
      </c>
      <c r="Q214" s="423" cm="1">
        <f t="array" ref="Q214">_xlfn.IFERROR(C214+SUM(E214:P214),"N/A")</f>
        <v>6479500</v>
      </c>
      <c r="R214" s="424"/>
      <c r="S214" s="423" cm="1">
        <f t="array" ref="S214">IF(B214&gt;0,'Allocation OH and Target 2026'!$E$31,"N/A")</f>
        <v>3100447.15769812</v>
      </c>
      <c r="T214" s="423" cm="1">
        <f t="array" ref="T214">IF(B214&gt;0,VLOOKUP(C211,'Allocation OH and Target 2026'!$C$35:$S$87,16,0),"N/A")</f>
        <v>0</v>
      </c>
      <c r="U214" s="423" cm="1">
        <f t="array" ref="U214">_xlfn.IFERROR((S214+T214),"N/A")</f>
        <v>3100447.15769812</v>
      </c>
      <c r="V214" s="424"/>
      <c r="W214" s="423" cm="1">
        <f t="array" ref="W214">_xlfn.IFERROR(U214+Q214,"N/A")</f>
        <v>9579947.157698121</v>
      </c>
      <c r="X214" s="423" cm="1">
        <f t="array" ref="X214">_xlfn.IFERROR(W214*0.5%,"N/A")</f>
        <v>47899.7357884906</v>
      </c>
      <c r="Y214" s="423" cm="1">
        <f t="array" ref="Y214">_xlfn.IFERROR(W214*25%,"N/A")</f>
        <v>2394986.78942453</v>
      </c>
      <c r="Z214" s="425" cm="1">
        <f t="array" ref="Z214">IF(B214&gt;0,SUM(W214:Y214),"N/A")</f>
        <v>12022833.6829111</v>
      </c>
      <c r="AA214" s="425">
        <v>0</v>
      </c>
      <c r="AB214" s="424"/>
      <c r="AC214" t="str" s="426" cm="1">
        <f t="array" ref="AC214">IF(B214=6,AVERAGE(Z214:Z219),"N/A")</f>
        <v>N/A</v>
      </c>
      <c r="AD214" s="424"/>
      <c r="AE214" s="423"/>
      <c r="AF214" s="423"/>
      <c r="AG214" s="423"/>
      <c r="AH214" s="423"/>
      <c r="AI214" s="423"/>
      <c r="AJ214" s="423"/>
      <c r="AK214" s="423"/>
      <c r="AL214" s="423"/>
      <c r="AM214" s="423"/>
      <c r="AN214" s="427"/>
    </row>
    <row r="215" ht="15" customHeight="1">
      <c r="A215" s="12"/>
      <c r="B215" s="428" cm="1">
        <f t="array" ref="B215">IF(B214=0,0,IF(B214&lt;VLOOKUP(C211,'Boats Data Sheet 2026'!$C$3:$H$57,6,0),B214+1,0))</f>
        <v>2</v>
      </c>
      <c r="C215" s="423" cm="1">
        <f t="array" ref="C215">IF(B215&gt;0,IF(VLOOKUP(C211,'Boats Data Sheet 2026'!$C$3:$J$57,8,0)="N/A",0,VLOOKUP(C211,'Boats Data Sheet 2026'!$C$3:$J$57,8,0)),"N/A")</f>
        <v>4900000</v>
      </c>
      <c r="D215" s="429" cm="1">
        <f t="array" ref="D215">IF(B215&gt;7,2,IF(B215=0,"N/A",1))</f>
        <v>1</v>
      </c>
      <c r="E215" s="423" cm="1">
        <f t="array" ref="E215">_xlfn.IFERROR(SUM('Direct Costs 2026'!$C$4:$C$5)*D215,"N/A")</f>
        <v>875500</v>
      </c>
      <c r="F215" s="423" cm="1">
        <f t="array" ref="F215">_xlfn.IFERROR('Direct Costs 2026'!$C$43*B215,"N/A")</f>
        <v>12000</v>
      </c>
      <c r="G215" s="423" cm="1">
        <f t="array" ref="G215">IF(B215&gt;0,'Direct Costs 2026'!$C$25,"N/A")</f>
        <v>90000</v>
      </c>
      <c r="H215" s="423" cm="1">
        <f t="array" ref="H215">IF(B215&gt;0,'Direct Costs 2026'!$C$22,"N/A")</f>
        <v>200000</v>
      </c>
      <c r="I215" s="423">
        <v>0</v>
      </c>
      <c r="J215" s="423">
        <v>0</v>
      </c>
      <c r="K215" s="423" cm="1">
        <f t="array" ref="K215">IF(B215&gt;0,'Direct Costs 2026'!$C$26,"N/A")</f>
        <v>20000</v>
      </c>
      <c r="L215" s="423" cm="1">
        <f t="array" ref="L215">IF(B215&gt;0,'Direct Costs 2026'!$C$23,"N/A")</f>
        <v>140000</v>
      </c>
      <c r="M215" s="423" cm="1">
        <f t="array" ref="M215">IF(B215&gt;0,'Direct Costs 2026'!$C$45*B215,"N/A")</f>
        <v>300000</v>
      </c>
      <c r="N215" t="str" s="431" cm="1">
        <f t="array" ref="N215">IF(B215&gt;0,_xlfn.IFERROR(VLOOKUP(C211,'Boats Data Sheet 2026'!$C$3:$I$57,7,0)*'Direct Costs 2026'!$C$36,"N/A"),"N/A")</f>
        <v>N/A</v>
      </c>
      <c r="O215" t="str" s="431" cm="1">
        <f t="array" ref="O215">IF(B215&gt;0,IF(OR(VLOOKUP(C211,'Boats Data Sheet 2026'!$C$3:$F$57,4,0)="Own",VLOOKUP(C211,'Boats Data Sheet 2026'!$C$3:$F$57,4,0)="Management"),('Direct Costs 2026'!$C$37+'Direct Costs 2026'!$C$39),"N/A"),"N/A")</f>
        <v>N/A</v>
      </c>
      <c r="P215" s="423" cm="1">
        <f t="array" ref="P215">_xlfn.IFERROR('Direct Costs 2026'!$C$27*C215,"N/A")</f>
        <v>98000</v>
      </c>
      <c r="Q215" s="423" cm="1">
        <f t="array" ref="Q215">_xlfn.IFERROR(C215+SUM(E215:P215),"N/A")</f>
        <v>6635500</v>
      </c>
      <c r="R215" s="424"/>
      <c r="S215" s="423" cm="1">
        <f t="array" ref="S215">IF(B215&gt;0,'Allocation OH and Target 2026'!$E$31,"N/A")</f>
        <v>3100447.15769812</v>
      </c>
      <c r="T215" s="423" cm="1">
        <f t="array" ref="T215">IF(B215&gt;0,VLOOKUP(C211,'Allocation OH and Target 2026'!$C$35:$S$87,16,0),"N/A")</f>
        <v>0</v>
      </c>
      <c r="U215" s="423" cm="1">
        <f t="array" ref="U215">_xlfn.IFERROR((S215+T215),"N/A")</f>
        <v>3100447.15769812</v>
      </c>
      <c r="V215" s="424"/>
      <c r="W215" s="423" cm="1">
        <f t="array" ref="W215">_xlfn.IFERROR(U215+Q215,"N/A")</f>
        <v>9735947.157698121</v>
      </c>
      <c r="X215" s="423" cm="1">
        <f t="array" ref="X215">_xlfn.IFERROR(W215*0.5%,"N/A")</f>
        <v>48679.7357884906</v>
      </c>
      <c r="Y215" s="423" cm="1">
        <f t="array" ref="Y215">_xlfn.IFERROR(W215*25%,"N/A")</f>
        <v>2433986.78942453</v>
      </c>
      <c r="Z215" s="425" cm="1">
        <f t="array" ref="Z215">IF(B215&gt;0,SUM(W215:Y215),"N/A")</f>
        <v>12218613.6829111</v>
      </c>
      <c r="AA215" s="425" cm="1">
        <f t="array" ref="AA215">_xlfn.IFERROR((Z215-Z214),"N/A")</f>
        <v>195780</v>
      </c>
      <c r="AB215" s="424"/>
      <c r="AC215" t="str" s="426" cm="1">
        <f t="array" ref="AC215">IF(B215=6,AVERAGE(Z214:Z219),"N/A")</f>
        <v>N/A</v>
      </c>
      <c r="AD215" s="424"/>
      <c r="AE215" s="423"/>
      <c r="AF215" s="423"/>
      <c r="AG215" s="423"/>
      <c r="AH215" s="423"/>
      <c r="AI215" s="423"/>
      <c r="AJ215" s="423"/>
      <c r="AK215" s="423"/>
      <c r="AL215" s="423"/>
      <c r="AM215" s="423"/>
      <c r="AN215" s="427"/>
    </row>
    <row r="216" ht="15" customHeight="1">
      <c r="A216" s="12"/>
      <c r="B216" s="428" cm="1">
        <f t="array" ref="B216">IF(B215=0,0,IF(B215&lt;VLOOKUP(C211,'Boats Data Sheet 2026'!$C$3:$H$57,6,0),B215+1,0))</f>
        <v>3</v>
      </c>
      <c r="C216" s="423" cm="1">
        <f t="array" ref="C216">IF(B216&gt;0,IF(VLOOKUP(C211,'Boats Data Sheet 2026'!$C$3:$J$57,8,0)="N/A",0,VLOOKUP(C211,'Boats Data Sheet 2026'!$C$3:$J$57,8,0)),"N/A")</f>
        <v>4900000</v>
      </c>
      <c r="D216" s="429" cm="1">
        <f t="array" ref="D216">IF(B216&gt;7,2,IF(B216=0,"N/A",1))</f>
        <v>1</v>
      </c>
      <c r="E216" s="423" cm="1">
        <f t="array" ref="E216">_xlfn.IFERROR(SUM('Direct Costs 2026'!$C$4:$C$5)*D216,"N/A")</f>
        <v>875500</v>
      </c>
      <c r="F216" s="423" cm="1">
        <f t="array" ref="F216">_xlfn.IFERROR('Direct Costs 2026'!$C$43*B216,"N/A")</f>
        <v>18000</v>
      </c>
      <c r="G216" s="423" cm="1">
        <f t="array" ref="G216">IF(B216&gt;0,'Direct Costs 2026'!$C$25,"N/A")</f>
        <v>90000</v>
      </c>
      <c r="H216" s="423" cm="1">
        <f t="array" ref="H216">IF(B216&gt;0,'Direct Costs 2026'!$C$22,"N/A")</f>
        <v>200000</v>
      </c>
      <c r="I216" s="423">
        <v>0</v>
      </c>
      <c r="J216" s="423">
        <v>0</v>
      </c>
      <c r="K216" s="423" cm="1">
        <f t="array" ref="K216">IF(B216&gt;0,'Direct Costs 2026'!$C$26,"N/A")</f>
        <v>20000</v>
      </c>
      <c r="L216" s="423" cm="1">
        <f t="array" ref="L216">IF(B216&gt;0,'Direct Costs 2026'!$C$23,"N/A")</f>
        <v>140000</v>
      </c>
      <c r="M216" s="423" cm="1">
        <f t="array" ref="M216">IF(B216&gt;0,'Direct Costs 2026'!$C$45*B216,"N/A")</f>
        <v>450000</v>
      </c>
      <c r="N216" t="str" s="431" cm="1">
        <f t="array" ref="N216">IF(B216&gt;0,_xlfn.IFERROR(VLOOKUP(C211,'Boats Data Sheet 2026'!$C$3:$I$57,7,0)*'Direct Costs 2026'!$C$36,"N/A"),"N/A")</f>
        <v>N/A</v>
      </c>
      <c r="O216" t="str" s="431" cm="1">
        <f t="array" ref="O216">IF(B216&gt;0,IF(OR(VLOOKUP(C211,'Boats Data Sheet 2026'!$C$3:$F$57,4,0)="Own",VLOOKUP(C211,'Boats Data Sheet 2026'!$C$3:$F$57,4,0)="Management"),('Direct Costs 2026'!$C$37+'Direct Costs 2026'!$C$39),"N/A"),"N/A")</f>
        <v>N/A</v>
      </c>
      <c r="P216" s="423" cm="1">
        <f t="array" ref="P216">_xlfn.IFERROR('Direct Costs 2026'!$C$27*C216,"N/A")</f>
        <v>98000</v>
      </c>
      <c r="Q216" s="423" cm="1">
        <f t="array" ref="Q216">_xlfn.IFERROR(C216+SUM(E216:P216),"N/A")</f>
        <v>6791500</v>
      </c>
      <c r="R216" s="424"/>
      <c r="S216" s="423" cm="1">
        <f t="array" ref="S216">IF(B216&gt;0,'Allocation OH and Target 2026'!$E$31,"N/A")</f>
        <v>3100447.15769812</v>
      </c>
      <c r="T216" s="423" cm="1">
        <f t="array" ref="T216">IF(B216&gt;0,VLOOKUP(C211,'Allocation OH and Target 2026'!$C$35:$S$87,16,0),"N/A")</f>
        <v>0</v>
      </c>
      <c r="U216" s="423" cm="1">
        <f t="array" ref="U216">_xlfn.IFERROR((S216+T216),"N/A")</f>
        <v>3100447.15769812</v>
      </c>
      <c r="V216" s="424"/>
      <c r="W216" s="423" cm="1">
        <f t="array" ref="W216">_xlfn.IFERROR(U216+Q216,"N/A")</f>
        <v>9891947.157698121</v>
      </c>
      <c r="X216" s="423" cm="1">
        <f t="array" ref="X216">_xlfn.IFERROR(W216*0.5%,"N/A")</f>
        <v>49459.7357884906</v>
      </c>
      <c r="Y216" s="423" cm="1">
        <f t="array" ref="Y216">_xlfn.IFERROR(W216*25%,"N/A")</f>
        <v>2472986.78942453</v>
      </c>
      <c r="Z216" s="425" cm="1">
        <f t="array" ref="Z216">IF(B216&gt;0,SUM(W216:Y216),"N/A")</f>
        <v>12414393.6829111</v>
      </c>
      <c r="AA216" s="425" cm="1">
        <f t="array" ref="AA216">_xlfn.IFERROR((Z216-Z215),"N/A")</f>
        <v>195780</v>
      </c>
      <c r="AB216" s="424"/>
      <c r="AC216" t="str" s="426" cm="1">
        <f t="array" ref="AC216">IF(B216=6,AVERAGE(Z214:Z219),"N/A")</f>
        <v>N/A</v>
      </c>
      <c r="AD216" s="424"/>
      <c r="AE216" s="423"/>
      <c r="AF216" s="423"/>
      <c r="AG216" s="423"/>
      <c r="AH216" s="423"/>
      <c r="AI216" s="423"/>
      <c r="AJ216" s="423"/>
      <c r="AK216" s="423"/>
      <c r="AL216" s="423"/>
      <c r="AM216" s="423"/>
      <c r="AN216" s="427"/>
    </row>
    <row r="217" ht="15" customHeight="1">
      <c r="A217" s="12"/>
      <c r="B217" s="428" cm="1">
        <f t="array" ref="B217">IF(B216=0,0,IF(B216&lt;VLOOKUP(C211,'Boats Data Sheet 2026'!$C$3:$H$57,6,0),B216+1,0))</f>
        <v>4</v>
      </c>
      <c r="C217" s="423" cm="1">
        <f t="array" ref="C217">IF(B217&gt;0,IF(VLOOKUP(C211,'Boats Data Sheet 2026'!$C$3:$J$57,8,0)="N/A",0,VLOOKUP(C211,'Boats Data Sheet 2026'!$C$3:$J$57,8,0)),"N/A")</f>
        <v>4900000</v>
      </c>
      <c r="D217" s="429" cm="1">
        <f t="array" ref="D217">IF(B217&gt;7,2,IF(B217=0,"N/A",1))</f>
        <v>1</v>
      </c>
      <c r="E217" s="423" cm="1">
        <f t="array" ref="E217">_xlfn.IFERROR(SUM('Direct Costs 2026'!$C$4:$C$5)*D217,"N/A")</f>
        <v>875500</v>
      </c>
      <c r="F217" s="423" cm="1">
        <f t="array" ref="F217">_xlfn.IFERROR('Direct Costs 2026'!$C$43*B217,"N/A")</f>
        <v>24000</v>
      </c>
      <c r="G217" s="423" cm="1">
        <f t="array" ref="G217">IF(B217&gt;0,'Direct Costs 2026'!$C$25,"N/A")</f>
        <v>90000</v>
      </c>
      <c r="H217" s="423" cm="1">
        <f t="array" ref="H217">IF(B217&gt;0,'Direct Costs 2026'!$C$22,"N/A")</f>
        <v>200000</v>
      </c>
      <c r="I217" s="423">
        <v>0</v>
      </c>
      <c r="J217" s="423">
        <v>0</v>
      </c>
      <c r="K217" s="423" cm="1">
        <f t="array" ref="K217">IF(B217&gt;0,'Direct Costs 2026'!$C$26,"N/A")</f>
        <v>20000</v>
      </c>
      <c r="L217" s="423" cm="1">
        <f t="array" ref="L217">IF(B217&gt;0,'Direct Costs 2026'!$C$23,"N/A")</f>
        <v>140000</v>
      </c>
      <c r="M217" s="423" cm="1">
        <f t="array" ref="M217">IF(B217&gt;0,'Direct Costs 2026'!$C$45*B217,"N/A")</f>
        <v>600000</v>
      </c>
      <c r="N217" t="str" s="431" cm="1">
        <f t="array" ref="N217">IF(B217&gt;0,_xlfn.IFERROR(VLOOKUP(C211,'Boats Data Sheet 2026'!$C$3:$I$57,7,0)*'Direct Costs 2026'!$C$36,"N/A"),"N/A")</f>
        <v>N/A</v>
      </c>
      <c r="O217" t="str" s="431" cm="1">
        <f t="array" ref="O217">IF(B217&gt;0,IF(OR(VLOOKUP(C211,'Boats Data Sheet 2026'!$C$3:$F$57,4,0)="Own",VLOOKUP(C211,'Boats Data Sheet 2026'!$C$3:$F$57,4,0)="Management"),('Direct Costs 2026'!$C$37+'Direct Costs 2026'!$C$39),"N/A"),"N/A")</f>
        <v>N/A</v>
      </c>
      <c r="P217" s="423" cm="1">
        <f t="array" ref="P217">_xlfn.IFERROR('Direct Costs 2026'!$C$27*C217,"N/A")</f>
        <v>98000</v>
      </c>
      <c r="Q217" s="423" cm="1">
        <f t="array" ref="Q217">_xlfn.IFERROR(C217+SUM(E217:P217),"N/A")</f>
        <v>6947500</v>
      </c>
      <c r="R217" s="424"/>
      <c r="S217" s="423" cm="1">
        <f t="array" ref="S217">IF(B217&gt;0,'Allocation OH and Target 2026'!$E$31,"N/A")</f>
        <v>3100447.15769812</v>
      </c>
      <c r="T217" s="423" cm="1">
        <f t="array" ref="T217">IF(B217&gt;0,VLOOKUP(C211,'Allocation OH and Target 2026'!$C$35:$S$87,16,0),"N/A")</f>
        <v>0</v>
      </c>
      <c r="U217" s="423" cm="1">
        <f t="array" ref="U217">_xlfn.IFERROR((S217+T217),"N/A")</f>
        <v>3100447.15769812</v>
      </c>
      <c r="V217" s="424"/>
      <c r="W217" s="423" cm="1">
        <f t="array" ref="W217">_xlfn.IFERROR(U217+Q217,"N/A")</f>
        <v>10047947.1576981</v>
      </c>
      <c r="X217" s="423" cm="1">
        <f t="array" ref="X217">_xlfn.IFERROR(W217*0.5%,"N/A")</f>
        <v>50239.7357884905</v>
      </c>
      <c r="Y217" s="423" cm="1">
        <f t="array" ref="Y217">_xlfn.IFERROR(W217*25%,"N/A")</f>
        <v>2511986.78942453</v>
      </c>
      <c r="Z217" s="425" cm="1">
        <f t="array" ref="Z217">IF(B217&gt;0,SUM(W217:Y217),"N/A")</f>
        <v>12610173.6829111</v>
      </c>
      <c r="AA217" s="425" cm="1">
        <f t="array" ref="AA217">_xlfn.IFERROR((Z217-Z216),"N/A")</f>
        <v>195780</v>
      </c>
      <c r="AB217" s="424"/>
      <c r="AC217" t="str" s="426" cm="1">
        <f t="array" ref="AC217">IF(B217=6,AVERAGE(Z214:Z219),"N/A")</f>
        <v>N/A</v>
      </c>
      <c r="AD217" s="424"/>
      <c r="AE217" s="423"/>
      <c r="AF217" s="423"/>
      <c r="AG217" s="423"/>
      <c r="AH217" s="423"/>
      <c r="AI217" s="423"/>
      <c r="AJ217" s="423"/>
      <c r="AK217" s="423"/>
      <c r="AL217" s="423"/>
      <c r="AM217" s="423"/>
      <c r="AN217" s="427"/>
    </row>
    <row r="218" ht="15" customHeight="1">
      <c r="A218" s="12"/>
      <c r="B218" s="428" cm="1">
        <f t="array" ref="B218">IF(B217=0,0,IF(B217&lt;VLOOKUP(C211,'Boats Data Sheet 2026'!$C$3:$H$57,6,0),B217+1,0))</f>
        <v>5</v>
      </c>
      <c r="C218" s="423" cm="1">
        <f t="array" ref="C218">IF(B218&gt;0,IF(VLOOKUP(C211,'Boats Data Sheet 2026'!$C$3:$J$57,8,0)="N/A",0,VLOOKUP(C211,'Boats Data Sheet 2026'!$C$3:$J$57,8,0)),"N/A")</f>
        <v>4900000</v>
      </c>
      <c r="D218" s="429" cm="1">
        <f t="array" ref="D218">IF(B218&gt;7,2,IF(B218=0,"N/A",1))</f>
        <v>1</v>
      </c>
      <c r="E218" s="423" cm="1">
        <f t="array" ref="E218">_xlfn.IFERROR(SUM('Direct Costs 2026'!$C$4:$C$5)*D218,"N/A")</f>
        <v>875500</v>
      </c>
      <c r="F218" s="423" cm="1">
        <f t="array" ref="F218">_xlfn.IFERROR('Direct Costs 2026'!$C$43*B218,"N/A")</f>
        <v>30000</v>
      </c>
      <c r="G218" s="423" cm="1">
        <f t="array" ref="G218">IF(B218&gt;0,'Direct Costs 2026'!$C$25,"N/A")</f>
        <v>90000</v>
      </c>
      <c r="H218" s="423" cm="1">
        <f t="array" ref="H218">IF(B218&gt;0,'Direct Costs 2026'!$C$22,"N/A")</f>
        <v>200000</v>
      </c>
      <c r="I218" s="423">
        <v>0</v>
      </c>
      <c r="J218" s="423">
        <v>0</v>
      </c>
      <c r="K218" s="423" cm="1">
        <f t="array" ref="K218">IF(B218&gt;0,'Direct Costs 2026'!$C$26,"N/A")</f>
        <v>20000</v>
      </c>
      <c r="L218" s="423" cm="1">
        <f t="array" ref="L218">IF(B218&gt;0,'Direct Costs 2026'!$C$23,"N/A")</f>
        <v>140000</v>
      </c>
      <c r="M218" s="423" cm="1">
        <f t="array" ref="M218">IF(B218&gt;0,'Direct Costs 2026'!$C$45*B218,"N/A")</f>
        <v>750000</v>
      </c>
      <c r="N218" t="str" s="431" cm="1">
        <f t="array" ref="N218">IF(B218&gt;0,_xlfn.IFERROR(VLOOKUP(C211,'Boats Data Sheet 2026'!$C$3:$I$57,7,0)*'Direct Costs 2026'!$C$36,"N/A"),"N/A")</f>
        <v>N/A</v>
      </c>
      <c r="O218" t="str" s="431" cm="1">
        <f t="array" ref="O218">IF(B218&gt;0,IF(OR(VLOOKUP(C211,'Boats Data Sheet 2026'!$C$3:$F$57,4,0)="Own",VLOOKUP(C211,'Boats Data Sheet 2026'!$C$3:$F$57,4,0)="Management"),('Direct Costs 2026'!$C$37+'Direct Costs 2026'!$C$39),"N/A"),"N/A")</f>
        <v>N/A</v>
      </c>
      <c r="P218" s="423" cm="1">
        <f t="array" ref="P218">_xlfn.IFERROR('Direct Costs 2026'!$C$27*C218,"N/A")</f>
        <v>98000</v>
      </c>
      <c r="Q218" s="423" cm="1">
        <f t="array" ref="Q218">_xlfn.IFERROR(C218+SUM(E218:P218),"N/A")</f>
        <v>7103500</v>
      </c>
      <c r="R218" s="424"/>
      <c r="S218" s="423" cm="1">
        <f t="array" ref="S218">IF(B218&gt;0,'Allocation OH and Target 2026'!$E$31,"N/A")</f>
        <v>3100447.15769812</v>
      </c>
      <c r="T218" s="423" cm="1">
        <f t="array" ref="T218">IF(B218&gt;0,VLOOKUP(C211,'Allocation OH and Target 2026'!$C$35:$S$87,16,0),"N/A")</f>
        <v>0</v>
      </c>
      <c r="U218" s="423" cm="1">
        <f t="array" ref="U218">_xlfn.IFERROR((S218+T218),"N/A")</f>
        <v>3100447.15769812</v>
      </c>
      <c r="V218" s="424"/>
      <c r="W218" s="423" cm="1">
        <f t="array" ref="W218">_xlfn.IFERROR(U218+Q218,"N/A")</f>
        <v>10203947.1576981</v>
      </c>
      <c r="X218" s="423" cm="1">
        <f t="array" ref="X218">_xlfn.IFERROR(W218*0.5%,"N/A")</f>
        <v>51019.7357884905</v>
      </c>
      <c r="Y218" s="423" cm="1">
        <f t="array" ref="Y218">_xlfn.IFERROR(W218*25%,"N/A")</f>
        <v>2550986.78942453</v>
      </c>
      <c r="Z218" s="425" cm="1">
        <f t="array" ref="Z218">IF(B218&gt;0,SUM(W218:Y218),"N/A")</f>
        <v>12805953.6829111</v>
      </c>
      <c r="AA218" s="425" cm="1">
        <f t="array" ref="AA218">_xlfn.IFERROR((Z218-Z217),"N/A")</f>
        <v>195780</v>
      </c>
      <c r="AB218" s="424"/>
      <c r="AC218" t="str" s="426" cm="1">
        <f t="array" ref="AC218">IF(B218=6,AVERAGE(Z214:Z219),"N/A")</f>
        <v>N/A</v>
      </c>
      <c r="AD218" s="424"/>
      <c r="AE218" s="423"/>
      <c r="AF218" s="423"/>
      <c r="AG218" s="423"/>
      <c r="AH218" s="423"/>
      <c r="AI218" s="423"/>
      <c r="AJ218" s="423"/>
      <c r="AK218" s="423"/>
      <c r="AL218" s="423"/>
      <c r="AM218" s="423"/>
      <c r="AN218" s="427"/>
    </row>
    <row r="219" ht="15" customHeight="1">
      <c r="A219" s="12"/>
      <c r="B219" s="428" cm="1">
        <f t="array" ref="B219">IF(B218=0,0,IF(B218&lt;VLOOKUP(C211,'Boats Data Sheet 2026'!$C$3:$H$57,6,0),B218+1,0))</f>
        <v>6</v>
      </c>
      <c r="C219" s="423" cm="1">
        <f t="array" ref="C219">IF(B219&gt;0,IF(VLOOKUP(C211,'Boats Data Sheet 2026'!$C$3:$J$57,8,0)="N/A",0,VLOOKUP(C211,'Boats Data Sheet 2026'!$C$3:$J$57,8,0)),"N/A")</f>
        <v>4900000</v>
      </c>
      <c r="D219" s="429" cm="1">
        <f t="array" ref="D219">IF(B219&gt;7,2,IF(B219=0,"N/A",1))</f>
        <v>1</v>
      </c>
      <c r="E219" s="423" cm="1">
        <f t="array" ref="E219">_xlfn.IFERROR(SUM('Direct Costs 2026'!$C$4:$C$5)*D219,"N/A")</f>
        <v>875500</v>
      </c>
      <c r="F219" s="423" cm="1">
        <f t="array" ref="F219">_xlfn.IFERROR('Direct Costs 2026'!$C$43*B219,"N/A")</f>
        <v>36000</v>
      </c>
      <c r="G219" s="423" cm="1">
        <f t="array" ref="G219">IF(B219&gt;0,'Direct Costs 2026'!$C$25,"N/A")</f>
        <v>90000</v>
      </c>
      <c r="H219" s="423" cm="1">
        <f t="array" ref="H219">IF(B219&gt;0,'Direct Costs 2026'!$C$22,"N/A")</f>
        <v>200000</v>
      </c>
      <c r="I219" s="423">
        <v>0</v>
      </c>
      <c r="J219" s="423">
        <v>0</v>
      </c>
      <c r="K219" s="423" cm="1">
        <f t="array" ref="K219">IF(B219&gt;0,'Direct Costs 2026'!$C$26,"N/A")</f>
        <v>20000</v>
      </c>
      <c r="L219" s="423" cm="1">
        <f t="array" ref="L219">IF(B219&gt;0,'Direct Costs 2026'!$C$23,"N/A")</f>
        <v>140000</v>
      </c>
      <c r="M219" s="423" cm="1">
        <f t="array" ref="M219">IF(B219&gt;0,'Direct Costs 2026'!$C$45*B219,"N/A")</f>
        <v>900000</v>
      </c>
      <c r="N219" t="str" s="431" cm="1">
        <f t="array" ref="N219">IF(B219&gt;0,_xlfn.IFERROR(VLOOKUP(C211,'Boats Data Sheet 2026'!$C$3:$I$57,7,0)*'Direct Costs 2026'!$C$36,"N/A"),"N/A")</f>
        <v>N/A</v>
      </c>
      <c r="O219" t="str" s="431" cm="1">
        <f t="array" ref="O219">IF(B219&gt;0,IF(OR(VLOOKUP(C211,'Boats Data Sheet 2026'!$C$3:$F$57,4,0)="Own",VLOOKUP(C211,'Boats Data Sheet 2026'!$C$3:$F$57,4,0)="Management"),('Direct Costs 2026'!$C$37+'Direct Costs 2026'!$C$39),"N/A"),"N/A")</f>
        <v>N/A</v>
      </c>
      <c r="P219" s="423" cm="1">
        <f t="array" ref="P219">_xlfn.IFERROR('Direct Costs 2026'!$C$27*C219,"N/A")</f>
        <v>98000</v>
      </c>
      <c r="Q219" s="423" cm="1">
        <f t="array" ref="Q219">_xlfn.IFERROR(C219+SUM(E219:P219),"N/A")</f>
        <v>7259500</v>
      </c>
      <c r="R219" s="424"/>
      <c r="S219" s="423" cm="1">
        <f t="array" ref="S219">IF(B219&gt;0,'Allocation OH and Target 2026'!$E$31,"N/A")</f>
        <v>3100447.15769812</v>
      </c>
      <c r="T219" s="423" cm="1">
        <f t="array" ref="T219">IF(B219&gt;0,VLOOKUP(C211,'Allocation OH and Target 2026'!$C$35:$S$87,16,0),"N/A")</f>
        <v>0</v>
      </c>
      <c r="U219" s="423" cm="1">
        <f t="array" ref="U219">_xlfn.IFERROR((S219+T219),"N/A")</f>
        <v>3100447.15769812</v>
      </c>
      <c r="V219" s="424"/>
      <c r="W219" s="423" cm="1">
        <f t="array" ref="W219">_xlfn.IFERROR(U219+Q219,"N/A")</f>
        <v>10359947.1576981</v>
      </c>
      <c r="X219" s="423" cm="1">
        <f t="array" ref="X219">_xlfn.IFERROR(W219*0.5%,"N/A")</f>
        <v>51799.7357884905</v>
      </c>
      <c r="Y219" s="423" cm="1">
        <f t="array" ref="Y219">_xlfn.IFERROR(W219*25%,"N/A")</f>
        <v>2589986.78942453</v>
      </c>
      <c r="Z219" s="425" cm="1">
        <f t="array" ref="Z219">IF(B219&gt;0,SUM(W219:Y219),"N/A")</f>
        <v>13001733.6829111</v>
      </c>
      <c r="AA219" s="425" cm="1">
        <f t="array" ref="AA219">_xlfn.IFERROR((Z219-Z218),"N/A")</f>
        <v>195780</v>
      </c>
      <c r="AB219" s="424"/>
      <c r="AC219" s="425" cm="1">
        <f t="array" ref="AC219">IF(B219=6,AVERAGE(Z214:Z219),"N/A")</f>
        <v>12512283.6829111</v>
      </c>
      <c r="AD219" s="424"/>
      <c r="AE219" s="423"/>
      <c r="AF219" s="423"/>
      <c r="AG219" s="423"/>
      <c r="AH219" s="423"/>
      <c r="AI219" s="423"/>
      <c r="AJ219" s="423"/>
      <c r="AK219" s="423"/>
      <c r="AL219" s="423"/>
      <c r="AM219" s="423"/>
      <c r="AN219" s="427"/>
    </row>
    <row r="220" ht="15" customHeight="1">
      <c r="A220" s="12"/>
      <c r="B220" s="428" cm="1">
        <f t="array" ref="B220">IF(B219=0,0,IF(B219&lt;VLOOKUP(C211,'Boats Data Sheet 2026'!$C$3:$H$57,6,0),B219+1,0))</f>
        <v>7</v>
      </c>
      <c r="C220" s="423" cm="1">
        <f t="array" ref="C220">IF(B220&gt;0,IF(VLOOKUP(C211,'Boats Data Sheet 2026'!$C$3:$J$57,8,0)="N/A",0,VLOOKUP(C211,'Boats Data Sheet 2026'!$C$3:$J$57,8,0)),"N/A")</f>
        <v>4900000</v>
      </c>
      <c r="D220" s="429" cm="1">
        <f t="array" ref="D220">IF(B220&gt;7,2,IF(B220=0,"N/A",1))</f>
        <v>1</v>
      </c>
      <c r="E220" s="423" cm="1">
        <f t="array" ref="E220">_xlfn.IFERROR(SUM('Direct Costs 2026'!$C$4:$C$5)*D220,"N/A")</f>
        <v>875500</v>
      </c>
      <c r="F220" s="423" cm="1">
        <f t="array" ref="F220">_xlfn.IFERROR('Direct Costs 2026'!$C$43*B220,"N/A")</f>
        <v>42000</v>
      </c>
      <c r="G220" s="423" cm="1">
        <f t="array" ref="G220">IF(B220&gt;0,'Direct Costs 2026'!$C$25,"N/A")</f>
        <v>90000</v>
      </c>
      <c r="H220" s="423" cm="1">
        <f t="array" ref="H220">IF(B220&gt;0,'Direct Costs 2026'!$C$22,"N/A")</f>
        <v>200000</v>
      </c>
      <c r="I220" s="423">
        <v>0</v>
      </c>
      <c r="J220" s="423">
        <v>0</v>
      </c>
      <c r="K220" s="423" cm="1">
        <f t="array" ref="K220">IF(B220&gt;0,'Direct Costs 2026'!$C$26,"N/A")</f>
        <v>20000</v>
      </c>
      <c r="L220" s="423" cm="1">
        <f t="array" ref="L220">IF(B220&gt;0,'Direct Costs 2026'!$C$23,"N/A")</f>
        <v>140000</v>
      </c>
      <c r="M220" s="423" cm="1">
        <f t="array" ref="M220">IF(B220&gt;0,'Direct Costs 2026'!$C$45*B220,"N/A")</f>
        <v>1050000</v>
      </c>
      <c r="N220" t="str" s="431" cm="1">
        <f t="array" ref="N220">IF(B220&gt;0,_xlfn.IFERROR(VLOOKUP(C211,'Boats Data Sheet 2026'!$C$3:$I$57,7,0)*'Direct Costs 2026'!$C$36,"N/A"),"N/A")</f>
        <v>N/A</v>
      </c>
      <c r="O220" t="str" s="431" cm="1">
        <f t="array" ref="O220">IF(B220&gt;0,IF(OR(VLOOKUP(C211,'Boats Data Sheet 2026'!$C$3:$F$57,4,0)="Own",VLOOKUP(C211,'Boats Data Sheet 2026'!$C$3:$F$57,4,0)="Management"),('Direct Costs 2026'!$C$37+'Direct Costs 2026'!$C$39),"N/A"),"N/A")</f>
        <v>N/A</v>
      </c>
      <c r="P220" s="423" cm="1">
        <f t="array" ref="P220">_xlfn.IFERROR('Direct Costs 2026'!$C$27*C220,"N/A")</f>
        <v>98000</v>
      </c>
      <c r="Q220" s="423" cm="1">
        <f t="array" ref="Q220">_xlfn.IFERROR(C220+SUM(E220:P220),"N/A")</f>
        <v>7415500</v>
      </c>
      <c r="R220" s="424"/>
      <c r="S220" s="423" cm="1">
        <f t="array" ref="S220">IF(B220&gt;0,'Allocation OH and Target 2026'!$E$31,"N/A")</f>
        <v>3100447.15769812</v>
      </c>
      <c r="T220" s="423" cm="1">
        <f t="array" ref="T220">IF(B220&gt;0,VLOOKUP(C211,'Allocation OH and Target 2026'!$C$35:$S$87,16,0),"N/A")</f>
        <v>0</v>
      </c>
      <c r="U220" s="423" cm="1">
        <f t="array" ref="U220">_xlfn.IFERROR((S220+T220),"N/A")</f>
        <v>3100447.15769812</v>
      </c>
      <c r="V220" s="424"/>
      <c r="W220" s="423" cm="1">
        <f t="array" ref="W220">_xlfn.IFERROR(U220+Q220,"N/A")</f>
        <v>10515947.1576981</v>
      </c>
      <c r="X220" s="423" cm="1">
        <f t="array" ref="X220">_xlfn.IFERROR(W220*0.5%,"N/A")</f>
        <v>52579.7357884905</v>
      </c>
      <c r="Y220" s="423" cm="1">
        <f t="array" ref="Y220">_xlfn.IFERROR(W220*25%,"N/A")</f>
        <v>2628986.78942453</v>
      </c>
      <c r="Z220" s="425" cm="1">
        <f t="array" ref="Z220">IF(B220&gt;0,SUM(W220:Y220),"N/A")</f>
        <v>13197513.6829111</v>
      </c>
      <c r="AA220" s="425" cm="1">
        <f t="array" ref="AA220">_xlfn.IFERROR((Z220-Z219),"N/A")</f>
        <v>195780</v>
      </c>
      <c r="AB220" s="424"/>
      <c r="AC220" t="str" s="426" cm="1">
        <f t="array" ref="AC220">IF(B220=6,AVERAGE(Z214:Z219),"N/A")</f>
        <v>N/A</v>
      </c>
      <c r="AD220" s="424"/>
      <c r="AE220" s="423"/>
      <c r="AF220" s="423"/>
      <c r="AG220" s="423"/>
      <c r="AH220" s="423"/>
      <c r="AI220" s="423"/>
      <c r="AJ220" s="423"/>
      <c r="AK220" s="423"/>
      <c r="AL220" s="423"/>
      <c r="AM220" s="423"/>
      <c r="AN220" s="427"/>
    </row>
    <row r="221" ht="15" customHeight="1">
      <c r="A221" s="12"/>
      <c r="B221" s="428" cm="1">
        <f t="array" ref="B221">IF(B220=0,0,IF(B220&lt;VLOOKUP(C211,'Boats Data Sheet 2026'!$C$3:$H$57,6,0),B220+1,0))</f>
        <v>8</v>
      </c>
      <c r="C221" s="423" cm="1">
        <f t="array" ref="C221">IF(B221&gt;0,IF(VLOOKUP(C211,'Boats Data Sheet 2026'!$C$3:$J$57,8,0)="N/A",0,VLOOKUP(C211,'Boats Data Sheet 2026'!$C$3:$J$57,8,0)),"N/A")</f>
        <v>4900000</v>
      </c>
      <c r="D221" s="429" cm="1">
        <f t="array" ref="D221">IF(B221&gt;7,2,IF(B221=0,"N/A",1))</f>
        <v>2</v>
      </c>
      <c r="E221" s="423" cm="1">
        <f t="array" ref="E221">_xlfn.IFERROR(SUM('Direct Costs 2026'!$C$4:$C$5)*D221,"N/A")</f>
        <v>1751000</v>
      </c>
      <c r="F221" s="423" cm="1">
        <f t="array" ref="F221">_xlfn.IFERROR('Direct Costs 2026'!$C$43*B221,"N/A")</f>
        <v>48000</v>
      </c>
      <c r="G221" s="423" cm="1">
        <f t="array" ref="G221">IF(B221&gt;0,'Direct Costs 2026'!$C$25,"N/A")</f>
        <v>90000</v>
      </c>
      <c r="H221" s="423" cm="1">
        <f t="array" ref="H221">IF(B221&gt;0,'Direct Costs 2026'!$C$22,"N/A")</f>
        <v>200000</v>
      </c>
      <c r="I221" s="423">
        <v>0</v>
      </c>
      <c r="J221" s="423">
        <v>0</v>
      </c>
      <c r="K221" s="423" cm="1">
        <f t="array" ref="K221">IF(B221&gt;0,'Direct Costs 2026'!$C$26,"N/A")</f>
        <v>20000</v>
      </c>
      <c r="L221" s="423" cm="1">
        <f t="array" ref="L221">IF(B221&gt;0,'Direct Costs 2026'!$C$23,"N/A")</f>
        <v>140000</v>
      </c>
      <c r="M221" s="423" cm="1">
        <f t="array" ref="M221">IF(B221&gt;0,'Direct Costs 2026'!$C$45*B221,"N/A")</f>
        <v>1200000</v>
      </c>
      <c r="N221" t="str" s="431" cm="1">
        <f t="array" ref="N221">IF(B221&gt;0,_xlfn.IFERROR(VLOOKUP(C211,'Boats Data Sheet 2026'!$C$3:$I$57,7,0)*'Direct Costs 2026'!$C$36,"N/A"),"N/A")</f>
        <v>N/A</v>
      </c>
      <c r="O221" t="str" s="431" cm="1">
        <f t="array" ref="O221">IF(B221&gt;0,IF(OR(VLOOKUP(C211,'Boats Data Sheet 2026'!$C$3:$F$57,4,0)="Own",VLOOKUP(C211,'Boats Data Sheet 2026'!$C$3:$F$57,4,0)="Management"),('Direct Costs 2026'!$C$37+'Direct Costs 2026'!$C$39),"N/A"),"N/A")</f>
        <v>N/A</v>
      </c>
      <c r="P221" s="423" cm="1">
        <f t="array" ref="P221">_xlfn.IFERROR('Direct Costs 2026'!$C$27*C221,"N/A")</f>
        <v>98000</v>
      </c>
      <c r="Q221" s="423" cm="1">
        <f t="array" ref="Q221">_xlfn.IFERROR(C221+SUM(E221:P221),"N/A")</f>
        <v>8447000</v>
      </c>
      <c r="R221" s="424"/>
      <c r="S221" s="423" cm="1">
        <f t="array" ref="S221">IF(B221&gt;0,'Allocation OH and Target 2026'!$E$31,"N/A")</f>
        <v>3100447.15769812</v>
      </c>
      <c r="T221" s="423" cm="1">
        <f t="array" ref="T221">IF(B221&gt;0,VLOOKUP(C211,'Allocation OH and Target 2026'!$C$35:$S$87,16,0),"N/A")</f>
        <v>0</v>
      </c>
      <c r="U221" s="423" cm="1">
        <f t="array" ref="U221">_xlfn.IFERROR((S221+T221),"N/A")</f>
        <v>3100447.15769812</v>
      </c>
      <c r="V221" s="424"/>
      <c r="W221" s="423" cm="1">
        <f t="array" ref="W221">_xlfn.IFERROR(U221+Q221,"N/A")</f>
        <v>11547447.1576981</v>
      </c>
      <c r="X221" s="423" cm="1">
        <f t="array" ref="X221">_xlfn.IFERROR(W221*0.5%,"N/A")</f>
        <v>57737.2357884905</v>
      </c>
      <c r="Y221" s="423" cm="1">
        <f t="array" ref="Y221">_xlfn.IFERROR(W221*25%,"N/A")</f>
        <v>2886861.78942453</v>
      </c>
      <c r="Z221" s="425" cm="1">
        <f t="array" ref="Z221">IF(B221&gt;0,SUM(W221:Y221),"N/A")</f>
        <v>14492046.1829111</v>
      </c>
      <c r="AA221" s="425" cm="1">
        <f t="array" ref="AA221">_xlfn.IFERROR((Z221-Z220),"N/A")</f>
        <v>1294532.5</v>
      </c>
      <c r="AB221" s="424"/>
      <c r="AC221" t="str" s="426" cm="1">
        <f t="array" ref="AC221">IF(B221=6,AVERAGE(Z214:Z219),"N/A")</f>
        <v>N/A</v>
      </c>
      <c r="AD221" s="424"/>
      <c r="AE221" s="423"/>
      <c r="AF221" s="423"/>
      <c r="AG221" s="423"/>
      <c r="AH221" s="423"/>
      <c r="AI221" s="423"/>
      <c r="AJ221" s="423"/>
      <c r="AK221" s="423"/>
      <c r="AL221" s="423"/>
      <c r="AM221" s="423"/>
      <c r="AN221" s="427"/>
    </row>
    <row r="222" ht="15" customHeight="1">
      <c r="A222" s="12"/>
      <c r="B222" s="428" cm="1">
        <f t="array" ref="B222">IF(B221=0,0,IF(B221&lt;VLOOKUP(C211,'Boats Data Sheet 2026'!$C$3:$H$57,6,0),B221+1,0))</f>
        <v>0</v>
      </c>
      <c r="C222" t="str" s="431" cm="1">
        <f t="array" ref="C222">IF(B222&gt;0,IF(VLOOKUP(C211,'Boats Data Sheet 2026'!$C$3:$J$57,8,0)="N/A",0,VLOOKUP(C211,'Boats Data Sheet 2026'!$C$3:$J$57,8,0)),"N/A")</f>
        <v>N/A</v>
      </c>
      <c r="D222" t="str" s="431" cm="1">
        <f t="array" ref="D222">IF(B222&gt;7,2,IF(B222=0,"N/A",1))</f>
        <v>N/A</v>
      </c>
      <c r="E222" t="str" s="431" cm="1">
        <f t="array" ref="E222">_xlfn.IFERROR(SUM('Direct Costs 2026'!$C$4:$C$5)*D222,"N/A")</f>
        <v>N/A</v>
      </c>
      <c r="F222" s="423" cm="1">
        <f t="array" ref="F222">_xlfn.IFERROR('Direct Costs 2026'!$C$43*B222,"N/A")</f>
        <v>0</v>
      </c>
      <c r="G222" t="str" s="431" cm="1">
        <f t="array" ref="G222">IF(B222&gt;0,'Direct Costs 2026'!$C$25,"N/A")</f>
        <v>N/A</v>
      </c>
      <c r="H222" t="str" s="431" cm="1">
        <f t="array" ref="H222">IF(B222&gt;0,'Direct Costs 2026'!$C$22,"N/A")</f>
        <v>N/A</v>
      </c>
      <c r="I222" s="423">
        <v>0</v>
      </c>
      <c r="J222" s="423">
        <v>0</v>
      </c>
      <c r="K222" t="str" s="431" cm="1">
        <f t="array" ref="K222">IF(B222&gt;0,'Direct Costs 2026'!$C$26,"N/A")</f>
        <v>N/A</v>
      </c>
      <c r="L222" t="str" s="431" cm="1">
        <f t="array" ref="L222">IF(B222&gt;0,'Direct Costs 2026'!$C$23,"N/A")</f>
        <v>N/A</v>
      </c>
      <c r="M222" t="str" s="431" cm="1">
        <f t="array" ref="M222">IF(B222&gt;0,'Direct Costs 2026'!$C$45*B222,"N/A")</f>
        <v>N/A</v>
      </c>
      <c r="N222" t="str" s="431" cm="1">
        <f t="array" ref="N222">IF(B222&gt;0,_xlfn.IFERROR(VLOOKUP(C211,'Boats Data Sheet 2026'!$C$3:$I$57,7,0)*'Direct Costs 2026'!$C$36,"N/A"),"N/A")</f>
        <v>N/A</v>
      </c>
      <c r="O222" t="str" s="431" cm="1">
        <f t="array" ref="O222">IF(B222&gt;0,IF(OR(VLOOKUP(C211,'Boats Data Sheet 2026'!$C$3:$F$57,4,0)="Own",VLOOKUP(C211,'Boats Data Sheet 2026'!$C$3:$F$57,4,0)="Management"),('Direct Costs 2026'!$C$37+'Direct Costs 2026'!$C$39),"N/A"),"N/A")</f>
        <v>N/A</v>
      </c>
      <c r="P222" t="str" s="431" cm="1">
        <f t="array" ref="P222">_xlfn.IFERROR('Direct Costs 2026'!$C$27*C222,"N/A")</f>
        <v>N/A</v>
      </c>
      <c r="Q222" t="str" s="431" cm="1">
        <f t="array" ref="Q222">_xlfn.IFERROR(C222+SUM(E222:P222),"N/A")</f>
        <v>N/A</v>
      </c>
      <c r="R222" s="424"/>
      <c r="S222" t="str" s="431" cm="1">
        <f t="array" ref="S222">IF(B222&gt;0,'Allocation OH and Target 2026'!$E$31,"N/A")</f>
        <v>N/A</v>
      </c>
      <c r="T222" t="str" s="431" cm="1">
        <f t="array" ref="T222">IF(B222&gt;0,VLOOKUP(C211,'Allocation OH and Target 2026'!$C$35:$S$87,16,0),"N/A")</f>
        <v>N/A</v>
      </c>
      <c r="U222" t="str" s="431" cm="1">
        <f t="array" ref="U222">_xlfn.IFERROR((S222+T222),"N/A")</f>
        <v>N/A</v>
      </c>
      <c r="V222" s="424"/>
      <c r="W222" t="str" s="431" cm="1">
        <f t="array" ref="W222">_xlfn.IFERROR(U222+Q222,"N/A")</f>
        <v>N/A</v>
      </c>
      <c r="X222" t="str" s="431" cm="1">
        <f t="array" ref="X222">_xlfn.IFERROR(W222*0.5%,"N/A")</f>
        <v>N/A</v>
      </c>
      <c r="Y222" t="str" s="431" cm="1">
        <f t="array" ref="Y222">_xlfn.IFERROR(W222*25%,"N/A")</f>
        <v>N/A</v>
      </c>
      <c r="Z222" t="str" s="426" cm="1">
        <f t="array" ref="Z222">IF(B222&gt;0,SUM(W222:Y222),"N/A")</f>
        <v>N/A</v>
      </c>
      <c r="AA222" t="str" s="426" cm="1">
        <f t="array" ref="AA222">_xlfn.IFERROR((Z222-Z221),"N/A")</f>
        <v>N/A</v>
      </c>
      <c r="AB222" s="424"/>
      <c r="AC222" t="str" s="426" cm="1">
        <f t="array" ref="AC222">IF(B222=6,AVERAGE(Z214:Z219),"N/A")</f>
        <v>N/A</v>
      </c>
      <c r="AD222" s="424"/>
      <c r="AE222" s="423"/>
      <c r="AF222" s="423"/>
      <c r="AG222" s="423"/>
      <c r="AH222" s="423"/>
      <c r="AI222" s="423"/>
      <c r="AJ222" s="423"/>
      <c r="AK222" s="423"/>
      <c r="AL222" s="423"/>
      <c r="AM222" s="423"/>
      <c r="AN222" s="427"/>
    </row>
    <row r="223" ht="15" customHeight="1">
      <c r="A223" s="12"/>
      <c r="B223" s="428" cm="1">
        <f t="array" ref="B223">IF(B222=0,0,IF(B222&lt;VLOOKUP(C211,'Boats Data Sheet 2026'!$C$3:$H$57,6,0),B222+1,0))</f>
        <v>0</v>
      </c>
      <c r="C223" t="str" s="431" cm="1">
        <f t="array" ref="C223">IF(B223&gt;0,IF(VLOOKUP(C211,'Boats Data Sheet 2026'!$C$3:$J$57,8,0)="N/A",0,VLOOKUP(C211,'Boats Data Sheet 2026'!$C$3:$J$57,8,0)),"N/A")</f>
        <v>N/A</v>
      </c>
      <c r="D223" t="str" s="431" cm="1">
        <f t="array" ref="D223">IF(B223&gt;7,2,IF(B223=0,"N/A",1))</f>
        <v>N/A</v>
      </c>
      <c r="E223" t="str" s="431" cm="1">
        <f t="array" ref="E223">_xlfn.IFERROR(SUM('Direct Costs 2026'!$C$4:$C$5)*D223,"N/A")</f>
        <v>N/A</v>
      </c>
      <c r="F223" s="423" cm="1">
        <f t="array" ref="F223">_xlfn.IFERROR('Direct Costs 2026'!$C$43*B223,"N/A")</f>
        <v>0</v>
      </c>
      <c r="G223" t="str" s="431" cm="1">
        <f t="array" ref="G223">IF(B223&gt;0,'Direct Costs 2026'!$C$25,"N/A")</f>
        <v>N/A</v>
      </c>
      <c r="H223" t="str" s="431" cm="1">
        <f t="array" ref="H223">IF(B223&gt;0,'Direct Costs 2026'!$C$22,"N/A")</f>
        <v>N/A</v>
      </c>
      <c r="I223" s="423">
        <v>0</v>
      </c>
      <c r="J223" s="423">
        <v>0</v>
      </c>
      <c r="K223" t="str" s="431" cm="1">
        <f t="array" ref="K223">IF(B223&gt;0,'Direct Costs 2026'!$C$26,"N/A")</f>
        <v>N/A</v>
      </c>
      <c r="L223" t="str" s="431" cm="1">
        <f t="array" ref="L223">IF(B223&gt;0,'Direct Costs 2026'!$C$23,"N/A")</f>
        <v>N/A</v>
      </c>
      <c r="M223" t="str" s="431" cm="1">
        <f t="array" ref="M223">IF(B223&gt;0,'Direct Costs 2026'!$C$45*B223,"N/A")</f>
        <v>N/A</v>
      </c>
      <c r="N223" t="str" s="431" cm="1">
        <f t="array" ref="N223">IF(B223&gt;0,_xlfn.IFERROR(VLOOKUP(C211,'Boats Data Sheet 2026'!$C$3:$I$57,7,0)*'Direct Costs 2026'!$C$36,"N/A"),"N/A")</f>
        <v>N/A</v>
      </c>
      <c r="O223" t="str" s="431" cm="1">
        <f t="array" ref="O223">IF(B223&gt;0,IF(OR(VLOOKUP(C211,'Boats Data Sheet 2026'!$C$3:$F$57,4,0)="Own",VLOOKUP(C211,'Boats Data Sheet 2026'!$C$3:$F$57,4,0)="Management"),('Direct Costs 2026'!$C$37+'Direct Costs 2026'!$C$39),"N/A"),"N/A")</f>
        <v>N/A</v>
      </c>
      <c r="P223" t="str" s="431" cm="1">
        <f t="array" ref="P223">_xlfn.IFERROR('Direct Costs 2026'!$C$27*C223,"N/A")</f>
        <v>N/A</v>
      </c>
      <c r="Q223" t="str" s="431" cm="1">
        <f t="array" ref="Q223">_xlfn.IFERROR(C223+SUM(E223:P223),"N/A")</f>
        <v>N/A</v>
      </c>
      <c r="R223" s="424"/>
      <c r="S223" t="str" s="431" cm="1">
        <f t="array" ref="S223">IF(B223&gt;0,'Allocation OH and Target 2026'!$E$31,"N/A")</f>
        <v>N/A</v>
      </c>
      <c r="T223" t="str" s="431" cm="1">
        <f t="array" ref="T223">IF(B223&gt;0,VLOOKUP(C211,'Allocation OH and Target 2026'!$C$35:$S$87,16,0),"N/A")</f>
        <v>N/A</v>
      </c>
      <c r="U223" t="str" s="431" cm="1">
        <f t="array" ref="U223">_xlfn.IFERROR((S223+T223),"N/A")</f>
        <v>N/A</v>
      </c>
      <c r="V223" s="424"/>
      <c r="W223" t="str" s="431" cm="1">
        <f t="array" ref="W223">_xlfn.IFERROR(U223+Q223,"N/A")</f>
        <v>N/A</v>
      </c>
      <c r="X223" t="str" s="431" cm="1">
        <f t="array" ref="X223">_xlfn.IFERROR(W223*0.5%,"N/A")</f>
        <v>N/A</v>
      </c>
      <c r="Y223" t="str" s="431" cm="1">
        <f t="array" ref="Y223">_xlfn.IFERROR(W223*25%,"N/A")</f>
        <v>N/A</v>
      </c>
      <c r="Z223" t="str" s="426" cm="1">
        <f t="array" ref="Z223">IF(B223&gt;0,SUM(W223:Y223),"N/A")</f>
        <v>N/A</v>
      </c>
      <c r="AA223" t="str" s="426" cm="1">
        <f t="array" ref="AA223">_xlfn.IFERROR((Z223-Z222),"N/A")</f>
        <v>N/A</v>
      </c>
      <c r="AB223" s="424"/>
      <c r="AC223" t="str" s="426" cm="1">
        <f t="array" ref="AC223">IF(B223=6,AVERAGE(Z214:Z219),"N/A")</f>
        <v>N/A</v>
      </c>
      <c r="AD223" s="424"/>
      <c r="AE223" s="423"/>
      <c r="AF223" s="423"/>
      <c r="AG223" s="423"/>
      <c r="AH223" s="423"/>
      <c r="AI223" s="423"/>
      <c r="AJ223" s="423"/>
      <c r="AK223" s="423"/>
      <c r="AL223" s="423"/>
      <c r="AM223" s="423"/>
      <c r="AN223" s="427"/>
    </row>
    <row r="224" ht="15" customHeight="1">
      <c r="A224" s="12"/>
      <c r="B224" s="428" cm="1">
        <f t="array" ref="B224">IF(B223=0,0,IF(B223&lt;VLOOKUP(C211,'Boats Data Sheet 2026'!$C$3:$H$57,6,0),B223+1,0))</f>
        <v>0</v>
      </c>
      <c r="C224" t="str" s="431" cm="1">
        <f t="array" ref="C224">IF(B224&gt;0,IF(VLOOKUP(C211,'Boats Data Sheet 2026'!$C$3:$J$57,8,0)="N/A",0,VLOOKUP(C211,'Boats Data Sheet 2026'!$C$3:$J$57,8,0)),"N/A")</f>
        <v>N/A</v>
      </c>
      <c r="D224" t="str" s="431" cm="1">
        <f t="array" ref="D224">IF(B224&gt;7,2,IF(B224=0,"N/A",1))</f>
        <v>N/A</v>
      </c>
      <c r="E224" t="str" s="431" cm="1">
        <f t="array" ref="E224">_xlfn.IFERROR(SUM('Direct Costs 2026'!$C$4:$C$5)*D224,"N/A")</f>
        <v>N/A</v>
      </c>
      <c r="F224" s="423" cm="1">
        <f t="array" ref="F224">_xlfn.IFERROR('Direct Costs 2026'!$C$43*B224,"N/A")</f>
        <v>0</v>
      </c>
      <c r="G224" t="str" s="431" cm="1">
        <f t="array" ref="G224">IF(B224&gt;0,'Direct Costs 2026'!$C$25,"N/A")</f>
        <v>N/A</v>
      </c>
      <c r="H224" t="str" s="431" cm="1">
        <f t="array" ref="H224">IF(B224&gt;0,'Direct Costs 2026'!$C$22,"N/A")</f>
        <v>N/A</v>
      </c>
      <c r="I224" s="423">
        <v>0</v>
      </c>
      <c r="J224" s="423">
        <v>0</v>
      </c>
      <c r="K224" t="str" s="431" cm="1">
        <f t="array" ref="K224">IF(B224&gt;0,'Direct Costs 2026'!$C$26,"N/A")</f>
        <v>N/A</v>
      </c>
      <c r="L224" t="str" s="431" cm="1">
        <f t="array" ref="L224">IF(B224&gt;0,'Direct Costs 2026'!$C$23,"N/A")</f>
        <v>N/A</v>
      </c>
      <c r="M224" t="str" s="431" cm="1">
        <f t="array" ref="M224">IF(B224&gt;0,'Direct Costs 2026'!$C$45*B224,"N/A")</f>
        <v>N/A</v>
      </c>
      <c r="N224" t="str" s="431" cm="1">
        <f t="array" ref="N224">IF(B224&gt;0,_xlfn.IFERROR(VLOOKUP(C211,'Boats Data Sheet 2026'!$C$3:$I$57,7,0)*'Direct Costs 2026'!$C$36,"N/A"),"N/A")</f>
        <v>N/A</v>
      </c>
      <c r="O224" t="str" s="431" cm="1">
        <f t="array" ref="O224">IF(B224&gt;0,IF(OR(VLOOKUP(C211,'Boats Data Sheet 2026'!$C$3:$F$57,4,0)="Own",VLOOKUP(C211,'Boats Data Sheet 2026'!$C$3:$F$57,4,0)="Management"),('Direct Costs 2026'!$C$37+'Direct Costs 2026'!$C$39),"N/A"),"N/A")</f>
        <v>N/A</v>
      </c>
      <c r="P224" t="str" s="431" cm="1">
        <f t="array" ref="P224">_xlfn.IFERROR('Direct Costs 2026'!$C$27*C224,"N/A")</f>
        <v>N/A</v>
      </c>
      <c r="Q224" t="str" s="431" cm="1">
        <f t="array" ref="Q224">_xlfn.IFERROR(C224+SUM(E224:P224),"N/A")</f>
        <v>N/A</v>
      </c>
      <c r="R224" s="424"/>
      <c r="S224" t="str" s="431" cm="1">
        <f t="array" ref="S224">IF(B224&gt;0,'Allocation OH and Target 2026'!$E$31,"N/A")</f>
        <v>N/A</v>
      </c>
      <c r="T224" t="str" s="431" cm="1">
        <f t="array" ref="T224">IF(B224&gt;0,VLOOKUP(C211,'Allocation OH and Target 2026'!$C$35:$S$87,16,0),"N/A")</f>
        <v>N/A</v>
      </c>
      <c r="U224" t="str" s="431" cm="1">
        <f t="array" ref="U224">_xlfn.IFERROR((S224+T224),"N/A")</f>
        <v>N/A</v>
      </c>
      <c r="V224" s="424"/>
      <c r="W224" t="str" s="431" cm="1">
        <f t="array" ref="W224">_xlfn.IFERROR(U224+Q224,"N/A")</f>
        <v>N/A</v>
      </c>
      <c r="X224" t="str" s="431" cm="1">
        <f t="array" ref="X224">_xlfn.IFERROR(W224*0.5%,"N/A")</f>
        <v>N/A</v>
      </c>
      <c r="Y224" t="str" s="431" cm="1">
        <f t="array" ref="Y224">_xlfn.IFERROR(W224*25%,"N/A")</f>
        <v>N/A</v>
      </c>
      <c r="Z224" t="str" s="426" cm="1">
        <f t="array" ref="Z224">IF(B224&gt;0,SUM(W224:Y224),"N/A")</f>
        <v>N/A</v>
      </c>
      <c r="AA224" t="str" s="426" cm="1">
        <f t="array" ref="AA224">_xlfn.IFERROR((Z224-Z223),"N/A")</f>
        <v>N/A</v>
      </c>
      <c r="AB224" s="424"/>
      <c r="AC224" t="str" s="426" cm="1">
        <f t="array" ref="AC224">IF(B224=6,AVERAGE(Z214:Z219),"N/A")</f>
        <v>N/A</v>
      </c>
      <c r="AD224" s="424"/>
      <c r="AE224" s="423"/>
      <c r="AF224" s="423"/>
      <c r="AG224" s="423"/>
      <c r="AH224" s="423"/>
      <c r="AI224" s="423"/>
      <c r="AJ224" s="423"/>
      <c r="AK224" s="423"/>
      <c r="AL224" s="423"/>
      <c r="AM224" s="423"/>
      <c r="AN224" s="427"/>
    </row>
    <row r="225" ht="15" customHeight="1">
      <c r="A225" s="12"/>
      <c r="B225" s="428" cm="1">
        <f t="array" ref="B225">IF(B224=0,0,IF(B224&lt;VLOOKUP(C211,'Boats Data Sheet 2026'!$C$3:$H$57,6,0),B224+1,0))</f>
        <v>0</v>
      </c>
      <c r="C225" t="str" s="431" cm="1">
        <f t="array" ref="C225">IF(B225&gt;0,IF(VLOOKUP(C211,'Boats Data Sheet 2026'!$C$3:$J$57,8,0)="N/A",0,VLOOKUP(C211,'Boats Data Sheet 2026'!$C$3:$J$57,8,0)),"N/A")</f>
        <v>N/A</v>
      </c>
      <c r="D225" t="str" s="431" cm="1">
        <f t="array" ref="D225">IF(B225&gt;7,2,IF(B225=0,"N/A",1))</f>
        <v>N/A</v>
      </c>
      <c r="E225" t="str" s="431" cm="1">
        <f t="array" ref="E225">_xlfn.IFERROR(SUM('Direct Costs 2026'!$C$4:$C$5)*D225,"N/A")</f>
        <v>N/A</v>
      </c>
      <c r="F225" s="423" cm="1">
        <f t="array" ref="F225">_xlfn.IFERROR('Direct Costs 2026'!$C$43*B225,"N/A")</f>
        <v>0</v>
      </c>
      <c r="G225" t="str" s="431" cm="1">
        <f t="array" ref="G225">IF(B225&gt;0,'Direct Costs 2026'!$C$25,"N/A")</f>
        <v>N/A</v>
      </c>
      <c r="H225" t="str" s="431" cm="1">
        <f t="array" ref="H225">IF(B225&gt;0,'Direct Costs 2026'!$C$22,"N/A")</f>
        <v>N/A</v>
      </c>
      <c r="I225" s="423">
        <v>0</v>
      </c>
      <c r="J225" s="423">
        <v>0</v>
      </c>
      <c r="K225" t="str" s="431" cm="1">
        <f t="array" ref="K225">IF(B225&gt;0,'Direct Costs 2026'!$C$26,"N/A")</f>
        <v>N/A</v>
      </c>
      <c r="L225" t="str" s="431" cm="1">
        <f t="array" ref="L225">IF(B225&gt;0,'Direct Costs 2026'!$C$23,"N/A")</f>
        <v>N/A</v>
      </c>
      <c r="M225" t="str" s="431" cm="1">
        <f t="array" ref="M225">IF(B225&gt;0,'Direct Costs 2026'!$C$45*B225,"N/A")</f>
        <v>N/A</v>
      </c>
      <c r="N225" t="str" s="431" cm="1">
        <f t="array" ref="N225">IF(B225&gt;0,_xlfn.IFERROR(VLOOKUP(C211,'Boats Data Sheet 2026'!$C$3:$I$57,7,0)*'Direct Costs 2026'!$C$36,"N/A"),"N/A")</f>
        <v>N/A</v>
      </c>
      <c r="O225" t="str" s="431" cm="1">
        <f t="array" ref="O225">IF(B225&gt;0,IF(OR(VLOOKUP(C211,'Boats Data Sheet 2026'!$C$3:$F$57,4,0)="Own",VLOOKUP(C211,'Boats Data Sheet 2026'!$C$3:$F$57,4,0)="Management"),('Direct Costs 2026'!$C$37+'Direct Costs 2026'!$C$39),"N/A"),"N/A")</f>
        <v>N/A</v>
      </c>
      <c r="P225" t="str" s="431" cm="1">
        <f t="array" ref="P225">_xlfn.IFERROR('Direct Costs 2026'!$C$27*C225,"N/A")</f>
        <v>N/A</v>
      </c>
      <c r="Q225" t="str" s="431" cm="1">
        <f t="array" ref="Q225">_xlfn.IFERROR(C225+SUM(E225:P225),"N/A")</f>
        <v>N/A</v>
      </c>
      <c r="R225" s="424"/>
      <c r="S225" t="str" s="431" cm="1">
        <f t="array" ref="S225">IF(B225&gt;0,'Allocation OH and Target 2026'!$E$31,"N/A")</f>
        <v>N/A</v>
      </c>
      <c r="T225" t="str" s="431" cm="1">
        <f t="array" ref="T225">IF(B225&gt;0,VLOOKUP(C211,'Allocation OH and Target 2026'!$C$35:$S$87,16,0),"N/A")</f>
        <v>N/A</v>
      </c>
      <c r="U225" t="str" s="431" cm="1">
        <f t="array" ref="U225">_xlfn.IFERROR((S225+T225),"N/A")</f>
        <v>N/A</v>
      </c>
      <c r="V225" s="424"/>
      <c r="W225" t="str" s="431" cm="1">
        <f t="array" ref="W225">_xlfn.IFERROR(U225+Q225,"N/A")</f>
        <v>N/A</v>
      </c>
      <c r="X225" t="str" s="431" cm="1">
        <f t="array" ref="X225">_xlfn.IFERROR(W225*0.5%,"N/A")</f>
        <v>N/A</v>
      </c>
      <c r="Y225" t="str" s="431" cm="1">
        <f t="array" ref="Y225">_xlfn.IFERROR(W225*25%,"N/A")</f>
        <v>N/A</v>
      </c>
      <c r="Z225" t="str" s="426" cm="1">
        <f t="array" ref="Z225">IF(B225&gt;0,SUM(W225:Y225),"N/A")</f>
        <v>N/A</v>
      </c>
      <c r="AA225" t="str" s="426" cm="1">
        <f t="array" ref="AA225">_xlfn.IFERROR((Z225-Z224),"N/A")</f>
        <v>N/A</v>
      </c>
      <c r="AB225" s="424"/>
      <c r="AC225" t="str" s="426" cm="1">
        <f t="array" ref="AC225">IF(B225=6,AVERAGE(Z214:Z219),"N/A")</f>
        <v>N/A</v>
      </c>
      <c r="AD225" s="424"/>
      <c r="AE225" s="423"/>
      <c r="AF225" s="423"/>
      <c r="AG225" s="423"/>
      <c r="AH225" s="423"/>
      <c r="AI225" s="423"/>
      <c r="AJ225" s="423"/>
      <c r="AK225" s="423"/>
      <c r="AL225" s="423"/>
      <c r="AM225" s="423"/>
      <c r="AN225" s="427"/>
    </row>
    <row r="226" ht="15" customHeight="1">
      <c r="A226" s="12"/>
      <c r="B226" s="428" cm="1">
        <f t="array" ref="B226">IF(B225=0,0,IF(B225&lt;VLOOKUP(C211,'Boats Data Sheet 2026'!$C$3:$H$57,6,0),B225+1,0))</f>
        <v>0</v>
      </c>
      <c r="C226" t="str" s="431" cm="1">
        <f t="array" ref="C226">IF(B226&gt;0,IF(VLOOKUP(C211,'Boats Data Sheet 2026'!$C$3:$J$57,8,0)="N/A",0,VLOOKUP(C211,'Boats Data Sheet 2026'!$C$3:$J$57,8,0)),"N/A")</f>
        <v>N/A</v>
      </c>
      <c r="D226" t="str" s="431" cm="1">
        <f t="array" ref="D226">IF(B226&gt;7,2,IF(B226=0,"N/A",1))</f>
        <v>N/A</v>
      </c>
      <c r="E226" t="str" s="431" cm="1">
        <f t="array" ref="E226">_xlfn.IFERROR(SUM('Direct Costs 2026'!$C$4:$C$5)*D226,"N/A")</f>
        <v>N/A</v>
      </c>
      <c r="F226" s="423" cm="1">
        <f t="array" ref="F226">_xlfn.IFERROR('Direct Costs 2026'!$C$43*B226,"N/A")</f>
        <v>0</v>
      </c>
      <c r="G226" t="str" s="431" cm="1">
        <f t="array" ref="G226">IF(B226&gt;0,'Direct Costs 2026'!$C$25,"N/A")</f>
        <v>N/A</v>
      </c>
      <c r="H226" t="str" s="431" cm="1">
        <f t="array" ref="H226">IF(B226&gt;0,'Direct Costs 2026'!$C$22,"N/A")</f>
        <v>N/A</v>
      </c>
      <c r="I226" s="423">
        <v>0</v>
      </c>
      <c r="J226" s="423">
        <v>0</v>
      </c>
      <c r="K226" t="str" s="431" cm="1">
        <f t="array" ref="K226">IF(B226&gt;0,'Direct Costs 2026'!$C$26,"N/A")</f>
        <v>N/A</v>
      </c>
      <c r="L226" t="str" s="431" cm="1">
        <f t="array" ref="L226">IF(B226&gt;0,'Direct Costs 2026'!$C$23,"N/A")</f>
        <v>N/A</v>
      </c>
      <c r="M226" t="str" s="431" cm="1">
        <f t="array" ref="M226">IF(B226&gt;0,'Direct Costs 2026'!$C$45*B226,"N/A")</f>
        <v>N/A</v>
      </c>
      <c r="N226" t="str" s="431" cm="1">
        <f t="array" ref="N226">IF(B226&gt;0,_xlfn.IFERROR(VLOOKUP(C211,'Boats Data Sheet 2026'!$C$3:$I$57,7,0)*'Direct Costs 2026'!$C$36,"N/A"),"N/A")</f>
        <v>N/A</v>
      </c>
      <c r="O226" t="str" s="431" cm="1">
        <f t="array" ref="O226">IF(B226&gt;0,IF(OR(VLOOKUP(C211,'Boats Data Sheet 2026'!$C$3:$F$57,4,0)="Own",VLOOKUP(C211,'Boats Data Sheet 2026'!$C$3:$F$57,4,0)="Management"),('Direct Costs 2026'!$C$37+'Direct Costs 2026'!$C$39),"N/A"),"N/A")</f>
        <v>N/A</v>
      </c>
      <c r="P226" t="str" s="431" cm="1">
        <f t="array" ref="P226">_xlfn.IFERROR('Direct Costs 2026'!$C$27*C226,"N/A")</f>
        <v>N/A</v>
      </c>
      <c r="Q226" t="str" s="431" cm="1">
        <f t="array" ref="Q226">_xlfn.IFERROR(C226+SUM(E226:P226),"N/A")</f>
        <v>N/A</v>
      </c>
      <c r="R226" s="424"/>
      <c r="S226" t="str" s="431" cm="1">
        <f t="array" ref="S226">IF(B226&gt;0,'Allocation OH and Target 2026'!$E$31,"N/A")</f>
        <v>N/A</v>
      </c>
      <c r="T226" t="str" s="431" cm="1">
        <f t="array" ref="T226">IF(B226&gt;0,VLOOKUP(C211,'Allocation OH and Target 2026'!$C$35:$S$87,16,0),"N/A")</f>
        <v>N/A</v>
      </c>
      <c r="U226" t="str" s="431" cm="1">
        <f t="array" ref="U226">_xlfn.IFERROR((S226+T226),"N/A")</f>
        <v>N/A</v>
      </c>
      <c r="V226" s="424"/>
      <c r="W226" t="str" s="431" cm="1">
        <f t="array" ref="W226">_xlfn.IFERROR(U226+Q226,"N/A")</f>
        <v>N/A</v>
      </c>
      <c r="X226" t="str" s="431" cm="1">
        <f t="array" ref="X226">_xlfn.IFERROR(W226*0.5%,"N/A")</f>
        <v>N/A</v>
      </c>
      <c r="Y226" t="str" s="431" cm="1">
        <f t="array" ref="Y226">_xlfn.IFERROR(W226*25%,"N/A")</f>
        <v>N/A</v>
      </c>
      <c r="Z226" t="str" s="426" cm="1">
        <f t="array" ref="Z226">IF(B226&gt;0,SUM(W226:Y226),"N/A")</f>
        <v>N/A</v>
      </c>
      <c r="AA226" t="str" s="426" cm="1">
        <f t="array" ref="AA226">_xlfn.IFERROR((Z226-Z225),"N/A")</f>
        <v>N/A</v>
      </c>
      <c r="AB226" s="424"/>
      <c r="AC226" t="str" s="426" cm="1">
        <f t="array" ref="AC226">IF(B226=6,AVERAGE(Z214:Z219),"N/A")</f>
        <v>N/A</v>
      </c>
      <c r="AD226" s="424"/>
      <c r="AE226" s="423"/>
      <c r="AF226" s="423"/>
      <c r="AG226" s="423"/>
      <c r="AH226" s="423"/>
      <c r="AI226" s="423"/>
      <c r="AJ226" s="423"/>
      <c r="AK226" s="423"/>
      <c r="AL226" s="423"/>
      <c r="AM226" s="423"/>
      <c r="AN226" s="427"/>
    </row>
    <row r="227" ht="15" customHeight="1">
      <c r="A227" s="12"/>
      <c r="B227" s="428" cm="1">
        <f t="array" ref="B227">IF(B226=0,0,IF(B226&lt;VLOOKUP(C211,'Boats Data Sheet 2026'!$C$3:$H$57,6,0),B226+1,0))</f>
        <v>0</v>
      </c>
      <c r="C227" t="str" s="431" cm="1">
        <f t="array" ref="C227">IF(B227&gt;0,IF(VLOOKUP(C211,'Boats Data Sheet 2026'!$C$3:$J$57,8,0)="N/A",0,VLOOKUP(C211,'Boats Data Sheet 2026'!$C$3:$J$57,8,0)),"N/A")</f>
        <v>N/A</v>
      </c>
      <c r="D227" t="str" s="431" cm="1">
        <f t="array" ref="D227">IF(B227&gt;7,2,IF(B227=0,"N/A",1))</f>
        <v>N/A</v>
      </c>
      <c r="E227" t="str" s="431" cm="1">
        <f t="array" ref="E227">_xlfn.IFERROR(SUM('Direct Costs 2026'!$C$4:$C$5)*D227,"N/A")</f>
        <v>N/A</v>
      </c>
      <c r="F227" s="423" cm="1">
        <f t="array" ref="F227">_xlfn.IFERROR('Direct Costs 2026'!$C$43*B227,"N/A")</f>
        <v>0</v>
      </c>
      <c r="G227" t="str" s="431" cm="1">
        <f t="array" ref="G227">IF(B227&gt;0,'Direct Costs 2026'!$C$25,"N/A")</f>
        <v>N/A</v>
      </c>
      <c r="H227" t="str" s="431" cm="1">
        <f t="array" ref="H227">IF(B227&gt;0,'Direct Costs 2026'!$C$22,"N/A")</f>
        <v>N/A</v>
      </c>
      <c r="I227" s="423">
        <v>0</v>
      </c>
      <c r="J227" s="423">
        <v>0</v>
      </c>
      <c r="K227" t="str" s="431" cm="1">
        <f t="array" ref="K227">IF(B227&gt;0,'Direct Costs 2026'!$C$26,"N/A")</f>
        <v>N/A</v>
      </c>
      <c r="L227" t="str" s="431" cm="1">
        <f t="array" ref="L227">IF(B227&gt;0,'Direct Costs 2026'!$C$23,"N/A")</f>
        <v>N/A</v>
      </c>
      <c r="M227" t="str" s="431" cm="1">
        <f t="array" ref="M227">IF(B227&gt;0,'Direct Costs 2026'!$C$45*B227,"N/A")</f>
        <v>N/A</v>
      </c>
      <c r="N227" t="str" s="431" cm="1">
        <f t="array" ref="N227">IF(B227&gt;0,_xlfn.IFERROR(VLOOKUP(C211,'Boats Data Sheet 2026'!$C$3:$I$57,7,0)*'Direct Costs 2026'!$C$36,"N/A"),"N/A")</f>
        <v>N/A</v>
      </c>
      <c r="O227" t="str" s="431" cm="1">
        <f t="array" ref="O227">IF(B227&gt;0,IF(OR(VLOOKUP(C211,'Boats Data Sheet 2026'!$C$3:$F$57,4,0)="Own",VLOOKUP(C211,'Boats Data Sheet 2026'!$C$3:$F$57,4,0)="Management"),('Direct Costs 2026'!$C$37+'Direct Costs 2026'!$C$39),"N/A"),"N/A")</f>
        <v>N/A</v>
      </c>
      <c r="P227" t="str" s="431" cm="1">
        <f t="array" ref="P227">_xlfn.IFERROR('Direct Costs 2026'!$C$27*C227,"N/A")</f>
        <v>N/A</v>
      </c>
      <c r="Q227" t="str" s="431" cm="1">
        <f t="array" ref="Q227">_xlfn.IFERROR(C227+SUM(E227:P227),"N/A")</f>
        <v>N/A</v>
      </c>
      <c r="R227" s="424"/>
      <c r="S227" t="str" s="431" cm="1">
        <f t="array" ref="S227">IF(B227&gt;0,'Allocation OH and Target 2026'!$E$31,"N/A")</f>
        <v>N/A</v>
      </c>
      <c r="T227" t="str" s="431" cm="1">
        <f t="array" ref="T227">IF(B227&gt;0,VLOOKUP(C211,'Allocation OH and Target 2026'!$C$35:$S$87,16,0),"N/A")</f>
        <v>N/A</v>
      </c>
      <c r="U227" t="str" s="431" cm="1">
        <f t="array" ref="U227">_xlfn.IFERROR((S227+T227),"N/A")</f>
        <v>N/A</v>
      </c>
      <c r="V227" s="424"/>
      <c r="W227" t="str" s="431" cm="1">
        <f t="array" ref="W227">_xlfn.IFERROR(U227+Q227,"N/A")</f>
        <v>N/A</v>
      </c>
      <c r="X227" t="str" s="431" cm="1">
        <f t="array" ref="X227">_xlfn.IFERROR(W227*0.5%,"N/A")</f>
        <v>N/A</v>
      </c>
      <c r="Y227" t="str" s="431" cm="1">
        <f t="array" ref="Y227">_xlfn.IFERROR(W227*25%,"N/A")</f>
        <v>N/A</v>
      </c>
      <c r="Z227" t="str" s="426" cm="1">
        <f t="array" ref="Z227">IF(B227&gt;0,SUM(W227:Y227),"N/A")</f>
        <v>N/A</v>
      </c>
      <c r="AA227" t="str" s="426" cm="1">
        <f t="array" ref="AA227">_xlfn.IFERROR((Z227-Z226),"N/A")</f>
        <v>N/A</v>
      </c>
      <c r="AB227" s="424"/>
      <c r="AC227" t="str" s="426" cm="1">
        <f t="array" ref="AC227">IF(B227=6,AVERAGE(Z214:Z219),"N/A")</f>
        <v>N/A</v>
      </c>
      <c r="AD227" s="424"/>
      <c r="AE227" s="423"/>
      <c r="AF227" s="423"/>
      <c r="AG227" s="423"/>
      <c r="AH227" s="423"/>
      <c r="AI227" s="423"/>
      <c r="AJ227" s="423"/>
      <c r="AK227" s="423"/>
      <c r="AL227" s="423"/>
      <c r="AM227" s="423"/>
      <c r="AN227" s="427"/>
    </row>
    <row r="228" ht="15" customHeight="1">
      <c r="A228" s="12"/>
      <c r="B228" s="428" cm="1">
        <f t="array" ref="B228">IF(B227=0,0,IF(B227&lt;VLOOKUP(C211,'Boats Data Sheet 2026'!$C$3:$H$57,6,0),B227+1,0))</f>
        <v>0</v>
      </c>
      <c r="C228" t="str" s="431" cm="1">
        <f t="array" ref="C228">IF(B228&gt;0,IF(VLOOKUP(C211,'Boats Data Sheet 2026'!$C$3:$J$57,8,0)="N/A",0,VLOOKUP(C211,'Boats Data Sheet 2026'!$C$3:$J$57,8,0)),"N/A")</f>
        <v>N/A</v>
      </c>
      <c r="D228" t="str" s="431" cm="1">
        <f t="array" ref="D228">IF(B228&gt;7,2,IF(B228=0,"N/A",1))</f>
        <v>N/A</v>
      </c>
      <c r="E228" t="str" s="431" cm="1">
        <f t="array" ref="E228">_xlfn.IFERROR(SUM('Direct Costs 2026'!$C$4:$C$5)*D228,"N/A")</f>
        <v>N/A</v>
      </c>
      <c r="F228" s="423" cm="1">
        <f t="array" ref="F228">_xlfn.IFERROR('Direct Costs 2026'!$C$43*B228,"N/A")</f>
        <v>0</v>
      </c>
      <c r="G228" t="str" s="431" cm="1">
        <f t="array" ref="G228">IF(B228&gt;0,'Direct Costs 2026'!$C$25,"N/A")</f>
        <v>N/A</v>
      </c>
      <c r="H228" t="str" s="431" cm="1">
        <f t="array" ref="H228">IF(B228&gt;0,'Direct Costs 2026'!$C$22,"N/A")</f>
        <v>N/A</v>
      </c>
      <c r="I228" s="423">
        <v>0</v>
      </c>
      <c r="J228" s="423">
        <v>0</v>
      </c>
      <c r="K228" t="str" s="431" cm="1">
        <f t="array" ref="K228">IF(B228&gt;0,'Direct Costs 2026'!$C$26,"N/A")</f>
        <v>N/A</v>
      </c>
      <c r="L228" t="str" s="431" cm="1">
        <f t="array" ref="L228">IF(B228&gt;0,'Direct Costs 2026'!$C$23,"N/A")</f>
        <v>N/A</v>
      </c>
      <c r="M228" t="str" s="431" cm="1">
        <f t="array" ref="M228">IF(B228&gt;0,'Direct Costs 2026'!$C$45*B228,"N/A")</f>
        <v>N/A</v>
      </c>
      <c r="N228" t="str" s="431" cm="1">
        <f t="array" ref="N228">IF(B228&gt;0,_xlfn.IFERROR(VLOOKUP(C211,'Boats Data Sheet 2026'!$C$3:$I$57,7,0)*'Direct Costs 2026'!$C$36,"N/A"),"N/A")</f>
        <v>N/A</v>
      </c>
      <c r="O228" t="str" s="431" cm="1">
        <f t="array" ref="O228">IF(B228&gt;0,IF(OR(VLOOKUP(C211,'Boats Data Sheet 2026'!$C$3:$F$57,4,0)="Own",VLOOKUP(C211,'Boats Data Sheet 2026'!$C$3:$F$57,4,0)="Management"),('Direct Costs 2026'!$C$37+'Direct Costs 2026'!$C$39),"N/A"),"N/A")</f>
        <v>N/A</v>
      </c>
      <c r="P228" t="str" s="431" cm="1">
        <f t="array" ref="P228">_xlfn.IFERROR('Direct Costs 2026'!$C$27*C228,"N/A")</f>
        <v>N/A</v>
      </c>
      <c r="Q228" t="str" s="431" cm="1">
        <f t="array" ref="Q228">_xlfn.IFERROR(C228+SUM(E228:P228),"N/A")</f>
        <v>N/A</v>
      </c>
      <c r="R228" s="424"/>
      <c r="S228" t="str" s="431" cm="1">
        <f t="array" ref="S228">IF(B228&gt;0,'Allocation OH and Target 2026'!$E$31,"N/A")</f>
        <v>N/A</v>
      </c>
      <c r="T228" t="str" s="431" cm="1">
        <f t="array" ref="T228">IF(B228&gt;0,VLOOKUP(C211,'Allocation OH and Target 2026'!$C$35:$S$87,16,0),"N/A")</f>
        <v>N/A</v>
      </c>
      <c r="U228" t="str" s="431" cm="1">
        <f t="array" ref="U228">_xlfn.IFERROR((S228+T228),"N/A")</f>
        <v>N/A</v>
      </c>
      <c r="V228" s="424"/>
      <c r="W228" t="str" s="431" cm="1">
        <f t="array" ref="W228">_xlfn.IFERROR(U228+Q228,"N/A")</f>
        <v>N/A</v>
      </c>
      <c r="X228" t="str" s="431" cm="1">
        <f t="array" ref="X228">_xlfn.IFERROR(W228*0.5%,"N/A")</f>
        <v>N/A</v>
      </c>
      <c r="Y228" t="str" s="431" cm="1">
        <f t="array" ref="Y228">_xlfn.IFERROR(W228*25%,"N/A")</f>
        <v>N/A</v>
      </c>
      <c r="Z228" t="str" s="426" cm="1">
        <f t="array" ref="Z228">IF(B228&gt;0,SUM(W228:Y228),"N/A")</f>
        <v>N/A</v>
      </c>
      <c r="AA228" t="str" s="426" cm="1">
        <f t="array" ref="AA228">_xlfn.IFERROR((Z228-Z227),"N/A")</f>
        <v>N/A</v>
      </c>
      <c r="AB228" s="424"/>
      <c r="AC228" t="str" s="426" cm="1">
        <f t="array" ref="AC228">IF(B228=6,AVERAGE(Z214:Z219),"N/A")</f>
        <v>N/A</v>
      </c>
      <c r="AD228" s="424"/>
      <c r="AE228" s="423"/>
      <c r="AF228" s="423"/>
      <c r="AG228" s="423"/>
      <c r="AH228" s="423"/>
      <c r="AI228" s="423"/>
      <c r="AJ228" s="423"/>
      <c r="AK228" s="423"/>
      <c r="AL228" s="423"/>
      <c r="AM228" s="423"/>
      <c r="AN228" s="427"/>
    </row>
    <row r="229" ht="15" customHeight="1">
      <c r="A229" s="12"/>
      <c r="B229" s="428" cm="1">
        <f t="array" ref="B229">IF(B228=0,0,IF(B228&lt;VLOOKUP(C211,'Boats Data Sheet 2026'!$C$3:$H$57,6,0),B228+1,0))</f>
        <v>0</v>
      </c>
      <c r="C229" t="str" s="431" cm="1">
        <f t="array" ref="C229">IF(B229&gt;0,IF(VLOOKUP(C211,'Boats Data Sheet 2026'!$C$3:$J$57,8,0)="N/A",0,VLOOKUP(C211,'Boats Data Sheet 2026'!$C$3:$J$57,8,0)),"N/A")</f>
        <v>N/A</v>
      </c>
      <c r="D229" t="str" s="431" cm="1">
        <f t="array" ref="D229">IF(B229&gt;7,2,IF(B229=0,"N/A",1))</f>
        <v>N/A</v>
      </c>
      <c r="E229" t="str" s="431" cm="1">
        <f t="array" ref="E229">_xlfn.IFERROR(SUM('Direct Costs 2026'!$C$4:$C$5)*D229,"N/A")</f>
        <v>N/A</v>
      </c>
      <c r="F229" s="423" cm="1">
        <f t="array" ref="F229">_xlfn.IFERROR('Direct Costs 2026'!$C$43*B229,"N/A")</f>
        <v>0</v>
      </c>
      <c r="G229" t="str" s="431" cm="1">
        <f t="array" ref="G229">IF(B229&gt;0,'Direct Costs 2026'!$C$25,"N/A")</f>
        <v>N/A</v>
      </c>
      <c r="H229" t="str" s="431" cm="1">
        <f t="array" ref="H229">IF(B229&gt;0,'Direct Costs 2026'!$C$22,"N/A")</f>
        <v>N/A</v>
      </c>
      <c r="I229" s="423">
        <v>0</v>
      </c>
      <c r="J229" s="423">
        <v>0</v>
      </c>
      <c r="K229" t="str" s="431" cm="1">
        <f t="array" ref="K229">IF(B229&gt;0,'Direct Costs 2026'!$C$26,"N/A")</f>
        <v>N/A</v>
      </c>
      <c r="L229" t="str" s="431" cm="1">
        <f t="array" ref="L229">IF(B229&gt;0,'Direct Costs 2026'!$C$23,"N/A")</f>
        <v>N/A</v>
      </c>
      <c r="M229" t="str" s="431" cm="1">
        <f t="array" ref="M229">IF(B229&gt;0,'Direct Costs 2026'!$C$45*B229,"N/A")</f>
        <v>N/A</v>
      </c>
      <c r="N229" t="str" s="431" cm="1">
        <f t="array" ref="N229">IF(B229&gt;0,_xlfn.IFERROR(VLOOKUP(C211,'Boats Data Sheet 2026'!$C$3:$I$57,7,0)*'Direct Costs 2026'!$C$36,"N/A"),"N/A")</f>
        <v>N/A</v>
      </c>
      <c r="O229" t="str" s="431" cm="1">
        <f t="array" ref="O229">IF(B229&gt;0,IF(OR(VLOOKUP(C211,'Boats Data Sheet 2026'!$C$3:$F$57,4,0)="Own",VLOOKUP(C211,'Boats Data Sheet 2026'!$C$3:$F$57,4,0)="Management"),('Direct Costs 2026'!$C$37+'Direct Costs 2026'!$C$39),"N/A"),"N/A")</f>
        <v>N/A</v>
      </c>
      <c r="P229" t="str" s="431" cm="1">
        <f t="array" ref="P229">_xlfn.IFERROR('Direct Costs 2026'!$C$27*C229,"N/A")</f>
        <v>N/A</v>
      </c>
      <c r="Q229" t="str" s="431" cm="1">
        <f t="array" ref="Q229">_xlfn.IFERROR(C229+SUM(E229:P229),"N/A")</f>
        <v>N/A</v>
      </c>
      <c r="R229" s="424"/>
      <c r="S229" t="str" s="431" cm="1">
        <f t="array" ref="S229">IF(B229&gt;0,'Allocation OH and Target 2026'!$E$31,"N/A")</f>
        <v>N/A</v>
      </c>
      <c r="T229" t="str" s="431" cm="1">
        <f t="array" ref="T229">IF(B229&gt;0,VLOOKUP(C211,'Allocation OH and Target 2026'!$C$35:$S$87,16,0),"N/A")</f>
        <v>N/A</v>
      </c>
      <c r="U229" t="str" s="431" cm="1">
        <f t="array" ref="U229">_xlfn.IFERROR((S229+T229),"N/A")</f>
        <v>N/A</v>
      </c>
      <c r="V229" s="424"/>
      <c r="W229" t="str" s="431" cm="1">
        <f t="array" ref="W229">_xlfn.IFERROR(U229+Q229,"N/A")</f>
        <v>N/A</v>
      </c>
      <c r="X229" t="str" s="431" cm="1">
        <f t="array" ref="X229">_xlfn.IFERROR(W229*0.5%,"N/A")</f>
        <v>N/A</v>
      </c>
      <c r="Y229" t="str" s="431" cm="1">
        <f t="array" ref="Y229">_xlfn.IFERROR(W229*25%,"N/A")</f>
        <v>N/A</v>
      </c>
      <c r="Z229" t="str" s="426" cm="1">
        <f t="array" ref="Z229">IF(B229&gt;0,SUM(W229:Y229),"N/A")</f>
        <v>N/A</v>
      </c>
      <c r="AA229" t="str" s="426" cm="1">
        <f t="array" ref="AA229">_xlfn.IFERROR((Z229-Z228),"N/A")</f>
        <v>N/A</v>
      </c>
      <c r="AB229" s="424"/>
      <c r="AC229" t="str" s="426" cm="1">
        <f t="array" ref="AC229">IF(B229=6,AVERAGE(Z214:Z219),"N/A")</f>
        <v>N/A</v>
      </c>
      <c r="AD229" s="424"/>
      <c r="AE229" s="423"/>
      <c r="AF229" s="423"/>
      <c r="AG229" s="423"/>
      <c r="AH229" s="423"/>
      <c r="AI229" s="423"/>
      <c r="AJ229" s="423"/>
      <c r="AK229" s="423"/>
      <c r="AL229" s="423"/>
      <c r="AM229" s="423"/>
      <c r="AN229" s="427"/>
    </row>
    <row r="230" ht="15" customHeight="1">
      <c r="A230" s="12"/>
      <c r="B230" s="428" cm="1">
        <f t="array" ref="B230">IF(B229=0,0,IF(B229&lt;VLOOKUP(C211,'Boats Data Sheet 2026'!$C$3:$H$57,6,0),B229+1,0))</f>
        <v>0</v>
      </c>
      <c r="C230" t="str" s="431" cm="1">
        <f t="array" ref="C230">IF(B230&gt;0,IF(VLOOKUP(C211,'Boats Data Sheet 2026'!$C$3:$J$57,8,0)="N/A",0,VLOOKUP(C211,'Boats Data Sheet 2026'!$C$3:$J$57,8,0)),"N/A")</f>
        <v>N/A</v>
      </c>
      <c r="D230" t="str" s="431" cm="1">
        <f t="array" ref="D230">IF(B230&gt;7,2,IF(B230=0,"N/A",1))</f>
        <v>N/A</v>
      </c>
      <c r="E230" t="str" s="431" cm="1">
        <f t="array" ref="E230">_xlfn.IFERROR(SUM('Direct Costs 2026'!$C$4:$C$5)*D230,"N/A")</f>
        <v>N/A</v>
      </c>
      <c r="F230" s="423" cm="1">
        <f t="array" ref="F230">_xlfn.IFERROR('Direct Costs 2026'!$C$43*B230,"N/A")</f>
        <v>0</v>
      </c>
      <c r="G230" t="str" s="431" cm="1">
        <f t="array" ref="G230">IF(B230&gt;0,'Direct Costs 2026'!$C$25,"N/A")</f>
        <v>N/A</v>
      </c>
      <c r="H230" t="str" s="431" cm="1">
        <f t="array" ref="H230">IF(B230&gt;0,'Direct Costs 2026'!$C$22,"N/A")</f>
        <v>N/A</v>
      </c>
      <c r="I230" s="423">
        <v>0</v>
      </c>
      <c r="J230" s="423">
        <v>0</v>
      </c>
      <c r="K230" t="str" s="431" cm="1">
        <f t="array" ref="K230">IF(B230&gt;0,'Direct Costs 2026'!$C$26,"N/A")</f>
        <v>N/A</v>
      </c>
      <c r="L230" t="str" s="431" cm="1">
        <f t="array" ref="L230">IF(B230&gt;0,'Direct Costs 2026'!$C$23,"N/A")</f>
        <v>N/A</v>
      </c>
      <c r="M230" t="str" s="431" cm="1">
        <f t="array" ref="M230">IF(B230&gt;0,'Direct Costs 2026'!$C$45*B230,"N/A")</f>
        <v>N/A</v>
      </c>
      <c r="N230" t="str" s="431" cm="1">
        <f t="array" ref="N230">IF(B230&gt;0,_xlfn.IFERROR(VLOOKUP(C211,'Boats Data Sheet 2026'!$C$3:$I$57,7,0)*'Direct Costs 2026'!$C$36,"N/A"),"N/A")</f>
        <v>N/A</v>
      </c>
      <c r="O230" t="str" s="431" cm="1">
        <f t="array" ref="O230">IF(B230&gt;0,IF(OR(VLOOKUP(C211,'Boats Data Sheet 2026'!$C$3:$F$57,4,0)="Own",VLOOKUP(C211,'Boats Data Sheet 2026'!$C$3:$F$57,4,0)="Management"),('Direct Costs 2026'!$C$37+'Direct Costs 2026'!$C$39),"N/A"),"N/A")</f>
        <v>N/A</v>
      </c>
      <c r="P230" t="str" s="431" cm="1">
        <f t="array" ref="P230">_xlfn.IFERROR('Direct Costs 2026'!$C$27*C230,"N/A")</f>
        <v>N/A</v>
      </c>
      <c r="Q230" t="str" s="431" cm="1">
        <f t="array" ref="Q230">_xlfn.IFERROR(C230+SUM(E230:P230),"N/A")</f>
        <v>N/A</v>
      </c>
      <c r="R230" s="424"/>
      <c r="S230" t="str" s="431" cm="1">
        <f t="array" ref="S230">IF(B230&gt;0,'Allocation OH and Target 2026'!$E$31,"N/A")</f>
        <v>N/A</v>
      </c>
      <c r="T230" t="str" s="431" cm="1">
        <f t="array" ref="T230">IF(B230&gt;0,VLOOKUP(C211,'Allocation OH and Target 2026'!$C$35:$S$87,16,0),"N/A")</f>
        <v>N/A</v>
      </c>
      <c r="U230" t="str" s="431" cm="1">
        <f t="array" ref="U230">_xlfn.IFERROR((S230+T230),"N/A")</f>
        <v>N/A</v>
      </c>
      <c r="V230" s="424"/>
      <c r="W230" t="str" s="431" cm="1">
        <f t="array" ref="W230">_xlfn.IFERROR(U230+Q230,"N/A")</f>
        <v>N/A</v>
      </c>
      <c r="X230" t="str" s="431" cm="1">
        <f t="array" ref="X230">_xlfn.IFERROR(W230*0.5%,"N/A")</f>
        <v>N/A</v>
      </c>
      <c r="Y230" t="str" s="431" cm="1">
        <f t="array" ref="Y230">_xlfn.IFERROR(W230*25%,"N/A")</f>
        <v>N/A</v>
      </c>
      <c r="Z230" t="str" s="426" cm="1">
        <f t="array" ref="Z230">IF(B230&gt;0,SUM(W230:Y230),"N/A")</f>
        <v>N/A</v>
      </c>
      <c r="AA230" t="str" s="426" cm="1">
        <f t="array" ref="AA230">_xlfn.IFERROR((Z230-Z229),"N/A")</f>
        <v>N/A</v>
      </c>
      <c r="AB230" s="424"/>
      <c r="AC230" t="str" s="426" cm="1">
        <f t="array" ref="AC230">IF(B230=6,AVERAGE(Z214:Z219),"N/A")</f>
        <v>N/A</v>
      </c>
      <c r="AD230" s="424"/>
      <c r="AE230" s="423"/>
      <c r="AF230" s="423"/>
      <c r="AG230" s="423"/>
      <c r="AH230" s="423"/>
      <c r="AI230" s="423"/>
      <c r="AJ230" s="423"/>
      <c r="AK230" s="423"/>
      <c r="AL230" s="423"/>
      <c r="AM230" s="423"/>
      <c r="AN230" s="427"/>
    </row>
    <row r="231" ht="15.5" customHeight="1">
      <c r="A231" s="12"/>
      <c r="B231" s="432" cm="1">
        <f t="array" ref="B231">IF(B230=0,0,IF(B230&lt;VLOOKUP(C211,'Boats Data Sheet 2026'!$C$3:$H$57,6,0),B230+1,0))</f>
        <v>0</v>
      </c>
      <c r="C231" t="str" s="433" cm="1">
        <f t="array" ref="C231">IF(B231&gt;0,IF(VLOOKUP(C211,'Boats Data Sheet 2026'!$C$3:$J$57,8,0)="N/A",0,VLOOKUP(C211,'Boats Data Sheet 2026'!$C$3:$J$57,8,0)),"N/A")</f>
        <v>N/A</v>
      </c>
      <c r="D231" t="str" s="433" cm="1">
        <f t="array" ref="D231">IF(B231&gt;7,2,IF(B231=0,"N/A",1))</f>
        <v>N/A</v>
      </c>
      <c r="E231" t="str" s="433" cm="1">
        <f t="array" ref="E231">_xlfn.IFERROR(SUM('Direct Costs 2026'!$C$4:$C$5)*D231,"N/A")</f>
        <v>N/A</v>
      </c>
      <c r="F231" s="434" cm="1">
        <f t="array" ref="F231">_xlfn.IFERROR('Direct Costs 2026'!$C$43*B231,"N/A")</f>
        <v>0</v>
      </c>
      <c r="G231" t="str" s="433" cm="1">
        <f t="array" ref="G231">IF(B231&gt;0,'Direct Costs 2026'!$C$25,"N/A")</f>
        <v>N/A</v>
      </c>
      <c r="H231" t="str" s="433" cm="1">
        <f t="array" ref="H231">IF(B231&gt;0,'Direct Costs 2026'!$C$22,"N/A")</f>
        <v>N/A</v>
      </c>
      <c r="I231" s="434">
        <v>0</v>
      </c>
      <c r="J231" s="434">
        <v>0</v>
      </c>
      <c r="K231" t="str" s="433" cm="1">
        <f t="array" ref="K231">IF(B231&gt;0,'Direct Costs 2026'!$C$26,"N/A")</f>
        <v>N/A</v>
      </c>
      <c r="L231" t="str" s="433" cm="1">
        <f t="array" ref="L231">IF(B231&gt;0,'Direct Costs 2026'!$C$23,"N/A")</f>
        <v>N/A</v>
      </c>
      <c r="M231" t="str" s="433" cm="1">
        <f t="array" ref="M231">IF(B231&gt;0,'Direct Costs 2026'!$C$45*B231,"N/A")</f>
        <v>N/A</v>
      </c>
      <c r="N231" t="str" s="433" cm="1">
        <f t="array" ref="N231">IF(B231&gt;0,_xlfn.IFERROR(VLOOKUP(C211,'Boats Data Sheet 2026'!$C$3:$I$57,7,0)*'Direct Costs 2026'!$C$36,"N/A"),"N/A")</f>
        <v>N/A</v>
      </c>
      <c r="O231" t="str" s="433" cm="1">
        <f t="array" ref="O231">IF(B231&gt;0,IF(OR(VLOOKUP(C211,'Boats Data Sheet 2026'!$C$3:$F$57,4,0)="Own",VLOOKUP(C211,'Boats Data Sheet 2026'!$C$3:$F$57,4,0)="Management"),('Direct Costs 2026'!$C$37+'Direct Costs 2026'!$C$39),"N/A"),"N/A")</f>
        <v>N/A</v>
      </c>
      <c r="P231" t="str" s="433" cm="1">
        <f t="array" ref="P231">_xlfn.IFERROR('Direct Costs 2026'!$C$27*C231,"N/A")</f>
        <v>N/A</v>
      </c>
      <c r="Q231" t="str" s="433" cm="1">
        <f t="array" ref="Q231">_xlfn.IFERROR(C231+SUM(E231:P231),"N/A")</f>
        <v>N/A</v>
      </c>
      <c r="R231" s="435"/>
      <c r="S231" t="str" s="433" cm="1">
        <f t="array" ref="S231">IF(B231&gt;0,'Allocation OH and Target 2026'!$E$31,"N/A")</f>
        <v>N/A</v>
      </c>
      <c r="T231" t="str" s="433" cm="1">
        <f t="array" ref="T231">IF(B231&gt;0,VLOOKUP(C211,'Allocation OH and Target 2026'!$C$35:$S$87,16,0),"N/A")</f>
        <v>N/A</v>
      </c>
      <c r="U231" t="str" s="433" cm="1">
        <f t="array" ref="U231">_xlfn.IFERROR((S231+T231),"N/A")</f>
        <v>N/A</v>
      </c>
      <c r="V231" s="435"/>
      <c r="W231" t="str" s="433" cm="1">
        <f t="array" ref="W231">_xlfn.IFERROR(U231+Q231,"N/A")</f>
        <v>N/A</v>
      </c>
      <c r="X231" t="str" s="433" cm="1">
        <f t="array" ref="X231">_xlfn.IFERROR(W231*0.5%,"N/A")</f>
        <v>N/A</v>
      </c>
      <c r="Y231" t="str" s="433" cm="1">
        <f t="array" ref="Y231">_xlfn.IFERROR(W231*25%,"N/A")</f>
        <v>N/A</v>
      </c>
      <c r="Z231" t="str" s="436" cm="1">
        <f t="array" ref="Z231">IF(B231&gt;0,SUM(W231:Y231),"N/A")</f>
        <v>N/A</v>
      </c>
      <c r="AA231" t="str" s="436" cm="1">
        <f t="array" ref="AA231">_xlfn.IFERROR((Z231-Z230),"N/A")</f>
        <v>N/A</v>
      </c>
      <c r="AB231" s="435"/>
      <c r="AC231" t="str" s="436" cm="1">
        <f t="array" ref="AC231">IF(B231=6,AVERAGE(Z214:Z219),"N/A")</f>
        <v>N/A</v>
      </c>
      <c r="AD231" s="435"/>
      <c r="AE231" s="434"/>
      <c r="AF231" s="434"/>
      <c r="AG231" s="434"/>
      <c r="AH231" s="434"/>
      <c r="AI231" s="434"/>
      <c r="AJ231" s="434"/>
      <c r="AK231" s="434"/>
      <c r="AL231" s="434"/>
      <c r="AM231" s="434"/>
      <c r="AN231" s="437"/>
    </row>
    <row r="232" ht="15" customHeight="1">
      <c r="A232" s="32"/>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4"/>
      <c r="AK232" s="124"/>
      <c r="AL232" s="124"/>
      <c r="AM232" s="124"/>
      <c r="AN232" s="313"/>
    </row>
    <row r="233" ht="15" customHeight="1">
      <c r="A233" s="32"/>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442"/>
    </row>
    <row r="234" ht="15.5" customHeight="1">
      <c r="A234" s="395">
        <v>12</v>
      </c>
      <c r="B234" t="s" s="444">
        <v>506</v>
      </c>
      <c r="C234" t="s" s="445">
        <v>194</v>
      </c>
      <c r="D234" s="446"/>
      <c r="E234" t="s" s="447">
        <v>542</v>
      </c>
      <c r="F234" s="446"/>
      <c r="G234" s="446"/>
      <c r="H234" s="446"/>
      <c r="I234" s="446"/>
      <c r="J234" s="446"/>
      <c r="K234" s="446"/>
      <c r="L234" s="446"/>
      <c r="M234" s="446"/>
      <c r="N234" s="446"/>
      <c r="O234" s="446"/>
      <c r="P234" s="446"/>
      <c r="Q234" s="446"/>
      <c r="R234" s="446"/>
      <c r="S234" s="446"/>
      <c r="T234" s="446"/>
      <c r="U234" s="446"/>
      <c r="V234" s="446"/>
      <c r="W234" s="446"/>
      <c r="X234" s="446"/>
      <c r="Y234" s="446"/>
      <c r="Z234" s="446"/>
      <c r="AA234" s="446"/>
      <c r="AB234" s="446"/>
      <c r="AC234" s="446"/>
      <c r="AD234" s="446"/>
      <c r="AE234" t="s" s="445">
        <v>508</v>
      </c>
      <c r="AF234" s="448" cm="1">
        <f t="array" ref="AF234">AVERAGE(Q237:Q242)</f>
        <v>7736500</v>
      </c>
      <c r="AG234" t="s" s="449">
        <v>509</v>
      </c>
      <c r="AH234" s="448" cm="1">
        <f t="array" ref="AH234">AVERAGE(Q243:Q250)-AF234</f>
        <v>1858062.5</v>
      </c>
      <c r="AI234" t="s" s="449">
        <v>510</v>
      </c>
      <c r="AJ234" s="448" cm="1">
        <f t="array" ref="AJ234">AVERAGE(Y237:Y244)</f>
        <v>2775596.16442453</v>
      </c>
      <c r="AK234" t="s" s="445">
        <v>511</v>
      </c>
      <c r="AL234" s="448" cm="1">
        <f t="array" ref="AL234">AVERAGE(W237:W242)</f>
        <v>10836947.1576981</v>
      </c>
      <c r="AM234" t="s" s="449">
        <v>512</v>
      </c>
      <c r="AN234" s="450" cm="1">
        <f t="array" ref="AN234">W237</f>
        <v>10446947.1576981</v>
      </c>
    </row>
    <row r="235" ht="15" customHeight="1">
      <c r="A235" s="12"/>
      <c r="B235" s="451"/>
      <c r="C235" t="s" s="452">
        <v>513</v>
      </c>
      <c r="D235" s="453"/>
      <c r="E235" s="453"/>
      <c r="F235" s="453"/>
      <c r="G235" s="453"/>
      <c r="H235" s="453"/>
      <c r="I235" s="453"/>
      <c r="J235" s="453"/>
      <c r="K235" s="453"/>
      <c r="L235" s="453"/>
      <c r="M235" s="453"/>
      <c r="N235" s="453"/>
      <c r="O235" s="453"/>
      <c r="P235" s="453"/>
      <c r="Q235" s="454"/>
      <c r="R235" s="455"/>
      <c r="S235" t="s" s="452">
        <v>514</v>
      </c>
      <c r="T235" s="453"/>
      <c r="U235" s="454"/>
      <c r="V235" s="455"/>
      <c r="W235" t="s" s="452">
        <v>515</v>
      </c>
      <c r="X235" s="453"/>
      <c r="Y235" s="453"/>
      <c r="Z235" s="453"/>
      <c r="AA235" s="453"/>
      <c r="AB235" s="456"/>
      <c r="AC235" s="457"/>
      <c r="AD235" s="457"/>
      <c r="AE235" s="457"/>
      <c r="AF235" s="457"/>
      <c r="AG235" s="457"/>
      <c r="AH235" s="457"/>
      <c r="AI235" s="457"/>
      <c r="AJ235" s="457"/>
      <c r="AK235" s="457"/>
      <c r="AL235" s="458"/>
      <c r="AM235" s="459"/>
      <c r="AN235" s="458"/>
    </row>
    <row r="236" ht="46" customHeight="1">
      <c r="A236" s="187"/>
      <c r="B236" t="s" s="460">
        <v>517</v>
      </c>
      <c r="C236" t="s" s="461">
        <v>513</v>
      </c>
      <c r="D236" t="s" s="461">
        <v>519</v>
      </c>
      <c r="E236" t="s" s="461">
        <v>520</v>
      </c>
      <c r="F236" t="s" s="461">
        <v>521</v>
      </c>
      <c r="G236" t="s" s="461">
        <v>522</v>
      </c>
      <c r="H236" t="s" s="461">
        <v>540</v>
      </c>
      <c r="I236" t="s" s="461">
        <v>524</v>
      </c>
      <c r="J236" t="s" s="461">
        <v>525</v>
      </c>
      <c r="K236" t="s" s="461">
        <v>526</v>
      </c>
      <c r="L236" t="s" s="461">
        <v>527</v>
      </c>
      <c r="M236" t="s" s="461">
        <v>528</v>
      </c>
      <c r="N236" t="s" s="461">
        <v>529</v>
      </c>
      <c r="O236" t="s" s="461">
        <v>530</v>
      </c>
      <c r="P236" t="s" s="461">
        <v>531</v>
      </c>
      <c r="Q236" t="s" s="461">
        <v>532</v>
      </c>
      <c r="R236" s="462"/>
      <c r="S236" t="s" s="461">
        <v>533</v>
      </c>
      <c r="T236" t="s" s="461">
        <v>534</v>
      </c>
      <c r="U236" t="s" s="461">
        <v>535</v>
      </c>
      <c r="V236" s="462"/>
      <c r="W236" t="s" s="461">
        <v>536</v>
      </c>
      <c r="X236" t="s" s="461">
        <v>537</v>
      </c>
      <c r="Y236" t="s" s="461">
        <v>538</v>
      </c>
      <c r="Z236" t="s" s="461">
        <v>539</v>
      </c>
      <c r="AA236" t="s" s="461">
        <v>121</v>
      </c>
      <c r="AB236" s="463"/>
      <c r="AC236" t="s" s="461">
        <v>39</v>
      </c>
      <c r="AD236" s="463"/>
      <c r="AE236" t="s" s="461">
        <v>554</v>
      </c>
      <c r="AF236" t="s" s="461">
        <v>544</v>
      </c>
      <c r="AG236" s="463"/>
      <c r="AH236" s="463"/>
      <c r="AI236" s="463"/>
      <c r="AJ236" s="463"/>
      <c r="AK236" s="463"/>
      <c r="AL236" s="463"/>
      <c r="AM236" s="463"/>
      <c r="AN236" s="464"/>
    </row>
    <row r="237" ht="15" customHeight="1" hidden="1">
      <c r="A237" s="12"/>
      <c r="B237" s="465">
        <v>1</v>
      </c>
      <c r="C237" s="466" cm="1">
        <f t="array" ref="C237">IF(B237&gt;0,IF(VLOOKUP(C234,'Boats Data Sheet 2026'!$C$3:$J$57,8,0)="N/A",0,VLOOKUP(C234,'Boats Data Sheet 2026'!$C$3:$J$57,8,0)),"N/A")</f>
        <v>0</v>
      </c>
      <c r="D237" s="467" cm="1">
        <f t="array" ref="D237">IF(B237&gt;7,2,IF(B237=0,"N/A",1))</f>
        <v>1</v>
      </c>
      <c r="E237" s="466" cm="1">
        <f t="array" ref="E237">_xlfn.IFERROR(SUM('Direct Costs 2026'!$C$4:$C$5)*D237,"N/A")</f>
        <v>875500</v>
      </c>
      <c r="F237" s="466" cm="1">
        <f t="array" ref="F237">_xlfn.IFERROR('Direct Costs 2026'!$C$43*B237,"N/A")</f>
        <v>6000</v>
      </c>
      <c r="G237" s="466" cm="1">
        <f t="array" ref="G237">IF(B237&gt;0,'Direct Costs 2026'!$C$25,"N/A")</f>
        <v>90000</v>
      </c>
      <c r="H237" s="466" cm="1">
        <f t="array" ref="H237">IF(B237&gt;0,('Direct Costs 2026'!$C$16+'Direct Costs 2026'!$C$17+'Direct Costs 2026'!$C$14),"N/A")</f>
        <v>745000</v>
      </c>
      <c r="I237" s="466">
        <v>0</v>
      </c>
      <c r="J237" s="466">
        <v>0</v>
      </c>
      <c r="K237" s="466" cm="1">
        <f t="array" ref="K237">IF(B237&gt;0,'Direct Costs 2026'!$C$26,"N/A")</f>
        <v>20000</v>
      </c>
      <c r="L237" s="466" cm="1">
        <f t="array" ref="L237">IF(B237&gt;0,'Direct Costs 2026'!$C$23,"N/A")</f>
        <v>140000</v>
      </c>
      <c r="M237" s="466" cm="1">
        <f t="array" ref="M237">IF(B237&gt;0,'Direct Costs 2026'!$C$45*B237,"N/A")</f>
        <v>150000</v>
      </c>
      <c r="N237" s="466" cm="1">
        <f t="array" ref="N237">IF(B237&gt;0,_xlfn.IFERROR(VLOOKUP(C234,'Boats Data Sheet 2026'!$C$3:$I$57,7,0)*'Direct Costs 2026'!$C$36,"N/A"),"N/A")</f>
        <v>5320000</v>
      </c>
      <c r="O237" t="str" s="468" cm="1">
        <f t="array" ref="O237">IF(B237&gt;0,IF(OR(VLOOKUP(C234,'Boats Data Sheet 2026'!$C$3:$F$57,4,0)="Own",VLOOKUP(C234,'Boats Data Sheet 2026'!$C$3:$F$57,4,0)="Management"),('Direct Costs 2026'!$C$37+'Direct Costs 2026'!$C$39),"N/A"),"N/A")</f>
        <v>N/A</v>
      </c>
      <c r="P237" s="466" cm="1">
        <f t="array" ref="P237">_xlfn.IFERROR('Direct Costs 2026'!$C$27*C237,"N/A")</f>
        <v>0</v>
      </c>
      <c r="Q237" s="466" cm="1">
        <f t="array" ref="Q237">_xlfn.IFERROR(C237+SUM(E237:P237),"N/A")</f>
        <v>7346500</v>
      </c>
      <c r="R237" s="466"/>
      <c r="S237" s="466" cm="1">
        <f t="array" ref="S237">IF(B237&gt;0,'Allocation OH and Target 2026'!$E$31,"N/A")</f>
        <v>3100447.15769812</v>
      </c>
      <c r="T237" s="466" cm="1">
        <f t="array" ref="T237">IF(B237&gt;0,VLOOKUP(C234,'Allocation OH and Target 2026'!$C$35:$S$87,17,0),"N/A")</f>
        <v>0</v>
      </c>
      <c r="U237" s="466" cm="1">
        <f t="array" ref="U237">_xlfn.IFERROR((S237+T237),"N/A")</f>
        <v>3100447.15769812</v>
      </c>
      <c r="V237" s="466"/>
      <c r="W237" s="466" cm="1">
        <f t="array" ref="W237">_xlfn.IFERROR(U237+Q237,"N/A")</f>
        <v>10446947.1576981</v>
      </c>
      <c r="X237" s="466" cm="1">
        <f t="array" ref="X237">_xlfn.IFERROR(W237*0.5%,"N/A")</f>
        <v>52234.7357884905</v>
      </c>
      <c r="Y237" s="466" cm="1">
        <f t="array" ref="Y237">_xlfn.IFERROR(W237*25%,"N/A")</f>
        <v>2611736.78942453</v>
      </c>
      <c r="Z237" s="469" cm="1">
        <f t="array" ref="Z237">IF(B237&gt;0,SUM(W237:Y237),"N/A")</f>
        <v>13110918.6829111</v>
      </c>
      <c r="AA237" s="469">
        <v>0</v>
      </c>
      <c r="AB237" s="466"/>
      <c r="AC237" t="str" s="470" cm="1">
        <f t="array" ref="AC237">IF(B237=6,AVERAGE(Z237:Z242),"N/A")</f>
        <v>N/A</v>
      </c>
      <c r="AD237" s="466"/>
      <c r="AE237" t="s" s="471">
        <v>555</v>
      </c>
      <c r="AF237" s="472" cm="1">
        <f t="array" ref="AF237">VLOOKUP(C234,'Allocation OH and Target 2026'!$C$35:$K$87,9,0)</f>
        <v>0</v>
      </c>
      <c r="AG237" s="466"/>
      <c r="AH237" s="466"/>
      <c r="AI237" s="466"/>
      <c r="AJ237" s="466"/>
      <c r="AK237" s="466"/>
      <c r="AL237" s="466"/>
      <c r="AM237" s="466"/>
      <c r="AN237" s="473"/>
    </row>
    <row r="238" ht="15" customHeight="1" hidden="1">
      <c r="A238" s="12"/>
      <c r="B238" s="465" cm="1">
        <f t="array" ref="B238">IF(B237=0,0,IF(B237&lt;VLOOKUP(C234,'Boats Data Sheet 2026'!$C$3:$H$57,6,0),B237+1,0))</f>
        <v>2</v>
      </c>
      <c r="C238" s="466" cm="1">
        <f t="array" ref="C238">IF(B238&gt;0,IF(VLOOKUP(C234,'Boats Data Sheet 2026'!$C$3:$J$57,8,0)="N/A",0,VLOOKUP(C234,'Boats Data Sheet 2026'!$C$3:$J$57,8,0)),"N/A")</f>
        <v>0</v>
      </c>
      <c r="D238" s="467" cm="1">
        <f t="array" ref="D238">IF(B238&gt;7,2,IF(B238=0,"N/A",1))</f>
        <v>1</v>
      </c>
      <c r="E238" s="466" cm="1">
        <f t="array" ref="E238">_xlfn.IFERROR(SUM('Direct Costs 2026'!$C$4:$C$5)*D238,"N/A")</f>
        <v>875500</v>
      </c>
      <c r="F238" s="466" cm="1">
        <f t="array" ref="F238">_xlfn.IFERROR('Direct Costs 2026'!$C$43*B238,"N/A")</f>
        <v>12000</v>
      </c>
      <c r="G238" s="466" cm="1">
        <f t="array" ref="G238">IF(B238&gt;0,'Direct Costs 2026'!$C$25,"N/A")</f>
        <v>90000</v>
      </c>
      <c r="H238" s="466" cm="1">
        <f t="array" ref="H238">IF(B238&gt;0,('Direct Costs 2026'!$C$16+'Direct Costs 2026'!$C$17+'Direct Costs 2026'!$C$14),"N/A")</f>
        <v>745000</v>
      </c>
      <c r="I238" s="466">
        <v>0</v>
      </c>
      <c r="J238" s="466">
        <v>0</v>
      </c>
      <c r="K238" s="466" cm="1">
        <f t="array" ref="K238">IF(B238&gt;0,'Direct Costs 2026'!$C$26,"N/A")</f>
        <v>20000</v>
      </c>
      <c r="L238" s="466" cm="1">
        <f t="array" ref="L238">IF(B238&gt;0,'Direct Costs 2026'!$C$23,"N/A")</f>
        <v>140000</v>
      </c>
      <c r="M238" s="466" cm="1">
        <f t="array" ref="M238">IF(B238&gt;0,'Direct Costs 2026'!$C$45*B238,"N/A")</f>
        <v>300000</v>
      </c>
      <c r="N238" s="466" cm="1">
        <f t="array" ref="N238">IF(B238&gt;0,_xlfn.IFERROR(VLOOKUP(C234,'Boats Data Sheet 2026'!$C$3:$I$57,7,0)*'Direct Costs 2026'!$C$36,"N/A"),"N/A")</f>
        <v>5320000</v>
      </c>
      <c r="O238" t="str" s="468" cm="1">
        <f t="array" ref="O238">IF(B238&gt;0,IF(OR(VLOOKUP(C234,'Boats Data Sheet 2026'!$C$3:$F$57,4,0)="Own",VLOOKUP(C234,'Boats Data Sheet 2026'!$C$3:$F$57,4,0)="Management"),('Direct Costs 2026'!$C$37+'Direct Costs 2026'!$C$39),"N/A"),"N/A")</f>
        <v>N/A</v>
      </c>
      <c r="P238" s="466" cm="1">
        <f t="array" ref="P238">_xlfn.IFERROR('Direct Costs 2026'!$C$27*C238,"N/A")</f>
        <v>0</v>
      </c>
      <c r="Q238" s="466" cm="1">
        <f t="array" ref="Q238">_xlfn.IFERROR(C238+SUM(E238:P238),"N/A")</f>
        <v>7502500</v>
      </c>
      <c r="R238" s="466"/>
      <c r="S238" s="466" cm="1">
        <f t="array" ref="S238">IF(B238&gt;0,'Allocation OH and Target 2026'!$E$31,"N/A")</f>
        <v>3100447.15769812</v>
      </c>
      <c r="T238" s="466" cm="1">
        <f t="array" ref="T238">IF(B238&gt;0,VLOOKUP(C234,'Allocation OH and Target 2026'!$C$35:$S$87,17,0),"N/A")</f>
        <v>0</v>
      </c>
      <c r="U238" s="466" cm="1">
        <f t="array" ref="U238">_xlfn.IFERROR((S238+T238),"N/A")</f>
        <v>3100447.15769812</v>
      </c>
      <c r="V238" s="466"/>
      <c r="W238" s="466" cm="1">
        <f t="array" ref="W238">_xlfn.IFERROR(U238+Q238,"N/A")</f>
        <v>10602947.1576981</v>
      </c>
      <c r="X238" s="466" cm="1">
        <f t="array" ref="X238">_xlfn.IFERROR(W238*0.5%,"N/A")</f>
        <v>53014.7357884905</v>
      </c>
      <c r="Y238" s="466" cm="1">
        <f t="array" ref="Y238">_xlfn.IFERROR(W238*25%,"N/A")</f>
        <v>2650736.78942453</v>
      </c>
      <c r="Z238" s="469" cm="1">
        <f t="array" ref="Z238">IF(B238&gt;0,SUM(W238:Y238),"N/A")</f>
        <v>13306698.6829111</v>
      </c>
      <c r="AA238" s="469" cm="1">
        <f t="array" ref="AA238">_xlfn.IFERROR((Z238-Z237),"N/A")</f>
        <v>195780</v>
      </c>
      <c r="AB238" s="466"/>
      <c r="AC238" t="str" s="470" cm="1">
        <f t="array" ref="AC238">IF(B238=6,AVERAGE(Z237:Z242),"N/A")</f>
        <v>N/A</v>
      </c>
      <c r="AD238" s="466"/>
      <c r="AE238" t="s" s="474">
        <v>546</v>
      </c>
      <c r="AF238" s="466"/>
      <c r="AG238" s="466"/>
      <c r="AH238" s="466"/>
      <c r="AI238" s="466"/>
      <c r="AJ238" s="466"/>
      <c r="AK238" s="466"/>
      <c r="AL238" s="466"/>
      <c r="AM238" s="466"/>
      <c r="AN238" s="473"/>
    </row>
    <row r="239" ht="15" customHeight="1" hidden="1">
      <c r="A239" s="12"/>
      <c r="B239" s="465" cm="1">
        <f t="array" ref="B239">IF(B238=0,0,IF(B238&lt;VLOOKUP(C234,'Boats Data Sheet 2026'!$C$3:$H$57,6,0),B238+1,0))</f>
        <v>3</v>
      </c>
      <c r="C239" s="466" cm="1">
        <f t="array" ref="C239">IF(B239&gt;0,IF(VLOOKUP(C234,'Boats Data Sheet 2026'!$C$3:$J$57,8,0)="N/A",0,VLOOKUP(C234,'Boats Data Sheet 2026'!$C$3:$J$57,8,0)),"N/A")</f>
        <v>0</v>
      </c>
      <c r="D239" s="467" cm="1">
        <f t="array" ref="D239">IF(B239&gt;7,2,IF(B239=0,"N/A",1))</f>
        <v>1</v>
      </c>
      <c r="E239" s="466" cm="1">
        <f t="array" ref="E239">_xlfn.IFERROR(SUM('Direct Costs 2026'!$C$4:$C$5)*D239,"N/A")</f>
        <v>875500</v>
      </c>
      <c r="F239" s="466" cm="1">
        <f t="array" ref="F239">_xlfn.IFERROR('Direct Costs 2026'!$C$43*B239,"N/A")</f>
        <v>18000</v>
      </c>
      <c r="G239" s="466" cm="1">
        <f t="array" ref="G239">IF(B239&gt;0,'Direct Costs 2026'!$C$25,"N/A")</f>
        <v>90000</v>
      </c>
      <c r="H239" s="466" cm="1">
        <f t="array" ref="H239">IF(B239&gt;0,('Direct Costs 2026'!$C$16+'Direct Costs 2026'!$C$17+'Direct Costs 2026'!$C$14),"N/A")</f>
        <v>745000</v>
      </c>
      <c r="I239" s="466">
        <v>0</v>
      </c>
      <c r="J239" s="466">
        <v>0</v>
      </c>
      <c r="K239" s="466" cm="1">
        <f t="array" ref="K239">IF(B239&gt;0,'Direct Costs 2026'!$C$26,"N/A")</f>
        <v>20000</v>
      </c>
      <c r="L239" s="466" cm="1">
        <f t="array" ref="L239">IF(B239&gt;0,'Direct Costs 2026'!$C$23,"N/A")</f>
        <v>140000</v>
      </c>
      <c r="M239" s="466" cm="1">
        <f t="array" ref="M239">IF(B239&gt;0,'Direct Costs 2026'!$C$45*B239,"N/A")</f>
        <v>450000</v>
      </c>
      <c r="N239" s="466" cm="1">
        <f t="array" ref="N239">IF(B239&gt;0,_xlfn.IFERROR(VLOOKUP(C234,'Boats Data Sheet 2026'!$C$3:$I$57,7,0)*'Direct Costs 2026'!$C$36,"N/A"),"N/A")</f>
        <v>5320000</v>
      </c>
      <c r="O239" t="str" s="468" cm="1">
        <f t="array" ref="O239">IF(B239&gt;0,IF(OR(VLOOKUP(C234,'Boats Data Sheet 2026'!$C$3:$F$57,4,0)="Own",VLOOKUP(C234,'Boats Data Sheet 2026'!$C$3:$F$57,4,0)="Management"),('Direct Costs 2026'!$C$37+'Direct Costs 2026'!$C$39),"N/A"),"N/A")</f>
        <v>N/A</v>
      </c>
      <c r="P239" s="466" cm="1">
        <f t="array" ref="P239">_xlfn.IFERROR('Direct Costs 2026'!$C$27*C239,"N/A")</f>
        <v>0</v>
      </c>
      <c r="Q239" s="466" cm="1">
        <f t="array" ref="Q239">_xlfn.IFERROR(C239+SUM(E239:P239),"N/A")</f>
        <v>7658500</v>
      </c>
      <c r="R239" s="466"/>
      <c r="S239" s="466" cm="1">
        <f t="array" ref="S239">IF(B239&gt;0,'Allocation OH and Target 2026'!$E$31,"N/A")</f>
        <v>3100447.15769812</v>
      </c>
      <c r="T239" s="466" cm="1">
        <f t="array" ref="T239">IF(B239&gt;0,VLOOKUP(C234,'Allocation OH and Target 2026'!$C$35:$S$87,17,0),"N/A")</f>
        <v>0</v>
      </c>
      <c r="U239" s="466" cm="1">
        <f t="array" ref="U239">_xlfn.IFERROR((S239+T239),"N/A")</f>
        <v>3100447.15769812</v>
      </c>
      <c r="V239" s="466"/>
      <c r="W239" s="466" cm="1">
        <f t="array" ref="W239">_xlfn.IFERROR(U239+Q239,"N/A")</f>
        <v>10758947.1576981</v>
      </c>
      <c r="X239" s="466" cm="1">
        <f t="array" ref="X239">_xlfn.IFERROR(W239*0.5%,"N/A")</f>
        <v>53794.7357884905</v>
      </c>
      <c r="Y239" s="466" cm="1">
        <f t="array" ref="Y239">_xlfn.IFERROR(W239*25%,"N/A")</f>
        <v>2689736.78942453</v>
      </c>
      <c r="Z239" s="469" cm="1">
        <f t="array" ref="Z239">IF(B239&gt;0,SUM(W239:Y239),"N/A")</f>
        <v>13502478.6829111</v>
      </c>
      <c r="AA239" s="469" cm="1">
        <f t="array" ref="AA239">_xlfn.IFERROR((Z239-Z238),"N/A")</f>
        <v>195780</v>
      </c>
      <c r="AB239" s="466"/>
      <c r="AC239" t="str" s="470" cm="1">
        <f t="array" ref="AC239">IF(B239=6,AVERAGE(Z237:Z242),"N/A")</f>
        <v>N/A</v>
      </c>
      <c r="AD239" s="466"/>
      <c r="AE239" t="s" s="471">
        <v>547</v>
      </c>
      <c r="AF239" s="466" cm="1">
        <f t="array" ref="AF239">AF237*'RECOMMENDED PRICES'!$D$17</f>
        <v>0</v>
      </c>
      <c r="AG239" s="466"/>
      <c r="AH239" s="466"/>
      <c r="AI239" s="466"/>
      <c r="AJ239" s="466"/>
      <c r="AK239" s="466"/>
      <c r="AL239" s="466"/>
      <c r="AM239" s="466"/>
      <c r="AN239" s="473"/>
    </row>
    <row r="240" ht="15" customHeight="1" hidden="1">
      <c r="A240" s="12"/>
      <c r="B240" s="465" cm="1">
        <f t="array" ref="B240">IF(B239=0,0,IF(B239&lt;VLOOKUP(C234,'Boats Data Sheet 2026'!$C$3:$H$57,6,0),B239+1,0))</f>
        <v>4</v>
      </c>
      <c r="C240" s="466" cm="1">
        <f t="array" ref="C240">IF(B240&gt;0,IF(VLOOKUP(C234,'Boats Data Sheet 2026'!$C$3:$J$57,8,0)="N/A",0,VLOOKUP(C234,'Boats Data Sheet 2026'!$C$3:$J$57,8,0)),"N/A")</f>
        <v>0</v>
      </c>
      <c r="D240" s="467" cm="1">
        <f t="array" ref="D240">IF(B240&gt;7,2,IF(B240=0,"N/A",1))</f>
        <v>1</v>
      </c>
      <c r="E240" s="466" cm="1">
        <f t="array" ref="E240">_xlfn.IFERROR(SUM('Direct Costs 2026'!$C$4:$C$5)*D240,"N/A")</f>
        <v>875500</v>
      </c>
      <c r="F240" s="466" cm="1">
        <f t="array" ref="F240">_xlfn.IFERROR('Direct Costs 2026'!$C$43*B240,"N/A")</f>
        <v>24000</v>
      </c>
      <c r="G240" s="466" cm="1">
        <f t="array" ref="G240">IF(B240&gt;0,'Direct Costs 2026'!$C$25,"N/A")</f>
        <v>90000</v>
      </c>
      <c r="H240" s="466" cm="1">
        <f t="array" ref="H240">IF(B240&gt;0,('Direct Costs 2026'!$C$16+'Direct Costs 2026'!$C$17+'Direct Costs 2026'!$C$14),"N/A")</f>
        <v>745000</v>
      </c>
      <c r="I240" s="466">
        <v>0</v>
      </c>
      <c r="J240" s="466">
        <v>0</v>
      </c>
      <c r="K240" s="466" cm="1">
        <f t="array" ref="K240">IF(B240&gt;0,'Direct Costs 2026'!$C$26,"N/A")</f>
        <v>20000</v>
      </c>
      <c r="L240" s="466" cm="1">
        <f t="array" ref="L240">IF(B240&gt;0,'Direct Costs 2026'!$C$23,"N/A")</f>
        <v>140000</v>
      </c>
      <c r="M240" s="466" cm="1">
        <f t="array" ref="M240">IF(B240&gt;0,'Direct Costs 2026'!$C$45*B240,"N/A")</f>
        <v>600000</v>
      </c>
      <c r="N240" s="466" cm="1">
        <f t="array" ref="N240">IF(B240&gt;0,_xlfn.IFERROR(VLOOKUP(C234,'Boats Data Sheet 2026'!$C$3:$I$57,7,0)*'Direct Costs 2026'!$C$36,"N/A"),"N/A")</f>
        <v>5320000</v>
      </c>
      <c r="O240" t="str" s="468" cm="1">
        <f t="array" ref="O240">IF(B240&gt;0,IF(OR(VLOOKUP(C234,'Boats Data Sheet 2026'!$C$3:$F$57,4,0)="Own",VLOOKUP(C234,'Boats Data Sheet 2026'!$C$3:$F$57,4,0)="Management"),('Direct Costs 2026'!$C$37+'Direct Costs 2026'!$C$39),"N/A"),"N/A")</f>
        <v>N/A</v>
      </c>
      <c r="P240" s="466" cm="1">
        <f t="array" ref="P240">_xlfn.IFERROR('Direct Costs 2026'!$C$27*C240,"N/A")</f>
        <v>0</v>
      </c>
      <c r="Q240" s="466" cm="1">
        <f t="array" ref="Q240">_xlfn.IFERROR(C240+SUM(E240:P240),"N/A")</f>
        <v>7814500</v>
      </c>
      <c r="R240" s="466"/>
      <c r="S240" s="466" cm="1">
        <f t="array" ref="S240">IF(B240&gt;0,'Allocation OH and Target 2026'!$E$31,"N/A")</f>
        <v>3100447.15769812</v>
      </c>
      <c r="T240" s="466" cm="1">
        <f t="array" ref="T240">IF(B240&gt;0,VLOOKUP(C234,'Allocation OH and Target 2026'!$C$35:$S$87,17,0),"N/A")</f>
        <v>0</v>
      </c>
      <c r="U240" s="466" cm="1">
        <f t="array" ref="U240">_xlfn.IFERROR((S240+T240),"N/A")</f>
        <v>3100447.15769812</v>
      </c>
      <c r="V240" s="466"/>
      <c r="W240" s="466" cm="1">
        <f t="array" ref="W240">_xlfn.IFERROR(U240+Q240,"N/A")</f>
        <v>10914947.1576981</v>
      </c>
      <c r="X240" s="466" cm="1">
        <f t="array" ref="X240">_xlfn.IFERROR(W240*0.5%,"N/A")</f>
        <v>54574.7357884905</v>
      </c>
      <c r="Y240" s="466" cm="1">
        <f t="array" ref="Y240">_xlfn.IFERROR(W240*25%,"N/A")</f>
        <v>2728736.78942453</v>
      </c>
      <c r="Z240" s="469" cm="1">
        <f t="array" ref="Z240">IF(B240&gt;0,SUM(W240:Y240),"N/A")</f>
        <v>13698258.6829111</v>
      </c>
      <c r="AA240" s="469" cm="1">
        <f t="array" ref="AA240">_xlfn.IFERROR((Z240-Z239),"N/A")</f>
        <v>195780</v>
      </c>
      <c r="AB240" s="466"/>
      <c r="AC240" t="str" s="470" cm="1">
        <f t="array" ref="AC240">IF(B240=6,AVERAGE(Z237:Z242),"N/A")</f>
        <v>N/A</v>
      </c>
      <c r="AD240" s="466"/>
      <c r="AE240" t="s" s="471">
        <v>548</v>
      </c>
      <c r="AF240" s="466" cm="1">
        <f t="array" ref="AF240">AF237*'RECOMMENDED PRICES'!F42</f>
      </c>
      <c r="AG240" s="466"/>
      <c r="AH240" s="466"/>
      <c r="AI240" s="466"/>
      <c r="AJ240" s="466"/>
      <c r="AK240" s="466"/>
      <c r="AL240" s="466"/>
      <c r="AM240" s="466"/>
      <c r="AN240" s="473"/>
    </row>
    <row r="241" ht="15" customHeight="1" hidden="1">
      <c r="A241" s="12"/>
      <c r="B241" s="465" cm="1">
        <f t="array" ref="B241">IF(B240=0,0,IF(B240&lt;VLOOKUP(C234,'Boats Data Sheet 2026'!$C$3:$H$57,6,0),B240+1,0))</f>
        <v>5</v>
      </c>
      <c r="C241" s="466" cm="1">
        <f t="array" ref="C241">IF(B241&gt;0,IF(VLOOKUP(C234,'Boats Data Sheet 2026'!$C$3:$J$57,8,0)="N/A",0,VLOOKUP(C234,'Boats Data Sheet 2026'!$C$3:$J$57,8,0)),"N/A")</f>
        <v>0</v>
      </c>
      <c r="D241" s="467" cm="1">
        <f t="array" ref="D241">IF(B241&gt;7,2,IF(B241=0,"N/A",1))</f>
        <v>1</v>
      </c>
      <c r="E241" s="466" cm="1">
        <f t="array" ref="E241">_xlfn.IFERROR(SUM('Direct Costs 2026'!$C$4:$C$5)*D241,"N/A")</f>
        <v>875500</v>
      </c>
      <c r="F241" s="466" cm="1">
        <f t="array" ref="F241">_xlfn.IFERROR('Direct Costs 2026'!$C$43*B241,"N/A")</f>
        <v>30000</v>
      </c>
      <c r="G241" s="466" cm="1">
        <f t="array" ref="G241">IF(B241&gt;0,'Direct Costs 2026'!$C$25,"N/A")</f>
        <v>90000</v>
      </c>
      <c r="H241" s="466" cm="1">
        <f t="array" ref="H241">IF(B241&gt;0,('Direct Costs 2026'!$C$16+'Direct Costs 2026'!$C$17+'Direct Costs 2026'!$C$14),"N/A")</f>
        <v>745000</v>
      </c>
      <c r="I241" s="466">
        <v>0</v>
      </c>
      <c r="J241" s="466">
        <v>0</v>
      </c>
      <c r="K241" s="466" cm="1">
        <f t="array" ref="K241">IF(B241&gt;0,'Direct Costs 2026'!$C$26,"N/A")</f>
        <v>20000</v>
      </c>
      <c r="L241" s="466" cm="1">
        <f t="array" ref="L241">IF(B241&gt;0,'Direct Costs 2026'!$C$23,"N/A")</f>
        <v>140000</v>
      </c>
      <c r="M241" s="466" cm="1">
        <f t="array" ref="M241">IF(B241&gt;0,'Direct Costs 2026'!$C$45*B241,"N/A")</f>
        <v>750000</v>
      </c>
      <c r="N241" s="466" cm="1">
        <f t="array" ref="N241">IF(B241&gt;0,_xlfn.IFERROR(VLOOKUP(C234,'Boats Data Sheet 2026'!$C$3:$I$57,7,0)*'Direct Costs 2026'!$C$36,"N/A"),"N/A")</f>
        <v>5320000</v>
      </c>
      <c r="O241" t="str" s="468" cm="1">
        <f t="array" ref="O241">IF(B241&gt;0,IF(OR(VLOOKUP(C234,'Boats Data Sheet 2026'!$C$3:$F$57,4,0)="Own",VLOOKUP(C234,'Boats Data Sheet 2026'!$C$3:$F$57,4,0)="Management"),('Direct Costs 2026'!$C$37+'Direct Costs 2026'!$C$39),"N/A"),"N/A")</f>
        <v>N/A</v>
      </c>
      <c r="P241" s="466" cm="1">
        <f t="array" ref="P241">_xlfn.IFERROR('Direct Costs 2026'!$C$27*C241,"N/A")</f>
        <v>0</v>
      </c>
      <c r="Q241" s="466" cm="1">
        <f t="array" ref="Q241">_xlfn.IFERROR(C241+SUM(E241:P241),"N/A")</f>
        <v>7970500</v>
      </c>
      <c r="R241" s="466"/>
      <c r="S241" s="466" cm="1">
        <f t="array" ref="S241">IF(B241&gt;0,'Allocation OH and Target 2026'!$E$31,"N/A")</f>
        <v>3100447.15769812</v>
      </c>
      <c r="T241" s="466" cm="1">
        <f t="array" ref="T241">IF(B241&gt;0,VLOOKUP(C234,'Allocation OH and Target 2026'!$C$35:$S$87,17,0),"N/A")</f>
        <v>0</v>
      </c>
      <c r="U241" s="466" cm="1">
        <f t="array" ref="U241">_xlfn.IFERROR((S241+T241),"N/A")</f>
        <v>3100447.15769812</v>
      </c>
      <c r="V241" s="466"/>
      <c r="W241" s="466" cm="1">
        <f t="array" ref="W241">_xlfn.IFERROR(U241+Q241,"N/A")</f>
        <v>11070947.1576981</v>
      </c>
      <c r="X241" s="466" cm="1">
        <f t="array" ref="X241">_xlfn.IFERROR(W241*0.5%,"N/A")</f>
        <v>55354.7357884905</v>
      </c>
      <c r="Y241" s="466" cm="1">
        <f t="array" ref="Y241">_xlfn.IFERROR(W241*25%,"N/A")</f>
        <v>2767736.78942453</v>
      </c>
      <c r="Z241" s="469" cm="1">
        <f t="array" ref="Z241">IF(B241&gt;0,SUM(W241:Y241),"N/A")</f>
        <v>13894038.6829111</v>
      </c>
      <c r="AA241" s="469" cm="1">
        <f t="array" ref="AA241">_xlfn.IFERROR((Z241-Z240),"N/A")</f>
        <v>195780</v>
      </c>
      <c r="AB241" s="466"/>
      <c r="AC241" t="str" s="470" cm="1">
        <f t="array" ref="AC241">IF(B241=6,AVERAGE(Z237:Z242),"N/A")</f>
        <v>N/A</v>
      </c>
      <c r="AD241" s="466"/>
      <c r="AE241" t="s" s="471">
        <v>549</v>
      </c>
      <c r="AF241" s="466" cm="1">
        <f t="array" ref="AF241">AVERAGE('RECOMMENDED PRICES'!$D$94:$D$104)*AF237*SUM('OLD Actual Sales Jan-Mar 2024'!$F$118:$F$127)/'OLD Actual Sales Jan-Mar 2024'!$F$16</f>
        <v>0</v>
      </c>
      <c r="AG241" s="466"/>
      <c r="AH241" s="466"/>
      <c r="AI241" s="466"/>
      <c r="AJ241" s="466"/>
      <c r="AK241" s="466"/>
      <c r="AL241" s="466"/>
      <c r="AM241" s="466"/>
      <c r="AN241" s="473"/>
    </row>
    <row r="242" ht="15" customHeight="1" hidden="1">
      <c r="A242" s="12"/>
      <c r="B242" s="465" cm="1">
        <f t="array" ref="B242">IF(B241=0,0,IF(B241&lt;VLOOKUP(C234,'Boats Data Sheet 2026'!$C$3:$H$57,6,0),B241+1,0))</f>
        <v>6</v>
      </c>
      <c r="C242" s="466" cm="1">
        <f t="array" ref="C242">IF(B242&gt;0,IF(VLOOKUP(C234,'Boats Data Sheet 2026'!$C$3:$J$57,8,0)="N/A",0,VLOOKUP(C234,'Boats Data Sheet 2026'!$C$3:$J$57,8,0)),"N/A")</f>
        <v>0</v>
      </c>
      <c r="D242" s="467" cm="1">
        <f t="array" ref="D242">IF(B242&gt;7,2,IF(B242=0,"N/A",1))</f>
        <v>1</v>
      </c>
      <c r="E242" s="466" cm="1">
        <f t="array" ref="E242">_xlfn.IFERROR(SUM('Direct Costs 2026'!$C$4:$C$5)*D242,"N/A")</f>
        <v>875500</v>
      </c>
      <c r="F242" s="466" cm="1">
        <f t="array" ref="F242">_xlfn.IFERROR('Direct Costs 2026'!$C$43*B242,"N/A")</f>
        <v>36000</v>
      </c>
      <c r="G242" s="466" cm="1">
        <f t="array" ref="G242">IF(B242&gt;0,'Direct Costs 2026'!$C$25,"N/A")</f>
        <v>90000</v>
      </c>
      <c r="H242" s="466" cm="1">
        <f t="array" ref="H242">IF(B242&gt;0,('Direct Costs 2026'!$C$16+'Direct Costs 2026'!$C$17+'Direct Costs 2026'!$C$14),"N/A")</f>
        <v>745000</v>
      </c>
      <c r="I242" s="466">
        <v>0</v>
      </c>
      <c r="J242" s="466">
        <v>0</v>
      </c>
      <c r="K242" s="466" cm="1">
        <f t="array" ref="K242">IF(B242&gt;0,'Direct Costs 2026'!$C$26,"N/A")</f>
        <v>20000</v>
      </c>
      <c r="L242" s="466" cm="1">
        <f t="array" ref="L242">IF(B242&gt;0,'Direct Costs 2026'!$C$23,"N/A")</f>
        <v>140000</v>
      </c>
      <c r="M242" s="466" cm="1">
        <f t="array" ref="M242">IF(B242&gt;0,'Direct Costs 2026'!$C$45*B242,"N/A")</f>
        <v>900000</v>
      </c>
      <c r="N242" s="466" cm="1">
        <f t="array" ref="N242">IF(B242&gt;0,_xlfn.IFERROR(VLOOKUP(C234,'Boats Data Sheet 2026'!$C$3:$I$57,7,0)*'Direct Costs 2026'!$C$36,"N/A"),"N/A")</f>
        <v>5320000</v>
      </c>
      <c r="O242" t="str" s="468" cm="1">
        <f t="array" ref="O242">IF(B242&gt;0,IF(OR(VLOOKUP(C234,'Boats Data Sheet 2026'!$C$3:$F$57,4,0)="Own",VLOOKUP(C234,'Boats Data Sheet 2026'!$C$3:$F$57,4,0)="Management"),('Direct Costs 2026'!$C$37+'Direct Costs 2026'!$C$39),"N/A"),"N/A")</f>
        <v>N/A</v>
      </c>
      <c r="P242" s="466" cm="1">
        <f t="array" ref="P242">_xlfn.IFERROR('Direct Costs 2026'!$C$27*C242,"N/A")</f>
        <v>0</v>
      </c>
      <c r="Q242" s="466" cm="1">
        <f t="array" ref="Q242">_xlfn.IFERROR(C242+SUM(E242:P242),"N/A")</f>
        <v>8126500</v>
      </c>
      <c r="R242" s="466"/>
      <c r="S242" s="466" cm="1">
        <f t="array" ref="S242">IF(B242&gt;0,'Allocation OH and Target 2026'!$E$31,"N/A")</f>
        <v>3100447.15769812</v>
      </c>
      <c r="T242" s="466" cm="1">
        <f t="array" ref="T242">IF(B242&gt;0,VLOOKUP(C234,'Allocation OH and Target 2026'!$C$35:$S$87,17,0),"N/A")</f>
        <v>0</v>
      </c>
      <c r="U242" s="466" cm="1">
        <f t="array" ref="U242">_xlfn.IFERROR((S242+T242),"N/A")</f>
        <v>3100447.15769812</v>
      </c>
      <c r="V242" s="466"/>
      <c r="W242" s="466" cm="1">
        <f t="array" ref="W242">_xlfn.IFERROR(U242+Q242,"N/A")</f>
        <v>11226947.1576981</v>
      </c>
      <c r="X242" s="466" cm="1">
        <f t="array" ref="X242">_xlfn.IFERROR(W242*0.5%,"N/A")</f>
        <v>56134.7357884905</v>
      </c>
      <c r="Y242" s="466" cm="1">
        <f t="array" ref="Y242">_xlfn.IFERROR(W242*25%,"N/A")</f>
        <v>2806736.78942453</v>
      </c>
      <c r="Z242" s="469" cm="1">
        <f t="array" ref="Z242">IF(B242&gt;0,SUM(W242:Y242),"N/A")</f>
        <v>14089818.6829111</v>
      </c>
      <c r="AA242" s="469" cm="1">
        <f t="array" ref="AA242">_xlfn.IFERROR((Z242-Z241),"N/A")</f>
        <v>195780</v>
      </c>
      <c r="AB242" s="466"/>
      <c r="AC242" s="469" cm="1">
        <f t="array" ref="AC242">IF(B242=6,AVERAGE(Z237:Z242),"N/A")</f>
        <v>13600368.6829111</v>
      </c>
      <c r="AD242" s="466"/>
      <c r="AE242" t="s" s="474">
        <v>550</v>
      </c>
      <c r="AF242" s="466"/>
      <c r="AG242" s="466"/>
      <c r="AH242" s="466"/>
      <c r="AI242" s="466"/>
      <c r="AJ242" s="466"/>
      <c r="AK242" s="466"/>
      <c r="AL242" s="466"/>
      <c r="AM242" s="466"/>
      <c r="AN242" s="473"/>
    </row>
    <row r="243" ht="15" customHeight="1" hidden="1">
      <c r="A243" s="12"/>
      <c r="B243" s="465" cm="1">
        <f t="array" ref="B243">IF(B242=0,0,IF(B242&lt;VLOOKUP(C234,'Boats Data Sheet 2026'!$C$3:$H$57,6,0),B242+1,0))</f>
        <v>7</v>
      </c>
      <c r="C243" s="466" cm="1">
        <f t="array" ref="C243">IF(B243&gt;0,IF(VLOOKUP(C234,'Boats Data Sheet 2026'!$C$3:$J$57,8,0)="N/A",0,VLOOKUP(C234,'Boats Data Sheet 2026'!$C$3:$J$57,8,0)),"N/A")</f>
        <v>0</v>
      </c>
      <c r="D243" s="467" cm="1">
        <f t="array" ref="D243">IF(B243&gt;7,2,IF(B243=0,"N/A",1))</f>
        <v>1</v>
      </c>
      <c r="E243" s="466" cm="1">
        <f t="array" ref="E243">_xlfn.IFERROR(SUM('Direct Costs 2026'!$C$4:$C$5)*D243,"N/A")</f>
        <v>875500</v>
      </c>
      <c r="F243" s="466" cm="1">
        <f t="array" ref="F243">_xlfn.IFERROR('Direct Costs 2026'!$C$43*B243,"N/A")</f>
        <v>42000</v>
      </c>
      <c r="G243" s="466" cm="1">
        <f t="array" ref="G243">IF(B243&gt;0,'Direct Costs 2026'!$C$25,"N/A")</f>
        <v>90000</v>
      </c>
      <c r="H243" s="466" cm="1">
        <f t="array" ref="H243">IF(B243&gt;0,('Direct Costs 2026'!$C$16+'Direct Costs 2026'!$C$17+'Direct Costs 2026'!$C$14),"N/A")</f>
        <v>745000</v>
      </c>
      <c r="I243" s="466">
        <v>0</v>
      </c>
      <c r="J243" s="466">
        <v>0</v>
      </c>
      <c r="K243" s="466" cm="1">
        <f t="array" ref="K243">IF(B243&gt;0,'Direct Costs 2026'!$C$26,"N/A")</f>
        <v>20000</v>
      </c>
      <c r="L243" s="466" cm="1">
        <f t="array" ref="L243">IF(B243&gt;0,'Direct Costs 2026'!$C$23,"N/A")</f>
        <v>140000</v>
      </c>
      <c r="M243" s="466" cm="1">
        <f t="array" ref="M243">IF(B243&gt;0,'Direct Costs 2026'!$C$45*B243,"N/A")</f>
        <v>1050000</v>
      </c>
      <c r="N243" s="466" cm="1">
        <f t="array" ref="N243">IF(B243&gt;0,_xlfn.IFERROR(VLOOKUP(C234,'Boats Data Sheet 2026'!$C$3:$I$57,7,0)*'Direct Costs 2026'!$C$36,"N/A"),"N/A")</f>
        <v>5320000</v>
      </c>
      <c r="O243" t="str" s="468" cm="1">
        <f t="array" ref="O243">IF(B243&gt;0,IF(OR(VLOOKUP(C234,'Boats Data Sheet 2026'!$C$3:$F$57,4,0)="Own",VLOOKUP(C234,'Boats Data Sheet 2026'!$C$3:$F$57,4,0)="Management"),('Direct Costs 2026'!$C$37+'Direct Costs 2026'!$C$39),"N/A"),"N/A")</f>
        <v>N/A</v>
      </c>
      <c r="P243" s="466" cm="1">
        <f t="array" ref="P243">_xlfn.IFERROR('Direct Costs 2026'!$C$27*C243,"N/A")</f>
        <v>0</v>
      </c>
      <c r="Q243" s="466" cm="1">
        <f t="array" ref="Q243">_xlfn.IFERROR(C243+SUM(E243:P243),"N/A")</f>
        <v>8282500</v>
      </c>
      <c r="R243" s="466"/>
      <c r="S243" s="466" cm="1">
        <f t="array" ref="S243">IF(B243&gt;0,'Allocation OH and Target 2026'!$E$31,"N/A")</f>
        <v>3100447.15769812</v>
      </c>
      <c r="T243" s="466" cm="1">
        <f t="array" ref="T243">IF(B243&gt;0,VLOOKUP(C234,'Allocation OH and Target 2026'!$C$35:$S$87,17,0),"N/A")</f>
        <v>0</v>
      </c>
      <c r="U243" s="466" cm="1">
        <f t="array" ref="U243">_xlfn.IFERROR((S243+T243),"N/A")</f>
        <v>3100447.15769812</v>
      </c>
      <c r="V243" s="466"/>
      <c r="W243" s="466" cm="1">
        <f t="array" ref="W243">_xlfn.IFERROR(U243+Q243,"N/A")</f>
        <v>11382947.1576981</v>
      </c>
      <c r="X243" s="466" cm="1">
        <f t="array" ref="X243">_xlfn.IFERROR(W243*0.5%,"N/A")</f>
        <v>56914.7357884905</v>
      </c>
      <c r="Y243" s="466" cm="1">
        <f t="array" ref="Y243">_xlfn.IFERROR(W243*25%,"N/A")</f>
        <v>2845736.78942453</v>
      </c>
      <c r="Z243" s="469" cm="1">
        <f t="array" ref="Z243">IF(B243&gt;0,SUM(W243:Y243),"N/A")</f>
        <v>14285598.6829111</v>
      </c>
      <c r="AA243" s="469" cm="1">
        <f t="array" ref="AA243">_xlfn.IFERROR((Z243-Z242),"N/A")</f>
        <v>195780</v>
      </c>
      <c r="AB243" s="466"/>
      <c r="AC243" t="str" s="470" cm="1">
        <f t="array" ref="AC243">IF(B243=6,AVERAGE(Z237:Z242),"N/A")</f>
        <v>N/A</v>
      </c>
      <c r="AD243" s="466"/>
      <c r="AE243" t="s" s="471">
        <v>551</v>
      </c>
      <c r="AF243" s="466" cm="1">
        <f t="array" ref="AF243">-AVERAGE(Q237:Q242)*AF237</f>
        <v>0</v>
      </c>
      <c r="AG243" s="466"/>
      <c r="AH243" s="466"/>
      <c r="AI243" s="466"/>
      <c r="AJ243" s="466"/>
      <c r="AK243" s="466"/>
      <c r="AL243" s="466"/>
      <c r="AM243" s="466"/>
      <c r="AN243" s="473"/>
    </row>
    <row r="244" ht="15" customHeight="1" hidden="1">
      <c r="A244" s="12"/>
      <c r="B244" s="465" cm="1">
        <f t="array" ref="B244">IF(B243=0,0,IF(B243&lt;VLOOKUP(C234,'Boats Data Sheet 2026'!$C$3:$H$57,6,0),B243+1,0))</f>
        <v>8</v>
      </c>
      <c r="C244" s="466" cm="1">
        <f t="array" ref="C244">IF(B244&gt;0,IF(VLOOKUP(C234,'Boats Data Sheet 2026'!$C$3:$J$57,8,0)="N/A",0,VLOOKUP(C234,'Boats Data Sheet 2026'!$C$3:$J$57,8,0)),"N/A")</f>
        <v>0</v>
      </c>
      <c r="D244" s="467" cm="1">
        <f t="array" ref="D244">IF(B244&gt;7,2,IF(B244=0,"N/A",1))</f>
        <v>2</v>
      </c>
      <c r="E244" s="466" cm="1">
        <f t="array" ref="E244">_xlfn.IFERROR(SUM('Direct Costs 2026'!$C$4:$C$5)*D244,"N/A")</f>
        <v>1751000</v>
      </c>
      <c r="F244" s="466" cm="1">
        <f t="array" ref="F244">_xlfn.IFERROR('Direct Costs 2026'!$C$43*B244,"N/A")</f>
        <v>48000</v>
      </c>
      <c r="G244" s="466" cm="1">
        <f t="array" ref="G244">IF(B244&gt;0,'Direct Costs 2026'!$C$25,"N/A")</f>
        <v>90000</v>
      </c>
      <c r="H244" s="466" cm="1">
        <f t="array" ref="H244">IF(B244&gt;0,('Direct Costs 2026'!$C$16+'Direct Costs 2026'!$C$17+'Direct Costs 2026'!$C$14),"N/A")</f>
        <v>745000</v>
      </c>
      <c r="I244" s="466">
        <v>0</v>
      </c>
      <c r="J244" s="466">
        <v>0</v>
      </c>
      <c r="K244" s="466" cm="1">
        <f t="array" ref="K244">IF(B244&gt;0,'Direct Costs 2026'!$C$26,"N/A")</f>
        <v>20000</v>
      </c>
      <c r="L244" s="466" cm="1">
        <f t="array" ref="L244">IF(B244&gt;0,'Direct Costs 2026'!$C$23,"N/A")</f>
        <v>140000</v>
      </c>
      <c r="M244" s="466" cm="1">
        <f t="array" ref="M244">IF(B244&gt;0,'Direct Costs 2026'!$C$45*B244,"N/A")</f>
        <v>1200000</v>
      </c>
      <c r="N244" s="466" cm="1">
        <f t="array" ref="N244">IF(B244&gt;0,_xlfn.IFERROR(VLOOKUP(C234,'Boats Data Sheet 2026'!$C$3:$I$57,7,0)*'Direct Costs 2026'!$C$36,"N/A"),"N/A")</f>
        <v>5320000</v>
      </c>
      <c r="O244" t="str" s="468" cm="1">
        <f t="array" ref="O244">IF(B244&gt;0,IF(OR(VLOOKUP(C234,'Boats Data Sheet 2026'!$C$3:$F$57,4,0)="Own",VLOOKUP(C234,'Boats Data Sheet 2026'!$C$3:$F$57,4,0)="Management"),('Direct Costs 2026'!$C$37+'Direct Costs 2026'!$C$39),"N/A"),"N/A")</f>
        <v>N/A</v>
      </c>
      <c r="P244" s="466" cm="1">
        <f t="array" ref="P244">_xlfn.IFERROR('Direct Costs 2026'!$C$27*C244,"N/A")</f>
        <v>0</v>
      </c>
      <c r="Q244" s="466" cm="1">
        <f t="array" ref="Q244">_xlfn.IFERROR(C244+SUM(E244:P244),"N/A")</f>
        <v>9314000</v>
      </c>
      <c r="R244" s="466"/>
      <c r="S244" s="466" cm="1">
        <f t="array" ref="S244">IF(B244&gt;0,'Allocation OH and Target 2026'!$E$31,"N/A")</f>
        <v>3100447.15769812</v>
      </c>
      <c r="T244" s="466" cm="1">
        <f t="array" ref="T244">IF(B244&gt;0,VLOOKUP(C234,'Allocation OH and Target 2026'!$C$35:$S$87,17,0),"N/A")</f>
        <v>0</v>
      </c>
      <c r="U244" s="466" cm="1">
        <f t="array" ref="U244">_xlfn.IFERROR((S244+T244),"N/A")</f>
        <v>3100447.15769812</v>
      </c>
      <c r="V244" s="466"/>
      <c r="W244" s="466" cm="1">
        <f t="array" ref="W244">_xlfn.IFERROR(U244+Q244,"N/A")</f>
        <v>12414447.1576981</v>
      </c>
      <c r="X244" s="466" cm="1">
        <f t="array" ref="X244">_xlfn.IFERROR(W244*0.5%,"N/A")</f>
        <v>62072.2357884905</v>
      </c>
      <c r="Y244" s="466" cm="1">
        <f t="array" ref="Y244">_xlfn.IFERROR(W244*25%,"N/A")</f>
        <v>3103611.78942453</v>
      </c>
      <c r="Z244" s="469" cm="1">
        <f t="array" ref="Z244">IF(B244&gt;0,SUM(W244:Y244),"N/A")</f>
        <v>15580131.1829111</v>
      </c>
      <c r="AA244" s="469" cm="1">
        <f t="array" ref="AA244">_xlfn.IFERROR((Z244-Z243),"N/A")</f>
        <v>1294532.5</v>
      </c>
      <c r="AB244" s="466"/>
      <c r="AC244" t="str" s="470" cm="1">
        <f t="array" ref="AC244">IF(B244=6,AVERAGE(Z237:Z242),"N/A")</f>
        <v>N/A</v>
      </c>
      <c r="AD244" s="466"/>
      <c r="AE244" t="s" s="471">
        <v>552</v>
      </c>
      <c r="AF244" s="466" cm="1">
        <f t="array" ref="AF244">-((AVERAGE(Q243:Q253)-AVERAGE(Q237:Q242))*AF237*SUM('OLD Actual Sales Jan-Mar 2024'!$F$118:$F$127)/'OLD Actual Sales Jan-Mar 2024'!$F$16)</f>
        <v>0</v>
      </c>
      <c r="AG244" s="466"/>
      <c r="AH244" s="466"/>
      <c r="AI244" s="466"/>
      <c r="AJ244" s="466"/>
      <c r="AK244" s="466"/>
      <c r="AL244" s="466"/>
      <c r="AM244" s="466"/>
      <c r="AN244" s="473"/>
    </row>
    <row r="245" ht="15" customHeight="1" hidden="1">
      <c r="A245" s="12"/>
      <c r="B245" s="465" cm="1">
        <f t="array" ref="B245">IF(B244=0,0,IF(B244&lt;VLOOKUP(C234,'Boats Data Sheet 2026'!$C$3:$H$57,6,0),B244+1,0))</f>
        <v>9</v>
      </c>
      <c r="C245" s="466" cm="1">
        <f t="array" ref="C245">IF(B245&gt;0,IF(VLOOKUP(C234,'Boats Data Sheet 2026'!$C$3:$J$57,8,0)="N/A",0,VLOOKUP(C234,'Boats Data Sheet 2026'!$C$3:$J$57,8,0)),"N/A")</f>
        <v>0</v>
      </c>
      <c r="D245" s="476" cm="1">
        <f t="array" ref="D245">IF(B245&gt;7,2,IF(B245=0,"N/A",1))</f>
        <v>2</v>
      </c>
      <c r="E245" s="466" cm="1">
        <f t="array" ref="E245">_xlfn.IFERROR(SUM('Direct Costs 2026'!$C$4:$C$5)*D245,"N/A")</f>
        <v>1751000</v>
      </c>
      <c r="F245" s="466" cm="1">
        <f t="array" ref="F245">_xlfn.IFERROR('Direct Costs 2026'!$C$43*B245,"N/A")</f>
        <v>54000</v>
      </c>
      <c r="G245" s="466" cm="1">
        <f t="array" ref="G245">IF(B245&gt;0,'Direct Costs 2026'!$C$25,"N/A")</f>
        <v>90000</v>
      </c>
      <c r="H245" s="466" cm="1">
        <f t="array" ref="H245">IF(B245&gt;0,('Direct Costs 2026'!$C$16+'Direct Costs 2026'!$C$17+'Direct Costs 2026'!$C$14),"N/A")</f>
        <v>745000</v>
      </c>
      <c r="I245" s="466">
        <v>0</v>
      </c>
      <c r="J245" s="466">
        <v>0</v>
      </c>
      <c r="K245" s="466" cm="1">
        <f t="array" ref="K245">IF(B245&gt;0,'Direct Costs 2026'!$C$26,"N/A")</f>
        <v>20000</v>
      </c>
      <c r="L245" s="466" cm="1">
        <f t="array" ref="L245">IF(B245&gt;0,'Direct Costs 2026'!$C$23,"N/A")</f>
        <v>140000</v>
      </c>
      <c r="M245" s="466" cm="1">
        <f t="array" ref="M245">IF(B245&gt;0,'Direct Costs 2026'!$C$45*B245,"N/A")</f>
        <v>1350000</v>
      </c>
      <c r="N245" s="466" cm="1">
        <f t="array" ref="N245">IF(B245&gt;0,_xlfn.IFERROR(VLOOKUP(C234,'Boats Data Sheet 2026'!$C$3:$I$57,7,0)*'Direct Costs 2026'!$C$36,"N/A"),"N/A")</f>
        <v>5320000</v>
      </c>
      <c r="O245" t="str" s="468" cm="1">
        <f t="array" ref="O245">IF(B245&gt;0,IF(OR(VLOOKUP(C234,'Boats Data Sheet 2026'!$C$3:$F$57,4,0)="Own",VLOOKUP(C234,'Boats Data Sheet 2026'!$C$3:$F$57,4,0)="Management"),('Direct Costs 2026'!$C$37+'Direct Costs 2026'!$C$39),"N/A"),"N/A")</f>
        <v>N/A</v>
      </c>
      <c r="P245" s="466" cm="1">
        <f t="array" ref="P245">_xlfn.IFERROR('Direct Costs 2026'!$C$27*C245,"N/A")</f>
        <v>0</v>
      </c>
      <c r="Q245" s="466" cm="1">
        <f t="array" ref="Q245">_xlfn.IFERROR(C245+SUM(E245:P245),"N/A")</f>
        <v>9470000</v>
      </c>
      <c r="R245" s="466"/>
      <c r="S245" s="466" cm="1">
        <f t="array" ref="S245">IF(B245&gt;0,'Allocation OH and Target 2026'!$E$31,"N/A")</f>
        <v>3100447.15769812</v>
      </c>
      <c r="T245" s="466" cm="1">
        <f t="array" ref="T245">IF(B245&gt;0,VLOOKUP(C234,'Allocation OH and Target 2026'!$C$35:$S$87,17,0),"N/A")</f>
        <v>0</v>
      </c>
      <c r="U245" s="466" cm="1">
        <f t="array" ref="U245">_xlfn.IFERROR((S245+T245),"N/A")</f>
        <v>3100447.15769812</v>
      </c>
      <c r="V245" s="466"/>
      <c r="W245" s="466" cm="1">
        <f t="array" ref="W245">_xlfn.IFERROR(U245+Q245,"N/A")</f>
        <v>12570447.1576981</v>
      </c>
      <c r="X245" s="466" cm="1">
        <f t="array" ref="X245">_xlfn.IFERROR(W245*0.5%,"N/A")</f>
        <v>62852.2357884905</v>
      </c>
      <c r="Y245" s="466" cm="1">
        <f t="array" ref="Y245">_xlfn.IFERROR(W245*25%,"N/A")</f>
        <v>3142611.78942453</v>
      </c>
      <c r="Z245" s="469" cm="1">
        <f t="array" ref="Z245">IF(B245&gt;0,SUM(W245:Y245),"N/A")</f>
        <v>15775911.1829111</v>
      </c>
      <c r="AA245" s="469" cm="1">
        <f t="array" ref="AA245">_xlfn.IFERROR((Z245-Z244),"N/A")</f>
        <v>195780</v>
      </c>
      <c r="AB245" s="466"/>
      <c r="AC245" t="str" s="470" cm="1">
        <f t="array" ref="AC245">IF(B245=6,AVERAGE(Z237:Z242),"N/A")</f>
        <v>N/A</v>
      </c>
      <c r="AD245" s="466"/>
      <c r="AE245" t="s" s="474">
        <v>394</v>
      </c>
      <c r="AF245" s="466" cm="1">
        <f t="array" ref="AF245">SUM(AF239:AF244)</f>
      </c>
      <c r="AG245" s="466"/>
      <c r="AH245" s="466"/>
      <c r="AI245" s="466"/>
      <c r="AJ245" s="466"/>
      <c r="AK245" s="466"/>
      <c r="AL245" s="466"/>
      <c r="AM245" s="466"/>
      <c r="AN245" s="473"/>
    </row>
    <row r="246" ht="15" customHeight="1" hidden="1">
      <c r="A246" s="12"/>
      <c r="B246" s="465" cm="1">
        <f t="array" ref="B246">IF(B245=0,0,IF(B245&lt;VLOOKUP(C234,'Boats Data Sheet 2026'!$C$3:$H$57,6,0),B245+1,0))</f>
        <v>10</v>
      </c>
      <c r="C246" s="466" cm="1">
        <f t="array" ref="C246">IF(B246&gt;0,IF(VLOOKUP(C234,'Boats Data Sheet 2026'!$C$3:$J$57,8,0)="N/A",0,VLOOKUP(C234,'Boats Data Sheet 2026'!$C$3:$J$57,8,0)),"N/A")</f>
        <v>0</v>
      </c>
      <c r="D246" s="476" cm="1">
        <f t="array" ref="D246">IF(B246&gt;7,2,IF(B246=0,"N/A",1))</f>
        <v>2</v>
      </c>
      <c r="E246" s="466" cm="1">
        <f t="array" ref="E246">_xlfn.IFERROR(SUM('Direct Costs 2026'!$C$4:$C$5)*D246,"N/A")</f>
        <v>1751000</v>
      </c>
      <c r="F246" s="466" cm="1">
        <f t="array" ref="F246">_xlfn.IFERROR('Direct Costs 2026'!$C$43*B246,"N/A")</f>
        <v>60000</v>
      </c>
      <c r="G246" s="466" cm="1">
        <f t="array" ref="G246">IF(B246&gt;0,'Direct Costs 2026'!$C$25,"N/A")</f>
        <v>90000</v>
      </c>
      <c r="H246" s="466" cm="1">
        <f t="array" ref="H246">IF(B246&gt;0,('Direct Costs 2026'!$C$16+'Direct Costs 2026'!$C$17+'Direct Costs 2026'!$C$14),"N/A")</f>
        <v>745000</v>
      </c>
      <c r="I246" s="466">
        <v>0</v>
      </c>
      <c r="J246" s="466">
        <v>0</v>
      </c>
      <c r="K246" s="466" cm="1">
        <f t="array" ref="K246">IF(B246&gt;0,'Direct Costs 2026'!$C$26,"N/A")</f>
        <v>20000</v>
      </c>
      <c r="L246" s="466" cm="1">
        <f t="array" ref="L246">IF(B246&gt;0,'Direct Costs 2026'!$C$23,"N/A")</f>
        <v>140000</v>
      </c>
      <c r="M246" s="466" cm="1">
        <f t="array" ref="M246">IF(B246&gt;0,'Direct Costs 2026'!$C$45*B246,"N/A")</f>
        <v>1500000</v>
      </c>
      <c r="N246" s="466" cm="1">
        <f t="array" ref="N246">IF(B246&gt;0,_xlfn.IFERROR(VLOOKUP(C234,'Boats Data Sheet 2026'!$C$3:$I$57,7,0)*'Direct Costs 2026'!$C$36,"N/A"),"N/A")</f>
        <v>5320000</v>
      </c>
      <c r="O246" t="str" s="468" cm="1">
        <f t="array" ref="O246">IF(B246&gt;0,IF(OR(VLOOKUP(C234,'Boats Data Sheet 2026'!$C$3:$F$57,4,0)="Own",VLOOKUP(C234,'Boats Data Sheet 2026'!$C$3:$F$57,4,0)="Management"),('Direct Costs 2026'!$C$37+'Direct Costs 2026'!$C$39),"N/A"),"N/A")</f>
        <v>N/A</v>
      </c>
      <c r="P246" s="466" cm="1">
        <f t="array" ref="P246">_xlfn.IFERROR('Direct Costs 2026'!$C$27*C246,"N/A")</f>
        <v>0</v>
      </c>
      <c r="Q246" s="466" cm="1">
        <f t="array" ref="Q246">_xlfn.IFERROR(C246+SUM(E246:P246),"N/A")</f>
        <v>9626000</v>
      </c>
      <c r="R246" s="466"/>
      <c r="S246" s="466" cm="1">
        <f t="array" ref="S246">IF(B246&gt;0,'Allocation OH and Target 2026'!$E$31,"N/A")</f>
        <v>3100447.15769812</v>
      </c>
      <c r="T246" s="466" cm="1">
        <f t="array" ref="T246">IF(B246&gt;0,VLOOKUP(C234,'Allocation OH and Target 2026'!$C$35:$S$87,17,0),"N/A")</f>
        <v>0</v>
      </c>
      <c r="U246" s="466" cm="1">
        <f t="array" ref="U246">_xlfn.IFERROR((S246+T246),"N/A")</f>
        <v>3100447.15769812</v>
      </c>
      <c r="V246" s="466"/>
      <c r="W246" s="466" cm="1">
        <f t="array" ref="W246">_xlfn.IFERROR(U246+Q246,"N/A")</f>
        <v>12726447.1576981</v>
      </c>
      <c r="X246" s="466" cm="1">
        <f t="array" ref="X246">_xlfn.IFERROR(W246*0.5%,"N/A")</f>
        <v>63632.2357884905</v>
      </c>
      <c r="Y246" s="466" cm="1">
        <f t="array" ref="Y246">_xlfn.IFERROR(W246*25%,"N/A")</f>
        <v>3181611.78942453</v>
      </c>
      <c r="Z246" s="469" cm="1">
        <f t="array" ref="Z246">IF(B246&gt;0,SUM(W246:Y246),"N/A")</f>
        <v>15971691.1829111</v>
      </c>
      <c r="AA246" s="469" cm="1">
        <f t="array" ref="AA246">_xlfn.IFERROR((Z246-Z245),"N/A")</f>
        <v>195780</v>
      </c>
      <c r="AB246" s="466"/>
      <c r="AC246" t="str" s="470" cm="1">
        <f t="array" ref="AC246">IF(B246=6,AVERAGE(Z237:Z242),"N/A")</f>
        <v>N/A</v>
      </c>
      <c r="AD246" s="466"/>
      <c r="AE246" t="s" s="475">
        <v>554</v>
      </c>
      <c r="AF246" s="469" cm="1">
        <f t="array" ref="AF246">AF245*50%</f>
      </c>
      <c r="AG246" s="466"/>
      <c r="AH246" s="466"/>
      <c r="AI246" s="466"/>
      <c r="AJ246" s="466"/>
      <c r="AK246" s="466"/>
      <c r="AL246" s="466"/>
      <c r="AM246" s="466"/>
      <c r="AN246" s="473"/>
    </row>
    <row r="247" ht="15" customHeight="1" hidden="1">
      <c r="A247" s="12"/>
      <c r="B247" s="465" cm="1">
        <f t="array" ref="B247">IF(B246=0,0,IF(B246&lt;VLOOKUP(C234,'Boats Data Sheet 2026'!$C$3:$H$57,6,0),B246+1,0))</f>
        <v>11</v>
      </c>
      <c r="C247" s="466" cm="1">
        <f t="array" ref="C247">IF(B247&gt;0,IF(VLOOKUP(C234,'Boats Data Sheet 2026'!$C$3:$J$57,8,0)="N/A",0,VLOOKUP(C234,'Boats Data Sheet 2026'!$C$3:$J$57,8,0)),"N/A")</f>
        <v>0</v>
      </c>
      <c r="D247" s="476" cm="1">
        <f t="array" ref="D247">IF(B247&gt;7,2,IF(B247=0,"N/A",1))</f>
        <v>2</v>
      </c>
      <c r="E247" s="466" cm="1">
        <f t="array" ref="E247">_xlfn.IFERROR(SUM('Direct Costs 2026'!$C$4:$C$5)*D247,"N/A")</f>
        <v>1751000</v>
      </c>
      <c r="F247" s="466" cm="1">
        <f t="array" ref="F247">_xlfn.IFERROR('Direct Costs 2026'!$C$43*B247,"N/A")</f>
        <v>66000</v>
      </c>
      <c r="G247" s="466" cm="1">
        <f t="array" ref="G247">IF(B247&gt;0,'Direct Costs 2026'!$C$25,"N/A")</f>
        <v>90000</v>
      </c>
      <c r="H247" s="466" cm="1">
        <f t="array" ref="H247">IF(B247&gt;0,('Direct Costs 2026'!$C$16+'Direct Costs 2026'!$C$17+'Direct Costs 2026'!$C$14),"N/A")</f>
        <v>745000</v>
      </c>
      <c r="I247" s="466">
        <v>0</v>
      </c>
      <c r="J247" s="466">
        <v>0</v>
      </c>
      <c r="K247" s="466" cm="1">
        <f t="array" ref="K247">IF(B247&gt;0,'Direct Costs 2026'!$C$26,"N/A")</f>
        <v>20000</v>
      </c>
      <c r="L247" s="466" cm="1">
        <f t="array" ref="L247">IF(B247&gt;0,'Direct Costs 2026'!$C$23,"N/A")</f>
        <v>140000</v>
      </c>
      <c r="M247" s="466" cm="1">
        <f t="array" ref="M247">IF(B247&gt;0,'Direct Costs 2026'!$C$45*B247,"N/A")</f>
        <v>1650000</v>
      </c>
      <c r="N247" s="466" cm="1">
        <f t="array" ref="N247">IF(B247&gt;0,_xlfn.IFERROR(VLOOKUP(C234,'Boats Data Sheet 2026'!$C$3:$I$57,7,0)*'Direct Costs 2026'!$C$36,"N/A"),"N/A")</f>
        <v>5320000</v>
      </c>
      <c r="O247" t="str" s="468" cm="1">
        <f t="array" ref="O247">IF(B247&gt;0,IF(OR(VLOOKUP(C234,'Boats Data Sheet 2026'!$C$3:$F$57,4,0)="Own",VLOOKUP(C234,'Boats Data Sheet 2026'!$C$3:$F$57,4,0)="Management"),('Direct Costs 2026'!$C$37+'Direct Costs 2026'!$C$39),"N/A"),"N/A")</f>
        <v>N/A</v>
      </c>
      <c r="P247" s="466" cm="1">
        <f t="array" ref="P247">_xlfn.IFERROR('Direct Costs 2026'!$C$27*C247,"N/A")</f>
        <v>0</v>
      </c>
      <c r="Q247" s="466" cm="1">
        <f t="array" ref="Q247">_xlfn.IFERROR(C247+SUM(E247:P247),"N/A")</f>
        <v>9782000</v>
      </c>
      <c r="R247" s="466"/>
      <c r="S247" s="466" cm="1">
        <f t="array" ref="S247">IF(B247&gt;0,'Allocation OH and Target 2026'!$E$31,"N/A")</f>
        <v>3100447.15769812</v>
      </c>
      <c r="T247" s="466" cm="1">
        <f t="array" ref="T247">IF(B247&gt;0,VLOOKUP(C234,'Allocation OH and Target 2026'!$C$35:$S$87,17,0),"N/A")</f>
        <v>0</v>
      </c>
      <c r="U247" s="466" cm="1">
        <f t="array" ref="U247">_xlfn.IFERROR((S247+T247),"N/A")</f>
        <v>3100447.15769812</v>
      </c>
      <c r="V247" s="466"/>
      <c r="W247" s="466" cm="1">
        <f t="array" ref="W247">_xlfn.IFERROR(U247+Q247,"N/A")</f>
        <v>12882447.1576981</v>
      </c>
      <c r="X247" s="466" cm="1">
        <f t="array" ref="X247">_xlfn.IFERROR(W247*0.5%,"N/A")</f>
        <v>64412.2357884905</v>
      </c>
      <c r="Y247" s="466" cm="1">
        <f t="array" ref="Y247">_xlfn.IFERROR(W247*25%,"N/A")</f>
        <v>3220611.78942453</v>
      </c>
      <c r="Z247" s="469" cm="1">
        <f t="array" ref="Z247">IF(B247&gt;0,SUM(W247:Y247),"N/A")</f>
        <v>16167471.1829111</v>
      </c>
      <c r="AA247" s="469" cm="1">
        <f t="array" ref="AA247">_xlfn.IFERROR((Z247-Z246),"N/A")</f>
        <v>195780</v>
      </c>
      <c r="AB247" s="466"/>
      <c r="AC247" t="str" s="470" cm="1">
        <f t="array" ref="AC247">IF(B247=6,AVERAGE(Z237:Z242),"N/A")</f>
        <v>N/A</v>
      </c>
      <c r="AD247" s="466"/>
      <c r="AE247" s="466"/>
      <c r="AF247" s="466"/>
      <c r="AG247" s="466"/>
      <c r="AH247" s="466"/>
      <c r="AI247" s="466"/>
      <c r="AJ247" s="466"/>
      <c r="AK247" s="466"/>
      <c r="AL247" s="466"/>
      <c r="AM247" s="466"/>
      <c r="AN247" s="473"/>
    </row>
    <row r="248" ht="15" customHeight="1" hidden="1">
      <c r="A248" s="12"/>
      <c r="B248" s="465" cm="1">
        <f t="array" ref="B248">IF(B247=0,0,IF(B247&lt;VLOOKUP(C234,'Boats Data Sheet 2026'!$C$3:$H$57,6,0),B247+1,0))</f>
        <v>12</v>
      </c>
      <c r="C248" s="466" cm="1">
        <f t="array" ref="C248">IF(B248&gt;0,IF(VLOOKUP(C234,'Boats Data Sheet 2026'!$C$3:$J$57,8,0)="N/A",0,VLOOKUP(C234,'Boats Data Sheet 2026'!$C$3:$J$57,8,0)),"N/A")</f>
        <v>0</v>
      </c>
      <c r="D248" s="476" cm="1">
        <f t="array" ref="D248">IF(B248&gt;7,2,IF(B248=0,"N/A",1))</f>
        <v>2</v>
      </c>
      <c r="E248" s="466" cm="1">
        <f t="array" ref="E248">_xlfn.IFERROR(SUM('Direct Costs 2026'!$C$4:$C$5)*D248,"N/A")</f>
        <v>1751000</v>
      </c>
      <c r="F248" s="466" cm="1">
        <f t="array" ref="F248">_xlfn.IFERROR('Direct Costs 2026'!$C$43*B248,"N/A")</f>
        <v>72000</v>
      </c>
      <c r="G248" s="466" cm="1">
        <f t="array" ref="G248">IF(B248&gt;0,'Direct Costs 2026'!$C$25,"N/A")</f>
        <v>90000</v>
      </c>
      <c r="H248" s="466" cm="1">
        <f t="array" ref="H248">IF(B248&gt;0,('Direct Costs 2026'!$C$16+'Direct Costs 2026'!$C$17+'Direct Costs 2026'!$C$14),"N/A")</f>
        <v>745000</v>
      </c>
      <c r="I248" s="466">
        <v>0</v>
      </c>
      <c r="J248" s="466">
        <v>0</v>
      </c>
      <c r="K248" s="466" cm="1">
        <f t="array" ref="K248">IF(B248&gt;0,'Direct Costs 2026'!$C$26,"N/A")</f>
        <v>20000</v>
      </c>
      <c r="L248" s="466" cm="1">
        <f t="array" ref="L248">IF(B248&gt;0,'Direct Costs 2026'!$C$23,"N/A")</f>
        <v>140000</v>
      </c>
      <c r="M248" s="466" cm="1">
        <f t="array" ref="M248">IF(B248&gt;0,'Direct Costs 2026'!$C$45*B248,"N/A")</f>
        <v>1800000</v>
      </c>
      <c r="N248" s="466" cm="1">
        <f t="array" ref="N248">IF(B248&gt;0,_xlfn.IFERROR(VLOOKUP(C234,'Boats Data Sheet 2026'!$C$3:$I$57,7,0)*'Direct Costs 2026'!$C$36,"N/A"),"N/A")</f>
        <v>5320000</v>
      </c>
      <c r="O248" t="str" s="468" cm="1">
        <f t="array" ref="O248">IF(B248&gt;0,IF(OR(VLOOKUP(C234,'Boats Data Sheet 2026'!$C$3:$F$57,4,0)="Own",VLOOKUP(C234,'Boats Data Sheet 2026'!$C$3:$F$57,4,0)="Management"),('Direct Costs 2026'!$C$37+'Direct Costs 2026'!$C$39),"N/A"),"N/A")</f>
        <v>N/A</v>
      </c>
      <c r="P248" s="466" cm="1">
        <f t="array" ref="P248">_xlfn.IFERROR('Direct Costs 2026'!$C$27*C248,"N/A")</f>
        <v>0</v>
      </c>
      <c r="Q248" s="466" cm="1">
        <f t="array" ref="Q248">_xlfn.IFERROR(C248+SUM(E248:P248),"N/A")</f>
        <v>9938000</v>
      </c>
      <c r="R248" s="466"/>
      <c r="S248" s="466" cm="1">
        <f t="array" ref="S248">IF(B248&gt;0,'Allocation OH and Target 2026'!$E$31,"N/A")</f>
        <v>3100447.15769812</v>
      </c>
      <c r="T248" s="466" cm="1">
        <f t="array" ref="T248">IF(B248&gt;0,VLOOKUP(C234,'Allocation OH and Target 2026'!$C$35:$S$87,17,0),"N/A")</f>
        <v>0</v>
      </c>
      <c r="U248" s="466" cm="1">
        <f t="array" ref="U248">_xlfn.IFERROR((S248+T248),"N/A")</f>
        <v>3100447.15769812</v>
      </c>
      <c r="V248" s="466"/>
      <c r="W248" s="466" cm="1">
        <f t="array" ref="W248">_xlfn.IFERROR(U248+Q248,"N/A")</f>
        <v>13038447.1576981</v>
      </c>
      <c r="X248" s="466" cm="1">
        <f t="array" ref="X248">_xlfn.IFERROR(W248*0.5%,"N/A")</f>
        <v>65192.2357884905</v>
      </c>
      <c r="Y248" s="466" cm="1">
        <f t="array" ref="Y248">_xlfn.IFERROR(W248*25%,"N/A")</f>
        <v>3259611.78942453</v>
      </c>
      <c r="Z248" s="469" cm="1">
        <f t="array" ref="Z248">IF(B248&gt;0,SUM(W248:Y248),"N/A")</f>
        <v>16363251.1829111</v>
      </c>
      <c r="AA248" s="469" cm="1">
        <f t="array" ref="AA248">_xlfn.IFERROR((Z248-Z247),"N/A")</f>
        <v>195780</v>
      </c>
      <c r="AB248" s="466"/>
      <c r="AC248" t="str" s="470" cm="1">
        <f t="array" ref="AC248">IF(B248=6,AVERAGE(Z237:Z242),"N/A")</f>
        <v>N/A</v>
      </c>
      <c r="AD248" s="466"/>
      <c r="AE248" s="466"/>
      <c r="AF248" s="466"/>
      <c r="AG248" s="466"/>
      <c r="AH248" s="466"/>
      <c r="AI248" s="466"/>
      <c r="AJ248" s="466"/>
      <c r="AK248" s="466"/>
      <c r="AL248" s="466"/>
      <c r="AM248" s="466"/>
      <c r="AN248" s="473"/>
    </row>
    <row r="249" ht="15" customHeight="1" hidden="1">
      <c r="A249" s="12"/>
      <c r="B249" s="465" cm="1">
        <f t="array" ref="B249">IF(B248=0,0,IF(B248&lt;VLOOKUP(C234,'Boats Data Sheet 2026'!$C$3:$H$57,6,0),B248+1,0))</f>
        <v>13</v>
      </c>
      <c r="C249" s="466" cm="1">
        <f t="array" ref="C249">IF(B249&gt;0,IF(VLOOKUP(C234,'Boats Data Sheet 2026'!$C$3:$J$57,8,0)="N/A",0,VLOOKUP(C234,'Boats Data Sheet 2026'!$C$3:$J$57,8,0)),"N/A")</f>
        <v>0</v>
      </c>
      <c r="D249" s="476" cm="1">
        <f t="array" ref="D249">IF(B249&gt;7,2,IF(B249=0,"N/A",1))</f>
        <v>2</v>
      </c>
      <c r="E249" s="466" cm="1">
        <f t="array" ref="E249">_xlfn.IFERROR(SUM('Direct Costs 2026'!$C$4:$C$5)*D249,"N/A")</f>
        <v>1751000</v>
      </c>
      <c r="F249" s="466" cm="1">
        <f t="array" ref="F249">_xlfn.IFERROR('Direct Costs 2026'!$C$43*B249,"N/A")</f>
        <v>78000</v>
      </c>
      <c r="G249" s="466" cm="1">
        <f t="array" ref="G249">IF(B249&gt;0,'Direct Costs 2026'!$C$25,"N/A")</f>
        <v>90000</v>
      </c>
      <c r="H249" s="466" cm="1">
        <f t="array" ref="H249">IF(B249&gt;0,('Direct Costs 2026'!$C$16+'Direct Costs 2026'!$C$17+'Direct Costs 2026'!$C$14),"N/A")</f>
        <v>745000</v>
      </c>
      <c r="I249" s="466">
        <v>0</v>
      </c>
      <c r="J249" s="466">
        <v>0</v>
      </c>
      <c r="K249" s="466" cm="1">
        <f t="array" ref="K249">IF(B249&gt;0,'Direct Costs 2026'!$C$26,"N/A")</f>
        <v>20000</v>
      </c>
      <c r="L249" s="466" cm="1">
        <f t="array" ref="L249">IF(B249&gt;0,'Direct Costs 2026'!$C$23,"N/A")</f>
        <v>140000</v>
      </c>
      <c r="M249" s="466" cm="1">
        <f t="array" ref="M249">IF(B249&gt;0,'Direct Costs 2026'!$C$45*B249,"N/A")</f>
        <v>1950000</v>
      </c>
      <c r="N249" s="466" cm="1">
        <f t="array" ref="N249">IF(B249&gt;0,_xlfn.IFERROR(VLOOKUP(C234,'Boats Data Sheet 2026'!$C$3:$I$57,7,0)*'Direct Costs 2026'!$C$36,"N/A"),"N/A")</f>
        <v>5320000</v>
      </c>
      <c r="O249" t="str" s="468" cm="1">
        <f t="array" ref="O249">IF(B249&gt;0,IF(OR(VLOOKUP(C234,'Boats Data Sheet 2026'!$C$3:$F$57,4,0)="Own",VLOOKUP(C234,'Boats Data Sheet 2026'!$C$3:$F$57,4,0)="Management"),('Direct Costs 2026'!$C$37+'Direct Costs 2026'!$C$39),"N/A"),"N/A")</f>
        <v>N/A</v>
      </c>
      <c r="P249" s="466" cm="1">
        <f t="array" ref="P249">_xlfn.IFERROR('Direct Costs 2026'!$C$27*C249,"N/A")</f>
        <v>0</v>
      </c>
      <c r="Q249" s="466" cm="1">
        <f t="array" ref="Q249">_xlfn.IFERROR(C249+SUM(E249:P249),"N/A")</f>
        <v>10094000</v>
      </c>
      <c r="R249" s="466"/>
      <c r="S249" s="466" cm="1">
        <f t="array" ref="S249">IF(B249&gt;0,'Allocation OH and Target 2026'!$E$31,"N/A")</f>
        <v>3100447.15769812</v>
      </c>
      <c r="T249" s="466" cm="1">
        <f t="array" ref="T249">IF(B249&gt;0,VLOOKUP(C234,'Allocation OH and Target 2026'!$C$35:$S$87,17,0),"N/A")</f>
        <v>0</v>
      </c>
      <c r="U249" s="466" cm="1">
        <f t="array" ref="U249">_xlfn.IFERROR((S249+T249),"N/A")</f>
        <v>3100447.15769812</v>
      </c>
      <c r="V249" s="466"/>
      <c r="W249" s="466" cm="1">
        <f t="array" ref="W249">_xlfn.IFERROR(U249+Q249,"N/A")</f>
        <v>13194447.1576981</v>
      </c>
      <c r="X249" s="466" cm="1">
        <f t="array" ref="X249">_xlfn.IFERROR(W249*0.5%,"N/A")</f>
        <v>65972.235788490507</v>
      </c>
      <c r="Y249" s="466" cm="1">
        <f t="array" ref="Y249">_xlfn.IFERROR(W249*25%,"N/A")</f>
        <v>3298611.78942453</v>
      </c>
      <c r="Z249" s="469" cm="1">
        <f t="array" ref="Z249">IF(B249&gt;0,SUM(W249:Y249),"N/A")</f>
        <v>16559031.1829111</v>
      </c>
      <c r="AA249" s="469" cm="1">
        <f t="array" ref="AA249">_xlfn.IFERROR((Z249-Z248),"N/A")</f>
        <v>195780</v>
      </c>
      <c r="AB249" s="466"/>
      <c r="AC249" t="str" s="470" cm="1">
        <f t="array" ref="AC249">IF(B249=6,AVERAGE(Z237:Z242),"N/A")</f>
        <v>N/A</v>
      </c>
      <c r="AD249" s="466"/>
      <c r="AE249" s="466"/>
      <c r="AF249" s="466"/>
      <c r="AG249" s="466"/>
      <c r="AH249" s="466"/>
      <c r="AI249" s="466"/>
      <c r="AJ249" s="466"/>
      <c r="AK249" s="466"/>
      <c r="AL249" s="466"/>
      <c r="AM249" s="466"/>
      <c r="AN249" s="473"/>
    </row>
    <row r="250" ht="15" customHeight="1" hidden="1">
      <c r="A250" s="12"/>
      <c r="B250" s="465" cm="1">
        <f t="array" ref="B250">IF(B249=0,0,IF(B249&lt;VLOOKUP(C234,'Boats Data Sheet 2026'!$C$3:$H$57,6,0),B249+1,0))</f>
        <v>14</v>
      </c>
      <c r="C250" s="466" cm="1">
        <f t="array" ref="C250">IF(B250&gt;0,IF(VLOOKUP(C234,'Boats Data Sheet 2026'!$C$3:$J$57,8,0)="N/A",0,VLOOKUP(C234,'Boats Data Sheet 2026'!$C$3:$J$57,8,0)),"N/A")</f>
        <v>0</v>
      </c>
      <c r="D250" s="476" cm="1">
        <f t="array" ref="D250">IF(B250&gt;7,2,IF(B250=0,"N/A",1))</f>
        <v>2</v>
      </c>
      <c r="E250" s="466" cm="1">
        <f t="array" ref="E250">_xlfn.IFERROR(SUM('Direct Costs 2026'!$C$4:$C$5)*D250,"N/A")</f>
        <v>1751000</v>
      </c>
      <c r="F250" s="466" cm="1">
        <f t="array" ref="F250">_xlfn.IFERROR('Direct Costs 2026'!$C$43*B250,"N/A")</f>
        <v>84000</v>
      </c>
      <c r="G250" s="466" cm="1">
        <f t="array" ref="G250">IF(B250&gt;0,'Direct Costs 2026'!$C$25,"N/A")</f>
        <v>90000</v>
      </c>
      <c r="H250" s="466" cm="1">
        <f t="array" ref="H250">IF(B250&gt;0,('Direct Costs 2026'!$C$16+'Direct Costs 2026'!$C$17+'Direct Costs 2026'!$C$14),"N/A")</f>
        <v>745000</v>
      </c>
      <c r="I250" s="466">
        <v>0</v>
      </c>
      <c r="J250" s="466">
        <v>0</v>
      </c>
      <c r="K250" s="466" cm="1">
        <f t="array" ref="K250">IF(B250&gt;0,'Direct Costs 2026'!$C$26,"N/A")</f>
        <v>20000</v>
      </c>
      <c r="L250" s="466" cm="1">
        <f t="array" ref="L250">IF(B250&gt;0,'Direct Costs 2026'!$C$23,"N/A")</f>
        <v>140000</v>
      </c>
      <c r="M250" s="466" cm="1">
        <f t="array" ref="M250">IF(B250&gt;0,'Direct Costs 2026'!$C$45*B250,"N/A")</f>
        <v>2100000</v>
      </c>
      <c r="N250" s="466" cm="1">
        <f t="array" ref="N250">IF(B250&gt;0,_xlfn.IFERROR(VLOOKUP(C234,'Boats Data Sheet 2026'!$C$3:$I$57,7,0)*'Direct Costs 2026'!$C$36,"N/A"),"N/A")</f>
        <v>5320000</v>
      </c>
      <c r="O250" t="str" s="468" cm="1">
        <f t="array" ref="O250">IF(B250&gt;0,IF(OR(VLOOKUP(C234,'Boats Data Sheet 2026'!$C$3:$F$57,4,0)="Own",VLOOKUP(C234,'Boats Data Sheet 2026'!$C$3:$F$57,4,0)="Management"),('Direct Costs 2026'!$C$37+'Direct Costs 2026'!$C$39),"N/A"),"N/A")</f>
        <v>N/A</v>
      </c>
      <c r="P250" s="466" cm="1">
        <f t="array" ref="P250">_xlfn.IFERROR('Direct Costs 2026'!$C$27*C250,"N/A")</f>
        <v>0</v>
      </c>
      <c r="Q250" s="466" cm="1">
        <f t="array" ref="Q250">_xlfn.IFERROR(C250+SUM(E250:P250),"N/A")</f>
        <v>10250000</v>
      </c>
      <c r="R250" s="466"/>
      <c r="S250" s="466" cm="1">
        <f t="array" ref="S250">IF(B250&gt;0,'Allocation OH and Target 2026'!$E$31,"N/A")</f>
        <v>3100447.15769812</v>
      </c>
      <c r="T250" s="466" cm="1">
        <f t="array" ref="T250">IF(B250&gt;0,VLOOKUP(C234,'Allocation OH and Target 2026'!$C$35:$S$87,17,0),"N/A")</f>
        <v>0</v>
      </c>
      <c r="U250" s="466" cm="1">
        <f t="array" ref="U250">_xlfn.IFERROR((S250+T250),"N/A")</f>
        <v>3100447.15769812</v>
      </c>
      <c r="V250" s="466"/>
      <c r="W250" s="466" cm="1">
        <f t="array" ref="W250">_xlfn.IFERROR(U250+Q250,"N/A")</f>
        <v>13350447.1576981</v>
      </c>
      <c r="X250" s="466" cm="1">
        <f t="array" ref="X250">_xlfn.IFERROR(W250*0.5%,"N/A")</f>
        <v>66752.235788490507</v>
      </c>
      <c r="Y250" s="466" cm="1">
        <f t="array" ref="Y250">_xlfn.IFERROR(W250*25%,"N/A")</f>
        <v>3337611.78942453</v>
      </c>
      <c r="Z250" s="469" cm="1">
        <f t="array" ref="Z250">IF(B250&gt;0,SUM(W250:Y250),"N/A")</f>
        <v>16754811.1829111</v>
      </c>
      <c r="AA250" s="469" cm="1">
        <f t="array" ref="AA250">_xlfn.IFERROR((Z250-Z249),"N/A")</f>
        <v>195780</v>
      </c>
      <c r="AB250" s="466"/>
      <c r="AC250" t="str" s="470" cm="1">
        <f t="array" ref="AC250">IF(B250=6,AVERAGE(Z237:Z242),"N/A")</f>
        <v>N/A</v>
      </c>
      <c r="AD250" s="466"/>
      <c r="AE250" s="466"/>
      <c r="AF250" s="466"/>
      <c r="AG250" s="466"/>
      <c r="AH250" s="466"/>
      <c r="AI250" s="466"/>
      <c r="AJ250" s="466"/>
      <c r="AK250" s="466"/>
      <c r="AL250" s="466"/>
      <c r="AM250" s="466"/>
      <c r="AN250" s="473"/>
    </row>
    <row r="251" ht="15" customHeight="1" hidden="1">
      <c r="A251" s="12"/>
      <c r="B251" s="465" cm="1">
        <f t="array" ref="B251">IF(B250=0,0,IF(B250&lt;VLOOKUP(C234,'Boats Data Sheet 2026'!$C$3:$H$57,6,0),B250+1,0))</f>
        <v>15</v>
      </c>
      <c r="C251" s="466" cm="1">
        <f t="array" ref="C251">IF(B251&gt;0,IF(VLOOKUP(C234,'Boats Data Sheet 2026'!$C$3:$J$57,8,0)="N/A",0,VLOOKUP(C234,'Boats Data Sheet 2026'!$C$3:$J$57,8,0)),"N/A")</f>
        <v>0</v>
      </c>
      <c r="D251" s="476" cm="1">
        <f t="array" ref="D251">IF(B251&gt;7,2,IF(B251=0,"N/A",1))</f>
        <v>2</v>
      </c>
      <c r="E251" s="466" cm="1">
        <f t="array" ref="E251">_xlfn.IFERROR(SUM('Direct Costs 2026'!$C$4:$C$5)*D251,"N/A")</f>
        <v>1751000</v>
      </c>
      <c r="F251" s="466" cm="1">
        <f t="array" ref="F251">_xlfn.IFERROR('Direct Costs 2026'!$C$43*B251,"N/A")</f>
        <v>90000</v>
      </c>
      <c r="G251" s="466" cm="1">
        <f t="array" ref="G251">IF(B251&gt;0,'Direct Costs 2026'!$C$25,"N/A")</f>
        <v>90000</v>
      </c>
      <c r="H251" s="466" cm="1">
        <f t="array" ref="H251">IF(B251&gt;0,('Direct Costs 2026'!$C$16+'Direct Costs 2026'!$C$17+'Direct Costs 2026'!$C$14),"N/A")</f>
        <v>745000</v>
      </c>
      <c r="I251" s="466">
        <v>0</v>
      </c>
      <c r="J251" s="466">
        <v>0</v>
      </c>
      <c r="K251" s="466" cm="1">
        <f t="array" ref="K251">IF(B251&gt;0,'Direct Costs 2026'!$C$26,"N/A")</f>
        <v>20000</v>
      </c>
      <c r="L251" s="466" cm="1">
        <f t="array" ref="L251">IF(B251&gt;0,'Direct Costs 2026'!$C$23,"N/A")</f>
        <v>140000</v>
      </c>
      <c r="M251" s="466" cm="1">
        <f t="array" ref="M251">IF(B251&gt;0,'Direct Costs 2026'!$C$45*B251,"N/A")</f>
        <v>2250000</v>
      </c>
      <c r="N251" s="466" cm="1">
        <f t="array" ref="N251">IF(B251&gt;0,_xlfn.IFERROR(VLOOKUP(C234,'Boats Data Sheet 2026'!$C$3:$I$57,7,0)*'Direct Costs 2026'!$C$36,"N/A"),"N/A")</f>
        <v>5320000</v>
      </c>
      <c r="O251" t="str" s="468" cm="1">
        <f t="array" ref="O251">IF(B251&gt;0,IF(OR(VLOOKUP(C234,'Boats Data Sheet 2026'!$C$3:$F$57,4,0)="Own",VLOOKUP(C234,'Boats Data Sheet 2026'!$C$3:$F$57,4,0)="Management"),('Direct Costs 2026'!$C$37+'Direct Costs 2026'!$C$39),"N/A"),"N/A")</f>
        <v>N/A</v>
      </c>
      <c r="P251" s="466" cm="1">
        <f t="array" ref="P251">_xlfn.IFERROR('Direct Costs 2026'!$C$27*C251,"N/A")</f>
        <v>0</v>
      </c>
      <c r="Q251" s="466" cm="1">
        <f t="array" ref="Q251">_xlfn.IFERROR(C251+SUM(E251:P251),"N/A")</f>
        <v>10406000</v>
      </c>
      <c r="R251" s="466"/>
      <c r="S251" s="466" cm="1">
        <f t="array" ref="S251">IF(B251&gt;0,'Allocation OH and Target 2026'!$E$31,"N/A")</f>
        <v>3100447.15769812</v>
      </c>
      <c r="T251" s="466" cm="1">
        <f t="array" ref="T251">IF(B251&gt;0,VLOOKUP(C234,'Allocation OH and Target 2026'!$C$35:$S$87,17,0),"N/A")</f>
        <v>0</v>
      </c>
      <c r="U251" s="466" cm="1">
        <f t="array" ref="U251">_xlfn.IFERROR((S251+T251),"N/A")</f>
        <v>3100447.15769812</v>
      </c>
      <c r="V251" s="466"/>
      <c r="W251" s="466" cm="1">
        <f t="array" ref="W251">_xlfn.IFERROR(U251+Q251,"N/A")</f>
        <v>13506447.1576981</v>
      </c>
      <c r="X251" s="466" cm="1">
        <f t="array" ref="X251">_xlfn.IFERROR(W251*0.5%,"N/A")</f>
        <v>67532.235788490507</v>
      </c>
      <c r="Y251" s="466" cm="1">
        <f t="array" ref="Y251">_xlfn.IFERROR(W251*25%,"N/A")</f>
        <v>3376611.78942453</v>
      </c>
      <c r="Z251" s="469" cm="1">
        <f t="array" ref="Z251">IF(B251&gt;0,SUM(W251:Y251),"N/A")</f>
        <v>16950591.1829111</v>
      </c>
      <c r="AA251" s="469" cm="1">
        <f t="array" ref="AA251">_xlfn.IFERROR((Z251-Z250),"N/A")</f>
        <v>195780</v>
      </c>
      <c r="AB251" s="466"/>
      <c r="AC251" t="str" s="470" cm="1">
        <f t="array" ref="AC251">IF(B251=6,AVERAGE(Z237:Z242),"N/A")</f>
        <v>N/A</v>
      </c>
      <c r="AD251" s="466"/>
      <c r="AE251" s="466"/>
      <c r="AF251" s="466"/>
      <c r="AG251" s="466"/>
      <c r="AH251" s="466"/>
      <c r="AI251" s="466"/>
      <c r="AJ251" s="466"/>
      <c r="AK251" s="466"/>
      <c r="AL251" s="466"/>
      <c r="AM251" s="466"/>
      <c r="AN251" s="473"/>
    </row>
    <row r="252" ht="15" customHeight="1" hidden="1">
      <c r="A252" s="12"/>
      <c r="B252" s="465" cm="1">
        <f t="array" ref="B252">IF(B251=0,0,IF(B251&lt;VLOOKUP(C234,'Boats Data Sheet 2026'!$C$3:$H$57,6,0),B251+1,0))</f>
        <v>0</v>
      </c>
      <c r="C252" t="str" s="468" cm="1">
        <f t="array" ref="C252">IF(B252&gt;0,IF(VLOOKUP(C234,'Boats Data Sheet 2026'!$C$3:$J$57,8,0)="N/A",0,VLOOKUP(C234,'Boats Data Sheet 2026'!$C$3:$J$57,8,0)),"N/A")</f>
        <v>N/A</v>
      </c>
      <c r="D252" t="str" s="468" cm="1">
        <f t="array" ref="D252">IF(B252&gt;7,2,IF(B252=0,"N/A",1))</f>
        <v>N/A</v>
      </c>
      <c r="E252" t="str" s="468" cm="1">
        <f t="array" ref="E252">_xlfn.IFERROR(SUM('Direct Costs 2026'!$C$4:$C$5)*D252,"N/A")</f>
        <v>N/A</v>
      </c>
      <c r="F252" s="466" cm="1">
        <f t="array" ref="F252">_xlfn.IFERROR('Direct Costs 2026'!$C$43*B252,"N/A")</f>
        <v>0</v>
      </c>
      <c r="G252" t="str" s="468" cm="1">
        <f t="array" ref="G252">IF(B252&gt;0,'Direct Costs 2026'!$C$25,"N/A")</f>
        <v>N/A</v>
      </c>
      <c r="H252" t="str" s="468" cm="1">
        <f t="array" ref="H252">IF(B252&gt;0,('Direct Costs 2026'!$C$16+'Direct Costs 2026'!$C$17+'Direct Costs 2026'!$C$14),"N/A")</f>
        <v>N/A</v>
      </c>
      <c r="I252" s="466">
        <v>0</v>
      </c>
      <c r="J252" s="466">
        <v>0</v>
      </c>
      <c r="K252" t="str" s="468" cm="1">
        <f t="array" ref="K252">IF(B252&gt;0,'Direct Costs 2026'!$C$26,"N/A")</f>
        <v>N/A</v>
      </c>
      <c r="L252" t="str" s="468" cm="1">
        <f t="array" ref="L252">IF(B252&gt;0,'Direct Costs 2026'!$C$23,"N/A")</f>
        <v>N/A</v>
      </c>
      <c r="M252" t="str" s="468" cm="1">
        <f t="array" ref="M252">IF(B252&gt;0,'Direct Costs 2026'!$C$45*B252,"N/A")</f>
        <v>N/A</v>
      </c>
      <c r="N252" t="str" s="468" cm="1">
        <f t="array" ref="N252">IF(B252&gt;0,_xlfn.IFERROR(VLOOKUP(C234,'Boats Data Sheet 2026'!$C$3:$I$57,7,0)*'Direct Costs 2026'!$C$36,"N/A"),"N/A")</f>
        <v>N/A</v>
      </c>
      <c r="O252" t="str" s="468" cm="1">
        <f t="array" ref="O252">IF(B252&gt;0,IF(OR(VLOOKUP(C234,'Boats Data Sheet 2026'!$C$3:$F$57,4,0)="Own",VLOOKUP(C234,'Boats Data Sheet 2026'!$C$3:$F$57,4,0)="Management"),('Direct Costs 2026'!$C$37+'Direct Costs 2026'!$C$39),"N/A"),"N/A")</f>
        <v>N/A</v>
      </c>
      <c r="P252" t="str" s="468" cm="1">
        <f t="array" ref="P252">_xlfn.IFERROR('Direct Costs 2026'!$C$27*C252,"N/A")</f>
        <v>N/A</v>
      </c>
      <c r="Q252" t="str" s="468" cm="1">
        <f t="array" ref="Q252">_xlfn.IFERROR(C252+SUM(E252:P252),"N/A")</f>
        <v>N/A</v>
      </c>
      <c r="R252" s="466"/>
      <c r="S252" t="str" s="468" cm="1">
        <f t="array" ref="S252">IF(B252&gt;0,'Allocation OH and Target 2026'!$E$31,"N/A")</f>
        <v>N/A</v>
      </c>
      <c r="T252" t="str" s="468" cm="1">
        <f t="array" ref="T252">IF(B252&gt;0,VLOOKUP(C234,'Allocation OH and Target 2026'!$C$35:$S$87,17,0),"N/A")</f>
        <v>N/A</v>
      </c>
      <c r="U252" t="str" s="468" cm="1">
        <f t="array" ref="U252">_xlfn.IFERROR((S252+T252),"N/A")</f>
        <v>N/A</v>
      </c>
      <c r="V252" s="466"/>
      <c r="W252" t="str" s="468" cm="1">
        <f t="array" ref="W252">_xlfn.IFERROR(U252+Q252,"N/A")</f>
        <v>N/A</v>
      </c>
      <c r="X252" t="str" s="468" cm="1">
        <f t="array" ref="X252">_xlfn.IFERROR(W252*0.5%,"N/A")</f>
        <v>N/A</v>
      </c>
      <c r="Y252" t="str" s="468" cm="1">
        <f t="array" ref="Y252">_xlfn.IFERROR(W252*25%,"N/A")</f>
        <v>N/A</v>
      </c>
      <c r="Z252" t="str" s="470" cm="1">
        <f t="array" ref="Z252">IF(B252&gt;0,SUM(W252:Y252),"N/A")</f>
        <v>N/A</v>
      </c>
      <c r="AA252" t="str" s="470" cm="1">
        <f t="array" ref="AA252">_xlfn.IFERROR((Z252-Z251),"N/A")</f>
        <v>N/A</v>
      </c>
      <c r="AB252" s="466"/>
      <c r="AC252" t="str" s="470" cm="1">
        <f t="array" ref="AC252">IF(B252=6,AVERAGE(Z237:Z242),"N/A")</f>
        <v>N/A</v>
      </c>
      <c r="AD252" s="466"/>
      <c r="AE252" s="466"/>
      <c r="AF252" s="466"/>
      <c r="AG252" s="466"/>
      <c r="AH252" s="466"/>
      <c r="AI252" s="466"/>
      <c r="AJ252" s="466"/>
      <c r="AK252" s="466"/>
      <c r="AL252" s="466"/>
      <c r="AM252" s="466"/>
      <c r="AN252" s="473"/>
    </row>
    <row r="253" ht="15" customHeight="1" hidden="1">
      <c r="A253" s="12"/>
      <c r="B253" s="465" cm="1">
        <f t="array" ref="B253">IF(B252=0,0,IF(B252&lt;VLOOKUP(C234,'Boats Data Sheet 2026'!$C$3:$H$57,6,0),B252+1,0))</f>
        <v>0</v>
      </c>
      <c r="C253" t="str" s="468" cm="1">
        <f t="array" ref="C253">IF(B253&gt;0,IF(VLOOKUP(C234,'Boats Data Sheet 2026'!$C$3:$J$57,8,0)="N/A",0,VLOOKUP(C234,'Boats Data Sheet 2026'!$C$3:$J$57,8,0)),"N/A")</f>
        <v>N/A</v>
      </c>
      <c r="D253" t="str" s="468" cm="1">
        <f t="array" ref="D253">IF(B253&gt;7,2,IF(B253=0,"N/A",1))</f>
        <v>N/A</v>
      </c>
      <c r="E253" t="str" s="468" cm="1">
        <f t="array" ref="E253">_xlfn.IFERROR(SUM('Direct Costs 2026'!$C$4:$C$5)*D253,"N/A")</f>
        <v>N/A</v>
      </c>
      <c r="F253" s="466" cm="1">
        <f t="array" ref="F253">_xlfn.IFERROR('Direct Costs 2026'!$C$43*B253,"N/A")</f>
        <v>0</v>
      </c>
      <c r="G253" t="str" s="468" cm="1">
        <f t="array" ref="G253">IF(B253&gt;0,'Direct Costs 2026'!$C$25,"N/A")</f>
        <v>N/A</v>
      </c>
      <c r="H253" t="str" s="468" cm="1">
        <f t="array" ref="H253">IF(B253&gt;0,('Direct Costs 2026'!$C$16+'Direct Costs 2026'!$C$17+'Direct Costs 2026'!$C$14),"N/A")</f>
        <v>N/A</v>
      </c>
      <c r="I253" s="466">
        <v>0</v>
      </c>
      <c r="J253" s="466">
        <v>0</v>
      </c>
      <c r="K253" t="str" s="468" cm="1">
        <f t="array" ref="K253">IF(B253&gt;0,'Direct Costs 2026'!$C$26,"N/A")</f>
        <v>N/A</v>
      </c>
      <c r="L253" t="str" s="468" cm="1">
        <f t="array" ref="L253">IF(B253&gt;0,'Direct Costs 2026'!$C$23,"N/A")</f>
        <v>N/A</v>
      </c>
      <c r="M253" t="str" s="468" cm="1">
        <f t="array" ref="M253">IF(B253&gt;0,'Direct Costs 2026'!$C$45*B253,"N/A")</f>
        <v>N/A</v>
      </c>
      <c r="N253" t="str" s="468" cm="1">
        <f t="array" ref="N253">IF(B253&gt;0,_xlfn.IFERROR(VLOOKUP(C234,'Boats Data Sheet 2026'!$C$3:$I$57,7,0)*'Direct Costs 2026'!$C$36,"N/A"),"N/A")</f>
        <v>N/A</v>
      </c>
      <c r="O253" t="str" s="468" cm="1">
        <f t="array" ref="O253">IF(B253&gt;0,IF(OR(VLOOKUP(C234,'Boats Data Sheet 2026'!$C$3:$F$57,4,0)="Own",VLOOKUP(C234,'Boats Data Sheet 2026'!$C$3:$F$57,4,0)="Management"),('Direct Costs 2026'!$C$37+'Direct Costs 2026'!$C$39),"N/A"),"N/A")</f>
        <v>N/A</v>
      </c>
      <c r="P253" t="str" s="468" cm="1">
        <f t="array" ref="P253">_xlfn.IFERROR('Direct Costs 2026'!$C$27*C253,"N/A")</f>
        <v>N/A</v>
      </c>
      <c r="Q253" t="str" s="468" cm="1">
        <f t="array" ref="Q253">_xlfn.IFERROR(C253+SUM(E253:P253),"N/A")</f>
        <v>N/A</v>
      </c>
      <c r="R253" s="466"/>
      <c r="S253" t="str" s="468" cm="1">
        <f t="array" ref="S253">IF(B253&gt;0,'Allocation OH and Target 2026'!$E$31,"N/A")</f>
        <v>N/A</v>
      </c>
      <c r="T253" t="str" s="468" cm="1">
        <f t="array" ref="T253">IF(B253&gt;0,VLOOKUP(C234,'Allocation OH and Target 2026'!$C$35:$S$87,17,0),"N/A")</f>
        <v>N/A</v>
      </c>
      <c r="U253" t="str" s="468" cm="1">
        <f t="array" ref="U253">_xlfn.IFERROR((S253+T253),"N/A")</f>
        <v>N/A</v>
      </c>
      <c r="V253" s="466"/>
      <c r="W253" t="str" s="468" cm="1">
        <f t="array" ref="W253">_xlfn.IFERROR(U253+Q253,"N/A")</f>
        <v>N/A</v>
      </c>
      <c r="X253" t="str" s="468" cm="1">
        <f t="array" ref="X253">_xlfn.IFERROR(W253*0.5%,"N/A")</f>
        <v>N/A</v>
      </c>
      <c r="Y253" t="str" s="468" cm="1">
        <f t="array" ref="Y253">_xlfn.IFERROR(W253*25%,"N/A")</f>
        <v>N/A</v>
      </c>
      <c r="Z253" t="str" s="470" cm="1">
        <f t="array" ref="Z253">IF(B253&gt;0,SUM(W253:Y253),"N/A")</f>
        <v>N/A</v>
      </c>
      <c r="AA253" t="str" s="470" cm="1">
        <f t="array" ref="AA253">_xlfn.IFERROR((Z253-Z252),"N/A")</f>
        <v>N/A</v>
      </c>
      <c r="AB253" s="466"/>
      <c r="AC253" t="str" s="470" cm="1">
        <f t="array" ref="AC253">IF(B253=6,AVERAGE(Z237:Z242),"N/A")</f>
        <v>N/A</v>
      </c>
      <c r="AD253" s="466"/>
      <c r="AE253" s="466"/>
      <c r="AF253" s="466"/>
      <c r="AG253" s="466"/>
      <c r="AH253" s="466"/>
      <c r="AI253" s="466"/>
      <c r="AJ253" s="466"/>
      <c r="AK253" s="466"/>
      <c r="AL253" s="466"/>
      <c r="AM253" s="466"/>
      <c r="AN253" s="473"/>
    </row>
    <row r="254" ht="15.5" customHeight="1" hidden="1">
      <c r="A254" s="12"/>
      <c r="B254" s="465" cm="1">
        <f t="array" ref="B254">IF(B253=0,0,IF(B253&lt;VLOOKUP(C234,'Boats Data Sheet 2026'!$C$3:$H$57,6,0),B253+1,0))</f>
        <v>0</v>
      </c>
      <c r="C254" t="str" s="468" cm="1">
        <f t="array" ref="C254">IF(B254&gt;0,IF(VLOOKUP(C234,'Boats Data Sheet 2026'!$C$3:$J$57,8,0)="N/A",0,VLOOKUP(C234,'Boats Data Sheet 2026'!$C$3:$J$57,8,0)),"N/A")</f>
        <v>N/A</v>
      </c>
      <c r="D254" t="str" s="468" cm="1">
        <f t="array" ref="D254">IF(B254&gt;7,2,IF(B254=0,"N/A",1))</f>
        <v>N/A</v>
      </c>
      <c r="E254" t="str" s="468" cm="1">
        <f t="array" ref="E254">_xlfn.IFERROR(SUM('Direct Costs 2026'!$C$4:$C$5)*D254,"N/A")</f>
        <v>N/A</v>
      </c>
      <c r="F254" s="466" cm="1">
        <f t="array" ref="F254">_xlfn.IFERROR('Direct Costs 2026'!$C$43*B254,"N/A")</f>
        <v>0</v>
      </c>
      <c r="G254" t="str" s="468" cm="1">
        <f t="array" ref="G254">IF(B254&gt;0,'Direct Costs 2026'!$C$25,"N/A")</f>
        <v>N/A</v>
      </c>
      <c r="H254" t="str" s="468" cm="1">
        <f t="array" ref="H254">IF(B254&gt;0,('Direct Costs 2026'!$C$16+'Direct Costs 2026'!$C$17+'Direct Costs 2026'!$C$14),"N/A")</f>
        <v>N/A</v>
      </c>
      <c r="I254" s="466">
        <v>0</v>
      </c>
      <c r="J254" s="466">
        <v>0</v>
      </c>
      <c r="K254" t="str" s="468" cm="1">
        <f t="array" ref="K254">IF(B254&gt;0,'Direct Costs 2026'!$C$26,"N/A")</f>
        <v>N/A</v>
      </c>
      <c r="L254" t="str" s="468" cm="1">
        <f t="array" ref="L254">IF(B254&gt;0,'Direct Costs 2026'!$C$23,"N/A")</f>
        <v>N/A</v>
      </c>
      <c r="M254" t="str" s="468" cm="1">
        <f t="array" ref="M254">IF(B254&gt;0,'Direct Costs 2026'!$C$45*B254,"N/A")</f>
        <v>N/A</v>
      </c>
      <c r="N254" t="str" s="468" cm="1">
        <f t="array" ref="N254">IF(B254&gt;0,_xlfn.IFERROR(VLOOKUP(C234,'Boats Data Sheet 2026'!$C$3:$I$57,7,0)*'Direct Costs 2026'!$C$36,"N/A"),"N/A")</f>
        <v>N/A</v>
      </c>
      <c r="O254" t="str" s="468" cm="1">
        <f t="array" ref="O254">IF(B254&gt;0,IF(OR(VLOOKUP(C234,'Boats Data Sheet 2026'!$C$3:$F$57,4,0)="Own",VLOOKUP(C234,'Boats Data Sheet 2026'!$C$3:$F$57,4,0)="Management"),('Direct Costs 2026'!$C$37+'Direct Costs 2026'!$C$39),"N/A"),"N/A")</f>
        <v>N/A</v>
      </c>
      <c r="P254" t="str" s="468" cm="1">
        <f t="array" ref="P254">_xlfn.IFERROR('Direct Costs 2026'!$C$27*C254,"N/A")</f>
        <v>N/A</v>
      </c>
      <c r="Q254" t="str" s="468" cm="1">
        <f t="array" ref="Q254">_xlfn.IFERROR(C254+SUM(E254:P254),"N/A")</f>
        <v>N/A</v>
      </c>
      <c r="R254" s="466"/>
      <c r="S254" t="str" s="468" cm="1">
        <f t="array" ref="S254">IF(B254&gt;0,'Allocation OH and Target 2026'!$E$31,"N/A")</f>
        <v>N/A</v>
      </c>
      <c r="T254" t="str" s="468" cm="1">
        <f t="array" ref="T254">IF(B254&gt;0,VLOOKUP(C234,'Allocation OH and Target 2026'!$C$35:$S$87,17,0),"N/A")</f>
        <v>N/A</v>
      </c>
      <c r="U254" t="str" s="468" cm="1">
        <f t="array" ref="U254">_xlfn.IFERROR((S254+T254),"N/A")</f>
        <v>N/A</v>
      </c>
      <c r="V254" s="466"/>
      <c r="W254" t="str" s="468" cm="1">
        <f t="array" ref="W254">_xlfn.IFERROR(U254+Q254,"N/A")</f>
        <v>N/A</v>
      </c>
      <c r="X254" t="str" s="468" cm="1">
        <f t="array" ref="X254">_xlfn.IFERROR(W254*0.5%,"N/A")</f>
        <v>N/A</v>
      </c>
      <c r="Y254" t="str" s="468" cm="1">
        <f t="array" ref="Y254">_xlfn.IFERROR(W254*25%,"N/A")</f>
        <v>N/A</v>
      </c>
      <c r="Z254" t="str" s="470" cm="1">
        <f t="array" ref="Z254">IF(B254&gt;0,SUM(W254:Y254),"N/A")</f>
        <v>N/A</v>
      </c>
      <c r="AA254" t="str" s="470" cm="1">
        <f t="array" ref="AA254">_xlfn.IFERROR((Z254-Z253),"N/A")</f>
        <v>N/A</v>
      </c>
      <c r="AB254" s="466"/>
      <c r="AC254" t="str" s="470" cm="1">
        <f t="array" ref="AC254">IF(B254=6,AVERAGE(Z237:Z242),"N/A")</f>
        <v>N/A</v>
      </c>
      <c r="AD254" s="466"/>
      <c r="AE254" s="466"/>
      <c r="AF254" s="466"/>
      <c r="AG254" s="466"/>
      <c r="AH254" s="466"/>
      <c r="AI254" s="466"/>
      <c r="AJ254" s="466"/>
      <c r="AK254" s="466"/>
      <c r="AL254" s="466"/>
      <c r="AM254" s="466"/>
      <c r="AN254" s="473"/>
    </row>
    <row r="255" ht="14.05" customHeight="1">
      <c r="A255" s="32"/>
      <c r="B255" s="477"/>
      <c r="C255" s="477"/>
      <c r="D255" s="477"/>
      <c r="E255" s="477"/>
      <c r="F255" s="477"/>
      <c r="G255" s="477"/>
      <c r="H255" s="477"/>
      <c r="I255" s="477"/>
      <c r="J255" s="477"/>
      <c r="K255" s="477"/>
      <c r="L255" s="477"/>
      <c r="M255" s="477"/>
      <c r="N255" s="477"/>
      <c r="O255" s="477"/>
      <c r="P255" s="477"/>
      <c r="Q255" s="477"/>
      <c r="R255" s="477"/>
      <c r="S255" s="477"/>
      <c r="T255" s="477"/>
      <c r="U255" s="477"/>
      <c r="V255" s="477"/>
      <c r="W255" s="477"/>
      <c r="X255" s="477"/>
      <c r="Y255" s="477"/>
      <c r="Z255" s="477"/>
      <c r="AA255" s="477"/>
      <c r="AB255" s="477"/>
      <c r="AC255" s="477"/>
      <c r="AD255" s="477"/>
      <c r="AE255" s="477"/>
      <c r="AF255" s="477"/>
      <c r="AG255" s="477"/>
      <c r="AH255" s="477"/>
      <c r="AI255" s="477"/>
      <c r="AJ255" s="477"/>
      <c r="AK255" s="477"/>
      <c r="AL255" s="477"/>
      <c r="AM255" s="477"/>
      <c r="AN255" s="478"/>
    </row>
    <row r="256" ht="15" customHeight="1">
      <c r="A256" s="32"/>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442"/>
    </row>
    <row r="257" ht="15.5" customHeight="1">
      <c r="A257" s="395">
        <v>13</v>
      </c>
      <c r="B257" t="s" s="396">
        <v>506</v>
      </c>
      <c r="C257" t="s" s="397">
        <v>195</v>
      </c>
      <c r="D257" s="398"/>
      <c r="E257" s="398"/>
      <c r="F257" s="398"/>
      <c r="G257" s="398"/>
      <c r="H257" s="398"/>
      <c r="I257" s="398"/>
      <c r="J257" s="398"/>
      <c r="K257" s="398"/>
      <c r="L257" s="398"/>
      <c r="M257" s="398"/>
      <c r="N257" s="398"/>
      <c r="O257" s="398"/>
      <c r="P257" s="398"/>
      <c r="Q257" s="398"/>
      <c r="R257" s="399"/>
      <c r="S257" s="398"/>
      <c r="T257" s="398"/>
      <c r="U257" s="398"/>
      <c r="V257" s="399"/>
      <c r="W257" s="398"/>
      <c r="X257" s="398"/>
      <c r="Y257" s="398"/>
      <c r="Z257" s="398"/>
      <c r="AA257" s="398"/>
      <c r="AB257" s="399"/>
      <c r="AC257" s="398"/>
      <c r="AD257" s="399"/>
      <c r="AE257" t="s" s="397">
        <v>508</v>
      </c>
      <c r="AF257" s="401" cm="1">
        <f t="array" ref="AF257">AVERAGE(Q260:Q265)</f>
        <v>16691500</v>
      </c>
      <c r="AG257" t="s" s="400">
        <v>509</v>
      </c>
      <c r="AH257" s="401" cm="1">
        <f t="array" ref="AH257">AVERAGE(Q266:Q273)-AF257</f>
        <v>1764428.57142857</v>
      </c>
      <c r="AI257" t="s" s="400">
        <v>510</v>
      </c>
      <c r="AJ257" s="401" cm="1">
        <f t="array" ref="AJ257">AVERAGE(Y260:Y267)</f>
        <v>5014346.16442453</v>
      </c>
      <c r="AK257" t="s" s="397">
        <v>511</v>
      </c>
      <c r="AL257" s="401" cm="1">
        <f t="array" ref="AL257">AVERAGE(W260:W265)</f>
        <v>19791947.1576981</v>
      </c>
      <c r="AM257" t="s" s="400">
        <v>512</v>
      </c>
      <c r="AN257" s="402" cm="1">
        <f t="array" ref="AN257">W260</f>
        <v>19401947.1576981</v>
      </c>
    </row>
    <row r="258" ht="15" customHeight="1">
      <c r="A258" s="12"/>
      <c r="B258" s="403"/>
      <c r="C258" t="s" s="404">
        <v>513</v>
      </c>
      <c r="D258" s="405"/>
      <c r="E258" s="405"/>
      <c r="F258" s="405"/>
      <c r="G258" s="405"/>
      <c r="H258" s="405"/>
      <c r="I258" s="405"/>
      <c r="J258" s="405"/>
      <c r="K258" s="405"/>
      <c r="L258" s="405"/>
      <c r="M258" s="405"/>
      <c r="N258" s="405"/>
      <c r="O258" s="405"/>
      <c r="P258" s="405"/>
      <c r="Q258" s="406"/>
      <c r="R258" s="407"/>
      <c r="S258" t="s" s="404">
        <v>514</v>
      </c>
      <c r="T258" s="405"/>
      <c r="U258" s="406"/>
      <c r="V258" s="407"/>
      <c r="W258" t="s" s="404">
        <v>515</v>
      </c>
      <c r="X258" s="405"/>
      <c r="Y258" s="405"/>
      <c r="Z258" s="405"/>
      <c r="AA258" s="405"/>
      <c r="AB258" s="408"/>
      <c r="AC258" s="443"/>
      <c r="AD258" s="410"/>
      <c r="AE258" s="443"/>
      <c r="AF258" s="443"/>
      <c r="AG258" s="443"/>
      <c r="AH258" s="443"/>
      <c r="AI258" s="443"/>
      <c r="AJ258" s="443"/>
      <c r="AK258" s="443"/>
      <c r="AL258" s="414"/>
      <c r="AM258" s="415"/>
      <c r="AN258" s="414"/>
    </row>
    <row r="259" ht="46.25" customHeight="1">
      <c r="A259" s="187"/>
      <c r="B259" t="s" s="416">
        <v>517</v>
      </c>
      <c r="C259" t="s" s="417">
        <v>518</v>
      </c>
      <c r="D259" t="s" s="417">
        <v>519</v>
      </c>
      <c r="E259" t="s" s="417">
        <v>520</v>
      </c>
      <c r="F259" t="s" s="159">
        <v>521</v>
      </c>
      <c r="G259" t="s" s="159">
        <v>522</v>
      </c>
      <c r="H259" t="s" s="159">
        <v>553</v>
      </c>
      <c r="I259" t="s" s="159">
        <v>524</v>
      </c>
      <c r="J259" t="s" s="159">
        <v>525</v>
      </c>
      <c r="K259" t="s" s="159">
        <v>526</v>
      </c>
      <c r="L259" t="s" s="159">
        <v>527</v>
      </c>
      <c r="M259" t="s" s="159">
        <v>528</v>
      </c>
      <c r="N259" t="s" s="159">
        <v>529</v>
      </c>
      <c r="O259" t="s" s="159">
        <v>530</v>
      </c>
      <c r="P259" t="s" s="159">
        <v>531</v>
      </c>
      <c r="Q259" t="s" s="159">
        <v>532</v>
      </c>
      <c r="R259" s="418"/>
      <c r="S259" t="s" s="159">
        <v>533</v>
      </c>
      <c r="T259" t="s" s="159">
        <v>534</v>
      </c>
      <c r="U259" t="s" s="159">
        <v>535</v>
      </c>
      <c r="V259" s="418"/>
      <c r="W259" t="s" s="159">
        <v>536</v>
      </c>
      <c r="X259" t="s" s="159">
        <v>537</v>
      </c>
      <c r="Y259" t="s" s="159">
        <v>538</v>
      </c>
      <c r="Z259" t="s" s="159">
        <v>539</v>
      </c>
      <c r="AA259" t="s" s="159">
        <v>121</v>
      </c>
      <c r="AB259" s="419"/>
      <c r="AC259" t="s" s="159">
        <v>39</v>
      </c>
      <c r="AD259" s="419"/>
      <c r="AE259" s="77"/>
      <c r="AF259" s="77"/>
      <c r="AG259" s="77"/>
      <c r="AH259" s="77"/>
      <c r="AI259" s="77"/>
      <c r="AJ259" s="77"/>
      <c r="AK259" s="77"/>
      <c r="AL259" s="77"/>
      <c r="AM259" s="77"/>
      <c r="AN259" s="78"/>
    </row>
    <row r="260" ht="15" customHeight="1">
      <c r="A260" s="12"/>
      <c r="B260" s="420">
        <v>1</v>
      </c>
      <c r="C260" s="421" cm="1">
        <f t="array" ref="C260">IF(B260&gt;0,IF(VLOOKUP(C257,'Boats Data Sheet 2026'!$C$3:$J$57,8,0)="N/A",0,VLOOKUP(C257,'Boats Data Sheet 2026'!$C$3:$J$57,8,0)),"N/A")</f>
        <v>14500000</v>
      </c>
      <c r="D260" s="422" cm="1">
        <f t="array" ref="D260">IF(B260&gt;7,2,IF(B260=0,"N/A",1))</f>
        <v>1</v>
      </c>
      <c r="E260" s="421" cm="1">
        <f t="array" ref="E260">_xlfn.IFERROR(SUM('Direct Costs 2026'!$C$4:$C$5)*D260,"N/A")</f>
        <v>875500</v>
      </c>
      <c r="F260" s="423" cm="1">
        <f t="array" ref="F260">_xlfn.IFERROR('Direct Costs 2026'!$C$43*B260,"N/A")</f>
        <v>6000</v>
      </c>
      <c r="G260" s="423" cm="1">
        <f t="array" ref="G260">IF(B260&gt;0,'Direct Costs 2026'!$C$25,"N/A")</f>
        <v>90000</v>
      </c>
      <c r="H260" s="423" cm="1">
        <f t="array" ref="H260">IF(B260&gt;0,'Direct Costs 2026'!$C$15+'Direct Costs 2026'!$C$14,"N/A")</f>
        <v>230000</v>
      </c>
      <c r="I260" s="423">
        <v>0</v>
      </c>
      <c r="J260" s="423">
        <v>0</v>
      </c>
      <c r="K260" s="423" cm="1">
        <f t="array" ref="K260">IF(B260&gt;0,'Direct Costs 2026'!$C$26,"N/A")</f>
        <v>20000</v>
      </c>
      <c r="L260" s="423" cm="1">
        <f t="array" ref="L260">IF(B260&gt;0,'Direct Costs 2026'!$C$23,"N/A")</f>
        <v>140000</v>
      </c>
      <c r="M260" s="423" cm="1">
        <f t="array" ref="M260">IF(B260&gt;0,'Direct Costs 2026'!$C$45*B260,"N/A")</f>
        <v>150000</v>
      </c>
      <c r="N260" t="str" s="431" cm="1">
        <f t="array" ref="N260">IF(B260&gt;0,_xlfn.IFERROR(VLOOKUP(C257,'Boats Data Sheet 2026'!$C$3:$I$57,7,0)*'Direct Costs 2026'!$C$36,"N/A"),"N/A")</f>
        <v>N/A</v>
      </c>
      <c r="O260" t="str" s="431" cm="1">
        <f t="array" ref="O260">IF(B260&gt;0,IF(OR(VLOOKUP(C257,'Boats Data Sheet 2026'!$C$3:$F$57,4,0)="Own",VLOOKUP(C257,'Boats Data Sheet 2026'!$C$3:$F$57,4,0)="Management"),('Direct Costs 2026'!$C$37+'Direct Costs 2026'!$C$39),"N/A"),"N/A")</f>
        <v>N/A</v>
      </c>
      <c r="P260" s="423" cm="1">
        <f t="array" ref="P260">_xlfn.IFERROR('Direct Costs 2026'!$C$27*C260,"N/A")</f>
        <v>290000</v>
      </c>
      <c r="Q260" s="423" cm="1">
        <f t="array" ref="Q260">_xlfn.IFERROR(C260+SUM(E260:P260),"N/A")</f>
        <v>16301500</v>
      </c>
      <c r="R260" s="424"/>
      <c r="S260" s="423" cm="1">
        <f t="array" ref="S260">IF(B260&gt;0,'Allocation OH and Target 2026'!$E$31,"N/A")</f>
        <v>3100447.15769812</v>
      </c>
      <c r="T260" s="423" cm="1">
        <f t="array" ref="T260">IF(B260&gt;0,VLOOKUP(C257,'Allocation OH and Target 2026'!$C$35:$S$87,16,0),"N/A")</f>
        <v>0</v>
      </c>
      <c r="U260" s="423" cm="1">
        <f t="array" ref="U260">_xlfn.IFERROR((S260+T260),"N/A")</f>
        <v>3100447.15769812</v>
      </c>
      <c r="V260" s="424"/>
      <c r="W260" s="423" cm="1">
        <f t="array" ref="W260">_xlfn.IFERROR(U260+Q260,"N/A")</f>
        <v>19401947.1576981</v>
      </c>
      <c r="X260" s="423" cm="1">
        <f t="array" ref="X260">_xlfn.IFERROR(W260*0.5%,"N/A")</f>
        <v>97009.735788490507</v>
      </c>
      <c r="Y260" s="423" cm="1">
        <f t="array" ref="Y260">_xlfn.IFERROR(W260*25%,"N/A")</f>
        <v>4850486.78942453</v>
      </c>
      <c r="Z260" s="425" cm="1">
        <f t="array" ref="Z260">IF(B260&gt;0,SUM(W260:Y260),"N/A")</f>
        <v>24349443.6829111</v>
      </c>
      <c r="AA260" s="425">
        <v>0</v>
      </c>
      <c r="AB260" s="424"/>
      <c r="AC260" t="str" s="426" cm="1">
        <f t="array" ref="AC260">IF(B260=6,AVERAGE(Z260:Z265),"N/A")</f>
        <v>N/A</v>
      </c>
      <c r="AD260" s="424"/>
      <c r="AE260" s="423"/>
      <c r="AF260" s="423"/>
      <c r="AG260" s="423"/>
      <c r="AH260" s="423"/>
      <c r="AI260" s="423"/>
      <c r="AJ260" s="423"/>
      <c r="AK260" s="423"/>
      <c r="AL260" s="423"/>
      <c r="AM260" s="423"/>
      <c r="AN260" s="427"/>
    </row>
    <row r="261" ht="15" customHeight="1">
      <c r="A261" s="12"/>
      <c r="B261" s="428" cm="1">
        <f t="array" ref="B261">IF(B260=0,0,IF(B260&lt;VLOOKUP(C257,'Boats Data Sheet 2026'!$C$3:$H$57,6,0),B260+1,0))</f>
        <v>2</v>
      </c>
      <c r="C261" s="423" cm="1">
        <f t="array" ref="C261">IF(B261&gt;0,IF(VLOOKUP(C257,'Boats Data Sheet 2026'!$C$3:$J$57,8,0)="N/A",0,VLOOKUP(C257,'Boats Data Sheet 2026'!$C$3:$J$57,8,0)),"N/A")</f>
        <v>14500000</v>
      </c>
      <c r="D261" s="429" cm="1">
        <f t="array" ref="D261">IF(B261&gt;7,2,IF(B261=0,"N/A",1))</f>
        <v>1</v>
      </c>
      <c r="E261" s="423" cm="1">
        <f t="array" ref="E261">_xlfn.IFERROR(SUM('Direct Costs 2026'!$C$4:$C$5)*D261,"N/A")</f>
        <v>875500</v>
      </c>
      <c r="F261" s="423" cm="1">
        <f t="array" ref="F261">_xlfn.IFERROR('Direct Costs 2026'!$C$43*B261,"N/A")</f>
        <v>12000</v>
      </c>
      <c r="G261" s="423" cm="1">
        <f t="array" ref="G261">IF(B261&gt;0,'Direct Costs 2026'!$C$25,"N/A")</f>
        <v>90000</v>
      </c>
      <c r="H261" s="423" cm="1">
        <f t="array" ref="H261">IF(B261&gt;0,'Direct Costs 2026'!$C$15+'Direct Costs 2026'!$C$14,"N/A")</f>
        <v>230000</v>
      </c>
      <c r="I261" s="423">
        <v>0</v>
      </c>
      <c r="J261" s="423">
        <v>0</v>
      </c>
      <c r="K261" s="423" cm="1">
        <f t="array" ref="K261">IF(B261&gt;0,'Direct Costs 2026'!$C$26,"N/A")</f>
        <v>20000</v>
      </c>
      <c r="L261" s="423" cm="1">
        <f t="array" ref="L261">IF(B261&gt;0,'Direct Costs 2026'!$C$23,"N/A")</f>
        <v>140000</v>
      </c>
      <c r="M261" s="423" cm="1">
        <f t="array" ref="M261">IF(B261&gt;0,'Direct Costs 2026'!$C$45*B261,"N/A")</f>
        <v>300000</v>
      </c>
      <c r="N261" t="str" s="431" cm="1">
        <f t="array" ref="N261">IF(B261&gt;0,_xlfn.IFERROR(VLOOKUP(C257,'Boats Data Sheet 2026'!$C$3:$I$57,7,0)*'Direct Costs 2026'!$C$36,"N/A"),"N/A")</f>
        <v>N/A</v>
      </c>
      <c r="O261" t="str" s="431" cm="1">
        <f t="array" ref="O261">IF(B261&gt;0,IF(OR(VLOOKUP(C257,'Boats Data Sheet 2026'!$C$3:$F$57,4,0)="Own",VLOOKUP(C257,'Boats Data Sheet 2026'!$C$3:$F$57,4,0)="Management"),('Direct Costs 2026'!$C$37+'Direct Costs 2026'!$C$39),"N/A"),"N/A")</f>
        <v>N/A</v>
      </c>
      <c r="P261" s="423" cm="1">
        <f t="array" ref="P261">_xlfn.IFERROR('Direct Costs 2026'!$C$27*C261,"N/A")</f>
        <v>290000</v>
      </c>
      <c r="Q261" s="423" cm="1">
        <f t="array" ref="Q261">_xlfn.IFERROR(C261+SUM(E261:P261),"N/A")</f>
        <v>16457500</v>
      </c>
      <c r="R261" s="424"/>
      <c r="S261" s="423" cm="1">
        <f t="array" ref="S261">IF(B261&gt;0,'Allocation OH and Target 2026'!$E$31,"N/A")</f>
        <v>3100447.15769812</v>
      </c>
      <c r="T261" s="423" cm="1">
        <f t="array" ref="T261">IF(B261&gt;0,VLOOKUP(C257,'Allocation OH and Target 2026'!$C$35:$S$87,16,0),"N/A")</f>
        <v>0</v>
      </c>
      <c r="U261" s="423" cm="1">
        <f t="array" ref="U261">_xlfn.IFERROR((S261+T261),"N/A")</f>
        <v>3100447.15769812</v>
      </c>
      <c r="V261" s="424"/>
      <c r="W261" s="423" cm="1">
        <f t="array" ref="W261">_xlfn.IFERROR(U261+Q261,"N/A")</f>
        <v>19557947.1576981</v>
      </c>
      <c r="X261" s="423" cm="1">
        <f t="array" ref="X261">_xlfn.IFERROR(W261*0.5%,"N/A")</f>
        <v>97789.735788490507</v>
      </c>
      <c r="Y261" s="423" cm="1">
        <f t="array" ref="Y261">_xlfn.IFERROR(W261*25%,"N/A")</f>
        <v>4889486.78942453</v>
      </c>
      <c r="Z261" s="425" cm="1">
        <f t="array" ref="Z261">IF(B261&gt;0,SUM(W261:Y261),"N/A")</f>
        <v>24545223.6829111</v>
      </c>
      <c r="AA261" s="425" cm="1">
        <f t="array" ref="AA261">_xlfn.IFERROR((Z261-Z260),"N/A")</f>
        <v>195780</v>
      </c>
      <c r="AB261" s="424"/>
      <c r="AC261" t="str" s="426" cm="1">
        <f t="array" ref="AC261">IF(B261=6,AVERAGE(Z260:Z265),"N/A")</f>
        <v>N/A</v>
      </c>
      <c r="AD261" s="424"/>
      <c r="AE261" s="423"/>
      <c r="AF261" s="423"/>
      <c r="AG261" s="423"/>
      <c r="AH261" s="423"/>
      <c r="AI261" s="423"/>
      <c r="AJ261" s="423"/>
      <c r="AK261" s="423"/>
      <c r="AL261" s="423"/>
      <c r="AM261" s="423"/>
      <c r="AN261" s="427"/>
    </row>
    <row r="262" ht="15" customHeight="1">
      <c r="A262" s="12"/>
      <c r="B262" s="428" cm="1">
        <f t="array" ref="B262">IF(B261=0,0,IF(B261&lt;VLOOKUP(C257,'Boats Data Sheet 2026'!$C$3:$H$57,6,0),B261+1,0))</f>
        <v>3</v>
      </c>
      <c r="C262" s="423" cm="1">
        <f t="array" ref="C262">IF(B262&gt;0,IF(VLOOKUP(C257,'Boats Data Sheet 2026'!$C$3:$J$57,8,0)="N/A",0,VLOOKUP(C257,'Boats Data Sheet 2026'!$C$3:$J$57,8,0)),"N/A")</f>
        <v>14500000</v>
      </c>
      <c r="D262" s="429" cm="1">
        <f t="array" ref="D262">IF(B262&gt;7,2,IF(B262=0,"N/A",1))</f>
        <v>1</v>
      </c>
      <c r="E262" s="423" cm="1">
        <f t="array" ref="E262">_xlfn.IFERROR(SUM('Direct Costs 2026'!$C$4:$C$5)*D262,"N/A")</f>
        <v>875500</v>
      </c>
      <c r="F262" s="423" cm="1">
        <f t="array" ref="F262">_xlfn.IFERROR('Direct Costs 2026'!$C$43*B262,"N/A")</f>
        <v>18000</v>
      </c>
      <c r="G262" s="423" cm="1">
        <f t="array" ref="G262">IF(B262&gt;0,'Direct Costs 2026'!$C$25,"N/A")</f>
        <v>90000</v>
      </c>
      <c r="H262" s="423" cm="1">
        <f t="array" ref="H262">IF(B262&gt;0,'Direct Costs 2026'!$C$15+'Direct Costs 2026'!$C$14,"N/A")</f>
        <v>230000</v>
      </c>
      <c r="I262" s="423">
        <v>0</v>
      </c>
      <c r="J262" s="423">
        <v>0</v>
      </c>
      <c r="K262" s="423" cm="1">
        <f t="array" ref="K262">IF(B262&gt;0,'Direct Costs 2026'!$C$26,"N/A")</f>
        <v>20000</v>
      </c>
      <c r="L262" s="423" cm="1">
        <f t="array" ref="L262">IF(B262&gt;0,'Direct Costs 2026'!$C$23,"N/A")</f>
        <v>140000</v>
      </c>
      <c r="M262" s="423" cm="1">
        <f t="array" ref="M262">IF(B262&gt;0,'Direct Costs 2026'!$C$45*B262,"N/A")</f>
        <v>450000</v>
      </c>
      <c r="N262" t="str" s="431" cm="1">
        <f t="array" ref="N262">IF(B262&gt;0,_xlfn.IFERROR(VLOOKUP(C257,'Boats Data Sheet 2026'!$C$3:$I$57,7,0)*'Direct Costs 2026'!$C$36,"N/A"),"N/A")</f>
        <v>N/A</v>
      </c>
      <c r="O262" t="str" s="431" cm="1">
        <f t="array" ref="O262">IF(B262&gt;0,IF(OR(VLOOKUP(C257,'Boats Data Sheet 2026'!$C$3:$F$57,4,0)="Own",VLOOKUP(C257,'Boats Data Sheet 2026'!$C$3:$F$57,4,0)="Management"),('Direct Costs 2026'!$C$37+'Direct Costs 2026'!$C$39),"N/A"),"N/A")</f>
        <v>N/A</v>
      </c>
      <c r="P262" s="423" cm="1">
        <f t="array" ref="P262">_xlfn.IFERROR('Direct Costs 2026'!$C$27*C262,"N/A")</f>
        <v>290000</v>
      </c>
      <c r="Q262" s="423" cm="1">
        <f t="array" ref="Q262">_xlfn.IFERROR(C262+SUM(E262:P262),"N/A")</f>
        <v>16613500</v>
      </c>
      <c r="R262" s="424"/>
      <c r="S262" s="423" cm="1">
        <f t="array" ref="S262">IF(B262&gt;0,'Allocation OH and Target 2026'!$E$31,"N/A")</f>
        <v>3100447.15769812</v>
      </c>
      <c r="T262" s="423" cm="1">
        <f t="array" ref="T262">IF(B262&gt;0,VLOOKUP(C257,'Allocation OH and Target 2026'!$C$35:$S$87,16,0),"N/A")</f>
        <v>0</v>
      </c>
      <c r="U262" s="423" cm="1">
        <f t="array" ref="U262">_xlfn.IFERROR((S262+T262),"N/A")</f>
        <v>3100447.15769812</v>
      </c>
      <c r="V262" s="424"/>
      <c r="W262" s="423" cm="1">
        <f t="array" ref="W262">_xlfn.IFERROR(U262+Q262,"N/A")</f>
        <v>19713947.1576981</v>
      </c>
      <c r="X262" s="423" cm="1">
        <f t="array" ref="X262">_xlfn.IFERROR(W262*0.5%,"N/A")</f>
        <v>98569.735788490507</v>
      </c>
      <c r="Y262" s="423" cm="1">
        <f t="array" ref="Y262">_xlfn.IFERROR(W262*25%,"N/A")</f>
        <v>4928486.78942453</v>
      </c>
      <c r="Z262" s="425" cm="1">
        <f t="array" ref="Z262">IF(B262&gt;0,SUM(W262:Y262),"N/A")</f>
        <v>24741003.6829111</v>
      </c>
      <c r="AA262" s="425" cm="1">
        <f t="array" ref="AA262">_xlfn.IFERROR((Z262-Z261),"N/A")</f>
        <v>195780</v>
      </c>
      <c r="AB262" s="424"/>
      <c r="AC262" t="str" s="426" cm="1">
        <f t="array" ref="AC262">IF(B262=6,AVERAGE(Z260:Z265),"N/A")</f>
        <v>N/A</v>
      </c>
      <c r="AD262" s="424"/>
      <c r="AE262" s="423"/>
      <c r="AF262" s="423"/>
      <c r="AG262" s="423"/>
      <c r="AH262" s="423"/>
      <c r="AI262" s="423"/>
      <c r="AJ262" s="423"/>
      <c r="AK262" s="423"/>
      <c r="AL262" s="423"/>
      <c r="AM262" s="423"/>
      <c r="AN262" s="427"/>
    </row>
    <row r="263" ht="15" customHeight="1">
      <c r="A263" s="12"/>
      <c r="B263" s="428" cm="1">
        <f t="array" ref="B263">IF(B262=0,0,IF(B262&lt;VLOOKUP(C257,'Boats Data Sheet 2026'!$C$3:$H$57,6,0),B262+1,0))</f>
        <v>4</v>
      </c>
      <c r="C263" s="423" cm="1">
        <f t="array" ref="C263">IF(B263&gt;0,IF(VLOOKUP(C257,'Boats Data Sheet 2026'!$C$3:$J$57,8,0)="N/A",0,VLOOKUP(C257,'Boats Data Sheet 2026'!$C$3:$J$57,8,0)),"N/A")</f>
        <v>14500000</v>
      </c>
      <c r="D263" s="429" cm="1">
        <f t="array" ref="D263">IF(B263&gt;7,2,IF(B263=0,"N/A",1))</f>
        <v>1</v>
      </c>
      <c r="E263" s="423" cm="1">
        <f t="array" ref="E263">_xlfn.IFERROR(SUM('Direct Costs 2026'!$C$4:$C$5)*D263,"N/A")</f>
        <v>875500</v>
      </c>
      <c r="F263" s="423" cm="1">
        <f t="array" ref="F263">_xlfn.IFERROR('Direct Costs 2026'!$C$43*B263,"N/A")</f>
        <v>24000</v>
      </c>
      <c r="G263" s="423" cm="1">
        <f t="array" ref="G263">IF(B263&gt;0,'Direct Costs 2026'!$C$25,"N/A")</f>
        <v>90000</v>
      </c>
      <c r="H263" s="423" cm="1">
        <f t="array" ref="H263">IF(B263&gt;0,'Direct Costs 2026'!$C$15+'Direct Costs 2026'!$C$14,"N/A")</f>
        <v>230000</v>
      </c>
      <c r="I263" s="423">
        <v>0</v>
      </c>
      <c r="J263" s="423">
        <v>0</v>
      </c>
      <c r="K263" s="423" cm="1">
        <f t="array" ref="K263">IF(B263&gt;0,'Direct Costs 2026'!$C$26,"N/A")</f>
        <v>20000</v>
      </c>
      <c r="L263" s="423" cm="1">
        <f t="array" ref="L263">IF(B263&gt;0,'Direct Costs 2026'!$C$23,"N/A")</f>
        <v>140000</v>
      </c>
      <c r="M263" s="423" cm="1">
        <f t="array" ref="M263">IF(B263&gt;0,'Direct Costs 2026'!$C$45*B263,"N/A")</f>
        <v>600000</v>
      </c>
      <c r="N263" t="str" s="431" cm="1">
        <f t="array" ref="N263">IF(B263&gt;0,_xlfn.IFERROR(VLOOKUP(C257,'Boats Data Sheet 2026'!$C$3:$I$57,7,0)*'Direct Costs 2026'!$C$36,"N/A"),"N/A")</f>
        <v>N/A</v>
      </c>
      <c r="O263" t="str" s="431" cm="1">
        <f t="array" ref="O263">IF(B263&gt;0,IF(OR(VLOOKUP(C257,'Boats Data Sheet 2026'!$C$3:$F$57,4,0)="Own",VLOOKUP(C257,'Boats Data Sheet 2026'!$C$3:$F$57,4,0)="Management"),('Direct Costs 2026'!$C$37+'Direct Costs 2026'!$C$39),"N/A"),"N/A")</f>
        <v>N/A</v>
      </c>
      <c r="P263" s="423" cm="1">
        <f t="array" ref="P263">_xlfn.IFERROR('Direct Costs 2026'!$C$27*C263,"N/A")</f>
        <v>290000</v>
      </c>
      <c r="Q263" s="423" cm="1">
        <f t="array" ref="Q263">_xlfn.IFERROR(C263+SUM(E263:P263),"N/A")</f>
        <v>16769500</v>
      </c>
      <c r="R263" s="424"/>
      <c r="S263" s="423" cm="1">
        <f t="array" ref="S263">IF(B263&gt;0,'Allocation OH and Target 2026'!$E$31,"N/A")</f>
        <v>3100447.15769812</v>
      </c>
      <c r="T263" s="423" cm="1">
        <f t="array" ref="T263">IF(B263&gt;0,VLOOKUP(C257,'Allocation OH and Target 2026'!$C$35:$S$87,16,0),"N/A")</f>
        <v>0</v>
      </c>
      <c r="U263" s="423" cm="1">
        <f t="array" ref="U263">_xlfn.IFERROR((S263+T263),"N/A")</f>
        <v>3100447.15769812</v>
      </c>
      <c r="V263" s="424"/>
      <c r="W263" s="423" cm="1">
        <f t="array" ref="W263">_xlfn.IFERROR(U263+Q263,"N/A")</f>
        <v>19869947.1576981</v>
      </c>
      <c r="X263" s="423" cm="1">
        <f t="array" ref="X263">_xlfn.IFERROR(W263*0.5%,"N/A")</f>
        <v>99349.735788490507</v>
      </c>
      <c r="Y263" s="423" cm="1">
        <f t="array" ref="Y263">_xlfn.IFERROR(W263*25%,"N/A")</f>
        <v>4967486.78942453</v>
      </c>
      <c r="Z263" s="425" cm="1">
        <f t="array" ref="Z263">IF(B263&gt;0,SUM(W263:Y263),"N/A")</f>
        <v>24936783.6829111</v>
      </c>
      <c r="AA263" s="425" cm="1">
        <f t="array" ref="AA263">_xlfn.IFERROR((Z263-Z262),"N/A")</f>
        <v>195780</v>
      </c>
      <c r="AB263" s="424"/>
      <c r="AC263" t="str" s="426" cm="1">
        <f t="array" ref="AC263">IF(B263=6,AVERAGE(Z260:Z265),"N/A")</f>
        <v>N/A</v>
      </c>
      <c r="AD263" s="424"/>
      <c r="AE263" s="423"/>
      <c r="AF263" s="423"/>
      <c r="AG263" s="423"/>
      <c r="AH263" s="423"/>
      <c r="AI263" s="423"/>
      <c r="AJ263" s="423"/>
      <c r="AK263" s="423"/>
      <c r="AL263" s="423"/>
      <c r="AM263" s="423"/>
      <c r="AN263" s="427"/>
    </row>
    <row r="264" ht="15" customHeight="1">
      <c r="A264" s="12"/>
      <c r="B264" s="428" cm="1">
        <f t="array" ref="B264">IF(B263=0,0,IF(B263&lt;VLOOKUP(C257,'Boats Data Sheet 2026'!$C$3:$H$57,6,0),B263+1,0))</f>
        <v>5</v>
      </c>
      <c r="C264" s="423" cm="1">
        <f t="array" ref="C264">IF(B264&gt;0,IF(VLOOKUP(C257,'Boats Data Sheet 2026'!$C$3:$J$57,8,0)="N/A",0,VLOOKUP(C257,'Boats Data Sheet 2026'!$C$3:$J$57,8,0)),"N/A")</f>
        <v>14500000</v>
      </c>
      <c r="D264" s="429" cm="1">
        <f t="array" ref="D264">IF(B264&gt;7,2,IF(B264=0,"N/A",1))</f>
        <v>1</v>
      </c>
      <c r="E264" s="423" cm="1">
        <f t="array" ref="E264">_xlfn.IFERROR(SUM('Direct Costs 2026'!$C$4:$C$5)*D264,"N/A")</f>
        <v>875500</v>
      </c>
      <c r="F264" s="423" cm="1">
        <f t="array" ref="F264">_xlfn.IFERROR('Direct Costs 2026'!$C$43*B264,"N/A")</f>
        <v>30000</v>
      </c>
      <c r="G264" s="423" cm="1">
        <f t="array" ref="G264">IF(B264&gt;0,'Direct Costs 2026'!$C$25,"N/A")</f>
        <v>90000</v>
      </c>
      <c r="H264" s="423" cm="1">
        <f t="array" ref="H264">IF(B264&gt;0,'Direct Costs 2026'!$C$15+'Direct Costs 2026'!$C$14,"N/A")</f>
        <v>230000</v>
      </c>
      <c r="I264" s="423">
        <v>0</v>
      </c>
      <c r="J264" s="423">
        <v>0</v>
      </c>
      <c r="K264" s="423" cm="1">
        <f t="array" ref="K264">IF(B264&gt;0,'Direct Costs 2026'!$C$26,"N/A")</f>
        <v>20000</v>
      </c>
      <c r="L264" s="423" cm="1">
        <f t="array" ref="L264">IF(B264&gt;0,'Direct Costs 2026'!$C$23,"N/A")</f>
        <v>140000</v>
      </c>
      <c r="M264" s="423" cm="1">
        <f t="array" ref="M264">IF(B264&gt;0,'Direct Costs 2026'!$C$45*B264,"N/A")</f>
        <v>750000</v>
      </c>
      <c r="N264" t="str" s="431" cm="1">
        <f t="array" ref="N264">IF(B264&gt;0,_xlfn.IFERROR(VLOOKUP(C257,'Boats Data Sheet 2026'!$C$3:$I$57,7,0)*'Direct Costs 2026'!$C$36,"N/A"),"N/A")</f>
        <v>N/A</v>
      </c>
      <c r="O264" t="str" s="431" cm="1">
        <f t="array" ref="O264">IF(B264&gt;0,IF(OR(VLOOKUP(C257,'Boats Data Sheet 2026'!$C$3:$F$57,4,0)="Own",VLOOKUP(C257,'Boats Data Sheet 2026'!$C$3:$F$57,4,0)="Management"),('Direct Costs 2026'!$C$37+'Direct Costs 2026'!$C$39),"N/A"),"N/A")</f>
        <v>N/A</v>
      </c>
      <c r="P264" s="423" cm="1">
        <f t="array" ref="P264">_xlfn.IFERROR('Direct Costs 2026'!$C$27*C264,"N/A")</f>
        <v>290000</v>
      </c>
      <c r="Q264" s="423" cm="1">
        <f t="array" ref="Q264">_xlfn.IFERROR(C264+SUM(E264:P264),"N/A")</f>
        <v>16925500</v>
      </c>
      <c r="R264" s="424"/>
      <c r="S264" s="423" cm="1">
        <f t="array" ref="S264">IF(B264&gt;0,'Allocation OH and Target 2026'!$E$31,"N/A")</f>
        <v>3100447.15769812</v>
      </c>
      <c r="T264" s="423" cm="1">
        <f t="array" ref="T264">IF(B264&gt;0,VLOOKUP(C257,'Allocation OH and Target 2026'!$C$35:$S$87,16,0),"N/A")</f>
        <v>0</v>
      </c>
      <c r="U264" s="423" cm="1">
        <f t="array" ref="U264">_xlfn.IFERROR((S264+T264),"N/A")</f>
        <v>3100447.15769812</v>
      </c>
      <c r="V264" s="424"/>
      <c r="W264" s="423" cm="1">
        <f t="array" ref="W264">_xlfn.IFERROR(U264+Q264,"N/A")</f>
        <v>20025947.1576981</v>
      </c>
      <c r="X264" s="423" cm="1">
        <f t="array" ref="X264">_xlfn.IFERROR(W264*0.5%,"N/A")</f>
        <v>100129.735788491</v>
      </c>
      <c r="Y264" s="423" cm="1">
        <f t="array" ref="Y264">_xlfn.IFERROR(W264*25%,"N/A")</f>
        <v>5006486.78942453</v>
      </c>
      <c r="Z264" s="425" cm="1">
        <f t="array" ref="Z264">IF(B264&gt;0,SUM(W264:Y264),"N/A")</f>
        <v>25132563.6829111</v>
      </c>
      <c r="AA264" s="425" cm="1">
        <f t="array" ref="AA264">_xlfn.IFERROR((Z264-Z263),"N/A")</f>
        <v>195780</v>
      </c>
      <c r="AB264" s="424"/>
      <c r="AC264" t="str" s="426" cm="1">
        <f t="array" ref="AC264">IF(B264=6,AVERAGE(Z260:Z265),"N/A")</f>
        <v>N/A</v>
      </c>
      <c r="AD264" s="424"/>
      <c r="AE264" s="423"/>
      <c r="AF264" s="423"/>
      <c r="AG264" s="423"/>
      <c r="AH264" s="423"/>
      <c r="AI264" s="423"/>
      <c r="AJ264" s="423"/>
      <c r="AK264" s="423"/>
      <c r="AL264" s="423"/>
      <c r="AM264" s="423"/>
      <c r="AN264" s="427"/>
    </row>
    <row r="265" ht="15" customHeight="1">
      <c r="A265" s="12"/>
      <c r="B265" s="428" cm="1">
        <f t="array" ref="B265">IF(B264=0,0,IF(B264&lt;VLOOKUP(C257,'Boats Data Sheet 2026'!$C$3:$H$57,6,0),B264+1,0))</f>
        <v>6</v>
      </c>
      <c r="C265" s="423" cm="1">
        <f t="array" ref="C265">IF(B265&gt;0,IF(VLOOKUP(C257,'Boats Data Sheet 2026'!$C$3:$J$57,8,0)="N/A",0,VLOOKUP(C257,'Boats Data Sheet 2026'!$C$3:$J$57,8,0)),"N/A")</f>
        <v>14500000</v>
      </c>
      <c r="D265" s="429" cm="1">
        <f t="array" ref="D265">IF(B265&gt;7,2,IF(B265=0,"N/A",1))</f>
        <v>1</v>
      </c>
      <c r="E265" s="423" cm="1">
        <f t="array" ref="E265">_xlfn.IFERROR(SUM('Direct Costs 2026'!$C$4:$C$5)*D265,"N/A")</f>
        <v>875500</v>
      </c>
      <c r="F265" s="423" cm="1">
        <f t="array" ref="F265">_xlfn.IFERROR('Direct Costs 2026'!$C$43*B265,"N/A")</f>
        <v>36000</v>
      </c>
      <c r="G265" s="423" cm="1">
        <f t="array" ref="G265">IF(B265&gt;0,'Direct Costs 2026'!$C$25,"N/A")</f>
        <v>90000</v>
      </c>
      <c r="H265" s="423" cm="1">
        <f t="array" ref="H265">IF(B265&gt;0,'Direct Costs 2026'!$C$15+'Direct Costs 2026'!$C$14,"N/A")</f>
        <v>230000</v>
      </c>
      <c r="I265" s="423">
        <v>0</v>
      </c>
      <c r="J265" s="423">
        <v>0</v>
      </c>
      <c r="K265" s="423" cm="1">
        <f t="array" ref="K265">IF(B265&gt;0,'Direct Costs 2026'!$C$26,"N/A")</f>
        <v>20000</v>
      </c>
      <c r="L265" s="423" cm="1">
        <f t="array" ref="L265">IF(B265&gt;0,'Direct Costs 2026'!$C$23,"N/A")</f>
        <v>140000</v>
      </c>
      <c r="M265" s="423" cm="1">
        <f t="array" ref="M265">IF(B265&gt;0,'Direct Costs 2026'!$C$45*B265,"N/A")</f>
        <v>900000</v>
      </c>
      <c r="N265" t="str" s="431" cm="1">
        <f t="array" ref="N265">IF(B265&gt;0,_xlfn.IFERROR(VLOOKUP(C257,'Boats Data Sheet 2026'!$C$3:$I$57,7,0)*'Direct Costs 2026'!$C$36,"N/A"),"N/A")</f>
        <v>N/A</v>
      </c>
      <c r="O265" t="str" s="431" cm="1">
        <f t="array" ref="O265">IF(B265&gt;0,IF(OR(VLOOKUP(C257,'Boats Data Sheet 2026'!$C$3:$F$57,4,0)="Own",VLOOKUP(C257,'Boats Data Sheet 2026'!$C$3:$F$57,4,0)="Management"),('Direct Costs 2026'!$C$37+'Direct Costs 2026'!$C$39),"N/A"),"N/A")</f>
        <v>N/A</v>
      </c>
      <c r="P265" s="423" cm="1">
        <f t="array" ref="P265">_xlfn.IFERROR('Direct Costs 2026'!$C$27*C265,"N/A")</f>
        <v>290000</v>
      </c>
      <c r="Q265" s="423" cm="1">
        <f t="array" ref="Q265">_xlfn.IFERROR(C265+SUM(E265:P265),"N/A")</f>
        <v>17081500</v>
      </c>
      <c r="R265" s="424"/>
      <c r="S265" s="423" cm="1">
        <f t="array" ref="S265">IF(B265&gt;0,'Allocation OH and Target 2026'!$E$31,"N/A")</f>
        <v>3100447.15769812</v>
      </c>
      <c r="T265" s="423" cm="1">
        <f t="array" ref="T265">IF(B265&gt;0,VLOOKUP(C257,'Allocation OH and Target 2026'!$C$35:$S$87,16,0),"N/A")</f>
        <v>0</v>
      </c>
      <c r="U265" s="423" cm="1">
        <f t="array" ref="U265">_xlfn.IFERROR((S265+T265),"N/A")</f>
        <v>3100447.15769812</v>
      </c>
      <c r="V265" s="424"/>
      <c r="W265" s="423" cm="1">
        <f t="array" ref="W265">_xlfn.IFERROR(U265+Q265,"N/A")</f>
        <v>20181947.1576981</v>
      </c>
      <c r="X265" s="423" cm="1">
        <f t="array" ref="X265">_xlfn.IFERROR(W265*0.5%,"N/A")</f>
        <v>100909.735788491</v>
      </c>
      <c r="Y265" s="423" cm="1">
        <f t="array" ref="Y265">_xlfn.IFERROR(W265*25%,"N/A")</f>
        <v>5045486.78942453</v>
      </c>
      <c r="Z265" s="425" cm="1">
        <f t="array" ref="Z265">IF(B265&gt;0,SUM(W265:Y265),"N/A")</f>
        <v>25328343.6829111</v>
      </c>
      <c r="AA265" s="425" cm="1">
        <f t="array" ref="AA265">_xlfn.IFERROR((Z265-Z264),"N/A")</f>
        <v>195780</v>
      </c>
      <c r="AB265" s="424"/>
      <c r="AC265" s="425" cm="1">
        <f t="array" ref="AC265">IF(B265=6,AVERAGE(Z260:Z265),"N/A")</f>
        <v>24838893.6829111</v>
      </c>
      <c r="AD265" s="424"/>
      <c r="AE265" s="423"/>
      <c r="AF265" s="423"/>
      <c r="AG265" s="423"/>
      <c r="AH265" s="423"/>
      <c r="AI265" s="423"/>
      <c r="AJ265" s="423"/>
      <c r="AK265" s="423"/>
      <c r="AL265" s="423"/>
      <c r="AM265" s="423"/>
      <c r="AN265" s="427"/>
    </row>
    <row r="266" ht="15" customHeight="1">
      <c r="A266" s="12"/>
      <c r="B266" s="428" cm="1">
        <f t="array" ref="B266">IF(B265=0,0,IF(B265&lt;VLOOKUP(C257,'Boats Data Sheet 2026'!$C$3:$H$57,6,0),B265+1,0))</f>
        <v>7</v>
      </c>
      <c r="C266" s="423" cm="1">
        <f t="array" ref="C266">IF(B266&gt;0,IF(VLOOKUP(C257,'Boats Data Sheet 2026'!$C$3:$J$57,8,0)="N/A",0,VLOOKUP(C257,'Boats Data Sheet 2026'!$C$3:$J$57,8,0)),"N/A")</f>
        <v>14500000</v>
      </c>
      <c r="D266" s="429" cm="1">
        <f t="array" ref="D266">IF(B266&gt;7,2,IF(B266=0,"N/A",1))</f>
        <v>1</v>
      </c>
      <c r="E266" s="423" cm="1">
        <f t="array" ref="E266">_xlfn.IFERROR(SUM('Direct Costs 2026'!$C$4:$C$5)*D266,"N/A")</f>
        <v>875500</v>
      </c>
      <c r="F266" s="423" cm="1">
        <f t="array" ref="F266">_xlfn.IFERROR('Direct Costs 2026'!$C$43*B266,"N/A")</f>
        <v>42000</v>
      </c>
      <c r="G266" s="423" cm="1">
        <f t="array" ref="G266">IF(B266&gt;0,'Direct Costs 2026'!$C$25,"N/A")</f>
        <v>90000</v>
      </c>
      <c r="H266" s="423" cm="1">
        <f t="array" ref="H266">IF(B266&gt;0,'Direct Costs 2026'!$C$15+'Direct Costs 2026'!$C$14,"N/A")</f>
        <v>230000</v>
      </c>
      <c r="I266" s="423">
        <v>0</v>
      </c>
      <c r="J266" s="423">
        <v>0</v>
      </c>
      <c r="K266" s="423" cm="1">
        <f t="array" ref="K266">IF(B266&gt;0,'Direct Costs 2026'!$C$26,"N/A")</f>
        <v>20000</v>
      </c>
      <c r="L266" s="423" cm="1">
        <f t="array" ref="L266">IF(B266&gt;0,'Direct Costs 2026'!$C$23,"N/A")</f>
        <v>140000</v>
      </c>
      <c r="M266" s="423" cm="1">
        <f t="array" ref="M266">IF(B266&gt;0,'Direct Costs 2026'!$C$45*B266,"N/A")</f>
        <v>1050000</v>
      </c>
      <c r="N266" t="str" s="431" cm="1">
        <f t="array" ref="N266">IF(B266&gt;0,_xlfn.IFERROR(VLOOKUP(C257,'Boats Data Sheet 2026'!$C$3:$I$57,7,0)*'Direct Costs 2026'!$C$36,"N/A"),"N/A")</f>
        <v>N/A</v>
      </c>
      <c r="O266" t="str" s="431" cm="1">
        <f t="array" ref="O266">IF(B266&gt;0,IF(OR(VLOOKUP(C257,'Boats Data Sheet 2026'!$C$3:$F$57,4,0)="Own",VLOOKUP(C257,'Boats Data Sheet 2026'!$C$3:$F$57,4,0)="Management"),('Direct Costs 2026'!$C$37+'Direct Costs 2026'!$C$39),"N/A"),"N/A")</f>
        <v>N/A</v>
      </c>
      <c r="P266" s="423" cm="1">
        <f t="array" ref="P266">_xlfn.IFERROR('Direct Costs 2026'!$C$27*C266,"N/A")</f>
        <v>290000</v>
      </c>
      <c r="Q266" s="423" cm="1">
        <f t="array" ref="Q266">_xlfn.IFERROR(C266+SUM(E266:P266),"N/A")</f>
        <v>17237500</v>
      </c>
      <c r="R266" s="424"/>
      <c r="S266" s="423" cm="1">
        <f t="array" ref="S266">IF(B266&gt;0,'Allocation OH and Target 2026'!$E$31,"N/A")</f>
        <v>3100447.15769812</v>
      </c>
      <c r="T266" s="423" cm="1">
        <f t="array" ref="T266">IF(B266&gt;0,VLOOKUP(C257,'Allocation OH and Target 2026'!$C$35:$S$87,16,0),"N/A")</f>
        <v>0</v>
      </c>
      <c r="U266" s="423" cm="1">
        <f t="array" ref="U266">_xlfn.IFERROR((S266+T266),"N/A")</f>
        <v>3100447.15769812</v>
      </c>
      <c r="V266" s="424"/>
      <c r="W266" s="423" cm="1">
        <f t="array" ref="W266">_xlfn.IFERROR(U266+Q266,"N/A")</f>
        <v>20337947.1576981</v>
      </c>
      <c r="X266" s="423" cm="1">
        <f t="array" ref="X266">_xlfn.IFERROR(W266*0.5%,"N/A")</f>
        <v>101689.735788491</v>
      </c>
      <c r="Y266" s="423" cm="1">
        <f t="array" ref="Y266">_xlfn.IFERROR(W266*25%,"N/A")</f>
        <v>5084486.78942453</v>
      </c>
      <c r="Z266" s="425" cm="1">
        <f t="array" ref="Z266">IF(B266&gt;0,SUM(W266:Y266),"N/A")</f>
        <v>25524123.6829111</v>
      </c>
      <c r="AA266" s="425" cm="1">
        <f t="array" ref="AA266">_xlfn.IFERROR((Z266-Z265),"N/A")</f>
        <v>195780</v>
      </c>
      <c r="AB266" s="424"/>
      <c r="AC266" t="str" s="426" cm="1">
        <f t="array" ref="AC266">IF(B266=6,AVERAGE(Z260:Z265),"N/A")</f>
        <v>N/A</v>
      </c>
      <c r="AD266" s="424"/>
      <c r="AE266" s="423"/>
      <c r="AF266" s="423"/>
      <c r="AG266" s="423"/>
      <c r="AH266" s="423"/>
      <c r="AI266" s="423"/>
      <c r="AJ266" s="423"/>
      <c r="AK266" s="423"/>
      <c r="AL266" s="423"/>
      <c r="AM266" s="423"/>
      <c r="AN266" s="427"/>
    </row>
    <row r="267" ht="15" customHeight="1">
      <c r="A267" s="12"/>
      <c r="B267" s="428" cm="1">
        <f t="array" ref="B267">IF(B266=0,0,IF(B266&lt;VLOOKUP(C257,'Boats Data Sheet 2026'!$C$3:$H$57,6,0),B266+1,0))</f>
        <v>8</v>
      </c>
      <c r="C267" s="423" cm="1">
        <f t="array" ref="C267">IF(B267&gt;0,IF(VLOOKUP(C257,'Boats Data Sheet 2026'!$C$3:$J$57,8,0)="N/A",0,VLOOKUP(C257,'Boats Data Sheet 2026'!$C$3:$J$57,8,0)),"N/A")</f>
        <v>14500000</v>
      </c>
      <c r="D267" s="429" cm="1">
        <f t="array" ref="D267">IF(B267&gt;7,2,IF(B267=0,"N/A",1))</f>
        <v>2</v>
      </c>
      <c r="E267" s="423" cm="1">
        <f t="array" ref="E267">_xlfn.IFERROR(SUM('Direct Costs 2026'!$C$4:$C$5)*D267,"N/A")</f>
        <v>1751000</v>
      </c>
      <c r="F267" s="423" cm="1">
        <f t="array" ref="F267">_xlfn.IFERROR('Direct Costs 2026'!$C$43*B267,"N/A")</f>
        <v>48000</v>
      </c>
      <c r="G267" s="423" cm="1">
        <f t="array" ref="G267">IF(B267&gt;0,'Direct Costs 2026'!$C$25,"N/A")</f>
        <v>90000</v>
      </c>
      <c r="H267" s="423" cm="1">
        <f t="array" ref="H267">IF(B267&gt;0,'Direct Costs 2026'!$C$15+'Direct Costs 2026'!$C$14,"N/A")</f>
        <v>230000</v>
      </c>
      <c r="I267" s="423">
        <v>0</v>
      </c>
      <c r="J267" s="423">
        <v>0</v>
      </c>
      <c r="K267" s="423" cm="1">
        <f t="array" ref="K267">IF(B267&gt;0,'Direct Costs 2026'!$C$26,"N/A")</f>
        <v>20000</v>
      </c>
      <c r="L267" s="423" cm="1">
        <f t="array" ref="L267">IF(B267&gt;0,'Direct Costs 2026'!$C$23,"N/A")</f>
        <v>140000</v>
      </c>
      <c r="M267" s="423" cm="1">
        <f t="array" ref="M267">IF(B267&gt;0,'Direct Costs 2026'!$C$45*B267,"N/A")</f>
        <v>1200000</v>
      </c>
      <c r="N267" t="str" s="431" cm="1">
        <f t="array" ref="N267">IF(B267&gt;0,_xlfn.IFERROR(VLOOKUP(C257,'Boats Data Sheet 2026'!$C$3:$I$57,7,0)*'Direct Costs 2026'!$C$36,"N/A"),"N/A")</f>
        <v>N/A</v>
      </c>
      <c r="O267" t="str" s="431" cm="1">
        <f t="array" ref="O267">IF(B267&gt;0,IF(OR(VLOOKUP(C257,'Boats Data Sheet 2026'!$C$3:$F$57,4,0)="Own",VLOOKUP(C257,'Boats Data Sheet 2026'!$C$3:$F$57,4,0)="Management"),('Direct Costs 2026'!$C$37+'Direct Costs 2026'!$C$39),"N/A"),"N/A")</f>
        <v>N/A</v>
      </c>
      <c r="P267" s="423" cm="1">
        <f t="array" ref="P267">_xlfn.IFERROR('Direct Costs 2026'!$C$27*C267,"N/A")</f>
        <v>290000</v>
      </c>
      <c r="Q267" s="423" cm="1">
        <f t="array" ref="Q267">_xlfn.IFERROR(C267+SUM(E267:P267),"N/A")</f>
        <v>18269000</v>
      </c>
      <c r="R267" s="424"/>
      <c r="S267" s="423" cm="1">
        <f t="array" ref="S267">IF(B267&gt;0,'Allocation OH and Target 2026'!$E$31,"N/A")</f>
        <v>3100447.15769812</v>
      </c>
      <c r="T267" s="423" cm="1">
        <f t="array" ref="T267">IF(B267&gt;0,VLOOKUP(C257,'Allocation OH and Target 2026'!$C$35:$S$87,16,0),"N/A")</f>
        <v>0</v>
      </c>
      <c r="U267" s="423" cm="1">
        <f t="array" ref="U267">_xlfn.IFERROR((S267+T267),"N/A")</f>
        <v>3100447.15769812</v>
      </c>
      <c r="V267" s="424"/>
      <c r="W267" s="423" cm="1">
        <f t="array" ref="W267">_xlfn.IFERROR(U267+Q267,"N/A")</f>
        <v>21369447.1576981</v>
      </c>
      <c r="X267" s="423" cm="1">
        <f t="array" ref="X267">_xlfn.IFERROR(W267*0.5%,"N/A")</f>
        <v>106847.235788491</v>
      </c>
      <c r="Y267" s="423" cm="1">
        <f t="array" ref="Y267">_xlfn.IFERROR(W267*25%,"N/A")</f>
        <v>5342361.78942453</v>
      </c>
      <c r="Z267" s="425" cm="1">
        <f t="array" ref="Z267">IF(B267&gt;0,SUM(W267:Y267),"N/A")</f>
        <v>26818656.1829111</v>
      </c>
      <c r="AA267" s="425" cm="1">
        <f t="array" ref="AA267">_xlfn.IFERROR((Z267-Z266),"N/A")</f>
        <v>1294532.5</v>
      </c>
      <c r="AB267" s="424"/>
      <c r="AC267" t="str" s="426" cm="1">
        <f t="array" ref="AC267">IF(B267=6,AVERAGE(Z260:Z265),"N/A")</f>
        <v>N/A</v>
      </c>
      <c r="AD267" s="424"/>
      <c r="AE267" s="423"/>
      <c r="AF267" s="423"/>
      <c r="AG267" s="423"/>
      <c r="AH267" s="423"/>
      <c r="AI267" s="423"/>
      <c r="AJ267" s="423"/>
      <c r="AK267" s="423"/>
      <c r="AL267" s="423"/>
      <c r="AM267" s="423"/>
      <c r="AN267" s="427"/>
    </row>
    <row r="268" ht="15" customHeight="1">
      <c r="A268" s="12"/>
      <c r="B268" s="428" cm="1">
        <f t="array" ref="B268">IF(B267=0,0,IF(B267&lt;VLOOKUP(C257,'Boats Data Sheet 2026'!$C$3:$H$57,6,0),B267+1,0))</f>
        <v>9</v>
      </c>
      <c r="C268" s="423" cm="1">
        <f t="array" ref="C268">IF(B268&gt;0,IF(VLOOKUP(C257,'Boats Data Sheet 2026'!$C$3:$J$57,8,0)="N/A",0,VLOOKUP(C257,'Boats Data Sheet 2026'!$C$3:$J$57,8,0)),"N/A")</f>
        <v>14500000</v>
      </c>
      <c r="D268" s="430" cm="1">
        <f t="array" ref="D268">IF(B268&gt;7,2,IF(B268=0,"N/A",1))</f>
        <v>2</v>
      </c>
      <c r="E268" s="423" cm="1">
        <f t="array" ref="E268">_xlfn.IFERROR(SUM('Direct Costs 2026'!$C$4:$C$5)*D268,"N/A")</f>
        <v>1751000</v>
      </c>
      <c r="F268" s="423" cm="1">
        <f t="array" ref="F268">_xlfn.IFERROR('Direct Costs 2026'!$C$43*B268,"N/A")</f>
        <v>54000</v>
      </c>
      <c r="G268" s="423" cm="1">
        <f t="array" ref="G268">IF(B268&gt;0,'Direct Costs 2026'!$C$25,"N/A")</f>
        <v>90000</v>
      </c>
      <c r="H268" s="423" cm="1">
        <f t="array" ref="H268">IF(B268&gt;0,'Direct Costs 2026'!$C$15+'Direct Costs 2026'!$C$14,"N/A")</f>
        <v>230000</v>
      </c>
      <c r="I268" s="423">
        <v>0</v>
      </c>
      <c r="J268" s="423">
        <v>0</v>
      </c>
      <c r="K268" s="423" cm="1">
        <f t="array" ref="K268">IF(B268&gt;0,'Direct Costs 2026'!$C$26,"N/A")</f>
        <v>20000</v>
      </c>
      <c r="L268" s="423" cm="1">
        <f t="array" ref="L268">IF(B268&gt;0,'Direct Costs 2026'!$C$23,"N/A")</f>
        <v>140000</v>
      </c>
      <c r="M268" s="423" cm="1">
        <f t="array" ref="M268">IF(B268&gt;0,'Direct Costs 2026'!$C$45*B268,"N/A")</f>
        <v>1350000</v>
      </c>
      <c r="N268" t="str" s="431" cm="1">
        <f t="array" ref="N268">IF(B268&gt;0,_xlfn.IFERROR(VLOOKUP(C257,'Boats Data Sheet 2026'!$C$3:$I$57,7,0)*'Direct Costs 2026'!$C$36,"N/A"),"N/A")</f>
        <v>N/A</v>
      </c>
      <c r="O268" t="str" s="431" cm="1">
        <f t="array" ref="O268">IF(B268&gt;0,IF(OR(VLOOKUP(C257,'Boats Data Sheet 2026'!$C$3:$F$57,4,0)="Own",VLOOKUP(C257,'Boats Data Sheet 2026'!$C$3:$F$57,4,0)="Management"),('Direct Costs 2026'!$C$37+'Direct Costs 2026'!$C$39),"N/A"),"N/A")</f>
        <v>N/A</v>
      </c>
      <c r="P268" s="423" cm="1">
        <f t="array" ref="P268">_xlfn.IFERROR('Direct Costs 2026'!$C$27*C268,"N/A")</f>
        <v>290000</v>
      </c>
      <c r="Q268" s="423" cm="1">
        <f t="array" ref="Q268">_xlfn.IFERROR(C268+SUM(E268:P268),"N/A")</f>
        <v>18425000</v>
      </c>
      <c r="R268" s="424"/>
      <c r="S268" s="423" cm="1">
        <f t="array" ref="S268">IF(B268&gt;0,'Allocation OH and Target 2026'!$E$31,"N/A")</f>
        <v>3100447.15769812</v>
      </c>
      <c r="T268" s="423" cm="1">
        <f t="array" ref="T268">IF(B268&gt;0,VLOOKUP(C257,'Allocation OH and Target 2026'!$C$35:$S$87,16,0),"N/A")</f>
        <v>0</v>
      </c>
      <c r="U268" s="423" cm="1">
        <f t="array" ref="U268">_xlfn.IFERROR((S268+T268),"N/A")</f>
        <v>3100447.15769812</v>
      </c>
      <c r="V268" s="424"/>
      <c r="W268" s="423" cm="1">
        <f t="array" ref="W268">_xlfn.IFERROR(U268+Q268,"N/A")</f>
        <v>21525447.1576981</v>
      </c>
      <c r="X268" s="423" cm="1">
        <f t="array" ref="X268">_xlfn.IFERROR(W268*0.5%,"N/A")</f>
        <v>107627.235788491</v>
      </c>
      <c r="Y268" s="423" cm="1">
        <f t="array" ref="Y268">_xlfn.IFERROR(W268*25%,"N/A")</f>
        <v>5381361.78942453</v>
      </c>
      <c r="Z268" s="425" cm="1">
        <f t="array" ref="Z268">IF(B268&gt;0,SUM(W268:Y268),"N/A")</f>
        <v>27014436.1829111</v>
      </c>
      <c r="AA268" s="425" cm="1">
        <f t="array" ref="AA268">_xlfn.IFERROR((Z268-Z267),"N/A")</f>
        <v>195780</v>
      </c>
      <c r="AB268" s="424"/>
      <c r="AC268" t="str" s="426" cm="1">
        <f t="array" ref="AC268">IF(B268=6,AVERAGE(Z260:Z265),"N/A")</f>
        <v>N/A</v>
      </c>
      <c r="AD268" s="424"/>
      <c r="AE268" s="423"/>
      <c r="AF268" s="423"/>
      <c r="AG268" s="423"/>
      <c r="AH268" s="423"/>
      <c r="AI268" s="423"/>
      <c r="AJ268" s="423"/>
      <c r="AK268" s="423"/>
      <c r="AL268" s="423"/>
      <c r="AM268" s="423"/>
      <c r="AN268" s="427"/>
    </row>
    <row r="269" ht="15" customHeight="1">
      <c r="A269" s="12"/>
      <c r="B269" s="428" cm="1">
        <f t="array" ref="B269">IF(B268=0,0,IF(B268&lt;VLOOKUP(C257,'Boats Data Sheet 2026'!$C$3:$H$57,6,0),B268+1,0))</f>
        <v>10</v>
      </c>
      <c r="C269" s="423" cm="1">
        <f t="array" ref="C269">IF(B269&gt;0,IF(VLOOKUP(C257,'Boats Data Sheet 2026'!$C$3:$J$57,8,0)="N/A",0,VLOOKUP(C257,'Boats Data Sheet 2026'!$C$3:$J$57,8,0)),"N/A")</f>
        <v>14500000</v>
      </c>
      <c r="D269" s="430" cm="1">
        <f t="array" ref="D269">IF(B269&gt;7,2,IF(B269=0,"N/A",1))</f>
        <v>2</v>
      </c>
      <c r="E269" s="423" cm="1">
        <f t="array" ref="E269">_xlfn.IFERROR(SUM('Direct Costs 2026'!$C$4:$C$5)*D269,"N/A")</f>
        <v>1751000</v>
      </c>
      <c r="F269" s="423" cm="1">
        <f t="array" ref="F269">_xlfn.IFERROR('Direct Costs 2026'!$C$43*B269,"N/A")</f>
        <v>60000</v>
      </c>
      <c r="G269" s="423" cm="1">
        <f t="array" ref="G269">IF(B269&gt;0,'Direct Costs 2026'!$C$25,"N/A")</f>
        <v>90000</v>
      </c>
      <c r="H269" s="423" cm="1">
        <f t="array" ref="H269">IF(B269&gt;0,'Direct Costs 2026'!$C$15+'Direct Costs 2026'!$C$14,"N/A")</f>
        <v>230000</v>
      </c>
      <c r="I269" s="423">
        <v>0</v>
      </c>
      <c r="J269" s="423">
        <v>0</v>
      </c>
      <c r="K269" s="423" cm="1">
        <f t="array" ref="K269">IF(B269&gt;0,'Direct Costs 2026'!$C$26,"N/A")</f>
        <v>20000</v>
      </c>
      <c r="L269" s="423" cm="1">
        <f t="array" ref="L269">IF(B269&gt;0,'Direct Costs 2026'!$C$23,"N/A")</f>
        <v>140000</v>
      </c>
      <c r="M269" s="423" cm="1">
        <f t="array" ref="M269">IF(B269&gt;0,'Direct Costs 2026'!$C$45*B269,"N/A")</f>
        <v>1500000</v>
      </c>
      <c r="N269" t="str" s="431" cm="1">
        <f t="array" ref="N269">IF(B269&gt;0,_xlfn.IFERROR(VLOOKUP(C257,'Boats Data Sheet 2026'!$C$3:$I$57,7,0)*'Direct Costs 2026'!$C$36,"N/A"),"N/A")</f>
        <v>N/A</v>
      </c>
      <c r="O269" t="str" s="431" cm="1">
        <f t="array" ref="O269">IF(B269&gt;0,IF(OR(VLOOKUP(C257,'Boats Data Sheet 2026'!$C$3:$F$57,4,0)="Own",VLOOKUP(C257,'Boats Data Sheet 2026'!$C$3:$F$57,4,0)="Management"),('Direct Costs 2026'!$C$37+'Direct Costs 2026'!$C$39),"N/A"),"N/A")</f>
        <v>N/A</v>
      </c>
      <c r="P269" s="423" cm="1">
        <f t="array" ref="P269">_xlfn.IFERROR('Direct Costs 2026'!$C$27*C269,"N/A")</f>
        <v>290000</v>
      </c>
      <c r="Q269" s="423" cm="1">
        <f t="array" ref="Q269">_xlfn.IFERROR(C269+SUM(E269:P269),"N/A")</f>
        <v>18581000</v>
      </c>
      <c r="R269" s="424"/>
      <c r="S269" s="423" cm="1">
        <f t="array" ref="S269">IF(B269&gt;0,'Allocation OH and Target 2026'!$E$31,"N/A")</f>
        <v>3100447.15769812</v>
      </c>
      <c r="T269" s="423" cm="1">
        <f t="array" ref="T269">IF(B269&gt;0,VLOOKUP(C257,'Allocation OH and Target 2026'!$C$35:$S$87,16,0),"N/A")</f>
        <v>0</v>
      </c>
      <c r="U269" s="423" cm="1">
        <f t="array" ref="U269">_xlfn.IFERROR((S269+T269),"N/A")</f>
        <v>3100447.15769812</v>
      </c>
      <c r="V269" s="424"/>
      <c r="W269" s="423" cm="1">
        <f t="array" ref="W269">_xlfn.IFERROR(U269+Q269,"N/A")</f>
        <v>21681447.1576981</v>
      </c>
      <c r="X269" s="423" cm="1">
        <f t="array" ref="X269">_xlfn.IFERROR(W269*0.5%,"N/A")</f>
        <v>108407.235788491</v>
      </c>
      <c r="Y269" s="423" cm="1">
        <f t="array" ref="Y269">_xlfn.IFERROR(W269*25%,"N/A")</f>
        <v>5420361.78942453</v>
      </c>
      <c r="Z269" s="425" cm="1">
        <f t="array" ref="Z269">IF(B269&gt;0,SUM(W269:Y269),"N/A")</f>
        <v>27210216.1829111</v>
      </c>
      <c r="AA269" s="425" cm="1">
        <f t="array" ref="AA269">_xlfn.IFERROR((Z269-Z268),"N/A")</f>
        <v>195780</v>
      </c>
      <c r="AB269" s="424"/>
      <c r="AC269" t="str" s="426" cm="1">
        <f t="array" ref="AC269">IF(B269=6,AVERAGE(Z260:Z265),"N/A")</f>
        <v>N/A</v>
      </c>
      <c r="AD269" s="424"/>
      <c r="AE269" s="423"/>
      <c r="AF269" s="423"/>
      <c r="AG269" s="423"/>
      <c r="AH269" s="423"/>
      <c r="AI269" s="423"/>
      <c r="AJ269" s="423"/>
      <c r="AK269" s="423"/>
      <c r="AL269" s="423"/>
      <c r="AM269" s="423"/>
      <c r="AN269" s="427"/>
    </row>
    <row r="270" ht="15" customHeight="1">
      <c r="A270" s="12"/>
      <c r="B270" s="428" cm="1">
        <f t="array" ref="B270">IF(B269=0,0,IF(B269&lt;VLOOKUP(C257,'Boats Data Sheet 2026'!$C$3:$H$57,6,0),B269+1,0))</f>
        <v>11</v>
      </c>
      <c r="C270" s="423" cm="1">
        <f t="array" ref="C270">IF(B270&gt;0,IF(VLOOKUP(C257,'Boats Data Sheet 2026'!$C$3:$J$57,8,0)="N/A",0,VLOOKUP(C257,'Boats Data Sheet 2026'!$C$3:$J$57,8,0)),"N/A")</f>
        <v>14500000</v>
      </c>
      <c r="D270" s="430" cm="1">
        <f t="array" ref="D270">IF(B270&gt;7,2,IF(B270=0,"N/A",1))</f>
        <v>2</v>
      </c>
      <c r="E270" s="423" cm="1">
        <f t="array" ref="E270">_xlfn.IFERROR(SUM('Direct Costs 2026'!$C$4:$C$5)*D270,"N/A")</f>
        <v>1751000</v>
      </c>
      <c r="F270" s="423" cm="1">
        <f t="array" ref="F270">_xlfn.IFERROR('Direct Costs 2026'!$C$43*B270,"N/A")</f>
        <v>66000</v>
      </c>
      <c r="G270" s="423" cm="1">
        <f t="array" ref="G270">IF(B270&gt;0,'Direct Costs 2026'!$C$25,"N/A")</f>
        <v>90000</v>
      </c>
      <c r="H270" s="423" cm="1">
        <f t="array" ref="H270">IF(B270&gt;0,'Direct Costs 2026'!$C$15+'Direct Costs 2026'!$C$14,"N/A")</f>
        <v>230000</v>
      </c>
      <c r="I270" s="423">
        <v>0</v>
      </c>
      <c r="J270" s="423">
        <v>0</v>
      </c>
      <c r="K270" s="423" cm="1">
        <f t="array" ref="K270">IF(B270&gt;0,'Direct Costs 2026'!$C$26,"N/A")</f>
        <v>20000</v>
      </c>
      <c r="L270" s="423" cm="1">
        <f t="array" ref="L270">IF(B270&gt;0,'Direct Costs 2026'!$C$23,"N/A")</f>
        <v>140000</v>
      </c>
      <c r="M270" s="423" cm="1">
        <f t="array" ref="M270">IF(B270&gt;0,'Direct Costs 2026'!$C$45*B270,"N/A")</f>
        <v>1650000</v>
      </c>
      <c r="N270" t="str" s="431" cm="1">
        <f t="array" ref="N270">IF(B270&gt;0,_xlfn.IFERROR(VLOOKUP(C257,'Boats Data Sheet 2026'!$C$3:$I$57,7,0)*'Direct Costs 2026'!$C$36,"N/A"),"N/A")</f>
        <v>N/A</v>
      </c>
      <c r="O270" t="str" s="431" cm="1">
        <f t="array" ref="O270">IF(B270&gt;0,IF(OR(VLOOKUP(C257,'Boats Data Sheet 2026'!$C$3:$F$57,4,0)="Own",VLOOKUP(C257,'Boats Data Sheet 2026'!$C$3:$F$57,4,0)="Management"),('Direct Costs 2026'!$C$37+'Direct Costs 2026'!$C$39),"N/A"),"N/A")</f>
        <v>N/A</v>
      </c>
      <c r="P270" s="423" cm="1">
        <f t="array" ref="P270">_xlfn.IFERROR('Direct Costs 2026'!$C$27*C270,"N/A")</f>
        <v>290000</v>
      </c>
      <c r="Q270" s="423" cm="1">
        <f t="array" ref="Q270">_xlfn.IFERROR(C270+SUM(E270:P270),"N/A")</f>
        <v>18737000</v>
      </c>
      <c r="R270" s="424"/>
      <c r="S270" s="423" cm="1">
        <f t="array" ref="S270">IF(B270&gt;0,'Allocation OH and Target 2026'!$E$31,"N/A")</f>
        <v>3100447.15769812</v>
      </c>
      <c r="T270" s="423" cm="1">
        <f t="array" ref="T270">IF(B270&gt;0,VLOOKUP(C257,'Allocation OH and Target 2026'!$C$35:$S$87,16,0),"N/A")</f>
        <v>0</v>
      </c>
      <c r="U270" s="423" cm="1">
        <f t="array" ref="U270">_xlfn.IFERROR((S270+T270),"N/A")</f>
        <v>3100447.15769812</v>
      </c>
      <c r="V270" s="424"/>
      <c r="W270" s="423" cm="1">
        <f t="array" ref="W270">_xlfn.IFERROR(U270+Q270,"N/A")</f>
        <v>21837447.1576981</v>
      </c>
      <c r="X270" s="423" cm="1">
        <f t="array" ref="X270">_xlfn.IFERROR(W270*0.5%,"N/A")</f>
        <v>109187.235788491</v>
      </c>
      <c r="Y270" s="423" cm="1">
        <f t="array" ref="Y270">_xlfn.IFERROR(W270*25%,"N/A")</f>
        <v>5459361.78942453</v>
      </c>
      <c r="Z270" s="425" cm="1">
        <f t="array" ref="Z270">IF(B270&gt;0,SUM(W270:Y270),"N/A")</f>
        <v>27405996.1829111</v>
      </c>
      <c r="AA270" s="425" cm="1">
        <f t="array" ref="AA270">_xlfn.IFERROR((Z270-Z269),"N/A")</f>
        <v>195780</v>
      </c>
      <c r="AB270" s="424"/>
      <c r="AC270" t="str" s="426" cm="1">
        <f t="array" ref="AC270">IF(B270=6,AVERAGE(Z260:Z265),"N/A")</f>
        <v>N/A</v>
      </c>
      <c r="AD270" s="424"/>
      <c r="AE270" s="423"/>
      <c r="AF270" s="423"/>
      <c r="AG270" s="423"/>
      <c r="AH270" s="423"/>
      <c r="AI270" s="423"/>
      <c r="AJ270" s="423"/>
      <c r="AK270" s="423"/>
      <c r="AL270" s="423"/>
      <c r="AM270" s="423"/>
      <c r="AN270" s="427"/>
    </row>
    <row r="271" ht="15" customHeight="1">
      <c r="A271" s="12"/>
      <c r="B271" s="428" cm="1">
        <f t="array" ref="B271">IF(B270=0,0,IF(B270&lt;VLOOKUP(C257,'Boats Data Sheet 2026'!$C$3:$H$57,6,0),B270+1,0))</f>
        <v>12</v>
      </c>
      <c r="C271" s="423" cm="1">
        <f t="array" ref="C271">IF(B271&gt;0,IF(VLOOKUP(C257,'Boats Data Sheet 2026'!$C$3:$J$57,8,0)="N/A",0,VLOOKUP(C257,'Boats Data Sheet 2026'!$C$3:$J$57,8,0)),"N/A")</f>
        <v>14500000</v>
      </c>
      <c r="D271" s="430" cm="1">
        <f t="array" ref="D271">IF(B271&gt;7,2,IF(B271=0,"N/A",1))</f>
        <v>2</v>
      </c>
      <c r="E271" s="423" cm="1">
        <f t="array" ref="E271">_xlfn.IFERROR(SUM('Direct Costs 2026'!$C$4:$C$5)*D271,"N/A")</f>
        <v>1751000</v>
      </c>
      <c r="F271" s="423" cm="1">
        <f t="array" ref="F271">_xlfn.IFERROR('Direct Costs 2026'!$C$43*B271,"N/A")</f>
        <v>72000</v>
      </c>
      <c r="G271" s="423" cm="1">
        <f t="array" ref="G271">IF(B271&gt;0,'Direct Costs 2026'!$C$25,"N/A")</f>
        <v>90000</v>
      </c>
      <c r="H271" s="423" cm="1">
        <f t="array" ref="H271">IF(B271&gt;0,'Direct Costs 2026'!$C$15+'Direct Costs 2026'!$C$14,"N/A")</f>
        <v>230000</v>
      </c>
      <c r="I271" s="423">
        <v>0</v>
      </c>
      <c r="J271" s="423">
        <v>0</v>
      </c>
      <c r="K271" s="423" cm="1">
        <f t="array" ref="K271">IF(B271&gt;0,'Direct Costs 2026'!$C$26,"N/A")</f>
        <v>20000</v>
      </c>
      <c r="L271" s="423" cm="1">
        <f t="array" ref="L271">IF(B271&gt;0,'Direct Costs 2026'!$C$23,"N/A")</f>
        <v>140000</v>
      </c>
      <c r="M271" s="423" cm="1">
        <f t="array" ref="M271">IF(B271&gt;0,'Direct Costs 2026'!$C$45*B271,"N/A")</f>
        <v>1800000</v>
      </c>
      <c r="N271" t="str" s="431" cm="1">
        <f t="array" ref="N271">IF(B271&gt;0,_xlfn.IFERROR(VLOOKUP(C257,'Boats Data Sheet 2026'!$C$3:$I$57,7,0)*'Direct Costs 2026'!$C$36,"N/A"),"N/A")</f>
        <v>N/A</v>
      </c>
      <c r="O271" t="str" s="431" cm="1">
        <f t="array" ref="O271">IF(B271&gt;0,IF(OR(VLOOKUP(C257,'Boats Data Sheet 2026'!$C$3:$F$57,4,0)="Own",VLOOKUP(C257,'Boats Data Sheet 2026'!$C$3:$F$57,4,0)="Management"),('Direct Costs 2026'!$C$37+'Direct Costs 2026'!$C$39),"N/A"),"N/A")</f>
        <v>N/A</v>
      </c>
      <c r="P271" s="423" cm="1">
        <f t="array" ref="P271">_xlfn.IFERROR('Direct Costs 2026'!$C$27*C271,"N/A")</f>
        <v>290000</v>
      </c>
      <c r="Q271" s="423" cm="1">
        <f t="array" ref="Q271">_xlfn.IFERROR(C271+SUM(E271:P271),"N/A")</f>
        <v>18893000</v>
      </c>
      <c r="R271" s="424"/>
      <c r="S271" s="423" cm="1">
        <f t="array" ref="S271">IF(B271&gt;0,'Allocation OH and Target 2026'!$E$31,"N/A")</f>
        <v>3100447.15769812</v>
      </c>
      <c r="T271" s="423" cm="1">
        <f t="array" ref="T271">IF(B271&gt;0,VLOOKUP(C257,'Allocation OH and Target 2026'!$C$35:$S$87,16,0),"N/A")</f>
        <v>0</v>
      </c>
      <c r="U271" s="423" cm="1">
        <f t="array" ref="U271">_xlfn.IFERROR((S271+T271),"N/A")</f>
        <v>3100447.15769812</v>
      </c>
      <c r="V271" s="424"/>
      <c r="W271" s="423" cm="1">
        <f t="array" ref="W271">_xlfn.IFERROR(U271+Q271,"N/A")</f>
        <v>21993447.1576981</v>
      </c>
      <c r="X271" s="423" cm="1">
        <f t="array" ref="X271">_xlfn.IFERROR(W271*0.5%,"N/A")</f>
        <v>109967.235788491</v>
      </c>
      <c r="Y271" s="423" cm="1">
        <f t="array" ref="Y271">_xlfn.IFERROR(W271*25%,"N/A")</f>
        <v>5498361.78942453</v>
      </c>
      <c r="Z271" s="425" cm="1">
        <f t="array" ref="Z271">IF(B271&gt;0,SUM(W271:Y271),"N/A")</f>
        <v>27601776.1829111</v>
      </c>
      <c r="AA271" s="425" cm="1">
        <f t="array" ref="AA271">_xlfn.IFERROR((Z271-Z270),"N/A")</f>
        <v>195780</v>
      </c>
      <c r="AB271" s="424"/>
      <c r="AC271" t="str" s="426" cm="1">
        <f t="array" ref="AC271">IF(B271=6,AVERAGE(Z260:Z265),"N/A")</f>
        <v>N/A</v>
      </c>
      <c r="AD271" s="424"/>
      <c r="AE271" s="423"/>
      <c r="AF271" s="423"/>
      <c r="AG271" s="423"/>
      <c r="AH271" s="423"/>
      <c r="AI271" s="423"/>
      <c r="AJ271" s="423"/>
      <c r="AK271" s="423"/>
      <c r="AL271" s="423"/>
      <c r="AM271" s="423"/>
      <c r="AN271" s="427"/>
    </row>
    <row r="272" ht="15" customHeight="1">
      <c r="A272" s="12"/>
      <c r="B272" s="428" cm="1">
        <f t="array" ref="B272">IF(B271=0,0,IF(B271&lt;VLOOKUP(C257,'Boats Data Sheet 2026'!$C$3:$H$57,6,0),B271+1,0))</f>
        <v>13</v>
      </c>
      <c r="C272" s="423" cm="1">
        <f t="array" ref="C272">IF(B272&gt;0,IF(VLOOKUP(C257,'Boats Data Sheet 2026'!$C$3:$J$57,8,0)="N/A",0,VLOOKUP(C257,'Boats Data Sheet 2026'!$C$3:$J$57,8,0)),"N/A")</f>
        <v>14500000</v>
      </c>
      <c r="D272" s="430" cm="1">
        <f t="array" ref="D272">IF(B272&gt;7,2,IF(B272=0,"N/A",1))</f>
        <v>2</v>
      </c>
      <c r="E272" s="423" cm="1">
        <f t="array" ref="E272">_xlfn.IFERROR(SUM('Direct Costs 2026'!$C$4:$C$5)*D272,"N/A")</f>
        <v>1751000</v>
      </c>
      <c r="F272" s="423" cm="1">
        <f t="array" ref="F272">_xlfn.IFERROR('Direct Costs 2026'!$C$43*B272,"N/A")</f>
        <v>78000</v>
      </c>
      <c r="G272" s="423" cm="1">
        <f t="array" ref="G272">IF(B272&gt;0,'Direct Costs 2026'!$C$25,"N/A")</f>
        <v>90000</v>
      </c>
      <c r="H272" s="423" cm="1">
        <f t="array" ref="H272">IF(B272&gt;0,'Direct Costs 2026'!$C$15+'Direct Costs 2026'!$C$14,"N/A")</f>
        <v>230000</v>
      </c>
      <c r="I272" s="423">
        <v>0</v>
      </c>
      <c r="J272" s="423">
        <v>0</v>
      </c>
      <c r="K272" s="423" cm="1">
        <f t="array" ref="K272">IF(B272&gt;0,'Direct Costs 2026'!$C$26,"N/A")</f>
        <v>20000</v>
      </c>
      <c r="L272" s="423" cm="1">
        <f t="array" ref="L272">IF(B272&gt;0,'Direct Costs 2026'!$C$23,"N/A")</f>
        <v>140000</v>
      </c>
      <c r="M272" s="423" cm="1">
        <f t="array" ref="M272">IF(B272&gt;0,'Direct Costs 2026'!$C$45*B272,"N/A")</f>
        <v>1950000</v>
      </c>
      <c r="N272" t="str" s="431" cm="1">
        <f t="array" ref="N272">IF(B272&gt;0,_xlfn.IFERROR(VLOOKUP(C257,'Boats Data Sheet 2026'!$C$3:$I$57,7,0)*'Direct Costs 2026'!$C$36,"N/A"),"N/A")</f>
        <v>N/A</v>
      </c>
      <c r="O272" t="str" s="431" cm="1">
        <f t="array" ref="O272">IF(B272&gt;0,IF(OR(VLOOKUP(C257,'Boats Data Sheet 2026'!$C$3:$F$57,4,0)="Own",VLOOKUP(C257,'Boats Data Sheet 2026'!$C$3:$F$57,4,0)="Management"),('Direct Costs 2026'!$C$37+'Direct Costs 2026'!$C$39),"N/A"),"N/A")</f>
        <v>N/A</v>
      </c>
      <c r="P272" s="423" cm="1">
        <f t="array" ref="P272">_xlfn.IFERROR('Direct Costs 2026'!$C$27*C272,"N/A")</f>
        <v>290000</v>
      </c>
      <c r="Q272" s="423" cm="1">
        <f t="array" ref="Q272">_xlfn.IFERROR(C272+SUM(E272:P272),"N/A")</f>
        <v>19049000</v>
      </c>
      <c r="R272" s="424"/>
      <c r="S272" s="423" cm="1">
        <f t="array" ref="S272">IF(B272&gt;0,'Allocation OH and Target 2026'!$E$31,"N/A")</f>
        <v>3100447.15769812</v>
      </c>
      <c r="T272" s="423" cm="1">
        <f t="array" ref="T272">IF(B272&gt;0,VLOOKUP(C257,'Allocation OH and Target 2026'!$C$35:$S$87,16,0),"N/A")</f>
        <v>0</v>
      </c>
      <c r="U272" s="423" cm="1">
        <f t="array" ref="U272">_xlfn.IFERROR((S272+T272),"N/A")</f>
        <v>3100447.15769812</v>
      </c>
      <c r="V272" s="424"/>
      <c r="W272" s="423" cm="1">
        <f t="array" ref="W272">_xlfn.IFERROR(U272+Q272,"N/A")</f>
        <v>22149447.1576981</v>
      </c>
      <c r="X272" s="423" cm="1">
        <f t="array" ref="X272">_xlfn.IFERROR(W272*0.5%,"N/A")</f>
        <v>110747.235788491</v>
      </c>
      <c r="Y272" s="423" cm="1">
        <f t="array" ref="Y272">_xlfn.IFERROR(W272*25%,"N/A")</f>
        <v>5537361.78942453</v>
      </c>
      <c r="Z272" s="425" cm="1">
        <f t="array" ref="Z272">IF(B272&gt;0,SUM(W272:Y272),"N/A")</f>
        <v>27797556.1829111</v>
      </c>
      <c r="AA272" s="425" cm="1">
        <f t="array" ref="AA272">_xlfn.IFERROR((Z272-Z271),"N/A")</f>
        <v>195780</v>
      </c>
      <c r="AB272" s="424"/>
      <c r="AC272" t="str" s="426" cm="1">
        <f t="array" ref="AC272">IF(B272=6,AVERAGE(Z260:Z265),"N/A")</f>
        <v>N/A</v>
      </c>
      <c r="AD272" s="424"/>
      <c r="AE272" s="423"/>
      <c r="AF272" s="423"/>
      <c r="AG272" s="423"/>
      <c r="AH272" s="423"/>
      <c r="AI272" s="423"/>
      <c r="AJ272" s="423"/>
      <c r="AK272" s="423"/>
      <c r="AL272" s="423"/>
      <c r="AM272" s="423"/>
      <c r="AN272" s="427"/>
    </row>
    <row r="273" ht="15" customHeight="1">
      <c r="A273" s="12"/>
      <c r="B273" s="428" cm="1">
        <f t="array" ref="B273">IF(B272=0,0,IF(B272&lt;VLOOKUP(C257,'Boats Data Sheet 2026'!$C$3:$H$57,6,0),B272+1,0))</f>
        <v>0</v>
      </c>
      <c r="C273" t="str" s="431" cm="1">
        <f t="array" ref="C273">IF(B273&gt;0,IF(VLOOKUP(C257,'Boats Data Sheet 2026'!$C$3:$J$57,8,0)="N/A",0,VLOOKUP(C257,'Boats Data Sheet 2026'!$C$3:$J$57,8,0)),"N/A")</f>
        <v>N/A</v>
      </c>
      <c r="D273" t="str" s="431" cm="1">
        <f t="array" ref="D273">IF(B273&gt;7,2,IF(B273=0,"N/A",1))</f>
        <v>N/A</v>
      </c>
      <c r="E273" t="str" s="431" cm="1">
        <f t="array" ref="E273">_xlfn.IFERROR(SUM('Direct Costs 2026'!$C$4:$C$5)*D273,"N/A")</f>
        <v>N/A</v>
      </c>
      <c r="F273" s="423" cm="1">
        <f t="array" ref="F273">_xlfn.IFERROR('Direct Costs 2026'!$C$43*B273,"N/A")</f>
        <v>0</v>
      </c>
      <c r="G273" t="str" s="431" cm="1">
        <f t="array" ref="G273">IF(B273&gt;0,'Direct Costs 2026'!$C$25,"N/A")</f>
        <v>N/A</v>
      </c>
      <c r="H273" t="str" s="431" cm="1">
        <f t="array" ref="H273">IF(B273&gt;0,'Direct Costs 2026'!$C$15+'Direct Costs 2026'!$C$14,"N/A")</f>
        <v>N/A</v>
      </c>
      <c r="I273" s="423">
        <v>0</v>
      </c>
      <c r="J273" s="423">
        <v>0</v>
      </c>
      <c r="K273" t="str" s="431" cm="1">
        <f t="array" ref="K273">IF(B273&gt;0,'Direct Costs 2026'!$C$26,"N/A")</f>
        <v>N/A</v>
      </c>
      <c r="L273" t="str" s="431" cm="1">
        <f t="array" ref="L273">IF(B273&gt;0,'Direct Costs 2026'!$C$23,"N/A")</f>
        <v>N/A</v>
      </c>
      <c r="M273" t="str" s="431" cm="1">
        <f t="array" ref="M273">IF(B273&gt;0,'Direct Costs 2026'!$C$45*B273,"N/A")</f>
        <v>N/A</v>
      </c>
      <c r="N273" t="str" s="431" cm="1">
        <f t="array" ref="N273">IF(B273&gt;0,_xlfn.IFERROR(VLOOKUP(C257,'Boats Data Sheet 2026'!$C$3:$I$57,7,0)*'Direct Costs 2026'!$C$36,"N/A"),"N/A")</f>
        <v>N/A</v>
      </c>
      <c r="O273" t="str" s="431" cm="1">
        <f t="array" ref="O273">IF(B273&gt;0,IF(OR(VLOOKUP(C257,'Boats Data Sheet 2026'!$C$3:$F$57,4,0)="Own",VLOOKUP(C257,'Boats Data Sheet 2026'!$C$3:$F$57,4,0)="Management"),('Direct Costs 2026'!$C$37+'Direct Costs 2026'!$C$39),"N/A"),"N/A")</f>
        <v>N/A</v>
      </c>
      <c r="P273" t="str" s="431" cm="1">
        <f t="array" ref="P273">_xlfn.IFERROR('Direct Costs 2026'!$C$27*C273,"N/A")</f>
        <v>N/A</v>
      </c>
      <c r="Q273" t="str" s="431" cm="1">
        <f t="array" ref="Q273">_xlfn.IFERROR(C273+SUM(E273:P273),"N/A")</f>
        <v>N/A</v>
      </c>
      <c r="R273" s="424"/>
      <c r="S273" t="str" s="431" cm="1">
        <f t="array" ref="S273">IF(B273&gt;0,'Allocation OH and Target 2026'!$E$31,"N/A")</f>
        <v>N/A</v>
      </c>
      <c r="T273" t="str" s="431" cm="1">
        <f t="array" ref="T273">IF(B273&gt;0,VLOOKUP(C257,'Allocation OH and Target 2026'!$C$35:$S$87,16,0),"N/A")</f>
        <v>N/A</v>
      </c>
      <c r="U273" t="str" s="431" cm="1">
        <f t="array" ref="U273">_xlfn.IFERROR((S273+T273),"N/A")</f>
        <v>N/A</v>
      </c>
      <c r="V273" s="424"/>
      <c r="W273" t="str" s="431" cm="1">
        <f t="array" ref="W273">_xlfn.IFERROR(U273+Q273,"N/A")</f>
        <v>N/A</v>
      </c>
      <c r="X273" t="str" s="431" cm="1">
        <f t="array" ref="X273">_xlfn.IFERROR(W273*0.5%,"N/A")</f>
        <v>N/A</v>
      </c>
      <c r="Y273" t="str" s="431" cm="1">
        <f t="array" ref="Y273">_xlfn.IFERROR(W273*25%,"N/A")</f>
        <v>N/A</v>
      </c>
      <c r="Z273" t="str" s="426" cm="1">
        <f t="array" ref="Z273">IF(B273&gt;0,SUM(W273:Y273),"N/A")</f>
        <v>N/A</v>
      </c>
      <c r="AA273" t="str" s="426" cm="1">
        <f t="array" ref="AA273">_xlfn.IFERROR((Z273-Z272),"N/A")</f>
        <v>N/A</v>
      </c>
      <c r="AB273" s="424"/>
      <c r="AC273" t="str" s="426" cm="1">
        <f t="array" ref="AC273">IF(B273=6,AVERAGE(Z260:Z265),"N/A")</f>
        <v>N/A</v>
      </c>
      <c r="AD273" s="424"/>
      <c r="AE273" s="423"/>
      <c r="AF273" s="423"/>
      <c r="AG273" s="423"/>
      <c r="AH273" s="423"/>
      <c r="AI273" s="423"/>
      <c r="AJ273" s="423"/>
      <c r="AK273" s="423"/>
      <c r="AL273" s="423"/>
      <c r="AM273" s="423"/>
      <c r="AN273" s="427"/>
    </row>
    <row r="274" ht="15" customHeight="1">
      <c r="A274" s="12"/>
      <c r="B274" s="428" cm="1">
        <f t="array" ref="B274">IF(B273=0,0,IF(B273&lt;VLOOKUP(C257,'Boats Data Sheet 2026'!$C$3:$H$57,6,0),B273+1,0))</f>
        <v>0</v>
      </c>
      <c r="C274" t="str" s="431" cm="1">
        <f t="array" ref="C274">IF(B274&gt;0,IF(VLOOKUP(C257,'Boats Data Sheet 2026'!$C$3:$J$57,8,0)="N/A",0,VLOOKUP(C257,'Boats Data Sheet 2026'!$C$3:$J$57,8,0)),"N/A")</f>
        <v>N/A</v>
      </c>
      <c r="D274" t="str" s="431" cm="1">
        <f t="array" ref="D274">IF(B274&gt;7,2,IF(B274=0,"N/A",1))</f>
        <v>N/A</v>
      </c>
      <c r="E274" t="str" s="431" cm="1">
        <f t="array" ref="E274">_xlfn.IFERROR(SUM('Direct Costs 2026'!$C$4:$C$5)*D274,"N/A")</f>
        <v>N/A</v>
      </c>
      <c r="F274" s="423" cm="1">
        <f t="array" ref="F274">_xlfn.IFERROR('Direct Costs 2026'!$C$43*B274,"N/A")</f>
        <v>0</v>
      </c>
      <c r="G274" t="str" s="431" cm="1">
        <f t="array" ref="G274">IF(B274&gt;0,'Direct Costs 2026'!$C$25,"N/A")</f>
        <v>N/A</v>
      </c>
      <c r="H274" t="str" s="431" cm="1">
        <f t="array" ref="H274">IF(B274&gt;0,'Direct Costs 2026'!$C$15+'Direct Costs 2026'!$C$14,"N/A")</f>
        <v>N/A</v>
      </c>
      <c r="I274" s="423">
        <v>0</v>
      </c>
      <c r="J274" s="423">
        <v>0</v>
      </c>
      <c r="K274" t="str" s="431" cm="1">
        <f t="array" ref="K274">IF(B274&gt;0,'Direct Costs 2026'!$C$26,"N/A")</f>
        <v>N/A</v>
      </c>
      <c r="L274" t="str" s="431" cm="1">
        <f t="array" ref="L274">IF(B274&gt;0,'Direct Costs 2026'!$C$23,"N/A")</f>
        <v>N/A</v>
      </c>
      <c r="M274" t="str" s="431" cm="1">
        <f t="array" ref="M274">IF(B274&gt;0,'Direct Costs 2026'!$C$45*B274,"N/A")</f>
        <v>N/A</v>
      </c>
      <c r="N274" t="str" s="431" cm="1">
        <f t="array" ref="N274">IF(B274&gt;0,_xlfn.IFERROR(VLOOKUP(C257,'Boats Data Sheet 2026'!$C$3:$I$57,7,0)*'Direct Costs 2026'!$C$36,"N/A"),"N/A")</f>
        <v>N/A</v>
      </c>
      <c r="O274" t="str" s="431" cm="1">
        <f t="array" ref="O274">IF(B274&gt;0,IF(OR(VLOOKUP(C257,'Boats Data Sheet 2026'!$C$3:$F$57,4,0)="Own",VLOOKUP(C257,'Boats Data Sheet 2026'!$C$3:$F$57,4,0)="Management"),('Direct Costs 2026'!$C$37+'Direct Costs 2026'!$C$39),"N/A"),"N/A")</f>
        <v>N/A</v>
      </c>
      <c r="P274" t="str" s="431" cm="1">
        <f t="array" ref="P274">_xlfn.IFERROR('Direct Costs 2026'!$C$27*C274,"N/A")</f>
        <v>N/A</v>
      </c>
      <c r="Q274" t="str" s="431" cm="1">
        <f t="array" ref="Q274">_xlfn.IFERROR(C274+SUM(E274:P274),"N/A")</f>
        <v>N/A</v>
      </c>
      <c r="R274" s="424"/>
      <c r="S274" t="str" s="431" cm="1">
        <f t="array" ref="S274">IF(B274&gt;0,'Allocation OH and Target 2026'!$E$31,"N/A")</f>
        <v>N/A</v>
      </c>
      <c r="T274" t="str" s="431" cm="1">
        <f t="array" ref="T274">IF(B274&gt;0,VLOOKUP(C257,'Allocation OH and Target 2026'!$C$35:$S$87,16,0),"N/A")</f>
        <v>N/A</v>
      </c>
      <c r="U274" t="str" s="431" cm="1">
        <f t="array" ref="U274">_xlfn.IFERROR((S274+T274),"N/A")</f>
        <v>N/A</v>
      </c>
      <c r="V274" s="424"/>
      <c r="W274" t="str" s="431" cm="1">
        <f t="array" ref="W274">_xlfn.IFERROR(U274+Q274,"N/A")</f>
        <v>N/A</v>
      </c>
      <c r="X274" t="str" s="431" cm="1">
        <f t="array" ref="X274">_xlfn.IFERROR(W274*0.5%,"N/A")</f>
        <v>N/A</v>
      </c>
      <c r="Y274" t="str" s="431" cm="1">
        <f t="array" ref="Y274">_xlfn.IFERROR(W274*25%,"N/A")</f>
        <v>N/A</v>
      </c>
      <c r="Z274" t="str" s="426" cm="1">
        <f t="array" ref="Z274">IF(B274&gt;0,SUM(W274:Y274),"N/A")</f>
        <v>N/A</v>
      </c>
      <c r="AA274" t="str" s="426" cm="1">
        <f t="array" ref="AA274">_xlfn.IFERROR((Z274-Z273),"N/A")</f>
        <v>N/A</v>
      </c>
      <c r="AB274" s="424"/>
      <c r="AC274" t="str" s="426" cm="1">
        <f t="array" ref="AC274">IF(B274=6,AVERAGE(Z260:Z265),"N/A")</f>
        <v>N/A</v>
      </c>
      <c r="AD274" s="424"/>
      <c r="AE274" s="423"/>
      <c r="AF274" s="423"/>
      <c r="AG274" s="423"/>
      <c r="AH274" s="423"/>
      <c r="AI274" s="423"/>
      <c r="AJ274" s="423"/>
      <c r="AK274" s="423"/>
      <c r="AL274" s="423"/>
      <c r="AM274" s="423"/>
      <c r="AN274" s="427"/>
    </row>
    <row r="275" ht="15" customHeight="1">
      <c r="A275" s="12"/>
      <c r="B275" s="428" cm="1">
        <f t="array" ref="B275">IF(B274=0,0,IF(B274&lt;VLOOKUP(C257,'Boats Data Sheet 2026'!$C$3:$H$57,6,0),B274+1,0))</f>
        <v>0</v>
      </c>
      <c r="C275" t="str" s="431" cm="1">
        <f t="array" ref="C275">IF(B275&gt;0,IF(VLOOKUP(C257,'Boats Data Sheet 2026'!$C$3:$J$57,8,0)="N/A",0,VLOOKUP(C257,'Boats Data Sheet 2026'!$C$3:$J$57,8,0)),"N/A")</f>
        <v>N/A</v>
      </c>
      <c r="D275" t="str" s="431" cm="1">
        <f t="array" ref="D275">IF(B275&gt;7,2,IF(B275=0,"N/A",1))</f>
        <v>N/A</v>
      </c>
      <c r="E275" t="str" s="431" cm="1">
        <f t="array" ref="E275">_xlfn.IFERROR(SUM('Direct Costs 2026'!$C$4:$C$5)*D275,"N/A")</f>
        <v>N/A</v>
      </c>
      <c r="F275" s="423" cm="1">
        <f t="array" ref="F275">_xlfn.IFERROR('Direct Costs 2026'!$C$43*B275,"N/A")</f>
        <v>0</v>
      </c>
      <c r="G275" t="str" s="431" cm="1">
        <f t="array" ref="G275">IF(B275&gt;0,'Direct Costs 2026'!$C$25,"N/A")</f>
        <v>N/A</v>
      </c>
      <c r="H275" t="str" s="431" cm="1">
        <f t="array" ref="H275">IF(B275&gt;0,'Direct Costs 2026'!$C$15+'Direct Costs 2026'!$C$14,"N/A")</f>
        <v>N/A</v>
      </c>
      <c r="I275" s="423">
        <v>0</v>
      </c>
      <c r="J275" s="423">
        <v>0</v>
      </c>
      <c r="K275" t="str" s="431" cm="1">
        <f t="array" ref="K275">IF(B275&gt;0,'Direct Costs 2026'!$C$26,"N/A")</f>
        <v>N/A</v>
      </c>
      <c r="L275" t="str" s="431" cm="1">
        <f t="array" ref="L275">IF(B275&gt;0,'Direct Costs 2026'!$C$23,"N/A")</f>
        <v>N/A</v>
      </c>
      <c r="M275" t="str" s="431" cm="1">
        <f t="array" ref="M275">IF(B275&gt;0,'Direct Costs 2026'!$C$45*B275,"N/A")</f>
        <v>N/A</v>
      </c>
      <c r="N275" t="str" s="431" cm="1">
        <f t="array" ref="N275">IF(B275&gt;0,_xlfn.IFERROR(VLOOKUP(C257,'Boats Data Sheet 2026'!$C$3:$I$57,7,0)*'Direct Costs 2026'!$C$36,"N/A"),"N/A")</f>
        <v>N/A</v>
      </c>
      <c r="O275" t="str" s="431" cm="1">
        <f t="array" ref="O275">IF(B275&gt;0,IF(OR(VLOOKUP(C257,'Boats Data Sheet 2026'!$C$3:$F$57,4,0)="Own",VLOOKUP(C257,'Boats Data Sheet 2026'!$C$3:$F$57,4,0)="Management"),('Direct Costs 2026'!$C$37+'Direct Costs 2026'!$C$39),"N/A"),"N/A")</f>
        <v>N/A</v>
      </c>
      <c r="P275" t="str" s="431" cm="1">
        <f t="array" ref="P275">_xlfn.IFERROR('Direct Costs 2026'!$C$27*C275,"N/A")</f>
        <v>N/A</v>
      </c>
      <c r="Q275" t="str" s="431" cm="1">
        <f t="array" ref="Q275">_xlfn.IFERROR(C275+SUM(E275:P275),"N/A")</f>
        <v>N/A</v>
      </c>
      <c r="R275" s="424"/>
      <c r="S275" t="str" s="431" cm="1">
        <f t="array" ref="S275">IF(B275&gt;0,'Allocation OH and Target 2026'!$E$31,"N/A")</f>
        <v>N/A</v>
      </c>
      <c r="T275" t="str" s="431" cm="1">
        <f t="array" ref="T275">IF(B275&gt;0,VLOOKUP(C257,'Allocation OH and Target 2026'!$C$35:$S$87,16,0),"N/A")</f>
        <v>N/A</v>
      </c>
      <c r="U275" t="str" s="431" cm="1">
        <f t="array" ref="U275">_xlfn.IFERROR((S275+T275),"N/A")</f>
        <v>N/A</v>
      </c>
      <c r="V275" s="424"/>
      <c r="W275" t="str" s="431" cm="1">
        <f t="array" ref="W275">_xlfn.IFERROR(U275+Q275,"N/A")</f>
        <v>N/A</v>
      </c>
      <c r="X275" t="str" s="431" cm="1">
        <f t="array" ref="X275">_xlfn.IFERROR(W275*0.5%,"N/A")</f>
        <v>N/A</v>
      </c>
      <c r="Y275" t="str" s="431" cm="1">
        <f t="array" ref="Y275">_xlfn.IFERROR(W275*25%,"N/A")</f>
        <v>N/A</v>
      </c>
      <c r="Z275" t="str" s="426" cm="1">
        <f t="array" ref="Z275">IF(B275&gt;0,SUM(W275:Y275),"N/A")</f>
        <v>N/A</v>
      </c>
      <c r="AA275" t="str" s="426" cm="1">
        <f t="array" ref="AA275">_xlfn.IFERROR((Z275-Z274),"N/A")</f>
        <v>N/A</v>
      </c>
      <c r="AB275" s="424"/>
      <c r="AC275" t="str" s="426" cm="1">
        <f t="array" ref="AC275">IF(B275=6,AVERAGE(Z260:Z265),"N/A")</f>
        <v>N/A</v>
      </c>
      <c r="AD275" s="424"/>
      <c r="AE275" s="423"/>
      <c r="AF275" s="423"/>
      <c r="AG275" s="423"/>
      <c r="AH275" s="423"/>
      <c r="AI275" s="423"/>
      <c r="AJ275" s="423"/>
      <c r="AK275" s="423"/>
      <c r="AL275" s="423"/>
      <c r="AM275" s="423"/>
      <c r="AN275" s="427"/>
    </row>
    <row r="276" ht="15" customHeight="1">
      <c r="A276" s="12"/>
      <c r="B276" s="428" cm="1">
        <f t="array" ref="B276">IF(B275=0,0,IF(B275&lt;VLOOKUP(C257,'Boats Data Sheet 2026'!$C$3:$H$57,6,0),B275+1,0))</f>
        <v>0</v>
      </c>
      <c r="C276" t="str" s="431" cm="1">
        <f t="array" ref="C276">IF(B276&gt;0,IF(VLOOKUP(C257,'Boats Data Sheet 2026'!$C$3:$J$57,8,0)="N/A",0,VLOOKUP(C257,'Boats Data Sheet 2026'!$C$3:$J$57,8,0)),"N/A")</f>
        <v>N/A</v>
      </c>
      <c r="D276" t="str" s="431" cm="1">
        <f t="array" ref="D276">IF(B276&gt;7,2,IF(B276=0,"N/A",1))</f>
        <v>N/A</v>
      </c>
      <c r="E276" t="str" s="431" cm="1">
        <f t="array" ref="E276">_xlfn.IFERROR(SUM('Direct Costs 2026'!$C$4:$C$5)*D276,"N/A")</f>
        <v>N/A</v>
      </c>
      <c r="F276" s="423" cm="1">
        <f t="array" ref="F276">_xlfn.IFERROR('Direct Costs 2026'!$C$43*B276,"N/A")</f>
        <v>0</v>
      </c>
      <c r="G276" t="str" s="431" cm="1">
        <f t="array" ref="G276">IF(B276&gt;0,'Direct Costs 2026'!$C$25,"N/A")</f>
        <v>N/A</v>
      </c>
      <c r="H276" t="str" s="431" cm="1">
        <f t="array" ref="H276">IF(B276&gt;0,'Direct Costs 2026'!$C$15+'Direct Costs 2026'!$C$14,"N/A")</f>
        <v>N/A</v>
      </c>
      <c r="I276" s="423">
        <v>0</v>
      </c>
      <c r="J276" s="423">
        <v>0</v>
      </c>
      <c r="K276" t="str" s="431" cm="1">
        <f t="array" ref="K276">IF(B276&gt;0,'Direct Costs 2026'!$C$26,"N/A")</f>
        <v>N/A</v>
      </c>
      <c r="L276" t="str" s="431" cm="1">
        <f t="array" ref="L276">IF(B276&gt;0,'Direct Costs 2026'!$C$23,"N/A")</f>
        <v>N/A</v>
      </c>
      <c r="M276" t="str" s="431" cm="1">
        <f t="array" ref="M276">IF(B276&gt;0,'Direct Costs 2026'!$C$45*B276,"N/A")</f>
        <v>N/A</v>
      </c>
      <c r="N276" t="str" s="431" cm="1">
        <f t="array" ref="N276">IF(B276&gt;0,_xlfn.IFERROR(VLOOKUP(C257,'Boats Data Sheet 2026'!$C$3:$I$57,7,0)*'Direct Costs 2026'!$C$36,"N/A"),"N/A")</f>
        <v>N/A</v>
      </c>
      <c r="O276" t="str" s="431" cm="1">
        <f t="array" ref="O276">IF(B276&gt;0,IF(OR(VLOOKUP(C257,'Boats Data Sheet 2026'!$C$3:$F$57,4,0)="Own",VLOOKUP(C257,'Boats Data Sheet 2026'!$C$3:$F$57,4,0)="Management"),('Direct Costs 2026'!$C$37+'Direct Costs 2026'!$C$39),"N/A"),"N/A")</f>
        <v>N/A</v>
      </c>
      <c r="P276" t="str" s="431" cm="1">
        <f t="array" ref="P276">_xlfn.IFERROR('Direct Costs 2026'!$C$27*C276,"N/A")</f>
        <v>N/A</v>
      </c>
      <c r="Q276" t="str" s="431" cm="1">
        <f t="array" ref="Q276">_xlfn.IFERROR(C276+SUM(E276:P276),"N/A")</f>
        <v>N/A</v>
      </c>
      <c r="R276" s="424"/>
      <c r="S276" t="str" s="431" cm="1">
        <f t="array" ref="S276">IF(B276&gt;0,'Allocation OH and Target 2026'!$E$31,"N/A")</f>
        <v>N/A</v>
      </c>
      <c r="T276" t="str" s="431" cm="1">
        <f t="array" ref="T276">IF(B276&gt;0,VLOOKUP(C257,'Allocation OH and Target 2026'!$C$35:$S$87,16,0),"N/A")</f>
        <v>N/A</v>
      </c>
      <c r="U276" t="str" s="431" cm="1">
        <f t="array" ref="U276">_xlfn.IFERROR((S276+T276),"N/A")</f>
        <v>N/A</v>
      </c>
      <c r="V276" s="424"/>
      <c r="W276" t="str" s="431" cm="1">
        <f t="array" ref="W276">_xlfn.IFERROR(U276+Q276,"N/A")</f>
        <v>N/A</v>
      </c>
      <c r="X276" t="str" s="431" cm="1">
        <f t="array" ref="X276">_xlfn.IFERROR(W276*0.5%,"N/A")</f>
        <v>N/A</v>
      </c>
      <c r="Y276" t="str" s="431" cm="1">
        <f t="array" ref="Y276">_xlfn.IFERROR(W276*25%,"N/A")</f>
        <v>N/A</v>
      </c>
      <c r="Z276" t="str" s="426" cm="1">
        <f t="array" ref="Z276">IF(B276&gt;0,SUM(W276:Y276),"N/A")</f>
        <v>N/A</v>
      </c>
      <c r="AA276" t="str" s="426" cm="1">
        <f t="array" ref="AA276">_xlfn.IFERROR((Z276-Z275),"N/A")</f>
        <v>N/A</v>
      </c>
      <c r="AB276" s="424"/>
      <c r="AC276" t="str" s="426" cm="1">
        <f t="array" ref="AC276">IF(B276=6,AVERAGE(Z260:Z265),"N/A")</f>
        <v>N/A</v>
      </c>
      <c r="AD276" s="424"/>
      <c r="AE276" s="423"/>
      <c r="AF276" s="423"/>
      <c r="AG276" s="423"/>
      <c r="AH276" s="423"/>
      <c r="AI276" s="423"/>
      <c r="AJ276" s="423"/>
      <c r="AK276" s="423"/>
      <c r="AL276" s="423"/>
      <c r="AM276" s="423"/>
      <c r="AN276" s="427"/>
    </row>
    <row r="277" ht="15.5" customHeight="1">
      <c r="A277" s="12"/>
      <c r="B277" s="432" cm="1">
        <f t="array" ref="B277">IF(B276=0,0,IF(B276&lt;VLOOKUP(C257,'Boats Data Sheet 2026'!$C$3:$H$57,6,0),B276+1,0))</f>
        <v>0</v>
      </c>
      <c r="C277" t="str" s="433" cm="1">
        <f t="array" ref="C277">IF(B277&gt;0,IF(VLOOKUP(C257,'Boats Data Sheet 2026'!$C$3:$J$57,8,0)="N/A",0,VLOOKUP(C257,'Boats Data Sheet 2026'!$C$3:$J$57,8,0)),"N/A")</f>
        <v>N/A</v>
      </c>
      <c r="D277" t="str" s="433" cm="1">
        <f t="array" ref="D277">IF(B277&gt;7,2,IF(B277=0,"N/A",1))</f>
        <v>N/A</v>
      </c>
      <c r="E277" t="str" s="433" cm="1">
        <f t="array" ref="E277">_xlfn.IFERROR(SUM('Direct Costs 2026'!$C$4:$C$5)*D277,"N/A")</f>
        <v>N/A</v>
      </c>
      <c r="F277" s="434" cm="1">
        <f t="array" ref="F277">_xlfn.IFERROR('Direct Costs 2026'!$C$43*B277,"N/A")</f>
        <v>0</v>
      </c>
      <c r="G277" t="str" s="433" cm="1">
        <f t="array" ref="G277">IF(B277&gt;0,'Direct Costs 2026'!$C$25,"N/A")</f>
        <v>N/A</v>
      </c>
      <c r="H277" t="str" s="433" cm="1">
        <f t="array" ref="H277">IF(B277&gt;0,'Direct Costs 2026'!$C$15+'Direct Costs 2026'!$C$14,"N/A")</f>
        <v>N/A</v>
      </c>
      <c r="I277" s="434">
        <v>0</v>
      </c>
      <c r="J277" s="434">
        <v>0</v>
      </c>
      <c r="K277" t="str" s="433" cm="1">
        <f t="array" ref="K277">IF(B277&gt;0,'Direct Costs 2026'!$C$26,"N/A")</f>
        <v>N/A</v>
      </c>
      <c r="L277" t="str" s="433" cm="1">
        <f t="array" ref="L277">IF(B277&gt;0,'Direct Costs 2026'!$C$23,"N/A")</f>
        <v>N/A</v>
      </c>
      <c r="M277" t="str" s="433" cm="1">
        <f t="array" ref="M277">IF(B277&gt;0,'Direct Costs 2026'!$C$45*B277,"N/A")</f>
        <v>N/A</v>
      </c>
      <c r="N277" t="str" s="433" cm="1">
        <f t="array" ref="N277">IF(B277&gt;0,_xlfn.IFERROR(VLOOKUP(C257,'Boats Data Sheet 2026'!$C$3:$I$57,7,0)*'Direct Costs 2026'!$C$36,"N/A"),"N/A")</f>
        <v>N/A</v>
      </c>
      <c r="O277" t="str" s="433" cm="1">
        <f t="array" ref="O277">IF(B277&gt;0,IF(OR(VLOOKUP(C257,'Boats Data Sheet 2026'!$C$3:$F$57,4,0)="Own",VLOOKUP(C257,'Boats Data Sheet 2026'!$C$3:$F$57,4,0)="Management"),('Direct Costs 2026'!$C$37+'Direct Costs 2026'!$C$39),"N/A"),"N/A")</f>
        <v>N/A</v>
      </c>
      <c r="P277" t="str" s="433" cm="1">
        <f t="array" ref="P277">_xlfn.IFERROR('Direct Costs 2026'!$C$27*C277,"N/A")</f>
        <v>N/A</v>
      </c>
      <c r="Q277" t="str" s="433" cm="1">
        <f t="array" ref="Q277">_xlfn.IFERROR(C277+SUM(E277:P277),"N/A")</f>
        <v>N/A</v>
      </c>
      <c r="R277" s="435"/>
      <c r="S277" t="str" s="433" cm="1">
        <f t="array" ref="S277">IF(B277&gt;0,'Allocation OH and Target 2026'!$E$31,"N/A")</f>
        <v>N/A</v>
      </c>
      <c r="T277" t="str" s="433" cm="1">
        <f t="array" ref="T277">IF(B277&gt;0,VLOOKUP(C257,'Allocation OH and Target 2026'!$C$35:$S$87,16,0),"N/A")</f>
        <v>N/A</v>
      </c>
      <c r="U277" t="str" s="433" cm="1">
        <f t="array" ref="U277">_xlfn.IFERROR((S277+T277),"N/A")</f>
        <v>N/A</v>
      </c>
      <c r="V277" s="435"/>
      <c r="W277" t="str" s="433" cm="1">
        <f t="array" ref="W277">_xlfn.IFERROR(U277+Q277,"N/A")</f>
        <v>N/A</v>
      </c>
      <c r="X277" t="str" s="433" cm="1">
        <f t="array" ref="X277">_xlfn.IFERROR(W277*0.5%,"N/A")</f>
        <v>N/A</v>
      </c>
      <c r="Y277" t="str" s="433" cm="1">
        <f t="array" ref="Y277">_xlfn.IFERROR(W277*25%,"N/A")</f>
        <v>N/A</v>
      </c>
      <c r="Z277" t="str" s="436" cm="1">
        <f t="array" ref="Z277">IF(B277&gt;0,SUM(W277:Y277),"N/A")</f>
        <v>N/A</v>
      </c>
      <c r="AA277" t="str" s="436" cm="1">
        <f t="array" ref="AA277">_xlfn.IFERROR((Z277-Z276),"N/A")</f>
        <v>N/A</v>
      </c>
      <c r="AB277" s="435"/>
      <c r="AC277" t="str" s="436" cm="1">
        <f t="array" ref="AC277">IF(B277=6,AVERAGE(Z260:Z265),"N/A")</f>
        <v>N/A</v>
      </c>
      <c r="AD277" s="435"/>
      <c r="AE277" s="434"/>
      <c r="AF277" s="434"/>
      <c r="AG277" s="434"/>
      <c r="AH277" s="434"/>
      <c r="AI277" s="434"/>
      <c r="AJ277" s="434"/>
      <c r="AK277" s="434"/>
      <c r="AL277" s="434"/>
      <c r="AM277" s="434"/>
      <c r="AN277" s="437"/>
    </row>
    <row r="278" ht="15" customHeight="1">
      <c r="A278" s="32"/>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c r="AH278" s="124"/>
      <c r="AI278" s="124"/>
      <c r="AJ278" s="124"/>
      <c r="AK278" s="124"/>
      <c r="AL278" s="124"/>
      <c r="AM278" s="124"/>
      <c r="AN278" s="313"/>
    </row>
    <row r="279" ht="15" customHeight="1">
      <c r="A279" s="32"/>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442"/>
    </row>
    <row r="280" ht="15.5" customHeight="1">
      <c r="A280" s="395">
        <v>14</v>
      </c>
      <c r="B280" t="s" s="396">
        <v>506</v>
      </c>
      <c r="C280" t="s" s="397">
        <v>196</v>
      </c>
      <c r="D280" s="398"/>
      <c r="E280" s="398"/>
      <c r="F280" s="398"/>
      <c r="G280" s="398"/>
      <c r="H280" s="398"/>
      <c r="I280" s="398"/>
      <c r="J280" s="398"/>
      <c r="K280" s="398"/>
      <c r="L280" s="398"/>
      <c r="M280" s="398"/>
      <c r="N280" s="398"/>
      <c r="O280" s="398"/>
      <c r="P280" s="398"/>
      <c r="Q280" s="398"/>
      <c r="R280" s="399"/>
      <c r="S280" s="398"/>
      <c r="T280" s="398"/>
      <c r="U280" s="398"/>
      <c r="V280" s="399"/>
      <c r="W280" s="398"/>
      <c r="X280" s="398"/>
      <c r="Y280" s="398"/>
      <c r="Z280" s="398"/>
      <c r="AA280" s="398"/>
      <c r="AB280" s="399"/>
      <c r="AC280" s="398"/>
      <c r="AD280" s="399"/>
      <c r="AE280" t="s" s="397">
        <v>508</v>
      </c>
      <c r="AF280" s="401" cm="1">
        <f t="array" ref="AF280">AVERAGE(Q283:Q288)</f>
        <v>7690000</v>
      </c>
      <c r="AG280" s="488"/>
      <c r="AH280" s="401"/>
      <c r="AI280" t="s" s="400">
        <v>510</v>
      </c>
      <c r="AJ280" s="401" cm="1">
        <f t="array" ref="AJ280">AVERAGE(Y283:Y290)</f>
        <v>2763971.16442453</v>
      </c>
      <c r="AK280" t="s" s="397">
        <v>511</v>
      </c>
      <c r="AL280" s="401" cm="1">
        <f t="array" ref="AL280">AVERAGE(W283:W288)</f>
        <v>10790447.1576981</v>
      </c>
      <c r="AM280" t="s" s="400">
        <v>512</v>
      </c>
      <c r="AN280" s="402" cm="1">
        <f t="array" ref="AN280">W283</f>
        <v>10400447.1576981</v>
      </c>
    </row>
    <row r="281" ht="15" customHeight="1">
      <c r="A281" s="12"/>
      <c r="B281" s="403"/>
      <c r="C281" t="s" s="404">
        <v>513</v>
      </c>
      <c r="D281" s="405"/>
      <c r="E281" s="405"/>
      <c r="F281" s="405"/>
      <c r="G281" s="405"/>
      <c r="H281" s="405"/>
      <c r="I281" s="405"/>
      <c r="J281" s="405"/>
      <c r="K281" s="405"/>
      <c r="L281" s="405"/>
      <c r="M281" s="405"/>
      <c r="N281" s="405"/>
      <c r="O281" s="405"/>
      <c r="P281" s="405"/>
      <c r="Q281" s="406"/>
      <c r="R281" s="407"/>
      <c r="S281" t="s" s="404">
        <v>514</v>
      </c>
      <c r="T281" s="405"/>
      <c r="U281" s="406"/>
      <c r="V281" s="407"/>
      <c r="W281" t="s" s="404">
        <v>515</v>
      </c>
      <c r="X281" s="405"/>
      <c r="Y281" s="405"/>
      <c r="Z281" s="405"/>
      <c r="AA281" s="405"/>
      <c r="AB281" s="408"/>
      <c r="AC281" t="s" s="409">
        <v>516</v>
      </c>
      <c r="AD281" s="410"/>
      <c r="AE281" s="443"/>
      <c r="AF281" s="443"/>
      <c r="AG281" s="443"/>
      <c r="AH281" s="443"/>
      <c r="AI281" s="443"/>
      <c r="AJ281" s="443"/>
      <c r="AK281" s="443"/>
      <c r="AL281" s="414"/>
      <c r="AM281" s="415"/>
      <c r="AN281" s="414"/>
    </row>
    <row r="282" ht="46.25" customHeight="1">
      <c r="A282" s="187"/>
      <c r="B282" t="s" s="416">
        <v>517</v>
      </c>
      <c r="C282" t="s" s="417">
        <v>518</v>
      </c>
      <c r="D282" t="s" s="417">
        <v>519</v>
      </c>
      <c r="E282" t="s" s="417">
        <v>520</v>
      </c>
      <c r="F282" t="s" s="159">
        <v>521</v>
      </c>
      <c r="G282" t="s" s="159">
        <v>522</v>
      </c>
      <c r="H282" t="s" s="159">
        <v>553</v>
      </c>
      <c r="I282" t="s" s="159">
        <v>524</v>
      </c>
      <c r="J282" t="s" s="159">
        <v>525</v>
      </c>
      <c r="K282" t="s" s="159">
        <v>526</v>
      </c>
      <c r="L282" t="s" s="159">
        <v>527</v>
      </c>
      <c r="M282" t="s" s="159">
        <v>528</v>
      </c>
      <c r="N282" t="s" s="159">
        <v>529</v>
      </c>
      <c r="O282" t="s" s="159">
        <v>530</v>
      </c>
      <c r="P282" t="s" s="159">
        <v>531</v>
      </c>
      <c r="Q282" t="s" s="159">
        <v>532</v>
      </c>
      <c r="R282" s="418"/>
      <c r="S282" t="s" s="159">
        <v>533</v>
      </c>
      <c r="T282" t="s" s="159">
        <v>534</v>
      </c>
      <c r="U282" t="s" s="159">
        <v>535</v>
      </c>
      <c r="V282" s="418"/>
      <c r="W282" t="s" s="159">
        <v>536</v>
      </c>
      <c r="X282" t="s" s="159">
        <v>537</v>
      </c>
      <c r="Y282" t="s" s="159">
        <v>538</v>
      </c>
      <c r="Z282" t="s" s="159">
        <v>539</v>
      </c>
      <c r="AA282" t="s" s="159">
        <v>121</v>
      </c>
      <c r="AB282" s="419"/>
      <c r="AC282" t="s" s="159">
        <v>39</v>
      </c>
      <c r="AD282" s="419"/>
      <c r="AE282" s="77"/>
      <c r="AF282" s="77"/>
      <c r="AG282" s="77"/>
      <c r="AH282" s="77"/>
      <c r="AI282" s="77"/>
      <c r="AJ282" s="77"/>
      <c r="AK282" s="77"/>
      <c r="AL282" s="77"/>
      <c r="AM282" s="77"/>
      <c r="AN282" s="78"/>
    </row>
    <row r="283" ht="15" customHeight="1">
      <c r="A283" s="12"/>
      <c r="B283" s="420">
        <v>1</v>
      </c>
      <c r="C283" s="421" cm="1">
        <f t="array" ref="C283">IF(B283&gt;0,IF(VLOOKUP(C280,'Boats Data Sheet 2026'!$C$3:$J$57,8,0)="N/A",0,VLOOKUP(C280,'Boats Data Sheet 2026'!$C$3:$J$57,8,0)),"N/A")</f>
        <v>5675000</v>
      </c>
      <c r="D283" s="422" cm="1">
        <f t="array" ref="D283">IF(B283&gt;7,2,IF(B283=0,"N/A",1))</f>
        <v>1</v>
      </c>
      <c r="E283" s="421" cm="1">
        <f t="array" ref="E283">_xlfn.IFERROR(SUM('Direct Costs 2026'!$C$4:$C$5)*D283,"N/A")</f>
        <v>875500</v>
      </c>
      <c r="F283" s="423" cm="1">
        <f t="array" ref="F283">_xlfn.IFERROR('Direct Costs 2026'!$C$43*B283,"N/A")</f>
        <v>6000</v>
      </c>
      <c r="G283" s="423" cm="1">
        <f t="array" ref="G283">IF(B283&gt;0,'Direct Costs 2026'!$C$25,"N/A")</f>
        <v>90000</v>
      </c>
      <c r="H283" s="423" cm="1">
        <f t="array" ref="H283">IF(B283&gt;0,'Direct Costs 2026'!$C$15+'Direct Costs 2026'!$C$14,"N/A")</f>
        <v>230000</v>
      </c>
      <c r="I283" s="423">
        <v>0</v>
      </c>
      <c r="J283" s="423">
        <v>0</v>
      </c>
      <c r="K283" s="423" cm="1">
        <f t="array" ref="K283">IF(B283&gt;0,'Direct Costs 2026'!$C$26,"N/A")</f>
        <v>20000</v>
      </c>
      <c r="L283" s="423" cm="1">
        <f t="array" ref="L283">IF(B283&gt;0,'Direct Costs 2026'!$C$23,"N/A")</f>
        <v>140000</v>
      </c>
      <c r="M283" s="423" cm="1">
        <f t="array" ref="M283">IF(B283&gt;0,'Direct Costs 2026'!$C$45*B283,"N/A")</f>
        <v>150000</v>
      </c>
      <c r="N283" t="str" s="431" cm="1">
        <f t="array" ref="N283">IF(B283&gt;0,_xlfn.IFERROR(VLOOKUP(C280,'Boats Data Sheet 2026'!$C$3:$I$57,7,0)*'Direct Costs 2026'!$C$36,"N/A"),"N/A")</f>
        <v>N/A</v>
      </c>
      <c r="O283" t="str" s="431" cm="1">
        <f t="array" ref="O283">IF(B283&gt;0,IF(OR(VLOOKUP(C280,'Boats Data Sheet 2026'!$C$3:$F$57,4,0)="Own",VLOOKUP(C280,'Boats Data Sheet 2026'!$C$3:$F$57,4,0)="Management"),('Direct Costs 2026'!$C$37+'Direct Costs 2026'!$C$39),"N/A"),"N/A")</f>
        <v>N/A</v>
      </c>
      <c r="P283" s="423" cm="1">
        <f t="array" ref="P283">_xlfn.IFERROR('Direct Costs 2026'!$C$27*C283,"N/A")</f>
        <v>113500</v>
      </c>
      <c r="Q283" s="423" cm="1">
        <f t="array" ref="Q283">_xlfn.IFERROR(C283+SUM(E283:P283),"N/A")</f>
        <v>7300000</v>
      </c>
      <c r="R283" s="424"/>
      <c r="S283" s="423" cm="1">
        <f t="array" ref="S283">IF(B283&gt;0,'Allocation OH and Target 2026'!$E$31,"N/A")</f>
        <v>3100447.15769812</v>
      </c>
      <c r="T283" s="423" cm="1">
        <f t="array" ref="T283">IF(B283&gt;0,VLOOKUP(C280,'Allocation OH and Target 2026'!$C$35:$S$87,16,0),"N/A")</f>
        <v>0</v>
      </c>
      <c r="U283" s="423" cm="1">
        <f t="array" ref="U283">_xlfn.IFERROR((S283+T283),"N/A")</f>
        <v>3100447.15769812</v>
      </c>
      <c r="V283" s="424"/>
      <c r="W283" s="423" cm="1">
        <f t="array" ref="W283">_xlfn.IFERROR(U283+Q283,"N/A")</f>
        <v>10400447.1576981</v>
      </c>
      <c r="X283" s="423" cm="1">
        <f t="array" ref="X283">_xlfn.IFERROR(W283*0.5%,"N/A")</f>
        <v>52002.2357884905</v>
      </c>
      <c r="Y283" s="423" cm="1">
        <f t="array" ref="Y283">_xlfn.IFERROR(W283*25%,"N/A")</f>
        <v>2600111.78942453</v>
      </c>
      <c r="Z283" s="425" cm="1">
        <f t="array" ref="Z283">IF(B283&gt;0,SUM(W283:Y283),"N/A")</f>
        <v>13052561.1829111</v>
      </c>
      <c r="AA283" s="425">
        <v>0</v>
      </c>
      <c r="AB283" s="424"/>
      <c r="AC283" t="str" s="426" cm="1">
        <f t="array" ref="AC283">IF(B283=6,AVERAGE(Z283:Z288),"N/A")</f>
        <v>N/A</v>
      </c>
      <c r="AD283" s="424"/>
      <c r="AE283" s="423"/>
      <c r="AF283" s="423"/>
      <c r="AG283" s="423"/>
      <c r="AH283" s="423"/>
      <c r="AI283" s="423"/>
      <c r="AJ283" s="423"/>
      <c r="AK283" s="423"/>
      <c r="AL283" s="423"/>
      <c r="AM283" s="423"/>
      <c r="AN283" s="427"/>
    </row>
    <row r="284" ht="15" customHeight="1">
      <c r="A284" s="12"/>
      <c r="B284" s="428" cm="1">
        <f t="array" ref="B284">IF(B283=0,0,IF(B283&lt;VLOOKUP(C280,'Boats Data Sheet 2026'!$C$3:$H$57,6,0),B283+1,0))</f>
        <v>2</v>
      </c>
      <c r="C284" s="423" cm="1">
        <f t="array" ref="C284">IF(B284&gt;0,IF(VLOOKUP(C280,'Boats Data Sheet 2026'!$C$3:$J$57,8,0)="N/A",0,VLOOKUP(C280,'Boats Data Sheet 2026'!$C$3:$J$57,8,0)),"N/A")</f>
        <v>5675000</v>
      </c>
      <c r="D284" s="429" cm="1">
        <f t="array" ref="D284">IF(B284&gt;7,2,IF(B284=0,"N/A",1))</f>
        <v>1</v>
      </c>
      <c r="E284" s="423" cm="1">
        <f t="array" ref="E284">_xlfn.IFERROR(SUM('Direct Costs 2026'!$C$4:$C$5)*D284,"N/A")</f>
        <v>875500</v>
      </c>
      <c r="F284" s="423" cm="1">
        <f t="array" ref="F284">_xlfn.IFERROR('Direct Costs 2026'!$C$43*B284,"N/A")</f>
        <v>12000</v>
      </c>
      <c r="G284" s="423" cm="1">
        <f t="array" ref="G284">IF(B284&gt;0,'Direct Costs 2026'!$C$25,"N/A")</f>
        <v>90000</v>
      </c>
      <c r="H284" s="423" cm="1">
        <f t="array" ref="H284">IF(B284&gt;0,'Direct Costs 2026'!$C$15+'Direct Costs 2026'!$C$14,"N/A")</f>
        <v>230000</v>
      </c>
      <c r="I284" s="423">
        <v>0</v>
      </c>
      <c r="J284" s="423">
        <v>0</v>
      </c>
      <c r="K284" s="423" cm="1">
        <f t="array" ref="K284">IF(B284&gt;0,'Direct Costs 2026'!$C$26,"N/A")</f>
        <v>20000</v>
      </c>
      <c r="L284" s="423" cm="1">
        <f t="array" ref="L284">IF(B284&gt;0,'Direct Costs 2026'!$C$23,"N/A")</f>
        <v>140000</v>
      </c>
      <c r="M284" s="423" cm="1">
        <f t="array" ref="M284">IF(B284&gt;0,'Direct Costs 2026'!$C$45*B284,"N/A")</f>
        <v>300000</v>
      </c>
      <c r="N284" t="str" s="431" cm="1">
        <f t="array" ref="N284">IF(B284&gt;0,_xlfn.IFERROR(VLOOKUP(C280,'Boats Data Sheet 2026'!$C$3:$I$57,7,0)*'Direct Costs 2026'!$C$36,"N/A"),"N/A")</f>
        <v>N/A</v>
      </c>
      <c r="O284" t="str" s="431" cm="1">
        <f t="array" ref="O284">IF(B284&gt;0,IF(OR(VLOOKUP(C280,'Boats Data Sheet 2026'!$C$3:$F$57,4,0)="Own",VLOOKUP(C280,'Boats Data Sheet 2026'!$C$3:$F$57,4,0)="Management"),('Direct Costs 2026'!$C$37+'Direct Costs 2026'!$C$39),"N/A"),"N/A")</f>
        <v>N/A</v>
      </c>
      <c r="P284" s="423" cm="1">
        <f t="array" ref="P284">_xlfn.IFERROR('Direct Costs 2026'!$C$27*C284,"N/A")</f>
        <v>113500</v>
      </c>
      <c r="Q284" s="423" cm="1">
        <f t="array" ref="Q284">_xlfn.IFERROR(C284+SUM(E284:P284),"N/A")</f>
        <v>7456000</v>
      </c>
      <c r="R284" s="424"/>
      <c r="S284" s="423" cm="1">
        <f t="array" ref="S284">IF(B284&gt;0,'Allocation OH and Target 2026'!$E$31,"N/A")</f>
        <v>3100447.15769812</v>
      </c>
      <c r="T284" s="423" cm="1">
        <f t="array" ref="T284">IF(B284&gt;0,VLOOKUP(C280,'Allocation OH and Target 2026'!$C$35:$S$87,16,0),"N/A")</f>
        <v>0</v>
      </c>
      <c r="U284" s="423" cm="1">
        <f t="array" ref="U284">_xlfn.IFERROR((S284+T284),"N/A")</f>
        <v>3100447.15769812</v>
      </c>
      <c r="V284" s="424"/>
      <c r="W284" s="423" cm="1">
        <f t="array" ref="W284">_xlfn.IFERROR(U284+Q284,"N/A")</f>
        <v>10556447.1576981</v>
      </c>
      <c r="X284" s="423" cm="1">
        <f t="array" ref="X284">_xlfn.IFERROR(W284*0.5%,"N/A")</f>
        <v>52782.2357884905</v>
      </c>
      <c r="Y284" s="423" cm="1">
        <f t="array" ref="Y284">_xlfn.IFERROR(W284*25%,"N/A")</f>
        <v>2639111.78942453</v>
      </c>
      <c r="Z284" s="425" cm="1">
        <f t="array" ref="Z284">IF(B284&gt;0,SUM(W284:Y284),"N/A")</f>
        <v>13248341.1829111</v>
      </c>
      <c r="AA284" s="425" cm="1">
        <f t="array" ref="AA284">_xlfn.IFERROR((Z284-Z283),"N/A")</f>
        <v>195780</v>
      </c>
      <c r="AB284" s="424"/>
      <c r="AC284" t="str" s="426" cm="1">
        <f t="array" ref="AC284">IF(B284=6,AVERAGE(Z283:Z288),"N/A")</f>
        <v>N/A</v>
      </c>
      <c r="AD284" s="424"/>
      <c r="AE284" s="423"/>
      <c r="AF284" s="423"/>
      <c r="AG284" s="423"/>
      <c r="AH284" s="423"/>
      <c r="AI284" s="423"/>
      <c r="AJ284" s="423"/>
      <c r="AK284" s="423"/>
      <c r="AL284" s="423"/>
      <c r="AM284" s="423"/>
      <c r="AN284" s="427"/>
    </row>
    <row r="285" ht="15" customHeight="1">
      <c r="A285" s="12"/>
      <c r="B285" s="428" cm="1">
        <f t="array" ref="B285">IF(B284=0,0,IF(B284&lt;VLOOKUP(C280,'Boats Data Sheet 2026'!$C$3:$H$57,6,0),B284+1,0))</f>
        <v>3</v>
      </c>
      <c r="C285" s="423" cm="1">
        <f t="array" ref="C285">IF(B285&gt;0,IF(VLOOKUP(C280,'Boats Data Sheet 2026'!$C$3:$J$57,8,0)="N/A",0,VLOOKUP(C280,'Boats Data Sheet 2026'!$C$3:$J$57,8,0)),"N/A")</f>
        <v>5675000</v>
      </c>
      <c r="D285" s="429" cm="1">
        <f t="array" ref="D285">IF(B285&gt;7,2,IF(B285=0,"N/A",1))</f>
        <v>1</v>
      </c>
      <c r="E285" s="423" cm="1">
        <f t="array" ref="E285">_xlfn.IFERROR(SUM('Direct Costs 2026'!$C$4:$C$5)*D285,"N/A")</f>
        <v>875500</v>
      </c>
      <c r="F285" s="423" cm="1">
        <f t="array" ref="F285">_xlfn.IFERROR('Direct Costs 2026'!$C$43*B285,"N/A")</f>
        <v>18000</v>
      </c>
      <c r="G285" s="423" cm="1">
        <f t="array" ref="G285">IF(B285&gt;0,'Direct Costs 2026'!$C$25,"N/A")</f>
        <v>90000</v>
      </c>
      <c r="H285" s="423" cm="1">
        <f t="array" ref="H285">IF(B285&gt;0,'Direct Costs 2026'!$C$15+'Direct Costs 2026'!$C$14,"N/A")</f>
        <v>230000</v>
      </c>
      <c r="I285" s="423">
        <v>0</v>
      </c>
      <c r="J285" s="423">
        <v>0</v>
      </c>
      <c r="K285" s="423" cm="1">
        <f t="array" ref="K285">IF(B285&gt;0,'Direct Costs 2026'!$C$26,"N/A")</f>
        <v>20000</v>
      </c>
      <c r="L285" s="423" cm="1">
        <f t="array" ref="L285">IF(B285&gt;0,'Direct Costs 2026'!$C$23,"N/A")</f>
        <v>140000</v>
      </c>
      <c r="M285" s="423" cm="1">
        <f t="array" ref="M285">IF(B285&gt;0,'Direct Costs 2026'!$C$45*B285,"N/A")</f>
        <v>450000</v>
      </c>
      <c r="N285" t="str" s="431" cm="1">
        <f t="array" ref="N285">IF(B285&gt;0,_xlfn.IFERROR(VLOOKUP(C280,'Boats Data Sheet 2026'!$C$3:$I$57,7,0)*'Direct Costs 2026'!$C$36,"N/A"),"N/A")</f>
        <v>N/A</v>
      </c>
      <c r="O285" t="str" s="431" cm="1">
        <f t="array" ref="O285">IF(B285&gt;0,IF(OR(VLOOKUP(C280,'Boats Data Sheet 2026'!$C$3:$F$57,4,0)="Own",VLOOKUP(C280,'Boats Data Sheet 2026'!$C$3:$F$57,4,0)="Management"),('Direct Costs 2026'!$C$37+'Direct Costs 2026'!$C$39),"N/A"),"N/A")</f>
        <v>N/A</v>
      </c>
      <c r="P285" s="423" cm="1">
        <f t="array" ref="P285">_xlfn.IFERROR('Direct Costs 2026'!$C$27*C285,"N/A")</f>
        <v>113500</v>
      </c>
      <c r="Q285" s="423" cm="1">
        <f t="array" ref="Q285">_xlfn.IFERROR(C285+SUM(E285:P285),"N/A")</f>
        <v>7612000</v>
      </c>
      <c r="R285" s="424"/>
      <c r="S285" s="423" cm="1">
        <f t="array" ref="S285">IF(B285&gt;0,'Allocation OH and Target 2026'!$E$31,"N/A")</f>
        <v>3100447.15769812</v>
      </c>
      <c r="T285" s="423" cm="1">
        <f t="array" ref="T285">IF(B285&gt;0,VLOOKUP(C280,'Allocation OH and Target 2026'!$C$35:$S$87,16,0),"N/A")</f>
        <v>0</v>
      </c>
      <c r="U285" s="423" cm="1">
        <f t="array" ref="U285">_xlfn.IFERROR((S285+T285),"N/A")</f>
        <v>3100447.15769812</v>
      </c>
      <c r="V285" s="424"/>
      <c r="W285" s="423" cm="1">
        <f t="array" ref="W285">_xlfn.IFERROR(U285+Q285,"N/A")</f>
        <v>10712447.1576981</v>
      </c>
      <c r="X285" s="423" cm="1">
        <f t="array" ref="X285">_xlfn.IFERROR(W285*0.5%,"N/A")</f>
        <v>53562.2357884905</v>
      </c>
      <c r="Y285" s="423" cm="1">
        <f t="array" ref="Y285">_xlfn.IFERROR(W285*25%,"N/A")</f>
        <v>2678111.78942453</v>
      </c>
      <c r="Z285" s="425" cm="1">
        <f t="array" ref="Z285">IF(B285&gt;0,SUM(W285:Y285),"N/A")</f>
        <v>13444121.1829111</v>
      </c>
      <c r="AA285" s="425" cm="1">
        <f t="array" ref="AA285">_xlfn.IFERROR((Z285-Z284),"N/A")</f>
        <v>195780</v>
      </c>
      <c r="AB285" s="424"/>
      <c r="AC285" t="str" s="426" cm="1">
        <f t="array" ref="AC285">IF(B285=6,AVERAGE(Z283:Z288),"N/A")</f>
        <v>N/A</v>
      </c>
      <c r="AD285" s="424"/>
      <c r="AE285" s="423"/>
      <c r="AF285" s="423"/>
      <c r="AG285" s="423"/>
      <c r="AH285" s="423"/>
      <c r="AI285" s="423"/>
      <c r="AJ285" s="423"/>
      <c r="AK285" s="423"/>
      <c r="AL285" s="423"/>
      <c r="AM285" s="423"/>
      <c r="AN285" s="427"/>
    </row>
    <row r="286" ht="15" customHeight="1">
      <c r="A286" s="12"/>
      <c r="B286" s="428" cm="1">
        <f t="array" ref="B286">IF(B285=0,0,IF(B285&lt;VLOOKUP(C280,'Boats Data Sheet 2026'!$C$3:$H$57,6,0),B285+1,0))</f>
        <v>4</v>
      </c>
      <c r="C286" s="423" cm="1">
        <f t="array" ref="C286">IF(B286&gt;0,IF(VLOOKUP(C280,'Boats Data Sheet 2026'!$C$3:$J$57,8,0)="N/A",0,VLOOKUP(C280,'Boats Data Sheet 2026'!$C$3:$J$57,8,0)),"N/A")</f>
        <v>5675000</v>
      </c>
      <c r="D286" s="429" cm="1">
        <f t="array" ref="D286">IF(B286&gt;7,2,IF(B286=0,"N/A",1))</f>
        <v>1</v>
      </c>
      <c r="E286" s="423" cm="1">
        <f t="array" ref="E286">_xlfn.IFERROR(SUM('Direct Costs 2026'!$C$4:$C$5)*D286,"N/A")</f>
        <v>875500</v>
      </c>
      <c r="F286" s="423" cm="1">
        <f t="array" ref="F286">_xlfn.IFERROR('Direct Costs 2026'!$C$43*B286,"N/A")</f>
        <v>24000</v>
      </c>
      <c r="G286" s="423" cm="1">
        <f t="array" ref="G286">IF(B286&gt;0,'Direct Costs 2026'!$C$25,"N/A")</f>
        <v>90000</v>
      </c>
      <c r="H286" s="423" cm="1">
        <f t="array" ref="H286">IF(B286&gt;0,'Direct Costs 2026'!$C$15+'Direct Costs 2026'!$C$14,"N/A")</f>
        <v>230000</v>
      </c>
      <c r="I286" s="423">
        <v>0</v>
      </c>
      <c r="J286" s="423">
        <v>0</v>
      </c>
      <c r="K286" s="423" cm="1">
        <f t="array" ref="K286">IF(B286&gt;0,'Direct Costs 2026'!$C$26,"N/A")</f>
        <v>20000</v>
      </c>
      <c r="L286" s="423" cm="1">
        <f t="array" ref="L286">IF(B286&gt;0,'Direct Costs 2026'!$C$23,"N/A")</f>
        <v>140000</v>
      </c>
      <c r="M286" s="423" cm="1">
        <f t="array" ref="M286">IF(B286&gt;0,'Direct Costs 2026'!$C$45*B286,"N/A")</f>
        <v>600000</v>
      </c>
      <c r="N286" t="str" s="431" cm="1">
        <f t="array" ref="N286">IF(B286&gt;0,_xlfn.IFERROR(VLOOKUP(C280,'Boats Data Sheet 2026'!$C$3:$I$57,7,0)*'Direct Costs 2026'!$C$36,"N/A"),"N/A")</f>
        <v>N/A</v>
      </c>
      <c r="O286" t="str" s="431" cm="1">
        <f t="array" ref="O286">IF(B286&gt;0,IF(OR(VLOOKUP(C280,'Boats Data Sheet 2026'!$C$3:$F$57,4,0)="Own",VLOOKUP(C280,'Boats Data Sheet 2026'!$C$3:$F$57,4,0)="Management"),('Direct Costs 2026'!$C$37+'Direct Costs 2026'!$C$39),"N/A"),"N/A")</f>
        <v>N/A</v>
      </c>
      <c r="P286" s="423" cm="1">
        <f t="array" ref="P286">_xlfn.IFERROR('Direct Costs 2026'!$C$27*C286,"N/A")</f>
        <v>113500</v>
      </c>
      <c r="Q286" s="423" cm="1">
        <f t="array" ref="Q286">_xlfn.IFERROR(C286+SUM(E286:P286),"N/A")</f>
        <v>7768000</v>
      </c>
      <c r="R286" s="424"/>
      <c r="S286" s="423" cm="1">
        <f t="array" ref="S286">IF(B286&gt;0,'Allocation OH and Target 2026'!$E$31,"N/A")</f>
        <v>3100447.15769812</v>
      </c>
      <c r="T286" s="423" cm="1">
        <f t="array" ref="T286">IF(B286&gt;0,VLOOKUP(C280,'Allocation OH and Target 2026'!$C$35:$S$87,16,0),"N/A")</f>
        <v>0</v>
      </c>
      <c r="U286" s="423" cm="1">
        <f t="array" ref="U286">_xlfn.IFERROR((S286+T286),"N/A")</f>
        <v>3100447.15769812</v>
      </c>
      <c r="V286" s="424"/>
      <c r="W286" s="423" cm="1">
        <f t="array" ref="W286">_xlfn.IFERROR(U286+Q286,"N/A")</f>
        <v>10868447.1576981</v>
      </c>
      <c r="X286" s="423" cm="1">
        <f t="array" ref="X286">_xlfn.IFERROR(W286*0.5%,"N/A")</f>
        <v>54342.2357884905</v>
      </c>
      <c r="Y286" s="423" cm="1">
        <f t="array" ref="Y286">_xlfn.IFERROR(W286*25%,"N/A")</f>
        <v>2717111.78942453</v>
      </c>
      <c r="Z286" s="425" cm="1">
        <f t="array" ref="Z286">IF(B286&gt;0,SUM(W286:Y286),"N/A")</f>
        <v>13639901.1829111</v>
      </c>
      <c r="AA286" s="425" cm="1">
        <f t="array" ref="AA286">_xlfn.IFERROR((Z286-Z285),"N/A")</f>
        <v>195780</v>
      </c>
      <c r="AB286" s="424"/>
      <c r="AC286" t="str" s="426" cm="1">
        <f t="array" ref="AC286">IF(B286=6,AVERAGE(Z283:Z288),"N/A")</f>
        <v>N/A</v>
      </c>
      <c r="AD286" s="424"/>
      <c r="AE286" s="423"/>
      <c r="AF286" s="423"/>
      <c r="AG286" s="423"/>
      <c r="AH286" s="423"/>
      <c r="AI286" s="423"/>
      <c r="AJ286" s="423"/>
      <c r="AK286" s="423"/>
      <c r="AL286" s="423"/>
      <c r="AM286" s="423"/>
      <c r="AN286" s="427"/>
    </row>
    <row r="287" ht="15" customHeight="1">
      <c r="A287" s="12"/>
      <c r="B287" s="428" cm="1">
        <f t="array" ref="B287">IF(B286=0,0,IF(B286&lt;VLOOKUP(C280,'Boats Data Sheet 2026'!$C$3:$H$57,6,0),B286+1,0))</f>
        <v>5</v>
      </c>
      <c r="C287" s="423" cm="1">
        <f t="array" ref="C287">IF(B287&gt;0,IF(VLOOKUP(C280,'Boats Data Sheet 2026'!$C$3:$J$57,8,0)="N/A",0,VLOOKUP(C280,'Boats Data Sheet 2026'!$C$3:$J$57,8,0)),"N/A")</f>
        <v>5675000</v>
      </c>
      <c r="D287" s="429" cm="1">
        <f t="array" ref="D287">IF(B287&gt;7,2,IF(B287=0,"N/A",1))</f>
        <v>1</v>
      </c>
      <c r="E287" s="423" cm="1">
        <f t="array" ref="E287">_xlfn.IFERROR(SUM('Direct Costs 2026'!$C$4:$C$5)*D287,"N/A")</f>
        <v>875500</v>
      </c>
      <c r="F287" s="423" cm="1">
        <f t="array" ref="F287">_xlfn.IFERROR('Direct Costs 2026'!$C$43*B287,"N/A")</f>
        <v>30000</v>
      </c>
      <c r="G287" s="423" cm="1">
        <f t="array" ref="G287">IF(B287&gt;0,'Direct Costs 2026'!$C$25,"N/A")</f>
        <v>90000</v>
      </c>
      <c r="H287" s="423" cm="1">
        <f t="array" ref="H287">IF(B287&gt;0,'Direct Costs 2026'!$C$15+'Direct Costs 2026'!$C$14,"N/A")</f>
        <v>230000</v>
      </c>
      <c r="I287" s="423">
        <v>0</v>
      </c>
      <c r="J287" s="423">
        <v>0</v>
      </c>
      <c r="K287" s="423" cm="1">
        <f t="array" ref="K287">IF(B287&gt;0,'Direct Costs 2026'!$C$26,"N/A")</f>
        <v>20000</v>
      </c>
      <c r="L287" s="423" cm="1">
        <f t="array" ref="L287">IF(B287&gt;0,'Direct Costs 2026'!$C$23,"N/A")</f>
        <v>140000</v>
      </c>
      <c r="M287" s="423" cm="1">
        <f t="array" ref="M287">IF(B287&gt;0,'Direct Costs 2026'!$C$45*B287,"N/A")</f>
        <v>750000</v>
      </c>
      <c r="N287" t="str" s="431" cm="1">
        <f t="array" ref="N287">IF(B287&gt;0,_xlfn.IFERROR(VLOOKUP(C280,'Boats Data Sheet 2026'!$C$3:$I$57,7,0)*'Direct Costs 2026'!$C$36,"N/A"),"N/A")</f>
        <v>N/A</v>
      </c>
      <c r="O287" t="str" s="431" cm="1">
        <f t="array" ref="O287">IF(B287&gt;0,IF(OR(VLOOKUP(C280,'Boats Data Sheet 2026'!$C$3:$F$57,4,0)="Own",VLOOKUP(C280,'Boats Data Sheet 2026'!$C$3:$F$57,4,0)="Management"),('Direct Costs 2026'!$C$37+'Direct Costs 2026'!$C$39),"N/A"),"N/A")</f>
        <v>N/A</v>
      </c>
      <c r="P287" s="423" cm="1">
        <f t="array" ref="P287">_xlfn.IFERROR('Direct Costs 2026'!$C$27*C287,"N/A")</f>
        <v>113500</v>
      </c>
      <c r="Q287" s="423" cm="1">
        <f t="array" ref="Q287">_xlfn.IFERROR(C287+SUM(E287:P287),"N/A")</f>
        <v>7924000</v>
      </c>
      <c r="R287" s="424"/>
      <c r="S287" s="423" cm="1">
        <f t="array" ref="S287">IF(B287&gt;0,'Allocation OH and Target 2026'!$E$31,"N/A")</f>
        <v>3100447.15769812</v>
      </c>
      <c r="T287" s="423" cm="1">
        <f t="array" ref="T287">IF(B287&gt;0,VLOOKUP(C280,'Allocation OH and Target 2026'!$C$35:$S$87,16,0),"N/A")</f>
        <v>0</v>
      </c>
      <c r="U287" s="423" cm="1">
        <f t="array" ref="U287">_xlfn.IFERROR((S287+T287),"N/A")</f>
        <v>3100447.15769812</v>
      </c>
      <c r="V287" s="424"/>
      <c r="W287" s="423" cm="1">
        <f t="array" ref="W287">_xlfn.IFERROR(U287+Q287,"N/A")</f>
        <v>11024447.1576981</v>
      </c>
      <c r="X287" s="423" cm="1">
        <f t="array" ref="X287">_xlfn.IFERROR(W287*0.5%,"N/A")</f>
        <v>55122.2357884905</v>
      </c>
      <c r="Y287" s="423" cm="1">
        <f t="array" ref="Y287">_xlfn.IFERROR(W287*25%,"N/A")</f>
        <v>2756111.78942453</v>
      </c>
      <c r="Z287" s="425" cm="1">
        <f t="array" ref="Z287">IF(B287&gt;0,SUM(W287:Y287),"N/A")</f>
        <v>13835681.1829111</v>
      </c>
      <c r="AA287" s="425" cm="1">
        <f t="array" ref="AA287">_xlfn.IFERROR((Z287-Z286),"N/A")</f>
        <v>195780</v>
      </c>
      <c r="AB287" s="424"/>
      <c r="AC287" t="str" s="426" cm="1">
        <f t="array" ref="AC287">IF(B287=6,AVERAGE(Z283:Z288),"N/A")</f>
        <v>N/A</v>
      </c>
      <c r="AD287" s="424"/>
      <c r="AE287" s="423"/>
      <c r="AF287" s="423"/>
      <c r="AG287" s="423"/>
      <c r="AH287" s="423"/>
      <c r="AI287" s="423"/>
      <c r="AJ287" s="423"/>
      <c r="AK287" s="423"/>
      <c r="AL287" s="423"/>
      <c r="AM287" s="423"/>
      <c r="AN287" s="427"/>
    </row>
    <row r="288" ht="15" customHeight="1">
      <c r="A288" s="12"/>
      <c r="B288" s="428" cm="1">
        <f t="array" ref="B288">IF(B287=0,0,IF(B287&lt;VLOOKUP(C280,'Boats Data Sheet 2026'!$C$3:$H$57,6,0),B287+1,0))</f>
        <v>6</v>
      </c>
      <c r="C288" s="423" cm="1">
        <f t="array" ref="C288">IF(B288&gt;0,IF(VLOOKUP(C280,'Boats Data Sheet 2026'!$C$3:$J$57,8,0)="N/A",0,VLOOKUP(C280,'Boats Data Sheet 2026'!$C$3:$J$57,8,0)),"N/A")</f>
        <v>5675000</v>
      </c>
      <c r="D288" s="429" cm="1">
        <f t="array" ref="D288">IF(B288&gt;7,2,IF(B288=0,"N/A",1))</f>
        <v>1</v>
      </c>
      <c r="E288" s="423" cm="1">
        <f t="array" ref="E288">_xlfn.IFERROR(SUM('Direct Costs 2026'!$C$4:$C$5)*D288,"N/A")</f>
        <v>875500</v>
      </c>
      <c r="F288" s="423" cm="1">
        <f t="array" ref="F288">_xlfn.IFERROR('Direct Costs 2026'!$C$43*B288,"N/A")</f>
        <v>36000</v>
      </c>
      <c r="G288" s="423" cm="1">
        <f t="array" ref="G288">IF(B288&gt;0,'Direct Costs 2026'!$C$25,"N/A")</f>
        <v>90000</v>
      </c>
      <c r="H288" s="423" cm="1">
        <f t="array" ref="H288">IF(B288&gt;0,'Direct Costs 2026'!$C$15+'Direct Costs 2026'!$C$14,"N/A")</f>
        <v>230000</v>
      </c>
      <c r="I288" s="423">
        <v>0</v>
      </c>
      <c r="J288" s="423">
        <v>0</v>
      </c>
      <c r="K288" s="423" cm="1">
        <f t="array" ref="K288">IF(B288&gt;0,'Direct Costs 2026'!$C$26,"N/A")</f>
        <v>20000</v>
      </c>
      <c r="L288" s="423" cm="1">
        <f t="array" ref="L288">IF(B288&gt;0,'Direct Costs 2026'!$C$23,"N/A")</f>
        <v>140000</v>
      </c>
      <c r="M288" s="423" cm="1">
        <f t="array" ref="M288">IF(B288&gt;0,'Direct Costs 2026'!$C$45*B288,"N/A")</f>
        <v>900000</v>
      </c>
      <c r="N288" t="str" s="431" cm="1">
        <f t="array" ref="N288">IF(B288&gt;0,_xlfn.IFERROR(VLOOKUP(C280,'Boats Data Sheet 2026'!$C$3:$I$57,7,0)*'Direct Costs 2026'!$C$36,"N/A"),"N/A")</f>
        <v>N/A</v>
      </c>
      <c r="O288" t="str" s="431" cm="1">
        <f t="array" ref="O288">IF(B288&gt;0,IF(OR(VLOOKUP(C280,'Boats Data Sheet 2026'!$C$3:$F$57,4,0)="Own",VLOOKUP(C280,'Boats Data Sheet 2026'!$C$3:$F$57,4,0)="Management"),('Direct Costs 2026'!$C$37+'Direct Costs 2026'!$C$39),"N/A"),"N/A")</f>
        <v>N/A</v>
      </c>
      <c r="P288" s="423" cm="1">
        <f t="array" ref="P288">_xlfn.IFERROR('Direct Costs 2026'!$C$27*C288,"N/A")</f>
        <v>113500</v>
      </c>
      <c r="Q288" s="423" cm="1">
        <f t="array" ref="Q288">_xlfn.IFERROR(C288+SUM(E288:P288),"N/A")</f>
        <v>8080000</v>
      </c>
      <c r="R288" s="424"/>
      <c r="S288" s="423" cm="1">
        <f t="array" ref="S288">IF(B288&gt;0,'Allocation OH and Target 2026'!$E$31,"N/A")</f>
        <v>3100447.15769812</v>
      </c>
      <c r="T288" s="423" cm="1">
        <f t="array" ref="T288">IF(B288&gt;0,VLOOKUP(C280,'Allocation OH and Target 2026'!$C$35:$S$87,16,0),"N/A")</f>
        <v>0</v>
      </c>
      <c r="U288" s="423" cm="1">
        <f t="array" ref="U288">_xlfn.IFERROR((S288+T288),"N/A")</f>
        <v>3100447.15769812</v>
      </c>
      <c r="V288" s="424"/>
      <c r="W288" s="423" cm="1">
        <f t="array" ref="W288">_xlfn.IFERROR(U288+Q288,"N/A")</f>
        <v>11180447.1576981</v>
      </c>
      <c r="X288" s="423" cm="1">
        <f t="array" ref="X288">_xlfn.IFERROR(W288*0.5%,"N/A")</f>
        <v>55902.2357884905</v>
      </c>
      <c r="Y288" s="423" cm="1">
        <f t="array" ref="Y288">_xlfn.IFERROR(W288*25%,"N/A")</f>
        <v>2795111.78942453</v>
      </c>
      <c r="Z288" s="425" cm="1">
        <f t="array" ref="Z288">IF(B288&gt;0,SUM(W288:Y288),"N/A")</f>
        <v>14031461.1829111</v>
      </c>
      <c r="AA288" s="425" cm="1">
        <f t="array" ref="AA288">_xlfn.IFERROR((Z288-Z287),"N/A")</f>
        <v>195780</v>
      </c>
      <c r="AB288" s="424"/>
      <c r="AC288" s="425" cm="1">
        <f t="array" ref="AC288">IF(B288=6,AVERAGE(Z283:Z288),"N/A")</f>
        <v>13542011.1829111</v>
      </c>
      <c r="AD288" s="424"/>
      <c r="AE288" s="423"/>
      <c r="AF288" s="423"/>
      <c r="AG288" s="423"/>
      <c r="AH288" s="423"/>
      <c r="AI288" s="423"/>
      <c r="AJ288" s="423"/>
      <c r="AK288" s="423"/>
      <c r="AL288" s="423"/>
      <c r="AM288" s="423"/>
      <c r="AN288" s="427"/>
    </row>
    <row r="289" ht="15" customHeight="1">
      <c r="A289" s="12"/>
      <c r="B289" s="428" cm="1">
        <f t="array" ref="B289">IF(B288=0,0,IF(B288&lt;VLOOKUP(C280,'Boats Data Sheet 2026'!$C$3:$H$57,6,0),B288+1,0))</f>
        <v>7</v>
      </c>
      <c r="C289" s="423" cm="1">
        <f t="array" ref="C289">IF(B289&gt;0,IF(VLOOKUP(C280,'Boats Data Sheet 2026'!$C$3:$J$57,8,0)="N/A",0,VLOOKUP(C280,'Boats Data Sheet 2026'!$C$3:$J$57,8,0)),"N/A")</f>
        <v>5675000</v>
      </c>
      <c r="D289" s="429" cm="1">
        <f t="array" ref="D289">IF(B289&gt;7,2,IF(B289=0,"N/A",1))</f>
        <v>1</v>
      </c>
      <c r="E289" s="423" cm="1">
        <f t="array" ref="E289">_xlfn.IFERROR(SUM('Direct Costs 2026'!$C$4:$C$5)*D289,"N/A")</f>
        <v>875500</v>
      </c>
      <c r="F289" s="423" cm="1">
        <f t="array" ref="F289">_xlfn.IFERROR('Direct Costs 2026'!$C$43*B289,"N/A")</f>
        <v>42000</v>
      </c>
      <c r="G289" s="423" cm="1">
        <f t="array" ref="G289">IF(B289&gt;0,'Direct Costs 2026'!$C$25,"N/A")</f>
        <v>90000</v>
      </c>
      <c r="H289" s="423" cm="1">
        <f t="array" ref="H289">IF(B289&gt;0,'Direct Costs 2026'!$C$15+'Direct Costs 2026'!$C$14,"N/A")</f>
        <v>230000</v>
      </c>
      <c r="I289" s="423">
        <v>0</v>
      </c>
      <c r="J289" s="423">
        <v>0</v>
      </c>
      <c r="K289" s="423" cm="1">
        <f t="array" ref="K289">IF(B289&gt;0,'Direct Costs 2026'!$C$26,"N/A")</f>
        <v>20000</v>
      </c>
      <c r="L289" s="423" cm="1">
        <f t="array" ref="L289">IF(B289&gt;0,'Direct Costs 2026'!$C$23,"N/A")</f>
        <v>140000</v>
      </c>
      <c r="M289" s="423" cm="1">
        <f t="array" ref="M289">IF(B289&gt;0,'Direct Costs 2026'!$C$45*B289,"N/A")</f>
        <v>1050000</v>
      </c>
      <c r="N289" t="str" s="431" cm="1">
        <f t="array" ref="N289">IF(B289&gt;0,_xlfn.IFERROR(VLOOKUP(C280,'Boats Data Sheet 2026'!$C$3:$I$57,7,0)*'Direct Costs 2026'!$C$36,"N/A"),"N/A")</f>
        <v>N/A</v>
      </c>
      <c r="O289" t="str" s="431" cm="1">
        <f t="array" ref="O289">IF(B289&gt;0,IF(OR(VLOOKUP(C280,'Boats Data Sheet 2026'!$C$3:$F$57,4,0)="Own",VLOOKUP(C280,'Boats Data Sheet 2026'!$C$3:$F$57,4,0)="Management"),('Direct Costs 2026'!$C$37+'Direct Costs 2026'!$C$39),"N/A"),"N/A")</f>
        <v>N/A</v>
      </c>
      <c r="P289" s="423" cm="1">
        <f t="array" ref="P289">_xlfn.IFERROR('Direct Costs 2026'!$C$27*C289,"N/A")</f>
        <v>113500</v>
      </c>
      <c r="Q289" s="423" cm="1">
        <f t="array" ref="Q289">_xlfn.IFERROR(C289+SUM(E289:P289),"N/A")</f>
        <v>8236000</v>
      </c>
      <c r="R289" s="424"/>
      <c r="S289" s="423" cm="1">
        <f t="array" ref="S289">IF(B289&gt;0,'Allocation OH and Target 2026'!$E$31,"N/A")</f>
        <v>3100447.15769812</v>
      </c>
      <c r="T289" s="423" cm="1">
        <f t="array" ref="T289">IF(B289&gt;0,VLOOKUP(C280,'Allocation OH and Target 2026'!$C$35:$S$87,16,0),"N/A")</f>
        <v>0</v>
      </c>
      <c r="U289" s="423" cm="1">
        <f t="array" ref="U289">_xlfn.IFERROR((S289+T289),"N/A")</f>
        <v>3100447.15769812</v>
      </c>
      <c r="V289" s="424"/>
      <c r="W289" s="423" cm="1">
        <f t="array" ref="W289">_xlfn.IFERROR(U289+Q289,"N/A")</f>
        <v>11336447.1576981</v>
      </c>
      <c r="X289" s="423" cm="1">
        <f t="array" ref="X289">_xlfn.IFERROR(W289*0.5%,"N/A")</f>
        <v>56682.2357884905</v>
      </c>
      <c r="Y289" s="423" cm="1">
        <f t="array" ref="Y289">_xlfn.IFERROR(W289*25%,"N/A")</f>
        <v>2834111.78942453</v>
      </c>
      <c r="Z289" s="425" cm="1">
        <f t="array" ref="Z289">IF(B289&gt;0,SUM(W289:Y289),"N/A")</f>
        <v>14227241.1829111</v>
      </c>
      <c r="AA289" s="425" cm="1">
        <f t="array" ref="AA289">_xlfn.IFERROR((Z289-Z288),"N/A")</f>
        <v>195780</v>
      </c>
      <c r="AB289" s="424"/>
      <c r="AC289" t="str" s="426" cm="1">
        <f t="array" ref="AC289">IF(B289=6,AVERAGE(Z283:Z288),"N/A")</f>
        <v>N/A</v>
      </c>
      <c r="AD289" s="424"/>
      <c r="AE289" s="423"/>
      <c r="AF289" s="423"/>
      <c r="AG289" s="423"/>
      <c r="AH289" s="423"/>
      <c r="AI289" s="423"/>
      <c r="AJ289" s="423"/>
      <c r="AK289" s="423"/>
      <c r="AL289" s="423"/>
      <c r="AM289" s="423"/>
      <c r="AN289" s="427"/>
    </row>
    <row r="290" ht="15" customHeight="1">
      <c r="A290" s="12"/>
      <c r="B290" s="428" cm="1">
        <f t="array" ref="B290">IF(B289=0,0,IF(B289&lt;VLOOKUP(C280,'Boats Data Sheet 2026'!$C$3:$H$57,6,0),B289+1,0))</f>
        <v>8</v>
      </c>
      <c r="C290" s="423" cm="1">
        <f t="array" ref="C290">IF(B290&gt;0,IF(VLOOKUP(C280,'Boats Data Sheet 2026'!$C$3:$J$57,8,0)="N/A",0,VLOOKUP(C280,'Boats Data Sheet 2026'!$C$3:$J$57,8,0)),"N/A")</f>
        <v>5675000</v>
      </c>
      <c r="D290" s="429" cm="1">
        <f t="array" ref="D290">IF(B290&gt;7,2,IF(B290=0,"N/A",1))</f>
        <v>2</v>
      </c>
      <c r="E290" s="423" cm="1">
        <f t="array" ref="E290">_xlfn.IFERROR(SUM('Direct Costs 2026'!$C$4:$C$5)*D290,"N/A")</f>
        <v>1751000</v>
      </c>
      <c r="F290" s="423" cm="1">
        <f t="array" ref="F290">_xlfn.IFERROR('Direct Costs 2026'!$C$43*B290,"N/A")</f>
        <v>48000</v>
      </c>
      <c r="G290" s="423" cm="1">
        <f t="array" ref="G290">IF(B290&gt;0,'Direct Costs 2026'!$C$25,"N/A")</f>
        <v>90000</v>
      </c>
      <c r="H290" s="423" cm="1">
        <f t="array" ref="H290">IF(B290&gt;0,'Direct Costs 2026'!$C$15+'Direct Costs 2026'!$C$14,"N/A")</f>
        <v>230000</v>
      </c>
      <c r="I290" s="423">
        <v>0</v>
      </c>
      <c r="J290" s="423">
        <v>0</v>
      </c>
      <c r="K290" s="423" cm="1">
        <f t="array" ref="K290">IF(B290&gt;0,'Direct Costs 2026'!$C$26,"N/A")</f>
        <v>20000</v>
      </c>
      <c r="L290" s="423" cm="1">
        <f t="array" ref="L290">IF(B290&gt;0,'Direct Costs 2026'!$C$23,"N/A")</f>
        <v>140000</v>
      </c>
      <c r="M290" s="423" cm="1">
        <f t="array" ref="M290">IF(B290&gt;0,'Direct Costs 2026'!$C$45*B290,"N/A")</f>
        <v>1200000</v>
      </c>
      <c r="N290" t="str" s="431" cm="1">
        <f t="array" ref="N290">IF(B290&gt;0,_xlfn.IFERROR(VLOOKUP(C280,'Boats Data Sheet 2026'!$C$3:$I$57,7,0)*'Direct Costs 2026'!$C$36,"N/A"),"N/A")</f>
        <v>N/A</v>
      </c>
      <c r="O290" t="str" s="431" cm="1">
        <f t="array" ref="O290">IF(B290&gt;0,IF(OR(VLOOKUP(C280,'Boats Data Sheet 2026'!$C$3:$F$57,4,0)="Own",VLOOKUP(C280,'Boats Data Sheet 2026'!$C$3:$F$57,4,0)="Management"),('Direct Costs 2026'!$C$37+'Direct Costs 2026'!$C$39),"N/A"),"N/A")</f>
        <v>N/A</v>
      </c>
      <c r="P290" s="423" cm="1">
        <f t="array" ref="P290">_xlfn.IFERROR('Direct Costs 2026'!$C$27*C290,"N/A")</f>
        <v>113500</v>
      </c>
      <c r="Q290" s="423" cm="1">
        <f t="array" ref="Q290">_xlfn.IFERROR(C290+SUM(E290:P290),"N/A")</f>
        <v>9267500</v>
      </c>
      <c r="R290" s="424"/>
      <c r="S290" s="423" cm="1">
        <f t="array" ref="S290">IF(B290&gt;0,'Allocation OH and Target 2026'!$E$31,"N/A")</f>
        <v>3100447.15769812</v>
      </c>
      <c r="T290" s="423" cm="1">
        <f t="array" ref="T290">IF(B290&gt;0,VLOOKUP(C280,'Allocation OH and Target 2026'!$C$35:$S$87,16,0),"N/A")</f>
        <v>0</v>
      </c>
      <c r="U290" s="423" cm="1">
        <f t="array" ref="U290">_xlfn.IFERROR((S290+T290),"N/A")</f>
        <v>3100447.15769812</v>
      </c>
      <c r="V290" s="424"/>
      <c r="W290" s="423" cm="1">
        <f t="array" ref="W290">_xlfn.IFERROR(U290+Q290,"N/A")</f>
        <v>12367947.1576981</v>
      </c>
      <c r="X290" s="423" cm="1">
        <f t="array" ref="X290">_xlfn.IFERROR(W290*0.5%,"N/A")</f>
        <v>61839.7357884905</v>
      </c>
      <c r="Y290" s="423" cm="1">
        <f t="array" ref="Y290">_xlfn.IFERROR(W290*25%,"N/A")</f>
        <v>3091986.78942453</v>
      </c>
      <c r="Z290" s="425" cm="1">
        <f t="array" ref="Z290">IF(B290&gt;0,SUM(W290:Y290),"N/A")</f>
        <v>15521773.6829111</v>
      </c>
      <c r="AA290" s="425" cm="1">
        <f t="array" ref="AA290">_xlfn.IFERROR((Z290-Z289),"N/A")</f>
        <v>1294532.5</v>
      </c>
      <c r="AB290" s="424"/>
      <c r="AC290" t="str" s="426" cm="1">
        <f t="array" ref="AC290">IF(B290=6,AVERAGE(Z283:Z288),"N/A")</f>
        <v>N/A</v>
      </c>
      <c r="AD290" s="424"/>
      <c r="AE290" s="423"/>
      <c r="AF290" s="423"/>
      <c r="AG290" s="423"/>
      <c r="AH290" s="423"/>
      <c r="AI290" s="423"/>
      <c r="AJ290" s="423"/>
      <c r="AK290" s="423"/>
      <c r="AL290" s="423"/>
      <c r="AM290" s="423"/>
      <c r="AN290" s="427"/>
    </row>
    <row r="291" ht="15" customHeight="1">
      <c r="A291" s="12"/>
      <c r="B291" s="428" cm="1">
        <f t="array" ref="B291">IF(B290=0,0,IF(B290&lt;VLOOKUP(C280,'Boats Data Sheet 2026'!$C$3:$H$57,6,0),B290+1,0))</f>
        <v>9</v>
      </c>
      <c r="C291" s="423" cm="1">
        <f t="array" ref="C291">IF(B291&gt;0,IF(VLOOKUP(C280,'Boats Data Sheet 2026'!$C$3:$J$57,8,0)="N/A",0,VLOOKUP(C280,'Boats Data Sheet 2026'!$C$3:$J$57,8,0)),"N/A")</f>
        <v>5675000</v>
      </c>
      <c r="D291" s="430" cm="1">
        <f t="array" ref="D291">IF(B291&gt;7,2,IF(B291=0,"N/A",1))</f>
        <v>2</v>
      </c>
      <c r="E291" s="423" cm="1">
        <f t="array" ref="E291">_xlfn.IFERROR(SUM('Direct Costs 2026'!$C$4:$C$5)*D291,"N/A")</f>
        <v>1751000</v>
      </c>
      <c r="F291" s="423" cm="1">
        <f t="array" ref="F291">_xlfn.IFERROR('Direct Costs 2026'!$C$43*B291,"N/A")</f>
        <v>54000</v>
      </c>
      <c r="G291" s="423" cm="1">
        <f t="array" ref="G291">IF(B291&gt;0,'Direct Costs 2026'!$C$25,"N/A")</f>
        <v>90000</v>
      </c>
      <c r="H291" s="423" cm="1">
        <f t="array" ref="H291">IF(B291&gt;0,'Direct Costs 2026'!$C$15+'Direct Costs 2026'!$C$14,"N/A")</f>
        <v>230000</v>
      </c>
      <c r="I291" s="423">
        <v>0</v>
      </c>
      <c r="J291" s="423">
        <v>0</v>
      </c>
      <c r="K291" s="423" cm="1">
        <f t="array" ref="K291">IF(B291&gt;0,'Direct Costs 2026'!$C$26,"N/A")</f>
        <v>20000</v>
      </c>
      <c r="L291" s="423" cm="1">
        <f t="array" ref="L291">IF(B291&gt;0,'Direct Costs 2026'!$C$23,"N/A")</f>
        <v>140000</v>
      </c>
      <c r="M291" s="423" cm="1">
        <f t="array" ref="M291">IF(B291&gt;0,'Direct Costs 2026'!$C$45*B291,"N/A")</f>
        <v>1350000</v>
      </c>
      <c r="N291" t="str" s="431" cm="1">
        <f t="array" ref="N291">IF(B291&gt;0,_xlfn.IFERROR(VLOOKUP(C280,'Boats Data Sheet 2026'!$C$3:$I$57,7,0)*'Direct Costs 2026'!$C$36,"N/A"),"N/A")</f>
        <v>N/A</v>
      </c>
      <c r="O291" t="str" s="431" cm="1">
        <f t="array" ref="O291">IF(B291&gt;0,IF(OR(VLOOKUP(C280,'Boats Data Sheet 2026'!$C$3:$F$57,4,0)="Own",VLOOKUP(C280,'Boats Data Sheet 2026'!$C$3:$F$57,4,0)="Management"),('Direct Costs 2026'!$C$37+'Direct Costs 2026'!$C$39),"N/A"),"N/A")</f>
        <v>N/A</v>
      </c>
      <c r="P291" s="423" cm="1">
        <f t="array" ref="P291">_xlfn.IFERROR('Direct Costs 2026'!$C$27*C291,"N/A")</f>
        <v>113500</v>
      </c>
      <c r="Q291" s="423" cm="1">
        <f t="array" ref="Q291">_xlfn.IFERROR(C291+SUM(E291:P291),"N/A")</f>
        <v>9423500</v>
      </c>
      <c r="R291" s="424"/>
      <c r="S291" s="423" cm="1">
        <f t="array" ref="S291">IF(B291&gt;0,'Allocation OH and Target 2026'!$E$31,"N/A")</f>
        <v>3100447.15769812</v>
      </c>
      <c r="T291" s="423" cm="1">
        <f t="array" ref="T291">IF(B291&gt;0,VLOOKUP(C280,'Allocation OH and Target 2026'!$C$35:$S$87,16,0),"N/A")</f>
        <v>0</v>
      </c>
      <c r="U291" s="423" cm="1">
        <f t="array" ref="U291">_xlfn.IFERROR((S291+T291),"N/A")</f>
        <v>3100447.15769812</v>
      </c>
      <c r="V291" s="424"/>
      <c r="W291" s="423" cm="1">
        <f t="array" ref="W291">_xlfn.IFERROR(U291+Q291,"N/A")</f>
        <v>12523947.1576981</v>
      </c>
      <c r="X291" s="423" cm="1">
        <f t="array" ref="X291">_xlfn.IFERROR(W291*0.5%,"N/A")</f>
        <v>62619.7357884905</v>
      </c>
      <c r="Y291" s="423" cm="1">
        <f t="array" ref="Y291">_xlfn.IFERROR(W291*25%,"N/A")</f>
        <v>3130986.78942453</v>
      </c>
      <c r="Z291" s="425" cm="1">
        <f t="array" ref="Z291">IF(B291&gt;0,SUM(W291:Y291),"N/A")</f>
        <v>15717553.6829111</v>
      </c>
      <c r="AA291" s="425" cm="1">
        <f t="array" ref="AA291">_xlfn.IFERROR((Z291-Z290),"N/A")</f>
        <v>195780</v>
      </c>
      <c r="AB291" s="424"/>
      <c r="AC291" t="str" s="426" cm="1">
        <f t="array" ref="AC291">IF(B291=6,AVERAGE(Z283:Z288),"N/A")</f>
        <v>N/A</v>
      </c>
      <c r="AD291" s="424"/>
      <c r="AE291" s="423"/>
      <c r="AF291" s="423"/>
      <c r="AG291" s="423"/>
      <c r="AH291" s="423"/>
      <c r="AI291" s="423"/>
      <c r="AJ291" s="423"/>
      <c r="AK291" s="423"/>
      <c r="AL291" s="423"/>
      <c r="AM291" s="423"/>
      <c r="AN291" s="427"/>
    </row>
    <row r="292" ht="15" customHeight="1">
      <c r="A292" s="12"/>
      <c r="B292" s="428" cm="1">
        <f t="array" ref="B292">IF(B291=0,0,IF(B291&lt;VLOOKUP(C280,'Boats Data Sheet 2026'!$C$3:$H$57,6,0),B291+1,0))</f>
        <v>10</v>
      </c>
      <c r="C292" s="423" cm="1">
        <f t="array" ref="C292">IF(B292&gt;0,IF(VLOOKUP(C280,'Boats Data Sheet 2026'!$C$3:$J$57,8,0)="N/A",0,VLOOKUP(C280,'Boats Data Sheet 2026'!$C$3:$J$57,8,0)),"N/A")</f>
        <v>5675000</v>
      </c>
      <c r="D292" s="430" cm="1">
        <f t="array" ref="D292">IF(B292&gt;7,2,IF(B292=0,"N/A",1))</f>
        <v>2</v>
      </c>
      <c r="E292" s="423" cm="1">
        <f t="array" ref="E292">_xlfn.IFERROR(SUM('Direct Costs 2026'!$C$4:$C$5)*D292,"N/A")</f>
        <v>1751000</v>
      </c>
      <c r="F292" s="423" cm="1">
        <f t="array" ref="F292">_xlfn.IFERROR('Direct Costs 2026'!$C$43*B292,"N/A")</f>
        <v>60000</v>
      </c>
      <c r="G292" s="423" cm="1">
        <f t="array" ref="G292">IF(B292&gt;0,'Direct Costs 2026'!$C$25,"N/A")</f>
        <v>90000</v>
      </c>
      <c r="H292" s="423" cm="1">
        <f t="array" ref="H292">IF(B292&gt;0,'Direct Costs 2026'!$C$15+'Direct Costs 2026'!$C$14,"N/A")</f>
        <v>230000</v>
      </c>
      <c r="I292" s="423">
        <v>0</v>
      </c>
      <c r="J292" s="423">
        <v>0</v>
      </c>
      <c r="K292" s="423" cm="1">
        <f t="array" ref="K292">IF(B292&gt;0,'Direct Costs 2026'!$C$26,"N/A")</f>
        <v>20000</v>
      </c>
      <c r="L292" s="423" cm="1">
        <f t="array" ref="L292">IF(B292&gt;0,'Direct Costs 2026'!$C$23,"N/A")</f>
        <v>140000</v>
      </c>
      <c r="M292" s="423" cm="1">
        <f t="array" ref="M292">IF(B292&gt;0,'Direct Costs 2026'!$C$45*B292,"N/A")</f>
        <v>1500000</v>
      </c>
      <c r="N292" t="str" s="431" cm="1">
        <f t="array" ref="N292">IF(B292&gt;0,_xlfn.IFERROR(VLOOKUP(C280,'Boats Data Sheet 2026'!$C$3:$I$57,7,0)*'Direct Costs 2026'!$C$36,"N/A"),"N/A")</f>
        <v>N/A</v>
      </c>
      <c r="O292" t="str" s="431" cm="1">
        <f t="array" ref="O292">IF(B292&gt;0,IF(OR(VLOOKUP(C280,'Boats Data Sheet 2026'!$C$3:$F$57,4,0)="Own",VLOOKUP(C280,'Boats Data Sheet 2026'!$C$3:$F$57,4,0)="Management"),('Direct Costs 2026'!$C$37+'Direct Costs 2026'!$C$39),"N/A"),"N/A")</f>
        <v>N/A</v>
      </c>
      <c r="P292" s="423" cm="1">
        <f t="array" ref="P292">_xlfn.IFERROR('Direct Costs 2026'!$C$27*C292,"N/A")</f>
        <v>113500</v>
      </c>
      <c r="Q292" s="423" cm="1">
        <f t="array" ref="Q292">_xlfn.IFERROR(C292+SUM(E292:P292),"N/A")</f>
        <v>9579500</v>
      </c>
      <c r="R292" s="424"/>
      <c r="S292" s="423" cm="1">
        <f t="array" ref="S292">IF(B292&gt;0,'Allocation OH and Target 2026'!$E$31,"N/A")</f>
        <v>3100447.15769812</v>
      </c>
      <c r="T292" s="423" cm="1">
        <f t="array" ref="T292">IF(B292&gt;0,VLOOKUP(C280,'Allocation OH and Target 2026'!$C$35:$S$87,16,0),"N/A")</f>
        <v>0</v>
      </c>
      <c r="U292" s="423" cm="1">
        <f t="array" ref="U292">_xlfn.IFERROR((S292+T292),"N/A")</f>
        <v>3100447.15769812</v>
      </c>
      <c r="V292" s="424"/>
      <c r="W292" s="423" cm="1">
        <f t="array" ref="W292">_xlfn.IFERROR(U292+Q292,"N/A")</f>
        <v>12679947.1576981</v>
      </c>
      <c r="X292" s="423" cm="1">
        <f t="array" ref="X292">_xlfn.IFERROR(W292*0.5%,"N/A")</f>
        <v>63399.7357884905</v>
      </c>
      <c r="Y292" s="423" cm="1">
        <f t="array" ref="Y292">_xlfn.IFERROR(W292*25%,"N/A")</f>
        <v>3169986.78942453</v>
      </c>
      <c r="Z292" s="425" cm="1">
        <f t="array" ref="Z292">IF(B292&gt;0,SUM(W292:Y292),"N/A")</f>
        <v>15913333.6829111</v>
      </c>
      <c r="AA292" s="425" cm="1">
        <f t="array" ref="AA292">_xlfn.IFERROR((Z292-Z291),"N/A")</f>
        <v>195780</v>
      </c>
      <c r="AB292" s="424"/>
      <c r="AC292" t="str" s="426" cm="1">
        <f t="array" ref="AC292">IF(B292=6,AVERAGE(Z283:Z288),"N/A")</f>
        <v>N/A</v>
      </c>
      <c r="AD292" s="424"/>
      <c r="AE292" s="423"/>
      <c r="AF292" s="423"/>
      <c r="AG292" s="423"/>
      <c r="AH292" s="423"/>
      <c r="AI292" s="423"/>
      <c r="AJ292" s="423"/>
      <c r="AK292" s="423"/>
      <c r="AL292" s="423"/>
      <c r="AM292" s="423"/>
      <c r="AN292" s="427"/>
    </row>
    <row r="293" ht="15" customHeight="1">
      <c r="A293" s="12"/>
      <c r="B293" s="428" cm="1">
        <f t="array" ref="B293">IF(B292=0,0,IF(B292&lt;VLOOKUP(C280,'Boats Data Sheet 2026'!$C$3:$H$57,6,0),B292+1,0))</f>
        <v>0</v>
      </c>
      <c r="C293" t="str" s="431" cm="1">
        <f t="array" ref="C293">IF(B293&gt;0,IF(VLOOKUP(C280,'Boats Data Sheet 2026'!$C$3:$J$57,8,0)="N/A",0,VLOOKUP(C280,'Boats Data Sheet 2026'!$C$3:$J$57,8,0)),"N/A")</f>
        <v>N/A</v>
      </c>
      <c r="D293" t="str" s="431" cm="1">
        <f t="array" ref="D293">IF(B293&gt;7,2,IF(B293=0,"N/A",1))</f>
        <v>N/A</v>
      </c>
      <c r="E293" t="str" s="431" cm="1">
        <f t="array" ref="E293">_xlfn.IFERROR(SUM('Direct Costs 2026'!$C$4:$C$5)*D293,"N/A")</f>
        <v>N/A</v>
      </c>
      <c r="F293" s="423" cm="1">
        <f t="array" ref="F293">_xlfn.IFERROR('Direct Costs 2026'!$C$43*B293,"N/A")</f>
        <v>0</v>
      </c>
      <c r="G293" t="str" s="431" cm="1">
        <f t="array" ref="G293">IF(B293&gt;0,'Direct Costs 2026'!$C$25,"N/A")</f>
        <v>N/A</v>
      </c>
      <c r="H293" t="str" s="431" cm="1">
        <f t="array" ref="H293">IF(B293&gt;0,'Direct Costs 2026'!$C$15+'Direct Costs 2026'!$C$14,"N/A")</f>
        <v>N/A</v>
      </c>
      <c r="I293" s="423">
        <v>0</v>
      </c>
      <c r="J293" s="423">
        <v>0</v>
      </c>
      <c r="K293" t="str" s="431" cm="1">
        <f t="array" ref="K293">IF(B293&gt;0,'Direct Costs 2026'!$C$26,"N/A")</f>
        <v>N/A</v>
      </c>
      <c r="L293" t="str" s="431" cm="1">
        <f t="array" ref="L293">IF(B293&gt;0,'Direct Costs 2026'!$C$23,"N/A")</f>
        <v>N/A</v>
      </c>
      <c r="M293" t="str" s="431" cm="1">
        <f t="array" ref="M293">IF(B293&gt;0,'Direct Costs 2026'!$C$45*B293,"N/A")</f>
        <v>N/A</v>
      </c>
      <c r="N293" t="str" s="431" cm="1">
        <f t="array" ref="N293">IF(B293&gt;0,_xlfn.IFERROR(VLOOKUP(C280,'Boats Data Sheet 2026'!$C$3:$I$57,7,0)*'Direct Costs 2026'!$C$36,"N/A"),"N/A")</f>
        <v>N/A</v>
      </c>
      <c r="O293" t="str" s="431" cm="1">
        <f t="array" ref="O293">IF(B293&gt;0,IF(OR(VLOOKUP(C280,'Boats Data Sheet 2026'!$C$3:$F$57,4,0)="Own",VLOOKUP(C280,'Boats Data Sheet 2026'!$C$3:$F$57,4,0)="Management"),('Direct Costs 2026'!$C$37+'Direct Costs 2026'!$C$39),"N/A"),"N/A")</f>
        <v>N/A</v>
      </c>
      <c r="P293" t="str" s="431" cm="1">
        <f t="array" ref="P293">_xlfn.IFERROR('Direct Costs 2026'!$C$27*C293,"N/A")</f>
        <v>N/A</v>
      </c>
      <c r="Q293" t="str" s="431" cm="1">
        <f t="array" ref="Q293">_xlfn.IFERROR(C293+SUM(E293:P293),"N/A")</f>
        <v>N/A</v>
      </c>
      <c r="R293" s="424"/>
      <c r="S293" t="str" s="431" cm="1">
        <f t="array" ref="S293">IF(B293&gt;0,'Allocation OH and Target 2026'!$E$31,"N/A")</f>
        <v>N/A</v>
      </c>
      <c r="T293" t="str" s="431" cm="1">
        <f t="array" ref="T293">IF(B293&gt;0,VLOOKUP(C280,'Allocation OH and Target 2026'!$C$35:$S$87,16,0),"N/A")</f>
        <v>N/A</v>
      </c>
      <c r="U293" t="str" s="431" cm="1">
        <f t="array" ref="U293">_xlfn.IFERROR((S293+T293),"N/A")</f>
        <v>N/A</v>
      </c>
      <c r="V293" s="424"/>
      <c r="W293" t="str" s="431" cm="1">
        <f t="array" ref="W293">_xlfn.IFERROR(U293+Q293,"N/A")</f>
        <v>N/A</v>
      </c>
      <c r="X293" t="str" s="431" cm="1">
        <f t="array" ref="X293">_xlfn.IFERROR(W293*0.5%,"N/A")</f>
        <v>N/A</v>
      </c>
      <c r="Y293" t="str" s="431" cm="1">
        <f t="array" ref="Y293">_xlfn.IFERROR(W293*25%,"N/A")</f>
        <v>N/A</v>
      </c>
      <c r="Z293" t="str" s="426" cm="1">
        <f t="array" ref="Z293">IF(B293&gt;0,SUM(W293:Y293),"N/A")</f>
        <v>N/A</v>
      </c>
      <c r="AA293" t="str" s="426" cm="1">
        <f t="array" ref="AA293">_xlfn.IFERROR((Z293-Z292),"N/A")</f>
        <v>N/A</v>
      </c>
      <c r="AB293" s="424"/>
      <c r="AC293" t="str" s="426" cm="1">
        <f t="array" ref="AC293">IF(B293=6,AVERAGE(Z283:Z288),"N/A")</f>
        <v>N/A</v>
      </c>
      <c r="AD293" s="424"/>
      <c r="AE293" s="423"/>
      <c r="AF293" s="423"/>
      <c r="AG293" s="423"/>
      <c r="AH293" s="423"/>
      <c r="AI293" s="423"/>
      <c r="AJ293" s="423"/>
      <c r="AK293" s="423"/>
      <c r="AL293" s="423"/>
      <c r="AM293" s="423"/>
      <c r="AN293" s="427"/>
    </row>
    <row r="294" ht="15" customHeight="1">
      <c r="A294" s="12"/>
      <c r="B294" s="428" cm="1">
        <f t="array" ref="B294">IF(B293=0,0,IF(B293&lt;VLOOKUP(C280,'Boats Data Sheet 2026'!$C$3:$H$57,6,0),B293+1,0))</f>
        <v>0</v>
      </c>
      <c r="C294" t="str" s="431" cm="1">
        <f t="array" ref="C294">IF(B294&gt;0,IF(VLOOKUP(C280,'Boats Data Sheet 2026'!$C$3:$J$57,8,0)="N/A",0,VLOOKUP(C280,'Boats Data Sheet 2026'!$C$3:$J$57,8,0)),"N/A")</f>
        <v>N/A</v>
      </c>
      <c r="D294" t="str" s="431" cm="1">
        <f t="array" ref="D294">IF(B294&gt;7,2,IF(B294=0,"N/A",1))</f>
        <v>N/A</v>
      </c>
      <c r="E294" t="str" s="431" cm="1">
        <f t="array" ref="E294">_xlfn.IFERROR(SUM('Direct Costs 2026'!$C$4:$C$5)*D294,"N/A")</f>
        <v>N/A</v>
      </c>
      <c r="F294" s="423" cm="1">
        <f t="array" ref="F294">_xlfn.IFERROR('Direct Costs 2026'!$C$43*B294,"N/A")</f>
        <v>0</v>
      </c>
      <c r="G294" t="str" s="431" cm="1">
        <f t="array" ref="G294">IF(B294&gt;0,'Direct Costs 2026'!$C$25,"N/A")</f>
        <v>N/A</v>
      </c>
      <c r="H294" t="str" s="431" cm="1">
        <f t="array" ref="H294">IF(B294&gt;0,'Direct Costs 2026'!$C$15+'Direct Costs 2026'!$C$14,"N/A")</f>
        <v>N/A</v>
      </c>
      <c r="I294" s="423">
        <v>0</v>
      </c>
      <c r="J294" s="423">
        <v>0</v>
      </c>
      <c r="K294" t="str" s="431" cm="1">
        <f t="array" ref="K294">IF(B294&gt;0,'Direct Costs 2026'!$C$26,"N/A")</f>
        <v>N/A</v>
      </c>
      <c r="L294" t="str" s="431" cm="1">
        <f t="array" ref="L294">IF(B294&gt;0,'Direct Costs 2026'!$C$23,"N/A")</f>
        <v>N/A</v>
      </c>
      <c r="M294" t="str" s="431" cm="1">
        <f t="array" ref="M294">IF(B294&gt;0,'Direct Costs 2026'!$C$45*B294,"N/A")</f>
        <v>N/A</v>
      </c>
      <c r="N294" t="str" s="431" cm="1">
        <f t="array" ref="N294">IF(B294&gt;0,_xlfn.IFERROR(VLOOKUP(C280,'Boats Data Sheet 2026'!$C$3:$I$57,7,0)*'Direct Costs 2026'!$C$36,"N/A"),"N/A")</f>
        <v>N/A</v>
      </c>
      <c r="O294" t="str" s="431" cm="1">
        <f t="array" ref="O294">IF(B294&gt;0,IF(OR(VLOOKUP(C280,'Boats Data Sheet 2026'!$C$3:$F$57,4,0)="Own",VLOOKUP(C280,'Boats Data Sheet 2026'!$C$3:$F$57,4,0)="Management"),('Direct Costs 2026'!$C$37+'Direct Costs 2026'!$C$39),"N/A"),"N/A")</f>
        <v>N/A</v>
      </c>
      <c r="P294" t="str" s="431" cm="1">
        <f t="array" ref="P294">_xlfn.IFERROR('Direct Costs 2026'!$C$27*C294,"N/A")</f>
        <v>N/A</v>
      </c>
      <c r="Q294" t="str" s="431" cm="1">
        <f t="array" ref="Q294">_xlfn.IFERROR(C294+SUM(E294:P294),"N/A")</f>
        <v>N/A</v>
      </c>
      <c r="R294" s="424"/>
      <c r="S294" t="str" s="431" cm="1">
        <f t="array" ref="S294">IF(B294&gt;0,'Allocation OH and Target 2026'!$E$31,"N/A")</f>
        <v>N/A</v>
      </c>
      <c r="T294" t="str" s="431" cm="1">
        <f t="array" ref="T294">IF(B294&gt;0,VLOOKUP(C280,'Allocation OH and Target 2026'!$C$35:$S$87,16,0),"N/A")</f>
        <v>N/A</v>
      </c>
      <c r="U294" t="str" s="431" cm="1">
        <f t="array" ref="U294">_xlfn.IFERROR((S294+T294),"N/A")</f>
        <v>N/A</v>
      </c>
      <c r="V294" s="424"/>
      <c r="W294" t="str" s="431" cm="1">
        <f t="array" ref="W294">_xlfn.IFERROR(U294+Q294,"N/A")</f>
        <v>N/A</v>
      </c>
      <c r="X294" t="str" s="431" cm="1">
        <f t="array" ref="X294">_xlfn.IFERROR(W294*0.5%,"N/A")</f>
        <v>N/A</v>
      </c>
      <c r="Y294" t="str" s="431" cm="1">
        <f t="array" ref="Y294">_xlfn.IFERROR(W294*25%,"N/A")</f>
        <v>N/A</v>
      </c>
      <c r="Z294" t="str" s="426" cm="1">
        <f t="array" ref="Z294">IF(B294&gt;0,SUM(W294:Y294),"N/A")</f>
        <v>N/A</v>
      </c>
      <c r="AA294" t="str" s="426" cm="1">
        <f t="array" ref="AA294">_xlfn.IFERROR((Z294-Z293),"N/A")</f>
        <v>N/A</v>
      </c>
      <c r="AB294" s="424"/>
      <c r="AC294" t="str" s="426" cm="1">
        <f t="array" ref="AC294">IF(B294=6,AVERAGE(Z283:Z288),"N/A")</f>
        <v>N/A</v>
      </c>
      <c r="AD294" s="424"/>
      <c r="AE294" s="423"/>
      <c r="AF294" s="423"/>
      <c r="AG294" s="423"/>
      <c r="AH294" s="423"/>
      <c r="AI294" s="423"/>
      <c r="AJ294" s="423"/>
      <c r="AK294" s="423"/>
      <c r="AL294" s="423"/>
      <c r="AM294" s="423"/>
      <c r="AN294" s="427"/>
    </row>
    <row r="295" ht="15" customHeight="1">
      <c r="A295" s="12"/>
      <c r="B295" s="428" cm="1">
        <f t="array" ref="B295">IF(B294=0,0,IF(B294&lt;VLOOKUP(C280,'Boats Data Sheet 2026'!$C$3:$H$57,6,0),B294+1,0))</f>
        <v>0</v>
      </c>
      <c r="C295" t="str" s="431" cm="1">
        <f t="array" ref="C295">IF(B295&gt;0,IF(VLOOKUP(C280,'Boats Data Sheet 2026'!$C$3:$J$57,8,0)="N/A",0,VLOOKUP(C280,'Boats Data Sheet 2026'!$C$3:$J$57,8,0)),"N/A")</f>
        <v>N/A</v>
      </c>
      <c r="D295" t="str" s="431" cm="1">
        <f t="array" ref="D295">IF(B295&gt;7,2,IF(B295=0,"N/A",1))</f>
        <v>N/A</v>
      </c>
      <c r="E295" t="str" s="431" cm="1">
        <f t="array" ref="E295">_xlfn.IFERROR(SUM('Direct Costs 2026'!$C$4:$C$5)*D295,"N/A")</f>
        <v>N/A</v>
      </c>
      <c r="F295" s="423" cm="1">
        <f t="array" ref="F295">_xlfn.IFERROR('Direct Costs 2026'!$C$43*B295,"N/A")</f>
        <v>0</v>
      </c>
      <c r="G295" t="str" s="431" cm="1">
        <f t="array" ref="G295">IF(B295&gt;0,'Direct Costs 2026'!$C$25,"N/A")</f>
        <v>N/A</v>
      </c>
      <c r="H295" t="str" s="431" cm="1">
        <f t="array" ref="H295">IF(B295&gt;0,'Direct Costs 2026'!$C$15+'Direct Costs 2026'!$C$14,"N/A")</f>
        <v>N/A</v>
      </c>
      <c r="I295" s="423">
        <v>0</v>
      </c>
      <c r="J295" s="423">
        <v>0</v>
      </c>
      <c r="K295" t="str" s="431" cm="1">
        <f t="array" ref="K295">IF(B295&gt;0,'Direct Costs 2026'!$C$26,"N/A")</f>
        <v>N/A</v>
      </c>
      <c r="L295" t="str" s="431" cm="1">
        <f t="array" ref="L295">IF(B295&gt;0,'Direct Costs 2026'!$C$23,"N/A")</f>
        <v>N/A</v>
      </c>
      <c r="M295" t="str" s="431" cm="1">
        <f t="array" ref="M295">IF(B295&gt;0,'Direct Costs 2026'!$C$45*B295,"N/A")</f>
        <v>N/A</v>
      </c>
      <c r="N295" t="str" s="431" cm="1">
        <f t="array" ref="N295">IF(B295&gt;0,_xlfn.IFERROR(VLOOKUP(C280,'Boats Data Sheet 2026'!$C$3:$I$57,7,0)*'Direct Costs 2026'!$C$36,"N/A"),"N/A")</f>
        <v>N/A</v>
      </c>
      <c r="O295" t="str" s="431" cm="1">
        <f t="array" ref="O295">IF(B295&gt;0,IF(OR(VLOOKUP(C280,'Boats Data Sheet 2026'!$C$3:$F$57,4,0)="Own",VLOOKUP(C280,'Boats Data Sheet 2026'!$C$3:$F$57,4,0)="Management"),('Direct Costs 2026'!$C$37+'Direct Costs 2026'!$C$39),"N/A"),"N/A")</f>
        <v>N/A</v>
      </c>
      <c r="P295" t="str" s="431" cm="1">
        <f t="array" ref="P295">_xlfn.IFERROR('Direct Costs 2026'!$C$27*C295,"N/A")</f>
        <v>N/A</v>
      </c>
      <c r="Q295" t="str" s="431" cm="1">
        <f t="array" ref="Q295">_xlfn.IFERROR(C295+SUM(E295:P295),"N/A")</f>
        <v>N/A</v>
      </c>
      <c r="R295" s="424"/>
      <c r="S295" t="str" s="431" cm="1">
        <f t="array" ref="S295">IF(B295&gt;0,'Allocation OH and Target 2026'!$E$31,"N/A")</f>
        <v>N/A</v>
      </c>
      <c r="T295" t="str" s="431" cm="1">
        <f t="array" ref="T295">IF(B295&gt;0,VLOOKUP(C280,'Allocation OH and Target 2026'!$C$35:$S$87,16,0),"N/A")</f>
        <v>N/A</v>
      </c>
      <c r="U295" t="str" s="431" cm="1">
        <f t="array" ref="U295">_xlfn.IFERROR((S295+T295),"N/A")</f>
        <v>N/A</v>
      </c>
      <c r="V295" s="424"/>
      <c r="W295" t="str" s="431" cm="1">
        <f t="array" ref="W295">_xlfn.IFERROR(U295+Q295,"N/A")</f>
        <v>N/A</v>
      </c>
      <c r="X295" t="str" s="431" cm="1">
        <f t="array" ref="X295">_xlfn.IFERROR(W295*0.5%,"N/A")</f>
        <v>N/A</v>
      </c>
      <c r="Y295" t="str" s="431" cm="1">
        <f t="array" ref="Y295">_xlfn.IFERROR(W295*25%,"N/A")</f>
        <v>N/A</v>
      </c>
      <c r="Z295" t="str" s="426" cm="1">
        <f t="array" ref="Z295">IF(B295&gt;0,SUM(W295:Y295),"N/A")</f>
        <v>N/A</v>
      </c>
      <c r="AA295" t="str" s="426" cm="1">
        <f t="array" ref="AA295">_xlfn.IFERROR((Z295-Z294),"N/A")</f>
        <v>N/A</v>
      </c>
      <c r="AB295" s="424"/>
      <c r="AC295" t="str" s="426" cm="1">
        <f t="array" ref="AC295">IF(B295=6,AVERAGE(Z283:Z288),"N/A")</f>
        <v>N/A</v>
      </c>
      <c r="AD295" s="424"/>
      <c r="AE295" s="423"/>
      <c r="AF295" s="423"/>
      <c r="AG295" s="423"/>
      <c r="AH295" s="423"/>
      <c r="AI295" s="423"/>
      <c r="AJ295" s="423"/>
      <c r="AK295" s="423"/>
      <c r="AL295" s="423"/>
      <c r="AM295" s="423"/>
      <c r="AN295" s="427"/>
    </row>
    <row r="296" ht="15" customHeight="1">
      <c r="A296" s="12"/>
      <c r="B296" s="428" cm="1">
        <f t="array" ref="B296">IF(B295=0,0,IF(B295&lt;VLOOKUP(C280,'Boats Data Sheet 2026'!$C$3:$H$57,6,0),B295+1,0))</f>
        <v>0</v>
      </c>
      <c r="C296" t="str" s="431" cm="1">
        <f t="array" ref="C296">IF(B296&gt;0,IF(VLOOKUP(C280,'Boats Data Sheet 2026'!$C$3:$J$57,8,0)="N/A",0,VLOOKUP(C280,'Boats Data Sheet 2026'!$C$3:$J$57,8,0)),"N/A")</f>
        <v>N/A</v>
      </c>
      <c r="D296" t="str" s="431" cm="1">
        <f t="array" ref="D296">IF(B296&gt;7,2,IF(B296=0,"N/A",1))</f>
        <v>N/A</v>
      </c>
      <c r="E296" t="str" s="431" cm="1">
        <f t="array" ref="E296">_xlfn.IFERROR(SUM('Direct Costs 2026'!$C$4:$C$5)*D296,"N/A")</f>
        <v>N/A</v>
      </c>
      <c r="F296" s="423" cm="1">
        <f t="array" ref="F296">_xlfn.IFERROR('Direct Costs 2026'!$C$43*B296,"N/A")</f>
        <v>0</v>
      </c>
      <c r="G296" t="str" s="431" cm="1">
        <f t="array" ref="G296">IF(B296&gt;0,'Direct Costs 2026'!$C$25,"N/A")</f>
        <v>N/A</v>
      </c>
      <c r="H296" t="str" s="431" cm="1">
        <f t="array" ref="H296">IF(B296&gt;0,'Direct Costs 2026'!$C$15+'Direct Costs 2026'!$C$14,"N/A")</f>
        <v>N/A</v>
      </c>
      <c r="I296" s="423">
        <v>0</v>
      </c>
      <c r="J296" s="423">
        <v>0</v>
      </c>
      <c r="K296" t="str" s="431" cm="1">
        <f t="array" ref="K296">IF(B296&gt;0,'Direct Costs 2026'!$C$26,"N/A")</f>
        <v>N/A</v>
      </c>
      <c r="L296" t="str" s="431" cm="1">
        <f t="array" ref="L296">IF(B296&gt;0,'Direct Costs 2026'!$C$23,"N/A")</f>
        <v>N/A</v>
      </c>
      <c r="M296" t="str" s="431" cm="1">
        <f t="array" ref="M296">IF(B296&gt;0,'Direct Costs 2026'!$C$45*B296,"N/A")</f>
        <v>N/A</v>
      </c>
      <c r="N296" t="str" s="431" cm="1">
        <f t="array" ref="N296">IF(B296&gt;0,_xlfn.IFERROR(VLOOKUP(C280,'Boats Data Sheet 2026'!$C$3:$I$57,7,0)*'Direct Costs 2026'!$C$36,"N/A"),"N/A")</f>
        <v>N/A</v>
      </c>
      <c r="O296" t="str" s="431" cm="1">
        <f t="array" ref="O296">IF(B296&gt;0,IF(OR(VLOOKUP(C280,'Boats Data Sheet 2026'!$C$3:$F$57,4,0)="Own",VLOOKUP(C280,'Boats Data Sheet 2026'!$C$3:$F$57,4,0)="Management"),('Direct Costs 2026'!$C$37+'Direct Costs 2026'!$C$39),"N/A"),"N/A")</f>
        <v>N/A</v>
      </c>
      <c r="P296" t="str" s="431" cm="1">
        <f t="array" ref="P296">_xlfn.IFERROR('Direct Costs 2026'!$C$27*C296,"N/A")</f>
        <v>N/A</v>
      </c>
      <c r="Q296" t="str" s="431" cm="1">
        <f t="array" ref="Q296">_xlfn.IFERROR(C296+SUM(E296:P296),"N/A")</f>
        <v>N/A</v>
      </c>
      <c r="R296" s="424"/>
      <c r="S296" t="str" s="431" cm="1">
        <f t="array" ref="S296">IF(B296&gt;0,'Allocation OH and Target 2026'!$E$31,"N/A")</f>
        <v>N/A</v>
      </c>
      <c r="T296" t="str" s="431" cm="1">
        <f t="array" ref="T296">IF(B296&gt;0,VLOOKUP(C280,'Allocation OH and Target 2026'!$C$35:$S$87,16,0),"N/A")</f>
        <v>N/A</v>
      </c>
      <c r="U296" t="str" s="431" cm="1">
        <f t="array" ref="U296">_xlfn.IFERROR((S296+T296),"N/A")</f>
        <v>N/A</v>
      </c>
      <c r="V296" s="424"/>
      <c r="W296" t="str" s="431" cm="1">
        <f t="array" ref="W296">_xlfn.IFERROR(U296+Q296,"N/A")</f>
        <v>N/A</v>
      </c>
      <c r="X296" t="str" s="431" cm="1">
        <f t="array" ref="X296">_xlfn.IFERROR(W296*0.5%,"N/A")</f>
        <v>N/A</v>
      </c>
      <c r="Y296" t="str" s="431" cm="1">
        <f t="array" ref="Y296">_xlfn.IFERROR(W296*25%,"N/A")</f>
        <v>N/A</v>
      </c>
      <c r="Z296" t="str" s="426" cm="1">
        <f t="array" ref="Z296">IF(B296&gt;0,SUM(W296:Y296),"N/A")</f>
        <v>N/A</v>
      </c>
      <c r="AA296" t="str" s="426" cm="1">
        <f t="array" ref="AA296">_xlfn.IFERROR((Z296-Z295),"N/A")</f>
        <v>N/A</v>
      </c>
      <c r="AB296" s="424"/>
      <c r="AC296" t="str" s="426" cm="1">
        <f t="array" ref="AC296">IF(B296=6,AVERAGE(Z283:Z288),"N/A")</f>
        <v>N/A</v>
      </c>
      <c r="AD296" s="424"/>
      <c r="AE296" s="423"/>
      <c r="AF296" s="423"/>
      <c r="AG296" s="423"/>
      <c r="AH296" s="423"/>
      <c r="AI296" s="423"/>
      <c r="AJ296" s="423"/>
      <c r="AK296" s="423"/>
      <c r="AL296" s="423"/>
      <c r="AM296" s="423"/>
      <c r="AN296" s="427"/>
    </row>
    <row r="297" ht="15" customHeight="1">
      <c r="A297" s="12"/>
      <c r="B297" s="428" cm="1">
        <f t="array" ref="B297">IF(B296=0,0,IF(B296&lt;VLOOKUP(C280,'Boats Data Sheet 2026'!$C$3:$H$57,6,0),B296+1,0))</f>
        <v>0</v>
      </c>
      <c r="C297" t="str" s="431" cm="1">
        <f t="array" ref="C297">IF(B297&gt;0,IF(VLOOKUP(C280,'Boats Data Sheet 2026'!$C$3:$J$57,8,0)="N/A",0,VLOOKUP(C280,'Boats Data Sheet 2026'!$C$3:$J$57,8,0)),"N/A")</f>
        <v>N/A</v>
      </c>
      <c r="D297" t="str" s="431" cm="1">
        <f t="array" ref="D297">IF(B297&gt;7,2,IF(B297=0,"N/A",1))</f>
        <v>N/A</v>
      </c>
      <c r="E297" t="str" s="431" cm="1">
        <f t="array" ref="E297">_xlfn.IFERROR(SUM('Direct Costs 2026'!$C$4:$C$5)*D297,"N/A")</f>
        <v>N/A</v>
      </c>
      <c r="F297" s="423" cm="1">
        <f t="array" ref="F297">_xlfn.IFERROR('Direct Costs 2026'!$C$43*B297,"N/A")</f>
        <v>0</v>
      </c>
      <c r="G297" t="str" s="431" cm="1">
        <f t="array" ref="G297">IF(B297&gt;0,'Direct Costs 2026'!$C$25,"N/A")</f>
        <v>N/A</v>
      </c>
      <c r="H297" t="str" s="431" cm="1">
        <f t="array" ref="H297">IF(B297&gt;0,'Direct Costs 2026'!$C$15+'Direct Costs 2026'!$C$14,"N/A")</f>
        <v>N/A</v>
      </c>
      <c r="I297" s="423">
        <v>0</v>
      </c>
      <c r="J297" s="423">
        <v>0</v>
      </c>
      <c r="K297" t="str" s="431" cm="1">
        <f t="array" ref="K297">IF(B297&gt;0,'Direct Costs 2026'!$C$26,"N/A")</f>
        <v>N/A</v>
      </c>
      <c r="L297" t="str" s="431" cm="1">
        <f t="array" ref="L297">IF(B297&gt;0,'Direct Costs 2026'!$C$23,"N/A")</f>
        <v>N/A</v>
      </c>
      <c r="M297" t="str" s="431" cm="1">
        <f t="array" ref="M297">IF(B297&gt;0,'Direct Costs 2026'!$C$45*B297,"N/A")</f>
        <v>N/A</v>
      </c>
      <c r="N297" t="str" s="431" cm="1">
        <f t="array" ref="N297">IF(B297&gt;0,_xlfn.IFERROR(VLOOKUP(C280,'Boats Data Sheet 2026'!$C$3:$I$57,7,0)*'Direct Costs 2026'!$C$36,"N/A"),"N/A")</f>
        <v>N/A</v>
      </c>
      <c r="O297" t="str" s="431" cm="1">
        <f t="array" ref="O297">IF(B297&gt;0,IF(OR(VLOOKUP(C280,'Boats Data Sheet 2026'!$C$3:$F$57,4,0)="Own",VLOOKUP(C280,'Boats Data Sheet 2026'!$C$3:$F$57,4,0)="Management"),('Direct Costs 2026'!$C$37+'Direct Costs 2026'!$C$39),"N/A"),"N/A")</f>
        <v>N/A</v>
      </c>
      <c r="P297" t="str" s="431" cm="1">
        <f t="array" ref="P297">_xlfn.IFERROR('Direct Costs 2026'!$C$27*C297,"N/A")</f>
        <v>N/A</v>
      </c>
      <c r="Q297" t="str" s="431" cm="1">
        <f t="array" ref="Q297">_xlfn.IFERROR(C297+SUM(E297:P297),"N/A")</f>
        <v>N/A</v>
      </c>
      <c r="R297" s="424"/>
      <c r="S297" t="str" s="431" cm="1">
        <f t="array" ref="S297">IF(B297&gt;0,'Allocation OH and Target 2026'!$E$31,"N/A")</f>
        <v>N/A</v>
      </c>
      <c r="T297" t="str" s="431" cm="1">
        <f t="array" ref="T297">IF(B297&gt;0,VLOOKUP(C280,'Allocation OH and Target 2026'!$C$35:$S$87,16,0),"N/A")</f>
        <v>N/A</v>
      </c>
      <c r="U297" t="str" s="431" cm="1">
        <f t="array" ref="U297">_xlfn.IFERROR((S297+T297),"N/A")</f>
        <v>N/A</v>
      </c>
      <c r="V297" s="424"/>
      <c r="W297" t="str" s="431" cm="1">
        <f t="array" ref="W297">_xlfn.IFERROR(U297+Q297,"N/A")</f>
        <v>N/A</v>
      </c>
      <c r="X297" t="str" s="431" cm="1">
        <f t="array" ref="X297">_xlfn.IFERROR(W297*0.5%,"N/A")</f>
        <v>N/A</v>
      </c>
      <c r="Y297" t="str" s="431" cm="1">
        <f t="array" ref="Y297">_xlfn.IFERROR(W297*25%,"N/A")</f>
        <v>N/A</v>
      </c>
      <c r="Z297" t="str" s="426" cm="1">
        <f t="array" ref="Z297">IF(B297&gt;0,SUM(W297:Y297),"N/A")</f>
        <v>N/A</v>
      </c>
      <c r="AA297" t="str" s="426" cm="1">
        <f t="array" ref="AA297">_xlfn.IFERROR((Z297-Z296),"N/A")</f>
        <v>N/A</v>
      </c>
      <c r="AB297" s="424"/>
      <c r="AC297" t="str" s="426" cm="1">
        <f t="array" ref="AC297">IF(B297=6,AVERAGE(Z283:Z288),"N/A")</f>
        <v>N/A</v>
      </c>
      <c r="AD297" s="424"/>
      <c r="AE297" s="423"/>
      <c r="AF297" s="423"/>
      <c r="AG297" s="423"/>
      <c r="AH297" s="423"/>
      <c r="AI297" s="423"/>
      <c r="AJ297" s="423"/>
      <c r="AK297" s="423"/>
      <c r="AL297" s="423"/>
      <c r="AM297" s="423"/>
      <c r="AN297" s="427"/>
    </row>
    <row r="298" ht="15" customHeight="1">
      <c r="A298" s="12"/>
      <c r="B298" s="428" cm="1">
        <f t="array" ref="B298">IF(B297=0,0,IF(B297&lt;VLOOKUP(C280,'Boats Data Sheet 2026'!$C$3:$H$57,6,0),B297+1,0))</f>
        <v>0</v>
      </c>
      <c r="C298" t="str" s="431" cm="1">
        <f t="array" ref="C298">IF(B298&gt;0,IF(VLOOKUP(C280,'Boats Data Sheet 2026'!$C$3:$J$57,8,0)="N/A",0,VLOOKUP(C280,'Boats Data Sheet 2026'!$C$3:$J$57,8,0)),"N/A")</f>
        <v>N/A</v>
      </c>
      <c r="D298" t="str" s="431" cm="1">
        <f t="array" ref="D298">IF(B298&gt;7,2,IF(B298=0,"N/A",1))</f>
        <v>N/A</v>
      </c>
      <c r="E298" t="str" s="431" cm="1">
        <f t="array" ref="E298">_xlfn.IFERROR(SUM('Direct Costs 2026'!$C$4:$C$5)*D298,"N/A")</f>
        <v>N/A</v>
      </c>
      <c r="F298" s="423" cm="1">
        <f t="array" ref="F298">_xlfn.IFERROR('Direct Costs 2026'!$C$43*B298,"N/A")</f>
        <v>0</v>
      </c>
      <c r="G298" t="str" s="431" cm="1">
        <f t="array" ref="G298">IF(B298&gt;0,'Direct Costs 2026'!$C$25,"N/A")</f>
        <v>N/A</v>
      </c>
      <c r="H298" t="str" s="431" cm="1">
        <f t="array" ref="H298">IF(B298&gt;0,'Direct Costs 2026'!$C$15+'Direct Costs 2026'!$C$14,"N/A")</f>
        <v>N/A</v>
      </c>
      <c r="I298" s="423">
        <v>0</v>
      </c>
      <c r="J298" s="423">
        <v>0</v>
      </c>
      <c r="K298" t="str" s="431" cm="1">
        <f t="array" ref="K298">IF(B298&gt;0,'Direct Costs 2026'!$C$26,"N/A")</f>
        <v>N/A</v>
      </c>
      <c r="L298" t="str" s="431" cm="1">
        <f t="array" ref="L298">IF(B298&gt;0,'Direct Costs 2026'!$C$23,"N/A")</f>
        <v>N/A</v>
      </c>
      <c r="M298" t="str" s="431" cm="1">
        <f t="array" ref="M298">IF(B298&gt;0,'Direct Costs 2026'!$C$45*B298,"N/A")</f>
        <v>N/A</v>
      </c>
      <c r="N298" t="str" s="431" cm="1">
        <f t="array" ref="N298">IF(B298&gt;0,_xlfn.IFERROR(VLOOKUP(C280,'Boats Data Sheet 2026'!$C$3:$I$57,7,0)*'Direct Costs 2026'!$C$36,"N/A"),"N/A")</f>
        <v>N/A</v>
      </c>
      <c r="O298" t="str" s="431" cm="1">
        <f t="array" ref="O298">IF(B298&gt;0,IF(OR(VLOOKUP(C280,'Boats Data Sheet 2026'!$C$3:$F$57,4,0)="Own",VLOOKUP(C280,'Boats Data Sheet 2026'!$C$3:$F$57,4,0)="Management"),('Direct Costs 2026'!$C$37+'Direct Costs 2026'!$C$39),"N/A"),"N/A")</f>
        <v>N/A</v>
      </c>
      <c r="P298" t="str" s="431" cm="1">
        <f t="array" ref="P298">_xlfn.IFERROR('Direct Costs 2026'!$C$27*C298,"N/A")</f>
        <v>N/A</v>
      </c>
      <c r="Q298" t="str" s="431" cm="1">
        <f t="array" ref="Q298">_xlfn.IFERROR(C298+SUM(E298:P298),"N/A")</f>
        <v>N/A</v>
      </c>
      <c r="R298" s="424"/>
      <c r="S298" t="str" s="431" cm="1">
        <f t="array" ref="S298">IF(B298&gt;0,'Allocation OH and Target 2026'!$E$31,"N/A")</f>
        <v>N/A</v>
      </c>
      <c r="T298" t="str" s="431" cm="1">
        <f t="array" ref="T298">IF(B298&gt;0,VLOOKUP(C280,'Allocation OH and Target 2026'!$C$35:$S$87,16,0),"N/A")</f>
        <v>N/A</v>
      </c>
      <c r="U298" t="str" s="431" cm="1">
        <f t="array" ref="U298">_xlfn.IFERROR((S298+T298),"N/A")</f>
        <v>N/A</v>
      </c>
      <c r="V298" s="424"/>
      <c r="W298" t="str" s="431" cm="1">
        <f t="array" ref="W298">_xlfn.IFERROR(U298+Q298,"N/A")</f>
        <v>N/A</v>
      </c>
      <c r="X298" t="str" s="431" cm="1">
        <f t="array" ref="X298">_xlfn.IFERROR(W298*0.5%,"N/A")</f>
        <v>N/A</v>
      </c>
      <c r="Y298" t="str" s="431" cm="1">
        <f t="array" ref="Y298">_xlfn.IFERROR(W298*25%,"N/A")</f>
        <v>N/A</v>
      </c>
      <c r="Z298" t="str" s="426" cm="1">
        <f t="array" ref="Z298">IF(B298&gt;0,SUM(W298:Y298),"N/A")</f>
        <v>N/A</v>
      </c>
      <c r="AA298" t="str" s="426" cm="1">
        <f t="array" ref="AA298">_xlfn.IFERROR((Z298-Z297),"N/A")</f>
        <v>N/A</v>
      </c>
      <c r="AB298" s="424"/>
      <c r="AC298" t="str" s="426" cm="1">
        <f t="array" ref="AC298">IF(B298=6,AVERAGE(Z283:Z288),"N/A")</f>
        <v>N/A</v>
      </c>
      <c r="AD298" s="424"/>
      <c r="AE298" s="423"/>
      <c r="AF298" s="423"/>
      <c r="AG298" s="423"/>
      <c r="AH298" s="423"/>
      <c r="AI298" s="423"/>
      <c r="AJ298" s="423"/>
      <c r="AK298" s="423"/>
      <c r="AL298" s="423"/>
      <c r="AM298" s="423"/>
      <c r="AN298" s="427"/>
    </row>
    <row r="299" ht="15" customHeight="1">
      <c r="A299" s="12"/>
      <c r="B299" s="428" cm="1">
        <f t="array" ref="B299">IF(B298=0,0,IF(B298&lt;VLOOKUP(C280,'Boats Data Sheet 2026'!$C$3:$H$57,6,0),B298+1,0))</f>
        <v>0</v>
      </c>
      <c r="C299" t="str" s="431" cm="1">
        <f t="array" ref="C299">IF(B299&gt;0,IF(VLOOKUP(C280,'Boats Data Sheet 2026'!$C$3:$J$57,8,0)="N/A",0,VLOOKUP(C280,'Boats Data Sheet 2026'!$C$3:$J$57,8,0)),"N/A")</f>
        <v>N/A</v>
      </c>
      <c r="D299" t="str" s="431" cm="1">
        <f t="array" ref="D299">IF(B299&gt;7,2,IF(B299=0,"N/A",1))</f>
        <v>N/A</v>
      </c>
      <c r="E299" t="str" s="431" cm="1">
        <f t="array" ref="E299">_xlfn.IFERROR(SUM('Direct Costs 2026'!$C$4:$C$5)*D299,"N/A")</f>
        <v>N/A</v>
      </c>
      <c r="F299" s="423" cm="1">
        <f t="array" ref="F299">_xlfn.IFERROR('Direct Costs 2026'!$C$43*B299,"N/A")</f>
        <v>0</v>
      </c>
      <c r="G299" t="str" s="431" cm="1">
        <f t="array" ref="G299">IF(B299&gt;0,'Direct Costs 2026'!$C$25,"N/A")</f>
        <v>N/A</v>
      </c>
      <c r="H299" t="str" s="431" cm="1">
        <f t="array" ref="H299">IF(B299&gt;0,'Direct Costs 2026'!$C$15+'Direct Costs 2026'!$C$14,"N/A")</f>
        <v>N/A</v>
      </c>
      <c r="I299" s="423">
        <v>0</v>
      </c>
      <c r="J299" s="423">
        <v>0</v>
      </c>
      <c r="K299" t="str" s="431" cm="1">
        <f t="array" ref="K299">IF(B299&gt;0,'Direct Costs 2026'!$C$26,"N/A")</f>
        <v>N/A</v>
      </c>
      <c r="L299" t="str" s="431" cm="1">
        <f t="array" ref="L299">IF(B299&gt;0,'Direct Costs 2026'!$C$23,"N/A")</f>
        <v>N/A</v>
      </c>
      <c r="M299" t="str" s="431" cm="1">
        <f t="array" ref="M299">IF(B299&gt;0,'Direct Costs 2026'!$C$45*B299,"N/A")</f>
        <v>N/A</v>
      </c>
      <c r="N299" t="str" s="431" cm="1">
        <f t="array" ref="N299">IF(B299&gt;0,_xlfn.IFERROR(VLOOKUP(C280,'Boats Data Sheet 2026'!$C$3:$I$57,7,0)*'Direct Costs 2026'!$C$36,"N/A"),"N/A")</f>
        <v>N/A</v>
      </c>
      <c r="O299" t="str" s="431" cm="1">
        <f t="array" ref="O299">IF(B299&gt;0,IF(OR(VLOOKUP(C280,'Boats Data Sheet 2026'!$C$3:$F$57,4,0)="Own",VLOOKUP(C280,'Boats Data Sheet 2026'!$C$3:$F$57,4,0)="Management"),('Direct Costs 2026'!$C$37+'Direct Costs 2026'!$C$39),"N/A"),"N/A")</f>
        <v>N/A</v>
      </c>
      <c r="P299" t="str" s="431" cm="1">
        <f t="array" ref="P299">_xlfn.IFERROR('Direct Costs 2026'!$C$27*C299,"N/A")</f>
        <v>N/A</v>
      </c>
      <c r="Q299" t="str" s="431" cm="1">
        <f t="array" ref="Q299">_xlfn.IFERROR(C299+SUM(E299:P299),"N/A")</f>
        <v>N/A</v>
      </c>
      <c r="R299" s="424"/>
      <c r="S299" t="str" s="431" cm="1">
        <f t="array" ref="S299">IF(B299&gt;0,'Allocation OH and Target 2026'!$E$31,"N/A")</f>
        <v>N/A</v>
      </c>
      <c r="T299" t="str" s="431" cm="1">
        <f t="array" ref="T299">IF(B299&gt;0,VLOOKUP(C280,'Allocation OH and Target 2026'!$C$35:$S$87,16,0),"N/A")</f>
        <v>N/A</v>
      </c>
      <c r="U299" t="str" s="431" cm="1">
        <f t="array" ref="U299">_xlfn.IFERROR((S299+T299),"N/A")</f>
        <v>N/A</v>
      </c>
      <c r="V299" s="424"/>
      <c r="W299" t="str" s="431" cm="1">
        <f t="array" ref="W299">_xlfn.IFERROR(U299+Q299,"N/A")</f>
        <v>N/A</v>
      </c>
      <c r="X299" t="str" s="431" cm="1">
        <f t="array" ref="X299">_xlfn.IFERROR(W299*0.5%,"N/A")</f>
        <v>N/A</v>
      </c>
      <c r="Y299" t="str" s="431" cm="1">
        <f t="array" ref="Y299">_xlfn.IFERROR(W299*25%,"N/A")</f>
        <v>N/A</v>
      </c>
      <c r="Z299" t="str" s="426" cm="1">
        <f t="array" ref="Z299">IF(B299&gt;0,SUM(W299:Y299),"N/A")</f>
        <v>N/A</v>
      </c>
      <c r="AA299" t="str" s="426" cm="1">
        <f t="array" ref="AA299">_xlfn.IFERROR((Z299-Z298),"N/A")</f>
        <v>N/A</v>
      </c>
      <c r="AB299" s="424"/>
      <c r="AC299" t="str" s="426" cm="1">
        <f t="array" ref="AC299">IF(B299=6,AVERAGE(Z283:Z288),"N/A")</f>
        <v>N/A</v>
      </c>
      <c r="AD299" s="424"/>
      <c r="AE299" s="423"/>
      <c r="AF299" s="423"/>
      <c r="AG299" s="423"/>
      <c r="AH299" s="423"/>
      <c r="AI299" s="423"/>
      <c r="AJ299" s="423"/>
      <c r="AK299" s="423"/>
      <c r="AL299" s="423"/>
      <c r="AM299" s="423"/>
      <c r="AN299" s="427"/>
    </row>
    <row r="300" ht="15.5" customHeight="1">
      <c r="A300" s="12"/>
      <c r="B300" s="432" cm="1">
        <f t="array" ref="B300">IF(B299=0,0,IF(B299&lt;VLOOKUP(C280,'Boats Data Sheet 2026'!$C$3:$H$57,6,0),B299+1,0))</f>
        <v>0</v>
      </c>
      <c r="C300" t="str" s="433" cm="1">
        <f t="array" ref="C300">IF(B300&gt;0,IF(VLOOKUP(C280,'Boats Data Sheet 2026'!$C$3:$J$57,8,0)="N/A",0,VLOOKUP(C280,'Boats Data Sheet 2026'!$C$3:$J$57,8,0)),"N/A")</f>
        <v>N/A</v>
      </c>
      <c r="D300" t="str" s="433" cm="1">
        <f t="array" ref="D300">IF(B300&gt;7,2,IF(B300=0,"N/A",1))</f>
        <v>N/A</v>
      </c>
      <c r="E300" t="str" s="433" cm="1">
        <f t="array" ref="E300">_xlfn.IFERROR(SUM('Direct Costs 2026'!$C$4:$C$5)*D300,"N/A")</f>
        <v>N/A</v>
      </c>
      <c r="F300" s="434" cm="1">
        <f t="array" ref="F300">_xlfn.IFERROR('Direct Costs 2026'!$C$43*B300,"N/A")</f>
        <v>0</v>
      </c>
      <c r="G300" t="str" s="433" cm="1">
        <f t="array" ref="G300">IF(B300&gt;0,'Direct Costs 2026'!$C$25,"N/A")</f>
        <v>N/A</v>
      </c>
      <c r="H300" t="str" s="433" cm="1">
        <f t="array" ref="H300">IF(B300&gt;0,'Direct Costs 2026'!$C$15+'Direct Costs 2026'!$C$14,"N/A")</f>
        <v>N/A</v>
      </c>
      <c r="I300" s="434">
        <v>0</v>
      </c>
      <c r="J300" s="434">
        <v>0</v>
      </c>
      <c r="K300" t="str" s="433" cm="1">
        <f t="array" ref="K300">IF(B300&gt;0,'Direct Costs 2026'!$C$26,"N/A")</f>
        <v>N/A</v>
      </c>
      <c r="L300" t="str" s="433" cm="1">
        <f t="array" ref="L300">IF(B300&gt;0,'Direct Costs 2026'!$C$23,"N/A")</f>
        <v>N/A</v>
      </c>
      <c r="M300" t="str" s="433" cm="1">
        <f t="array" ref="M300">IF(B300&gt;0,'Direct Costs 2026'!$C$45*B300,"N/A")</f>
        <v>N/A</v>
      </c>
      <c r="N300" t="str" s="433" cm="1">
        <f t="array" ref="N300">IF(B300&gt;0,_xlfn.IFERROR(VLOOKUP(C280,'Boats Data Sheet 2026'!$C$3:$I$57,7,0)*'Direct Costs 2026'!$C$36,"N/A"),"N/A")</f>
        <v>N/A</v>
      </c>
      <c r="O300" t="str" s="433" cm="1">
        <f t="array" ref="O300">IF(B300&gt;0,IF(OR(VLOOKUP(C280,'Boats Data Sheet 2026'!$C$3:$F$57,4,0)="Own",VLOOKUP(C280,'Boats Data Sheet 2026'!$C$3:$F$57,4,0)="Management"),('Direct Costs 2026'!$C$37+'Direct Costs 2026'!$C$39),"N/A"),"N/A")</f>
        <v>N/A</v>
      </c>
      <c r="P300" t="str" s="433" cm="1">
        <f t="array" ref="P300">_xlfn.IFERROR('Direct Costs 2026'!$C$27*C300,"N/A")</f>
        <v>N/A</v>
      </c>
      <c r="Q300" t="str" s="433" cm="1">
        <f t="array" ref="Q300">_xlfn.IFERROR(C300+SUM(E300:P300),"N/A")</f>
        <v>N/A</v>
      </c>
      <c r="R300" s="435"/>
      <c r="S300" t="str" s="433" cm="1">
        <f t="array" ref="S300">IF(B300&gt;0,'Allocation OH and Target 2026'!$E$31,"N/A")</f>
        <v>N/A</v>
      </c>
      <c r="T300" t="str" s="433" cm="1">
        <f t="array" ref="T300">IF(B300&gt;0,VLOOKUP(C280,'Allocation OH and Target 2026'!$C$35:$S$87,16,0),"N/A")</f>
        <v>N/A</v>
      </c>
      <c r="U300" t="str" s="433" cm="1">
        <f t="array" ref="U300">_xlfn.IFERROR((S300+T300),"N/A")</f>
        <v>N/A</v>
      </c>
      <c r="V300" s="435"/>
      <c r="W300" t="str" s="433" cm="1">
        <f t="array" ref="W300">_xlfn.IFERROR(U300+Q300,"N/A")</f>
        <v>N/A</v>
      </c>
      <c r="X300" t="str" s="433" cm="1">
        <f t="array" ref="X300">_xlfn.IFERROR(W300*0.5%,"N/A")</f>
        <v>N/A</v>
      </c>
      <c r="Y300" t="str" s="433" cm="1">
        <f t="array" ref="Y300">_xlfn.IFERROR(W300*25%,"N/A")</f>
        <v>N/A</v>
      </c>
      <c r="Z300" t="str" s="436" cm="1">
        <f t="array" ref="Z300">IF(B300&gt;0,SUM(W300:Y300),"N/A")</f>
        <v>N/A</v>
      </c>
      <c r="AA300" t="str" s="436" cm="1">
        <f t="array" ref="AA300">_xlfn.IFERROR((Z300-Z299),"N/A")</f>
        <v>N/A</v>
      </c>
      <c r="AB300" s="435"/>
      <c r="AC300" t="str" s="436" cm="1">
        <f t="array" ref="AC300">IF(B300=6,AVERAGE(Z283:Z288),"N/A")</f>
        <v>N/A</v>
      </c>
      <c r="AD300" s="435"/>
      <c r="AE300" s="434"/>
      <c r="AF300" s="434"/>
      <c r="AG300" s="434"/>
      <c r="AH300" s="434"/>
      <c r="AI300" s="434"/>
      <c r="AJ300" s="434"/>
      <c r="AK300" s="434"/>
      <c r="AL300" s="434"/>
      <c r="AM300" s="434"/>
      <c r="AN300" s="437"/>
    </row>
    <row r="301" ht="15" customHeight="1">
      <c r="A301" s="32"/>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c r="AH301" s="124"/>
      <c r="AI301" s="124"/>
      <c r="AJ301" s="124"/>
      <c r="AK301" s="124"/>
      <c r="AL301" s="124"/>
      <c r="AM301" s="124"/>
      <c r="AN301" s="313"/>
    </row>
    <row r="302" ht="15" customHeight="1">
      <c r="A302" s="32"/>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442"/>
    </row>
    <row r="303" ht="15.5" customHeight="1">
      <c r="A303" s="395">
        <v>15</v>
      </c>
      <c r="B303" t="s" s="396">
        <v>506</v>
      </c>
      <c r="C303" t="s" s="397">
        <v>197</v>
      </c>
      <c r="D303" s="398"/>
      <c r="E303" s="398"/>
      <c r="F303" s="398"/>
      <c r="G303" s="398"/>
      <c r="H303" s="398"/>
      <c r="I303" s="398"/>
      <c r="J303" s="398"/>
      <c r="K303" s="398"/>
      <c r="L303" s="398"/>
      <c r="M303" s="398"/>
      <c r="N303" s="398"/>
      <c r="O303" s="398"/>
      <c r="P303" s="398"/>
      <c r="Q303" s="398"/>
      <c r="R303" s="399"/>
      <c r="S303" s="398"/>
      <c r="T303" s="398"/>
      <c r="U303" s="398"/>
      <c r="V303" s="399"/>
      <c r="W303" s="398"/>
      <c r="X303" s="398"/>
      <c r="Y303" s="398"/>
      <c r="Z303" s="398"/>
      <c r="AA303" s="398"/>
      <c r="AB303" s="399"/>
      <c r="AC303" s="398"/>
      <c r="AD303" s="399"/>
      <c r="AE303" t="s" s="397">
        <v>508</v>
      </c>
      <c r="AF303" s="401" cm="1">
        <f t="array" ref="AF303">AVERAGE(Q306:Q311)</f>
        <v>10061500</v>
      </c>
      <c r="AG303" t="s" s="400">
        <v>509</v>
      </c>
      <c r="AH303" s="401" cm="1">
        <f t="array" ref="AH303">AVERAGE(Q312:Q319)-AF303</f>
        <v>1858062.5</v>
      </c>
      <c r="AI303" t="s" s="400">
        <v>510</v>
      </c>
      <c r="AJ303" s="401" cm="1">
        <f t="array" ref="AJ303">AVERAGE(Y306:Y313)</f>
        <v>3356846.16442453</v>
      </c>
      <c r="AK303" t="s" s="397">
        <v>511</v>
      </c>
      <c r="AL303" s="401" cm="1">
        <f t="array" ref="AL303">AVERAGE(W306:W311)</f>
        <v>13161947.1576981</v>
      </c>
      <c r="AM303" t="s" s="400">
        <v>512</v>
      </c>
      <c r="AN303" s="402" cm="1">
        <f t="array" ref="AN303">W306</f>
        <v>12771947.1576981</v>
      </c>
    </row>
    <row r="304" ht="15" customHeight="1">
      <c r="A304" s="12"/>
      <c r="B304" s="403"/>
      <c r="C304" t="s" s="404">
        <v>513</v>
      </c>
      <c r="D304" s="405"/>
      <c r="E304" s="405"/>
      <c r="F304" s="405"/>
      <c r="G304" s="405"/>
      <c r="H304" s="405"/>
      <c r="I304" s="405"/>
      <c r="J304" s="405"/>
      <c r="K304" s="405"/>
      <c r="L304" s="405"/>
      <c r="M304" s="405"/>
      <c r="N304" s="405"/>
      <c r="O304" s="405"/>
      <c r="P304" s="405"/>
      <c r="Q304" s="406"/>
      <c r="R304" s="407"/>
      <c r="S304" t="s" s="404">
        <v>514</v>
      </c>
      <c r="T304" s="405"/>
      <c r="U304" s="406"/>
      <c r="V304" s="407"/>
      <c r="W304" t="s" s="404">
        <v>515</v>
      </c>
      <c r="X304" s="405"/>
      <c r="Y304" s="405"/>
      <c r="Z304" s="405"/>
      <c r="AA304" s="405"/>
      <c r="AB304" s="408"/>
      <c r="AC304" s="443"/>
      <c r="AD304" s="410"/>
      <c r="AE304" s="443"/>
      <c r="AF304" s="443"/>
      <c r="AG304" s="443"/>
      <c r="AH304" s="443"/>
      <c r="AI304" s="443"/>
      <c r="AJ304" s="443"/>
      <c r="AK304" s="443"/>
      <c r="AL304" s="414"/>
      <c r="AM304" s="415"/>
      <c r="AN304" s="414"/>
    </row>
    <row r="305" ht="46.25" customHeight="1">
      <c r="A305" s="187"/>
      <c r="B305" t="s" s="416">
        <v>517</v>
      </c>
      <c r="C305" t="s" s="417">
        <v>518</v>
      </c>
      <c r="D305" t="s" s="417">
        <v>519</v>
      </c>
      <c r="E305" t="s" s="417">
        <v>520</v>
      </c>
      <c r="F305" t="s" s="159">
        <v>521</v>
      </c>
      <c r="G305" t="s" s="159">
        <v>522</v>
      </c>
      <c r="H305" t="s" s="159">
        <v>553</v>
      </c>
      <c r="I305" t="s" s="159">
        <v>524</v>
      </c>
      <c r="J305" t="s" s="159">
        <v>525</v>
      </c>
      <c r="K305" t="s" s="159">
        <v>526</v>
      </c>
      <c r="L305" t="s" s="159">
        <v>527</v>
      </c>
      <c r="M305" t="s" s="159">
        <v>528</v>
      </c>
      <c r="N305" t="s" s="159">
        <v>529</v>
      </c>
      <c r="O305" t="s" s="159">
        <v>530</v>
      </c>
      <c r="P305" t="s" s="159">
        <v>531</v>
      </c>
      <c r="Q305" t="s" s="159">
        <v>532</v>
      </c>
      <c r="R305" s="418"/>
      <c r="S305" t="s" s="159">
        <v>533</v>
      </c>
      <c r="T305" t="s" s="159">
        <v>534</v>
      </c>
      <c r="U305" t="s" s="159">
        <v>535</v>
      </c>
      <c r="V305" s="418"/>
      <c r="W305" t="s" s="159">
        <v>536</v>
      </c>
      <c r="X305" t="s" s="159">
        <v>537</v>
      </c>
      <c r="Y305" t="s" s="159">
        <v>538</v>
      </c>
      <c r="Z305" t="s" s="159">
        <v>539</v>
      </c>
      <c r="AA305" t="s" s="159">
        <v>121</v>
      </c>
      <c r="AB305" s="419"/>
      <c r="AC305" t="s" s="159">
        <v>39</v>
      </c>
      <c r="AD305" s="419"/>
      <c r="AE305" s="77"/>
      <c r="AF305" s="77"/>
      <c r="AG305" s="77"/>
      <c r="AH305" s="77"/>
      <c r="AI305" s="77"/>
      <c r="AJ305" s="77"/>
      <c r="AK305" s="77"/>
      <c r="AL305" s="77"/>
      <c r="AM305" s="77"/>
      <c r="AN305" s="78"/>
    </row>
    <row r="306" ht="15" customHeight="1">
      <c r="A306" s="12"/>
      <c r="B306" s="420">
        <v>1</v>
      </c>
      <c r="C306" s="421" cm="1">
        <f t="array" ref="C306">IF(B306&gt;0,IF(VLOOKUP(C303,'Boats Data Sheet 2026'!$C$3:$J$57,8,0)="N/A",0,VLOOKUP(C303,'Boats Data Sheet 2026'!$C$3:$J$57,8,0)),"N/A")</f>
        <v>8000000</v>
      </c>
      <c r="D306" s="422" cm="1">
        <f t="array" ref="D306">IF(B306&gt;7,2,IF(B306=0,"N/A",1))</f>
        <v>1</v>
      </c>
      <c r="E306" s="421" cm="1">
        <f t="array" ref="E306">_xlfn.IFERROR(SUM('Direct Costs 2026'!$C$4:$C$5)*D306,"N/A")</f>
        <v>875500</v>
      </c>
      <c r="F306" s="423" cm="1">
        <f t="array" ref="F306">_xlfn.IFERROR('Direct Costs 2026'!$C$43*B306,"N/A")</f>
        <v>6000</v>
      </c>
      <c r="G306" s="423" cm="1">
        <f t="array" ref="G306">IF(B306&gt;0,'Direct Costs 2026'!$C$25,"N/A")</f>
        <v>90000</v>
      </c>
      <c r="H306" s="423" cm="1">
        <f t="array" ref="H306">IF(B306&gt;0,'Direct Costs 2026'!$C$15+'Direct Costs 2026'!$C$14,"N/A")</f>
        <v>230000</v>
      </c>
      <c r="I306" s="423">
        <v>0</v>
      </c>
      <c r="J306" s="423">
        <v>0</v>
      </c>
      <c r="K306" s="423" cm="1">
        <f t="array" ref="K306">IF(B306&gt;0,'Direct Costs 2026'!$C$26,"N/A")</f>
        <v>20000</v>
      </c>
      <c r="L306" s="423" cm="1">
        <f t="array" ref="L306">IF(B306&gt;0,'Direct Costs 2026'!$C$23,"N/A")</f>
        <v>140000</v>
      </c>
      <c r="M306" s="423" cm="1">
        <f t="array" ref="M306">IF(B306&gt;0,'Direct Costs 2026'!$C$45*B306,"N/A")</f>
        <v>150000</v>
      </c>
      <c r="N306" t="str" s="431" cm="1">
        <f t="array" ref="N306">IF(B306&gt;0,_xlfn.IFERROR(VLOOKUP(C303,'Boats Data Sheet 2026'!$C$3:$I$57,7,0)*'Direct Costs 2026'!$C$36,"N/A"),"N/A")</f>
        <v>N/A</v>
      </c>
      <c r="O306" t="str" s="431" cm="1">
        <f t="array" ref="O306">IF(B306&gt;0,IF(OR(VLOOKUP(C303,'Boats Data Sheet 2026'!$C$3:$F$57,4,0)="Own",VLOOKUP(C303,'Boats Data Sheet 2026'!$C$3:$F$57,4,0)="Management"),('Direct Costs 2026'!$C$37+'Direct Costs 2026'!$C$39),"N/A"),"N/A")</f>
        <v>N/A</v>
      </c>
      <c r="P306" s="423" cm="1">
        <f t="array" ref="P306">_xlfn.IFERROR('Direct Costs 2026'!$C$27*C306,"N/A")</f>
        <v>160000</v>
      </c>
      <c r="Q306" s="423" cm="1">
        <f t="array" ref="Q306">_xlfn.IFERROR(C306+SUM(E306:P306),"N/A")</f>
        <v>9671500</v>
      </c>
      <c r="R306" s="424"/>
      <c r="S306" s="423" cm="1">
        <f t="array" ref="S306">IF(B306&gt;0,'Allocation OH and Target 2026'!$E$31,"N/A")</f>
        <v>3100447.15769812</v>
      </c>
      <c r="T306" s="423" cm="1">
        <f t="array" ref="T306">IF(B306&gt;0,VLOOKUP(C303,'Allocation OH and Target 2026'!$C$35:$S$87,16,0),"N/A")</f>
        <v>0</v>
      </c>
      <c r="U306" s="423" cm="1">
        <f t="array" ref="U306">_xlfn.IFERROR((S306+T306),"N/A")</f>
        <v>3100447.15769812</v>
      </c>
      <c r="V306" s="424"/>
      <c r="W306" s="423" cm="1">
        <f t="array" ref="W306">_xlfn.IFERROR(U306+Q306,"N/A")</f>
        <v>12771947.1576981</v>
      </c>
      <c r="X306" s="423" cm="1">
        <f t="array" ref="X306">_xlfn.IFERROR(W306*0.5%,"N/A")</f>
        <v>63859.7357884905</v>
      </c>
      <c r="Y306" s="423" cm="1">
        <f t="array" ref="Y306">_xlfn.IFERROR(W306*25%,"N/A")</f>
        <v>3192986.78942453</v>
      </c>
      <c r="Z306" s="425" cm="1">
        <f t="array" ref="Z306">IF(B306&gt;0,SUM(W306:Y306),"N/A")</f>
        <v>16028793.6829111</v>
      </c>
      <c r="AA306" s="425">
        <v>0</v>
      </c>
      <c r="AB306" s="424"/>
      <c r="AC306" t="str" s="426" cm="1">
        <f t="array" ref="AC306">IF(B306=6,AVERAGE(Z306:Z311),"N/A")</f>
        <v>N/A</v>
      </c>
      <c r="AD306" s="424"/>
      <c r="AE306" s="423"/>
      <c r="AF306" s="423"/>
      <c r="AG306" s="423"/>
      <c r="AH306" s="423"/>
      <c r="AI306" s="423"/>
      <c r="AJ306" s="423"/>
      <c r="AK306" s="423"/>
      <c r="AL306" s="423"/>
      <c r="AM306" s="423"/>
      <c r="AN306" s="427"/>
    </row>
    <row r="307" ht="15" customHeight="1">
      <c r="A307" s="12"/>
      <c r="B307" s="428" cm="1">
        <f t="array" ref="B307">IF(B306=0,0,IF(B306&lt;VLOOKUP(C303,'Boats Data Sheet 2026'!$C$3:$H$57,6,0),B306+1,0))</f>
        <v>2</v>
      </c>
      <c r="C307" s="423" cm="1">
        <f t="array" ref="C307">IF(B307&gt;0,IF(VLOOKUP(C303,'Boats Data Sheet 2026'!$C$3:$J$57,8,0)="N/A",0,VLOOKUP(C303,'Boats Data Sheet 2026'!$C$3:$J$57,8,0)),"N/A")</f>
        <v>8000000</v>
      </c>
      <c r="D307" s="429" cm="1">
        <f t="array" ref="D307">IF(B307&gt;7,2,IF(B307=0,"N/A",1))</f>
        <v>1</v>
      </c>
      <c r="E307" s="423" cm="1">
        <f t="array" ref="E307">_xlfn.IFERROR(SUM('Direct Costs 2026'!$C$4:$C$5)*D307,"N/A")</f>
        <v>875500</v>
      </c>
      <c r="F307" s="423" cm="1">
        <f t="array" ref="F307">_xlfn.IFERROR('Direct Costs 2026'!$C$43*B307,"N/A")</f>
        <v>12000</v>
      </c>
      <c r="G307" s="423" cm="1">
        <f t="array" ref="G307">IF(B307&gt;0,'Direct Costs 2026'!$C$25,"N/A")</f>
        <v>90000</v>
      </c>
      <c r="H307" s="423" cm="1">
        <f t="array" ref="H307">IF(B307&gt;0,'Direct Costs 2026'!$C$15+'Direct Costs 2026'!$C$14,"N/A")</f>
        <v>230000</v>
      </c>
      <c r="I307" s="423">
        <v>0</v>
      </c>
      <c r="J307" s="423">
        <v>0</v>
      </c>
      <c r="K307" s="423" cm="1">
        <f t="array" ref="K307">IF(B307&gt;0,'Direct Costs 2026'!$C$26,"N/A")</f>
        <v>20000</v>
      </c>
      <c r="L307" s="423" cm="1">
        <f t="array" ref="L307">IF(B307&gt;0,'Direct Costs 2026'!$C$23,"N/A")</f>
        <v>140000</v>
      </c>
      <c r="M307" s="423" cm="1">
        <f t="array" ref="M307">IF(B307&gt;0,'Direct Costs 2026'!$C$45*B307,"N/A")</f>
        <v>300000</v>
      </c>
      <c r="N307" t="str" s="431" cm="1">
        <f t="array" ref="N307">IF(B307&gt;0,_xlfn.IFERROR(VLOOKUP(C303,'Boats Data Sheet 2026'!$C$3:$I$57,7,0)*'Direct Costs 2026'!$C$36,"N/A"),"N/A")</f>
        <v>N/A</v>
      </c>
      <c r="O307" t="str" s="431" cm="1">
        <f t="array" ref="O307">IF(B307&gt;0,IF(OR(VLOOKUP(C303,'Boats Data Sheet 2026'!$C$3:$F$57,4,0)="Own",VLOOKUP(C303,'Boats Data Sheet 2026'!$C$3:$F$57,4,0)="Management"),('Direct Costs 2026'!$C$37+'Direct Costs 2026'!$C$39),"N/A"),"N/A")</f>
        <v>N/A</v>
      </c>
      <c r="P307" s="423" cm="1">
        <f t="array" ref="P307">_xlfn.IFERROR('Direct Costs 2026'!$C$27*C307,"N/A")</f>
        <v>160000</v>
      </c>
      <c r="Q307" s="423" cm="1">
        <f t="array" ref="Q307">_xlfn.IFERROR(C307+SUM(E307:P307),"N/A")</f>
        <v>9827500</v>
      </c>
      <c r="R307" s="424"/>
      <c r="S307" s="423" cm="1">
        <f t="array" ref="S307">IF(B307&gt;0,'Allocation OH and Target 2026'!$E$31,"N/A")</f>
        <v>3100447.15769812</v>
      </c>
      <c r="T307" s="423" cm="1">
        <f t="array" ref="T307">IF(B307&gt;0,VLOOKUP(C303,'Allocation OH and Target 2026'!$C$35:$S$87,16,0),"N/A")</f>
        <v>0</v>
      </c>
      <c r="U307" s="423" cm="1">
        <f t="array" ref="U307">_xlfn.IFERROR((S307+T307),"N/A")</f>
        <v>3100447.15769812</v>
      </c>
      <c r="V307" s="424"/>
      <c r="W307" s="423" cm="1">
        <f t="array" ref="W307">_xlfn.IFERROR(U307+Q307,"N/A")</f>
        <v>12927947.1576981</v>
      </c>
      <c r="X307" s="423" cm="1">
        <f t="array" ref="X307">_xlfn.IFERROR(W307*0.5%,"N/A")</f>
        <v>64639.7357884905</v>
      </c>
      <c r="Y307" s="423" cm="1">
        <f t="array" ref="Y307">_xlfn.IFERROR(W307*25%,"N/A")</f>
        <v>3231986.78942453</v>
      </c>
      <c r="Z307" s="425" cm="1">
        <f t="array" ref="Z307">IF(B307&gt;0,SUM(W307:Y307),"N/A")</f>
        <v>16224573.6829111</v>
      </c>
      <c r="AA307" s="425" cm="1">
        <f t="array" ref="AA307">_xlfn.IFERROR((Z307-Z306),"N/A")</f>
        <v>195780</v>
      </c>
      <c r="AB307" s="424"/>
      <c r="AC307" t="str" s="426" cm="1">
        <f t="array" ref="AC307">IF(B307=6,AVERAGE(Z306:Z311),"N/A")</f>
        <v>N/A</v>
      </c>
      <c r="AD307" s="424"/>
      <c r="AE307" s="423"/>
      <c r="AF307" s="423"/>
      <c r="AG307" s="423"/>
      <c r="AH307" s="423"/>
      <c r="AI307" s="423"/>
      <c r="AJ307" s="423"/>
      <c r="AK307" s="423"/>
      <c r="AL307" s="423"/>
      <c r="AM307" s="423"/>
      <c r="AN307" s="427"/>
    </row>
    <row r="308" ht="15" customHeight="1">
      <c r="A308" s="12"/>
      <c r="B308" s="428" cm="1">
        <f t="array" ref="B308">IF(B307=0,0,IF(B307&lt;VLOOKUP(C303,'Boats Data Sheet 2026'!$C$3:$H$57,6,0),B307+1,0))</f>
        <v>3</v>
      </c>
      <c r="C308" s="423" cm="1">
        <f t="array" ref="C308">IF(B308&gt;0,IF(VLOOKUP(C303,'Boats Data Sheet 2026'!$C$3:$J$57,8,0)="N/A",0,VLOOKUP(C303,'Boats Data Sheet 2026'!$C$3:$J$57,8,0)),"N/A")</f>
        <v>8000000</v>
      </c>
      <c r="D308" s="429" cm="1">
        <f t="array" ref="D308">IF(B308&gt;7,2,IF(B308=0,"N/A",1))</f>
        <v>1</v>
      </c>
      <c r="E308" s="423" cm="1">
        <f t="array" ref="E308">_xlfn.IFERROR(SUM('Direct Costs 2026'!$C$4:$C$5)*D308,"N/A")</f>
        <v>875500</v>
      </c>
      <c r="F308" s="423" cm="1">
        <f t="array" ref="F308">_xlfn.IFERROR('Direct Costs 2026'!$C$43*B308,"N/A")</f>
        <v>18000</v>
      </c>
      <c r="G308" s="423" cm="1">
        <f t="array" ref="G308">IF(B308&gt;0,'Direct Costs 2026'!$C$25,"N/A")</f>
        <v>90000</v>
      </c>
      <c r="H308" s="423" cm="1">
        <f t="array" ref="H308">IF(B308&gt;0,'Direct Costs 2026'!$C$15+'Direct Costs 2026'!$C$14,"N/A")</f>
        <v>230000</v>
      </c>
      <c r="I308" s="423">
        <v>0</v>
      </c>
      <c r="J308" s="423">
        <v>0</v>
      </c>
      <c r="K308" s="423" cm="1">
        <f t="array" ref="K308">IF(B308&gt;0,'Direct Costs 2026'!$C$26,"N/A")</f>
        <v>20000</v>
      </c>
      <c r="L308" s="423" cm="1">
        <f t="array" ref="L308">IF(B308&gt;0,'Direct Costs 2026'!$C$23,"N/A")</f>
        <v>140000</v>
      </c>
      <c r="M308" s="423" cm="1">
        <f t="array" ref="M308">IF(B308&gt;0,'Direct Costs 2026'!$C$45*B308,"N/A")</f>
        <v>450000</v>
      </c>
      <c r="N308" t="str" s="431" cm="1">
        <f t="array" ref="N308">IF(B308&gt;0,_xlfn.IFERROR(VLOOKUP(C303,'Boats Data Sheet 2026'!$C$3:$I$57,7,0)*'Direct Costs 2026'!$C$36,"N/A"),"N/A")</f>
        <v>N/A</v>
      </c>
      <c r="O308" t="str" s="431" cm="1">
        <f t="array" ref="O308">IF(B308&gt;0,IF(OR(VLOOKUP(C303,'Boats Data Sheet 2026'!$C$3:$F$57,4,0)="Own",VLOOKUP(C303,'Boats Data Sheet 2026'!$C$3:$F$57,4,0)="Management"),('Direct Costs 2026'!$C$37+'Direct Costs 2026'!$C$39),"N/A"),"N/A")</f>
        <v>N/A</v>
      </c>
      <c r="P308" s="423" cm="1">
        <f t="array" ref="P308">_xlfn.IFERROR('Direct Costs 2026'!$C$27*C308,"N/A")</f>
        <v>160000</v>
      </c>
      <c r="Q308" s="423" cm="1">
        <f t="array" ref="Q308">_xlfn.IFERROR(C308+SUM(E308:P308),"N/A")</f>
        <v>9983500</v>
      </c>
      <c r="R308" s="424"/>
      <c r="S308" s="423" cm="1">
        <f t="array" ref="S308">IF(B308&gt;0,'Allocation OH and Target 2026'!$E$31,"N/A")</f>
        <v>3100447.15769812</v>
      </c>
      <c r="T308" s="423" cm="1">
        <f t="array" ref="T308">IF(B308&gt;0,VLOOKUP(C303,'Allocation OH and Target 2026'!$C$35:$S$87,16,0),"N/A")</f>
        <v>0</v>
      </c>
      <c r="U308" s="423" cm="1">
        <f t="array" ref="U308">_xlfn.IFERROR((S308+T308),"N/A")</f>
        <v>3100447.15769812</v>
      </c>
      <c r="V308" s="424"/>
      <c r="W308" s="423" cm="1">
        <f t="array" ref="W308">_xlfn.IFERROR(U308+Q308,"N/A")</f>
        <v>13083947.1576981</v>
      </c>
      <c r="X308" s="423" cm="1">
        <f t="array" ref="X308">_xlfn.IFERROR(W308*0.5%,"N/A")</f>
        <v>65419.7357884905</v>
      </c>
      <c r="Y308" s="423" cm="1">
        <f t="array" ref="Y308">_xlfn.IFERROR(W308*25%,"N/A")</f>
        <v>3270986.78942453</v>
      </c>
      <c r="Z308" s="425" cm="1">
        <f t="array" ref="Z308">IF(B308&gt;0,SUM(W308:Y308),"N/A")</f>
        <v>16420353.6829111</v>
      </c>
      <c r="AA308" s="425" cm="1">
        <f t="array" ref="AA308">_xlfn.IFERROR((Z308-Z307),"N/A")</f>
        <v>195780</v>
      </c>
      <c r="AB308" s="424"/>
      <c r="AC308" t="str" s="426" cm="1">
        <f t="array" ref="AC308">IF(B308=6,AVERAGE(Z306:Z311),"N/A")</f>
        <v>N/A</v>
      </c>
      <c r="AD308" s="424"/>
      <c r="AE308" s="423"/>
      <c r="AF308" s="423"/>
      <c r="AG308" s="423"/>
      <c r="AH308" s="423"/>
      <c r="AI308" s="423"/>
      <c r="AJ308" s="423"/>
      <c r="AK308" s="423"/>
      <c r="AL308" s="423"/>
      <c r="AM308" s="423"/>
      <c r="AN308" s="427"/>
    </row>
    <row r="309" ht="15" customHeight="1">
      <c r="A309" s="12"/>
      <c r="B309" s="428" cm="1">
        <f t="array" ref="B309">IF(B308=0,0,IF(B308&lt;VLOOKUP(C303,'Boats Data Sheet 2026'!$C$3:$H$57,6,0),B308+1,0))</f>
        <v>4</v>
      </c>
      <c r="C309" s="423" cm="1">
        <f t="array" ref="C309">IF(B309&gt;0,IF(VLOOKUP(C303,'Boats Data Sheet 2026'!$C$3:$J$57,8,0)="N/A",0,VLOOKUP(C303,'Boats Data Sheet 2026'!$C$3:$J$57,8,0)),"N/A")</f>
        <v>8000000</v>
      </c>
      <c r="D309" s="429" cm="1">
        <f t="array" ref="D309">IF(B309&gt;7,2,IF(B309=0,"N/A",1))</f>
        <v>1</v>
      </c>
      <c r="E309" s="423" cm="1">
        <f t="array" ref="E309">_xlfn.IFERROR(SUM('Direct Costs 2026'!$C$4:$C$5)*D309,"N/A")</f>
        <v>875500</v>
      </c>
      <c r="F309" s="423" cm="1">
        <f t="array" ref="F309">_xlfn.IFERROR('Direct Costs 2026'!$C$43*B309,"N/A")</f>
        <v>24000</v>
      </c>
      <c r="G309" s="423" cm="1">
        <f t="array" ref="G309">IF(B309&gt;0,'Direct Costs 2026'!$C$25,"N/A")</f>
        <v>90000</v>
      </c>
      <c r="H309" s="423" cm="1">
        <f t="array" ref="H309">IF(B309&gt;0,'Direct Costs 2026'!$C$15+'Direct Costs 2026'!$C$14,"N/A")</f>
        <v>230000</v>
      </c>
      <c r="I309" s="423">
        <v>0</v>
      </c>
      <c r="J309" s="423">
        <v>0</v>
      </c>
      <c r="K309" s="423" cm="1">
        <f t="array" ref="K309">IF(B309&gt;0,'Direct Costs 2026'!$C$26,"N/A")</f>
        <v>20000</v>
      </c>
      <c r="L309" s="423" cm="1">
        <f t="array" ref="L309">IF(B309&gt;0,'Direct Costs 2026'!$C$23,"N/A")</f>
        <v>140000</v>
      </c>
      <c r="M309" s="423" cm="1">
        <f t="array" ref="M309">IF(B309&gt;0,'Direct Costs 2026'!$C$45*B309,"N/A")</f>
        <v>600000</v>
      </c>
      <c r="N309" t="str" s="431" cm="1">
        <f t="array" ref="N309">IF(B309&gt;0,_xlfn.IFERROR(VLOOKUP(C303,'Boats Data Sheet 2026'!$C$3:$I$57,7,0)*'Direct Costs 2026'!$C$36,"N/A"),"N/A")</f>
        <v>N/A</v>
      </c>
      <c r="O309" t="str" s="431" cm="1">
        <f t="array" ref="O309">IF(B309&gt;0,IF(OR(VLOOKUP(C303,'Boats Data Sheet 2026'!$C$3:$F$57,4,0)="Own",VLOOKUP(C303,'Boats Data Sheet 2026'!$C$3:$F$57,4,0)="Management"),('Direct Costs 2026'!$C$37+'Direct Costs 2026'!$C$39),"N/A"),"N/A")</f>
        <v>N/A</v>
      </c>
      <c r="P309" s="423" cm="1">
        <f t="array" ref="P309">_xlfn.IFERROR('Direct Costs 2026'!$C$27*C309,"N/A")</f>
        <v>160000</v>
      </c>
      <c r="Q309" s="423" cm="1">
        <f t="array" ref="Q309">_xlfn.IFERROR(C309+SUM(E309:P309),"N/A")</f>
        <v>10139500</v>
      </c>
      <c r="R309" s="424"/>
      <c r="S309" s="423" cm="1">
        <f t="array" ref="S309">IF(B309&gt;0,'Allocation OH and Target 2026'!$E$31,"N/A")</f>
        <v>3100447.15769812</v>
      </c>
      <c r="T309" s="423" cm="1">
        <f t="array" ref="T309">IF(B309&gt;0,VLOOKUP(C303,'Allocation OH and Target 2026'!$C$35:$S$87,16,0),"N/A")</f>
        <v>0</v>
      </c>
      <c r="U309" s="423" cm="1">
        <f t="array" ref="U309">_xlfn.IFERROR((S309+T309),"N/A")</f>
        <v>3100447.15769812</v>
      </c>
      <c r="V309" s="424"/>
      <c r="W309" s="423" cm="1">
        <f t="array" ref="W309">_xlfn.IFERROR(U309+Q309,"N/A")</f>
        <v>13239947.1576981</v>
      </c>
      <c r="X309" s="423" cm="1">
        <f t="array" ref="X309">_xlfn.IFERROR(W309*0.5%,"N/A")</f>
        <v>66199.735788490507</v>
      </c>
      <c r="Y309" s="423" cm="1">
        <f t="array" ref="Y309">_xlfn.IFERROR(W309*25%,"N/A")</f>
        <v>3309986.78942453</v>
      </c>
      <c r="Z309" s="425" cm="1">
        <f t="array" ref="Z309">IF(B309&gt;0,SUM(W309:Y309),"N/A")</f>
        <v>16616133.6829111</v>
      </c>
      <c r="AA309" s="425" cm="1">
        <f t="array" ref="AA309">_xlfn.IFERROR((Z309-Z308),"N/A")</f>
        <v>195780</v>
      </c>
      <c r="AB309" s="424"/>
      <c r="AC309" t="str" s="426" cm="1">
        <f t="array" ref="AC309">IF(B309=6,AVERAGE(Z306:Z311),"N/A")</f>
        <v>N/A</v>
      </c>
      <c r="AD309" s="424"/>
      <c r="AE309" s="423"/>
      <c r="AF309" s="423"/>
      <c r="AG309" s="423"/>
      <c r="AH309" s="423"/>
      <c r="AI309" s="423"/>
      <c r="AJ309" s="423"/>
      <c r="AK309" s="423"/>
      <c r="AL309" s="423"/>
      <c r="AM309" s="423"/>
      <c r="AN309" s="427"/>
    </row>
    <row r="310" ht="15" customHeight="1">
      <c r="A310" s="12"/>
      <c r="B310" s="428" cm="1">
        <f t="array" ref="B310">IF(B309=0,0,IF(B309&lt;VLOOKUP(C303,'Boats Data Sheet 2026'!$C$3:$H$57,6,0),B309+1,0))</f>
        <v>5</v>
      </c>
      <c r="C310" s="423" cm="1">
        <f t="array" ref="C310">IF(B310&gt;0,IF(VLOOKUP(C303,'Boats Data Sheet 2026'!$C$3:$J$57,8,0)="N/A",0,VLOOKUP(C303,'Boats Data Sheet 2026'!$C$3:$J$57,8,0)),"N/A")</f>
        <v>8000000</v>
      </c>
      <c r="D310" s="429" cm="1">
        <f t="array" ref="D310">IF(B310&gt;7,2,IF(B310=0,"N/A",1))</f>
        <v>1</v>
      </c>
      <c r="E310" s="423" cm="1">
        <f t="array" ref="E310">_xlfn.IFERROR(SUM('Direct Costs 2026'!$C$4:$C$5)*D310,"N/A")</f>
        <v>875500</v>
      </c>
      <c r="F310" s="423" cm="1">
        <f t="array" ref="F310">_xlfn.IFERROR('Direct Costs 2026'!$C$43*B310,"N/A")</f>
        <v>30000</v>
      </c>
      <c r="G310" s="423" cm="1">
        <f t="array" ref="G310">IF(B310&gt;0,'Direct Costs 2026'!$C$25,"N/A")</f>
        <v>90000</v>
      </c>
      <c r="H310" s="423" cm="1">
        <f t="array" ref="H310">IF(B310&gt;0,'Direct Costs 2026'!$C$15+'Direct Costs 2026'!$C$14,"N/A")</f>
        <v>230000</v>
      </c>
      <c r="I310" s="423">
        <v>0</v>
      </c>
      <c r="J310" s="423">
        <v>0</v>
      </c>
      <c r="K310" s="423" cm="1">
        <f t="array" ref="K310">IF(B310&gt;0,'Direct Costs 2026'!$C$26,"N/A")</f>
        <v>20000</v>
      </c>
      <c r="L310" s="423" cm="1">
        <f t="array" ref="L310">IF(B310&gt;0,'Direct Costs 2026'!$C$23,"N/A")</f>
        <v>140000</v>
      </c>
      <c r="M310" s="423" cm="1">
        <f t="array" ref="M310">IF(B310&gt;0,'Direct Costs 2026'!$C$45*B310,"N/A")</f>
        <v>750000</v>
      </c>
      <c r="N310" t="str" s="431" cm="1">
        <f t="array" ref="N310">IF(B310&gt;0,_xlfn.IFERROR(VLOOKUP(C303,'Boats Data Sheet 2026'!$C$3:$I$57,7,0)*'Direct Costs 2026'!$C$36,"N/A"),"N/A")</f>
        <v>N/A</v>
      </c>
      <c r="O310" t="str" s="431" cm="1">
        <f t="array" ref="O310">IF(B310&gt;0,IF(OR(VLOOKUP(C303,'Boats Data Sheet 2026'!$C$3:$F$57,4,0)="Own",VLOOKUP(C303,'Boats Data Sheet 2026'!$C$3:$F$57,4,0)="Management"),('Direct Costs 2026'!$C$37+'Direct Costs 2026'!$C$39),"N/A"),"N/A")</f>
        <v>N/A</v>
      </c>
      <c r="P310" s="423" cm="1">
        <f t="array" ref="P310">_xlfn.IFERROR('Direct Costs 2026'!$C$27*C310,"N/A")</f>
        <v>160000</v>
      </c>
      <c r="Q310" s="423" cm="1">
        <f t="array" ref="Q310">_xlfn.IFERROR(C310+SUM(E310:P310),"N/A")</f>
        <v>10295500</v>
      </c>
      <c r="R310" s="424"/>
      <c r="S310" s="423" cm="1">
        <f t="array" ref="S310">IF(B310&gt;0,'Allocation OH and Target 2026'!$E$31,"N/A")</f>
        <v>3100447.15769812</v>
      </c>
      <c r="T310" s="423" cm="1">
        <f t="array" ref="T310">IF(B310&gt;0,VLOOKUP(C303,'Allocation OH and Target 2026'!$C$35:$S$87,16,0),"N/A")</f>
        <v>0</v>
      </c>
      <c r="U310" s="423" cm="1">
        <f t="array" ref="U310">_xlfn.IFERROR((S310+T310),"N/A")</f>
        <v>3100447.15769812</v>
      </c>
      <c r="V310" s="424"/>
      <c r="W310" s="423" cm="1">
        <f t="array" ref="W310">_xlfn.IFERROR(U310+Q310,"N/A")</f>
        <v>13395947.1576981</v>
      </c>
      <c r="X310" s="423" cm="1">
        <f t="array" ref="X310">_xlfn.IFERROR(W310*0.5%,"N/A")</f>
        <v>66979.735788490507</v>
      </c>
      <c r="Y310" s="423" cm="1">
        <f t="array" ref="Y310">_xlfn.IFERROR(W310*25%,"N/A")</f>
        <v>3348986.78942453</v>
      </c>
      <c r="Z310" s="425" cm="1">
        <f t="array" ref="Z310">IF(B310&gt;0,SUM(W310:Y310),"N/A")</f>
        <v>16811913.6829111</v>
      </c>
      <c r="AA310" s="425" cm="1">
        <f t="array" ref="AA310">_xlfn.IFERROR((Z310-Z309),"N/A")</f>
        <v>195780</v>
      </c>
      <c r="AB310" s="424"/>
      <c r="AC310" t="str" s="426" cm="1">
        <f t="array" ref="AC310">IF(B310=6,AVERAGE(Z306:Z311),"N/A")</f>
        <v>N/A</v>
      </c>
      <c r="AD310" s="424"/>
      <c r="AE310" s="423"/>
      <c r="AF310" s="423"/>
      <c r="AG310" s="423"/>
      <c r="AH310" s="423"/>
      <c r="AI310" s="423"/>
      <c r="AJ310" s="423"/>
      <c r="AK310" s="423"/>
      <c r="AL310" s="423"/>
      <c r="AM310" s="423"/>
      <c r="AN310" s="427"/>
    </row>
    <row r="311" ht="15" customHeight="1">
      <c r="A311" s="12"/>
      <c r="B311" s="428" cm="1">
        <f t="array" ref="B311">IF(B310=0,0,IF(B310&lt;VLOOKUP(C303,'Boats Data Sheet 2026'!$C$3:$H$57,6,0),B310+1,0))</f>
        <v>6</v>
      </c>
      <c r="C311" s="423" cm="1">
        <f t="array" ref="C311">IF(B311&gt;0,IF(VLOOKUP(C303,'Boats Data Sheet 2026'!$C$3:$J$57,8,0)="N/A",0,VLOOKUP(C303,'Boats Data Sheet 2026'!$C$3:$J$57,8,0)),"N/A")</f>
        <v>8000000</v>
      </c>
      <c r="D311" s="429" cm="1">
        <f t="array" ref="D311">IF(B311&gt;7,2,IF(B311=0,"N/A",1))</f>
        <v>1</v>
      </c>
      <c r="E311" s="423" cm="1">
        <f t="array" ref="E311">_xlfn.IFERROR(SUM('Direct Costs 2026'!$C$4:$C$5)*D311,"N/A")</f>
        <v>875500</v>
      </c>
      <c r="F311" s="423" cm="1">
        <f t="array" ref="F311">_xlfn.IFERROR('Direct Costs 2026'!$C$43*B311,"N/A")</f>
        <v>36000</v>
      </c>
      <c r="G311" s="423" cm="1">
        <f t="array" ref="G311">IF(B311&gt;0,'Direct Costs 2026'!$C$25,"N/A")</f>
        <v>90000</v>
      </c>
      <c r="H311" s="423" cm="1">
        <f t="array" ref="H311">IF(B311&gt;0,'Direct Costs 2026'!$C$15+'Direct Costs 2026'!$C$14,"N/A")</f>
        <v>230000</v>
      </c>
      <c r="I311" s="423">
        <v>0</v>
      </c>
      <c r="J311" s="423">
        <v>0</v>
      </c>
      <c r="K311" s="423" cm="1">
        <f t="array" ref="K311">IF(B311&gt;0,'Direct Costs 2026'!$C$26,"N/A")</f>
        <v>20000</v>
      </c>
      <c r="L311" s="423" cm="1">
        <f t="array" ref="L311">IF(B311&gt;0,'Direct Costs 2026'!$C$23,"N/A")</f>
        <v>140000</v>
      </c>
      <c r="M311" s="423" cm="1">
        <f t="array" ref="M311">IF(B311&gt;0,'Direct Costs 2026'!$C$45*B311,"N/A")</f>
        <v>900000</v>
      </c>
      <c r="N311" t="str" s="431" cm="1">
        <f t="array" ref="N311">IF(B311&gt;0,_xlfn.IFERROR(VLOOKUP(C303,'Boats Data Sheet 2026'!$C$3:$I$57,7,0)*'Direct Costs 2026'!$C$36,"N/A"),"N/A")</f>
        <v>N/A</v>
      </c>
      <c r="O311" t="str" s="431" cm="1">
        <f t="array" ref="O311">IF(B311&gt;0,IF(OR(VLOOKUP(C303,'Boats Data Sheet 2026'!$C$3:$F$57,4,0)="Own",VLOOKUP(C303,'Boats Data Sheet 2026'!$C$3:$F$57,4,0)="Management"),('Direct Costs 2026'!$C$37+'Direct Costs 2026'!$C$39),"N/A"),"N/A")</f>
        <v>N/A</v>
      </c>
      <c r="P311" s="423" cm="1">
        <f t="array" ref="P311">_xlfn.IFERROR('Direct Costs 2026'!$C$27*C311,"N/A")</f>
        <v>160000</v>
      </c>
      <c r="Q311" s="423" cm="1">
        <f t="array" ref="Q311">_xlfn.IFERROR(C311+SUM(E311:P311),"N/A")</f>
        <v>10451500</v>
      </c>
      <c r="R311" s="424"/>
      <c r="S311" s="423" cm="1">
        <f t="array" ref="S311">IF(B311&gt;0,'Allocation OH and Target 2026'!$E$31,"N/A")</f>
        <v>3100447.15769812</v>
      </c>
      <c r="T311" s="423" cm="1">
        <f t="array" ref="T311">IF(B311&gt;0,VLOOKUP(C303,'Allocation OH and Target 2026'!$C$35:$S$87,16,0),"N/A")</f>
        <v>0</v>
      </c>
      <c r="U311" s="423" cm="1">
        <f t="array" ref="U311">_xlfn.IFERROR((S311+T311),"N/A")</f>
        <v>3100447.15769812</v>
      </c>
      <c r="V311" s="424"/>
      <c r="W311" s="423" cm="1">
        <f t="array" ref="W311">_xlfn.IFERROR(U311+Q311,"N/A")</f>
        <v>13551947.1576981</v>
      </c>
      <c r="X311" s="423" cm="1">
        <f t="array" ref="X311">_xlfn.IFERROR(W311*0.5%,"N/A")</f>
        <v>67759.735788490507</v>
      </c>
      <c r="Y311" s="423" cm="1">
        <f t="array" ref="Y311">_xlfn.IFERROR(W311*25%,"N/A")</f>
        <v>3387986.78942453</v>
      </c>
      <c r="Z311" s="425" cm="1">
        <f t="array" ref="Z311">IF(B311&gt;0,SUM(W311:Y311),"N/A")</f>
        <v>17007693.6829111</v>
      </c>
      <c r="AA311" s="425" cm="1">
        <f t="array" ref="AA311">_xlfn.IFERROR((Z311-Z310),"N/A")</f>
        <v>195780</v>
      </c>
      <c r="AB311" s="424"/>
      <c r="AC311" s="425" cm="1">
        <f t="array" ref="AC311">IF(B311=6,AVERAGE(Z306:Z311),"N/A")</f>
        <v>16518243.6829111</v>
      </c>
      <c r="AD311" s="424"/>
      <c r="AE311" s="423"/>
      <c r="AF311" s="423"/>
      <c r="AG311" s="423"/>
      <c r="AH311" s="423"/>
      <c r="AI311" s="423"/>
      <c r="AJ311" s="423"/>
      <c r="AK311" s="423"/>
      <c r="AL311" s="423"/>
      <c r="AM311" s="423"/>
      <c r="AN311" s="427"/>
    </row>
    <row r="312" ht="15" customHeight="1">
      <c r="A312" s="12"/>
      <c r="B312" s="428" cm="1">
        <f t="array" ref="B312">IF(B311=0,0,IF(B311&lt;VLOOKUP(C303,'Boats Data Sheet 2026'!$C$3:$H$57,6,0),B311+1,0))</f>
        <v>7</v>
      </c>
      <c r="C312" s="423" cm="1">
        <f t="array" ref="C312">IF(B312&gt;0,IF(VLOOKUP(C303,'Boats Data Sheet 2026'!$C$3:$J$57,8,0)="N/A",0,VLOOKUP(C303,'Boats Data Sheet 2026'!$C$3:$J$57,8,0)),"N/A")</f>
        <v>8000000</v>
      </c>
      <c r="D312" s="429" cm="1">
        <f t="array" ref="D312">IF(B312&gt;7,2,IF(B312=0,"N/A",1))</f>
        <v>1</v>
      </c>
      <c r="E312" s="423" cm="1">
        <f t="array" ref="E312">_xlfn.IFERROR(SUM('Direct Costs 2026'!$C$4:$C$5)*D312,"N/A")</f>
        <v>875500</v>
      </c>
      <c r="F312" s="423" cm="1">
        <f t="array" ref="F312">_xlfn.IFERROR('Direct Costs 2026'!$C$43*B312,"N/A")</f>
        <v>42000</v>
      </c>
      <c r="G312" s="423" cm="1">
        <f t="array" ref="G312">IF(B312&gt;0,'Direct Costs 2026'!$C$25,"N/A")</f>
        <v>90000</v>
      </c>
      <c r="H312" s="423" cm="1">
        <f t="array" ref="H312">IF(B312&gt;0,'Direct Costs 2026'!$C$15+'Direct Costs 2026'!$C$14,"N/A")</f>
        <v>230000</v>
      </c>
      <c r="I312" s="423">
        <v>0</v>
      </c>
      <c r="J312" s="423">
        <v>0</v>
      </c>
      <c r="K312" s="423" cm="1">
        <f t="array" ref="K312">IF(B312&gt;0,'Direct Costs 2026'!$C$26,"N/A")</f>
        <v>20000</v>
      </c>
      <c r="L312" s="423" cm="1">
        <f t="array" ref="L312">IF(B312&gt;0,'Direct Costs 2026'!$C$23,"N/A")</f>
        <v>140000</v>
      </c>
      <c r="M312" s="423" cm="1">
        <f t="array" ref="M312">IF(B312&gt;0,'Direct Costs 2026'!$C$45*B312,"N/A")</f>
        <v>1050000</v>
      </c>
      <c r="N312" t="str" s="431" cm="1">
        <f t="array" ref="N312">IF(B312&gt;0,_xlfn.IFERROR(VLOOKUP(C303,'Boats Data Sheet 2026'!$C$3:$I$57,7,0)*'Direct Costs 2026'!$C$36,"N/A"),"N/A")</f>
        <v>N/A</v>
      </c>
      <c r="O312" t="str" s="431" cm="1">
        <f t="array" ref="O312">IF(B312&gt;0,IF(OR(VLOOKUP(C303,'Boats Data Sheet 2026'!$C$3:$F$57,4,0)="Own",VLOOKUP(C303,'Boats Data Sheet 2026'!$C$3:$F$57,4,0)="Management"),('Direct Costs 2026'!$C$37+'Direct Costs 2026'!$C$39),"N/A"),"N/A")</f>
        <v>N/A</v>
      </c>
      <c r="P312" s="423" cm="1">
        <f t="array" ref="P312">_xlfn.IFERROR('Direct Costs 2026'!$C$27*C312,"N/A")</f>
        <v>160000</v>
      </c>
      <c r="Q312" s="423" cm="1">
        <f t="array" ref="Q312">_xlfn.IFERROR(C312+SUM(E312:P312),"N/A")</f>
        <v>10607500</v>
      </c>
      <c r="R312" s="424"/>
      <c r="S312" s="423" cm="1">
        <f t="array" ref="S312">IF(B312&gt;0,'Allocation OH and Target 2026'!$E$31,"N/A")</f>
        <v>3100447.15769812</v>
      </c>
      <c r="T312" s="423" cm="1">
        <f t="array" ref="T312">IF(B312&gt;0,VLOOKUP(C303,'Allocation OH and Target 2026'!$C$35:$S$87,16,0),"N/A")</f>
        <v>0</v>
      </c>
      <c r="U312" s="423" cm="1">
        <f t="array" ref="U312">_xlfn.IFERROR((S312+T312),"N/A")</f>
        <v>3100447.15769812</v>
      </c>
      <c r="V312" s="424"/>
      <c r="W312" s="423" cm="1">
        <f t="array" ref="W312">_xlfn.IFERROR(U312+Q312,"N/A")</f>
        <v>13707947.1576981</v>
      </c>
      <c r="X312" s="423" cm="1">
        <f t="array" ref="X312">_xlfn.IFERROR(W312*0.5%,"N/A")</f>
        <v>68539.735788490507</v>
      </c>
      <c r="Y312" s="423" cm="1">
        <f t="array" ref="Y312">_xlfn.IFERROR(W312*25%,"N/A")</f>
        <v>3426986.78942453</v>
      </c>
      <c r="Z312" s="425" cm="1">
        <f t="array" ref="Z312">IF(B312&gt;0,SUM(W312:Y312),"N/A")</f>
        <v>17203473.6829111</v>
      </c>
      <c r="AA312" s="425" cm="1">
        <f t="array" ref="AA312">_xlfn.IFERROR((Z312-Z311),"N/A")</f>
        <v>195780</v>
      </c>
      <c r="AB312" s="424"/>
      <c r="AC312" t="str" s="426" cm="1">
        <f t="array" ref="AC312">IF(B312=6,AVERAGE(Z306:Z311),"N/A")</f>
        <v>N/A</v>
      </c>
      <c r="AD312" s="424"/>
      <c r="AE312" s="423"/>
      <c r="AF312" s="423"/>
      <c r="AG312" s="423"/>
      <c r="AH312" s="423"/>
      <c r="AI312" s="423"/>
      <c r="AJ312" s="423"/>
      <c r="AK312" s="423"/>
      <c r="AL312" s="423"/>
      <c r="AM312" s="423"/>
      <c r="AN312" s="427"/>
    </row>
    <row r="313" ht="15" customHeight="1">
      <c r="A313" s="12"/>
      <c r="B313" s="428" cm="1">
        <f t="array" ref="B313">IF(B312=0,0,IF(B312&lt;VLOOKUP(C303,'Boats Data Sheet 2026'!$C$3:$H$57,6,0),B312+1,0))</f>
        <v>8</v>
      </c>
      <c r="C313" s="423" cm="1">
        <f t="array" ref="C313">IF(B313&gt;0,IF(VLOOKUP(C303,'Boats Data Sheet 2026'!$C$3:$J$57,8,0)="N/A",0,VLOOKUP(C303,'Boats Data Sheet 2026'!$C$3:$J$57,8,0)),"N/A")</f>
        <v>8000000</v>
      </c>
      <c r="D313" s="429" cm="1">
        <f t="array" ref="D313">IF(B313&gt;7,2,IF(B313=0,"N/A",1))</f>
        <v>2</v>
      </c>
      <c r="E313" s="423" cm="1">
        <f t="array" ref="E313">_xlfn.IFERROR(SUM('Direct Costs 2026'!$C$4:$C$5)*D313,"N/A")</f>
        <v>1751000</v>
      </c>
      <c r="F313" s="423" cm="1">
        <f t="array" ref="F313">_xlfn.IFERROR('Direct Costs 2026'!$C$43*B313,"N/A")</f>
        <v>48000</v>
      </c>
      <c r="G313" s="423" cm="1">
        <f t="array" ref="G313">IF(B313&gt;0,'Direct Costs 2026'!$C$25,"N/A")</f>
        <v>90000</v>
      </c>
      <c r="H313" s="423" cm="1">
        <f t="array" ref="H313">IF(B313&gt;0,'Direct Costs 2026'!$C$15+'Direct Costs 2026'!$C$14,"N/A")</f>
        <v>230000</v>
      </c>
      <c r="I313" s="423">
        <v>0</v>
      </c>
      <c r="J313" s="423">
        <v>0</v>
      </c>
      <c r="K313" s="423" cm="1">
        <f t="array" ref="K313">IF(B313&gt;0,'Direct Costs 2026'!$C$26,"N/A")</f>
        <v>20000</v>
      </c>
      <c r="L313" s="423" cm="1">
        <f t="array" ref="L313">IF(B313&gt;0,'Direct Costs 2026'!$C$23,"N/A")</f>
        <v>140000</v>
      </c>
      <c r="M313" s="423" cm="1">
        <f t="array" ref="M313">IF(B313&gt;0,'Direct Costs 2026'!$C$45*B313,"N/A")</f>
        <v>1200000</v>
      </c>
      <c r="N313" t="str" s="431" cm="1">
        <f t="array" ref="N313">IF(B313&gt;0,_xlfn.IFERROR(VLOOKUP(C303,'Boats Data Sheet 2026'!$C$3:$I$57,7,0)*'Direct Costs 2026'!$C$36,"N/A"),"N/A")</f>
        <v>N/A</v>
      </c>
      <c r="O313" t="str" s="431" cm="1">
        <f t="array" ref="O313">IF(B313&gt;0,IF(OR(VLOOKUP(C303,'Boats Data Sheet 2026'!$C$3:$F$57,4,0)="Own",VLOOKUP(C303,'Boats Data Sheet 2026'!$C$3:$F$57,4,0)="Management"),('Direct Costs 2026'!$C$37+'Direct Costs 2026'!$C$39),"N/A"),"N/A")</f>
        <v>N/A</v>
      </c>
      <c r="P313" s="423" cm="1">
        <f t="array" ref="P313">_xlfn.IFERROR('Direct Costs 2026'!$C$27*C313,"N/A")</f>
        <v>160000</v>
      </c>
      <c r="Q313" s="423" cm="1">
        <f t="array" ref="Q313">_xlfn.IFERROR(C313+SUM(E313:P313),"N/A")</f>
        <v>11639000</v>
      </c>
      <c r="R313" s="424"/>
      <c r="S313" s="423" cm="1">
        <f t="array" ref="S313">IF(B313&gt;0,'Allocation OH and Target 2026'!$E$31,"N/A")</f>
        <v>3100447.15769812</v>
      </c>
      <c r="T313" s="423" cm="1">
        <f t="array" ref="T313">IF(B313&gt;0,VLOOKUP(C303,'Allocation OH and Target 2026'!$C$35:$S$87,16,0),"N/A")</f>
        <v>0</v>
      </c>
      <c r="U313" s="423" cm="1">
        <f t="array" ref="U313">_xlfn.IFERROR((S313+T313),"N/A")</f>
        <v>3100447.15769812</v>
      </c>
      <c r="V313" s="424"/>
      <c r="W313" s="423" cm="1">
        <f t="array" ref="W313">_xlfn.IFERROR(U313+Q313,"N/A")</f>
        <v>14739447.1576981</v>
      </c>
      <c r="X313" s="423" cm="1">
        <f t="array" ref="X313">_xlfn.IFERROR(W313*0.5%,"N/A")</f>
        <v>73697.235788490507</v>
      </c>
      <c r="Y313" s="423" cm="1">
        <f t="array" ref="Y313">_xlfn.IFERROR(W313*25%,"N/A")</f>
        <v>3684861.78942453</v>
      </c>
      <c r="Z313" s="425" cm="1">
        <f t="array" ref="Z313">IF(B313&gt;0,SUM(W313:Y313),"N/A")</f>
        <v>18498006.1829111</v>
      </c>
      <c r="AA313" s="425" cm="1">
        <f t="array" ref="AA313">_xlfn.IFERROR((Z313-Z312),"N/A")</f>
        <v>1294532.5</v>
      </c>
      <c r="AB313" s="424"/>
      <c r="AC313" t="str" s="426" cm="1">
        <f t="array" ref="AC313">IF(B313=6,AVERAGE(Z306:Z311),"N/A")</f>
        <v>N/A</v>
      </c>
      <c r="AD313" s="424"/>
      <c r="AE313" s="423"/>
      <c r="AF313" s="423"/>
      <c r="AG313" s="423"/>
      <c r="AH313" s="423"/>
      <c r="AI313" s="423"/>
      <c r="AJ313" s="423"/>
      <c r="AK313" s="423"/>
      <c r="AL313" s="423"/>
      <c r="AM313" s="423"/>
      <c r="AN313" s="427"/>
    </row>
    <row r="314" ht="15" customHeight="1">
      <c r="A314" s="12"/>
      <c r="B314" s="428" cm="1">
        <f t="array" ref="B314">IF(B313=0,0,IF(B313&lt;VLOOKUP(C303,'Boats Data Sheet 2026'!$C$3:$H$57,6,0),B313+1,0))</f>
        <v>9</v>
      </c>
      <c r="C314" s="423" cm="1">
        <f t="array" ref="C314">IF(B314&gt;0,IF(VLOOKUP(C303,'Boats Data Sheet 2026'!$C$3:$J$57,8,0)="N/A",0,VLOOKUP(C303,'Boats Data Sheet 2026'!$C$3:$J$57,8,0)),"N/A")</f>
        <v>8000000</v>
      </c>
      <c r="D314" s="430" cm="1">
        <f t="array" ref="D314">IF(B314&gt;7,2,IF(B314=0,"N/A",1))</f>
        <v>2</v>
      </c>
      <c r="E314" s="423" cm="1">
        <f t="array" ref="E314">_xlfn.IFERROR(SUM('Direct Costs 2026'!$C$4:$C$5)*D314,"N/A")</f>
        <v>1751000</v>
      </c>
      <c r="F314" s="423" cm="1">
        <f t="array" ref="F314">_xlfn.IFERROR('Direct Costs 2026'!$C$43*B314,"N/A")</f>
        <v>54000</v>
      </c>
      <c r="G314" s="423" cm="1">
        <f t="array" ref="G314">IF(B314&gt;0,'Direct Costs 2026'!$C$25,"N/A")</f>
        <v>90000</v>
      </c>
      <c r="H314" s="423" cm="1">
        <f t="array" ref="H314">IF(B314&gt;0,'Direct Costs 2026'!$C$15+'Direct Costs 2026'!$C$14,"N/A")</f>
        <v>230000</v>
      </c>
      <c r="I314" s="423">
        <v>0</v>
      </c>
      <c r="J314" s="423">
        <v>0</v>
      </c>
      <c r="K314" s="423" cm="1">
        <f t="array" ref="K314">IF(B314&gt;0,'Direct Costs 2026'!$C$26,"N/A")</f>
        <v>20000</v>
      </c>
      <c r="L314" s="423" cm="1">
        <f t="array" ref="L314">IF(B314&gt;0,'Direct Costs 2026'!$C$23,"N/A")</f>
        <v>140000</v>
      </c>
      <c r="M314" s="423" cm="1">
        <f t="array" ref="M314">IF(B314&gt;0,'Direct Costs 2026'!$C$45*B314,"N/A")</f>
        <v>1350000</v>
      </c>
      <c r="N314" t="str" s="431" cm="1">
        <f t="array" ref="N314">IF(B314&gt;0,_xlfn.IFERROR(VLOOKUP(C303,'Boats Data Sheet 2026'!$C$3:$I$57,7,0)*'Direct Costs 2026'!$C$36,"N/A"),"N/A")</f>
        <v>N/A</v>
      </c>
      <c r="O314" t="str" s="431" cm="1">
        <f t="array" ref="O314">IF(B314&gt;0,IF(OR(VLOOKUP(C303,'Boats Data Sheet 2026'!$C$3:$F$57,4,0)="Own",VLOOKUP(C303,'Boats Data Sheet 2026'!$C$3:$F$57,4,0)="Management"),('Direct Costs 2026'!$C$37+'Direct Costs 2026'!$C$39),"N/A"),"N/A")</f>
        <v>N/A</v>
      </c>
      <c r="P314" s="423" cm="1">
        <f t="array" ref="P314">_xlfn.IFERROR('Direct Costs 2026'!$C$27*C314,"N/A")</f>
        <v>160000</v>
      </c>
      <c r="Q314" s="423" cm="1">
        <f t="array" ref="Q314">_xlfn.IFERROR(C314+SUM(E314:P314),"N/A")</f>
        <v>11795000</v>
      </c>
      <c r="R314" s="424"/>
      <c r="S314" s="423" cm="1">
        <f t="array" ref="S314">IF(B314&gt;0,'Allocation OH and Target 2026'!$E$31,"N/A")</f>
        <v>3100447.15769812</v>
      </c>
      <c r="T314" s="423" cm="1">
        <f t="array" ref="T314">IF(B314&gt;0,VLOOKUP(C303,'Allocation OH and Target 2026'!$C$35:$S$87,16,0),"N/A")</f>
        <v>0</v>
      </c>
      <c r="U314" s="423" cm="1">
        <f t="array" ref="U314">_xlfn.IFERROR((S314+T314),"N/A")</f>
        <v>3100447.15769812</v>
      </c>
      <c r="V314" s="424"/>
      <c r="W314" s="423" cm="1">
        <f t="array" ref="W314">_xlfn.IFERROR(U314+Q314,"N/A")</f>
        <v>14895447.1576981</v>
      </c>
      <c r="X314" s="423" cm="1">
        <f t="array" ref="X314">_xlfn.IFERROR(W314*0.5%,"N/A")</f>
        <v>74477.235788490507</v>
      </c>
      <c r="Y314" s="423" cm="1">
        <f t="array" ref="Y314">_xlfn.IFERROR(W314*25%,"N/A")</f>
        <v>3723861.78942453</v>
      </c>
      <c r="Z314" s="425" cm="1">
        <f t="array" ref="Z314">IF(B314&gt;0,SUM(W314:Y314),"N/A")</f>
        <v>18693786.1829111</v>
      </c>
      <c r="AA314" s="425" cm="1">
        <f t="array" ref="AA314">_xlfn.IFERROR((Z314-Z313),"N/A")</f>
        <v>195780</v>
      </c>
      <c r="AB314" s="424"/>
      <c r="AC314" t="str" s="426" cm="1">
        <f t="array" ref="AC314">IF(B314=6,AVERAGE(Z306:Z311),"N/A")</f>
        <v>N/A</v>
      </c>
      <c r="AD314" s="424"/>
      <c r="AE314" s="423"/>
      <c r="AF314" s="423"/>
      <c r="AG314" s="423"/>
      <c r="AH314" s="423"/>
      <c r="AI314" s="423"/>
      <c r="AJ314" s="423"/>
      <c r="AK314" s="423"/>
      <c r="AL314" s="423"/>
      <c r="AM314" s="423"/>
      <c r="AN314" s="427"/>
    </row>
    <row r="315" ht="15" customHeight="1">
      <c r="A315" s="12"/>
      <c r="B315" s="428" cm="1">
        <f t="array" ref="B315">IF(B314=0,0,IF(B314&lt;VLOOKUP(C303,'Boats Data Sheet 2026'!$C$3:$H$57,6,0),B314+1,0))</f>
        <v>10</v>
      </c>
      <c r="C315" s="423" cm="1">
        <f t="array" ref="C315">IF(B315&gt;0,IF(VLOOKUP(C303,'Boats Data Sheet 2026'!$C$3:$J$57,8,0)="N/A",0,VLOOKUP(C303,'Boats Data Sheet 2026'!$C$3:$J$57,8,0)),"N/A")</f>
        <v>8000000</v>
      </c>
      <c r="D315" s="430" cm="1">
        <f t="array" ref="D315">IF(B315&gt;7,2,IF(B315=0,"N/A",1))</f>
        <v>2</v>
      </c>
      <c r="E315" s="423" cm="1">
        <f t="array" ref="E315">_xlfn.IFERROR(SUM('Direct Costs 2026'!$C$4:$C$5)*D315,"N/A")</f>
        <v>1751000</v>
      </c>
      <c r="F315" s="423" cm="1">
        <f t="array" ref="F315">_xlfn.IFERROR('Direct Costs 2026'!$C$43*B315,"N/A")</f>
        <v>60000</v>
      </c>
      <c r="G315" s="423" cm="1">
        <f t="array" ref="G315">IF(B315&gt;0,'Direct Costs 2026'!$C$25,"N/A")</f>
        <v>90000</v>
      </c>
      <c r="H315" s="423" cm="1">
        <f t="array" ref="H315">IF(B315&gt;0,'Direct Costs 2026'!$C$15+'Direct Costs 2026'!$C$14,"N/A")</f>
        <v>230000</v>
      </c>
      <c r="I315" s="423">
        <v>0</v>
      </c>
      <c r="J315" s="423">
        <v>0</v>
      </c>
      <c r="K315" s="423" cm="1">
        <f t="array" ref="K315">IF(B315&gt;0,'Direct Costs 2026'!$C$26,"N/A")</f>
        <v>20000</v>
      </c>
      <c r="L315" s="423" cm="1">
        <f t="array" ref="L315">IF(B315&gt;0,'Direct Costs 2026'!$C$23,"N/A")</f>
        <v>140000</v>
      </c>
      <c r="M315" s="423" cm="1">
        <f t="array" ref="M315">IF(B315&gt;0,'Direct Costs 2026'!$C$45*B315,"N/A")</f>
        <v>1500000</v>
      </c>
      <c r="N315" t="str" s="431" cm="1">
        <f t="array" ref="N315">IF(B315&gt;0,_xlfn.IFERROR(VLOOKUP(C303,'Boats Data Sheet 2026'!$C$3:$I$57,7,0)*'Direct Costs 2026'!$C$36,"N/A"),"N/A")</f>
        <v>N/A</v>
      </c>
      <c r="O315" t="str" s="431" cm="1">
        <f t="array" ref="O315">IF(B315&gt;0,IF(OR(VLOOKUP(C303,'Boats Data Sheet 2026'!$C$3:$F$57,4,0)="Own",VLOOKUP(C303,'Boats Data Sheet 2026'!$C$3:$F$57,4,0)="Management"),('Direct Costs 2026'!$C$37+'Direct Costs 2026'!$C$39),"N/A"),"N/A")</f>
        <v>N/A</v>
      </c>
      <c r="P315" s="423" cm="1">
        <f t="array" ref="P315">_xlfn.IFERROR('Direct Costs 2026'!$C$27*C315,"N/A")</f>
        <v>160000</v>
      </c>
      <c r="Q315" s="423" cm="1">
        <f t="array" ref="Q315">_xlfn.IFERROR(C315+SUM(E315:P315),"N/A")</f>
        <v>11951000</v>
      </c>
      <c r="R315" s="424"/>
      <c r="S315" s="423" cm="1">
        <f t="array" ref="S315">IF(B315&gt;0,'Allocation OH and Target 2026'!$E$31,"N/A")</f>
        <v>3100447.15769812</v>
      </c>
      <c r="T315" s="423" cm="1">
        <f t="array" ref="T315">IF(B315&gt;0,VLOOKUP(C303,'Allocation OH and Target 2026'!$C$35:$S$87,16,0),"N/A")</f>
        <v>0</v>
      </c>
      <c r="U315" s="423" cm="1">
        <f t="array" ref="U315">_xlfn.IFERROR((S315+T315),"N/A")</f>
        <v>3100447.15769812</v>
      </c>
      <c r="V315" s="424"/>
      <c r="W315" s="423" cm="1">
        <f t="array" ref="W315">_xlfn.IFERROR(U315+Q315,"N/A")</f>
        <v>15051447.1576981</v>
      </c>
      <c r="X315" s="423" cm="1">
        <f t="array" ref="X315">_xlfn.IFERROR(W315*0.5%,"N/A")</f>
        <v>75257.235788490507</v>
      </c>
      <c r="Y315" s="423" cm="1">
        <f t="array" ref="Y315">_xlfn.IFERROR(W315*25%,"N/A")</f>
        <v>3762861.78942453</v>
      </c>
      <c r="Z315" s="425" cm="1">
        <f t="array" ref="Z315">IF(B315&gt;0,SUM(W315:Y315),"N/A")</f>
        <v>18889566.1829111</v>
      </c>
      <c r="AA315" s="425" cm="1">
        <f t="array" ref="AA315">_xlfn.IFERROR((Z315-Z314),"N/A")</f>
        <v>195780</v>
      </c>
      <c r="AB315" s="424"/>
      <c r="AC315" t="str" s="426" cm="1">
        <f t="array" ref="AC315">IF(B315=6,AVERAGE(Z306:Z311),"N/A")</f>
        <v>N/A</v>
      </c>
      <c r="AD315" s="424"/>
      <c r="AE315" s="423"/>
      <c r="AF315" s="423"/>
      <c r="AG315" s="423"/>
      <c r="AH315" s="423"/>
      <c r="AI315" s="423"/>
      <c r="AJ315" s="423"/>
      <c r="AK315" s="423"/>
      <c r="AL315" s="423"/>
      <c r="AM315" s="423"/>
      <c r="AN315" s="427"/>
    </row>
    <row r="316" ht="15" customHeight="1">
      <c r="A316" s="12"/>
      <c r="B316" s="428" cm="1">
        <f t="array" ref="B316">IF(B315=0,0,IF(B315&lt;VLOOKUP(C303,'Boats Data Sheet 2026'!$C$3:$H$57,6,0),B315+1,0))</f>
        <v>11</v>
      </c>
      <c r="C316" s="423" cm="1">
        <f t="array" ref="C316">IF(B316&gt;0,IF(VLOOKUP(C303,'Boats Data Sheet 2026'!$C$3:$J$57,8,0)="N/A",0,VLOOKUP(C303,'Boats Data Sheet 2026'!$C$3:$J$57,8,0)),"N/A")</f>
        <v>8000000</v>
      </c>
      <c r="D316" s="430" cm="1">
        <f t="array" ref="D316">IF(B316&gt;7,2,IF(B316=0,"N/A",1))</f>
        <v>2</v>
      </c>
      <c r="E316" s="423" cm="1">
        <f t="array" ref="E316">_xlfn.IFERROR(SUM('Direct Costs 2026'!$C$4:$C$5)*D316,"N/A")</f>
        <v>1751000</v>
      </c>
      <c r="F316" s="423" cm="1">
        <f t="array" ref="F316">_xlfn.IFERROR('Direct Costs 2026'!$C$43*B316,"N/A")</f>
        <v>66000</v>
      </c>
      <c r="G316" s="423" cm="1">
        <f t="array" ref="G316">IF(B316&gt;0,'Direct Costs 2026'!$C$25,"N/A")</f>
        <v>90000</v>
      </c>
      <c r="H316" s="423" cm="1">
        <f t="array" ref="H316">IF(B316&gt;0,'Direct Costs 2026'!$C$15+'Direct Costs 2026'!$C$14,"N/A")</f>
        <v>230000</v>
      </c>
      <c r="I316" s="423">
        <v>0</v>
      </c>
      <c r="J316" s="423">
        <v>0</v>
      </c>
      <c r="K316" s="423" cm="1">
        <f t="array" ref="K316">IF(B316&gt;0,'Direct Costs 2026'!$C$26,"N/A")</f>
        <v>20000</v>
      </c>
      <c r="L316" s="423" cm="1">
        <f t="array" ref="L316">IF(B316&gt;0,'Direct Costs 2026'!$C$23,"N/A")</f>
        <v>140000</v>
      </c>
      <c r="M316" s="423" cm="1">
        <f t="array" ref="M316">IF(B316&gt;0,'Direct Costs 2026'!$C$45*B316,"N/A")</f>
        <v>1650000</v>
      </c>
      <c r="N316" t="str" s="431" cm="1">
        <f t="array" ref="N316">IF(B316&gt;0,_xlfn.IFERROR(VLOOKUP(C303,'Boats Data Sheet 2026'!$C$3:$I$57,7,0)*'Direct Costs 2026'!$C$36,"N/A"),"N/A")</f>
        <v>N/A</v>
      </c>
      <c r="O316" t="str" s="431" cm="1">
        <f t="array" ref="O316">IF(B316&gt;0,IF(OR(VLOOKUP(C303,'Boats Data Sheet 2026'!$C$3:$F$57,4,0)="Own",VLOOKUP(C303,'Boats Data Sheet 2026'!$C$3:$F$57,4,0)="Management"),('Direct Costs 2026'!$C$37+'Direct Costs 2026'!$C$39),"N/A"),"N/A")</f>
        <v>N/A</v>
      </c>
      <c r="P316" s="423" cm="1">
        <f t="array" ref="P316">_xlfn.IFERROR('Direct Costs 2026'!$C$27*C316,"N/A")</f>
        <v>160000</v>
      </c>
      <c r="Q316" s="423" cm="1">
        <f t="array" ref="Q316">_xlfn.IFERROR(C316+SUM(E316:P316),"N/A")</f>
        <v>12107000</v>
      </c>
      <c r="R316" s="424"/>
      <c r="S316" s="423" cm="1">
        <f t="array" ref="S316">IF(B316&gt;0,'Allocation OH and Target 2026'!$E$31,"N/A")</f>
        <v>3100447.15769812</v>
      </c>
      <c r="T316" s="423" cm="1">
        <f t="array" ref="T316">IF(B316&gt;0,VLOOKUP(C303,'Allocation OH and Target 2026'!$C$35:$S$87,16,0),"N/A")</f>
        <v>0</v>
      </c>
      <c r="U316" s="423" cm="1">
        <f t="array" ref="U316">_xlfn.IFERROR((S316+T316),"N/A")</f>
        <v>3100447.15769812</v>
      </c>
      <c r="V316" s="424"/>
      <c r="W316" s="423" cm="1">
        <f t="array" ref="W316">_xlfn.IFERROR(U316+Q316,"N/A")</f>
        <v>15207447.1576981</v>
      </c>
      <c r="X316" s="423" cm="1">
        <f t="array" ref="X316">_xlfn.IFERROR(W316*0.5%,"N/A")</f>
        <v>76037.235788490507</v>
      </c>
      <c r="Y316" s="423" cm="1">
        <f t="array" ref="Y316">_xlfn.IFERROR(W316*25%,"N/A")</f>
        <v>3801861.78942453</v>
      </c>
      <c r="Z316" s="425" cm="1">
        <f t="array" ref="Z316">IF(B316&gt;0,SUM(W316:Y316),"N/A")</f>
        <v>19085346.1829111</v>
      </c>
      <c r="AA316" s="425" cm="1">
        <f t="array" ref="AA316">_xlfn.IFERROR((Z316-Z315),"N/A")</f>
        <v>195780</v>
      </c>
      <c r="AB316" s="424"/>
      <c r="AC316" t="str" s="426" cm="1">
        <f t="array" ref="AC316">IF(B316=6,AVERAGE(Z306:Z311),"N/A")</f>
        <v>N/A</v>
      </c>
      <c r="AD316" s="424"/>
      <c r="AE316" s="423"/>
      <c r="AF316" s="423"/>
      <c r="AG316" s="423"/>
      <c r="AH316" s="423"/>
      <c r="AI316" s="423"/>
      <c r="AJ316" s="423"/>
      <c r="AK316" s="423"/>
      <c r="AL316" s="423"/>
      <c r="AM316" s="423"/>
      <c r="AN316" s="427"/>
    </row>
    <row r="317" ht="15" customHeight="1">
      <c r="A317" s="12"/>
      <c r="B317" s="428" cm="1">
        <f t="array" ref="B317">IF(B316=0,0,IF(B316&lt;VLOOKUP(C303,'Boats Data Sheet 2026'!$C$3:$H$57,6,0),B316+1,0))</f>
        <v>12</v>
      </c>
      <c r="C317" s="423" cm="1">
        <f t="array" ref="C317">IF(B317&gt;0,IF(VLOOKUP(C303,'Boats Data Sheet 2026'!$C$3:$J$57,8,0)="N/A",0,VLOOKUP(C303,'Boats Data Sheet 2026'!$C$3:$J$57,8,0)),"N/A")</f>
        <v>8000000</v>
      </c>
      <c r="D317" s="430" cm="1">
        <f t="array" ref="D317">IF(B317&gt;7,2,IF(B317=0,"N/A",1))</f>
        <v>2</v>
      </c>
      <c r="E317" s="423" cm="1">
        <f t="array" ref="E317">_xlfn.IFERROR(SUM('Direct Costs 2026'!$C$4:$C$5)*D317,"N/A")</f>
        <v>1751000</v>
      </c>
      <c r="F317" s="423" cm="1">
        <f t="array" ref="F317">_xlfn.IFERROR('Direct Costs 2026'!$C$43*B317,"N/A")</f>
        <v>72000</v>
      </c>
      <c r="G317" s="423" cm="1">
        <f t="array" ref="G317">IF(B317&gt;0,'Direct Costs 2026'!$C$25,"N/A")</f>
        <v>90000</v>
      </c>
      <c r="H317" s="423" cm="1">
        <f t="array" ref="H317">IF(B317&gt;0,'Direct Costs 2026'!$C$15+'Direct Costs 2026'!$C$14,"N/A")</f>
        <v>230000</v>
      </c>
      <c r="I317" s="423">
        <v>0</v>
      </c>
      <c r="J317" s="423">
        <v>0</v>
      </c>
      <c r="K317" s="423" cm="1">
        <f t="array" ref="K317">IF(B317&gt;0,'Direct Costs 2026'!$C$26,"N/A")</f>
        <v>20000</v>
      </c>
      <c r="L317" s="423" cm="1">
        <f t="array" ref="L317">IF(B317&gt;0,'Direct Costs 2026'!$C$23,"N/A")</f>
        <v>140000</v>
      </c>
      <c r="M317" s="423" cm="1">
        <f t="array" ref="M317">IF(B317&gt;0,'Direct Costs 2026'!$C$45*B317,"N/A")</f>
        <v>1800000</v>
      </c>
      <c r="N317" t="str" s="431" cm="1">
        <f t="array" ref="N317">IF(B317&gt;0,_xlfn.IFERROR(VLOOKUP(C303,'Boats Data Sheet 2026'!$C$3:$I$57,7,0)*'Direct Costs 2026'!$C$36,"N/A"),"N/A")</f>
        <v>N/A</v>
      </c>
      <c r="O317" t="str" s="431" cm="1">
        <f t="array" ref="O317">IF(B317&gt;0,IF(OR(VLOOKUP(C303,'Boats Data Sheet 2026'!$C$3:$F$57,4,0)="Own",VLOOKUP(C303,'Boats Data Sheet 2026'!$C$3:$F$57,4,0)="Management"),('Direct Costs 2026'!$C$37+'Direct Costs 2026'!$C$39),"N/A"),"N/A")</f>
        <v>N/A</v>
      </c>
      <c r="P317" s="423" cm="1">
        <f t="array" ref="P317">_xlfn.IFERROR('Direct Costs 2026'!$C$27*C317,"N/A")</f>
        <v>160000</v>
      </c>
      <c r="Q317" s="423" cm="1">
        <f t="array" ref="Q317">_xlfn.IFERROR(C317+SUM(E317:P317),"N/A")</f>
        <v>12263000</v>
      </c>
      <c r="R317" s="424"/>
      <c r="S317" s="423" cm="1">
        <f t="array" ref="S317">IF(B317&gt;0,'Allocation OH and Target 2026'!$E$31,"N/A")</f>
        <v>3100447.15769812</v>
      </c>
      <c r="T317" s="423" cm="1">
        <f t="array" ref="T317">IF(B317&gt;0,VLOOKUP(C303,'Allocation OH and Target 2026'!$C$35:$S$87,16,0),"N/A")</f>
        <v>0</v>
      </c>
      <c r="U317" s="423" cm="1">
        <f t="array" ref="U317">_xlfn.IFERROR((S317+T317),"N/A")</f>
        <v>3100447.15769812</v>
      </c>
      <c r="V317" s="424"/>
      <c r="W317" s="423" cm="1">
        <f t="array" ref="W317">_xlfn.IFERROR(U317+Q317,"N/A")</f>
        <v>15363447.1576981</v>
      </c>
      <c r="X317" s="423" cm="1">
        <f t="array" ref="X317">_xlfn.IFERROR(W317*0.5%,"N/A")</f>
        <v>76817.235788490507</v>
      </c>
      <c r="Y317" s="423" cm="1">
        <f t="array" ref="Y317">_xlfn.IFERROR(W317*25%,"N/A")</f>
        <v>3840861.78942453</v>
      </c>
      <c r="Z317" s="425" cm="1">
        <f t="array" ref="Z317">IF(B317&gt;0,SUM(W317:Y317),"N/A")</f>
        <v>19281126.1829111</v>
      </c>
      <c r="AA317" s="425" cm="1">
        <f t="array" ref="AA317">_xlfn.IFERROR((Z317-Z316),"N/A")</f>
        <v>195780</v>
      </c>
      <c r="AB317" s="424"/>
      <c r="AC317" t="str" s="426" cm="1">
        <f t="array" ref="AC317">IF(B317=6,AVERAGE(Z306:Z311),"N/A")</f>
        <v>N/A</v>
      </c>
      <c r="AD317" s="424"/>
      <c r="AE317" s="423"/>
      <c r="AF317" s="423"/>
      <c r="AG317" s="423"/>
      <c r="AH317" s="423"/>
      <c r="AI317" s="423"/>
      <c r="AJ317" s="423"/>
      <c r="AK317" s="423"/>
      <c r="AL317" s="423"/>
      <c r="AM317" s="423"/>
      <c r="AN317" s="427"/>
    </row>
    <row r="318" ht="15" customHeight="1">
      <c r="A318" s="12"/>
      <c r="B318" s="428" cm="1">
        <f t="array" ref="B318">IF(B317=0,0,IF(B317&lt;VLOOKUP(C303,'Boats Data Sheet 2026'!$C$3:$H$57,6,0),B317+1,0))</f>
        <v>13</v>
      </c>
      <c r="C318" s="423" cm="1">
        <f t="array" ref="C318">IF(B318&gt;0,IF(VLOOKUP(C303,'Boats Data Sheet 2026'!$C$3:$J$57,8,0)="N/A",0,VLOOKUP(C303,'Boats Data Sheet 2026'!$C$3:$J$57,8,0)),"N/A")</f>
        <v>8000000</v>
      </c>
      <c r="D318" s="430" cm="1">
        <f t="array" ref="D318">IF(B318&gt;7,2,IF(B318=0,"N/A",1))</f>
        <v>2</v>
      </c>
      <c r="E318" s="423" cm="1">
        <f t="array" ref="E318">_xlfn.IFERROR(SUM('Direct Costs 2026'!$C$4:$C$5)*D318,"N/A")</f>
        <v>1751000</v>
      </c>
      <c r="F318" s="423" cm="1">
        <f t="array" ref="F318">_xlfn.IFERROR('Direct Costs 2026'!$C$43*B318,"N/A")</f>
        <v>78000</v>
      </c>
      <c r="G318" s="423" cm="1">
        <f t="array" ref="G318">IF(B318&gt;0,'Direct Costs 2026'!$C$25,"N/A")</f>
        <v>90000</v>
      </c>
      <c r="H318" s="423" cm="1">
        <f t="array" ref="H318">IF(B318&gt;0,'Direct Costs 2026'!$C$15+'Direct Costs 2026'!$C$14,"N/A")</f>
        <v>230000</v>
      </c>
      <c r="I318" s="423">
        <v>0</v>
      </c>
      <c r="J318" s="423">
        <v>0</v>
      </c>
      <c r="K318" s="423" cm="1">
        <f t="array" ref="K318">IF(B318&gt;0,'Direct Costs 2026'!$C$26,"N/A")</f>
        <v>20000</v>
      </c>
      <c r="L318" s="423" cm="1">
        <f t="array" ref="L318">IF(B318&gt;0,'Direct Costs 2026'!$C$23,"N/A")</f>
        <v>140000</v>
      </c>
      <c r="M318" s="423" cm="1">
        <f t="array" ref="M318">IF(B318&gt;0,'Direct Costs 2026'!$C$45*B318,"N/A")</f>
        <v>1950000</v>
      </c>
      <c r="N318" t="str" s="431" cm="1">
        <f t="array" ref="N318">IF(B318&gt;0,_xlfn.IFERROR(VLOOKUP(C303,'Boats Data Sheet 2026'!$C$3:$I$57,7,0)*'Direct Costs 2026'!$C$36,"N/A"),"N/A")</f>
        <v>N/A</v>
      </c>
      <c r="O318" t="str" s="431" cm="1">
        <f t="array" ref="O318">IF(B318&gt;0,IF(OR(VLOOKUP(C303,'Boats Data Sheet 2026'!$C$3:$F$57,4,0)="Own",VLOOKUP(C303,'Boats Data Sheet 2026'!$C$3:$F$57,4,0)="Management"),('Direct Costs 2026'!$C$37+'Direct Costs 2026'!$C$39),"N/A"),"N/A")</f>
        <v>N/A</v>
      </c>
      <c r="P318" s="423" cm="1">
        <f t="array" ref="P318">_xlfn.IFERROR('Direct Costs 2026'!$C$27*C318,"N/A")</f>
        <v>160000</v>
      </c>
      <c r="Q318" s="423" cm="1">
        <f t="array" ref="Q318">_xlfn.IFERROR(C318+SUM(E318:P318),"N/A")</f>
        <v>12419000</v>
      </c>
      <c r="R318" s="424"/>
      <c r="S318" s="423" cm="1">
        <f t="array" ref="S318">IF(B318&gt;0,'Allocation OH and Target 2026'!$E$31,"N/A")</f>
        <v>3100447.15769812</v>
      </c>
      <c r="T318" s="423" cm="1">
        <f t="array" ref="T318">IF(B318&gt;0,VLOOKUP(C303,'Allocation OH and Target 2026'!$C$35:$S$87,16,0),"N/A")</f>
        <v>0</v>
      </c>
      <c r="U318" s="423" cm="1">
        <f t="array" ref="U318">_xlfn.IFERROR((S318+T318),"N/A")</f>
        <v>3100447.15769812</v>
      </c>
      <c r="V318" s="424"/>
      <c r="W318" s="423" cm="1">
        <f t="array" ref="W318">_xlfn.IFERROR(U318+Q318,"N/A")</f>
        <v>15519447.1576981</v>
      </c>
      <c r="X318" s="423" cm="1">
        <f t="array" ref="X318">_xlfn.IFERROR(W318*0.5%,"N/A")</f>
        <v>77597.235788490507</v>
      </c>
      <c r="Y318" s="423" cm="1">
        <f t="array" ref="Y318">_xlfn.IFERROR(W318*25%,"N/A")</f>
        <v>3879861.78942453</v>
      </c>
      <c r="Z318" s="425" cm="1">
        <f t="array" ref="Z318">IF(B318&gt;0,SUM(W318:Y318),"N/A")</f>
        <v>19476906.1829111</v>
      </c>
      <c r="AA318" s="425" cm="1">
        <f t="array" ref="AA318">_xlfn.IFERROR((Z318-Z317),"N/A")</f>
        <v>195780</v>
      </c>
      <c r="AB318" s="424"/>
      <c r="AC318" t="str" s="426" cm="1">
        <f t="array" ref="AC318">IF(B318=6,AVERAGE(Z306:Z311),"N/A")</f>
        <v>N/A</v>
      </c>
      <c r="AD318" s="424"/>
      <c r="AE318" s="423"/>
      <c r="AF318" s="423"/>
      <c r="AG318" s="423"/>
      <c r="AH318" s="423"/>
      <c r="AI318" s="423"/>
      <c r="AJ318" s="423"/>
      <c r="AK318" s="423"/>
      <c r="AL318" s="423"/>
      <c r="AM318" s="423"/>
      <c r="AN318" s="427"/>
    </row>
    <row r="319" ht="15" customHeight="1">
      <c r="A319" s="12"/>
      <c r="B319" s="428" cm="1">
        <f t="array" ref="B319">IF(B318=0,0,IF(B318&lt;VLOOKUP(C303,'Boats Data Sheet 2026'!$C$3:$H$57,6,0),B318+1,0))</f>
        <v>14</v>
      </c>
      <c r="C319" s="423" cm="1">
        <f t="array" ref="C319">IF(B319&gt;0,IF(VLOOKUP(C303,'Boats Data Sheet 2026'!$C$3:$J$57,8,0)="N/A",0,VLOOKUP(C303,'Boats Data Sheet 2026'!$C$3:$J$57,8,0)),"N/A")</f>
        <v>8000000</v>
      </c>
      <c r="D319" s="430" cm="1">
        <f t="array" ref="D319">IF(B319&gt;7,2,IF(B319=0,"N/A",1))</f>
        <v>2</v>
      </c>
      <c r="E319" s="423" cm="1">
        <f t="array" ref="E319">_xlfn.IFERROR(SUM('Direct Costs 2026'!$C$4:$C$5)*D319,"N/A")</f>
        <v>1751000</v>
      </c>
      <c r="F319" s="423" cm="1">
        <f t="array" ref="F319">_xlfn.IFERROR('Direct Costs 2026'!$C$43*B319,"N/A")</f>
        <v>84000</v>
      </c>
      <c r="G319" s="423" cm="1">
        <f t="array" ref="G319">IF(B319&gt;0,'Direct Costs 2026'!$C$25,"N/A")</f>
        <v>90000</v>
      </c>
      <c r="H319" s="423" cm="1">
        <f t="array" ref="H319">IF(B319&gt;0,'Direct Costs 2026'!$C$15+'Direct Costs 2026'!$C$14,"N/A")</f>
        <v>230000</v>
      </c>
      <c r="I319" s="423">
        <v>0</v>
      </c>
      <c r="J319" s="423">
        <v>0</v>
      </c>
      <c r="K319" s="423" cm="1">
        <f t="array" ref="K319">IF(B319&gt;0,'Direct Costs 2026'!$C$26,"N/A")</f>
        <v>20000</v>
      </c>
      <c r="L319" s="423" cm="1">
        <f t="array" ref="L319">IF(B319&gt;0,'Direct Costs 2026'!$C$23,"N/A")</f>
        <v>140000</v>
      </c>
      <c r="M319" s="423" cm="1">
        <f t="array" ref="M319">IF(B319&gt;0,'Direct Costs 2026'!$C$45*B319,"N/A")</f>
        <v>2100000</v>
      </c>
      <c r="N319" t="str" s="431" cm="1">
        <f t="array" ref="N319">IF(B319&gt;0,_xlfn.IFERROR(VLOOKUP(C303,'Boats Data Sheet 2026'!$C$3:$I$57,7,0)*'Direct Costs 2026'!$C$36,"N/A"),"N/A")</f>
        <v>N/A</v>
      </c>
      <c r="O319" t="str" s="431" cm="1">
        <f t="array" ref="O319">IF(B319&gt;0,IF(OR(VLOOKUP(C303,'Boats Data Sheet 2026'!$C$3:$F$57,4,0)="Own",VLOOKUP(C303,'Boats Data Sheet 2026'!$C$3:$F$57,4,0)="Management"),('Direct Costs 2026'!$C$37+'Direct Costs 2026'!$C$39),"N/A"),"N/A")</f>
        <v>N/A</v>
      </c>
      <c r="P319" s="423" cm="1">
        <f t="array" ref="P319">_xlfn.IFERROR('Direct Costs 2026'!$C$27*C319,"N/A")</f>
        <v>160000</v>
      </c>
      <c r="Q319" s="423" cm="1">
        <f t="array" ref="Q319">_xlfn.IFERROR(C319+SUM(E319:P319),"N/A")</f>
        <v>12575000</v>
      </c>
      <c r="R319" s="424"/>
      <c r="S319" s="423" cm="1">
        <f t="array" ref="S319">IF(B319&gt;0,'Allocation OH and Target 2026'!$E$31,"N/A")</f>
        <v>3100447.15769812</v>
      </c>
      <c r="T319" s="423" cm="1">
        <f t="array" ref="T319">IF(B319&gt;0,VLOOKUP(C303,'Allocation OH and Target 2026'!$C$35:$S$87,16,0),"N/A")</f>
        <v>0</v>
      </c>
      <c r="U319" s="423" cm="1">
        <f t="array" ref="U319">_xlfn.IFERROR((S319+T319),"N/A")</f>
        <v>3100447.15769812</v>
      </c>
      <c r="V319" s="424"/>
      <c r="W319" s="423" cm="1">
        <f t="array" ref="W319">_xlfn.IFERROR(U319+Q319,"N/A")</f>
        <v>15675447.1576981</v>
      </c>
      <c r="X319" s="423" cm="1">
        <f t="array" ref="X319">_xlfn.IFERROR(W319*0.5%,"N/A")</f>
        <v>78377.235788490507</v>
      </c>
      <c r="Y319" s="423" cm="1">
        <f t="array" ref="Y319">_xlfn.IFERROR(W319*25%,"N/A")</f>
        <v>3918861.78942453</v>
      </c>
      <c r="Z319" s="425" cm="1">
        <f t="array" ref="Z319">IF(B319&gt;0,SUM(W319:Y319),"N/A")</f>
        <v>19672686.1829111</v>
      </c>
      <c r="AA319" s="425" cm="1">
        <f t="array" ref="AA319">_xlfn.IFERROR((Z319-Z318),"N/A")</f>
        <v>195780</v>
      </c>
      <c r="AB319" s="424"/>
      <c r="AC319" t="str" s="426" cm="1">
        <f t="array" ref="AC319">IF(B319=6,AVERAGE(Z306:Z311),"N/A")</f>
        <v>N/A</v>
      </c>
      <c r="AD319" s="424"/>
      <c r="AE319" s="423"/>
      <c r="AF319" s="423"/>
      <c r="AG319" s="423"/>
      <c r="AH319" s="423"/>
      <c r="AI319" s="423"/>
      <c r="AJ319" s="423"/>
      <c r="AK319" s="423"/>
      <c r="AL319" s="423"/>
      <c r="AM319" s="423"/>
      <c r="AN319" s="427"/>
    </row>
    <row r="320" ht="15" customHeight="1">
      <c r="A320" s="12"/>
      <c r="B320" s="428" cm="1">
        <f t="array" ref="B320">IF(B319=0,0,IF(B319&lt;VLOOKUP(C303,'Boats Data Sheet 2026'!$C$3:$H$57,6,0),B319+1,0))</f>
        <v>0</v>
      </c>
      <c r="C320" t="str" s="431" cm="1">
        <f t="array" ref="C320">IF(B320&gt;0,IF(VLOOKUP(C303,'Boats Data Sheet 2026'!$C$3:$J$57,8,0)="N/A",0,VLOOKUP(C303,'Boats Data Sheet 2026'!$C$3:$J$57,8,0)),"N/A")</f>
        <v>N/A</v>
      </c>
      <c r="D320" t="str" s="431" cm="1">
        <f t="array" ref="D320">IF(B320&gt;7,2,IF(B320=0,"N/A",1))</f>
        <v>N/A</v>
      </c>
      <c r="E320" t="str" s="431" cm="1">
        <f t="array" ref="E320">_xlfn.IFERROR(SUM('Direct Costs 2026'!$C$4:$C$5)*D320,"N/A")</f>
        <v>N/A</v>
      </c>
      <c r="F320" s="423" cm="1">
        <f t="array" ref="F320">_xlfn.IFERROR('Direct Costs 2026'!$C$43*B320,"N/A")</f>
        <v>0</v>
      </c>
      <c r="G320" t="str" s="431" cm="1">
        <f t="array" ref="G320">IF(B320&gt;0,'Direct Costs 2026'!$C$25,"N/A")</f>
        <v>N/A</v>
      </c>
      <c r="H320" t="str" s="431" cm="1">
        <f t="array" ref="H320">IF(B320&gt;0,'Direct Costs 2026'!$C$15+'Direct Costs 2026'!$C$14,"N/A")</f>
        <v>N/A</v>
      </c>
      <c r="I320" s="423">
        <v>0</v>
      </c>
      <c r="J320" s="423">
        <v>0</v>
      </c>
      <c r="K320" t="str" s="431" cm="1">
        <f t="array" ref="K320">IF(B320&gt;0,'Direct Costs 2026'!$C$26,"N/A")</f>
        <v>N/A</v>
      </c>
      <c r="L320" t="str" s="431" cm="1">
        <f t="array" ref="L320">IF(B320&gt;0,'Direct Costs 2026'!$C$23,"N/A")</f>
        <v>N/A</v>
      </c>
      <c r="M320" t="str" s="431" cm="1">
        <f t="array" ref="M320">IF(B320&gt;0,'Direct Costs 2026'!$C$45*B320,"N/A")</f>
        <v>N/A</v>
      </c>
      <c r="N320" t="str" s="431" cm="1">
        <f t="array" ref="N320">IF(B320&gt;0,_xlfn.IFERROR(VLOOKUP(C303,'Boats Data Sheet 2026'!$C$3:$I$57,7,0)*'Direct Costs 2026'!$C$36,"N/A"),"N/A")</f>
        <v>N/A</v>
      </c>
      <c r="O320" t="str" s="431" cm="1">
        <f t="array" ref="O320">IF(B320&gt;0,IF(OR(VLOOKUP(C303,'Boats Data Sheet 2026'!$C$3:$F$57,4,0)="Own",VLOOKUP(C303,'Boats Data Sheet 2026'!$C$3:$F$57,4,0)="Management"),('Direct Costs 2026'!$C$37+'Direct Costs 2026'!$C$39),"N/A"),"N/A")</f>
        <v>N/A</v>
      </c>
      <c r="P320" t="str" s="431" cm="1">
        <f t="array" ref="P320">_xlfn.IFERROR('Direct Costs 2026'!$C$27*C320,"N/A")</f>
        <v>N/A</v>
      </c>
      <c r="Q320" t="str" s="431" cm="1">
        <f t="array" ref="Q320">_xlfn.IFERROR(C320+SUM(E320:P320),"N/A")</f>
        <v>N/A</v>
      </c>
      <c r="R320" s="424"/>
      <c r="S320" t="str" s="431" cm="1">
        <f t="array" ref="S320">IF(B320&gt;0,'Allocation OH and Target 2026'!$E$31,"N/A")</f>
        <v>N/A</v>
      </c>
      <c r="T320" t="str" s="431" cm="1">
        <f t="array" ref="T320">IF(B320&gt;0,VLOOKUP(C303,'Allocation OH and Target 2026'!$C$35:$S$87,16,0),"N/A")</f>
        <v>N/A</v>
      </c>
      <c r="U320" t="str" s="431" cm="1">
        <f t="array" ref="U320">_xlfn.IFERROR((S320+T320),"N/A")</f>
        <v>N/A</v>
      </c>
      <c r="V320" s="424"/>
      <c r="W320" t="str" s="431" cm="1">
        <f t="array" ref="W320">_xlfn.IFERROR(U320+Q320,"N/A")</f>
        <v>N/A</v>
      </c>
      <c r="X320" t="str" s="431" cm="1">
        <f t="array" ref="X320">_xlfn.IFERROR(W320*0.5%,"N/A")</f>
        <v>N/A</v>
      </c>
      <c r="Y320" t="str" s="431" cm="1">
        <f t="array" ref="Y320">_xlfn.IFERROR(W320*25%,"N/A")</f>
        <v>N/A</v>
      </c>
      <c r="Z320" t="str" s="426" cm="1">
        <f t="array" ref="Z320">IF(B320&gt;0,SUM(W320:Y320),"N/A")</f>
        <v>N/A</v>
      </c>
      <c r="AA320" t="str" s="426" cm="1">
        <f t="array" ref="AA320">_xlfn.IFERROR((Z320-Z319),"N/A")</f>
        <v>N/A</v>
      </c>
      <c r="AB320" s="424"/>
      <c r="AC320" t="str" s="426" cm="1">
        <f t="array" ref="AC320">IF(B320=6,AVERAGE(Z306:Z311),"N/A")</f>
        <v>N/A</v>
      </c>
      <c r="AD320" s="424"/>
      <c r="AE320" s="423"/>
      <c r="AF320" s="423"/>
      <c r="AG320" s="423"/>
      <c r="AH320" s="423"/>
      <c r="AI320" s="423"/>
      <c r="AJ320" s="423"/>
      <c r="AK320" s="423"/>
      <c r="AL320" s="423"/>
      <c r="AM320" s="423"/>
      <c r="AN320" s="427"/>
    </row>
    <row r="321" ht="15" customHeight="1">
      <c r="A321" s="12"/>
      <c r="B321" s="428" cm="1">
        <f t="array" ref="B321">IF(B320=0,0,IF(B320&lt;VLOOKUP(C303,'Boats Data Sheet 2026'!$C$3:$H$57,6,0),B320+1,0))</f>
        <v>0</v>
      </c>
      <c r="C321" t="str" s="431" cm="1">
        <f t="array" ref="C321">IF(B321&gt;0,IF(VLOOKUP(C303,'Boats Data Sheet 2026'!$C$3:$J$57,8,0)="N/A",0,VLOOKUP(C303,'Boats Data Sheet 2026'!$C$3:$J$57,8,0)),"N/A")</f>
        <v>N/A</v>
      </c>
      <c r="D321" t="str" s="431" cm="1">
        <f t="array" ref="D321">IF(B321&gt;7,2,IF(B321=0,"N/A",1))</f>
        <v>N/A</v>
      </c>
      <c r="E321" t="str" s="431" cm="1">
        <f t="array" ref="E321">_xlfn.IFERROR(SUM('Direct Costs 2026'!$C$4:$C$5)*D321,"N/A")</f>
        <v>N/A</v>
      </c>
      <c r="F321" s="423" cm="1">
        <f t="array" ref="F321">_xlfn.IFERROR('Direct Costs 2026'!$C$43*B321,"N/A")</f>
        <v>0</v>
      </c>
      <c r="G321" t="str" s="431" cm="1">
        <f t="array" ref="G321">IF(B321&gt;0,'Direct Costs 2026'!$C$25,"N/A")</f>
        <v>N/A</v>
      </c>
      <c r="H321" t="str" s="431" cm="1">
        <f t="array" ref="H321">IF(B321&gt;0,'Direct Costs 2026'!$C$15+'Direct Costs 2026'!$C$14,"N/A")</f>
        <v>N/A</v>
      </c>
      <c r="I321" s="423">
        <v>0</v>
      </c>
      <c r="J321" s="423">
        <v>0</v>
      </c>
      <c r="K321" t="str" s="431" cm="1">
        <f t="array" ref="K321">IF(B321&gt;0,'Direct Costs 2026'!$C$26,"N/A")</f>
        <v>N/A</v>
      </c>
      <c r="L321" t="str" s="431" cm="1">
        <f t="array" ref="L321">IF(B321&gt;0,'Direct Costs 2026'!$C$23,"N/A")</f>
        <v>N/A</v>
      </c>
      <c r="M321" t="str" s="431" cm="1">
        <f t="array" ref="M321">IF(B321&gt;0,'Direct Costs 2026'!$C$45*B321,"N/A")</f>
        <v>N/A</v>
      </c>
      <c r="N321" t="str" s="431" cm="1">
        <f t="array" ref="N321">IF(B321&gt;0,_xlfn.IFERROR(VLOOKUP(C303,'Boats Data Sheet 2026'!$C$3:$I$57,7,0)*'Direct Costs 2026'!$C$36,"N/A"),"N/A")</f>
        <v>N/A</v>
      </c>
      <c r="O321" t="str" s="431" cm="1">
        <f t="array" ref="O321">IF(B321&gt;0,IF(OR(VLOOKUP(C303,'Boats Data Sheet 2026'!$C$3:$F$57,4,0)="Own",VLOOKUP(C303,'Boats Data Sheet 2026'!$C$3:$F$57,4,0)="Management"),('Direct Costs 2026'!$C$37+'Direct Costs 2026'!$C$39),"N/A"),"N/A")</f>
        <v>N/A</v>
      </c>
      <c r="P321" t="str" s="431" cm="1">
        <f t="array" ref="P321">_xlfn.IFERROR('Direct Costs 2026'!$C$27*C321,"N/A")</f>
        <v>N/A</v>
      </c>
      <c r="Q321" t="str" s="431" cm="1">
        <f t="array" ref="Q321">_xlfn.IFERROR(C321+SUM(E321:P321),"N/A")</f>
        <v>N/A</v>
      </c>
      <c r="R321" s="424"/>
      <c r="S321" t="str" s="431" cm="1">
        <f t="array" ref="S321">IF(B321&gt;0,'Allocation OH and Target 2026'!$E$31,"N/A")</f>
        <v>N/A</v>
      </c>
      <c r="T321" t="str" s="431" cm="1">
        <f t="array" ref="T321">IF(B321&gt;0,VLOOKUP(C303,'Allocation OH and Target 2026'!$C$35:$S$87,16,0),"N/A")</f>
        <v>N/A</v>
      </c>
      <c r="U321" t="str" s="431" cm="1">
        <f t="array" ref="U321">_xlfn.IFERROR((S321+T321),"N/A")</f>
        <v>N/A</v>
      </c>
      <c r="V321" s="424"/>
      <c r="W321" t="str" s="431" cm="1">
        <f t="array" ref="W321">_xlfn.IFERROR(U321+Q321,"N/A")</f>
        <v>N/A</v>
      </c>
      <c r="X321" t="str" s="431" cm="1">
        <f t="array" ref="X321">_xlfn.IFERROR(W321*0.5%,"N/A")</f>
        <v>N/A</v>
      </c>
      <c r="Y321" t="str" s="431" cm="1">
        <f t="array" ref="Y321">_xlfn.IFERROR(W321*25%,"N/A")</f>
        <v>N/A</v>
      </c>
      <c r="Z321" t="str" s="426" cm="1">
        <f t="array" ref="Z321">IF(B321&gt;0,SUM(W321:Y321),"N/A")</f>
        <v>N/A</v>
      </c>
      <c r="AA321" t="str" s="426" cm="1">
        <f t="array" ref="AA321">_xlfn.IFERROR((Z321-Z320),"N/A")</f>
        <v>N/A</v>
      </c>
      <c r="AB321" s="424"/>
      <c r="AC321" t="str" s="426" cm="1">
        <f t="array" ref="AC321">IF(B321=6,AVERAGE(Z306:Z311),"N/A")</f>
        <v>N/A</v>
      </c>
      <c r="AD321" s="424"/>
      <c r="AE321" s="423"/>
      <c r="AF321" s="423"/>
      <c r="AG321" s="423"/>
      <c r="AH321" s="423"/>
      <c r="AI321" s="423"/>
      <c r="AJ321" s="423"/>
      <c r="AK321" s="423"/>
      <c r="AL321" s="423"/>
      <c r="AM321" s="423"/>
      <c r="AN321" s="427"/>
    </row>
    <row r="322" ht="15" customHeight="1">
      <c r="A322" s="12"/>
      <c r="B322" s="428" cm="1">
        <f t="array" ref="B322">IF(B321=0,0,IF(B321&lt;VLOOKUP(C303,'Boats Data Sheet 2026'!$C$3:$H$57,6,0),B321+1,0))</f>
        <v>0</v>
      </c>
      <c r="C322" t="str" s="431" cm="1">
        <f t="array" ref="C322">IF(B322&gt;0,IF(VLOOKUP(C303,'Boats Data Sheet 2026'!$C$3:$J$57,8,0)="N/A",0,VLOOKUP(C303,'Boats Data Sheet 2026'!$C$3:$J$57,8,0)),"N/A")</f>
        <v>N/A</v>
      </c>
      <c r="D322" t="str" s="431" cm="1">
        <f t="array" ref="D322">IF(B322&gt;7,2,IF(B322=0,"N/A",1))</f>
        <v>N/A</v>
      </c>
      <c r="E322" t="str" s="431" cm="1">
        <f t="array" ref="E322">_xlfn.IFERROR(SUM('Direct Costs 2026'!$C$4:$C$5)*D322,"N/A")</f>
        <v>N/A</v>
      </c>
      <c r="F322" s="423" cm="1">
        <f t="array" ref="F322">_xlfn.IFERROR('Direct Costs 2026'!$C$43*B322,"N/A")</f>
        <v>0</v>
      </c>
      <c r="G322" t="str" s="431" cm="1">
        <f t="array" ref="G322">IF(B322&gt;0,'Direct Costs 2026'!$C$25,"N/A")</f>
        <v>N/A</v>
      </c>
      <c r="H322" t="str" s="431" cm="1">
        <f t="array" ref="H322">IF(B322&gt;0,'Direct Costs 2026'!$C$15+'Direct Costs 2026'!$C$14,"N/A")</f>
        <v>N/A</v>
      </c>
      <c r="I322" s="423">
        <v>0</v>
      </c>
      <c r="J322" s="423">
        <v>0</v>
      </c>
      <c r="K322" t="str" s="431" cm="1">
        <f t="array" ref="K322">IF(B322&gt;0,'Direct Costs 2026'!$C$26,"N/A")</f>
        <v>N/A</v>
      </c>
      <c r="L322" t="str" s="431" cm="1">
        <f t="array" ref="L322">IF(B322&gt;0,'Direct Costs 2026'!$C$23,"N/A")</f>
        <v>N/A</v>
      </c>
      <c r="M322" t="str" s="431" cm="1">
        <f t="array" ref="M322">IF(B322&gt;0,'Direct Costs 2026'!$C$45*B322,"N/A")</f>
        <v>N/A</v>
      </c>
      <c r="N322" t="str" s="431" cm="1">
        <f t="array" ref="N322">IF(B322&gt;0,_xlfn.IFERROR(VLOOKUP(C303,'Boats Data Sheet 2026'!$C$3:$I$57,7,0)*'Direct Costs 2026'!$C$36,"N/A"),"N/A")</f>
        <v>N/A</v>
      </c>
      <c r="O322" t="str" s="431" cm="1">
        <f t="array" ref="O322">IF(B322&gt;0,IF(OR(VLOOKUP(C303,'Boats Data Sheet 2026'!$C$3:$F$57,4,0)="Own",VLOOKUP(C303,'Boats Data Sheet 2026'!$C$3:$F$57,4,0)="Management"),('Direct Costs 2026'!$C$37+'Direct Costs 2026'!$C$39),"N/A"),"N/A")</f>
        <v>N/A</v>
      </c>
      <c r="P322" t="str" s="431" cm="1">
        <f t="array" ref="P322">_xlfn.IFERROR('Direct Costs 2026'!$C$27*C322,"N/A")</f>
        <v>N/A</v>
      </c>
      <c r="Q322" t="str" s="431" cm="1">
        <f t="array" ref="Q322">_xlfn.IFERROR(C322+SUM(E322:P322),"N/A")</f>
        <v>N/A</v>
      </c>
      <c r="R322" s="424"/>
      <c r="S322" t="str" s="431" cm="1">
        <f t="array" ref="S322">IF(B322&gt;0,'Allocation OH and Target 2026'!$E$31,"N/A")</f>
        <v>N/A</v>
      </c>
      <c r="T322" t="str" s="431" cm="1">
        <f t="array" ref="T322">IF(B322&gt;0,VLOOKUP(C303,'Allocation OH and Target 2026'!$C$35:$S$87,16,0),"N/A")</f>
        <v>N/A</v>
      </c>
      <c r="U322" t="str" s="431" cm="1">
        <f t="array" ref="U322">_xlfn.IFERROR((S322+T322),"N/A")</f>
        <v>N/A</v>
      </c>
      <c r="V322" s="424"/>
      <c r="W322" t="str" s="431" cm="1">
        <f t="array" ref="W322">_xlfn.IFERROR(U322+Q322,"N/A")</f>
        <v>N/A</v>
      </c>
      <c r="X322" t="str" s="431" cm="1">
        <f t="array" ref="X322">_xlfn.IFERROR(W322*0.5%,"N/A")</f>
        <v>N/A</v>
      </c>
      <c r="Y322" t="str" s="431" cm="1">
        <f t="array" ref="Y322">_xlfn.IFERROR(W322*25%,"N/A")</f>
        <v>N/A</v>
      </c>
      <c r="Z322" t="str" s="426" cm="1">
        <f t="array" ref="Z322">IF(B322&gt;0,SUM(W322:Y322),"N/A")</f>
        <v>N/A</v>
      </c>
      <c r="AA322" t="str" s="426" cm="1">
        <f t="array" ref="AA322">_xlfn.IFERROR((Z322-Z321),"N/A")</f>
        <v>N/A</v>
      </c>
      <c r="AB322" s="424"/>
      <c r="AC322" t="str" s="426" cm="1">
        <f t="array" ref="AC322">IF(B322=6,AVERAGE(Z306:Z311),"N/A")</f>
        <v>N/A</v>
      </c>
      <c r="AD322" s="424"/>
      <c r="AE322" s="423"/>
      <c r="AF322" s="423"/>
      <c r="AG322" s="423"/>
      <c r="AH322" s="423"/>
      <c r="AI322" s="423"/>
      <c r="AJ322" s="423"/>
      <c r="AK322" s="423"/>
      <c r="AL322" s="423"/>
      <c r="AM322" s="423"/>
      <c r="AN322" s="427"/>
    </row>
    <row r="323" ht="15.5" customHeight="1">
      <c r="A323" s="12"/>
      <c r="B323" s="432" cm="1">
        <f t="array" ref="B323">IF(B322=0,0,IF(B322&lt;VLOOKUP(C303,'Boats Data Sheet 2026'!$C$3:$H$57,6,0),B322+1,0))</f>
        <v>0</v>
      </c>
      <c r="C323" t="str" s="433" cm="1">
        <f t="array" ref="C323">IF(B323&gt;0,IF(VLOOKUP(C303,'Boats Data Sheet 2026'!$C$3:$J$57,8,0)="N/A",0,VLOOKUP(C303,'Boats Data Sheet 2026'!$C$3:$J$57,8,0)),"N/A")</f>
        <v>N/A</v>
      </c>
      <c r="D323" t="str" s="433" cm="1">
        <f t="array" ref="D323">IF(B323&gt;7,2,IF(B323=0,"N/A",1))</f>
        <v>N/A</v>
      </c>
      <c r="E323" t="str" s="433" cm="1">
        <f t="array" ref="E323">_xlfn.IFERROR(SUM('Direct Costs 2026'!$C$4:$C$5)*D323,"N/A")</f>
        <v>N/A</v>
      </c>
      <c r="F323" s="434" cm="1">
        <f t="array" ref="F323">_xlfn.IFERROR('Direct Costs 2026'!$C$43*B323,"N/A")</f>
        <v>0</v>
      </c>
      <c r="G323" t="str" s="433" cm="1">
        <f t="array" ref="G323">IF(B323&gt;0,'Direct Costs 2026'!$C$25,"N/A")</f>
        <v>N/A</v>
      </c>
      <c r="H323" t="str" s="433" cm="1">
        <f t="array" ref="H323">IF(B323&gt;0,'Direct Costs 2026'!$C$15+'Direct Costs 2026'!$C$14,"N/A")</f>
        <v>N/A</v>
      </c>
      <c r="I323" s="434">
        <v>0</v>
      </c>
      <c r="J323" s="434">
        <v>0</v>
      </c>
      <c r="K323" t="str" s="433" cm="1">
        <f t="array" ref="K323">IF(B323&gt;0,'Direct Costs 2026'!$C$26,"N/A")</f>
        <v>N/A</v>
      </c>
      <c r="L323" t="str" s="433" cm="1">
        <f t="array" ref="L323">IF(B323&gt;0,'Direct Costs 2026'!$C$23,"N/A")</f>
        <v>N/A</v>
      </c>
      <c r="M323" t="str" s="433" cm="1">
        <f t="array" ref="M323">IF(B323&gt;0,'Direct Costs 2026'!$C$45*B323,"N/A")</f>
        <v>N/A</v>
      </c>
      <c r="N323" t="str" s="433" cm="1">
        <f t="array" ref="N323">IF(B323&gt;0,_xlfn.IFERROR(VLOOKUP(C303,'Boats Data Sheet 2026'!$C$3:$I$57,7,0)*'Direct Costs 2026'!$C$36,"N/A"),"N/A")</f>
        <v>N/A</v>
      </c>
      <c r="O323" t="str" s="433" cm="1">
        <f t="array" ref="O323">IF(B323&gt;0,IF(OR(VLOOKUP(C303,'Boats Data Sheet 2026'!$C$3:$F$57,4,0)="Own",VLOOKUP(C303,'Boats Data Sheet 2026'!$C$3:$F$57,4,0)="Management"),('Direct Costs 2026'!$C$37+'Direct Costs 2026'!$C$39),"N/A"),"N/A")</f>
        <v>N/A</v>
      </c>
      <c r="P323" t="str" s="433" cm="1">
        <f t="array" ref="P323">_xlfn.IFERROR('Direct Costs 2026'!$C$27*C323,"N/A")</f>
        <v>N/A</v>
      </c>
      <c r="Q323" t="str" s="433" cm="1">
        <f t="array" ref="Q323">_xlfn.IFERROR(C323+SUM(E323:P323),"N/A")</f>
        <v>N/A</v>
      </c>
      <c r="R323" s="435"/>
      <c r="S323" t="str" s="433" cm="1">
        <f t="array" ref="S323">IF(B323&gt;0,'Allocation OH and Target 2026'!$E$31,"N/A")</f>
        <v>N/A</v>
      </c>
      <c r="T323" t="str" s="433" cm="1">
        <f t="array" ref="T323">IF(B323&gt;0,VLOOKUP(C303,'Allocation OH and Target 2026'!$C$35:$S$87,16,0),"N/A")</f>
        <v>N/A</v>
      </c>
      <c r="U323" t="str" s="433" cm="1">
        <f t="array" ref="U323">_xlfn.IFERROR((S323+T323),"N/A")</f>
        <v>N/A</v>
      </c>
      <c r="V323" s="435"/>
      <c r="W323" t="str" s="433" cm="1">
        <f t="array" ref="W323">_xlfn.IFERROR(U323+Q323,"N/A")</f>
        <v>N/A</v>
      </c>
      <c r="X323" t="str" s="433" cm="1">
        <f t="array" ref="X323">_xlfn.IFERROR(W323*0.5%,"N/A")</f>
        <v>N/A</v>
      </c>
      <c r="Y323" t="str" s="433" cm="1">
        <f t="array" ref="Y323">_xlfn.IFERROR(W323*25%,"N/A")</f>
        <v>N/A</v>
      </c>
      <c r="Z323" t="str" s="436" cm="1">
        <f t="array" ref="Z323">IF(B323&gt;0,SUM(W323:Y323),"N/A")</f>
        <v>N/A</v>
      </c>
      <c r="AA323" t="str" s="436" cm="1">
        <f t="array" ref="AA323">_xlfn.IFERROR((Z323-Z322),"N/A")</f>
        <v>N/A</v>
      </c>
      <c r="AB323" s="435"/>
      <c r="AC323" t="str" s="436" cm="1">
        <f t="array" ref="AC323">IF(B323=6,AVERAGE(Z306:Z311),"N/A")</f>
        <v>N/A</v>
      </c>
      <c r="AD323" s="435"/>
      <c r="AE323" s="434"/>
      <c r="AF323" s="434"/>
      <c r="AG323" s="434"/>
      <c r="AH323" s="434"/>
      <c r="AI323" s="434"/>
      <c r="AJ323" s="434"/>
      <c r="AK323" s="434"/>
      <c r="AL323" s="434"/>
      <c r="AM323" s="434"/>
      <c r="AN323" s="437"/>
    </row>
    <row r="324" ht="15" customHeight="1">
      <c r="A324" s="32"/>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c r="AH324" s="124"/>
      <c r="AI324" s="124"/>
      <c r="AJ324" s="124"/>
      <c r="AK324" s="124"/>
      <c r="AL324" s="124"/>
      <c r="AM324" s="124"/>
      <c r="AN324" s="313"/>
    </row>
    <row r="325" ht="15" customHeight="1">
      <c r="A325" s="32"/>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442"/>
    </row>
    <row r="326" ht="15.5" customHeight="1">
      <c r="A326" s="395">
        <v>16</v>
      </c>
      <c r="B326" t="s" s="396">
        <v>506</v>
      </c>
      <c r="C326" t="s" s="397">
        <v>198</v>
      </c>
      <c r="D326" s="398"/>
      <c r="E326" s="398"/>
      <c r="F326" s="398"/>
      <c r="G326" s="398"/>
      <c r="H326" s="398"/>
      <c r="I326" s="398"/>
      <c r="J326" s="398"/>
      <c r="K326" s="398"/>
      <c r="L326" s="398"/>
      <c r="M326" s="398"/>
      <c r="N326" s="398"/>
      <c r="O326" s="398"/>
      <c r="P326" s="398"/>
      <c r="Q326" s="398"/>
      <c r="R326" s="399"/>
      <c r="S326" s="398"/>
      <c r="T326" s="398"/>
      <c r="U326" s="398"/>
      <c r="V326" s="399"/>
      <c r="W326" s="398"/>
      <c r="X326" s="398"/>
      <c r="Y326" s="398"/>
      <c r="Z326" s="398"/>
      <c r="AA326" s="398"/>
      <c r="AB326" s="399"/>
      <c r="AC326" s="398"/>
      <c r="AD326" s="399"/>
      <c r="AE326" t="s" s="397">
        <v>508</v>
      </c>
      <c r="AF326" s="401" cm="1">
        <f t="array" ref="AF326">AVERAGE(Q329:Q334)</f>
        <v>4451500</v>
      </c>
      <c r="AG326" t="s" s="400">
        <v>509</v>
      </c>
      <c r="AH326" s="401" cm="1">
        <f t="array" ref="AH326">AVERAGE(Q335:Q342)-AF326</f>
        <v>1665583.33333333</v>
      </c>
      <c r="AI326" t="s" s="400">
        <v>510</v>
      </c>
      <c r="AJ326" s="401" cm="1">
        <f t="array" ref="AJ326">AVERAGE(Y329:Y336)</f>
        <v>1954346.16442453</v>
      </c>
      <c r="AK326" t="s" s="397">
        <v>511</v>
      </c>
      <c r="AL326" s="401" cm="1">
        <f t="array" ref="AL326">AVERAGE(W329:W334)</f>
        <v>7551947.15769812</v>
      </c>
      <c r="AM326" t="s" s="400">
        <v>512</v>
      </c>
      <c r="AN326" s="402" cm="1">
        <f t="array" ref="AN326">W329</f>
        <v>7161947.15769812</v>
      </c>
    </row>
    <row r="327" ht="15" customHeight="1">
      <c r="A327" s="12"/>
      <c r="B327" s="403"/>
      <c r="C327" t="s" s="404">
        <v>513</v>
      </c>
      <c r="D327" s="405"/>
      <c r="E327" s="405"/>
      <c r="F327" s="405"/>
      <c r="G327" s="405"/>
      <c r="H327" s="405"/>
      <c r="I327" s="405"/>
      <c r="J327" s="405"/>
      <c r="K327" s="405"/>
      <c r="L327" s="405"/>
      <c r="M327" s="405"/>
      <c r="N327" s="405"/>
      <c r="O327" s="405"/>
      <c r="P327" s="405"/>
      <c r="Q327" s="406"/>
      <c r="R327" s="407"/>
      <c r="S327" t="s" s="404">
        <v>514</v>
      </c>
      <c r="T327" s="405"/>
      <c r="U327" s="406"/>
      <c r="V327" s="407"/>
      <c r="W327" t="s" s="404">
        <v>515</v>
      </c>
      <c r="X327" s="405"/>
      <c r="Y327" s="405"/>
      <c r="Z327" s="405"/>
      <c r="AA327" s="405"/>
      <c r="AB327" s="408"/>
      <c r="AC327" s="443"/>
      <c r="AD327" s="410"/>
      <c r="AE327" s="443"/>
      <c r="AF327" s="443"/>
      <c r="AG327" s="443"/>
      <c r="AH327" s="443"/>
      <c r="AI327" s="443"/>
      <c r="AJ327" s="443"/>
      <c r="AK327" s="443"/>
      <c r="AL327" s="414"/>
      <c r="AM327" s="415"/>
      <c r="AN327" s="414"/>
    </row>
    <row r="328" ht="46.25" customHeight="1">
      <c r="A328" s="187"/>
      <c r="B328" t="s" s="416">
        <v>517</v>
      </c>
      <c r="C328" t="s" s="417">
        <v>518</v>
      </c>
      <c r="D328" t="s" s="417">
        <v>519</v>
      </c>
      <c r="E328" t="s" s="417">
        <v>520</v>
      </c>
      <c r="F328" t="s" s="159">
        <v>521</v>
      </c>
      <c r="G328" t="s" s="159">
        <v>522</v>
      </c>
      <c r="H328" t="s" s="159">
        <v>553</v>
      </c>
      <c r="I328" t="s" s="159">
        <v>524</v>
      </c>
      <c r="J328" t="s" s="159">
        <v>525</v>
      </c>
      <c r="K328" t="s" s="159">
        <v>526</v>
      </c>
      <c r="L328" t="s" s="159">
        <v>527</v>
      </c>
      <c r="M328" t="s" s="159">
        <v>528</v>
      </c>
      <c r="N328" t="s" s="159">
        <v>529</v>
      </c>
      <c r="O328" t="s" s="159">
        <v>530</v>
      </c>
      <c r="P328" t="s" s="159">
        <v>531</v>
      </c>
      <c r="Q328" t="s" s="159">
        <v>532</v>
      </c>
      <c r="R328" s="418"/>
      <c r="S328" t="s" s="159">
        <v>533</v>
      </c>
      <c r="T328" t="s" s="159">
        <v>534</v>
      </c>
      <c r="U328" t="s" s="159">
        <v>535</v>
      </c>
      <c r="V328" s="418"/>
      <c r="W328" t="s" s="159">
        <v>536</v>
      </c>
      <c r="X328" t="s" s="159">
        <v>537</v>
      </c>
      <c r="Y328" t="s" s="159">
        <v>538</v>
      </c>
      <c r="Z328" t="s" s="159">
        <v>539</v>
      </c>
      <c r="AA328" t="s" s="159">
        <v>121</v>
      </c>
      <c r="AB328" s="419"/>
      <c r="AC328" t="s" s="159">
        <v>39</v>
      </c>
      <c r="AD328" s="419"/>
      <c r="AE328" s="77"/>
      <c r="AF328" s="77"/>
      <c r="AG328" s="77"/>
      <c r="AH328" s="77"/>
      <c r="AI328" s="77"/>
      <c r="AJ328" s="77"/>
      <c r="AK328" s="77"/>
      <c r="AL328" s="77"/>
      <c r="AM328" s="77"/>
      <c r="AN328" s="78"/>
    </row>
    <row r="329" ht="15" customHeight="1">
      <c r="A329" s="12"/>
      <c r="B329" s="420">
        <v>1</v>
      </c>
      <c r="C329" s="421" cm="1">
        <f t="array" ref="C329">IF(B329&gt;0,IF(VLOOKUP(C326,'Boats Data Sheet 2026'!$C$3:$J$57,8,0)="N/A",0,VLOOKUP(C326,'Boats Data Sheet 2026'!$C$3:$J$57,8,0)),"N/A")</f>
        <v>2500000</v>
      </c>
      <c r="D329" s="422" cm="1">
        <f t="array" ref="D329">IF(B329&gt;7,2,IF(B329=0,"N/A",1))</f>
        <v>1</v>
      </c>
      <c r="E329" s="421" cm="1">
        <f t="array" ref="E329">_xlfn.IFERROR(SUM('Direct Costs 2026'!$C$4:$C$5)*D329,"N/A")</f>
        <v>875500</v>
      </c>
      <c r="F329" s="423" cm="1">
        <f t="array" ref="F329">_xlfn.IFERROR('Direct Costs 2026'!$C$43*B329,"N/A")</f>
        <v>6000</v>
      </c>
      <c r="G329" s="423" cm="1">
        <f t="array" ref="G329">IF(B329&gt;0,'Direct Costs 2026'!$C$25,"N/A")</f>
        <v>90000</v>
      </c>
      <c r="H329" s="423" cm="1">
        <f t="array" ref="H329">IF(B329&gt;0,'Direct Costs 2026'!$C$15+'Direct Costs 2026'!$C$14,"N/A")</f>
        <v>230000</v>
      </c>
      <c r="I329" s="423">
        <v>0</v>
      </c>
      <c r="J329" s="423">
        <v>0</v>
      </c>
      <c r="K329" s="423" cm="1">
        <f t="array" ref="K329">IF(B329&gt;0,'Direct Costs 2026'!$C$26,"N/A")</f>
        <v>20000</v>
      </c>
      <c r="L329" s="423" cm="1">
        <f t="array" ref="L329">IF(B329&gt;0,'Direct Costs 2026'!$C$23,"N/A")</f>
        <v>140000</v>
      </c>
      <c r="M329" s="423" cm="1">
        <f t="array" ref="M329">IF(B329&gt;0,'Direct Costs 2026'!$C$45*B329,"N/A")</f>
        <v>150000</v>
      </c>
      <c r="N329" t="str" s="431" cm="1">
        <f t="array" ref="N329">IF(B329&gt;0,_xlfn.IFERROR(VLOOKUP(C326,'Boats Data Sheet 2026'!$C$3:$I$57,7,0)*'Direct Costs 2026'!$C$36,"N/A"),"N/A")</f>
        <v>N/A</v>
      </c>
      <c r="O329" t="str" s="431" cm="1">
        <f t="array" ref="O329">IF(B329&gt;0,IF(OR(VLOOKUP(C326,'Boats Data Sheet 2026'!$C$3:$F$57,4,0)="Own",VLOOKUP(C326,'Boats Data Sheet 2026'!$C$3:$F$57,4,0)="Management"),('Direct Costs 2026'!$C$37+'Direct Costs 2026'!$C$39),"N/A"),"N/A")</f>
        <v>N/A</v>
      </c>
      <c r="P329" s="423" cm="1">
        <f t="array" ref="P329">_xlfn.IFERROR('Direct Costs 2026'!$C$27*C329,"N/A")</f>
        <v>50000</v>
      </c>
      <c r="Q329" s="423" cm="1">
        <f t="array" ref="Q329">_xlfn.IFERROR(C329+SUM(E329:P329),"N/A")</f>
        <v>4061500</v>
      </c>
      <c r="R329" s="424"/>
      <c r="S329" s="423" cm="1">
        <f t="array" ref="S329">IF(B329&gt;0,'Allocation OH and Target 2026'!$E$31,"N/A")</f>
        <v>3100447.15769812</v>
      </c>
      <c r="T329" s="423" cm="1">
        <f t="array" ref="T329">IF(B329&gt;0,VLOOKUP(C326,'Allocation OH and Target 2026'!$C$35:$S$87,16,0),"N/A")</f>
        <v>0</v>
      </c>
      <c r="U329" s="423" cm="1">
        <f t="array" ref="U329">_xlfn.IFERROR((S329+T329),"N/A")</f>
        <v>3100447.15769812</v>
      </c>
      <c r="V329" s="424"/>
      <c r="W329" s="423" cm="1">
        <f t="array" ref="W329">_xlfn.IFERROR(U329+Q329,"N/A")</f>
        <v>7161947.15769812</v>
      </c>
      <c r="X329" s="423" cm="1">
        <f t="array" ref="X329">_xlfn.IFERROR(W329*0.5%,"N/A")</f>
        <v>35809.7357884906</v>
      </c>
      <c r="Y329" s="423" cm="1">
        <f t="array" ref="Y329">_xlfn.IFERROR(W329*25%,"N/A")</f>
        <v>1790486.78942453</v>
      </c>
      <c r="Z329" s="425" cm="1">
        <f t="array" ref="Z329">IF(B329&gt;0,SUM(W329:Y329),"N/A")</f>
        <v>8988243.682911141</v>
      </c>
      <c r="AA329" s="425">
        <v>0</v>
      </c>
      <c r="AB329" s="424"/>
      <c r="AC329" t="str" s="426" cm="1">
        <f t="array" ref="AC329">IF(B329=6,AVERAGE(Z329:Z334),"N/A")</f>
        <v>N/A</v>
      </c>
      <c r="AD329" s="424"/>
      <c r="AE329" s="423"/>
      <c r="AF329" s="423"/>
      <c r="AG329" s="423"/>
      <c r="AH329" s="423"/>
      <c r="AI329" s="423"/>
      <c r="AJ329" s="423"/>
      <c r="AK329" s="423"/>
      <c r="AL329" s="423"/>
      <c r="AM329" s="423"/>
      <c r="AN329" s="427"/>
    </row>
    <row r="330" ht="15" customHeight="1">
      <c r="A330" s="12"/>
      <c r="B330" s="428" cm="1">
        <f t="array" ref="B330">IF(B329=0,0,IF(B329&lt;VLOOKUP(C326,'Boats Data Sheet 2026'!$C$3:$H$57,6,0),B329+1,0))</f>
        <v>2</v>
      </c>
      <c r="C330" s="423" cm="1">
        <f t="array" ref="C330">IF(B330&gt;0,IF(VLOOKUP(C326,'Boats Data Sheet 2026'!$C$3:$J$57,8,0)="N/A",0,VLOOKUP(C326,'Boats Data Sheet 2026'!$C$3:$J$57,8,0)),"N/A")</f>
        <v>2500000</v>
      </c>
      <c r="D330" s="429" cm="1">
        <f t="array" ref="D330">IF(B330&gt;7,2,IF(B330=0,"N/A",1))</f>
        <v>1</v>
      </c>
      <c r="E330" s="423" cm="1">
        <f t="array" ref="E330">_xlfn.IFERROR(SUM('Direct Costs 2026'!$C$4:$C$5)*D330,"N/A")</f>
        <v>875500</v>
      </c>
      <c r="F330" s="423" cm="1">
        <f t="array" ref="F330">_xlfn.IFERROR('Direct Costs 2026'!$C$43*B330,"N/A")</f>
        <v>12000</v>
      </c>
      <c r="G330" s="423" cm="1">
        <f t="array" ref="G330">IF(B330&gt;0,'Direct Costs 2026'!$C$25,"N/A")</f>
        <v>90000</v>
      </c>
      <c r="H330" s="423" cm="1">
        <f t="array" ref="H330">IF(B330&gt;0,'Direct Costs 2026'!$C$15+'Direct Costs 2026'!$C$14,"N/A")</f>
        <v>230000</v>
      </c>
      <c r="I330" s="423">
        <v>0</v>
      </c>
      <c r="J330" s="423">
        <v>0</v>
      </c>
      <c r="K330" s="423" cm="1">
        <f t="array" ref="K330">IF(B330&gt;0,'Direct Costs 2026'!$C$26,"N/A")</f>
        <v>20000</v>
      </c>
      <c r="L330" s="423" cm="1">
        <f t="array" ref="L330">IF(B330&gt;0,'Direct Costs 2026'!$C$23,"N/A")</f>
        <v>140000</v>
      </c>
      <c r="M330" s="423" cm="1">
        <f t="array" ref="M330">IF(B330&gt;0,'Direct Costs 2026'!$C$45*B330,"N/A")</f>
        <v>300000</v>
      </c>
      <c r="N330" t="str" s="431" cm="1">
        <f t="array" ref="N330">IF(B330&gt;0,_xlfn.IFERROR(VLOOKUP(C326,'Boats Data Sheet 2026'!$C$3:$I$57,7,0)*'Direct Costs 2026'!$C$36,"N/A"),"N/A")</f>
        <v>N/A</v>
      </c>
      <c r="O330" t="str" s="431" cm="1">
        <f t="array" ref="O330">IF(B330&gt;0,IF(OR(VLOOKUP(C326,'Boats Data Sheet 2026'!$C$3:$F$57,4,0)="Own",VLOOKUP(C326,'Boats Data Sheet 2026'!$C$3:$F$57,4,0)="Management"),('Direct Costs 2026'!$C$37+'Direct Costs 2026'!$C$39),"N/A"),"N/A")</f>
        <v>N/A</v>
      </c>
      <c r="P330" s="423" cm="1">
        <f t="array" ref="P330">_xlfn.IFERROR('Direct Costs 2026'!$C$27*C330,"N/A")</f>
        <v>50000</v>
      </c>
      <c r="Q330" s="423" cm="1">
        <f t="array" ref="Q330">_xlfn.IFERROR(C330+SUM(E330:P330),"N/A")</f>
        <v>4217500</v>
      </c>
      <c r="R330" s="424"/>
      <c r="S330" s="423" cm="1">
        <f t="array" ref="S330">IF(B330&gt;0,'Allocation OH and Target 2026'!$E$31,"N/A")</f>
        <v>3100447.15769812</v>
      </c>
      <c r="T330" s="423" cm="1">
        <f t="array" ref="T330">IF(B330&gt;0,VLOOKUP(C326,'Allocation OH and Target 2026'!$C$35:$S$87,16,0),"N/A")</f>
        <v>0</v>
      </c>
      <c r="U330" s="423" cm="1">
        <f t="array" ref="U330">_xlfn.IFERROR((S330+T330),"N/A")</f>
        <v>3100447.15769812</v>
      </c>
      <c r="V330" s="424"/>
      <c r="W330" s="423" cm="1">
        <f t="array" ref="W330">_xlfn.IFERROR(U330+Q330,"N/A")</f>
        <v>7317947.15769812</v>
      </c>
      <c r="X330" s="423" cm="1">
        <f t="array" ref="X330">_xlfn.IFERROR(W330*0.5%,"N/A")</f>
        <v>36589.7357884906</v>
      </c>
      <c r="Y330" s="423" cm="1">
        <f t="array" ref="Y330">_xlfn.IFERROR(W330*25%,"N/A")</f>
        <v>1829486.78942453</v>
      </c>
      <c r="Z330" s="425" cm="1">
        <f t="array" ref="Z330">IF(B330&gt;0,SUM(W330:Y330),"N/A")</f>
        <v>9184023.682911141</v>
      </c>
      <c r="AA330" s="425" cm="1">
        <f t="array" ref="AA330">_xlfn.IFERROR((Z330-Z329),"N/A")</f>
        <v>195780</v>
      </c>
      <c r="AB330" s="424"/>
      <c r="AC330" t="str" s="426" cm="1">
        <f t="array" ref="AC330">IF(B330=6,AVERAGE(Z329:Z334),"N/A")</f>
        <v>N/A</v>
      </c>
      <c r="AD330" s="424"/>
      <c r="AE330" s="423"/>
      <c r="AF330" s="423"/>
      <c r="AG330" s="423"/>
      <c r="AH330" s="423"/>
      <c r="AI330" s="423"/>
      <c r="AJ330" s="423"/>
      <c r="AK330" s="423"/>
      <c r="AL330" s="423"/>
      <c r="AM330" s="423"/>
      <c r="AN330" s="427"/>
    </row>
    <row r="331" ht="15" customHeight="1">
      <c r="A331" s="12"/>
      <c r="B331" s="428" cm="1">
        <f t="array" ref="B331">IF(B330=0,0,IF(B330&lt;VLOOKUP(C326,'Boats Data Sheet 2026'!$C$3:$H$57,6,0),B330+1,0))</f>
        <v>3</v>
      </c>
      <c r="C331" s="423" cm="1">
        <f t="array" ref="C331">IF(B331&gt;0,IF(VLOOKUP(C326,'Boats Data Sheet 2026'!$C$3:$J$57,8,0)="N/A",0,VLOOKUP(C326,'Boats Data Sheet 2026'!$C$3:$J$57,8,0)),"N/A")</f>
        <v>2500000</v>
      </c>
      <c r="D331" s="429" cm="1">
        <f t="array" ref="D331">IF(B331&gt;7,2,IF(B331=0,"N/A",1))</f>
        <v>1</v>
      </c>
      <c r="E331" s="423" cm="1">
        <f t="array" ref="E331">_xlfn.IFERROR(SUM('Direct Costs 2026'!$C$4:$C$5)*D331,"N/A")</f>
        <v>875500</v>
      </c>
      <c r="F331" s="423" cm="1">
        <f t="array" ref="F331">_xlfn.IFERROR('Direct Costs 2026'!$C$43*B331,"N/A")</f>
        <v>18000</v>
      </c>
      <c r="G331" s="423" cm="1">
        <f t="array" ref="G331">IF(B331&gt;0,'Direct Costs 2026'!$C$25,"N/A")</f>
        <v>90000</v>
      </c>
      <c r="H331" s="423" cm="1">
        <f t="array" ref="H331">IF(B331&gt;0,'Direct Costs 2026'!$C$15+'Direct Costs 2026'!$C$14,"N/A")</f>
        <v>230000</v>
      </c>
      <c r="I331" s="423">
        <v>0</v>
      </c>
      <c r="J331" s="423">
        <v>0</v>
      </c>
      <c r="K331" s="423" cm="1">
        <f t="array" ref="K331">IF(B331&gt;0,'Direct Costs 2026'!$C$26,"N/A")</f>
        <v>20000</v>
      </c>
      <c r="L331" s="423" cm="1">
        <f t="array" ref="L331">IF(B331&gt;0,'Direct Costs 2026'!$C$23,"N/A")</f>
        <v>140000</v>
      </c>
      <c r="M331" s="423" cm="1">
        <f t="array" ref="M331">IF(B331&gt;0,'Direct Costs 2026'!$C$45*B331,"N/A")</f>
        <v>450000</v>
      </c>
      <c r="N331" t="str" s="431" cm="1">
        <f t="array" ref="N331">IF(B331&gt;0,_xlfn.IFERROR(VLOOKUP(C326,'Boats Data Sheet 2026'!$C$3:$I$57,7,0)*'Direct Costs 2026'!$C$36,"N/A"),"N/A")</f>
        <v>N/A</v>
      </c>
      <c r="O331" t="str" s="431" cm="1">
        <f t="array" ref="O331">IF(B331&gt;0,IF(OR(VLOOKUP(C326,'Boats Data Sheet 2026'!$C$3:$F$57,4,0)="Own",VLOOKUP(C326,'Boats Data Sheet 2026'!$C$3:$F$57,4,0)="Management"),('Direct Costs 2026'!$C$37+'Direct Costs 2026'!$C$39),"N/A"),"N/A")</f>
        <v>N/A</v>
      </c>
      <c r="P331" s="423" cm="1">
        <f t="array" ref="P331">_xlfn.IFERROR('Direct Costs 2026'!$C$27*C331,"N/A")</f>
        <v>50000</v>
      </c>
      <c r="Q331" s="423" cm="1">
        <f t="array" ref="Q331">_xlfn.IFERROR(C331+SUM(E331:P331),"N/A")</f>
        <v>4373500</v>
      </c>
      <c r="R331" s="424"/>
      <c r="S331" s="423" cm="1">
        <f t="array" ref="S331">IF(B331&gt;0,'Allocation OH and Target 2026'!$E$31,"N/A")</f>
        <v>3100447.15769812</v>
      </c>
      <c r="T331" s="423" cm="1">
        <f t="array" ref="T331">IF(B331&gt;0,VLOOKUP(C326,'Allocation OH and Target 2026'!$C$35:$S$87,16,0),"N/A")</f>
        <v>0</v>
      </c>
      <c r="U331" s="423" cm="1">
        <f t="array" ref="U331">_xlfn.IFERROR((S331+T331),"N/A")</f>
        <v>3100447.15769812</v>
      </c>
      <c r="V331" s="424"/>
      <c r="W331" s="423" cm="1">
        <f t="array" ref="W331">_xlfn.IFERROR(U331+Q331,"N/A")</f>
        <v>7473947.15769812</v>
      </c>
      <c r="X331" s="423" cm="1">
        <f t="array" ref="X331">_xlfn.IFERROR(W331*0.5%,"N/A")</f>
        <v>37369.7357884906</v>
      </c>
      <c r="Y331" s="423" cm="1">
        <f t="array" ref="Y331">_xlfn.IFERROR(W331*25%,"N/A")</f>
        <v>1868486.78942453</v>
      </c>
      <c r="Z331" s="425" cm="1">
        <f t="array" ref="Z331">IF(B331&gt;0,SUM(W331:Y331),"N/A")</f>
        <v>9379803.682911141</v>
      </c>
      <c r="AA331" s="425" cm="1">
        <f t="array" ref="AA331">_xlfn.IFERROR((Z331-Z330),"N/A")</f>
        <v>195780</v>
      </c>
      <c r="AB331" s="424"/>
      <c r="AC331" t="str" s="426" cm="1">
        <f t="array" ref="AC331">IF(B331=6,AVERAGE(Z329:Z334),"N/A")</f>
        <v>N/A</v>
      </c>
      <c r="AD331" s="424"/>
      <c r="AE331" s="423"/>
      <c r="AF331" s="423"/>
      <c r="AG331" s="423"/>
      <c r="AH331" s="423"/>
      <c r="AI331" s="423"/>
      <c r="AJ331" s="423"/>
      <c r="AK331" s="423"/>
      <c r="AL331" s="423"/>
      <c r="AM331" s="423"/>
      <c r="AN331" s="427"/>
    </row>
    <row r="332" ht="15" customHeight="1">
      <c r="A332" s="12"/>
      <c r="B332" s="428" cm="1">
        <f t="array" ref="B332">IF(B331=0,0,IF(B331&lt;VLOOKUP(C326,'Boats Data Sheet 2026'!$C$3:$H$57,6,0),B331+1,0))</f>
        <v>4</v>
      </c>
      <c r="C332" s="423" cm="1">
        <f t="array" ref="C332">IF(B332&gt;0,IF(VLOOKUP(C326,'Boats Data Sheet 2026'!$C$3:$J$57,8,0)="N/A",0,VLOOKUP(C326,'Boats Data Sheet 2026'!$C$3:$J$57,8,0)),"N/A")</f>
        <v>2500000</v>
      </c>
      <c r="D332" s="429" cm="1">
        <f t="array" ref="D332">IF(B332&gt;7,2,IF(B332=0,"N/A",1))</f>
        <v>1</v>
      </c>
      <c r="E332" s="423" cm="1">
        <f t="array" ref="E332">_xlfn.IFERROR(SUM('Direct Costs 2026'!$C$4:$C$5)*D332,"N/A")</f>
        <v>875500</v>
      </c>
      <c r="F332" s="423" cm="1">
        <f t="array" ref="F332">_xlfn.IFERROR('Direct Costs 2026'!$C$43*B332,"N/A")</f>
        <v>24000</v>
      </c>
      <c r="G332" s="423" cm="1">
        <f t="array" ref="G332">IF(B332&gt;0,'Direct Costs 2026'!$C$25,"N/A")</f>
        <v>90000</v>
      </c>
      <c r="H332" s="423" cm="1">
        <f t="array" ref="H332">IF(B332&gt;0,'Direct Costs 2026'!$C$15+'Direct Costs 2026'!$C$14,"N/A")</f>
        <v>230000</v>
      </c>
      <c r="I332" s="423">
        <v>0</v>
      </c>
      <c r="J332" s="423">
        <v>0</v>
      </c>
      <c r="K332" s="423" cm="1">
        <f t="array" ref="K332">IF(B332&gt;0,'Direct Costs 2026'!$C$26,"N/A")</f>
        <v>20000</v>
      </c>
      <c r="L332" s="423" cm="1">
        <f t="array" ref="L332">IF(B332&gt;0,'Direct Costs 2026'!$C$23,"N/A")</f>
        <v>140000</v>
      </c>
      <c r="M332" s="423" cm="1">
        <f t="array" ref="M332">IF(B332&gt;0,'Direct Costs 2026'!$C$45*B332,"N/A")</f>
        <v>600000</v>
      </c>
      <c r="N332" t="str" s="431" cm="1">
        <f t="array" ref="N332">IF(B332&gt;0,_xlfn.IFERROR(VLOOKUP(C326,'Boats Data Sheet 2026'!$C$3:$I$57,7,0)*'Direct Costs 2026'!$C$36,"N/A"),"N/A")</f>
        <v>N/A</v>
      </c>
      <c r="O332" t="str" s="431" cm="1">
        <f t="array" ref="O332">IF(B332&gt;0,IF(OR(VLOOKUP(C326,'Boats Data Sheet 2026'!$C$3:$F$57,4,0)="Own",VLOOKUP(C326,'Boats Data Sheet 2026'!$C$3:$F$57,4,0)="Management"),('Direct Costs 2026'!$C$37+'Direct Costs 2026'!$C$39),"N/A"),"N/A")</f>
        <v>N/A</v>
      </c>
      <c r="P332" s="423" cm="1">
        <f t="array" ref="P332">_xlfn.IFERROR('Direct Costs 2026'!$C$27*C332,"N/A")</f>
        <v>50000</v>
      </c>
      <c r="Q332" s="423" cm="1">
        <f t="array" ref="Q332">_xlfn.IFERROR(C332+SUM(E332:P332),"N/A")</f>
        <v>4529500</v>
      </c>
      <c r="R332" s="424"/>
      <c r="S332" s="423" cm="1">
        <f t="array" ref="S332">IF(B332&gt;0,'Allocation OH and Target 2026'!$E$31,"N/A")</f>
        <v>3100447.15769812</v>
      </c>
      <c r="T332" s="423" cm="1">
        <f t="array" ref="T332">IF(B332&gt;0,VLOOKUP(C326,'Allocation OH and Target 2026'!$C$35:$S$87,16,0),"N/A")</f>
        <v>0</v>
      </c>
      <c r="U332" s="423" cm="1">
        <f t="array" ref="U332">_xlfn.IFERROR((S332+T332),"N/A")</f>
        <v>3100447.15769812</v>
      </c>
      <c r="V332" s="424"/>
      <c r="W332" s="423" cm="1">
        <f t="array" ref="W332">_xlfn.IFERROR(U332+Q332,"N/A")</f>
        <v>7629947.15769812</v>
      </c>
      <c r="X332" s="423" cm="1">
        <f t="array" ref="X332">_xlfn.IFERROR(W332*0.5%,"N/A")</f>
        <v>38149.7357884906</v>
      </c>
      <c r="Y332" s="423" cm="1">
        <f t="array" ref="Y332">_xlfn.IFERROR(W332*25%,"N/A")</f>
        <v>1907486.78942453</v>
      </c>
      <c r="Z332" s="425" cm="1">
        <f t="array" ref="Z332">IF(B332&gt;0,SUM(W332:Y332),"N/A")</f>
        <v>9575583.682911141</v>
      </c>
      <c r="AA332" s="425" cm="1">
        <f t="array" ref="AA332">_xlfn.IFERROR((Z332-Z331),"N/A")</f>
        <v>195780</v>
      </c>
      <c r="AB332" s="424"/>
      <c r="AC332" t="str" s="426" cm="1">
        <f t="array" ref="AC332">IF(B332=6,AVERAGE(Z329:Z334),"N/A")</f>
        <v>N/A</v>
      </c>
      <c r="AD332" s="424"/>
      <c r="AE332" s="423"/>
      <c r="AF332" s="423"/>
      <c r="AG332" s="423"/>
      <c r="AH332" s="423"/>
      <c r="AI332" s="423"/>
      <c r="AJ332" s="423"/>
      <c r="AK332" s="423"/>
      <c r="AL332" s="423"/>
      <c r="AM332" s="423"/>
      <c r="AN332" s="427"/>
    </row>
    <row r="333" ht="15" customHeight="1">
      <c r="A333" s="12"/>
      <c r="B333" s="428" cm="1">
        <f t="array" ref="B333">IF(B332=0,0,IF(B332&lt;VLOOKUP(C326,'Boats Data Sheet 2026'!$C$3:$H$57,6,0),B332+1,0))</f>
        <v>5</v>
      </c>
      <c r="C333" s="423" cm="1">
        <f t="array" ref="C333">IF(B333&gt;0,IF(VLOOKUP(C326,'Boats Data Sheet 2026'!$C$3:$J$57,8,0)="N/A",0,VLOOKUP(C326,'Boats Data Sheet 2026'!$C$3:$J$57,8,0)),"N/A")</f>
        <v>2500000</v>
      </c>
      <c r="D333" s="429" cm="1">
        <f t="array" ref="D333">IF(B333&gt;7,2,IF(B333=0,"N/A",1))</f>
        <v>1</v>
      </c>
      <c r="E333" s="423" cm="1">
        <f t="array" ref="E333">_xlfn.IFERROR(SUM('Direct Costs 2026'!$C$4:$C$5)*D333,"N/A")</f>
        <v>875500</v>
      </c>
      <c r="F333" s="423" cm="1">
        <f t="array" ref="F333">_xlfn.IFERROR('Direct Costs 2026'!$C$43*B333,"N/A")</f>
        <v>30000</v>
      </c>
      <c r="G333" s="423" cm="1">
        <f t="array" ref="G333">IF(B333&gt;0,'Direct Costs 2026'!$C$25,"N/A")</f>
        <v>90000</v>
      </c>
      <c r="H333" s="423" cm="1">
        <f t="array" ref="H333">IF(B333&gt;0,'Direct Costs 2026'!$C$15+'Direct Costs 2026'!$C$14,"N/A")</f>
        <v>230000</v>
      </c>
      <c r="I333" s="423">
        <v>0</v>
      </c>
      <c r="J333" s="423">
        <v>0</v>
      </c>
      <c r="K333" s="423" cm="1">
        <f t="array" ref="K333">IF(B333&gt;0,'Direct Costs 2026'!$C$26,"N/A")</f>
        <v>20000</v>
      </c>
      <c r="L333" s="423" cm="1">
        <f t="array" ref="L333">IF(B333&gt;0,'Direct Costs 2026'!$C$23,"N/A")</f>
        <v>140000</v>
      </c>
      <c r="M333" s="423" cm="1">
        <f t="array" ref="M333">IF(B333&gt;0,'Direct Costs 2026'!$C$45*B333,"N/A")</f>
        <v>750000</v>
      </c>
      <c r="N333" t="str" s="431" cm="1">
        <f t="array" ref="N333">IF(B333&gt;0,_xlfn.IFERROR(VLOOKUP(C326,'Boats Data Sheet 2026'!$C$3:$I$57,7,0)*'Direct Costs 2026'!$C$36,"N/A"),"N/A")</f>
        <v>N/A</v>
      </c>
      <c r="O333" t="str" s="431" cm="1">
        <f t="array" ref="O333">IF(B333&gt;0,IF(OR(VLOOKUP(C326,'Boats Data Sheet 2026'!$C$3:$F$57,4,0)="Own",VLOOKUP(C326,'Boats Data Sheet 2026'!$C$3:$F$57,4,0)="Management"),('Direct Costs 2026'!$C$37+'Direct Costs 2026'!$C$39),"N/A"),"N/A")</f>
        <v>N/A</v>
      </c>
      <c r="P333" s="423" cm="1">
        <f t="array" ref="P333">_xlfn.IFERROR('Direct Costs 2026'!$C$27*C333,"N/A")</f>
        <v>50000</v>
      </c>
      <c r="Q333" s="423" cm="1">
        <f t="array" ref="Q333">_xlfn.IFERROR(C333+SUM(E333:P333),"N/A")</f>
        <v>4685500</v>
      </c>
      <c r="R333" s="424"/>
      <c r="S333" s="423" cm="1">
        <f t="array" ref="S333">IF(B333&gt;0,'Allocation OH and Target 2026'!$E$31,"N/A")</f>
        <v>3100447.15769812</v>
      </c>
      <c r="T333" s="423" cm="1">
        <f t="array" ref="T333">IF(B333&gt;0,VLOOKUP(C326,'Allocation OH and Target 2026'!$C$35:$S$87,16,0),"N/A")</f>
        <v>0</v>
      </c>
      <c r="U333" s="423" cm="1">
        <f t="array" ref="U333">_xlfn.IFERROR((S333+T333),"N/A")</f>
        <v>3100447.15769812</v>
      </c>
      <c r="V333" s="424"/>
      <c r="W333" s="423" cm="1">
        <f t="array" ref="W333">_xlfn.IFERROR(U333+Q333,"N/A")</f>
        <v>7785947.15769812</v>
      </c>
      <c r="X333" s="423" cm="1">
        <f t="array" ref="X333">_xlfn.IFERROR(W333*0.5%,"N/A")</f>
        <v>38929.7357884906</v>
      </c>
      <c r="Y333" s="423" cm="1">
        <f t="array" ref="Y333">_xlfn.IFERROR(W333*25%,"N/A")</f>
        <v>1946486.78942453</v>
      </c>
      <c r="Z333" s="425" cm="1">
        <f t="array" ref="Z333">IF(B333&gt;0,SUM(W333:Y333),"N/A")</f>
        <v>9771363.682911141</v>
      </c>
      <c r="AA333" s="425" cm="1">
        <f t="array" ref="AA333">_xlfn.IFERROR((Z333-Z332),"N/A")</f>
        <v>195780</v>
      </c>
      <c r="AB333" s="424"/>
      <c r="AC333" t="str" s="426" cm="1">
        <f t="array" ref="AC333">IF(B333=6,AVERAGE(Z329:Z334),"N/A")</f>
        <v>N/A</v>
      </c>
      <c r="AD333" s="424"/>
      <c r="AE333" s="423"/>
      <c r="AF333" s="423"/>
      <c r="AG333" s="423"/>
      <c r="AH333" s="423"/>
      <c r="AI333" s="423"/>
      <c r="AJ333" s="423"/>
      <c r="AK333" s="423"/>
      <c r="AL333" s="423"/>
      <c r="AM333" s="423"/>
      <c r="AN333" s="427"/>
    </row>
    <row r="334" ht="15" customHeight="1">
      <c r="A334" s="12"/>
      <c r="B334" s="428" cm="1">
        <f t="array" ref="B334">IF(B333=0,0,IF(B333&lt;VLOOKUP(C326,'Boats Data Sheet 2026'!$C$3:$H$57,6,0),B333+1,0))</f>
        <v>6</v>
      </c>
      <c r="C334" s="423" cm="1">
        <f t="array" ref="C334">IF(B334&gt;0,IF(VLOOKUP(C326,'Boats Data Sheet 2026'!$C$3:$J$57,8,0)="N/A",0,VLOOKUP(C326,'Boats Data Sheet 2026'!$C$3:$J$57,8,0)),"N/A")</f>
        <v>2500000</v>
      </c>
      <c r="D334" s="429" cm="1">
        <f t="array" ref="D334">IF(B334&gt;7,2,IF(B334=0,"N/A",1))</f>
        <v>1</v>
      </c>
      <c r="E334" s="423" cm="1">
        <f t="array" ref="E334">_xlfn.IFERROR(SUM('Direct Costs 2026'!$C$4:$C$5)*D334,"N/A")</f>
        <v>875500</v>
      </c>
      <c r="F334" s="423" cm="1">
        <f t="array" ref="F334">_xlfn.IFERROR('Direct Costs 2026'!$C$43*B334,"N/A")</f>
        <v>36000</v>
      </c>
      <c r="G334" s="423" cm="1">
        <f t="array" ref="G334">IF(B334&gt;0,'Direct Costs 2026'!$C$25,"N/A")</f>
        <v>90000</v>
      </c>
      <c r="H334" s="423" cm="1">
        <f t="array" ref="H334">IF(B334&gt;0,'Direct Costs 2026'!$C$15+'Direct Costs 2026'!$C$14,"N/A")</f>
        <v>230000</v>
      </c>
      <c r="I334" s="423">
        <v>0</v>
      </c>
      <c r="J334" s="423">
        <v>0</v>
      </c>
      <c r="K334" s="423" cm="1">
        <f t="array" ref="K334">IF(B334&gt;0,'Direct Costs 2026'!$C$26,"N/A")</f>
        <v>20000</v>
      </c>
      <c r="L334" s="423" cm="1">
        <f t="array" ref="L334">IF(B334&gt;0,'Direct Costs 2026'!$C$23,"N/A")</f>
        <v>140000</v>
      </c>
      <c r="M334" s="423" cm="1">
        <f t="array" ref="M334">IF(B334&gt;0,'Direct Costs 2026'!$C$45*B334,"N/A")</f>
        <v>900000</v>
      </c>
      <c r="N334" t="str" s="431" cm="1">
        <f t="array" ref="N334">IF(B334&gt;0,_xlfn.IFERROR(VLOOKUP(C326,'Boats Data Sheet 2026'!$C$3:$I$57,7,0)*'Direct Costs 2026'!$C$36,"N/A"),"N/A")</f>
        <v>N/A</v>
      </c>
      <c r="O334" t="str" s="431" cm="1">
        <f t="array" ref="O334">IF(B334&gt;0,IF(OR(VLOOKUP(C326,'Boats Data Sheet 2026'!$C$3:$F$57,4,0)="Own",VLOOKUP(C326,'Boats Data Sheet 2026'!$C$3:$F$57,4,0)="Management"),('Direct Costs 2026'!$C$37+'Direct Costs 2026'!$C$39),"N/A"),"N/A")</f>
        <v>N/A</v>
      </c>
      <c r="P334" s="423" cm="1">
        <f t="array" ref="P334">_xlfn.IFERROR('Direct Costs 2026'!$C$27*C334,"N/A")</f>
        <v>50000</v>
      </c>
      <c r="Q334" s="423" cm="1">
        <f t="array" ref="Q334">_xlfn.IFERROR(C334+SUM(E334:P334),"N/A")</f>
        <v>4841500</v>
      </c>
      <c r="R334" s="424"/>
      <c r="S334" s="423" cm="1">
        <f t="array" ref="S334">IF(B334&gt;0,'Allocation OH and Target 2026'!$E$31,"N/A")</f>
        <v>3100447.15769812</v>
      </c>
      <c r="T334" s="423" cm="1">
        <f t="array" ref="T334">IF(B334&gt;0,VLOOKUP(C326,'Allocation OH and Target 2026'!$C$35:$S$87,16,0),"N/A")</f>
        <v>0</v>
      </c>
      <c r="U334" s="423" cm="1">
        <f t="array" ref="U334">_xlfn.IFERROR((S334+T334),"N/A")</f>
        <v>3100447.15769812</v>
      </c>
      <c r="V334" s="424"/>
      <c r="W334" s="423" cm="1">
        <f t="array" ref="W334">_xlfn.IFERROR(U334+Q334,"N/A")</f>
        <v>7941947.15769812</v>
      </c>
      <c r="X334" s="423" cm="1">
        <f t="array" ref="X334">_xlfn.IFERROR(W334*0.5%,"N/A")</f>
        <v>39709.7357884906</v>
      </c>
      <c r="Y334" s="423" cm="1">
        <f t="array" ref="Y334">_xlfn.IFERROR(W334*25%,"N/A")</f>
        <v>1985486.78942453</v>
      </c>
      <c r="Z334" s="425" cm="1">
        <f t="array" ref="Z334">IF(B334&gt;0,SUM(W334:Y334),"N/A")</f>
        <v>9967143.682911141</v>
      </c>
      <c r="AA334" s="425" cm="1">
        <f t="array" ref="AA334">_xlfn.IFERROR((Z334-Z333),"N/A")</f>
        <v>195780</v>
      </c>
      <c r="AB334" s="424"/>
      <c r="AC334" s="425" cm="1">
        <f t="array" ref="AC334">IF(B334=6,AVERAGE(Z329:Z334),"N/A")</f>
        <v>9477693.682911141</v>
      </c>
      <c r="AD334" s="424"/>
      <c r="AE334" s="423"/>
      <c r="AF334" s="423"/>
      <c r="AG334" s="423"/>
      <c r="AH334" s="423"/>
      <c r="AI334" s="423"/>
      <c r="AJ334" s="423"/>
      <c r="AK334" s="423"/>
      <c r="AL334" s="423"/>
      <c r="AM334" s="423"/>
      <c r="AN334" s="427"/>
    </row>
    <row r="335" ht="15" customHeight="1">
      <c r="A335" s="12"/>
      <c r="B335" s="428" cm="1">
        <f t="array" ref="B335">IF(B334=0,0,IF(B334&lt;VLOOKUP(C326,'Boats Data Sheet 2026'!$C$3:$H$57,6,0),B334+1,0))</f>
        <v>7</v>
      </c>
      <c r="C335" s="423" cm="1">
        <f t="array" ref="C335">IF(B335&gt;0,IF(VLOOKUP(C326,'Boats Data Sheet 2026'!$C$3:$J$57,8,0)="N/A",0,VLOOKUP(C326,'Boats Data Sheet 2026'!$C$3:$J$57,8,0)),"N/A")</f>
        <v>2500000</v>
      </c>
      <c r="D335" s="429" cm="1">
        <f t="array" ref="D335">IF(B335&gt;7,2,IF(B335=0,"N/A",1))</f>
        <v>1</v>
      </c>
      <c r="E335" s="423" cm="1">
        <f t="array" ref="E335">_xlfn.IFERROR(SUM('Direct Costs 2026'!$C$4:$C$5)*D335,"N/A")</f>
        <v>875500</v>
      </c>
      <c r="F335" s="423" cm="1">
        <f t="array" ref="F335">_xlfn.IFERROR('Direct Costs 2026'!$C$43*B335,"N/A")</f>
        <v>42000</v>
      </c>
      <c r="G335" s="423" cm="1">
        <f t="array" ref="G335">IF(B335&gt;0,'Direct Costs 2026'!$C$25,"N/A")</f>
        <v>90000</v>
      </c>
      <c r="H335" s="423" cm="1">
        <f t="array" ref="H335">IF(B335&gt;0,'Direct Costs 2026'!$C$15+'Direct Costs 2026'!$C$14,"N/A")</f>
        <v>230000</v>
      </c>
      <c r="I335" s="423">
        <v>0</v>
      </c>
      <c r="J335" s="423">
        <v>0</v>
      </c>
      <c r="K335" s="423" cm="1">
        <f t="array" ref="K335">IF(B335&gt;0,'Direct Costs 2026'!$C$26,"N/A")</f>
        <v>20000</v>
      </c>
      <c r="L335" s="423" cm="1">
        <f t="array" ref="L335">IF(B335&gt;0,'Direct Costs 2026'!$C$23,"N/A")</f>
        <v>140000</v>
      </c>
      <c r="M335" s="423" cm="1">
        <f t="array" ref="M335">IF(B335&gt;0,'Direct Costs 2026'!$C$45*B335,"N/A")</f>
        <v>1050000</v>
      </c>
      <c r="N335" t="str" s="431" cm="1">
        <f t="array" ref="N335">IF(B335&gt;0,_xlfn.IFERROR(VLOOKUP(C326,'Boats Data Sheet 2026'!$C$3:$I$57,7,0)*'Direct Costs 2026'!$C$36,"N/A"),"N/A")</f>
        <v>N/A</v>
      </c>
      <c r="O335" t="str" s="431" cm="1">
        <f t="array" ref="O335">IF(B335&gt;0,IF(OR(VLOOKUP(C326,'Boats Data Sheet 2026'!$C$3:$F$57,4,0)="Own",VLOOKUP(C326,'Boats Data Sheet 2026'!$C$3:$F$57,4,0)="Management"),('Direct Costs 2026'!$C$37+'Direct Costs 2026'!$C$39),"N/A"),"N/A")</f>
        <v>N/A</v>
      </c>
      <c r="P335" s="423" cm="1">
        <f t="array" ref="P335">_xlfn.IFERROR('Direct Costs 2026'!$C$27*C335,"N/A")</f>
        <v>50000</v>
      </c>
      <c r="Q335" s="423" cm="1">
        <f t="array" ref="Q335">_xlfn.IFERROR(C335+SUM(E335:P335),"N/A")</f>
        <v>4997500</v>
      </c>
      <c r="R335" s="424"/>
      <c r="S335" s="423" cm="1">
        <f t="array" ref="S335">IF(B335&gt;0,'Allocation OH and Target 2026'!$E$31,"N/A")</f>
        <v>3100447.15769812</v>
      </c>
      <c r="T335" s="423" cm="1">
        <f t="array" ref="T335">IF(B335&gt;0,VLOOKUP(C326,'Allocation OH and Target 2026'!$C$35:$S$87,16,0),"N/A")</f>
        <v>0</v>
      </c>
      <c r="U335" s="423" cm="1">
        <f t="array" ref="U335">_xlfn.IFERROR((S335+T335),"N/A")</f>
        <v>3100447.15769812</v>
      </c>
      <c r="V335" s="424"/>
      <c r="W335" s="423" cm="1">
        <f t="array" ref="W335">_xlfn.IFERROR(U335+Q335,"N/A")</f>
        <v>8097947.15769812</v>
      </c>
      <c r="X335" s="423" cm="1">
        <f t="array" ref="X335">_xlfn.IFERROR(W335*0.5%,"N/A")</f>
        <v>40489.7357884906</v>
      </c>
      <c r="Y335" s="423" cm="1">
        <f t="array" ref="Y335">_xlfn.IFERROR(W335*25%,"N/A")</f>
        <v>2024486.78942453</v>
      </c>
      <c r="Z335" s="425" cm="1">
        <f t="array" ref="Z335">IF(B335&gt;0,SUM(W335:Y335),"N/A")</f>
        <v>10162923.6829111</v>
      </c>
      <c r="AA335" s="425" cm="1">
        <f t="array" ref="AA335">_xlfn.IFERROR((Z335-Z334),"N/A")</f>
        <v>195779.99999996</v>
      </c>
      <c r="AB335" s="424"/>
      <c r="AC335" t="str" s="426" cm="1">
        <f t="array" ref="AC335">IF(B335=6,AVERAGE(Z329:Z334),"N/A")</f>
        <v>N/A</v>
      </c>
      <c r="AD335" s="424"/>
      <c r="AE335" s="423"/>
      <c r="AF335" s="423"/>
      <c r="AG335" s="423"/>
      <c r="AH335" s="423"/>
      <c r="AI335" s="423"/>
      <c r="AJ335" s="423"/>
      <c r="AK335" s="423"/>
      <c r="AL335" s="423"/>
      <c r="AM335" s="423"/>
      <c r="AN335" s="427"/>
    </row>
    <row r="336" ht="15" customHeight="1">
      <c r="A336" s="12"/>
      <c r="B336" s="428" cm="1">
        <f t="array" ref="B336">IF(B335=0,0,IF(B335&lt;VLOOKUP(C326,'Boats Data Sheet 2026'!$C$3:$H$57,6,0),B335+1,0))</f>
        <v>8</v>
      </c>
      <c r="C336" s="423" cm="1">
        <f t="array" ref="C336">IF(B336&gt;0,IF(VLOOKUP(C326,'Boats Data Sheet 2026'!$C$3:$J$57,8,0)="N/A",0,VLOOKUP(C326,'Boats Data Sheet 2026'!$C$3:$J$57,8,0)),"N/A")</f>
        <v>2500000</v>
      </c>
      <c r="D336" s="429" cm="1">
        <f t="array" ref="D336">IF(B336&gt;7,2,IF(B336=0,"N/A",1))</f>
        <v>2</v>
      </c>
      <c r="E336" s="423" cm="1">
        <f t="array" ref="E336">_xlfn.IFERROR(SUM('Direct Costs 2026'!$C$4:$C$5)*D336,"N/A")</f>
        <v>1751000</v>
      </c>
      <c r="F336" s="423" cm="1">
        <f t="array" ref="F336">_xlfn.IFERROR('Direct Costs 2026'!$C$43*B336,"N/A")</f>
        <v>48000</v>
      </c>
      <c r="G336" s="423" cm="1">
        <f t="array" ref="G336">IF(B336&gt;0,'Direct Costs 2026'!$C$25,"N/A")</f>
        <v>90000</v>
      </c>
      <c r="H336" s="423" cm="1">
        <f t="array" ref="H336">IF(B336&gt;0,'Direct Costs 2026'!$C$15+'Direct Costs 2026'!$C$14,"N/A")</f>
        <v>230000</v>
      </c>
      <c r="I336" s="423">
        <v>0</v>
      </c>
      <c r="J336" s="423">
        <v>0</v>
      </c>
      <c r="K336" s="423" cm="1">
        <f t="array" ref="K336">IF(B336&gt;0,'Direct Costs 2026'!$C$26,"N/A")</f>
        <v>20000</v>
      </c>
      <c r="L336" s="423" cm="1">
        <f t="array" ref="L336">IF(B336&gt;0,'Direct Costs 2026'!$C$23,"N/A")</f>
        <v>140000</v>
      </c>
      <c r="M336" s="423" cm="1">
        <f t="array" ref="M336">IF(B336&gt;0,'Direct Costs 2026'!$C$45*B336,"N/A")</f>
        <v>1200000</v>
      </c>
      <c r="N336" t="str" s="431" cm="1">
        <f t="array" ref="N336">IF(B336&gt;0,_xlfn.IFERROR(VLOOKUP(C326,'Boats Data Sheet 2026'!$C$3:$I$57,7,0)*'Direct Costs 2026'!$C$36,"N/A"),"N/A")</f>
        <v>N/A</v>
      </c>
      <c r="O336" t="str" s="431" cm="1">
        <f t="array" ref="O336">IF(B336&gt;0,IF(OR(VLOOKUP(C326,'Boats Data Sheet 2026'!$C$3:$F$57,4,0)="Own",VLOOKUP(C326,'Boats Data Sheet 2026'!$C$3:$F$57,4,0)="Management"),('Direct Costs 2026'!$C$37+'Direct Costs 2026'!$C$39),"N/A"),"N/A")</f>
        <v>N/A</v>
      </c>
      <c r="P336" s="423" cm="1">
        <f t="array" ref="P336">_xlfn.IFERROR('Direct Costs 2026'!$C$27*C336,"N/A")</f>
        <v>50000</v>
      </c>
      <c r="Q336" s="423" cm="1">
        <f t="array" ref="Q336">_xlfn.IFERROR(C336+SUM(E336:P336),"N/A")</f>
        <v>6029000</v>
      </c>
      <c r="R336" s="424"/>
      <c r="S336" s="423" cm="1">
        <f t="array" ref="S336">IF(B336&gt;0,'Allocation OH and Target 2026'!$E$31,"N/A")</f>
        <v>3100447.15769812</v>
      </c>
      <c r="T336" s="423" cm="1">
        <f t="array" ref="T336">IF(B336&gt;0,VLOOKUP(C326,'Allocation OH and Target 2026'!$C$35:$S$87,16,0),"N/A")</f>
        <v>0</v>
      </c>
      <c r="U336" s="423" cm="1">
        <f t="array" ref="U336">_xlfn.IFERROR((S336+T336),"N/A")</f>
        <v>3100447.15769812</v>
      </c>
      <c r="V336" s="424"/>
      <c r="W336" s="423" cm="1">
        <f t="array" ref="W336">_xlfn.IFERROR(U336+Q336,"N/A")</f>
        <v>9129447.157698121</v>
      </c>
      <c r="X336" s="423" cm="1">
        <f t="array" ref="X336">_xlfn.IFERROR(W336*0.5%,"N/A")</f>
        <v>45647.2357884906</v>
      </c>
      <c r="Y336" s="423" cm="1">
        <f t="array" ref="Y336">_xlfn.IFERROR(W336*25%,"N/A")</f>
        <v>2282361.78942453</v>
      </c>
      <c r="Z336" s="425" cm="1">
        <f t="array" ref="Z336">IF(B336&gt;0,SUM(W336:Y336),"N/A")</f>
        <v>11457456.1829111</v>
      </c>
      <c r="AA336" s="425" cm="1">
        <f t="array" ref="AA336">_xlfn.IFERROR((Z336-Z335),"N/A")</f>
        <v>1294532.5</v>
      </c>
      <c r="AB336" s="424"/>
      <c r="AC336" t="str" s="426" cm="1">
        <f t="array" ref="AC336">IF(B336=6,AVERAGE(Z329:Z334),"N/A")</f>
        <v>N/A</v>
      </c>
      <c r="AD336" s="424"/>
      <c r="AE336" s="423"/>
      <c r="AF336" s="423"/>
      <c r="AG336" s="423"/>
      <c r="AH336" s="423"/>
      <c r="AI336" s="423"/>
      <c r="AJ336" s="423"/>
      <c r="AK336" s="423"/>
      <c r="AL336" s="423"/>
      <c r="AM336" s="423"/>
      <c r="AN336" s="427"/>
    </row>
    <row r="337" ht="15" customHeight="1">
      <c r="A337" s="12"/>
      <c r="B337" s="428" cm="1">
        <f t="array" ref="B337">IF(B336=0,0,IF(B336&lt;VLOOKUP(C326,'Boats Data Sheet 2026'!$C$3:$H$57,6,0),B336+1,0))</f>
        <v>9</v>
      </c>
      <c r="C337" s="423" cm="1">
        <f t="array" ref="C337">IF(B337&gt;0,IF(VLOOKUP(C326,'Boats Data Sheet 2026'!$C$3:$J$57,8,0)="N/A",0,VLOOKUP(C326,'Boats Data Sheet 2026'!$C$3:$J$57,8,0)),"N/A")</f>
        <v>2500000</v>
      </c>
      <c r="D337" s="430" cm="1">
        <f t="array" ref="D337">IF(B337&gt;7,2,IF(B337=0,"N/A",1))</f>
        <v>2</v>
      </c>
      <c r="E337" s="423" cm="1">
        <f t="array" ref="E337">_xlfn.IFERROR(SUM('Direct Costs 2026'!$C$4:$C$5)*D337,"N/A")</f>
        <v>1751000</v>
      </c>
      <c r="F337" s="423" cm="1">
        <f t="array" ref="F337">_xlfn.IFERROR('Direct Costs 2026'!$C$43*B337,"N/A")</f>
        <v>54000</v>
      </c>
      <c r="G337" s="423" cm="1">
        <f t="array" ref="G337">IF(B337&gt;0,'Direct Costs 2026'!$C$25,"N/A")</f>
        <v>90000</v>
      </c>
      <c r="H337" s="423" cm="1">
        <f t="array" ref="H337">IF(B337&gt;0,'Direct Costs 2026'!$C$15+'Direct Costs 2026'!$C$14,"N/A")</f>
        <v>230000</v>
      </c>
      <c r="I337" s="423">
        <v>0</v>
      </c>
      <c r="J337" s="423">
        <v>0</v>
      </c>
      <c r="K337" s="423" cm="1">
        <f t="array" ref="K337">IF(B337&gt;0,'Direct Costs 2026'!$C$26,"N/A")</f>
        <v>20000</v>
      </c>
      <c r="L337" s="423" cm="1">
        <f t="array" ref="L337">IF(B337&gt;0,'Direct Costs 2026'!$C$23,"N/A")</f>
        <v>140000</v>
      </c>
      <c r="M337" s="423" cm="1">
        <f t="array" ref="M337">IF(B337&gt;0,'Direct Costs 2026'!$C$45*B337,"N/A")</f>
        <v>1350000</v>
      </c>
      <c r="N337" t="str" s="431" cm="1">
        <f t="array" ref="N337">IF(B337&gt;0,_xlfn.IFERROR(VLOOKUP(C326,'Boats Data Sheet 2026'!$C$3:$I$57,7,0)*'Direct Costs 2026'!$C$36,"N/A"),"N/A")</f>
        <v>N/A</v>
      </c>
      <c r="O337" t="str" s="431" cm="1">
        <f t="array" ref="O337">IF(B337&gt;0,IF(OR(VLOOKUP(C326,'Boats Data Sheet 2026'!$C$3:$F$57,4,0)="Own",VLOOKUP(C326,'Boats Data Sheet 2026'!$C$3:$F$57,4,0)="Management"),('Direct Costs 2026'!$C$37+'Direct Costs 2026'!$C$39),"N/A"),"N/A")</f>
        <v>N/A</v>
      </c>
      <c r="P337" s="423" cm="1">
        <f t="array" ref="P337">_xlfn.IFERROR('Direct Costs 2026'!$C$27*C337,"N/A")</f>
        <v>50000</v>
      </c>
      <c r="Q337" s="423" cm="1">
        <f t="array" ref="Q337">_xlfn.IFERROR(C337+SUM(E337:P337),"N/A")</f>
        <v>6185000</v>
      </c>
      <c r="R337" s="424"/>
      <c r="S337" s="423" cm="1">
        <f t="array" ref="S337">IF(B337&gt;0,'Allocation OH and Target 2026'!$E$31,"N/A")</f>
        <v>3100447.15769812</v>
      </c>
      <c r="T337" s="423" cm="1">
        <f t="array" ref="T337">IF(B337&gt;0,VLOOKUP(C326,'Allocation OH and Target 2026'!$C$35:$S$87,16,0),"N/A")</f>
        <v>0</v>
      </c>
      <c r="U337" s="423" cm="1">
        <f t="array" ref="U337">_xlfn.IFERROR((S337+T337),"N/A")</f>
        <v>3100447.15769812</v>
      </c>
      <c r="V337" s="424"/>
      <c r="W337" s="423" cm="1">
        <f t="array" ref="W337">_xlfn.IFERROR(U337+Q337,"N/A")</f>
        <v>9285447.157698121</v>
      </c>
      <c r="X337" s="423" cm="1">
        <f t="array" ref="X337">_xlfn.IFERROR(W337*0.5%,"N/A")</f>
        <v>46427.2357884906</v>
      </c>
      <c r="Y337" s="423" cm="1">
        <f t="array" ref="Y337">_xlfn.IFERROR(W337*25%,"N/A")</f>
        <v>2321361.78942453</v>
      </c>
      <c r="Z337" s="425" cm="1">
        <f t="array" ref="Z337">IF(B337&gt;0,SUM(W337:Y337),"N/A")</f>
        <v>11653236.1829111</v>
      </c>
      <c r="AA337" s="425" cm="1">
        <f t="array" ref="AA337">_xlfn.IFERROR((Z337-Z336),"N/A")</f>
        <v>195780</v>
      </c>
      <c r="AB337" s="424"/>
      <c r="AC337" t="str" s="426" cm="1">
        <f t="array" ref="AC337">IF(B337=6,AVERAGE(Z329:Z334),"N/A")</f>
        <v>N/A</v>
      </c>
      <c r="AD337" s="424"/>
      <c r="AE337" s="423"/>
      <c r="AF337" s="423"/>
      <c r="AG337" s="423"/>
      <c r="AH337" s="423"/>
      <c r="AI337" s="423"/>
      <c r="AJ337" s="423"/>
      <c r="AK337" s="423"/>
      <c r="AL337" s="423"/>
      <c r="AM337" s="423"/>
      <c r="AN337" s="427"/>
    </row>
    <row r="338" ht="15" customHeight="1">
      <c r="A338" s="12"/>
      <c r="B338" s="428" cm="1">
        <f t="array" ref="B338">IF(B337=0,0,IF(B337&lt;VLOOKUP(C326,'Boats Data Sheet 2026'!$C$3:$H$57,6,0),B337+1,0))</f>
        <v>10</v>
      </c>
      <c r="C338" s="423" cm="1">
        <f t="array" ref="C338">IF(B338&gt;0,IF(VLOOKUP(C326,'Boats Data Sheet 2026'!$C$3:$J$57,8,0)="N/A",0,VLOOKUP(C326,'Boats Data Sheet 2026'!$C$3:$J$57,8,0)),"N/A")</f>
        <v>2500000</v>
      </c>
      <c r="D338" s="430" cm="1">
        <f t="array" ref="D338">IF(B338&gt;7,2,IF(B338=0,"N/A",1))</f>
        <v>2</v>
      </c>
      <c r="E338" s="423" cm="1">
        <f t="array" ref="E338">_xlfn.IFERROR(SUM('Direct Costs 2026'!$C$4:$C$5)*D338,"N/A")</f>
        <v>1751000</v>
      </c>
      <c r="F338" s="423" cm="1">
        <f t="array" ref="F338">_xlfn.IFERROR('Direct Costs 2026'!$C$43*B338,"N/A")</f>
        <v>60000</v>
      </c>
      <c r="G338" s="423" cm="1">
        <f t="array" ref="G338">IF(B338&gt;0,'Direct Costs 2026'!$C$25,"N/A")</f>
        <v>90000</v>
      </c>
      <c r="H338" s="423" cm="1">
        <f t="array" ref="H338">IF(B338&gt;0,'Direct Costs 2026'!$C$15+'Direct Costs 2026'!$C$14,"N/A")</f>
        <v>230000</v>
      </c>
      <c r="I338" s="423">
        <v>0</v>
      </c>
      <c r="J338" s="423">
        <v>0</v>
      </c>
      <c r="K338" s="423" cm="1">
        <f t="array" ref="K338">IF(B338&gt;0,'Direct Costs 2026'!$C$26,"N/A")</f>
        <v>20000</v>
      </c>
      <c r="L338" s="423" cm="1">
        <f t="array" ref="L338">IF(B338&gt;0,'Direct Costs 2026'!$C$23,"N/A")</f>
        <v>140000</v>
      </c>
      <c r="M338" s="423" cm="1">
        <f t="array" ref="M338">IF(B338&gt;0,'Direct Costs 2026'!$C$45*B338,"N/A")</f>
        <v>1500000</v>
      </c>
      <c r="N338" t="str" s="431" cm="1">
        <f t="array" ref="N338">IF(B338&gt;0,_xlfn.IFERROR(VLOOKUP(C326,'Boats Data Sheet 2026'!$C$3:$I$57,7,0)*'Direct Costs 2026'!$C$36,"N/A"),"N/A")</f>
        <v>N/A</v>
      </c>
      <c r="O338" t="str" s="431" cm="1">
        <f t="array" ref="O338">IF(B338&gt;0,IF(OR(VLOOKUP(C326,'Boats Data Sheet 2026'!$C$3:$F$57,4,0)="Own",VLOOKUP(C326,'Boats Data Sheet 2026'!$C$3:$F$57,4,0)="Management"),('Direct Costs 2026'!$C$37+'Direct Costs 2026'!$C$39),"N/A"),"N/A")</f>
        <v>N/A</v>
      </c>
      <c r="P338" s="423" cm="1">
        <f t="array" ref="P338">_xlfn.IFERROR('Direct Costs 2026'!$C$27*C338,"N/A")</f>
        <v>50000</v>
      </c>
      <c r="Q338" s="423" cm="1">
        <f t="array" ref="Q338">_xlfn.IFERROR(C338+SUM(E338:P338),"N/A")</f>
        <v>6341000</v>
      </c>
      <c r="R338" s="424"/>
      <c r="S338" s="423" cm="1">
        <f t="array" ref="S338">IF(B338&gt;0,'Allocation OH and Target 2026'!$E$31,"N/A")</f>
        <v>3100447.15769812</v>
      </c>
      <c r="T338" s="423" cm="1">
        <f t="array" ref="T338">IF(B338&gt;0,VLOOKUP(C326,'Allocation OH and Target 2026'!$C$35:$S$87,16,0),"N/A")</f>
        <v>0</v>
      </c>
      <c r="U338" s="423" cm="1">
        <f t="array" ref="U338">_xlfn.IFERROR((S338+T338),"N/A")</f>
        <v>3100447.15769812</v>
      </c>
      <c r="V338" s="424"/>
      <c r="W338" s="423" cm="1">
        <f t="array" ref="W338">_xlfn.IFERROR(U338+Q338,"N/A")</f>
        <v>9441447.157698121</v>
      </c>
      <c r="X338" s="423" cm="1">
        <f t="array" ref="X338">_xlfn.IFERROR(W338*0.5%,"N/A")</f>
        <v>47207.2357884906</v>
      </c>
      <c r="Y338" s="423" cm="1">
        <f t="array" ref="Y338">_xlfn.IFERROR(W338*25%,"N/A")</f>
        <v>2360361.78942453</v>
      </c>
      <c r="Z338" s="425" cm="1">
        <f t="array" ref="Z338">IF(B338&gt;0,SUM(W338:Y338),"N/A")</f>
        <v>11849016.1829111</v>
      </c>
      <c r="AA338" s="425" cm="1">
        <f t="array" ref="AA338">_xlfn.IFERROR((Z338-Z337),"N/A")</f>
        <v>195780</v>
      </c>
      <c r="AB338" s="424"/>
      <c r="AC338" t="str" s="426" cm="1">
        <f t="array" ref="AC338">IF(B338=6,AVERAGE(Z329:Z334),"N/A")</f>
        <v>N/A</v>
      </c>
      <c r="AD338" s="424"/>
      <c r="AE338" s="423"/>
      <c r="AF338" s="423"/>
      <c r="AG338" s="423"/>
      <c r="AH338" s="423"/>
      <c r="AI338" s="423"/>
      <c r="AJ338" s="423"/>
      <c r="AK338" s="423"/>
      <c r="AL338" s="423"/>
      <c r="AM338" s="423"/>
      <c r="AN338" s="427"/>
    </row>
    <row r="339" ht="15" customHeight="1">
      <c r="A339" s="12"/>
      <c r="B339" s="428" cm="1">
        <f t="array" ref="B339">IF(B338=0,0,IF(B338&lt;VLOOKUP(C326,'Boats Data Sheet 2026'!$C$3:$H$57,6,0),B338+1,0))</f>
        <v>11</v>
      </c>
      <c r="C339" s="423" cm="1">
        <f t="array" ref="C339">IF(B339&gt;0,IF(VLOOKUP(C326,'Boats Data Sheet 2026'!$C$3:$J$57,8,0)="N/A",0,VLOOKUP(C326,'Boats Data Sheet 2026'!$C$3:$J$57,8,0)),"N/A")</f>
        <v>2500000</v>
      </c>
      <c r="D339" s="430" cm="1">
        <f t="array" ref="D339">IF(B339&gt;7,2,IF(B339=0,"N/A",1))</f>
        <v>2</v>
      </c>
      <c r="E339" s="423" cm="1">
        <f t="array" ref="E339">_xlfn.IFERROR(SUM('Direct Costs 2026'!$C$4:$C$5)*D339,"N/A")</f>
        <v>1751000</v>
      </c>
      <c r="F339" s="423" cm="1">
        <f t="array" ref="F339">_xlfn.IFERROR('Direct Costs 2026'!$C$43*B339,"N/A")</f>
        <v>66000</v>
      </c>
      <c r="G339" s="423" cm="1">
        <f t="array" ref="G339">IF(B339&gt;0,'Direct Costs 2026'!$C$25,"N/A")</f>
        <v>90000</v>
      </c>
      <c r="H339" s="423" cm="1">
        <f t="array" ref="H339">IF(B339&gt;0,'Direct Costs 2026'!$C$15+'Direct Costs 2026'!$C$14,"N/A")</f>
        <v>230000</v>
      </c>
      <c r="I339" s="423">
        <v>0</v>
      </c>
      <c r="J339" s="423">
        <v>0</v>
      </c>
      <c r="K339" s="423" cm="1">
        <f t="array" ref="K339">IF(B339&gt;0,'Direct Costs 2026'!$C$26,"N/A")</f>
        <v>20000</v>
      </c>
      <c r="L339" s="423" cm="1">
        <f t="array" ref="L339">IF(B339&gt;0,'Direct Costs 2026'!$C$23,"N/A")</f>
        <v>140000</v>
      </c>
      <c r="M339" s="423" cm="1">
        <f t="array" ref="M339">IF(B339&gt;0,'Direct Costs 2026'!$C$45*B339,"N/A")</f>
        <v>1650000</v>
      </c>
      <c r="N339" t="str" s="431" cm="1">
        <f t="array" ref="N339">IF(B339&gt;0,_xlfn.IFERROR(VLOOKUP(C326,'Boats Data Sheet 2026'!$C$3:$I$57,7,0)*'Direct Costs 2026'!$C$36,"N/A"),"N/A")</f>
        <v>N/A</v>
      </c>
      <c r="O339" t="str" s="431" cm="1">
        <f t="array" ref="O339">IF(B339&gt;0,IF(OR(VLOOKUP(C326,'Boats Data Sheet 2026'!$C$3:$F$57,4,0)="Own",VLOOKUP(C326,'Boats Data Sheet 2026'!$C$3:$F$57,4,0)="Management"),('Direct Costs 2026'!$C$37+'Direct Costs 2026'!$C$39),"N/A"),"N/A")</f>
        <v>N/A</v>
      </c>
      <c r="P339" s="423" cm="1">
        <f t="array" ref="P339">_xlfn.IFERROR('Direct Costs 2026'!$C$27*C339,"N/A")</f>
        <v>50000</v>
      </c>
      <c r="Q339" s="423" cm="1">
        <f t="array" ref="Q339">_xlfn.IFERROR(C339+SUM(E339:P339),"N/A")</f>
        <v>6497000</v>
      </c>
      <c r="R339" s="424"/>
      <c r="S339" s="423" cm="1">
        <f t="array" ref="S339">IF(B339&gt;0,'Allocation OH and Target 2026'!$E$31,"N/A")</f>
        <v>3100447.15769812</v>
      </c>
      <c r="T339" s="423" cm="1">
        <f t="array" ref="T339">IF(B339&gt;0,VLOOKUP(C326,'Allocation OH and Target 2026'!$C$35:$S$87,16,0),"N/A")</f>
        <v>0</v>
      </c>
      <c r="U339" s="423" cm="1">
        <f t="array" ref="U339">_xlfn.IFERROR((S339+T339),"N/A")</f>
        <v>3100447.15769812</v>
      </c>
      <c r="V339" s="424"/>
      <c r="W339" s="423" cm="1">
        <f t="array" ref="W339">_xlfn.IFERROR(U339+Q339,"N/A")</f>
        <v>9597447.157698121</v>
      </c>
      <c r="X339" s="423" cm="1">
        <f t="array" ref="X339">_xlfn.IFERROR(W339*0.5%,"N/A")</f>
        <v>47987.2357884906</v>
      </c>
      <c r="Y339" s="423" cm="1">
        <f t="array" ref="Y339">_xlfn.IFERROR(W339*25%,"N/A")</f>
        <v>2399361.78942453</v>
      </c>
      <c r="Z339" s="425" cm="1">
        <f t="array" ref="Z339">IF(B339&gt;0,SUM(W339:Y339),"N/A")</f>
        <v>12044796.1829111</v>
      </c>
      <c r="AA339" s="425" cm="1">
        <f t="array" ref="AA339">_xlfn.IFERROR((Z339-Z338),"N/A")</f>
        <v>195780</v>
      </c>
      <c r="AB339" s="424"/>
      <c r="AC339" t="str" s="426" cm="1">
        <f t="array" ref="AC339">IF(B339=6,AVERAGE(Z329:Z334),"N/A")</f>
        <v>N/A</v>
      </c>
      <c r="AD339" s="424"/>
      <c r="AE339" s="423"/>
      <c r="AF339" s="423"/>
      <c r="AG339" s="423"/>
      <c r="AH339" s="423"/>
      <c r="AI339" s="423"/>
      <c r="AJ339" s="423"/>
      <c r="AK339" s="423"/>
      <c r="AL339" s="423"/>
      <c r="AM339" s="423"/>
      <c r="AN339" s="427"/>
    </row>
    <row r="340" ht="15" customHeight="1">
      <c r="A340" s="12"/>
      <c r="B340" s="428" cm="1">
        <f t="array" ref="B340">IF(B339=0,0,IF(B339&lt;VLOOKUP(C326,'Boats Data Sheet 2026'!$C$3:$H$57,6,0),B339+1,0))</f>
        <v>12</v>
      </c>
      <c r="C340" s="423" cm="1">
        <f t="array" ref="C340">IF(B340&gt;0,IF(VLOOKUP(C326,'Boats Data Sheet 2026'!$C$3:$J$57,8,0)="N/A",0,VLOOKUP(C326,'Boats Data Sheet 2026'!$C$3:$J$57,8,0)),"N/A")</f>
        <v>2500000</v>
      </c>
      <c r="D340" s="430" cm="1">
        <f t="array" ref="D340">IF(B340&gt;7,2,IF(B340=0,"N/A",1))</f>
        <v>2</v>
      </c>
      <c r="E340" s="423" cm="1">
        <f t="array" ref="E340">_xlfn.IFERROR(SUM('Direct Costs 2026'!$C$4:$C$5)*D340,"N/A")</f>
        <v>1751000</v>
      </c>
      <c r="F340" s="423" cm="1">
        <f t="array" ref="F340">_xlfn.IFERROR('Direct Costs 2026'!$C$43*B340,"N/A")</f>
        <v>72000</v>
      </c>
      <c r="G340" s="423" cm="1">
        <f t="array" ref="G340">IF(B340&gt;0,'Direct Costs 2026'!$C$25,"N/A")</f>
        <v>90000</v>
      </c>
      <c r="H340" s="423" cm="1">
        <f t="array" ref="H340">IF(B340&gt;0,'Direct Costs 2026'!$C$15+'Direct Costs 2026'!$C$14,"N/A")</f>
        <v>230000</v>
      </c>
      <c r="I340" s="423">
        <v>0</v>
      </c>
      <c r="J340" s="423">
        <v>0</v>
      </c>
      <c r="K340" s="423" cm="1">
        <f t="array" ref="K340">IF(B340&gt;0,'Direct Costs 2026'!$C$26,"N/A")</f>
        <v>20000</v>
      </c>
      <c r="L340" s="423" cm="1">
        <f t="array" ref="L340">IF(B340&gt;0,'Direct Costs 2026'!$C$23,"N/A")</f>
        <v>140000</v>
      </c>
      <c r="M340" s="423" cm="1">
        <f t="array" ref="M340">IF(B340&gt;0,'Direct Costs 2026'!$C$45*B340,"N/A")</f>
        <v>1800000</v>
      </c>
      <c r="N340" t="str" s="431" cm="1">
        <f t="array" ref="N340">IF(B340&gt;0,_xlfn.IFERROR(VLOOKUP(C326,'Boats Data Sheet 2026'!$C$3:$I$57,7,0)*'Direct Costs 2026'!$C$36,"N/A"),"N/A")</f>
        <v>N/A</v>
      </c>
      <c r="O340" t="str" s="431" cm="1">
        <f t="array" ref="O340">IF(B340&gt;0,IF(OR(VLOOKUP(C326,'Boats Data Sheet 2026'!$C$3:$F$57,4,0)="Own",VLOOKUP(C326,'Boats Data Sheet 2026'!$C$3:$F$57,4,0)="Management"),('Direct Costs 2026'!$C$37+'Direct Costs 2026'!$C$39),"N/A"),"N/A")</f>
        <v>N/A</v>
      </c>
      <c r="P340" s="423" cm="1">
        <f t="array" ref="P340">_xlfn.IFERROR('Direct Costs 2026'!$C$27*C340,"N/A")</f>
        <v>50000</v>
      </c>
      <c r="Q340" s="423" cm="1">
        <f t="array" ref="Q340">_xlfn.IFERROR(C340+SUM(E340:P340),"N/A")</f>
        <v>6653000</v>
      </c>
      <c r="R340" s="424"/>
      <c r="S340" s="423" cm="1">
        <f t="array" ref="S340">IF(B340&gt;0,'Allocation OH and Target 2026'!$E$31,"N/A")</f>
        <v>3100447.15769812</v>
      </c>
      <c r="T340" s="423" cm="1">
        <f t="array" ref="T340">IF(B340&gt;0,VLOOKUP(C326,'Allocation OH and Target 2026'!$C$35:$S$87,16,0),"N/A")</f>
        <v>0</v>
      </c>
      <c r="U340" s="423" cm="1">
        <f t="array" ref="U340">_xlfn.IFERROR((S340+T340),"N/A")</f>
        <v>3100447.15769812</v>
      </c>
      <c r="V340" s="424"/>
      <c r="W340" s="423" cm="1">
        <f t="array" ref="W340">_xlfn.IFERROR(U340+Q340,"N/A")</f>
        <v>9753447.157698121</v>
      </c>
      <c r="X340" s="423" cm="1">
        <f t="array" ref="X340">_xlfn.IFERROR(W340*0.5%,"N/A")</f>
        <v>48767.2357884906</v>
      </c>
      <c r="Y340" s="423" cm="1">
        <f t="array" ref="Y340">_xlfn.IFERROR(W340*25%,"N/A")</f>
        <v>2438361.78942453</v>
      </c>
      <c r="Z340" s="425" cm="1">
        <f t="array" ref="Z340">IF(B340&gt;0,SUM(W340:Y340),"N/A")</f>
        <v>12240576.1829111</v>
      </c>
      <c r="AA340" s="425" cm="1">
        <f t="array" ref="AA340">_xlfn.IFERROR((Z340-Z339),"N/A")</f>
        <v>195780</v>
      </c>
      <c r="AB340" s="424"/>
      <c r="AC340" t="str" s="426" cm="1">
        <f t="array" ref="AC340">IF(B340=6,AVERAGE(Z329:Z334),"N/A")</f>
        <v>N/A</v>
      </c>
      <c r="AD340" s="424"/>
      <c r="AE340" s="423"/>
      <c r="AF340" s="423"/>
      <c r="AG340" s="423"/>
      <c r="AH340" s="423"/>
      <c r="AI340" s="423"/>
      <c r="AJ340" s="423"/>
      <c r="AK340" s="423"/>
      <c r="AL340" s="423"/>
      <c r="AM340" s="423"/>
      <c r="AN340" s="427"/>
    </row>
    <row r="341" ht="15" customHeight="1">
      <c r="A341" s="12"/>
      <c r="B341" s="428" cm="1">
        <f t="array" ref="B341">IF(B340=0,0,IF(B340&lt;VLOOKUP(C326,'Boats Data Sheet 2026'!$C$3:$H$57,6,0),B340+1,0))</f>
        <v>0</v>
      </c>
      <c r="C341" t="str" s="431" cm="1">
        <f t="array" ref="C341">IF(B341&gt;0,IF(VLOOKUP(C326,'Boats Data Sheet 2026'!$C$3:$J$57,8,0)="N/A",0,VLOOKUP(C326,'Boats Data Sheet 2026'!$C$3:$J$57,8,0)),"N/A")</f>
        <v>N/A</v>
      </c>
      <c r="D341" t="str" s="431" cm="1">
        <f t="array" ref="D341">IF(B341&gt;7,2,IF(B341=0,"N/A",1))</f>
        <v>N/A</v>
      </c>
      <c r="E341" t="str" s="431" cm="1">
        <f t="array" ref="E341">_xlfn.IFERROR(SUM('Direct Costs 2026'!$C$4:$C$5)*D341,"N/A")</f>
        <v>N/A</v>
      </c>
      <c r="F341" s="423" cm="1">
        <f t="array" ref="F341">_xlfn.IFERROR('Direct Costs 2026'!$C$43*B341,"N/A")</f>
        <v>0</v>
      </c>
      <c r="G341" t="str" s="431" cm="1">
        <f t="array" ref="G341">IF(B341&gt;0,'Direct Costs 2026'!$C$25,"N/A")</f>
        <v>N/A</v>
      </c>
      <c r="H341" t="str" s="431" cm="1">
        <f t="array" ref="H341">IF(B341&gt;0,'Direct Costs 2026'!$C$15+'Direct Costs 2026'!$C$14,"N/A")</f>
        <v>N/A</v>
      </c>
      <c r="I341" s="423">
        <v>0</v>
      </c>
      <c r="J341" s="423">
        <v>0</v>
      </c>
      <c r="K341" t="str" s="431" cm="1">
        <f t="array" ref="K341">IF(B341&gt;0,'Direct Costs 2026'!$C$26,"N/A")</f>
        <v>N/A</v>
      </c>
      <c r="L341" t="str" s="431" cm="1">
        <f t="array" ref="L341">IF(B341&gt;0,'Direct Costs 2026'!$C$23,"N/A")</f>
        <v>N/A</v>
      </c>
      <c r="M341" t="str" s="431" cm="1">
        <f t="array" ref="M341">IF(B341&gt;0,'Direct Costs 2026'!$C$45*B341,"N/A")</f>
        <v>N/A</v>
      </c>
      <c r="N341" t="str" s="431" cm="1">
        <f t="array" ref="N341">IF(B341&gt;0,_xlfn.IFERROR(VLOOKUP(C326,'Boats Data Sheet 2026'!$C$3:$I$57,7,0)*'Direct Costs 2026'!$C$36,"N/A"),"N/A")</f>
        <v>N/A</v>
      </c>
      <c r="O341" t="str" s="431" cm="1">
        <f t="array" ref="O341">IF(B341&gt;0,IF(OR(VLOOKUP(C326,'Boats Data Sheet 2026'!$C$3:$F$57,4,0)="Own",VLOOKUP(C326,'Boats Data Sheet 2026'!$C$3:$F$57,4,0)="Management"),('Direct Costs 2026'!$C$37+'Direct Costs 2026'!$C$39),"N/A"),"N/A")</f>
        <v>N/A</v>
      </c>
      <c r="P341" t="str" s="431" cm="1">
        <f t="array" ref="P341">_xlfn.IFERROR('Direct Costs 2026'!$C$27*C341,"N/A")</f>
        <v>N/A</v>
      </c>
      <c r="Q341" t="str" s="431" cm="1">
        <f t="array" ref="Q341">_xlfn.IFERROR(C341+SUM(E341:P341),"N/A")</f>
        <v>N/A</v>
      </c>
      <c r="R341" s="424"/>
      <c r="S341" t="str" s="431" cm="1">
        <f t="array" ref="S341">IF(B341&gt;0,'Allocation OH and Target 2026'!$E$31,"N/A")</f>
        <v>N/A</v>
      </c>
      <c r="T341" t="str" s="431" cm="1">
        <f t="array" ref="T341">IF(B341&gt;0,VLOOKUP(C326,'Allocation OH and Target 2026'!$C$35:$S$87,16,0),"N/A")</f>
        <v>N/A</v>
      </c>
      <c r="U341" t="str" s="431" cm="1">
        <f t="array" ref="U341">_xlfn.IFERROR((S341+T341),"N/A")</f>
        <v>N/A</v>
      </c>
      <c r="V341" s="424"/>
      <c r="W341" t="str" s="431" cm="1">
        <f t="array" ref="W341">_xlfn.IFERROR(U341+Q341,"N/A")</f>
        <v>N/A</v>
      </c>
      <c r="X341" t="str" s="431" cm="1">
        <f t="array" ref="X341">_xlfn.IFERROR(W341*0.5%,"N/A")</f>
        <v>N/A</v>
      </c>
      <c r="Y341" t="str" s="431" cm="1">
        <f t="array" ref="Y341">_xlfn.IFERROR(W341*25%,"N/A")</f>
        <v>N/A</v>
      </c>
      <c r="Z341" t="str" s="426" cm="1">
        <f t="array" ref="Z341">IF(B341&gt;0,SUM(W341:Y341),"N/A")</f>
        <v>N/A</v>
      </c>
      <c r="AA341" t="str" s="426" cm="1">
        <f t="array" ref="AA341">_xlfn.IFERROR((Z341-Z340),"N/A")</f>
        <v>N/A</v>
      </c>
      <c r="AB341" s="424"/>
      <c r="AC341" t="str" s="426" cm="1">
        <f t="array" ref="AC341">IF(B341=6,AVERAGE(Z329:Z334),"N/A")</f>
        <v>N/A</v>
      </c>
      <c r="AD341" s="424"/>
      <c r="AE341" s="423"/>
      <c r="AF341" s="423"/>
      <c r="AG341" s="423"/>
      <c r="AH341" s="423"/>
      <c r="AI341" s="423"/>
      <c r="AJ341" s="423"/>
      <c r="AK341" s="423"/>
      <c r="AL341" s="423"/>
      <c r="AM341" s="423"/>
      <c r="AN341" s="427"/>
    </row>
    <row r="342" ht="15" customHeight="1">
      <c r="A342" s="12"/>
      <c r="B342" s="428" cm="1">
        <f t="array" ref="B342">IF(B341=0,0,IF(B341&lt;VLOOKUP(C326,'Boats Data Sheet 2026'!$C$3:$H$57,6,0),B341+1,0))</f>
        <v>0</v>
      </c>
      <c r="C342" t="str" s="431" cm="1">
        <f t="array" ref="C342">IF(B342&gt;0,IF(VLOOKUP(C326,'Boats Data Sheet 2026'!$C$3:$J$57,8,0)="N/A",0,VLOOKUP(C326,'Boats Data Sheet 2026'!$C$3:$J$57,8,0)),"N/A")</f>
        <v>N/A</v>
      </c>
      <c r="D342" t="str" s="431" cm="1">
        <f t="array" ref="D342">IF(B342&gt;7,2,IF(B342=0,"N/A",1))</f>
        <v>N/A</v>
      </c>
      <c r="E342" t="str" s="431" cm="1">
        <f t="array" ref="E342">_xlfn.IFERROR(SUM('Direct Costs 2026'!$C$4:$C$5)*D342,"N/A")</f>
        <v>N/A</v>
      </c>
      <c r="F342" s="423" cm="1">
        <f t="array" ref="F342">_xlfn.IFERROR('Direct Costs 2026'!$C$43*B342,"N/A")</f>
        <v>0</v>
      </c>
      <c r="G342" t="str" s="431" cm="1">
        <f t="array" ref="G342">IF(B342&gt;0,'Direct Costs 2026'!$C$25,"N/A")</f>
        <v>N/A</v>
      </c>
      <c r="H342" t="str" s="431" cm="1">
        <f t="array" ref="H342">IF(B342&gt;0,'Direct Costs 2026'!$C$15+'Direct Costs 2026'!$C$14,"N/A")</f>
        <v>N/A</v>
      </c>
      <c r="I342" s="423">
        <v>0</v>
      </c>
      <c r="J342" s="423">
        <v>0</v>
      </c>
      <c r="K342" t="str" s="431" cm="1">
        <f t="array" ref="K342">IF(B342&gt;0,'Direct Costs 2026'!$C$26,"N/A")</f>
        <v>N/A</v>
      </c>
      <c r="L342" t="str" s="431" cm="1">
        <f t="array" ref="L342">IF(B342&gt;0,'Direct Costs 2026'!$C$23,"N/A")</f>
        <v>N/A</v>
      </c>
      <c r="M342" t="str" s="431" cm="1">
        <f t="array" ref="M342">IF(B342&gt;0,'Direct Costs 2026'!$C$45*B342,"N/A")</f>
        <v>N/A</v>
      </c>
      <c r="N342" t="str" s="431" cm="1">
        <f t="array" ref="N342">IF(B342&gt;0,_xlfn.IFERROR(VLOOKUP(C326,'Boats Data Sheet 2026'!$C$3:$I$57,7,0)*'Direct Costs 2026'!$C$36,"N/A"),"N/A")</f>
        <v>N/A</v>
      </c>
      <c r="O342" t="str" s="431" cm="1">
        <f t="array" ref="O342">IF(B342&gt;0,IF(OR(VLOOKUP(C326,'Boats Data Sheet 2026'!$C$3:$F$57,4,0)="Own",VLOOKUP(C326,'Boats Data Sheet 2026'!$C$3:$F$57,4,0)="Management"),('Direct Costs 2026'!$C$37+'Direct Costs 2026'!$C$39),"N/A"),"N/A")</f>
        <v>N/A</v>
      </c>
      <c r="P342" t="str" s="431" cm="1">
        <f t="array" ref="P342">_xlfn.IFERROR('Direct Costs 2026'!$C$27*C342,"N/A")</f>
        <v>N/A</v>
      </c>
      <c r="Q342" t="str" s="431" cm="1">
        <f t="array" ref="Q342">_xlfn.IFERROR(C342+SUM(E342:P342),"N/A")</f>
        <v>N/A</v>
      </c>
      <c r="R342" s="424"/>
      <c r="S342" t="str" s="431" cm="1">
        <f t="array" ref="S342">IF(B342&gt;0,'Allocation OH and Target 2026'!$E$31,"N/A")</f>
        <v>N/A</v>
      </c>
      <c r="T342" t="str" s="431" cm="1">
        <f t="array" ref="T342">IF(B342&gt;0,VLOOKUP(C326,'Allocation OH and Target 2026'!$C$35:$S$87,16,0),"N/A")</f>
        <v>N/A</v>
      </c>
      <c r="U342" t="str" s="431" cm="1">
        <f t="array" ref="U342">_xlfn.IFERROR((S342+T342),"N/A")</f>
        <v>N/A</v>
      </c>
      <c r="V342" s="424"/>
      <c r="W342" t="str" s="431" cm="1">
        <f t="array" ref="W342">_xlfn.IFERROR(U342+Q342,"N/A")</f>
        <v>N/A</v>
      </c>
      <c r="X342" t="str" s="431" cm="1">
        <f t="array" ref="X342">_xlfn.IFERROR(W342*0.5%,"N/A")</f>
        <v>N/A</v>
      </c>
      <c r="Y342" t="str" s="431" cm="1">
        <f t="array" ref="Y342">_xlfn.IFERROR(W342*25%,"N/A")</f>
        <v>N/A</v>
      </c>
      <c r="Z342" t="str" s="426" cm="1">
        <f t="array" ref="Z342">IF(B342&gt;0,SUM(W342:Y342),"N/A")</f>
        <v>N/A</v>
      </c>
      <c r="AA342" t="str" s="426" cm="1">
        <f t="array" ref="AA342">_xlfn.IFERROR((Z342-Z341),"N/A")</f>
        <v>N/A</v>
      </c>
      <c r="AB342" s="424"/>
      <c r="AC342" t="str" s="426" cm="1">
        <f t="array" ref="AC342">IF(B342=6,AVERAGE(Z329:Z334),"N/A")</f>
        <v>N/A</v>
      </c>
      <c r="AD342" s="424"/>
      <c r="AE342" s="423"/>
      <c r="AF342" s="423"/>
      <c r="AG342" s="423"/>
      <c r="AH342" s="423"/>
      <c r="AI342" s="423"/>
      <c r="AJ342" s="423"/>
      <c r="AK342" s="423"/>
      <c r="AL342" s="423"/>
      <c r="AM342" s="423"/>
      <c r="AN342" s="427"/>
    </row>
    <row r="343" ht="15" customHeight="1">
      <c r="A343" s="12"/>
      <c r="B343" s="428" cm="1">
        <f t="array" ref="B343">IF(B342=0,0,IF(B342&lt;VLOOKUP(C326,'Boats Data Sheet 2026'!$C$3:$H$57,6,0),B342+1,0))</f>
        <v>0</v>
      </c>
      <c r="C343" t="str" s="431" cm="1">
        <f t="array" ref="C343">IF(B343&gt;0,IF(VLOOKUP(C326,'Boats Data Sheet 2026'!$C$3:$J$57,8,0)="N/A",0,VLOOKUP(C326,'Boats Data Sheet 2026'!$C$3:$J$57,8,0)),"N/A")</f>
        <v>N/A</v>
      </c>
      <c r="D343" t="str" s="431" cm="1">
        <f t="array" ref="D343">IF(B343&gt;7,2,IF(B343=0,"N/A",1))</f>
        <v>N/A</v>
      </c>
      <c r="E343" t="str" s="431" cm="1">
        <f t="array" ref="E343">_xlfn.IFERROR(SUM('Direct Costs 2026'!$C$4:$C$5)*D343,"N/A")</f>
        <v>N/A</v>
      </c>
      <c r="F343" s="423" cm="1">
        <f t="array" ref="F343">_xlfn.IFERROR('Direct Costs 2026'!$C$43*B343,"N/A")</f>
        <v>0</v>
      </c>
      <c r="G343" t="str" s="431" cm="1">
        <f t="array" ref="G343">IF(B343&gt;0,'Direct Costs 2026'!$C$25,"N/A")</f>
        <v>N/A</v>
      </c>
      <c r="H343" t="str" s="431" cm="1">
        <f t="array" ref="H343">IF(B343&gt;0,'Direct Costs 2026'!$C$15+'Direct Costs 2026'!$C$14,"N/A")</f>
        <v>N/A</v>
      </c>
      <c r="I343" s="423">
        <v>0</v>
      </c>
      <c r="J343" s="423">
        <v>0</v>
      </c>
      <c r="K343" t="str" s="431" cm="1">
        <f t="array" ref="K343">IF(B343&gt;0,'Direct Costs 2026'!$C$26,"N/A")</f>
        <v>N/A</v>
      </c>
      <c r="L343" t="str" s="431" cm="1">
        <f t="array" ref="L343">IF(B343&gt;0,'Direct Costs 2026'!$C$23,"N/A")</f>
        <v>N/A</v>
      </c>
      <c r="M343" t="str" s="431" cm="1">
        <f t="array" ref="M343">IF(B343&gt;0,'Direct Costs 2026'!$C$45*B343,"N/A")</f>
        <v>N/A</v>
      </c>
      <c r="N343" t="str" s="431" cm="1">
        <f t="array" ref="N343">IF(B343&gt;0,_xlfn.IFERROR(VLOOKUP(C326,'Boats Data Sheet 2026'!$C$3:$I$57,7,0)*'Direct Costs 2026'!$C$36,"N/A"),"N/A")</f>
        <v>N/A</v>
      </c>
      <c r="O343" t="str" s="431" cm="1">
        <f t="array" ref="O343">IF(B343&gt;0,IF(OR(VLOOKUP(C326,'Boats Data Sheet 2026'!$C$3:$F$57,4,0)="Own",VLOOKUP(C326,'Boats Data Sheet 2026'!$C$3:$F$57,4,0)="Management"),('Direct Costs 2026'!$C$37+'Direct Costs 2026'!$C$39),"N/A"),"N/A")</f>
        <v>N/A</v>
      </c>
      <c r="P343" t="str" s="431" cm="1">
        <f t="array" ref="P343">_xlfn.IFERROR('Direct Costs 2026'!$C$27*C343,"N/A")</f>
        <v>N/A</v>
      </c>
      <c r="Q343" t="str" s="431" cm="1">
        <f t="array" ref="Q343">_xlfn.IFERROR(C343+SUM(E343:P343),"N/A")</f>
        <v>N/A</v>
      </c>
      <c r="R343" s="424"/>
      <c r="S343" t="str" s="431" cm="1">
        <f t="array" ref="S343">IF(B343&gt;0,'Allocation OH and Target 2026'!$E$31,"N/A")</f>
        <v>N/A</v>
      </c>
      <c r="T343" t="str" s="431" cm="1">
        <f t="array" ref="T343">IF(B343&gt;0,VLOOKUP(C326,'Allocation OH and Target 2026'!$C$35:$S$87,16,0),"N/A")</f>
        <v>N/A</v>
      </c>
      <c r="U343" t="str" s="431" cm="1">
        <f t="array" ref="U343">_xlfn.IFERROR((S343+T343),"N/A")</f>
        <v>N/A</v>
      </c>
      <c r="V343" s="424"/>
      <c r="W343" t="str" s="431" cm="1">
        <f t="array" ref="W343">_xlfn.IFERROR(U343+Q343,"N/A")</f>
        <v>N/A</v>
      </c>
      <c r="X343" t="str" s="431" cm="1">
        <f t="array" ref="X343">_xlfn.IFERROR(W343*0.5%,"N/A")</f>
        <v>N/A</v>
      </c>
      <c r="Y343" t="str" s="431" cm="1">
        <f t="array" ref="Y343">_xlfn.IFERROR(W343*25%,"N/A")</f>
        <v>N/A</v>
      </c>
      <c r="Z343" t="str" s="426" cm="1">
        <f t="array" ref="Z343">IF(B343&gt;0,SUM(W343:Y343),"N/A")</f>
        <v>N/A</v>
      </c>
      <c r="AA343" t="str" s="426" cm="1">
        <f t="array" ref="AA343">_xlfn.IFERROR((Z343-Z342),"N/A")</f>
        <v>N/A</v>
      </c>
      <c r="AB343" s="424"/>
      <c r="AC343" t="str" s="426" cm="1">
        <f t="array" ref="AC343">IF(B343=6,AVERAGE(Z329:Z334),"N/A")</f>
        <v>N/A</v>
      </c>
      <c r="AD343" s="424"/>
      <c r="AE343" s="423"/>
      <c r="AF343" s="423"/>
      <c r="AG343" s="423"/>
      <c r="AH343" s="423"/>
      <c r="AI343" s="423"/>
      <c r="AJ343" s="423"/>
      <c r="AK343" s="423"/>
      <c r="AL343" s="423"/>
      <c r="AM343" s="423"/>
      <c r="AN343" s="427"/>
    </row>
    <row r="344" ht="15" customHeight="1">
      <c r="A344" s="12"/>
      <c r="B344" s="428" cm="1">
        <f t="array" ref="B344">IF(B343=0,0,IF(B343&lt;VLOOKUP(C326,'Boats Data Sheet 2026'!$C$3:$H$57,6,0),B343+1,0))</f>
        <v>0</v>
      </c>
      <c r="C344" t="str" s="431" cm="1">
        <f t="array" ref="C344">IF(B344&gt;0,IF(VLOOKUP(C326,'Boats Data Sheet 2026'!$C$3:$J$57,8,0)="N/A",0,VLOOKUP(C326,'Boats Data Sheet 2026'!$C$3:$J$57,8,0)),"N/A")</f>
        <v>N/A</v>
      </c>
      <c r="D344" t="str" s="431" cm="1">
        <f t="array" ref="D344">IF(B344&gt;7,2,IF(B344=0,"N/A",1))</f>
        <v>N/A</v>
      </c>
      <c r="E344" t="str" s="431" cm="1">
        <f t="array" ref="E344">_xlfn.IFERROR(SUM('Direct Costs 2026'!$C$4:$C$5)*D344,"N/A")</f>
        <v>N/A</v>
      </c>
      <c r="F344" s="423" cm="1">
        <f t="array" ref="F344">_xlfn.IFERROR('Direct Costs 2026'!$C$43*B344,"N/A")</f>
        <v>0</v>
      </c>
      <c r="G344" t="str" s="431" cm="1">
        <f t="array" ref="G344">IF(B344&gt;0,'Direct Costs 2026'!$C$25,"N/A")</f>
        <v>N/A</v>
      </c>
      <c r="H344" t="str" s="431" cm="1">
        <f t="array" ref="H344">IF(B344&gt;0,'Direct Costs 2026'!$C$15+'Direct Costs 2026'!$C$14,"N/A")</f>
        <v>N/A</v>
      </c>
      <c r="I344" s="423">
        <v>0</v>
      </c>
      <c r="J344" s="423">
        <v>0</v>
      </c>
      <c r="K344" t="str" s="431" cm="1">
        <f t="array" ref="K344">IF(B344&gt;0,'Direct Costs 2026'!$C$26,"N/A")</f>
        <v>N/A</v>
      </c>
      <c r="L344" t="str" s="431" cm="1">
        <f t="array" ref="L344">IF(B344&gt;0,'Direct Costs 2026'!$C$23,"N/A")</f>
        <v>N/A</v>
      </c>
      <c r="M344" t="str" s="431" cm="1">
        <f t="array" ref="M344">IF(B344&gt;0,'Direct Costs 2026'!$C$45*B344,"N/A")</f>
        <v>N/A</v>
      </c>
      <c r="N344" t="str" s="431" cm="1">
        <f t="array" ref="N344">IF(B344&gt;0,_xlfn.IFERROR(VLOOKUP(C326,'Boats Data Sheet 2026'!$C$3:$I$57,7,0)*'Direct Costs 2026'!$C$36,"N/A"),"N/A")</f>
        <v>N/A</v>
      </c>
      <c r="O344" t="str" s="431" cm="1">
        <f t="array" ref="O344">IF(B344&gt;0,IF(OR(VLOOKUP(C326,'Boats Data Sheet 2026'!$C$3:$F$57,4,0)="Own",VLOOKUP(C326,'Boats Data Sheet 2026'!$C$3:$F$57,4,0)="Management"),('Direct Costs 2026'!$C$37+'Direct Costs 2026'!$C$39),"N/A"),"N/A")</f>
        <v>N/A</v>
      </c>
      <c r="P344" t="str" s="431" cm="1">
        <f t="array" ref="P344">_xlfn.IFERROR('Direct Costs 2026'!$C$27*C344,"N/A")</f>
        <v>N/A</v>
      </c>
      <c r="Q344" t="str" s="431" cm="1">
        <f t="array" ref="Q344">_xlfn.IFERROR(C344+SUM(E344:P344),"N/A")</f>
        <v>N/A</v>
      </c>
      <c r="R344" s="424"/>
      <c r="S344" t="str" s="431" cm="1">
        <f t="array" ref="S344">IF(B344&gt;0,'Allocation OH and Target 2026'!$E$31,"N/A")</f>
        <v>N/A</v>
      </c>
      <c r="T344" t="str" s="431" cm="1">
        <f t="array" ref="T344">IF(B344&gt;0,VLOOKUP(C326,'Allocation OH and Target 2026'!$C$35:$S$87,16,0),"N/A")</f>
        <v>N/A</v>
      </c>
      <c r="U344" t="str" s="431" cm="1">
        <f t="array" ref="U344">_xlfn.IFERROR((S344+T344),"N/A")</f>
        <v>N/A</v>
      </c>
      <c r="V344" s="424"/>
      <c r="W344" t="str" s="431" cm="1">
        <f t="array" ref="W344">_xlfn.IFERROR(U344+Q344,"N/A")</f>
        <v>N/A</v>
      </c>
      <c r="X344" t="str" s="431" cm="1">
        <f t="array" ref="X344">_xlfn.IFERROR(W344*0.5%,"N/A")</f>
        <v>N/A</v>
      </c>
      <c r="Y344" t="str" s="431" cm="1">
        <f t="array" ref="Y344">_xlfn.IFERROR(W344*25%,"N/A")</f>
        <v>N/A</v>
      </c>
      <c r="Z344" t="str" s="426" cm="1">
        <f t="array" ref="Z344">IF(B344&gt;0,SUM(W344:Y344),"N/A")</f>
        <v>N/A</v>
      </c>
      <c r="AA344" t="str" s="426" cm="1">
        <f t="array" ref="AA344">_xlfn.IFERROR((Z344-Z343),"N/A")</f>
        <v>N/A</v>
      </c>
      <c r="AB344" s="424"/>
      <c r="AC344" t="str" s="426" cm="1">
        <f t="array" ref="AC344">IF(B344=6,AVERAGE(Z329:Z334),"N/A")</f>
        <v>N/A</v>
      </c>
      <c r="AD344" s="424"/>
      <c r="AE344" s="423"/>
      <c r="AF344" s="423"/>
      <c r="AG344" s="423"/>
      <c r="AH344" s="423"/>
      <c r="AI344" s="423"/>
      <c r="AJ344" s="423"/>
      <c r="AK344" s="423"/>
      <c r="AL344" s="423"/>
      <c r="AM344" s="423"/>
      <c r="AN344" s="427"/>
    </row>
    <row r="345" ht="15" customHeight="1">
      <c r="A345" s="12"/>
      <c r="B345" s="428" cm="1">
        <f t="array" ref="B345">IF(B344=0,0,IF(B344&lt;VLOOKUP(C326,'Boats Data Sheet 2026'!$C$3:$H$57,6,0),B344+1,0))</f>
        <v>0</v>
      </c>
      <c r="C345" t="str" s="431" cm="1">
        <f t="array" ref="C345">IF(B345&gt;0,IF(VLOOKUP(C326,'Boats Data Sheet 2026'!$C$3:$J$57,8,0)="N/A",0,VLOOKUP(C326,'Boats Data Sheet 2026'!$C$3:$J$57,8,0)),"N/A")</f>
        <v>N/A</v>
      </c>
      <c r="D345" t="str" s="431" cm="1">
        <f t="array" ref="D345">IF(B345&gt;7,2,IF(B345=0,"N/A",1))</f>
        <v>N/A</v>
      </c>
      <c r="E345" t="str" s="431" cm="1">
        <f t="array" ref="E345">_xlfn.IFERROR(SUM('Direct Costs 2026'!$C$4:$C$5)*D345,"N/A")</f>
        <v>N/A</v>
      </c>
      <c r="F345" s="423" cm="1">
        <f t="array" ref="F345">_xlfn.IFERROR('Direct Costs 2026'!$C$43*B345,"N/A")</f>
        <v>0</v>
      </c>
      <c r="G345" t="str" s="431" cm="1">
        <f t="array" ref="G345">IF(B345&gt;0,'Direct Costs 2026'!$C$25,"N/A")</f>
        <v>N/A</v>
      </c>
      <c r="H345" t="str" s="431" cm="1">
        <f t="array" ref="H345">IF(B345&gt;0,'Direct Costs 2026'!$C$15+'Direct Costs 2026'!$C$14,"N/A")</f>
        <v>N/A</v>
      </c>
      <c r="I345" s="423">
        <v>0</v>
      </c>
      <c r="J345" s="423">
        <v>0</v>
      </c>
      <c r="K345" t="str" s="431" cm="1">
        <f t="array" ref="K345">IF(B345&gt;0,'Direct Costs 2026'!$C$26,"N/A")</f>
        <v>N/A</v>
      </c>
      <c r="L345" t="str" s="431" cm="1">
        <f t="array" ref="L345">IF(B345&gt;0,'Direct Costs 2026'!$C$23,"N/A")</f>
        <v>N/A</v>
      </c>
      <c r="M345" t="str" s="431" cm="1">
        <f t="array" ref="M345">IF(B345&gt;0,'Direct Costs 2026'!$C$45*B345,"N/A")</f>
        <v>N/A</v>
      </c>
      <c r="N345" t="str" s="431" cm="1">
        <f t="array" ref="N345">IF(B345&gt;0,_xlfn.IFERROR(VLOOKUP(C326,'Boats Data Sheet 2026'!$C$3:$I$57,7,0)*'Direct Costs 2026'!$C$36,"N/A"),"N/A")</f>
        <v>N/A</v>
      </c>
      <c r="O345" t="str" s="431" cm="1">
        <f t="array" ref="O345">IF(B345&gt;0,IF(OR(VLOOKUP(C326,'Boats Data Sheet 2026'!$C$3:$F$57,4,0)="Own",VLOOKUP(C326,'Boats Data Sheet 2026'!$C$3:$F$57,4,0)="Management"),('Direct Costs 2026'!$C$37+'Direct Costs 2026'!$C$39),"N/A"),"N/A")</f>
        <v>N/A</v>
      </c>
      <c r="P345" t="str" s="431" cm="1">
        <f t="array" ref="P345">_xlfn.IFERROR('Direct Costs 2026'!$C$27*C345,"N/A")</f>
        <v>N/A</v>
      </c>
      <c r="Q345" t="str" s="431" cm="1">
        <f t="array" ref="Q345">_xlfn.IFERROR(C345+SUM(E345:P345),"N/A")</f>
        <v>N/A</v>
      </c>
      <c r="R345" s="424"/>
      <c r="S345" t="str" s="431" cm="1">
        <f t="array" ref="S345">IF(B345&gt;0,'Allocation OH and Target 2026'!$E$31,"N/A")</f>
        <v>N/A</v>
      </c>
      <c r="T345" t="str" s="431" cm="1">
        <f t="array" ref="T345">IF(B345&gt;0,VLOOKUP(C326,'Allocation OH and Target 2026'!$C$35:$S$87,16,0),"N/A")</f>
        <v>N/A</v>
      </c>
      <c r="U345" t="str" s="431" cm="1">
        <f t="array" ref="U345">_xlfn.IFERROR((S345+T345),"N/A")</f>
        <v>N/A</v>
      </c>
      <c r="V345" s="424"/>
      <c r="W345" t="str" s="431" cm="1">
        <f t="array" ref="W345">_xlfn.IFERROR(U345+Q345,"N/A")</f>
        <v>N/A</v>
      </c>
      <c r="X345" t="str" s="431" cm="1">
        <f t="array" ref="X345">_xlfn.IFERROR(W345*0.5%,"N/A")</f>
        <v>N/A</v>
      </c>
      <c r="Y345" t="str" s="431" cm="1">
        <f t="array" ref="Y345">_xlfn.IFERROR(W345*25%,"N/A")</f>
        <v>N/A</v>
      </c>
      <c r="Z345" t="str" s="426" cm="1">
        <f t="array" ref="Z345">IF(B345&gt;0,SUM(W345:Y345),"N/A")</f>
        <v>N/A</v>
      </c>
      <c r="AA345" t="str" s="426" cm="1">
        <f t="array" ref="AA345">_xlfn.IFERROR((Z345-Z344),"N/A")</f>
        <v>N/A</v>
      </c>
      <c r="AB345" s="424"/>
      <c r="AC345" t="str" s="426" cm="1">
        <f t="array" ref="AC345">IF(B345=6,AVERAGE(Z329:Z334),"N/A")</f>
        <v>N/A</v>
      </c>
      <c r="AD345" s="424"/>
      <c r="AE345" s="423"/>
      <c r="AF345" s="423"/>
      <c r="AG345" s="423"/>
      <c r="AH345" s="423"/>
      <c r="AI345" s="423"/>
      <c r="AJ345" s="423"/>
      <c r="AK345" s="423"/>
      <c r="AL345" s="423"/>
      <c r="AM345" s="423"/>
      <c r="AN345" s="427"/>
    </row>
    <row r="346" ht="15.5" customHeight="1">
      <c r="A346" s="12"/>
      <c r="B346" s="432" cm="1">
        <f t="array" ref="B346">IF(B345=0,0,IF(B345&lt;VLOOKUP(C326,'Boats Data Sheet 2026'!$C$3:$H$57,6,0),B345+1,0))</f>
        <v>0</v>
      </c>
      <c r="C346" t="str" s="433" cm="1">
        <f t="array" ref="C346">IF(B346&gt;0,IF(VLOOKUP(C326,'Boats Data Sheet 2026'!$C$3:$J$57,8,0)="N/A",0,VLOOKUP(C326,'Boats Data Sheet 2026'!$C$3:$J$57,8,0)),"N/A")</f>
        <v>N/A</v>
      </c>
      <c r="D346" t="str" s="433" cm="1">
        <f t="array" ref="D346">IF(B346&gt;7,2,IF(B346=0,"N/A",1))</f>
        <v>N/A</v>
      </c>
      <c r="E346" t="str" s="433" cm="1">
        <f t="array" ref="E346">_xlfn.IFERROR(SUM('Direct Costs 2026'!$C$4:$C$5)*D346,"N/A")</f>
        <v>N/A</v>
      </c>
      <c r="F346" s="434" cm="1">
        <f t="array" ref="F346">_xlfn.IFERROR('Direct Costs 2026'!$C$43*B346,"N/A")</f>
        <v>0</v>
      </c>
      <c r="G346" t="str" s="433" cm="1">
        <f t="array" ref="G346">IF(B346&gt;0,'Direct Costs 2026'!$C$25,"N/A")</f>
        <v>N/A</v>
      </c>
      <c r="H346" t="str" s="433" cm="1">
        <f t="array" ref="H346">IF(B346&gt;0,'Direct Costs 2026'!$C$15+'Direct Costs 2026'!$C$14,"N/A")</f>
        <v>N/A</v>
      </c>
      <c r="I346" s="434">
        <v>0</v>
      </c>
      <c r="J346" s="434">
        <v>0</v>
      </c>
      <c r="K346" t="str" s="433" cm="1">
        <f t="array" ref="K346">IF(B346&gt;0,'Direct Costs 2026'!$C$26,"N/A")</f>
        <v>N/A</v>
      </c>
      <c r="L346" t="str" s="433" cm="1">
        <f t="array" ref="L346">IF(B346&gt;0,'Direct Costs 2026'!$C$23,"N/A")</f>
        <v>N/A</v>
      </c>
      <c r="M346" t="str" s="433" cm="1">
        <f t="array" ref="M346">IF(B346&gt;0,'Direct Costs 2026'!$C$45*B346,"N/A")</f>
        <v>N/A</v>
      </c>
      <c r="N346" t="str" s="433" cm="1">
        <f t="array" ref="N346">IF(B346&gt;0,_xlfn.IFERROR(VLOOKUP(C326,'Boats Data Sheet 2026'!$C$3:$I$57,7,0)*'Direct Costs 2026'!$C$36,"N/A"),"N/A")</f>
        <v>N/A</v>
      </c>
      <c r="O346" t="str" s="433" cm="1">
        <f t="array" ref="O346">IF(B346&gt;0,IF(OR(VLOOKUP(C326,'Boats Data Sheet 2026'!$C$3:$F$57,4,0)="Own",VLOOKUP(C326,'Boats Data Sheet 2026'!$C$3:$F$57,4,0)="Management"),('Direct Costs 2026'!$C$37+'Direct Costs 2026'!$C$39),"N/A"),"N/A")</f>
        <v>N/A</v>
      </c>
      <c r="P346" t="str" s="433" cm="1">
        <f t="array" ref="P346">_xlfn.IFERROR('Direct Costs 2026'!$C$27*C346,"N/A")</f>
        <v>N/A</v>
      </c>
      <c r="Q346" t="str" s="433" cm="1">
        <f t="array" ref="Q346">_xlfn.IFERROR(C346+SUM(E346:P346),"N/A")</f>
        <v>N/A</v>
      </c>
      <c r="R346" s="435"/>
      <c r="S346" t="str" s="433" cm="1">
        <f t="array" ref="S346">IF(B346&gt;0,'Allocation OH and Target 2026'!$E$31,"N/A")</f>
        <v>N/A</v>
      </c>
      <c r="T346" t="str" s="433" cm="1">
        <f t="array" ref="T346">IF(B346&gt;0,VLOOKUP(C326,'Allocation OH and Target 2026'!$C$35:$S$87,16,0),"N/A")</f>
        <v>N/A</v>
      </c>
      <c r="U346" t="str" s="433" cm="1">
        <f t="array" ref="U346">_xlfn.IFERROR((S346+T346),"N/A")</f>
        <v>N/A</v>
      </c>
      <c r="V346" s="435"/>
      <c r="W346" t="str" s="433" cm="1">
        <f t="array" ref="W346">_xlfn.IFERROR(U346+Q346,"N/A")</f>
        <v>N/A</v>
      </c>
      <c r="X346" t="str" s="433" cm="1">
        <f t="array" ref="X346">_xlfn.IFERROR(W346*0.5%,"N/A")</f>
        <v>N/A</v>
      </c>
      <c r="Y346" t="str" s="433" cm="1">
        <f t="array" ref="Y346">_xlfn.IFERROR(W346*25%,"N/A")</f>
        <v>N/A</v>
      </c>
      <c r="Z346" t="str" s="436" cm="1">
        <f t="array" ref="Z346">IF(B346&gt;0,SUM(W346:Y346),"N/A")</f>
        <v>N/A</v>
      </c>
      <c r="AA346" t="str" s="436" cm="1">
        <f t="array" ref="AA346">_xlfn.IFERROR((Z346-Z345),"N/A")</f>
        <v>N/A</v>
      </c>
      <c r="AB346" s="435"/>
      <c r="AC346" t="str" s="436" cm="1">
        <f t="array" ref="AC346">IF(B346=6,AVERAGE(Z329:Z334),"N/A")</f>
        <v>N/A</v>
      </c>
      <c r="AD346" s="435"/>
      <c r="AE346" s="434"/>
      <c r="AF346" s="434"/>
      <c r="AG346" s="434"/>
      <c r="AH346" s="434"/>
      <c r="AI346" s="434"/>
      <c r="AJ346" s="434"/>
      <c r="AK346" s="434"/>
      <c r="AL346" s="434"/>
      <c r="AM346" s="434"/>
      <c r="AN346" s="437"/>
    </row>
    <row r="347" ht="15" customHeight="1">
      <c r="A347" s="32"/>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c r="AD347" s="124"/>
      <c r="AE347" s="124"/>
      <c r="AF347" s="124"/>
      <c r="AG347" s="124"/>
      <c r="AH347" s="124"/>
      <c r="AI347" s="124"/>
      <c r="AJ347" s="124"/>
      <c r="AK347" s="124"/>
      <c r="AL347" s="124"/>
      <c r="AM347" s="124"/>
      <c r="AN347" s="313"/>
    </row>
    <row r="348" ht="15" customHeight="1">
      <c r="A348" s="32"/>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c r="AH348" s="35"/>
      <c r="AI348" s="35"/>
      <c r="AJ348" s="35"/>
      <c r="AK348" s="35"/>
      <c r="AL348" s="35"/>
      <c r="AM348" s="35"/>
      <c r="AN348" s="442"/>
    </row>
    <row r="349" ht="15.5" customHeight="1">
      <c r="A349" s="395">
        <v>17</v>
      </c>
      <c r="B349" t="s" s="396">
        <v>506</v>
      </c>
      <c r="C349" t="s" s="397">
        <v>199</v>
      </c>
      <c r="D349" s="398"/>
      <c r="E349" s="398"/>
      <c r="F349" s="398"/>
      <c r="G349" s="398"/>
      <c r="H349" s="398"/>
      <c r="I349" s="398"/>
      <c r="J349" s="398"/>
      <c r="K349" s="398"/>
      <c r="L349" s="398"/>
      <c r="M349" s="398"/>
      <c r="N349" s="398"/>
      <c r="O349" s="398"/>
      <c r="P349" s="398"/>
      <c r="Q349" s="398"/>
      <c r="R349" s="399"/>
      <c r="S349" s="398"/>
      <c r="T349" s="398"/>
      <c r="U349" s="398"/>
      <c r="V349" s="399"/>
      <c r="W349" s="398"/>
      <c r="X349" s="398"/>
      <c r="Y349" s="398"/>
      <c r="Z349" s="398"/>
      <c r="AA349" s="398"/>
      <c r="AB349" s="399"/>
      <c r="AC349" s="398"/>
      <c r="AD349" s="399"/>
      <c r="AE349" t="s" s="397">
        <v>508</v>
      </c>
      <c r="AF349" s="401" cm="1">
        <f t="array" ref="AF349">AVERAGE(Q352:Q357)</f>
        <v>9725500</v>
      </c>
      <c r="AG349" t="s" s="400">
        <v>509</v>
      </c>
      <c r="AH349" s="401" cm="1">
        <f t="array" ref="AH349">AVERAGE(Q358:Q365)-AF349</f>
        <v>1665583.33333333</v>
      </c>
      <c r="AI349" t="s" s="400">
        <v>510</v>
      </c>
      <c r="AJ349" s="401" cm="1">
        <f t="array" ref="AJ349">AVERAGE(Y352:Y359)</f>
        <v>3272846.16442453</v>
      </c>
      <c r="AK349" t="s" s="397">
        <v>511</v>
      </c>
      <c r="AL349" s="401" cm="1">
        <f t="array" ref="AL349">AVERAGE(W352:W357)</f>
        <v>12825947.1576981</v>
      </c>
      <c r="AM349" t="s" s="400">
        <v>512</v>
      </c>
      <c r="AN349" s="402" cm="1">
        <f t="array" ref="AN349">W352</f>
        <v>12435947.1576981</v>
      </c>
    </row>
    <row r="350" ht="15" customHeight="1">
      <c r="A350" s="12"/>
      <c r="B350" s="403"/>
      <c r="C350" t="s" s="404">
        <v>513</v>
      </c>
      <c r="D350" s="405"/>
      <c r="E350" s="405"/>
      <c r="F350" s="405"/>
      <c r="G350" s="405"/>
      <c r="H350" s="405"/>
      <c r="I350" s="405"/>
      <c r="J350" s="405"/>
      <c r="K350" s="405"/>
      <c r="L350" s="405"/>
      <c r="M350" s="405"/>
      <c r="N350" s="405"/>
      <c r="O350" s="405"/>
      <c r="P350" s="405"/>
      <c r="Q350" s="406"/>
      <c r="R350" s="407"/>
      <c r="S350" t="s" s="404">
        <v>514</v>
      </c>
      <c r="T350" s="405"/>
      <c r="U350" s="406"/>
      <c r="V350" s="407"/>
      <c r="W350" t="s" s="404">
        <v>515</v>
      </c>
      <c r="X350" s="405"/>
      <c r="Y350" s="405"/>
      <c r="Z350" s="405"/>
      <c r="AA350" s="405"/>
      <c r="AB350" s="408"/>
      <c r="AC350" s="489"/>
      <c r="AD350" s="410"/>
      <c r="AE350" s="443"/>
      <c r="AF350" s="443"/>
      <c r="AG350" s="443"/>
      <c r="AH350" s="443"/>
      <c r="AI350" s="443"/>
      <c r="AJ350" s="443"/>
      <c r="AK350" s="443"/>
      <c r="AL350" s="414"/>
      <c r="AM350" s="415"/>
      <c r="AN350" s="414"/>
    </row>
    <row r="351" ht="46.25" customHeight="1">
      <c r="A351" s="187"/>
      <c r="B351" t="s" s="416">
        <v>517</v>
      </c>
      <c r="C351" t="s" s="417">
        <v>518</v>
      </c>
      <c r="D351" t="s" s="417">
        <v>519</v>
      </c>
      <c r="E351" t="s" s="417">
        <v>520</v>
      </c>
      <c r="F351" t="s" s="159">
        <v>521</v>
      </c>
      <c r="G351" t="s" s="159">
        <v>522</v>
      </c>
      <c r="H351" t="s" s="159">
        <v>556</v>
      </c>
      <c r="I351" t="s" s="159">
        <v>524</v>
      </c>
      <c r="J351" t="s" s="159">
        <v>525</v>
      </c>
      <c r="K351" t="s" s="159">
        <v>526</v>
      </c>
      <c r="L351" t="s" s="159">
        <v>527</v>
      </c>
      <c r="M351" t="s" s="159">
        <v>528</v>
      </c>
      <c r="N351" t="s" s="159">
        <v>529</v>
      </c>
      <c r="O351" t="s" s="159">
        <v>530</v>
      </c>
      <c r="P351" t="s" s="159">
        <v>531</v>
      </c>
      <c r="Q351" t="s" s="159">
        <v>532</v>
      </c>
      <c r="R351" s="418"/>
      <c r="S351" t="s" s="159">
        <v>533</v>
      </c>
      <c r="T351" t="s" s="159">
        <v>534</v>
      </c>
      <c r="U351" t="s" s="159">
        <v>535</v>
      </c>
      <c r="V351" s="418"/>
      <c r="W351" t="s" s="159">
        <v>536</v>
      </c>
      <c r="X351" t="s" s="159">
        <v>537</v>
      </c>
      <c r="Y351" t="s" s="159">
        <v>538</v>
      </c>
      <c r="Z351" t="s" s="159">
        <v>539</v>
      </c>
      <c r="AA351" t="s" s="159">
        <v>121</v>
      </c>
      <c r="AB351" s="419"/>
      <c r="AC351" t="s" s="159">
        <v>39</v>
      </c>
      <c r="AD351" s="419"/>
      <c r="AE351" s="77"/>
      <c r="AF351" s="77"/>
      <c r="AG351" s="77"/>
      <c r="AH351" s="77"/>
      <c r="AI351" s="77"/>
      <c r="AJ351" s="77"/>
      <c r="AK351" s="77"/>
      <c r="AL351" s="77"/>
      <c r="AM351" s="77"/>
      <c r="AN351" s="78"/>
    </row>
    <row r="352" ht="15" customHeight="1">
      <c r="A352" s="12"/>
      <c r="B352" s="420">
        <v>1</v>
      </c>
      <c r="C352" s="421" cm="1">
        <f t="array" ref="C352">IF(B352&gt;0,IF(VLOOKUP(C349,'Boats Data Sheet 2026'!$C$3:$J$57,8,0)="N/A",0,VLOOKUP(C349,'Boats Data Sheet 2026'!$C$3:$J$57,8,0)),"N/A")</f>
        <v>7700000</v>
      </c>
      <c r="D352" s="422" cm="1">
        <f t="array" ref="D352">IF(B352&gt;7,2,IF(B352=0,"N/A",1))</f>
        <v>1</v>
      </c>
      <c r="E352" s="421" cm="1">
        <f t="array" ref="E352">_xlfn.IFERROR(SUM('Direct Costs 2026'!$C$4:$C$5)*D352,"N/A")</f>
        <v>875500</v>
      </c>
      <c r="F352" s="423" cm="1">
        <f t="array" ref="F352">_xlfn.IFERROR('Direct Costs 2026'!$C$43*B352,"N/A")</f>
        <v>6000</v>
      </c>
      <c r="G352" s="423" cm="1">
        <f t="array" ref="G352">IF(B352&gt;0,'Direct Costs 2026'!$C$25,"N/A")</f>
        <v>90000</v>
      </c>
      <c r="H352" s="423" cm="1">
        <f t="array" ref="H352">IF(B352&gt;0,'Direct Costs 2026'!$C$22,"N/A")</f>
        <v>200000</v>
      </c>
      <c r="I352" s="423">
        <v>0</v>
      </c>
      <c r="J352" s="423">
        <v>0</v>
      </c>
      <c r="K352" s="423" cm="1">
        <f t="array" ref="K352">IF(B352&gt;0,'Direct Costs 2026'!$C$26,"N/A")</f>
        <v>20000</v>
      </c>
      <c r="L352" s="423" cm="1">
        <f t="array" ref="L352">IF(B352&gt;0,'Direct Costs 2026'!$C$23,"N/A")</f>
        <v>140000</v>
      </c>
      <c r="M352" s="423" cm="1">
        <f t="array" ref="M352">IF(B352&gt;0,'Direct Costs 2026'!$C$45*B352,"N/A")</f>
        <v>150000</v>
      </c>
      <c r="N352" t="str" s="431" cm="1">
        <f t="array" ref="N352">IF(B352&gt;0,_xlfn.IFERROR(VLOOKUP(C349,'Boats Data Sheet 2026'!$C$3:$I$57,7,0)*'Direct Costs 2026'!$C$36,"N/A"),"N/A")</f>
        <v>N/A</v>
      </c>
      <c r="O352" t="str" s="431" cm="1">
        <f t="array" ref="O352">IF(B352&gt;0,IF(OR(VLOOKUP(C349,'Boats Data Sheet 2026'!$C$3:$F$57,4,0)="Own",VLOOKUP(C349,'Boats Data Sheet 2026'!$C$3:$F$57,4,0)="Management"),('Direct Costs 2026'!$C$37+'Direct Costs 2026'!$C$39),"N/A"),"N/A")</f>
        <v>N/A</v>
      </c>
      <c r="P352" s="423" cm="1">
        <f t="array" ref="P352">_xlfn.IFERROR('Direct Costs 2026'!$C$27*C352,"N/A")</f>
        <v>154000</v>
      </c>
      <c r="Q352" s="423" cm="1">
        <f t="array" ref="Q352">_xlfn.IFERROR(C352+SUM(E352:P352),"N/A")</f>
        <v>9335500</v>
      </c>
      <c r="R352" s="424"/>
      <c r="S352" s="423" cm="1">
        <f t="array" ref="S352">IF(B352&gt;0,'Allocation OH and Target 2026'!$E$31,"N/A")</f>
        <v>3100447.15769812</v>
      </c>
      <c r="T352" s="423" cm="1">
        <f t="array" ref="T352">IF(B352&gt;0,VLOOKUP(C349,'Allocation OH and Target 2026'!$C$35:$S$87,16,0),"N/A")</f>
        <v>0</v>
      </c>
      <c r="U352" s="423" cm="1">
        <f t="array" ref="U352">_xlfn.IFERROR((S352+T352),"N/A")</f>
        <v>3100447.15769812</v>
      </c>
      <c r="V352" s="424"/>
      <c r="W352" s="423" cm="1">
        <f t="array" ref="W352">_xlfn.IFERROR(U352+Q352,"N/A")</f>
        <v>12435947.1576981</v>
      </c>
      <c r="X352" s="423" cm="1">
        <f t="array" ref="X352">_xlfn.IFERROR(W352*0.5%,"N/A")</f>
        <v>62179.7357884905</v>
      </c>
      <c r="Y352" s="423" cm="1">
        <f t="array" ref="Y352">_xlfn.IFERROR(W352*25%,"N/A")</f>
        <v>3108986.78942453</v>
      </c>
      <c r="Z352" s="425" cm="1">
        <f t="array" ref="Z352">IF(B352&gt;0,SUM(W352:Y352),"N/A")</f>
        <v>15607113.6829111</v>
      </c>
      <c r="AA352" s="425">
        <v>0</v>
      </c>
      <c r="AB352" s="424"/>
      <c r="AC352" t="str" s="426" cm="1">
        <f t="array" ref="AC352">IF(B352=6,AVERAGE(Z352:Z357),"N/A")</f>
        <v>N/A</v>
      </c>
      <c r="AD352" s="424"/>
      <c r="AE352" s="423"/>
      <c r="AF352" s="423"/>
      <c r="AG352" s="423"/>
      <c r="AH352" s="423"/>
      <c r="AI352" s="423"/>
      <c r="AJ352" s="423"/>
      <c r="AK352" s="423"/>
      <c r="AL352" s="423"/>
      <c r="AM352" s="423"/>
      <c r="AN352" s="427"/>
    </row>
    <row r="353" ht="15" customHeight="1">
      <c r="A353" s="12"/>
      <c r="B353" s="428" cm="1">
        <f t="array" ref="B353">IF(B352=0,0,IF(B352&lt;VLOOKUP(C349,'Boats Data Sheet 2026'!$C$3:$H$57,6,0),B352+1,0))</f>
        <v>2</v>
      </c>
      <c r="C353" s="423" cm="1">
        <f t="array" ref="C353">IF(B353&gt;0,IF(VLOOKUP(C349,'Boats Data Sheet 2026'!$C$3:$J$57,8,0)="N/A",0,VLOOKUP(C349,'Boats Data Sheet 2026'!$C$3:$J$57,8,0)),"N/A")</f>
        <v>7700000</v>
      </c>
      <c r="D353" s="429" cm="1">
        <f t="array" ref="D353">IF(B353&gt;7,2,IF(B353=0,"N/A",1))</f>
        <v>1</v>
      </c>
      <c r="E353" s="423" cm="1">
        <f t="array" ref="E353">_xlfn.IFERROR(SUM('Direct Costs 2026'!$C$4:$C$5)*D353,"N/A")</f>
        <v>875500</v>
      </c>
      <c r="F353" s="423" cm="1">
        <f t="array" ref="F353">_xlfn.IFERROR('Direct Costs 2026'!$C$43*B353,"N/A")</f>
        <v>12000</v>
      </c>
      <c r="G353" s="423" cm="1">
        <f t="array" ref="G353">IF(B353&gt;0,'Direct Costs 2026'!$C$25,"N/A")</f>
        <v>90000</v>
      </c>
      <c r="H353" s="423" cm="1">
        <f t="array" ref="H353">IF(B353&gt;0,'Direct Costs 2026'!$C$22,"N/A")</f>
        <v>200000</v>
      </c>
      <c r="I353" s="423">
        <v>0</v>
      </c>
      <c r="J353" s="423">
        <v>0</v>
      </c>
      <c r="K353" s="423" cm="1">
        <f t="array" ref="K353">IF(B353&gt;0,'Direct Costs 2026'!$C$26,"N/A")</f>
        <v>20000</v>
      </c>
      <c r="L353" s="423" cm="1">
        <f t="array" ref="L353">IF(B353&gt;0,'Direct Costs 2026'!$C$23,"N/A")</f>
        <v>140000</v>
      </c>
      <c r="M353" s="423" cm="1">
        <f t="array" ref="M353">IF(B353&gt;0,'Direct Costs 2026'!$C$45*B353,"N/A")</f>
        <v>300000</v>
      </c>
      <c r="N353" t="str" s="431" cm="1">
        <f t="array" ref="N353">IF(B353&gt;0,_xlfn.IFERROR(VLOOKUP(C349,'Boats Data Sheet 2026'!$C$3:$I$57,7,0)*'Direct Costs 2026'!$C$36,"N/A"),"N/A")</f>
        <v>N/A</v>
      </c>
      <c r="O353" t="str" s="431" cm="1">
        <f t="array" ref="O353">IF(B353&gt;0,IF(OR(VLOOKUP(C349,'Boats Data Sheet 2026'!$C$3:$F$57,4,0)="Own",VLOOKUP(C349,'Boats Data Sheet 2026'!$C$3:$F$57,4,0)="Management"),('Direct Costs 2026'!$C$37+'Direct Costs 2026'!$C$39),"N/A"),"N/A")</f>
        <v>N/A</v>
      </c>
      <c r="P353" s="423" cm="1">
        <f t="array" ref="P353">_xlfn.IFERROR('Direct Costs 2026'!$C$27*C353,"N/A")</f>
        <v>154000</v>
      </c>
      <c r="Q353" s="423" cm="1">
        <f t="array" ref="Q353">_xlfn.IFERROR(C353+SUM(E353:P353),"N/A")</f>
        <v>9491500</v>
      </c>
      <c r="R353" s="424"/>
      <c r="S353" s="423" cm="1">
        <f t="array" ref="S353">IF(B353&gt;0,'Allocation OH and Target 2026'!$E$31,"N/A")</f>
        <v>3100447.15769812</v>
      </c>
      <c r="T353" s="423" cm="1">
        <f t="array" ref="T353">IF(B353&gt;0,VLOOKUP(C349,'Allocation OH and Target 2026'!$C$35:$S$87,16,0),"N/A")</f>
        <v>0</v>
      </c>
      <c r="U353" s="423" cm="1">
        <f t="array" ref="U353">_xlfn.IFERROR((S353+T353),"N/A")</f>
        <v>3100447.15769812</v>
      </c>
      <c r="V353" s="424"/>
      <c r="W353" s="423" cm="1">
        <f t="array" ref="W353">_xlfn.IFERROR(U353+Q353,"N/A")</f>
        <v>12591947.1576981</v>
      </c>
      <c r="X353" s="423" cm="1">
        <f t="array" ref="X353">_xlfn.IFERROR(W353*0.5%,"N/A")</f>
        <v>62959.7357884905</v>
      </c>
      <c r="Y353" s="423" cm="1">
        <f t="array" ref="Y353">_xlfn.IFERROR(W353*25%,"N/A")</f>
        <v>3147986.78942453</v>
      </c>
      <c r="Z353" s="425" cm="1">
        <f t="array" ref="Z353">IF(B353&gt;0,SUM(W353:Y353),"N/A")</f>
        <v>15802893.6829111</v>
      </c>
      <c r="AA353" s="425" cm="1">
        <f t="array" ref="AA353">_xlfn.IFERROR((Z353-Z352),"N/A")</f>
        <v>195780</v>
      </c>
      <c r="AB353" s="424"/>
      <c r="AC353" t="str" s="426" cm="1">
        <f t="array" ref="AC353">IF(B353=6,AVERAGE(Z352:Z357),"N/A")</f>
        <v>N/A</v>
      </c>
      <c r="AD353" s="424"/>
      <c r="AE353" s="423"/>
      <c r="AF353" s="423"/>
      <c r="AG353" s="423"/>
      <c r="AH353" s="423"/>
      <c r="AI353" s="423"/>
      <c r="AJ353" s="423"/>
      <c r="AK353" s="423"/>
      <c r="AL353" s="423"/>
      <c r="AM353" s="423"/>
      <c r="AN353" s="427"/>
    </row>
    <row r="354" ht="15" customHeight="1">
      <c r="A354" s="12"/>
      <c r="B354" s="428" cm="1">
        <f t="array" ref="B354">IF(B353=0,0,IF(B353&lt;VLOOKUP(C349,'Boats Data Sheet 2026'!$C$3:$H$57,6,0),B353+1,0))</f>
        <v>3</v>
      </c>
      <c r="C354" s="423" cm="1">
        <f t="array" ref="C354">IF(B354&gt;0,IF(VLOOKUP(C349,'Boats Data Sheet 2026'!$C$3:$J$57,8,0)="N/A",0,VLOOKUP(C349,'Boats Data Sheet 2026'!$C$3:$J$57,8,0)),"N/A")</f>
        <v>7700000</v>
      </c>
      <c r="D354" s="429" cm="1">
        <f t="array" ref="D354">IF(B354&gt;7,2,IF(B354=0,"N/A",1))</f>
        <v>1</v>
      </c>
      <c r="E354" s="423" cm="1">
        <f t="array" ref="E354">_xlfn.IFERROR(SUM('Direct Costs 2026'!$C$4:$C$5)*D354,"N/A")</f>
        <v>875500</v>
      </c>
      <c r="F354" s="423" cm="1">
        <f t="array" ref="F354">_xlfn.IFERROR('Direct Costs 2026'!$C$43*B354,"N/A")</f>
        <v>18000</v>
      </c>
      <c r="G354" s="423" cm="1">
        <f t="array" ref="G354">IF(B354&gt;0,'Direct Costs 2026'!$C$25,"N/A")</f>
        <v>90000</v>
      </c>
      <c r="H354" s="423" cm="1">
        <f t="array" ref="H354">IF(B354&gt;0,'Direct Costs 2026'!$C$22,"N/A")</f>
        <v>200000</v>
      </c>
      <c r="I354" s="423">
        <v>0</v>
      </c>
      <c r="J354" s="423">
        <v>0</v>
      </c>
      <c r="K354" s="423" cm="1">
        <f t="array" ref="K354">IF(B354&gt;0,'Direct Costs 2026'!$C$26,"N/A")</f>
        <v>20000</v>
      </c>
      <c r="L354" s="423" cm="1">
        <f t="array" ref="L354">IF(B354&gt;0,'Direct Costs 2026'!$C$23,"N/A")</f>
        <v>140000</v>
      </c>
      <c r="M354" s="423" cm="1">
        <f t="array" ref="M354">IF(B354&gt;0,'Direct Costs 2026'!$C$45*B354,"N/A")</f>
        <v>450000</v>
      </c>
      <c r="N354" t="str" s="431" cm="1">
        <f t="array" ref="N354">IF(B354&gt;0,_xlfn.IFERROR(VLOOKUP(C349,'Boats Data Sheet 2026'!$C$3:$I$57,7,0)*'Direct Costs 2026'!$C$36,"N/A"),"N/A")</f>
        <v>N/A</v>
      </c>
      <c r="O354" t="str" s="431" cm="1">
        <f t="array" ref="O354">IF(B354&gt;0,IF(OR(VLOOKUP(C349,'Boats Data Sheet 2026'!$C$3:$F$57,4,0)="Own",VLOOKUP(C349,'Boats Data Sheet 2026'!$C$3:$F$57,4,0)="Management"),('Direct Costs 2026'!$C$37+'Direct Costs 2026'!$C$39),"N/A"),"N/A")</f>
        <v>N/A</v>
      </c>
      <c r="P354" s="423" cm="1">
        <f t="array" ref="P354">_xlfn.IFERROR('Direct Costs 2026'!$C$27*C354,"N/A")</f>
        <v>154000</v>
      </c>
      <c r="Q354" s="423" cm="1">
        <f t="array" ref="Q354">_xlfn.IFERROR(C354+SUM(E354:P354),"N/A")</f>
        <v>9647500</v>
      </c>
      <c r="R354" s="424"/>
      <c r="S354" s="423" cm="1">
        <f t="array" ref="S354">IF(B354&gt;0,'Allocation OH and Target 2026'!$E$31,"N/A")</f>
        <v>3100447.15769812</v>
      </c>
      <c r="T354" s="423" cm="1">
        <f t="array" ref="T354">IF(B354&gt;0,VLOOKUP(C349,'Allocation OH and Target 2026'!$C$35:$S$87,16,0),"N/A")</f>
        <v>0</v>
      </c>
      <c r="U354" s="423" cm="1">
        <f t="array" ref="U354">_xlfn.IFERROR((S354+T354),"N/A")</f>
        <v>3100447.15769812</v>
      </c>
      <c r="V354" s="424"/>
      <c r="W354" s="423" cm="1">
        <f t="array" ref="W354">_xlfn.IFERROR(U354+Q354,"N/A")</f>
        <v>12747947.1576981</v>
      </c>
      <c r="X354" s="423" cm="1">
        <f t="array" ref="X354">_xlfn.IFERROR(W354*0.5%,"N/A")</f>
        <v>63739.7357884905</v>
      </c>
      <c r="Y354" s="423" cm="1">
        <f t="array" ref="Y354">_xlfn.IFERROR(W354*25%,"N/A")</f>
        <v>3186986.78942453</v>
      </c>
      <c r="Z354" s="425" cm="1">
        <f t="array" ref="Z354">IF(B354&gt;0,SUM(W354:Y354),"N/A")</f>
        <v>15998673.6829111</v>
      </c>
      <c r="AA354" s="425" cm="1">
        <f t="array" ref="AA354">_xlfn.IFERROR((Z354-Z353),"N/A")</f>
        <v>195780</v>
      </c>
      <c r="AB354" s="424"/>
      <c r="AC354" t="str" s="426" cm="1">
        <f t="array" ref="AC354">IF(B354=6,AVERAGE(Z352:Z357),"N/A")</f>
        <v>N/A</v>
      </c>
      <c r="AD354" s="424"/>
      <c r="AE354" s="423"/>
      <c r="AF354" s="423"/>
      <c r="AG354" s="423"/>
      <c r="AH354" s="423"/>
      <c r="AI354" s="423"/>
      <c r="AJ354" s="423"/>
      <c r="AK354" s="423"/>
      <c r="AL354" s="423"/>
      <c r="AM354" s="423"/>
      <c r="AN354" s="427"/>
    </row>
    <row r="355" ht="15" customHeight="1">
      <c r="A355" s="12"/>
      <c r="B355" s="428" cm="1">
        <f t="array" ref="B355">IF(B354=0,0,IF(B354&lt;VLOOKUP(C349,'Boats Data Sheet 2026'!$C$3:$H$57,6,0),B354+1,0))</f>
        <v>4</v>
      </c>
      <c r="C355" s="423" cm="1">
        <f t="array" ref="C355">IF(B355&gt;0,IF(VLOOKUP(C349,'Boats Data Sheet 2026'!$C$3:$J$57,8,0)="N/A",0,VLOOKUP(C349,'Boats Data Sheet 2026'!$C$3:$J$57,8,0)),"N/A")</f>
        <v>7700000</v>
      </c>
      <c r="D355" s="429" cm="1">
        <f t="array" ref="D355">IF(B355&gt;7,2,IF(B355=0,"N/A",1))</f>
        <v>1</v>
      </c>
      <c r="E355" s="423" cm="1">
        <f t="array" ref="E355">_xlfn.IFERROR(SUM('Direct Costs 2026'!$C$4:$C$5)*D355,"N/A")</f>
        <v>875500</v>
      </c>
      <c r="F355" s="423" cm="1">
        <f t="array" ref="F355">_xlfn.IFERROR('Direct Costs 2026'!$C$43*B355,"N/A")</f>
        <v>24000</v>
      </c>
      <c r="G355" s="423" cm="1">
        <f t="array" ref="G355">IF(B355&gt;0,'Direct Costs 2026'!$C$25,"N/A")</f>
        <v>90000</v>
      </c>
      <c r="H355" s="423" cm="1">
        <f t="array" ref="H355">IF(B355&gt;0,'Direct Costs 2026'!$C$22,"N/A")</f>
        <v>200000</v>
      </c>
      <c r="I355" s="423">
        <v>0</v>
      </c>
      <c r="J355" s="423">
        <v>0</v>
      </c>
      <c r="K355" s="423" cm="1">
        <f t="array" ref="K355">IF(B355&gt;0,'Direct Costs 2026'!$C$26,"N/A")</f>
        <v>20000</v>
      </c>
      <c r="L355" s="423" cm="1">
        <f t="array" ref="L355">IF(B355&gt;0,'Direct Costs 2026'!$C$23,"N/A")</f>
        <v>140000</v>
      </c>
      <c r="M355" s="423" cm="1">
        <f t="array" ref="M355">IF(B355&gt;0,'Direct Costs 2026'!$C$45*B355,"N/A")</f>
        <v>600000</v>
      </c>
      <c r="N355" t="str" s="431" cm="1">
        <f t="array" ref="N355">IF(B355&gt;0,_xlfn.IFERROR(VLOOKUP(C349,'Boats Data Sheet 2026'!$C$3:$I$57,7,0)*'Direct Costs 2026'!$C$36,"N/A"),"N/A")</f>
        <v>N/A</v>
      </c>
      <c r="O355" t="str" s="431" cm="1">
        <f t="array" ref="O355">IF(B355&gt;0,IF(OR(VLOOKUP(C349,'Boats Data Sheet 2026'!$C$3:$F$57,4,0)="Own",VLOOKUP(C349,'Boats Data Sheet 2026'!$C$3:$F$57,4,0)="Management"),('Direct Costs 2026'!$C$37+'Direct Costs 2026'!$C$39),"N/A"),"N/A")</f>
        <v>N/A</v>
      </c>
      <c r="P355" s="423" cm="1">
        <f t="array" ref="P355">_xlfn.IFERROR('Direct Costs 2026'!$C$27*C355,"N/A")</f>
        <v>154000</v>
      </c>
      <c r="Q355" s="423" cm="1">
        <f t="array" ref="Q355">_xlfn.IFERROR(C355+SUM(E355:P355),"N/A")</f>
        <v>9803500</v>
      </c>
      <c r="R355" s="424"/>
      <c r="S355" s="423" cm="1">
        <f t="array" ref="S355">IF(B355&gt;0,'Allocation OH and Target 2026'!$E$31,"N/A")</f>
        <v>3100447.15769812</v>
      </c>
      <c r="T355" s="423" cm="1">
        <f t="array" ref="T355">IF(B355&gt;0,VLOOKUP(C349,'Allocation OH and Target 2026'!$C$35:$S$87,16,0),"N/A")</f>
        <v>0</v>
      </c>
      <c r="U355" s="423" cm="1">
        <f t="array" ref="U355">_xlfn.IFERROR((S355+T355),"N/A")</f>
        <v>3100447.15769812</v>
      </c>
      <c r="V355" s="424"/>
      <c r="W355" s="423" cm="1">
        <f t="array" ref="W355">_xlfn.IFERROR(U355+Q355,"N/A")</f>
        <v>12903947.1576981</v>
      </c>
      <c r="X355" s="423" cm="1">
        <f t="array" ref="X355">_xlfn.IFERROR(W355*0.5%,"N/A")</f>
        <v>64519.7357884905</v>
      </c>
      <c r="Y355" s="423" cm="1">
        <f t="array" ref="Y355">_xlfn.IFERROR(W355*25%,"N/A")</f>
        <v>3225986.78942453</v>
      </c>
      <c r="Z355" s="425" cm="1">
        <f t="array" ref="Z355">IF(B355&gt;0,SUM(W355:Y355),"N/A")</f>
        <v>16194453.6829111</v>
      </c>
      <c r="AA355" s="425" cm="1">
        <f t="array" ref="AA355">_xlfn.IFERROR((Z355-Z354),"N/A")</f>
        <v>195780</v>
      </c>
      <c r="AB355" s="424"/>
      <c r="AC355" t="str" s="426" cm="1">
        <f t="array" ref="AC355">IF(B355=6,AVERAGE(Z352:Z357),"N/A")</f>
        <v>N/A</v>
      </c>
      <c r="AD355" s="424"/>
      <c r="AE355" s="423"/>
      <c r="AF355" s="423"/>
      <c r="AG355" s="423"/>
      <c r="AH355" s="423"/>
      <c r="AI355" s="423"/>
      <c r="AJ355" s="423"/>
      <c r="AK355" s="423"/>
      <c r="AL355" s="423"/>
      <c r="AM355" s="423"/>
      <c r="AN355" s="427"/>
    </row>
    <row r="356" ht="15" customHeight="1">
      <c r="A356" s="12"/>
      <c r="B356" s="428" cm="1">
        <f t="array" ref="B356">IF(B355=0,0,IF(B355&lt;VLOOKUP(C349,'Boats Data Sheet 2026'!$C$3:$H$57,6,0),B355+1,0))</f>
        <v>5</v>
      </c>
      <c r="C356" s="423" cm="1">
        <f t="array" ref="C356">IF(B356&gt;0,IF(VLOOKUP(C349,'Boats Data Sheet 2026'!$C$3:$J$57,8,0)="N/A",0,VLOOKUP(C349,'Boats Data Sheet 2026'!$C$3:$J$57,8,0)),"N/A")</f>
        <v>7700000</v>
      </c>
      <c r="D356" s="429" cm="1">
        <f t="array" ref="D356">IF(B356&gt;7,2,IF(B356=0,"N/A",1))</f>
        <v>1</v>
      </c>
      <c r="E356" s="423" cm="1">
        <f t="array" ref="E356">_xlfn.IFERROR(SUM('Direct Costs 2026'!$C$4:$C$5)*D356,"N/A")</f>
        <v>875500</v>
      </c>
      <c r="F356" s="423" cm="1">
        <f t="array" ref="F356">_xlfn.IFERROR('Direct Costs 2026'!$C$43*B356,"N/A")</f>
        <v>30000</v>
      </c>
      <c r="G356" s="423" cm="1">
        <f t="array" ref="G356">IF(B356&gt;0,'Direct Costs 2026'!$C$25,"N/A")</f>
        <v>90000</v>
      </c>
      <c r="H356" s="423" cm="1">
        <f t="array" ref="H356">IF(B356&gt;0,'Direct Costs 2026'!$C$22,"N/A")</f>
        <v>200000</v>
      </c>
      <c r="I356" s="423">
        <v>0</v>
      </c>
      <c r="J356" s="423">
        <v>0</v>
      </c>
      <c r="K356" s="423" cm="1">
        <f t="array" ref="K356">IF(B356&gt;0,'Direct Costs 2026'!$C$26,"N/A")</f>
        <v>20000</v>
      </c>
      <c r="L356" s="423" cm="1">
        <f t="array" ref="L356">IF(B356&gt;0,'Direct Costs 2026'!$C$23,"N/A")</f>
        <v>140000</v>
      </c>
      <c r="M356" s="423" cm="1">
        <f t="array" ref="M356">IF(B356&gt;0,'Direct Costs 2026'!$C$45*B356,"N/A")</f>
        <v>750000</v>
      </c>
      <c r="N356" t="str" s="431" cm="1">
        <f t="array" ref="N356">IF(B356&gt;0,_xlfn.IFERROR(VLOOKUP(C349,'Boats Data Sheet 2026'!$C$3:$I$57,7,0)*'Direct Costs 2026'!$C$36,"N/A"),"N/A")</f>
        <v>N/A</v>
      </c>
      <c r="O356" t="str" s="431" cm="1">
        <f t="array" ref="O356">IF(B356&gt;0,IF(OR(VLOOKUP(C349,'Boats Data Sheet 2026'!$C$3:$F$57,4,0)="Own",VLOOKUP(C349,'Boats Data Sheet 2026'!$C$3:$F$57,4,0)="Management"),('Direct Costs 2026'!$C$37+'Direct Costs 2026'!$C$39),"N/A"),"N/A")</f>
        <v>N/A</v>
      </c>
      <c r="P356" s="423" cm="1">
        <f t="array" ref="P356">_xlfn.IFERROR('Direct Costs 2026'!$C$27*C356,"N/A")</f>
        <v>154000</v>
      </c>
      <c r="Q356" s="423" cm="1">
        <f t="array" ref="Q356">_xlfn.IFERROR(C356+SUM(E356:P356),"N/A")</f>
        <v>9959500</v>
      </c>
      <c r="R356" s="424"/>
      <c r="S356" s="423" cm="1">
        <f t="array" ref="S356">IF(B356&gt;0,'Allocation OH and Target 2026'!$E$31,"N/A")</f>
        <v>3100447.15769812</v>
      </c>
      <c r="T356" s="423" cm="1">
        <f t="array" ref="T356">IF(B356&gt;0,VLOOKUP(C349,'Allocation OH and Target 2026'!$C$35:$S$87,16,0),"N/A")</f>
        <v>0</v>
      </c>
      <c r="U356" s="423" cm="1">
        <f t="array" ref="U356">_xlfn.IFERROR((S356+T356),"N/A")</f>
        <v>3100447.15769812</v>
      </c>
      <c r="V356" s="424"/>
      <c r="W356" s="423" cm="1">
        <f t="array" ref="W356">_xlfn.IFERROR(U356+Q356,"N/A")</f>
        <v>13059947.1576981</v>
      </c>
      <c r="X356" s="423" cm="1">
        <f t="array" ref="X356">_xlfn.IFERROR(W356*0.5%,"N/A")</f>
        <v>65299.7357884905</v>
      </c>
      <c r="Y356" s="423" cm="1">
        <f t="array" ref="Y356">_xlfn.IFERROR(W356*25%,"N/A")</f>
        <v>3264986.78942453</v>
      </c>
      <c r="Z356" s="425" cm="1">
        <f t="array" ref="Z356">IF(B356&gt;0,SUM(W356:Y356),"N/A")</f>
        <v>16390233.6829111</v>
      </c>
      <c r="AA356" s="425" cm="1">
        <f t="array" ref="AA356">_xlfn.IFERROR((Z356-Z355),"N/A")</f>
        <v>195780</v>
      </c>
      <c r="AB356" s="424"/>
      <c r="AC356" t="str" s="426" cm="1">
        <f t="array" ref="AC356">IF(B356=6,AVERAGE(Z352:Z357),"N/A")</f>
        <v>N/A</v>
      </c>
      <c r="AD356" s="424"/>
      <c r="AE356" s="423"/>
      <c r="AF356" s="423"/>
      <c r="AG356" s="423"/>
      <c r="AH356" s="423"/>
      <c r="AI356" s="423"/>
      <c r="AJ356" s="423"/>
      <c r="AK356" s="423"/>
      <c r="AL356" s="423"/>
      <c r="AM356" s="423"/>
      <c r="AN356" s="427"/>
    </row>
    <row r="357" ht="15" customHeight="1">
      <c r="A357" s="12"/>
      <c r="B357" s="428" cm="1">
        <f t="array" ref="B357">IF(B356=0,0,IF(B356&lt;VLOOKUP(C349,'Boats Data Sheet 2026'!$C$3:$H$57,6,0),B356+1,0))</f>
        <v>6</v>
      </c>
      <c r="C357" s="423" cm="1">
        <f t="array" ref="C357">IF(B357&gt;0,IF(VLOOKUP(C349,'Boats Data Sheet 2026'!$C$3:$J$57,8,0)="N/A",0,VLOOKUP(C349,'Boats Data Sheet 2026'!$C$3:$J$57,8,0)),"N/A")</f>
        <v>7700000</v>
      </c>
      <c r="D357" s="429" cm="1">
        <f t="array" ref="D357">IF(B357&gt;7,2,IF(B357=0,"N/A",1))</f>
        <v>1</v>
      </c>
      <c r="E357" s="423" cm="1">
        <f t="array" ref="E357">_xlfn.IFERROR(SUM('Direct Costs 2026'!$C$4:$C$5)*D357,"N/A")</f>
        <v>875500</v>
      </c>
      <c r="F357" s="423" cm="1">
        <f t="array" ref="F357">_xlfn.IFERROR('Direct Costs 2026'!$C$43*B357,"N/A")</f>
        <v>36000</v>
      </c>
      <c r="G357" s="423" cm="1">
        <f t="array" ref="G357">IF(B357&gt;0,'Direct Costs 2026'!$C$25,"N/A")</f>
        <v>90000</v>
      </c>
      <c r="H357" s="423" cm="1">
        <f t="array" ref="H357">IF(B357&gt;0,'Direct Costs 2026'!$C$22,"N/A")</f>
        <v>200000</v>
      </c>
      <c r="I357" s="423">
        <v>0</v>
      </c>
      <c r="J357" s="423">
        <v>0</v>
      </c>
      <c r="K357" s="423" cm="1">
        <f t="array" ref="K357">IF(B357&gt;0,'Direct Costs 2026'!$C$26,"N/A")</f>
        <v>20000</v>
      </c>
      <c r="L357" s="423" cm="1">
        <f t="array" ref="L357">IF(B357&gt;0,'Direct Costs 2026'!$C$23,"N/A")</f>
        <v>140000</v>
      </c>
      <c r="M357" s="423" cm="1">
        <f t="array" ref="M357">IF(B357&gt;0,'Direct Costs 2026'!$C$45*B357,"N/A")</f>
        <v>900000</v>
      </c>
      <c r="N357" t="str" s="431" cm="1">
        <f t="array" ref="N357">IF(B357&gt;0,_xlfn.IFERROR(VLOOKUP(C349,'Boats Data Sheet 2026'!$C$3:$I$57,7,0)*'Direct Costs 2026'!$C$36,"N/A"),"N/A")</f>
        <v>N/A</v>
      </c>
      <c r="O357" t="str" s="431" cm="1">
        <f t="array" ref="O357">IF(B357&gt;0,IF(OR(VLOOKUP(C349,'Boats Data Sheet 2026'!$C$3:$F$57,4,0)="Own",VLOOKUP(C349,'Boats Data Sheet 2026'!$C$3:$F$57,4,0)="Management"),('Direct Costs 2026'!$C$37+'Direct Costs 2026'!$C$39),"N/A"),"N/A")</f>
        <v>N/A</v>
      </c>
      <c r="P357" s="423" cm="1">
        <f t="array" ref="P357">_xlfn.IFERROR('Direct Costs 2026'!$C$27*C357,"N/A")</f>
        <v>154000</v>
      </c>
      <c r="Q357" s="423" cm="1">
        <f t="array" ref="Q357">_xlfn.IFERROR(C357+SUM(E357:P357),"N/A")</f>
        <v>10115500</v>
      </c>
      <c r="R357" s="424"/>
      <c r="S357" s="423" cm="1">
        <f t="array" ref="S357">IF(B357&gt;0,'Allocation OH and Target 2026'!$E$31,"N/A")</f>
        <v>3100447.15769812</v>
      </c>
      <c r="T357" s="423" cm="1">
        <f t="array" ref="T357">IF(B357&gt;0,VLOOKUP(C349,'Allocation OH and Target 2026'!$C$35:$S$87,16,0),"N/A")</f>
        <v>0</v>
      </c>
      <c r="U357" s="423" cm="1">
        <f t="array" ref="U357">_xlfn.IFERROR((S357+T357),"N/A")</f>
        <v>3100447.15769812</v>
      </c>
      <c r="V357" s="424"/>
      <c r="W357" s="423" cm="1">
        <f t="array" ref="W357">_xlfn.IFERROR(U357+Q357,"N/A")</f>
        <v>13215947.1576981</v>
      </c>
      <c r="X357" s="423" cm="1">
        <f t="array" ref="X357">_xlfn.IFERROR(W357*0.5%,"N/A")</f>
        <v>66079.735788490507</v>
      </c>
      <c r="Y357" s="423" cm="1">
        <f t="array" ref="Y357">_xlfn.IFERROR(W357*25%,"N/A")</f>
        <v>3303986.78942453</v>
      </c>
      <c r="Z357" s="425" cm="1">
        <f t="array" ref="Z357">IF(B357&gt;0,SUM(W357:Y357),"N/A")</f>
        <v>16586013.6829111</v>
      </c>
      <c r="AA357" s="425" cm="1">
        <f t="array" ref="AA357">_xlfn.IFERROR((Z357-Z356),"N/A")</f>
        <v>195780</v>
      </c>
      <c r="AB357" s="424"/>
      <c r="AC357" s="425" cm="1">
        <f t="array" ref="AC357">IF(B357=6,AVERAGE(Z352:Z357),"N/A")</f>
        <v>16096563.6829111</v>
      </c>
      <c r="AD357" s="424"/>
      <c r="AE357" s="423"/>
      <c r="AF357" s="423"/>
      <c r="AG357" s="423"/>
      <c r="AH357" s="423"/>
      <c r="AI357" s="423"/>
      <c r="AJ357" s="423"/>
      <c r="AK357" s="423"/>
      <c r="AL357" s="423"/>
      <c r="AM357" s="423"/>
      <c r="AN357" s="427"/>
    </row>
    <row r="358" ht="15" customHeight="1">
      <c r="A358" s="12"/>
      <c r="B358" s="428" cm="1">
        <f t="array" ref="B358">IF(B357=0,0,IF(B357&lt;VLOOKUP(C349,'Boats Data Sheet 2026'!$C$3:$H$57,6,0),B357+1,0))</f>
        <v>7</v>
      </c>
      <c r="C358" s="423" cm="1">
        <f t="array" ref="C358">IF(B358&gt;0,IF(VLOOKUP(C349,'Boats Data Sheet 2026'!$C$3:$J$57,8,0)="N/A",0,VLOOKUP(C349,'Boats Data Sheet 2026'!$C$3:$J$57,8,0)),"N/A")</f>
        <v>7700000</v>
      </c>
      <c r="D358" s="429" cm="1">
        <f t="array" ref="D358">IF(B358&gt;7,2,IF(B358=0,"N/A",1))</f>
        <v>1</v>
      </c>
      <c r="E358" s="423" cm="1">
        <f t="array" ref="E358">_xlfn.IFERROR(SUM('Direct Costs 2026'!$C$4:$C$5)*D358,"N/A")</f>
        <v>875500</v>
      </c>
      <c r="F358" s="423" cm="1">
        <f t="array" ref="F358">_xlfn.IFERROR('Direct Costs 2026'!$C$43*B358,"N/A")</f>
        <v>42000</v>
      </c>
      <c r="G358" s="423" cm="1">
        <f t="array" ref="G358">IF(B358&gt;0,'Direct Costs 2026'!$C$25,"N/A")</f>
        <v>90000</v>
      </c>
      <c r="H358" s="423" cm="1">
        <f t="array" ref="H358">IF(B358&gt;0,'Direct Costs 2026'!$C$22,"N/A")</f>
        <v>200000</v>
      </c>
      <c r="I358" s="423">
        <v>0</v>
      </c>
      <c r="J358" s="423">
        <v>0</v>
      </c>
      <c r="K358" s="423" cm="1">
        <f t="array" ref="K358">IF(B358&gt;0,'Direct Costs 2026'!$C$26,"N/A")</f>
        <v>20000</v>
      </c>
      <c r="L358" s="423" cm="1">
        <f t="array" ref="L358">IF(B358&gt;0,'Direct Costs 2026'!$C$23,"N/A")</f>
        <v>140000</v>
      </c>
      <c r="M358" s="423" cm="1">
        <f t="array" ref="M358">IF(B358&gt;0,'Direct Costs 2026'!$C$45*B358,"N/A")</f>
        <v>1050000</v>
      </c>
      <c r="N358" t="str" s="431" cm="1">
        <f t="array" ref="N358">IF(B358&gt;0,_xlfn.IFERROR(VLOOKUP(C349,'Boats Data Sheet 2026'!$C$3:$I$57,7,0)*'Direct Costs 2026'!$C$36,"N/A"),"N/A")</f>
        <v>N/A</v>
      </c>
      <c r="O358" t="str" s="431" cm="1">
        <f t="array" ref="O358">IF(B358&gt;0,IF(OR(VLOOKUP(C349,'Boats Data Sheet 2026'!$C$3:$F$57,4,0)="Own",VLOOKUP(C349,'Boats Data Sheet 2026'!$C$3:$F$57,4,0)="Management"),('Direct Costs 2026'!$C$37+'Direct Costs 2026'!$C$39),"N/A"),"N/A")</f>
        <v>N/A</v>
      </c>
      <c r="P358" s="423" cm="1">
        <f t="array" ref="P358">_xlfn.IFERROR('Direct Costs 2026'!$C$27*C358,"N/A")</f>
        <v>154000</v>
      </c>
      <c r="Q358" s="423" cm="1">
        <f t="array" ref="Q358">_xlfn.IFERROR(C358+SUM(E358:P358),"N/A")</f>
        <v>10271500</v>
      </c>
      <c r="R358" s="424"/>
      <c r="S358" s="423" cm="1">
        <f t="array" ref="S358">IF(B358&gt;0,'Allocation OH and Target 2026'!$E$31,"N/A")</f>
        <v>3100447.15769812</v>
      </c>
      <c r="T358" s="423" cm="1">
        <f t="array" ref="T358">IF(B358&gt;0,VLOOKUP(C349,'Allocation OH and Target 2026'!$C$35:$S$87,16,0),"N/A")</f>
        <v>0</v>
      </c>
      <c r="U358" s="423" cm="1">
        <f t="array" ref="U358">_xlfn.IFERROR((S358+T358),"N/A")</f>
        <v>3100447.15769812</v>
      </c>
      <c r="V358" s="424"/>
      <c r="W358" s="423" cm="1">
        <f t="array" ref="W358">_xlfn.IFERROR(U358+Q358,"N/A")</f>
        <v>13371947.1576981</v>
      </c>
      <c r="X358" s="423" cm="1">
        <f t="array" ref="X358">_xlfn.IFERROR(W358*0.5%,"N/A")</f>
        <v>66859.735788490507</v>
      </c>
      <c r="Y358" s="423" cm="1">
        <f t="array" ref="Y358">_xlfn.IFERROR(W358*25%,"N/A")</f>
        <v>3342986.78942453</v>
      </c>
      <c r="Z358" s="425" cm="1">
        <f t="array" ref="Z358">IF(B358&gt;0,SUM(W358:Y358),"N/A")</f>
        <v>16781793.6829111</v>
      </c>
      <c r="AA358" s="425" cm="1">
        <f t="array" ref="AA358">_xlfn.IFERROR((Z358-Z357),"N/A")</f>
        <v>195780</v>
      </c>
      <c r="AB358" s="424"/>
      <c r="AC358" t="str" s="426" cm="1">
        <f t="array" ref="AC358">IF(B358=6,AVERAGE(Z352:Z357),"N/A")</f>
        <v>N/A</v>
      </c>
      <c r="AD358" s="424"/>
      <c r="AE358" s="423"/>
      <c r="AF358" s="423"/>
      <c r="AG358" s="423"/>
      <c r="AH358" s="423"/>
      <c r="AI358" s="423"/>
      <c r="AJ358" s="423"/>
      <c r="AK358" s="423"/>
      <c r="AL358" s="423"/>
      <c r="AM358" s="423"/>
      <c r="AN358" s="427"/>
    </row>
    <row r="359" ht="15" customHeight="1">
      <c r="A359" s="12"/>
      <c r="B359" s="428" cm="1">
        <f t="array" ref="B359">IF(B358=0,0,IF(B358&lt;VLOOKUP(C349,'Boats Data Sheet 2026'!$C$3:$H$57,6,0),B358+1,0))</f>
        <v>8</v>
      </c>
      <c r="C359" s="423" cm="1">
        <f t="array" ref="C359">IF(B359&gt;0,IF(VLOOKUP(C349,'Boats Data Sheet 2026'!$C$3:$J$57,8,0)="N/A",0,VLOOKUP(C349,'Boats Data Sheet 2026'!$C$3:$J$57,8,0)),"N/A")</f>
        <v>7700000</v>
      </c>
      <c r="D359" s="429" cm="1">
        <f t="array" ref="D359">IF(B359&gt;7,2,IF(B359=0,"N/A",1))</f>
        <v>2</v>
      </c>
      <c r="E359" s="423" cm="1">
        <f t="array" ref="E359">_xlfn.IFERROR(SUM('Direct Costs 2026'!$C$4:$C$5)*D359,"N/A")</f>
        <v>1751000</v>
      </c>
      <c r="F359" s="423" cm="1">
        <f t="array" ref="F359">_xlfn.IFERROR('Direct Costs 2026'!$C$43*B359,"N/A")</f>
        <v>48000</v>
      </c>
      <c r="G359" s="423" cm="1">
        <f t="array" ref="G359">IF(B359&gt;0,'Direct Costs 2026'!$C$25,"N/A")</f>
        <v>90000</v>
      </c>
      <c r="H359" s="423" cm="1">
        <f t="array" ref="H359">IF(B359&gt;0,'Direct Costs 2026'!$C$22,"N/A")</f>
        <v>200000</v>
      </c>
      <c r="I359" s="423">
        <v>0</v>
      </c>
      <c r="J359" s="423">
        <v>0</v>
      </c>
      <c r="K359" s="423" cm="1">
        <f t="array" ref="K359">IF(B359&gt;0,'Direct Costs 2026'!$C$26,"N/A")</f>
        <v>20000</v>
      </c>
      <c r="L359" s="423" cm="1">
        <f t="array" ref="L359">IF(B359&gt;0,'Direct Costs 2026'!$C$23,"N/A")</f>
        <v>140000</v>
      </c>
      <c r="M359" s="423" cm="1">
        <f t="array" ref="M359">IF(B359&gt;0,'Direct Costs 2026'!$C$45*B359,"N/A")</f>
        <v>1200000</v>
      </c>
      <c r="N359" t="str" s="431" cm="1">
        <f t="array" ref="N359">IF(B359&gt;0,_xlfn.IFERROR(VLOOKUP(C349,'Boats Data Sheet 2026'!$C$3:$I$57,7,0)*'Direct Costs 2026'!$C$36,"N/A"),"N/A")</f>
        <v>N/A</v>
      </c>
      <c r="O359" t="str" s="431" cm="1">
        <f t="array" ref="O359">IF(B359&gt;0,IF(OR(VLOOKUP(C349,'Boats Data Sheet 2026'!$C$3:$F$57,4,0)="Own",VLOOKUP(C349,'Boats Data Sheet 2026'!$C$3:$F$57,4,0)="Management"),('Direct Costs 2026'!$C$37+'Direct Costs 2026'!$C$39),"N/A"),"N/A")</f>
        <v>N/A</v>
      </c>
      <c r="P359" s="423" cm="1">
        <f t="array" ref="P359">_xlfn.IFERROR('Direct Costs 2026'!$C$27*C359,"N/A")</f>
        <v>154000</v>
      </c>
      <c r="Q359" s="423" cm="1">
        <f t="array" ref="Q359">_xlfn.IFERROR(C359+SUM(E359:P359),"N/A")</f>
        <v>11303000</v>
      </c>
      <c r="R359" s="424"/>
      <c r="S359" s="423" cm="1">
        <f t="array" ref="S359">IF(B359&gt;0,'Allocation OH and Target 2026'!$E$31,"N/A")</f>
        <v>3100447.15769812</v>
      </c>
      <c r="T359" s="423" cm="1">
        <f t="array" ref="T359">IF(B359&gt;0,VLOOKUP(C349,'Allocation OH and Target 2026'!$C$35:$S$87,16,0),"N/A")</f>
        <v>0</v>
      </c>
      <c r="U359" s="423" cm="1">
        <f t="array" ref="U359">_xlfn.IFERROR((S359+T359),"N/A")</f>
        <v>3100447.15769812</v>
      </c>
      <c r="V359" s="424"/>
      <c r="W359" s="423" cm="1">
        <f t="array" ref="W359">_xlfn.IFERROR(U359+Q359,"N/A")</f>
        <v>14403447.1576981</v>
      </c>
      <c r="X359" s="423" cm="1">
        <f t="array" ref="X359">_xlfn.IFERROR(W359*0.5%,"N/A")</f>
        <v>72017.235788490507</v>
      </c>
      <c r="Y359" s="423" cm="1">
        <f t="array" ref="Y359">_xlfn.IFERROR(W359*25%,"N/A")</f>
        <v>3600861.78942453</v>
      </c>
      <c r="Z359" s="425" cm="1">
        <f t="array" ref="Z359">IF(B359&gt;0,SUM(W359:Y359),"N/A")</f>
        <v>18076326.1829111</v>
      </c>
      <c r="AA359" s="425" cm="1">
        <f t="array" ref="AA359">_xlfn.IFERROR((Z359-Z358),"N/A")</f>
        <v>1294532.5</v>
      </c>
      <c r="AB359" s="424"/>
      <c r="AC359" t="str" s="426" cm="1">
        <f t="array" ref="AC359">IF(B359=6,AVERAGE(Z352:Z357),"N/A")</f>
        <v>N/A</v>
      </c>
      <c r="AD359" s="424"/>
      <c r="AE359" s="423"/>
      <c r="AF359" s="423"/>
      <c r="AG359" s="423"/>
      <c r="AH359" s="423"/>
      <c r="AI359" s="423"/>
      <c r="AJ359" s="423"/>
      <c r="AK359" s="423"/>
      <c r="AL359" s="423"/>
      <c r="AM359" s="423"/>
      <c r="AN359" s="427"/>
    </row>
    <row r="360" ht="15" customHeight="1">
      <c r="A360" s="12"/>
      <c r="B360" s="428" cm="1">
        <f t="array" ref="B360">IF(B359=0,0,IF(B359&lt;VLOOKUP(C349,'Boats Data Sheet 2026'!$C$3:$H$57,6,0),B359+1,0))</f>
        <v>9</v>
      </c>
      <c r="C360" s="423" cm="1">
        <f t="array" ref="C360">IF(B360&gt;0,IF(VLOOKUP(C349,'Boats Data Sheet 2026'!$C$3:$J$57,8,0)="N/A",0,VLOOKUP(C349,'Boats Data Sheet 2026'!$C$3:$J$57,8,0)),"N/A")</f>
        <v>7700000</v>
      </c>
      <c r="D360" s="430" cm="1">
        <f t="array" ref="D360">IF(B360&gt;7,2,IF(B360=0,"N/A",1))</f>
        <v>2</v>
      </c>
      <c r="E360" s="423" cm="1">
        <f t="array" ref="E360">_xlfn.IFERROR(SUM('Direct Costs 2026'!$C$4:$C$5)*D360,"N/A")</f>
        <v>1751000</v>
      </c>
      <c r="F360" s="423" cm="1">
        <f t="array" ref="F360">_xlfn.IFERROR('Direct Costs 2026'!$C$43*B360,"N/A")</f>
        <v>54000</v>
      </c>
      <c r="G360" s="423" cm="1">
        <f t="array" ref="G360">IF(B360&gt;0,'Direct Costs 2026'!$C$25,"N/A")</f>
        <v>90000</v>
      </c>
      <c r="H360" s="423" cm="1">
        <f t="array" ref="H360">IF(B360&gt;0,'Direct Costs 2026'!$C$22,"N/A")</f>
        <v>200000</v>
      </c>
      <c r="I360" s="423">
        <v>0</v>
      </c>
      <c r="J360" s="423">
        <v>0</v>
      </c>
      <c r="K360" s="423" cm="1">
        <f t="array" ref="K360">IF(B360&gt;0,'Direct Costs 2026'!$C$26,"N/A")</f>
        <v>20000</v>
      </c>
      <c r="L360" s="423" cm="1">
        <f t="array" ref="L360">IF(B360&gt;0,'Direct Costs 2026'!$C$23,"N/A")</f>
        <v>140000</v>
      </c>
      <c r="M360" s="423" cm="1">
        <f t="array" ref="M360">IF(B360&gt;0,'Direct Costs 2026'!$C$45*B360,"N/A")</f>
        <v>1350000</v>
      </c>
      <c r="N360" t="str" s="431" cm="1">
        <f t="array" ref="N360">IF(B360&gt;0,_xlfn.IFERROR(VLOOKUP(C349,'Boats Data Sheet 2026'!$C$3:$I$57,7,0)*'Direct Costs 2026'!$C$36,"N/A"),"N/A")</f>
        <v>N/A</v>
      </c>
      <c r="O360" t="str" s="431" cm="1">
        <f t="array" ref="O360">IF(B360&gt;0,IF(OR(VLOOKUP(C349,'Boats Data Sheet 2026'!$C$3:$F$57,4,0)="Own",VLOOKUP(C349,'Boats Data Sheet 2026'!$C$3:$F$57,4,0)="Management"),('Direct Costs 2026'!$C$37+'Direct Costs 2026'!$C$39),"N/A"),"N/A")</f>
        <v>N/A</v>
      </c>
      <c r="P360" s="423" cm="1">
        <f t="array" ref="P360">_xlfn.IFERROR('Direct Costs 2026'!$C$27*C360,"N/A")</f>
        <v>154000</v>
      </c>
      <c r="Q360" s="423" cm="1">
        <f t="array" ref="Q360">_xlfn.IFERROR(C360+SUM(E360:P360),"N/A")</f>
        <v>11459000</v>
      </c>
      <c r="R360" s="424"/>
      <c r="S360" s="423" cm="1">
        <f t="array" ref="S360">IF(B360&gt;0,'Allocation OH and Target 2026'!$E$31,"N/A")</f>
        <v>3100447.15769812</v>
      </c>
      <c r="T360" s="423" cm="1">
        <f t="array" ref="T360">IF(B360&gt;0,VLOOKUP(C349,'Allocation OH and Target 2026'!$C$35:$S$87,16,0),"N/A")</f>
        <v>0</v>
      </c>
      <c r="U360" s="423" cm="1">
        <f t="array" ref="U360">_xlfn.IFERROR((S360+T360),"N/A")</f>
        <v>3100447.15769812</v>
      </c>
      <c r="V360" s="424"/>
      <c r="W360" s="423" cm="1">
        <f t="array" ref="W360">_xlfn.IFERROR(U360+Q360,"N/A")</f>
        <v>14559447.1576981</v>
      </c>
      <c r="X360" s="423" cm="1">
        <f t="array" ref="X360">_xlfn.IFERROR(W360*0.5%,"N/A")</f>
        <v>72797.235788490507</v>
      </c>
      <c r="Y360" s="423" cm="1">
        <f t="array" ref="Y360">_xlfn.IFERROR(W360*25%,"N/A")</f>
        <v>3639861.78942453</v>
      </c>
      <c r="Z360" s="425" cm="1">
        <f t="array" ref="Z360">IF(B360&gt;0,SUM(W360:Y360),"N/A")</f>
        <v>18272106.1829111</v>
      </c>
      <c r="AA360" s="425" cm="1">
        <f t="array" ref="AA360">_xlfn.IFERROR((Z360-Z359),"N/A")</f>
        <v>195780</v>
      </c>
      <c r="AB360" s="424"/>
      <c r="AC360" t="str" s="426" cm="1">
        <f t="array" ref="AC360">IF(B360=6,AVERAGE(Z352:Z357),"N/A")</f>
        <v>N/A</v>
      </c>
      <c r="AD360" s="424"/>
      <c r="AE360" s="423"/>
      <c r="AF360" s="423"/>
      <c r="AG360" s="423"/>
      <c r="AH360" s="423"/>
      <c r="AI360" s="423"/>
      <c r="AJ360" s="423"/>
      <c r="AK360" s="423"/>
      <c r="AL360" s="423"/>
      <c r="AM360" s="423"/>
      <c r="AN360" s="427"/>
    </row>
    <row r="361" ht="15" customHeight="1">
      <c r="A361" s="12"/>
      <c r="B361" s="428" cm="1">
        <f t="array" ref="B361">IF(B360=0,0,IF(B360&lt;VLOOKUP(C349,'Boats Data Sheet 2026'!$C$3:$H$57,6,0),B360+1,0))</f>
        <v>10</v>
      </c>
      <c r="C361" s="423" cm="1">
        <f t="array" ref="C361">IF(B361&gt;0,IF(VLOOKUP(C349,'Boats Data Sheet 2026'!$C$3:$J$57,8,0)="N/A",0,VLOOKUP(C349,'Boats Data Sheet 2026'!$C$3:$J$57,8,0)),"N/A")</f>
        <v>7700000</v>
      </c>
      <c r="D361" s="430" cm="1">
        <f t="array" ref="D361">IF(B361&gt;7,2,IF(B361=0,"N/A",1))</f>
        <v>2</v>
      </c>
      <c r="E361" s="423" cm="1">
        <f t="array" ref="E361">_xlfn.IFERROR(SUM('Direct Costs 2026'!$C$4:$C$5)*D361,"N/A")</f>
        <v>1751000</v>
      </c>
      <c r="F361" s="423" cm="1">
        <f t="array" ref="F361">_xlfn.IFERROR('Direct Costs 2026'!$C$43*B361,"N/A")</f>
        <v>60000</v>
      </c>
      <c r="G361" s="423" cm="1">
        <f t="array" ref="G361">IF(B361&gt;0,'Direct Costs 2026'!$C$25,"N/A")</f>
        <v>90000</v>
      </c>
      <c r="H361" s="423" cm="1">
        <f t="array" ref="H361">IF(B361&gt;0,'Direct Costs 2026'!$C$22,"N/A")</f>
        <v>200000</v>
      </c>
      <c r="I361" s="423">
        <v>0</v>
      </c>
      <c r="J361" s="423">
        <v>0</v>
      </c>
      <c r="K361" s="423" cm="1">
        <f t="array" ref="K361">IF(B361&gt;0,'Direct Costs 2026'!$C$26,"N/A")</f>
        <v>20000</v>
      </c>
      <c r="L361" s="423" cm="1">
        <f t="array" ref="L361">IF(B361&gt;0,'Direct Costs 2026'!$C$23,"N/A")</f>
        <v>140000</v>
      </c>
      <c r="M361" s="423" cm="1">
        <f t="array" ref="M361">IF(B361&gt;0,'Direct Costs 2026'!$C$45*B361,"N/A")</f>
        <v>1500000</v>
      </c>
      <c r="N361" t="str" s="431" cm="1">
        <f t="array" ref="N361">IF(B361&gt;0,_xlfn.IFERROR(VLOOKUP(C349,'Boats Data Sheet 2026'!$C$3:$I$57,7,0)*'Direct Costs 2026'!$C$36,"N/A"),"N/A")</f>
        <v>N/A</v>
      </c>
      <c r="O361" t="str" s="431" cm="1">
        <f t="array" ref="O361">IF(B361&gt;0,IF(OR(VLOOKUP(C349,'Boats Data Sheet 2026'!$C$3:$F$57,4,0)="Own",VLOOKUP(C349,'Boats Data Sheet 2026'!$C$3:$F$57,4,0)="Management"),('Direct Costs 2026'!$C$37+'Direct Costs 2026'!$C$39),"N/A"),"N/A")</f>
        <v>N/A</v>
      </c>
      <c r="P361" s="423" cm="1">
        <f t="array" ref="P361">_xlfn.IFERROR('Direct Costs 2026'!$C$27*C361,"N/A")</f>
        <v>154000</v>
      </c>
      <c r="Q361" s="423" cm="1">
        <f t="array" ref="Q361">_xlfn.IFERROR(C361+SUM(E361:P361),"N/A")</f>
        <v>11615000</v>
      </c>
      <c r="R361" s="424"/>
      <c r="S361" s="423" cm="1">
        <f t="array" ref="S361">IF(B361&gt;0,'Allocation OH and Target 2026'!$E$31,"N/A")</f>
        <v>3100447.15769812</v>
      </c>
      <c r="T361" s="423" cm="1">
        <f t="array" ref="T361">IF(B361&gt;0,VLOOKUP(C349,'Allocation OH and Target 2026'!$C$35:$S$87,16,0),"N/A")</f>
        <v>0</v>
      </c>
      <c r="U361" s="423" cm="1">
        <f t="array" ref="U361">_xlfn.IFERROR((S361+T361),"N/A")</f>
        <v>3100447.15769812</v>
      </c>
      <c r="V361" s="424"/>
      <c r="W361" s="423" cm="1">
        <f t="array" ref="W361">_xlfn.IFERROR(U361+Q361,"N/A")</f>
        <v>14715447.1576981</v>
      </c>
      <c r="X361" s="423" cm="1">
        <f t="array" ref="X361">_xlfn.IFERROR(W361*0.5%,"N/A")</f>
        <v>73577.235788490507</v>
      </c>
      <c r="Y361" s="423" cm="1">
        <f t="array" ref="Y361">_xlfn.IFERROR(W361*25%,"N/A")</f>
        <v>3678861.78942453</v>
      </c>
      <c r="Z361" s="425" cm="1">
        <f t="array" ref="Z361">IF(B361&gt;0,SUM(W361:Y361),"N/A")</f>
        <v>18467886.1829111</v>
      </c>
      <c r="AA361" s="425" cm="1">
        <f t="array" ref="AA361">_xlfn.IFERROR((Z361-Z360),"N/A")</f>
        <v>195780</v>
      </c>
      <c r="AB361" s="424"/>
      <c r="AC361" t="str" s="426" cm="1">
        <f t="array" ref="AC361">IF(B361=6,AVERAGE(Z352:Z357),"N/A")</f>
        <v>N/A</v>
      </c>
      <c r="AD361" s="424"/>
      <c r="AE361" s="423"/>
      <c r="AF361" s="423"/>
      <c r="AG361" s="423"/>
      <c r="AH361" s="423"/>
      <c r="AI361" s="423"/>
      <c r="AJ361" s="423"/>
      <c r="AK361" s="423"/>
      <c r="AL361" s="423"/>
      <c r="AM361" s="423"/>
      <c r="AN361" s="427"/>
    </row>
    <row r="362" ht="15" customHeight="1">
      <c r="A362" s="12"/>
      <c r="B362" s="428" cm="1">
        <f t="array" ref="B362">IF(B361=0,0,IF(B361&lt;VLOOKUP(C349,'Boats Data Sheet 2026'!$C$3:$H$57,6,0),B361+1,0))</f>
        <v>11</v>
      </c>
      <c r="C362" s="423" cm="1">
        <f t="array" ref="C362">IF(B362&gt;0,IF(VLOOKUP(C349,'Boats Data Sheet 2026'!$C$3:$J$57,8,0)="N/A",0,VLOOKUP(C349,'Boats Data Sheet 2026'!$C$3:$J$57,8,0)),"N/A")</f>
        <v>7700000</v>
      </c>
      <c r="D362" s="430" cm="1">
        <f t="array" ref="D362">IF(B362&gt;7,2,IF(B362=0,"N/A",1))</f>
        <v>2</v>
      </c>
      <c r="E362" s="423" cm="1">
        <f t="array" ref="E362">_xlfn.IFERROR(SUM('Direct Costs 2026'!$C$4:$C$5)*D362,"N/A")</f>
        <v>1751000</v>
      </c>
      <c r="F362" s="423" cm="1">
        <f t="array" ref="F362">_xlfn.IFERROR('Direct Costs 2026'!$C$43*B362,"N/A")</f>
        <v>66000</v>
      </c>
      <c r="G362" s="423" cm="1">
        <f t="array" ref="G362">IF(B362&gt;0,'Direct Costs 2026'!$C$25,"N/A")</f>
        <v>90000</v>
      </c>
      <c r="H362" s="423" cm="1">
        <f t="array" ref="H362">IF(B362&gt;0,'Direct Costs 2026'!$C$22,"N/A")</f>
        <v>200000</v>
      </c>
      <c r="I362" s="423">
        <v>0</v>
      </c>
      <c r="J362" s="423">
        <v>0</v>
      </c>
      <c r="K362" s="423" cm="1">
        <f t="array" ref="K362">IF(B362&gt;0,'Direct Costs 2026'!$C$26,"N/A")</f>
        <v>20000</v>
      </c>
      <c r="L362" s="423" cm="1">
        <f t="array" ref="L362">IF(B362&gt;0,'Direct Costs 2026'!$C$23,"N/A")</f>
        <v>140000</v>
      </c>
      <c r="M362" s="423" cm="1">
        <f t="array" ref="M362">IF(B362&gt;0,'Direct Costs 2026'!$C$45*B362,"N/A")</f>
        <v>1650000</v>
      </c>
      <c r="N362" t="str" s="431" cm="1">
        <f t="array" ref="N362">IF(B362&gt;0,_xlfn.IFERROR(VLOOKUP(C349,'Boats Data Sheet 2026'!$C$3:$I$57,7,0)*'Direct Costs 2026'!$C$36,"N/A"),"N/A")</f>
        <v>N/A</v>
      </c>
      <c r="O362" t="str" s="431" cm="1">
        <f t="array" ref="O362">IF(B362&gt;0,IF(OR(VLOOKUP(C349,'Boats Data Sheet 2026'!$C$3:$F$57,4,0)="Own",VLOOKUP(C349,'Boats Data Sheet 2026'!$C$3:$F$57,4,0)="Management"),('Direct Costs 2026'!$C$37+'Direct Costs 2026'!$C$39),"N/A"),"N/A")</f>
        <v>N/A</v>
      </c>
      <c r="P362" s="423" cm="1">
        <f t="array" ref="P362">_xlfn.IFERROR('Direct Costs 2026'!$C$27*C362,"N/A")</f>
        <v>154000</v>
      </c>
      <c r="Q362" s="423" cm="1">
        <f t="array" ref="Q362">_xlfn.IFERROR(C362+SUM(E362:P362),"N/A")</f>
        <v>11771000</v>
      </c>
      <c r="R362" s="424"/>
      <c r="S362" s="423" cm="1">
        <f t="array" ref="S362">IF(B362&gt;0,'Allocation OH and Target 2026'!$E$31,"N/A")</f>
        <v>3100447.15769812</v>
      </c>
      <c r="T362" s="423" cm="1">
        <f t="array" ref="T362">IF(B362&gt;0,VLOOKUP(C349,'Allocation OH and Target 2026'!$C$35:$S$87,16,0),"N/A")</f>
        <v>0</v>
      </c>
      <c r="U362" s="423" cm="1">
        <f t="array" ref="U362">_xlfn.IFERROR((S362+T362),"N/A")</f>
        <v>3100447.15769812</v>
      </c>
      <c r="V362" s="424"/>
      <c r="W362" s="423" cm="1">
        <f t="array" ref="W362">_xlfn.IFERROR(U362+Q362,"N/A")</f>
        <v>14871447.1576981</v>
      </c>
      <c r="X362" s="423" cm="1">
        <f t="array" ref="X362">_xlfn.IFERROR(W362*0.5%,"N/A")</f>
        <v>74357.235788490507</v>
      </c>
      <c r="Y362" s="423" cm="1">
        <f t="array" ref="Y362">_xlfn.IFERROR(W362*25%,"N/A")</f>
        <v>3717861.78942453</v>
      </c>
      <c r="Z362" s="425" cm="1">
        <f t="array" ref="Z362">IF(B362&gt;0,SUM(W362:Y362),"N/A")</f>
        <v>18663666.1829111</v>
      </c>
      <c r="AA362" s="425" cm="1">
        <f t="array" ref="AA362">_xlfn.IFERROR((Z362-Z361),"N/A")</f>
        <v>195780</v>
      </c>
      <c r="AB362" s="424"/>
      <c r="AC362" t="str" s="426" cm="1">
        <f t="array" ref="AC362">IF(B362=6,AVERAGE(Z352:Z357),"N/A")</f>
        <v>N/A</v>
      </c>
      <c r="AD362" s="424"/>
      <c r="AE362" s="423"/>
      <c r="AF362" s="423"/>
      <c r="AG362" s="423"/>
      <c r="AH362" s="423"/>
      <c r="AI362" s="423"/>
      <c r="AJ362" s="423"/>
      <c r="AK362" s="423"/>
      <c r="AL362" s="423"/>
      <c r="AM362" s="423"/>
      <c r="AN362" s="427"/>
    </row>
    <row r="363" ht="15" customHeight="1">
      <c r="A363" s="12"/>
      <c r="B363" s="428" cm="1">
        <f t="array" ref="B363">IF(B362=0,0,IF(B362&lt;VLOOKUP(C349,'Boats Data Sheet 2026'!$C$3:$H$57,6,0),B362+1,0))</f>
        <v>12</v>
      </c>
      <c r="C363" s="423" cm="1">
        <f t="array" ref="C363">IF(B363&gt;0,IF(VLOOKUP(C349,'Boats Data Sheet 2026'!$C$3:$J$57,8,0)="N/A",0,VLOOKUP(C349,'Boats Data Sheet 2026'!$C$3:$J$57,8,0)),"N/A")</f>
        <v>7700000</v>
      </c>
      <c r="D363" s="430" cm="1">
        <f t="array" ref="D363">IF(B363&gt;7,2,IF(B363=0,"N/A",1))</f>
        <v>2</v>
      </c>
      <c r="E363" s="423" cm="1">
        <f t="array" ref="E363">_xlfn.IFERROR(SUM('Direct Costs 2026'!$C$4:$C$5)*D363,"N/A")</f>
        <v>1751000</v>
      </c>
      <c r="F363" s="423" cm="1">
        <f t="array" ref="F363">_xlfn.IFERROR('Direct Costs 2026'!$C$43*B363,"N/A")</f>
        <v>72000</v>
      </c>
      <c r="G363" s="423" cm="1">
        <f t="array" ref="G363">IF(B363&gt;0,'Direct Costs 2026'!$C$25,"N/A")</f>
        <v>90000</v>
      </c>
      <c r="H363" s="423" cm="1">
        <f t="array" ref="H363">IF(B363&gt;0,'Direct Costs 2026'!$C$22,"N/A")</f>
        <v>200000</v>
      </c>
      <c r="I363" s="423">
        <v>0</v>
      </c>
      <c r="J363" s="423">
        <v>0</v>
      </c>
      <c r="K363" s="423" cm="1">
        <f t="array" ref="K363">IF(B363&gt;0,'Direct Costs 2026'!$C$26,"N/A")</f>
        <v>20000</v>
      </c>
      <c r="L363" s="423" cm="1">
        <f t="array" ref="L363">IF(B363&gt;0,'Direct Costs 2026'!$C$23,"N/A")</f>
        <v>140000</v>
      </c>
      <c r="M363" s="423" cm="1">
        <f t="array" ref="M363">IF(B363&gt;0,'Direct Costs 2026'!$C$45*B363,"N/A")</f>
        <v>1800000</v>
      </c>
      <c r="N363" t="str" s="431" cm="1">
        <f t="array" ref="N363">IF(B363&gt;0,_xlfn.IFERROR(VLOOKUP(C349,'Boats Data Sheet 2026'!$C$3:$I$57,7,0)*'Direct Costs 2026'!$C$36,"N/A"),"N/A")</f>
        <v>N/A</v>
      </c>
      <c r="O363" t="str" s="431" cm="1">
        <f t="array" ref="O363">IF(B363&gt;0,IF(OR(VLOOKUP(C349,'Boats Data Sheet 2026'!$C$3:$F$57,4,0)="Own",VLOOKUP(C349,'Boats Data Sheet 2026'!$C$3:$F$57,4,0)="Management"),('Direct Costs 2026'!$C$37+'Direct Costs 2026'!$C$39),"N/A"),"N/A")</f>
        <v>N/A</v>
      </c>
      <c r="P363" s="423" cm="1">
        <f t="array" ref="P363">_xlfn.IFERROR('Direct Costs 2026'!$C$27*C363,"N/A")</f>
        <v>154000</v>
      </c>
      <c r="Q363" s="423" cm="1">
        <f t="array" ref="Q363">_xlfn.IFERROR(C363+SUM(E363:P363),"N/A")</f>
        <v>11927000</v>
      </c>
      <c r="R363" s="424"/>
      <c r="S363" s="423" cm="1">
        <f t="array" ref="S363">IF(B363&gt;0,'Allocation OH and Target 2026'!$E$31,"N/A")</f>
        <v>3100447.15769812</v>
      </c>
      <c r="T363" s="423" cm="1">
        <f t="array" ref="T363">IF(B363&gt;0,VLOOKUP(C349,'Allocation OH and Target 2026'!$C$35:$S$87,16,0),"N/A")</f>
        <v>0</v>
      </c>
      <c r="U363" s="423" cm="1">
        <f t="array" ref="U363">_xlfn.IFERROR((S363+T363),"N/A")</f>
        <v>3100447.15769812</v>
      </c>
      <c r="V363" s="424"/>
      <c r="W363" s="423" cm="1">
        <f t="array" ref="W363">_xlfn.IFERROR(U363+Q363,"N/A")</f>
        <v>15027447.1576981</v>
      </c>
      <c r="X363" s="423" cm="1">
        <f t="array" ref="X363">_xlfn.IFERROR(W363*0.5%,"N/A")</f>
        <v>75137.235788490507</v>
      </c>
      <c r="Y363" s="423" cm="1">
        <f t="array" ref="Y363">_xlfn.IFERROR(W363*25%,"N/A")</f>
        <v>3756861.78942453</v>
      </c>
      <c r="Z363" s="425" cm="1">
        <f t="array" ref="Z363">IF(B363&gt;0,SUM(W363:Y363),"N/A")</f>
        <v>18859446.1829111</v>
      </c>
      <c r="AA363" s="425" cm="1">
        <f t="array" ref="AA363">_xlfn.IFERROR((Z363-Z362),"N/A")</f>
        <v>195780</v>
      </c>
      <c r="AB363" s="424"/>
      <c r="AC363" t="str" s="426" cm="1">
        <f t="array" ref="AC363">IF(B363=6,AVERAGE(Z352:Z357),"N/A")</f>
        <v>N/A</v>
      </c>
      <c r="AD363" s="424"/>
      <c r="AE363" s="423"/>
      <c r="AF363" s="423"/>
      <c r="AG363" s="423"/>
      <c r="AH363" s="423"/>
      <c r="AI363" s="423"/>
      <c r="AJ363" s="423"/>
      <c r="AK363" s="423"/>
      <c r="AL363" s="423"/>
      <c r="AM363" s="423"/>
      <c r="AN363" s="427"/>
    </row>
    <row r="364" ht="15" customHeight="1">
      <c r="A364" s="12"/>
      <c r="B364" s="428" cm="1">
        <f t="array" ref="B364">IF(B363=0,0,IF(B363&lt;VLOOKUP(C349,'Boats Data Sheet 2026'!$C$3:$H$57,6,0),B363+1,0))</f>
        <v>0</v>
      </c>
      <c r="C364" t="str" s="431" cm="1">
        <f t="array" ref="C364">IF(B364&gt;0,IF(VLOOKUP(C349,'Boats Data Sheet 2026'!$C$3:$J$57,8,0)="N/A",0,VLOOKUP(C349,'Boats Data Sheet 2026'!$C$3:$J$57,8,0)),"N/A")</f>
        <v>N/A</v>
      </c>
      <c r="D364" t="str" s="431" cm="1">
        <f t="array" ref="D364">IF(B364&gt;7,2,IF(B364=0,"N/A",1))</f>
        <v>N/A</v>
      </c>
      <c r="E364" t="str" s="431" cm="1">
        <f t="array" ref="E364">_xlfn.IFERROR(SUM('Direct Costs 2026'!$C$4:$C$5)*D364,"N/A")</f>
        <v>N/A</v>
      </c>
      <c r="F364" s="423" cm="1">
        <f t="array" ref="F364">_xlfn.IFERROR('Direct Costs 2026'!$C$43*B364,"N/A")</f>
        <v>0</v>
      </c>
      <c r="G364" t="str" s="431" cm="1">
        <f t="array" ref="G364">IF(B364&gt;0,'Direct Costs 2026'!$C$25,"N/A")</f>
        <v>N/A</v>
      </c>
      <c r="H364" t="str" s="431" cm="1">
        <f t="array" ref="H364">IF(B364&gt;0,'Direct Costs 2026'!$C$22,"N/A")</f>
        <v>N/A</v>
      </c>
      <c r="I364" s="423">
        <v>0</v>
      </c>
      <c r="J364" s="423">
        <v>0</v>
      </c>
      <c r="K364" t="str" s="431" cm="1">
        <f t="array" ref="K364">IF(B364&gt;0,'Direct Costs 2026'!$C$26,"N/A")</f>
        <v>N/A</v>
      </c>
      <c r="L364" t="str" s="431" cm="1">
        <f t="array" ref="L364">IF(B364&gt;0,'Direct Costs 2026'!$C$23,"N/A")</f>
        <v>N/A</v>
      </c>
      <c r="M364" t="str" s="431" cm="1">
        <f t="array" ref="M364">IF(B364&gt;0,'Direct Costs 2026'!$C$45*B364,"N/A")</f>
        <v>N/A</v>
      </c>
      <c r="N364" t="str" s="431" cm="1">
        <f t="array" ref="N364">IF(B364&gt;0,_xlfn.IFERROR(VLOOKUP(C349,'Boats Data Sheet 2026'!$C$3:$I$57,7,0)*'Direct Costs 2026'!$C$36,"N/A"),"N/A")</f>
        <v>N/A</v>
      </c>
      <c r="O364" t="str" s="431" cm="1">
        <f t="array" ref="O364">IF(B364&gt;0,IF(OR(VLOOKUP(C349,'Boats Data Sheet 2026'!$C$3:$F$57,4,0)="Own",VLOOKUP(C349,'Boats Data Sheet 2026'!$C$3:$F$57,4,0)="Management"),('Direct Costs 2026'!$C$37+'Direct Costs 2026'!$C$39),"N/A"),"N/A")</f>
        <v>N/A</v>
      </c>
      <c r="P364" t="str" s="431" cm="1">
        <f t="array" ref="P364">_xlfn.IFERROR('Direct Costs 2026'!$C$27*C364,"N/A")</f>
        <v>N/A</v>
      </c>
      <c r="Q364" t="str" s="431" cm="1">
        <f t="array" ref="Q364">_xlfn.IFERROR(C364+SUM(E364:P364),"N/A")</f>
        <v>N/A</v>
      </c>
      <c r="R364" s="424"/>
      <c r="S364" t="str" s="431" cm="1">
        <f t="array" ref="S364">IF(B364&gt;0,'Allocation OH and Target 2026'!$E$31,"N/A")</f>
        <v>N/A</v>
      </c>
      <c r="T364" t="str" s="431" cm="1">
        <f t="array" ref="T364">IF(B364&gt;0,VLOOKUP(C349,'Allocation OH and Target 2026'!$C$35:$S$87,16,0),"N/A")</f>
        <v>N/A</v>
      </c>
      <c r="U364" t="str" s="431" cm="1">
        <f t="array" ref="U364">_xlfn.IFERROR((S364+T364),"N/A")</f>
        <v>N/A</v>
      </c>
      <c r="V364" s="424"/>
      <c r="W364" t="str" s="431" cm="1">
        <f t="array" ref="W364">_xlfn.IFERROR(U364+Q364,"N/A")</f>
        <v>N/A</v>
      </c>
      <c r="X364" t="str" s="431" cm="1">
        <f t="array" ref="X364">_xlfn.IFERROR(W364*0.5%,"N/A")</f>
        <v>N/A</v>
      </c>
      <c r="Y364" t="str" s="431" cm="1">
        <f t="array" ref="Y364">_xlfn.IFERROR(W364*25%,"N/A")</f>
        <v>N/A</v>
      </c>
      <c r="Z364" t="str" s="426" cm="1">
        <f t="array" ref="Z364">IF(B364&gt;0,SUM(W364:Y364),"N/A")</f>
        <v>N/A</v>
      </c>
      <c r="AA364" t="str" s="426" cm="1">
        <f t="array" ref="AA364">_xlfn.IFERROR((Z364-Z363),"N/A")</f>
        <v>N/A</v>
      </c>
      <c r="AB364" s="424"/>
      <c r="AC364" t="str" s="426" cm="1">
        <f t="array" ref="AC364">IF(B364=6,AVERAGE(Z352:Z357),"N/A")</f>
        <v>N/A</v>
      </c>
      <c r="AD364" s="424"/>
      <c r="AE364" s="423"/>
      <c r="AF364" s="423"/>
      <c r="AG364" s="423"/>
      <c r="AH364" s="423"/>
      <c r="AI364" s="423"/>
      <c r="AJ364" s="423"/>
      <c r="AK364" s="423"/>
      <c r="AL364" s="423"/>
      <c r="AM364" s="423"/>
      <c r="AN364" s="427"/>
    </row>
    <row r="365" ht="15" customHeight="1">
      <c r="A365" s="12"/>
      <c r="B365" s="428" cm="1">
        <f t="array" ref="B365">IF(B364=0,0,IF(B364&lt;VLOOKUP(C349,'Boats Data Sheet 2026'!$C$3:$H$57,6,0),B364+1,0))</f>
        <v>0</v>
      </c>
      <c r="C365" t="str" s="431" cm="1">
        <f t="array" ref="C365">IF(B365&gt;0,IF(VLOOKUP(C349,'Boats Data Sheet 2026'!$C$3:$J$57,8,0)="N/A",0,VLOOKUP(C349,'Boats Data Sheet 2026'!$C$3:$J$57,8,0)),"N/A")</f>
        <v>N/A</v>
      </c>
      <c r="D365" t="str" s="431" cm="1">
        <f t="array" ref="D365">IF(B365&gt;7,2,IF(B365=0,"N/A",1))</f>
        <v>N/A</v>
      </c>
      <c r="E365" t="str" s="431" cm="1">
        <f t="array" ref="E365">_xlfn.IFERROR(SUM('Direct Costs 2026'!$C$4:$C$5)*D365,"N/A")</f>
        <v>N/A</v>
      </c>
      <c r="F365" s="423" cm="1">
        <f t="array" ref="F365">_xlfn.IFERROR('Direct Costs 2026'!$C$43*B365,"N/A")</f>
        <v>0</v>
      </c>
      <c r="G365" t="str" s="431" cm="1">
        <f t="array" ref="G365">IF(B365&gt;0,'Direct Costs 2026'!$C$25,"N/A")</f>
        <v>N/A</v>
      </c>
      <c r="H365" t="str" s="431" cm="1">
        <f t="array" ref="H365">IF(B365&gt;0,'Direct Costs 2026'!$C$22,"N/A")</f>
        <v>N/A</v>
      </c>
      <c r="I365" s="423">
        <v>0</v>
      </c>
      <c r="J365" s="423">
        <v>0</v>
      </c>
      <c r="K365" t="str" s="431" cm="1">
        <f t="array" ref="K365">IF(B365&gt;0,'Direct Costs 2026'!$C$26,"N/A")</f>
        <v>N/A</v>
      </c>
      <c r="L365" t="str" s="431" cm="1">
        <f t="array" ref="L365">IF(B365&gt;0,'Direct Costs 2026'!$C$23,"N/A")</f>
        <v>N/A</v>
      </c>
      <c r="M365" t="str" s="431" cm="1">
        <f t="array" ref="M365">IF(B365&gt;0,'Direct Costs 2026'!$C$45*B365,"N/A")</f>
        <v>N/A</v>
      </c>
      <c r="N365" t="str" s="431" cm="1">
        <f t="array" ref="N365">IF(B365&gt;0,_xlfn.IFERROR(VLOOKUP(C349,'Boats Data Sheet 2026'!$C$3:$I$57,7,0)*'Direct Costs 2026'!$C$36,"N/A"),"N/A")</f>
        <v>N/A</v>
      </c>
      <c r="O365" t="str" s="431" cm="1">
        <f t="array" ref="O365">IF(B365&gt;0,IF(OR(VLOOKUP(C349,'Boats Data Sheet 2026'!$C$3:$F$57,4,0)="Own",VLOOKUP(C349,'Boats Data Sheet 2026'!$C$3:$F$57,4,0)="Management"),('Direct Costs 2026'!$C$37+'Direct Costs 2026'!$C$39),"N/A"),"N/A")</f>
        <v>N/A</v>
      </c>
      <c r="P365" t="str" s="431" cm="1">
        <f t="array" ref="P365">_xlfn.IFERROR('Direct Costs 2026'!$C$27*C365,"N/A")</f>
        <v>N/A</v>
      </c>
      <c r="Q365" t="str" s="431" cm="1">
        <f t="array" ref="Q365">_xlfn.IFERROR(C365+SUM(E365:P365),"N/A")</f>
        <v>N/A</v>
      </c>
      <c r="R365" s="424"/>
      <c r="S365" t="str" s="431" cm="1">
        <f t="array" ref="S365">IF(B365&gt;0,'Allocation OH and Target 2026'!$E$31,"N/A")</f>
        <v>N/A</v>
      </c>
      <c r="T365" t="str" s="431" cm="1">
        <f t="array" ref="T365">IF(B365&gt;0,VLOOKUP(C349,'Allocation OH and Target 2026'!$C$35:$S$87,16,0),"N/A")</f>
        <v>N/A</v>
      </c>
      <c r="U365" t="str" s="431" cm="1">
        <f t="array" ref="U365">_xlfn.IFERROR((S365+T365),"N/A")</f>
        <v>N/A</v>
      </c>
      <c r="V365" s="424"/>
      <c r="W365" t="str" s="431" cm="1">
        <f t="array" ref="W365">_xlfn.IFERROR(U365+Q365,"N/A")</f>
        <v>N/A</v>
      </c>
      <c r="X365" t="str" s="431" cm="1">
        <f t="array" ref="X365">_xlfn.IFERROR(W365*0.5%,"N/A")</f>
        <v>N/A</v>
      </c>
      <c r="Y365" t="str" s="431" cm="1">
        <f t="array" ref="Y365">_xlfn.IFERROR(W365*25%,"N/A")</f>
        <v>N/A</v>
      </c>
      <c r="Z365" t="str" s="426" cm="1">
        <f t="array" ref="Z365">IF(B365&gt;0,SUM(W365:Y365),"N/A")</f>
        <v>N/A</v>
      </c>
      <c r="AA365" t="str" s="426" cm="1">
        <f t="array" ref="AA365">_xlfn.IFERROR((Z365-Z364),"N/A")</f>
        <v>N/A</v>
      </c>
      <c r="AB365" s="424"/>
      <c r="AC365" t="str" s="426" cm="1">
        <f t="array" ref="AC365">IF(B365=6,AVERAGE(Z352:Z357),"N/A")</f>
        <v>N/A</v>
      </c>
      <c r="AD365" s="424"/>
      <c r="AE365" s="423"/>
      <c r="AF365" s="423"/>
      <c r="AG365" s="423"/>
      <c r="AH365" s="423"/>
      <c r="AI365" s="423"/>
      <c r="AJ365" s="423"/>
      <c r="AK365" s="423"/>
      <c r="AL365" s="423"/>
      <c r="AM365" s="423"/>
      <c r="AN365" s="427"/>
    </row>
    <row r="366" ht="15" customHeight="1">
      <c r="A366" s="12"/>
      <c r="B366" s="428" cm="1">
        <f t="array" ref="B366">IF(B365=0,0,IF(B365&lt;VLOOKUP(C349,'Boats Data Sheet 2026'!$C$3:$H$57,6,0),B365+1,0))</f>
        <v>0</v>
      </c>
      <c r="C366" t="str" s="431" cm="1">
        <f t="array" ref="C366">IF(B366&gt;0,IF(VLOOKUP(C349,'Boats Data Sheet 2026'!$C$3:$J$57,8,0)="N/A",0,VLOOKUP(C349,'Boats Data Sheet 2026'!$C$3:$J$57,8,0)),"N/A")</f>
        <v>N/A</v>
      </c>
      <c r="D366" t="str" s="431" cm="1">
        <f t="array" ref="D366">IF(B366&gt;7,2,IF(B366=0,"N/A",1))</f>
        <v>N/A</v>
      </c>
      <c r="E366" t="str" s="431" cm="1">
        <f t="array" ref="E366">_xlfn.IFERROR(SUM('Direct Costs 2026'!$C$4:$C$5)*D366,"N/A")</f>
        <v>N/A</v>
      </c>
      <c r="F366" s="423" cm="1">
        <f t="array" ref="F366">_xlfn.IFERROR('Direct Costs 2026'!$C$43*B366,"N/A")</f>
        <v>0</v>
      </c>
      <c r="G366" t="str" s="431" cm="1">
        <f t="array" ref="G366">IF(B366&gt;0,'Direct Costs 2026'!$C$25,"N/A")</f>
        <v>N/A</v>
      </c>
      <c r="H366" t="str" s="431" cm="1">
        <f t="array" ref="H366">IF(B366&gt;0,'Direct Costs 2026'!$C$22,"N/A")</f>
        <v>N/A</v>
      </c>
      <c r="I366" s="423">
        <v>0</v>
      </c>
      <c r="J366" s="423">
        <v>0</v>
      </c>
      <c r="K366" t="str" s="431" cm="1">
        <f t="array" ref="K366">IF(B366&gt;0,'Direct Costs 2026'!$C$26,"N/A")</f>
        <v>N/A</v>
      </c>
      <c r="L366" t="str" s="431" cm="1">
        <f t="array" ref="L366">IF(B366&gt;0,'Direct Costs 2026'!$C$23,"N/A")</f>
        <v>N/A</v>
      </c>
      <c r="M366" t="str" s="431" cm="1">
        <f t="array" ref="M366">IF(B366&gt;0,'Direct Costs 2026'!$C$45*B366,"N/A")</f>
        <v>N/A</v>
      </c>
      <c r="N366" t="str" s="431" cm="1">
        <f t="array" ref="N366">IF(B366&gt;0,_xlfn.IFERROR(VLOOKUP(C349,'Boats Data Sheet 2026'!$C$3:$I$57,7,0)*'Direct Costs 2026'!$C$36,"N/A"),"N/A")</f>
        <v>N/A</v>
      </c>
      <c r="O366" t="str" s="431" cm="1">
        <f t="array" ref="O366">IF(B366&gt;0,IF(OR(VLOOKUP(C349,'Boats Data Sheet 2026'!$C$3:$F$57,4,0)="Own",VLOOKUP(C349,'Boats Data Sheet 2026'!$C$3:$F$57,4,0)="Management"),('Direct Costs 2026'!$C$37+'Direct Costs 2026'!$C$39),"N/A"),"N/A")</f>
        <v>N/A</v>
      </c>
      <c r="P366" t="str" s="431" cm="1">
        <f t="array" ref="P366">_xlfn.IFERROR('Direct Costs 2026'!$C$27*C366,"N/A")</f>
        <v>N/A</v>
      </c>
      <c r="Q366" t="str" s="431" cm="1">
        <f t="array" ref="Q366">_xlfn.IFERROR(C366+SUM(E366:P366),"N/A")</f>
        <v>N/A</v>
      </c>
      <c r="R366" s="424"/>
      <c r="S366" t="str" s="431" cm="1">
        <f t="array" ref="S366">IF(B366&gt;0,'Allocation OH and Target 2026'!$E$31,"N/A")</f>
        <v>N/A</v>
      </c>
      <c r="T366" t="str" s="431" cm="1">
        <f t="array" ref="T366">IF(B366&gt;0,VLOOKUP(C349,'Allocation OH and Target 2026'!$C$35:$S$87,16,0),"N/A")</f>
        <v>N/A</v>
      </c>
      <c r="U366" t="str" s="431" cm="1">
        <f t="array" ref="U366">_xlfn.IFERROR((S366+T366),"N/A")</f>
        <v>N/A</v>
      </c>
      <c r="V366" s="424"/>
      <c r="W366" t="str" s="431" cm="1">
        <f t="array" ref="W366">_xlfn.IFERROR(U366+Q366,"N/A")</f>
        <v>N/A</v>
      </c>
      <c r="X366" t="str" s="431" cm="1">
        <f t="array" ref="X366">_xlfn.IFERROR(W366*0.5%,"N/A")</f>
        <v>N/A</v>
      </c>
      <c r="Y366" t="str" s="431" cm="1">
        <f t="array" ref="Y366">_xlfn.IFERROR(W366*25%,"N/A")</f>
        <v>N/A</v>
      </c>
      <c r="Z366" t="str" s="426" cm="1">
        <f t="array" ref="Z366">IF(B366&gt;0,SUM(W366:Y366),"N/A")</f>
        <v>N/A</v>
      </c>
      <c r="AA366" t="str" s="426" cm="1">
        <f t="array" ref="AA366">_xlfn.IFERROR((Z366-Z365),"N/A")</f>
        <v>N/A</v>
      </c>
      <c r="AB366" s="424"/>
      <c r="AC366" t="str" s="426" cm="1">
        <f t="array" ref="AC366">IF(B366=6,AVERAGE(Z352:Z357),"N/A")</f>
        <v>N/A</v>
      </c>
      <c r="AD366" s="424"/>
      <c r="AE366" s="423"/>
      <c r="AF366" s="423"/>
      <c r="AG366" s="423"/>
      <c r="AH366" s="423"/>
      <c r="AI366" s="423"/>
      <c r="AJ366" s="423"/>
      <c r="AK366" s="423"/>
      <c r="AL366" s="423"/>
      <c r="AM366" s="423"/>
      <c r="AN366" s="427"/>
    </row>
    <row r="367" ht="15" customHeight="1">
      <c r="A367" s="12"/>
      <c r="B367" s="428" cm="1">
        <f t="array" ref="B367">IF(B366=0,0,IF(B366&lt;VLOOKUP(C349,'Boats Data Sheet 2026'!$C$3:$H$57,6,0),B366+1,0))</f>
        <v>0</v>
      </c>
      <c r="C367" t="str" s="431" cm="1">
        <f t="array" ref="C367">IF(B367&gt;0,IF(VLOOKUP(C349,'Boats Data Sheet 2026'!$C$3:$J$57,8,0)="N/A",0,VLOOKUP(C349,'Boats Data Sheet 2026'!$C$3:$J$57,8,0)),"N/A")</f>
        <v>N/A</v>
      </c>
      <c r="D367" t="str" s="431" cm="1">
        <f t="array" ref="D367">IF(B367&gt;7,2,IF(B367=0,"N/A",1))</f>
        <v>N/A</v>
      </c>
      <c r="E367" t="str" s="431" cm="1">
        <f t="array" ref="E367">_xlfn.IFERROR(SUM('Direct Costs 2026'!$C$4:$C$5)*D367,"N/A")</f>
        <v>N/A</v>
      </c>
      <c r="F367" s="423" cm="1">
        <f t="array" ref="F367">_xlfn.IFERROR('Direct Costs 2026'!$C$43*B367,"N/A")</f>
        <v>0</v>
      </c>
      <c r="G367" t="str" s="431" cm="1">
        <f t="array" ref="G367">IF(B367&gt;0,'Direct Costs 2026'!$C$25,"N/A")</f>
        <v>N/A</v>
      </c>
      <c r="H367" t="str" s="431" cm="1">
        <f t="array" ref="H367">IF(B367&gt;0,'Direct Costs 2026'!$C$22,"N/A")</f>
        <v>N/A</v>
      </c>
      <c r="I367" s="423">
        <v>0</v>
      </c>
      <c r="J367" s="423">
        <v>0</v>
      </c>
      <c r="K367" t="str" s="431" cm="1">
        <f t="array" ref="K367">IF(B367&gt;0,'Direct Costs 2026'!$C$26,"N/A")</f>
        <v>N/A</v>
      </c>
      <c r="L367" t="str" s="431" cm="1">
        <f t="array" ref="L367">IF(B367&gt;0,'Direct Costs 2026'!$C$23,"N/A")</f>
        <v>N/A</v>
      </c>
      <c r="M367" t="str" s="431" cm="1">
        <f t="array" ref="M367">IF(B367&gt;0,'Direct Costs 2026'!$C$45*B367,"N/A")</f>
        <v>N/A</v>
      </c>
      <c r="N367" t="str" s="431" cm="1">
        <f t="array" ref="N367">IF(B367&gt;0,_xlfn.IFERROR(VLOOKUP(C349,'Boats Data Sheet 2026'!$C$3:$I$57,7,0)*'Direct Costs 2026'!$C$36,"N/A"),"N/A")</f>
        <v>N/A</v>
      </c>
      <c r="O367" t="str" s="431" cm="1">
        <f t="array" ref="O367">IF(B367&gt;0,IF(OR(VLOOKUP(C349,'Boats Data Sheet 2026'!$C$3:$F$57,4,0)="Own",VLOOKUP(C349,'Boats Data Sheet 2026'!$C$3:$F$57,4,0)="Management"),('Direct Costs 2026'!$C$37+'Direct Costs 2026'!$C$39),"N/A"),"N/A")</f>
        <v>N/A</v>
      </c>
      <c r="P367" t="str" s="431" cm="1">
        <f t="array" ref="P367">_xlfn.IFERROR('Direct Costs 2026'!$C$27*C367,"N/A")</f>
        <v>N/A</v>
      </c>
      <c r="Q367" t="str" s="431" cm="1">
        <f t="array" ref="Q367">_xlfn.IFERROR(C367+SUM(E367:P367),"N/A")</f>
        <v>N/A</v>
      </c>
      <c r="R367" s="424"/>
      <c r="S367" t="str" s="431" cm="1">
        <f t="array" ref="S367">IF(B367&gt;0,'Allocation OH and Target 2026'!$E$31,"N/A")</f>
        <v>N/A</v>
      </c>
      <c r="T367" t="str" s="431" cm="1">
        <f t="array" ref="T367">IF(B367&gt;0,VLOOKUP(C349,'Allocation OH and Target 2026'!$C$35:$S$87,16,0),"N/A")</f>
        <v>N/A</v>
      </c>
      <c r="U367" t="str" s="431" cm="1">
        <f t="array" ref="U367">_xlfn.IFERROR((S367+T367),"N/A")</f>
        <v>N/A</v>
      </c>
      <c r="V367" s="424"/>
      <c r="W367" t="str" s="431" cm="1">
        <f t="array" ref="W367">_xlfn.IFERROR(U367+Q367,"N/A")</f>
        <v>N/A</v>
      </c>
      <c r="X367" t="str" s="431" cm="1">
        <f t="array" ref="X367">_xlfn.IFERROR(W367*0.5%,"N/A")</f>
        <v>N/A</v>
      </c>
      <c r="Y367" t="str" s="431" cm="1">
        <f t="array" ref="Y367">_xlfn.IFERROR(W367*25%,"N/A")</f>
        <v>N/A</v>
      </c>
      <c r="Z367" t="str" s="426" cm="1">
        <f t="array" ref="Z367">IF(B367&gt;0,SUM(W367:Y367),"N/A")</f>
        <v>N/A</v>
      </c>
      <c r="AA367" t="str" s="426" cm="1">
        <f t="array" ref="AA367">_xlfn.IFERROR((Z367-Z366),"N/A")</f>
        <v>N/A</v>
      </c>
      <c r="AB367" s="424"/>
      <c r="AC367" t="str" s="426" cm="1">
        <f t="array" ref="AC367">IF(B367=6,AVERAGE(Z352:Z357),"N/A")</f>
        <v>N/A</v>
      </c>
      <c r="AD367" s="424"/>
      <c r="AE367" s="423"/>
      <c r="AF367" s="423"/>
      <c r="AG367" s="423"/>
      <c r="AH367" s="423"/>
      <c r="AI367" s="423"/>
      <c r="AJ367" s="423"/>
      <c r="AK367" s="423"/>
      <c r="AL367" s="423"/>
      <c r="AM367" s="423"/>
      <c r="AN367" s="427"/>
    </row>
    <row r="368" ht="15" customHeight="1">
      <c r="A368" s="12"/>
      <c r="B368" s="428" cm="1">
        <f t="array" ref="B368">IF(B367=0,0,IF(B367&lt;VLOOKUP(C349,'Boats Data Sheet 2026'!$C$3:$H$57,6,0),B367+1,0))</f>
        <v>0</v>
      </c>
      <c r="C368" t="str" s="431" cm="1">
        <f t="array" ref="C368">IF(B368&gt;0,IF(VLOOKUP(C349,'Boats Data Sheet 2026'!$C$3:$J$57,8,0)="N/A",0,VLOOKUP(C349,'Boats Data Sheet 2026'!$C$3:$J$57,8,0)),"N/A")</f>
        <v>N/A</v>
      </c>
      <c r="D368" t="str" s="431" cm="1">
        <f t="array" ref="D368">IF(B368&gt;7,2,IF(B368=0,"N/A",1))</f>
        <v>N/A</v>
      </c>
      <c r="E368" t="str" s="431" cm="1">
        <f t="array" ref="E368">_xlfn.IFERROR(SUM('Direct Costs 2026'!$C$4:$C$5)*D368,"N/A")</f>
        <v>N/A</v>
      </c>
      <c r="F368" s="423" cm="1">
        <f t="array" ref="F368">_xlfn.IFERROR('Direct Costs 2026'!$C$43*B368,"N/A")</f>
        <v>0</v>
      </c>
      <c r="G368" t="str" s="431" cm="1">
        <f t="array" ref="G368">IF(B368&gt;0,'Direct Costs 2026'!$C$25,"N/A")</f>
        <v>N/A</v>
      </c>
      <c r="H368" t="str" s="431" cm="1">
        <f t="array" ref="H368">IF(B368&gt;0,'Direct Costs 2026'!$C$22,"N/A")</f>
        <v>N/A</v>
      </c>
      <c r="I368" s="423">
        <v>0</v>
      </c>
      <c r="J368" s="423">
        <v>0</v>
      </c>
      <c r="K368" t="str" s="431" cm="1">
        <f t="array" ref="K368">IF(B368&gt;0,'Direct Costs 2026'!$C$26,"N/A")</f>
        <v>N/A</v>
      </c>
      <c r="L368" t="str" s="431" cm="1">
        <f t="array" ref="L368">IF(B368&gt;0,'Direct Costs 2026'!$C$23,"N/A")</f>
        <v>N/A</v>
      </c>
      <c r="M368" t="str" s="431" cm="1">
        <f t="array" ref="M368">IF(B368&gt;0,'Direct Costs 2026'!$C$45*B368,"N/A")</f>
        <v>N/A</v>
      </c>
      <c r="N368" t="str" s="431" cm="1">
        <f t="array" ref="N368">IF(B368&gt;0,_xlfn.IFERROR(VLOOKUP(C349,'Boats Data Sheet 2026'!$C$3:$I$57,7,0)*'Direct Costs 2026'!$C$36,"N/A"),"N/A")</f>
        <v>N/A</v>
      </c>
      <c r="O368" t="str" s="431" cm="1">
        <f t="array" ref="O368">IF(B368&gt;0,IF(OR(VLOOKUP(C349,'Boats Data Sheet 2026'!$C$3:$F$57,4,0)="Own",VLOOKUP(C349,'Boats Data Sheet 2026'!$C$3:$F$57,4,0)="Management"),('Direct Costs 2026'!$C$37+'Direct Costs 2026'!$C$39),"N/A"),"N/A")</f>
        <v>N/A</v>
      </c>
      <c r="P368" t="str" s="431" cm="1">
        <f t="array" ref="P368">_xlfn.IFERROR('Direct Costs 2026'!$C$27*C368,"N/A")</f>
        <v>N/A</v>
      </c>
      <c r="Q368" t="str" s="431" cm="1">
        <f t="array" ref="Q368">_xlfn.IFERROR(C368+SUM(E368:P368),"N/A")</f>
        <v>N/A</v>
      </c>
      <c r="R368" s="424"/>
      <c r="S368" t="str" s="431" cm="1">
        <f t="array" ref="S368">IF(B368&gt;0,'Allocation OH and Target 2026'!$E$31,"N/A")</f>
        <v>N/A</v>
      </c>
      <c r="T368" t="str" s="431" cm="1">
        <f t="array" ref="T368">IF(B368&gt;0,VLOOKUP(C349,'Allocation OH and Target 2026'!$C$35:$S$87,16,0),"N/A")</f>
        <v>N/A</v>
      </c>
      <c r="U368" t="str" s="431" cm="1">
        <f t="array" ref="U368">_xlfn.IFERROR((S368+T368),"N/A")</f>
        <v>N/A</v>
      </c>
      <c r="V368" s="424"/>
      <c r="W368" t="str" s="431" cm="1">
        <f t="array" ref="W368">_xlfn.IFERROR(U368+Q368,"N/A")</f>
        <v>N/A</v>
      </c>
      <c r="X368" t="str" s="431" cm="1">
        <f t="array" ref="X368">_xlfn.IFERROR(W368*0.5%,"N/A")</f>
        <v>N/A</v>
      </c>
      <c r="Y368" t="str" s="431" cm="1">
        <f t="array" ref="Y368">_xlfn.IFERROR(W368*25%,"N/A")</f>
        <v>N/A</v>
      </c>
      <c r="Z368" t="str" s="426" cm="1">
        <f t="array" ref="Z368">IF(B368&gt;0,SUM(W368:Y368),"N/A")</f>
        <v>N/A</v>
      </c>
      <c r="AA368" t="str" s="426" cm="1">
        <f t="array" ref="AA368">_xlfn.IFERROR((Z368-Z367),"N/A")</f>
        <v>N/A</v>
      </c>
      <c r="AB368" s="424"/>
      <c r="AC368" t="str" s="426" cm="1">
        <f t="array" ref="AC368">IF(B368=6,AVERAGE(Z352:Z357),"N/A")</f>
        <v>N/A</v>
      </c>
      <c r="AD368" s="424"/>
      <c r="AE368" s="423"/>
      <c r="AF368" s="423"/>
      <c r="AG368" s="423"/>
      <c r="AH368" s="423"/>
      <c r="AI368" s="423"/>
      <c r="AJ368" s="423"/>
      <c r="AK368" s="423"/>
      <c r="AL368" s="423"/>
      <c r="AM368" s="423"/>
      <c r="AN368" s="427"/>
    </row>
    <row r="369" ht="15.5" customHeight="1">
      <c r="A369" s="12"/>
      <c r="B369" s="432" cm="1">
        <f t="array" ref="B369">IF(B368=0,0,IF(B368&lt;VLOOKUP(C349,'Boats Data Sheet 2026'!$C$3:$H$57,6,0),B368+1,0))</f>
        <v>0</v>
      </c>
      <c r="C369" t="str" s="433" cm="1">
        <f t="array" ref="C369">IF(B369&gt;0,IF(VLOOKUP(C349,'Boats Data Sheet 2026'!$C$3:$J$57,8,0)="N/A",0,VLOOKUP(C349,'Boats Data Sheet 2026'!$C$3:$J$57,8,0)),"N/A")</f>
        <v>N/A</v>
      </c>
      <c r="D369" t="str" s="433" cm="1">
        <f t="array" ref="D369">IF(B369&gt;7,2,IF(B369=0,"N/A",1))</f>
        <v>N/A</v>
      </c>
      <c r="E369" t="str" s="433" cm="1">
        <f t="array" ref="E369">_xlfn.IFERROR(SUM('Direct Costs 2026'!$C$4:$C$5)*D369,"N/A")</f>
        <v>N/A</v>
      </c>
      <c r="F369" s="434" cm="1">
        <f t="array" ref="F369">_xlfn.IFERROR('Direct Costs 2026'!$C$43*B369,"N/A")</f>
        <v>0</v>
      </c>
      <c r="G369" t="str" s="433" cm="1">
        <f t="array" ref="G369">IF(B369&gt;0,'Direct Costs 2026'!$C$25,"N/A")</f>
        <v>N/A</v>
      </c>
      <c r="H369" t="str" s="433" cm="1">
        <f t="array" ref="H369">IF(B369&gt;0,'Direct Costs 2026'!$C$22,"N/A")</f>
        <v>N/A</v>
      </c>
      <c r="I369" s="434">
        <v>0</v>
      </c>
      <c r="J369" s="434">
        <v>0</v>
      </c>
      <c r="K369" t="str" s="433" cm="1">
        <f t="array" ref="K369">IF(B369&gt;0,'Direct Costs 2026'!$C$26,"N/A")</f>
        <v>N/A</v>
      </c>
      <c r="L369" t="str" s="433" cm="1">
        <f t="array" ref="L369">IF(B369&gt;0,'Direct Costs 2026'!$C$23,"N/A")</f>
        <v>N/A</v>
      </c>
      <c r="M369" t="str" s="433" cm="1">
        <f t="array" ref="M369">IF(B369&gt;0,'Direct Costs 2026'!$C$45*B369,"N/A")</f>
        <v>N/A</v>
      </c>
      <c r="N369" t="str" s="433" cm="1">
        <f t="array" ref="N369">IF(B369&gt;0,_xlfn.IFERROR(VLOOKUP(C349,'Boats Data Sheet 2026'!$C$3:$I$57,7,0)*'Direct Costs 2026'!$C$36,"N/A"),"N/A")</f>
        <v>N/A</v>
      </c>
      <c r="O369" t="str" s="433" cm="1">
        <f t="array" ref="O369">IF(B369&gt;0,IF(OR(VLOOKUP(C349,'Boats Data Sheet 2026'!$C$3:$F$57,4,0)="Own",VLOOKUP(C349,'Boats Data Sheet 2026'!$C$3:$F$57,4,0)="Management"),('Direct Costs 2026'!$C$37+'Direct Costs 2026'!$C$39),"N/A"),"N/A")</f>
        <v>N/A</v>
      </c>
      <c r="P369" t="str" s="433" cm="1">
        <f t="array" ref="P369">_xlfn.IFERROR('Direct Costs 2026'!$C$27*C369,"N/A")</f>
        <v>N/A</v>
      </c>
      <c r="Q369" t="str" s="433" cm="1">
        <f t="array" ref="Q369">_xlfn.IFERROR(C369+SUM(E369:P369),"N/A")</f>
        <v>N/A</v>
      </c>
      <c r="R369" s="435"/>
      <c r="S369" t="str" s="433" cm="1">
        <f t="array" ref="S369">IF(B369&gt;0,'Allocation OH and Target 2026'!$E$31,"N/A")</f>
        <v>N/A</v>
      </c>
      <c r="T369" t="str" s="433" cm="1">
        <f t="array" ref="T369">IF(B369&gt;0,VLOOKUP(C349,'Allocation OH and Target 2026'!$C$35:$S$87,16,0),"N/A")</f>
        <v>N/A</v>
      </c>
      <c r="U369" t="str" s="433" cm="1">
        <f t="array" ref="U369">_xlfn.IFERROR((S369+T369),"N/A")</f>
        <v>N/A</v>
      </c>
      <c r="V369" s="435"/>
      <c r="W369" t="str" s="433" cm="1">
        <f t="array" ref="W369">_xlfn.IFERROR(U369+Q369,"N/A")</f>
        <v>N/A</v>
      </c>
      <c r="X369" t="str" s="433" cm="1">
        <f t="array" ref="X369">_xlfn.IFERROR(W369*0.5%,"N/A")</f>
        <v>N/A</v>
      </c>
      <c r="Y369" t="str" s="433" cm="1">
        <f t="array" ref="Y369">_xlfn.IFERROR(W369*25%,"N/A")</f>
        <v>N/A</v>
      </c>
      <c r="Z369" t="str" s="436" cm="1">
        <f t="array" ref="Z369">IF(B369&gt;0,SUM(W369:Y369),"N/A")</f>
        <v>N/A</v>
      </c>
      <c r="AA369" t="str" s="436" cm="1">
        <f t="array" ref="AA369">_xlfn.IFERROR((Z369-Z368),"N/A")</f>
        <v>N/A</v>
      </c>
      <c r="AB369" s="435"/>
      <c r="AC369" t="str" s="436" cm="1">
        <f t="array" ref="AC369">IF(B369=6,AVERAGE(Z352:Z357),"N/A")</f>
        <v>N/A</v>
      </c>
      <c r="AD369" s="435"/>
      <c r="AE369" s="434"/>
      <c r="AF369" s="434"/>
      <c r="AG369" s="434"/>
      <c r="AH369" s="434"/>
      <c r="AI369" s="434"/>
      <c r="AJ369" s="434"/>
      <c r="AK369" s="434"/>
      <c r="AL369" s="434"/>
      <c r="AM369" s="434"/>
      <c r="AN369" s="437"/>
    </row>
    <row r="370" ht="15" customHeight="1">
      <c r="A370" s="32"/>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c r="AD370" s="124"/>
      <c r="AE370" s="124"/>
      <c r="AF370" s="124"/>
      <c r="AG370" s="124"/>
      <c r="AH370" s="124"/>
      <c r="AI370" s="124"/>
      <c r="AJ370" s="124"/>
      <c r="AK370" s="124"/>
      <c r="AL370" s="124"/>
      <c r="AM370" s="124"/>
      <c r="AN370" s="313"/>
    </row>
    <row r="371" ht="15" customHeight="1">
      <c r="A371" s="32"/>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c r="AI371" s="35"/>
      <c r="AJ371" s="35"/>
      <c r="AK371" s="35"/>
      <c r="AL371" s="35"/>
      <c r="AM371" s="35"/>
      <c r="AN371" s="442"/>
    </row>
    <row r="372" ht="15.5" customHeight="1">
      <c r="A372" s="395">
        <v>18</v>
      </c>
      <c r="B372" t="s" s="444">
        <v>506</v>
      </c>
      <c r="C372" t="s" s="445">
        <v>200</v>
      </c>
      <c r="D372" s="446"/>
      <c r="E372" t="s" s="447">
        <v>542</v>
      </c>
      <c r="F372" s="446"/>
      <c r="G372" s="446"/>
      <c r="H372" s="446"/>
      <c r="I372" s="446"/>
      <c r="J372" s="446"/>
      <c r="K372" s="446"/>
      <c r="L372" s="446"/>
      <c r="M372" s="446"/>
      <c r="N372" s="446"/>
      <c r="O372" s="446"/>
      <c r="P372" s="446"/>
      <c r="Q372" s="446"/>
      <c r="R372" s="446"/>
      <c r="S372" s="446"/>
      <c r="T372" s="446"/>
      <c r="U372" s="446"/>
      <c r="V372" s="446"/>
      <c r="W372" s="446"/>
      <c r="X372" s="446"/>
      <c r="Y372" s="446"/>
      <c r="Z372" s="446"/>
      <c r="AA372" s="446"/>
      <c r="AB372" s="446"/>
      <c r="AC372" s="446"/>
      <c r="AD372" s="446"/>
      <c r="AE372" t="s" s="445">
        <v>508</v>
      </c>
      <c r="AF372" s="448" cm="1">
        <f t="array" ref="AF372">AVERAGE(Q375:Q380)</f>
        <v>20261500</v>
      </c>
      <c r="AG372" s="446"/>
      <c r="AH372" s="446"/>
      <c r="AI372" t="s" s="449">
        <v>510</v>
      </c>
      <c r="AJ372" s="448" cm="1">
        <f t="array" ref="AJ372">AVERAGE(Y375:Y382)</f>
        <v>5906846.16442453</v>
      </c>
      <c r="AK372" t="s" s="445">
        <v>511</v>
      </c>
      <c r="AL372" s="448" cm="1">
        <f t="array" ref="AL372">AVERAGE(W375:W380)</f>
        <v>23361947.1576981</v>
      </c>
      <c r="AM372" t="s" s="449">
        <v>512</v>
      </c>
      <c r="AN372" s="450" cm="1">
        <f t="array" ref="AN372">W375</f>
        <v>22971947.1576981</v>
      </c>
    </row>
    <row r="373" ht="15" customHeight="1">
      <c r="A373" s="12"/>
      <c r="B373" s="451"/>
      <c r="C373" t="s" s="452">
        <v>513</v>
      </c>
      <c r="D373" s="453"/>
      <c r="E373" s="453"/>
      <c r="F373" s="453"/>
      <c r="G373" s="453"/>
      <c r="H373" s="453"/>
      <c r="I373" s="453"/>
      <c r="J373" s="453"/>
      <c r="K373" s="453"/>
      <c r="L373" s="453"/>
      <c r="M373" s="453"/>
      <c r="N373" s="453"/>
      <c r="O373" s="453"/>
      <c r="P373" s="453"/>
      <c r="Q373" s="454"/>
      <c r="R373" s="455"/>
      <c r="S373" t="s" s="452">
        <v>514</v>
      </c>
      <c r="T373" s="453"/>
      <c r="U373" s="454"/>
      <c r="V373" s="455"/>
      <c r="W373" t="s" s="452">
        <v>515</v>
      </c>
      <c r="X373" s="453"/>
      <c r="Y373" s="453"/>
      <c r="Z373" s="453"/>
      <c r="AA373" s="453"/>
      <c r="AB373" s="456"/>
      <c r="AC373" s="457"/>
      <c r="AD373" s="457"/>
      <c r="AE373" s="457"/>
      <c r="AF373" s="457"/>
      <c r="AG373" s="457"/>
      <c r="AH373" s="457"/>
      <c r="AI373" s="457"/>
      <c r="AJ373" s="457"/>
      <c r="AK373" s="457"/>
      <c r="AL373" s="458"/>
      <c r="AM373" s="459"/>
      <c r="AN373" s="458"/>
    </row>
    <row r="374" ht="46.25" customHeight="1">
      <c r="A374" s="187"/>
      <c r="B374" t="s" s="460">
        <v>517</v>
      </c>
      <c r="C374" t="s" s="461">
        <v>518</v>
      </c>
      <c r="D374" t="s" s="461">
        <v>519</v>
      </c>
      <c r="E374" t="s" s="461">
        <v>520</v>
      </c>
      <c r="F374" t="s" s="461">
        <v>521</v>
      </c>
      <c r="G374" t="s" s="461">
        <v>522</v>
      </c>
      <c r="H374" t="s" s="461">
        <v>553</v>
      </c>
      <c r="I374" t="s" s="461">
        <v>524</v>
      </c>
      <c r="J374" t="s" s="461">
        <v>525</v>
      </c>
      <c r="K374" t="s" s="461">
        <v>526</v>
      </c>
      <c r="L374" t="s" s="461">
        <v>527</v>
      </c>
      <c r="M374" t="s" s="461">
        <v>528</v>
      </c>
      <c r="N374" t="s" s="461">
        <v>529</v>
      </c>
      <c r="O374" t="s" s="461">
        <v>530</v>
      </c>
      <c r="P374" t="s" s="461">
        <v>531</v>
      </c>
      <c r="Q374" t="s" s="461">
        <v>532</v>
      </c>
      <c r="R374" s="462"/>
      <c r="S374" t="s" s="461">
        <v>533</v>
      </c>
      <c r="T374" t="s" s="461">
        <v>534</v>
      </c>
      <c r="U374" t="s" s="461">
        <v>535</v>
      </c>
      <c r="V374" s="462"/>
      <c r="W374" t="s" s="461">
        <v>536</v>
      </c>
      <c r="X374" t="s" s="461">
        <v>537</v>
      </c>
      <c r="Y374" t="s" s="461">
        <v>538</v>
      </c>
      <c r="Z374" t="s" s="461">
        <v>539</v>
      </c>
      <c r="AA374" t="s" s="461">
        <v>121</v>
      </c>
      <c r="AB374" s="463"/>
      <c r="AC374" t="s" s="461">
        <v>39</v>
      </c>
      <c r="AD374" s="463"/>
      <c r="AE374" s="463"/>
      <c r="AF374" s="463"/>
      <c r="AG374" s="463"/>
      <c r="AH374" s="463"/>
      <c r="AI374" s="463"/>
      <c r="AJ374" s="463"/>
      <c r="AK374" s="463"/>
      <c r="AL374" s="463"/>
      <c r="AM374" s="463"/>
      <c r="AN374" s="464"/>
    </row>
    <row r="375" ht="15" customHeight="1" hidden="1">
      <c r="A375" s="12"/>
      <c r="B375" s="479">
        <v>1</v>
      </c>
      <c r="C375" s="480" cm="1">
        <f t="array" ref="C375">IF(B375&gt;0,IF(VLOOKUP(C372,'Boats Data Sheet 2026'!$C$3:$J$57,8,0)="N/A",0,VLOOKUP(C372,'Boats Data Sheet 2026'!$C$3:$J$57,8,0)),"N/A")</f>
        <v>18000000</v>
      </c>
      <c r="D375" s="481" cm="1">
        <f t="array" ref="D375">IF(B375&gt;7,2,IF(B375=0,"N/A",1))</f>
        <v>1</v>
      </c>
      <c r="E375" s="480" cm="1">
        <f t="array" ref="E375">_xlfn.IFERROR(SUM('Direct Costs 2026'!$C$4:$C$5)*D375,"N/A")</f>
        <v>875500</v>
      </c>
      <c r="F375" s="480" cm="1">
        <f t="array" ref="F375">_xlfn.IFERROR('Direct Costs 2026'!$C$43*B375,"N/A")</f>
        <v>6000</v>
      </c>
      <c r="G375" s="480" cm="1">
        <f t="array" ref="G375">IF(B375&gt;0,'Direct Costs 2026'!$C$25,"N/A")</f>
        <v>90000</v>
      </c>
      <c r="H375" s="480" cm="1">
        <f t="array" ref="H375">IF(B375&gt;0,'Direct Costs 2026'!$C$15+'Direct Costs 2026'!$C$14,"N/A")</f>
        <v>230000</v>
      </c>
      <c r="I375" s="480">
        <v>0</v>
      </c>
      <c r="J375" s="480">
        <v>0</v>
      </c>
      <c r="K375" s="480" cm="1">
        <f t="array" ref="K375">IF(B375&gt;0,'Direct Costs 2026'!$C$26,"N/A")</f>
        <v>20000</v>
      </c>
      <c r="L375" s="480" cm="1">
        <f t="array" ref="L375">IF(B375&gt;0,'Direct Costs 2026'!$C$23,"N/A")</f>
        <v>140000</v>
      </c>
      <c r="M375" s="480" cm="1">
        <f t="array" ref="M375">IF(B375&gt;0,'Direct Costs 2026'!$C$45*B375,"N/A")</f>
        <v>150000</v>
      </c>
      <c r="N375" t="str" s="482" cm="1">
        <f t="array" ref="N375">IF(B375&gt;0,_xlfn.IFERROR(VLOOKUP(C372,'Boats Data Sheet 2026'!$C$3:$I$57,7,0)*'Direct Costs 2026'!$C$36,"N/A"),"N/A")</f>
        <v>N/A</v>
      </c>
      <c r="O375" t="str" s="482" cm="1">
        <f t="array" ref="O375">IF(B375&gt;0,IF(OR(VLOOKUP(C372,'Boats Data Sheet 2026'!$C$3:$F$57,4,0)="Own",VLOOKUP(C372,'Boats Data Sheet 2026'!$C$3:$F$57,4,0)="Management"),('Direct Costs 2026'!$C$37+'Direct Costs 2026'!$C$39),"N/A"),"N/A")</f>
        <v>N/A</v>
      </c>
      <c r="P375" s="480" cm="1">
        <f t="array" ref="P375">_xlfn.IFERROR('Direct Costs 2026'!$C$27*C375,"N/A")</f>
        <v>360000</v>
      </c>
      <c r="Q375" s="480" cm="1">
        <f t="array" ref="Q375">_xlfn.IFERROR(C375+SUM(E375:P375),"N/A")</f>
        <v>19871500</v>
      </c>
      <c r="R375" s="483"/>
      <c r="S375" s="480" cm="1">
        <f t="array" ref="S375">IF(B375&gt;0,'Allocation OH and Target 2026'!$E$31,"N/A")</f>
        <v>3100447.15769812</v>
      </c>
      <c r="T375" s="480" cm="1">
        <f t="array" ref="T375">IF(B375&gt;0,VLOOKUP(C372,'Allocation OH and Target 2026'!$C$35:$S$87,16,0),"N/A")</f>
        <v>0</v>
      </c>
      <c r="U375" s="480" cm="1">
        <f t="array" ref="U375">_xlfn.IFERROR((S375+T375),"N/A")</f>
        <v>3100447.15769812</v>
      </c>
      <c r="V375" s="483"/>
      <c r="W375" s="480" cm="1">
        <f t="array" ref="W375">_xlfn.IFERROR(U375+Q375,"N/A")</f>
        <v>22971947.1576981</v>
      </c>
      <c r="X375" s="480" cm="1">
        <f t="array" ref="X375">_xlfn.IFERROR(W375*0.5%,"N/A")</f>
        <v>114859.735788491</v>
      </c>
      <c r="Y375" s="480" cm="1">
        <f t="array" ref="Y375">_xlfn.IFERROR(W375*25%,"N/A")</f>
        <v>5742986.78942453</v>
      </c>
      <c r="Z375" s="484" cm="1">
        <f t="array" ref="Z375">IF(B375&gt;0,SUM(W375:Y375),"N/A")</f>
        <v>28829793.6829111</v>
      </c>
      <c r="AA375" s="484">
        <v>0</v>
      </c>
      <c r="AB375" s="483"/>
      <c r="AC375" t="str" s="485" cm="1">
        <f t="array" ref="AC375">IF(B375=6,AVERAGE(Z375:Z380),"N/A")</f>
        <v>N/A</v>
      </c>
      <c r="AD375" s="483"/>
      <c r="AE375" s="480"/>
      <c r="AF375" s="480"/>
      <c r="AG375" s="480"/>
      <c r="AH375" s="480"/>
      <c r="AI375" s="480"/>
      <c r="AJ375" s="480"/>
      <c r="AK375" s="480"/>
      <c r="AL375" s="480"/>
      <c r="AM375" s="480"/>
      <c r="AN375" s="486"/>
    </row>
    <row r="376" ht="15" customHeight="1" hidden="1">
      <c r="A376" s="12"/>
      <c r="B376" s="479" cm="1">
        <f t="array" ref="B376">IF(B375=0,0,IF(B375&lt;VLOOKUP(C372,'Boats Data Sheet 2026'!$C$3:$H$57,6,0),B375+1,0))</f>
        <v>2</v>
      </c>
      <c r="C376" s="480" cm="1">
        <f t="array" ref="C376">IF(B376&gt;0,IF(VLOOKUP(C372,'Boats Data Sheet 2026'!$C$3:$J$57,8,0)="N/A",0,VLOOKUP(C372,'Boats Data Sheet 2026'!$C$3:$J$57,8,0)),"N/A")</f>
        <v>18000000</v>
      </c>
      <c r="D376" s="481" cm="1">
        <f t="array" ref="D376">IF(B376&gt;7,2,IF(B376=0,"N/A",1))</f>
        <v>1</v>
      </c>
      <c r="E376" s="480" cm="1">
        <f t="array" ref="E376">_xlfn.IFERROR(SUM('Direct Costs 2026'!$C$4:$C$5)*D376,"N/A")</f>
        <v>875500</v>
      </c>
      <c r="F376" s="480" cm="1">
        <f t="array" ref="F376">_xlfn.IFERROR('Direct Costs 2026'!$C$43*B376,"N/A")</f>
        <v>12000</v>
      </c>
      <c r="G376" s="480" cm="1">
        <f t="array" ref="G376">IF(B376&gt;0,'Direct Costs 2026'!$C$25,"N/A")</f>
        <v>90000</v>
      </c>
      <c r="H376" s="480" cm="1">
        <f t="array" ref="H376">IF(B376&gt;0,'Direct Costs 2026'!$C$15+'Direct Costs 2026'!$C$14,"N/A")</f>
        <v>230000</v>
      </c>
      <c r="I376" s="480">
        <v>0</v>
      </c>
      <c r="J376" s="480">
        <v>0</v>
      </c>
      <c r="K376" s="480" cm="1">
        <f t="array" ref="K376">IF(B376&gt;0,'Direct Costs 2026'!$C$26,"N/A")</f>
        <v>20000</v>
      </c>
      <c r="L376" s="480" cm="1">
        <f t="array" ref="L376">IF(B376&gt;0,'Direct Costs 2026'!$C$23,"N/A")</f>
        <v>140000</v>
      </c>
      <c r="M376" s="480" cm="1">
        <f t="array" ref="M376">IF(B376&gt;0,'Direct Costs 2026'!$C$45*B376,"N/A")</f>
        <v>300000</v>
      </c>
      <c r="N376" t="str" s="482" cm="1">
        <f t="array" ref="N376">IF(B376&gt;0,_xlfn.IFERROR(VLOOKUP(C372,'Boats Data Sheet 2026'!$C$3:$I$57,7,0)*'Direct Costs 2026'!$C$36,"N/A"),"N/A")</f>
        <v>N/A</v>
      </c>
      <c r="O376" t="str" s="482" cm="1">
        <f t="array" ref="O376">IF(B376&gt;0,IF(OR(VLOOKUP(C372,'Boats Data Sheet 2026'!$C$3:$F$57,4,0)="Own",VLOOKUP(C372,'Boats Data Sheet 2026'!$C$3:$F$57,4,0)="Management"),('Direct Costs 2026'!$C$37+'Direct Costs 2026'!$C$39),"N/A"),"N/A")</f>
        <v>N/A</v>
      </c>
      <c r="P376" s="480" cm="1">
        <f t="array" ref="P376">_xlfn.IFERROR('Direct Costs 2026'!$C$27*C376,"N/A")</f>
        <v>360000</v>
      </c>
      <c r="Q376" s="480" cm="1">
        <f t="array" ref="Q376">_xlfn.IFERROR(C376+SUM(E376:P376),"N/A")</f>
        <v>20027500</v>
      </c>
      <c r="R376" s="483"/>
      <c r="S376" s="480" cm="1">
        <f t="array" ref="S376">IF(B376&gt;0,'Allocation OH and Target 2026'!$E$31,"N/A")</f>
        <v>3100447.15769812</v>
      </c>
      <c r="T376" s="480" cm="1">
        <f t="array" ref="T376">IF(B376&gt;0,VLOOKUP(C372,'Allocation OH and Target 2026'!$C$35:$S$87,16,0),"N/A")</f>
        <v>0</v>
      </c>
      <c r="U376" s="480" cm="1">
        <f t="array" ref="U376">_xlfn.IFERROR((S376+T376),"N/A")</f>
        <v>3100447.15769812</v>
      </c>
      <c r="V376" s="483"/>
      <c r="W376" s="480" cm="1">
        <f t="array" ref="W376">_xlfn.IFERROR(U376+Q376,"N/A")</f>
        <v>23127947.1576981</v>
      </c>
      <c r="X376" s="480" cm="1">
        <f t="array" ref="X376">_xlfn.IFERROR(W376*0.5%,"N/A")</f>
        <v>115639.735788491</v>
      </c>
      <c r="Y376" s="480" cm="1">
        <f t="array" ref="Y376">_xlfn.IFERROR(W376*25%,"N/A")</f>
        <v>5781986.78942453</v>
      </c>
      <c r="Z376" s="484" cm="1">
        <f t="array" ref="Z376">IF(B376&gt;0,SUM(W376:Y376),"N/A")</f>
        <v>29025573.6829111</v>
      </c>
      <c r="AA376" s="484">
        <v>0</v>
      </c>
      <c r="AB376" s="483"/>
      <c r="AC376" t="str" s="485" cm="1">
        <f t="array" ref="AC376">IF(B376=6,AVERAGE(Z375:Z380),"N/A")</f>
        <v>N/A</v>
      </c>
      <c r="AD376" s="483"/>
      <c r="AE376" s="480"/>
      <c r="AF376" s="480"/>
      <c r="AG376" s="480"/>
      <c r="AH376" s="480"/>
      <c r="AI376" s="480"/>
      <c r="AJ376" s="480"/>
      <c r="AK376" s="480"/>
      <c r="AL376" s="480"/>
      <c r="AM376" s="480"/>
      <c r="AN376" s="486"/>
    </row>
    <row r="377" ht="15" customHeight="1" hidden="1">
      <c r="A377" s="12"/>
      <c r="B377" s="479" cm="1">
        <f t="array" ref="B377">IF(B376=0,0,IF(B376&lt;VLOOKUP(C372,'Boats Data Sheet 2026'!$C$3:$H$57,6,0),B376+1,0))</f>
        <v>3</v>
      </c>
      <c r="C377" s="480" cm="1">
        <f t="array" ref="C377">IF(B377&gt;0,IF(VLOOKUP(C372,'Boats Data Sheet 2026'!$C$3:$J$57,8,0)="N/A",0,VLOOKUP(C372,'Boats Data Sheet 2026'!$C$3:$J$57,8,0)),"N/A")</f>
        <v>18000000</v>
      </c>
      <c r="D377" s="481" cm="1">
        <f t="array" ref="D377">IF(B377&gt;7,2,IF(B377=0,"N/A",1))</f>
        <v>1</v>
      </c>
      <c r="E377" s="480" cm="1">
        <f t="array" ref="E377">_xlfn.IFERROR(SUM('Direct Costs 2026'!$C$4:$C$5)*D377,"N/A")</f>
        <v>875500</v>
      </c>
      <c r="F377" s="480" cm="1">
        <f t="array" ref="F377">_xlfn.IFERROR('Direct Costs 2026'!$C$43*B377,"N/A")</f>
        <v>18000</v>
      </c>
      <c r="G377" s="480" cm="1">
        <f t="array" ref="G377">IF(B377&gt;0,'Direct Costs 2026'!$C$25,"N/A")</f>
        <v>90000</v>
      </c>
      <c r="H377" s="480" cm="1">
        <f t="array" ref="H377">IF(B377&gt;0,'Direct Costs 2026'!$C$15+'Direct Costs 2026'!$C$14,"N/A")</f>
        <v>230000</v>
      </c>
      <c r="I377" s="480">
        <v>0</v>
      </c>
      <c r="J377" s="480">
        <v>0</v>
      </c>
      <c r="K377" s="480" cm="1">
        <f t="array" ref="K377">IF(B377&gt;0,'Direct Costs 2026'!$C$26,"N/A")</f>
        <v>20000</v>
      </c>
      <c r="L377" s="480" cm="1">
        <f t="array" ref="L377">IF(B377&gt;0,'Direct Costs 2026'!$C$23,"N/A")</f>
        <v>140000</v>
      </c>
      <c r="M377" s="480" cm="1">
        <f t="array" ref="M377">IF(B377&gt;0,'Direct Costs 2026'!$C$45*B377,"N/A")</f>
        <v>450000</v>
      </c>
      <c r="N377" t="str" s="482" cm="1">
        <f t="array" ref="N377">IF(B377&gt;0,_xlfn.IFERROR(VLOOKUP(C372,'Boats Data Sheet 2026'!$C$3:$I$57,7,0)*'Direct Costs 2026'!$C$36,"N/A"),"N/A")</f>
        <v>N/A</v>
      </c>
      <c r="O377" t="str" s="482" cm="1">
        <f t="array" ref="O377">IF(B377&gt;0,IF(OR(VLOOKUP(C372,'Boats Data Sheet 2026'!$C$3:$F$57,4,0)="Own",VLOOKUP(C372,'Boats Data Sheet 2026'!$C$3:$F$57,4,0)="Management"),('Direct Costs 2026'!$C$37+'Direct Costs 2026'!$C$39),"N/A"),"N/A")</f>
        <v>N/A</v>
      </c>
      <c r="P377" s="480" cm="1">
        <f t="array" ref="P377">_xlfn.IFERROR('Direct Costs 2026'!$C$27*C377,"N/A")</f>
        <v>360000</v>
      </c>
      <c r="Q377" s="480" cm="1">
        <f t="array" ref="Q377">_xlfn.IFERROR(C377+SUM(E377:P377),"N/A")</f>
        <v>20183500</v>
      </c>
      <c r="R377" s="483"/>
      <c r="S377" s="480" cm="1">
        <f t="array" ref="S377">IF(B377&gt;0,'Allocation OH and Target 2026'!$E$31,"N/A")</f>
        <v>3100447.15769812</v>
      </c>
      <c r="T377" s="480" cm="1">
        <f t="array" ref="T377">IF(B377&gt;0,VLOOKUP(C372,'Allocation OH and Target 2026'!$C$35:$S$87,16,0),"N/A")</f>
        <v>0</v>
      </c>
      <c r="U377" s="480" cm="1">
        <f t="array" ref="U377">_xlfn.IFERROR((S377+T377),"N/A")</f>
        <v>3100447.15769812</v>
      </c>
      <c r="V377" s="483"/>
      <c r="W377" s="480" cm="1">
        <f t="array" ref="W377">_xlfn.IFERROR(U377+Q377,"N/A")</f>
        <v>23283947.1576981</v>
      </c>
      <c r="X377" s="480" cm="1">
        <f t="array" ref="X377">_xlfn.IFERROR(W377*0.5%,"N/A")</f>
        <v>116419.735788491</v>
      </c>
      <c r="Y377" s="480" cm="1">
        <f t="array" ref="Y377">_xlfn.IFERROR(W377*25%,"N/A")</f>
        <v>5820986.78942453</v>
      </c>
      <c r="Z377" s="484" cm="1">
        <f t="array" ref="Z377">IF(B377&gt;0,SUM(W377:Y377),"N/A")</f>
        <v>29221353.6829111</v>
      </c>
      <c r="AA377" s="484">
        <v>0</v>
      </c>
      <c r="AB377" s="483"/>
      <c r="AC377" t="str" s="485" cm="1">
        <f t="array" ref="AC377">IF(B377=6,AVERAGE(Z375:Z380),"N/A")</f>
        <v>N/A</v>
      </c>
      <c r="AD377" s="483"/>
      <c r="AE377" s="480"/>
      <c r="AF377" s="480"/>
      <c r="AG377" s="480"/>
      <c r="AH377" s="480"/>
      <c r="AI377" s="480"/>
      <c r="AJ377" s="480"/>
      <c r="AK377" s="480"/>
      <c r="AL377" s="480"/>
      <c r="AM377" s="480"/>
      <c r="AN377" s="486"/>
    </row>
    <row r="378" ht="15" customHeight="1" hidden="1">
      <c r="A378" s="12"/>
      <c r="B378" s="479" cm="1">
        <f t="array" ref="B378">IF(B377=0,0,IF(B377&lt;VLOOKUP(C372,'Boats Data Sheet 2026'!$C$3:$H$57,6,0),B377+1,0))</f>
        <v>4</v>
      </c>
      <c r="C378" s="480" cm="1">
        <f t="array" ref="C378">IF(B378&gt;0,IF(VLOOKUP(C372,'Boats Data Sheet 2026'!$C$3:$J$57,8,0)="N/A",0,VLOOKUP(C372,'Boats Data Sheet 2026'!$C$3:$J$57,8,0)),"N/A")</f>
        <v>18000000</v>
      </c>
      <c r="D378" s="481" cm="1">
        <f t="array" ref="D378">IF(B378&gt;7,2,IF(B378=0,"N/A",1))</f>
        <v>1</v>
      </c>
      <c r="E378" s="480" cm="1">
        <f t="array" ref="E378">_xlfn.IFERROR(SUM('Direct Costs 2026'!$C$4:$C$5)*D378,"N/A")</f>
        <v>875500</v>
      </c>
      <c r="F378" s="480" cm="1">
        <f t="array" ref="F378">_xlfn.IFERROR('Direct Costs 2026'!$C$43*B378,"N/A")</f>
        <v>24000</v>
      </c>
      <c r="G378" s="480" cm="1">
        <f t="array" ref="G378">IF(B378&gt;0,'Direct Costs 2026'!$C$25,"N/A")</f>
        <v>90000</v>
      </c>
      <c r="H378" s="480" cm="1">
        <f t="array" ref="H378">IF(B378&gt;0,'Direct Costs 2026'!$C$15+'Direct Costs 2026'!$C$14,"N/A")</f>
        <v>230000</v>
      </c>
      <c r="I378" s="480">
        <v>0</v>
      </c>
      <c r="J378" s="480">
        <v>0</v>
      </c>
      <c r="K378" s="480" cm="1">
        <f t="array" ref="K378">IF(B378&gt;0,'Direct Costs 2026'!$C$26,"N/A")</f>
        <v>20000</v>
      </c>
      <c r="L378" s="480" cm="1">
        <f t="array" ref="L378">IF(B378&gt;0,'Direct Costs 2026'!$C$23,"N/A")</f>
        <v>140000</v>
      </c>
      <c r="M378" s="480" cm="1">
        <f t="array" ref="M378">IF(B378&gt;0,'Direct Costs 2026'!$C$45*B378,"N/A")</f>
        <v>600000</v>
      </c>
      <c r="N378" t="str" s="482" cm="1">
        <f t="array" ref="N378">IF(B378&gt;0,_xlfn.IFERROR(VLOOKUP(C372,'Boats Data Sheet 2026'!$C$3:$I$57,7,0)*'Direct Costs 2026'!$C$36,"N/A"),"N/A")</f>
        <v>N/A</v>
      </c>
      <c r="O378" t="str" s="482" cm="1">
        <f t="array" ref="O378">IF(B378&gt;0,IF(OR(VLOOKUP(C372,'Boats Data Sheet 2026'!$C$3:$F$57,4,0)="Own",VLOOKUP(C372,'Boats Data Sheet 2026'!$C$3:$F$57,4,0)="Management"),('Direct Costs 2026'!$C$37+'Direct Costs 2026'!$C$39),"N/A"),"N/A")</f>
        <v>N/A</v>
      </c>
      <c r="P378" s="480" cm="1">
        <f t="array" ref="P378">_xlfn.IFERROR('Direct Costs 2026'!$C$27*C378,"N/A")</f>
        <v>360000</v>
      </c>
      <c r="Q378" s="480" cm="1">
        <f t="array" ref="Q378">_xlfn.IFERROR(C378+SUM(E378:P378),"N/A")</f>
        <v>20339500</v>
      </c>
      <c r="R378" s="483"/>
      <c r="S378" s="480" cm="1">
        <f t="array" ref="S378">IF(B378&gt;0,'Allocation OH and Target 2026'!$E$31,"N/A")</f>
        <v>3100447.15769812</v>
      </c>
      <c r="T378" s="480" cm="1">
        <f t="array" ref="T378">IF(B378&gt;0,VLOOKUP(C372,'Allocation OH and Target 2026'!$C$35:$S$87,16,0),"N/A")</f>
        <v>0</v>
      </c>
      <c r="U378" s="480" cm="1">
        <f t="array" ref="U378">_xlfn.IFERROR((S378+T378),"N/A")</f>
        <v>3100447.15769812</v>
      </c>
      <c r="V378" s="483"/>
      <c r="W378" s="480" cm="1">
        <f t="array" ref="W378">_xlfn.IFERROR(U378+Q378,"N/A")</f>
        <v>23439947.1576981</v>
      </c>
      <c r="X378" s="480" cm="1">
        <f t="array" ref="X378">_xlfn.IFERROR(W378*0.5%,"N/A")</f>
        <v>117199.735788491</v>
      </c>
      <c r="Y378" s="480" cm="1">
        <f t="array" ref="Y378">_xlfn.IFERROR(W378*25%,"N/A")</f>
        <v>5859986.78942453</v>
      </c>
      <c r="Z378" s="484" cm="1">
        <f t="array" ref="Z378">IF(B378&gt;0,SUM(W378:Y378),"N/A")</f>
        <v>29417133.6829111</v>
      </c>
      <c r="AA378" s="484">
        <v>0</v>
      </c>
      <c r="AB378" s="483"/>
      <c r="AC378" t="str" s="485" cm="1">
        <f t="array" ref="AC378">IF(B378=6,AVERAGE(Z375:Z380),"N/A")</f>
        <v>N/A</v>
      </c>
      <c r="AD378" s="483"/>
      <c r="AE378" s="480"/>
      <c r="AF378" s="480"/>
      <c r="AG378" s="480"/>
      <c r="AH378" s="480"/>
      <c r="AI378" s="480"/>
      <c r="AJ378" s="480"/>
      <c r="AK378" s="480"/>
      <c r="AL378" s="480"/>
      <c r="AM378" s="480"/>
      <c r="AN378" s="486"/>
    </row>
    <row r="379" ht="15" customHeight="1" hidden="1">
      <c r="A379" s="12"/>
      <c r="B379" s="479" cm="1">
        <f t="array" ref="B379">IF(B378=0,0,IF(B378&lt;VLOOKUP(C372,'Boats Data Sheet 2026'!$C$3:$H$57,6,0),B378+1,0))</f>
        <v>5</v>
      </c>
      <c r="C379" s="480" cm="1">
        <f t="array" ref="C379">IF(B379&gt;0,IF(VLOOKUP(C372,'Boats Data Sheet 2026'!$C$3:$J$57,8,0)="N/A",0,VLOOKUP(C372,'Boats Data Sheet 2026'!$C$3:$J$57,8,0)),"N/A")</f>
        <v>18000000</v>
      </c>
      <c r="D379" s="481" cm="1">
        <f t="array" ref="D379">IF(B379&gt;7,2,IF(B379=0,"N/A",1))</f>
        <v>1</v>
      </c>
      <c r="E379" s="480" cm="1">
        <f t="array" ref="E379">_xlfn.IFERROR(SUM('Direct Costs 2026'!$C$4:$C$5)*D379,"N/A")</f>
        <v>875500</v>
      </c>
      <c r="F379" s="480" cm="1">
        <f t="array" ref="F379">_xlfn.IFERROR('Direct Costs 2026'!$C$43*B379,"N/A")</f>
        <v>30000</v>
      </c>
      <c r="G379" s="480" cm="1">
        <f t="array" ref="G379">IF(B379&gt;0,'Direct Costs 2026'!$C$25,"N/A")</f>
        <v>90000</v>
      </c>
      <c r="H379" s="480" cm="1">
        <f t="array" ref="H379">IF(B379&gt;0,'Direct Costs 2026'!$C$15+'Direct Costs 2026'!$C$14,"N/A")</f>
        <v>230000</v>
      </c>
      <c r="I379" s="480">
        <v>0</v>
      </c>
      <c r="J379" s="480">
        <v>0</v>
      </c>
      <c r="K379" s="480" cm="1">
        <f t="array" ref="K379">IF(B379&gt;0,'Direct Costs 2026'!$C$26,"N/A")</f>
        <v>20000</v>
      </c>
      <c r="L379" s="480" cm="1">
        <f t="array" ref="L379">IF(B379&gt;0,'Direct Costs 2026'!$C$23,"N/A")</f>
        <v>140000</v>
      </c>
      <c r="M379" s="480" cm="1">
        <f t="array" ref="M379">IF(B379&gt;0,'Direct Costs 2026'!$C$45*B379,"N/A")</f>
        <v>750000</v>
      </c>
      <c r="N379" t="str" s="482" cm="1">
        <f t="array" ref="N379">IF(B379&gt;0,_xlfn.IFERROR(VLOOKUP(C372,'Boats Data Sheet 2026'!$C$3:$I$57,7,0)*'Direct Costs 2026'!$C$36,"N/A"),"N/A")</f>
        <v>N/A</v>
      </c>
      <c r="O379" t="str" s="482" cm="1">
        <f t="array" ref="O379">IF(B379&gt;0,IF(OR(VLOOKUP(C372,'Boats Data Sheet 2026'!$C$3:$F$57,4,0)="Own",VLOOKUP(C372,'Boats Data Sheet 2026'!$C$3:$F$57,4,0)="Management"),('Direct Costs 2026'!$C$37+'Direct Costs 2026'!$C$39),"N/A"),"N/A")</f>
        <v>N/A</v>
      </c>
      <c r="P379" s="480" cm="1">
        <f t="array" ref="P379">_xlfn.IFERROR('Direct Costs 2026'!$C$27*C379,"N/A")</f>
        <v>360000</v>
      </c>
      <c r="Q379" s="480" cm="1">
        <f t="array" ref="Q379">_xlfn.IFERROR(C379+SUM(E379:P379),"N/A")</f>
        <v>20495500</v>
      </c>
      <c r="R379" s="483"/>
      <c r="S379" s="480" cm="1">
        <f t="array" ref="S379">IF(B379&gt;0,'Allocation OH and Target 2026'!$E$31,"N/A")</f>
        <v>3100447.15769812</v>
      </c>
      <c r="T379" s="480" cm="1">
        <f t="array" ref="T379">IF(B379&gt;0,VLOOKUP(C372,'Allocation OH and Target 2026'!$C$35:$S$87,16,0),"N/A")</f>
        <v>0</v>
      </c>
      <c r="U379" s="480" cm="1">
        <f t="array" ref="U379">_xlfn.IFERROR((S379+T379),"N/A")</f>
        <v>3100447.15769812</v>
      </c>
      <c r="V379" s="483"/>
      <c r="W379" s="480" cm="1">
        <f t="array" ref="W379">_xlfn.IFERROR(U379+Q379,"N/A")</f>
        <v>23595947.1576981</v>
      </c>
      <c r="X379" s="480" cm="1">
        <f t="array" ref="X379">_xlfn.IFERROR(W379*0.5%,"N/A")</f>
        <v>117979.735788491</v>
      </c>
      <c r="Y379" s="480" cm="1">
        <f t="array" ref="Y379">_xlfn.IFERROR(W379*25%,"N/A")</f>
        <v>5898986.78942453</v>
      </c>
      <c r="Z379" s="484" cm="1">
        <f t="array" ref="Z379">IF(B379&gt;0,SUM(W379:Y379),"N/A")</f>
        <v>29612913.6829111</v>
      </c>
      <c r="AA379" s="484">
        <v>0</v>
      </c>
      <c r="AB379" s="483"/>
      <c r="AC379" t="str" s="485" cm="1">
        <f t="array" ref="AC379">IF(B379=6,AVERAGE(Z375:Z380),"N/A")</f>
        <v>N/A</v>
      </c>
      <c r="AD379" s="483"/>
      <c r="AE379" s="480"/>
      <c r="AF379" s="480"/>
      <c r="AG379" s="480"/>
      <c r="AH379" s="480"/>
      <c r="AI379" s="480"/>
      <c r="AJ379" s="480"/>
      <c r="AK379" s="480"/>
      <c r="AL379" s="480"/>
      <c r="AM379" s="480"/>
      <c r="AN379" s="486"/>
    </row>
    <row r="380" ht="15" customHeight="1" hidden="1">
      <c r="A380" s="12"/>
      <c r="B380" s="479" cm="1">
        <f t="array" ref="B380">IF(B379=0,0,IF(B379&lt;VLOOKUP(C372,'Boats Data Sheet 2026'!$C$3:$H$57,6,0),B379+1,0))</f>
        <v>6</v>
      </c>
      <c r="C380" s="480" cm="1">
        <f t="array" ref="C380">IF(B380&gt;0,IF(VLOOKUP(C372,'Boats Data Sheet 2026'!$C$3:$J$57,8,0)="N/A",0,VLOOKUP(C372,'Boats Data Sheet 2026'!$C$3:$J$57,8,0)),"N/A")</f>
        <v>18000000</v>
      </c>
      <c r="D380" s="481" cm="1">
        <f t="array" ref="D380">IF(B380&gt;7,2,IF(B380=0,"N/A",1))</f>
        <v>1</v>
      </c>
      <c r="E380" s="480" cm="1">
        <f t="array" ref="E380">_xlfn.IFERROR(SUM('Direct Costs 2026'!$C$4:$C$5)*D380,"N/A")</f>
        <v>875500</v>
      </c>
      <c r="F380" s="480" cm="1">
        <f t="array" ref="F380">_xlfn.IFERROR('Direct Costs 2026'!$C$43*B380,"N/A")</f>
        <v>36000</v>
      </c>
      <c r="G380" s="480" cm="1">
        <f t="array" ref="G380">IF(B380&gt;0,'Direct Costs 2026'!$C$25,"N/A")</f>
        <v>90000</v>
      </c>
      <c r="H380" s="480" cm="1">
        <f t="array" ref="H380">IF(B380&gt;0,'Direct Costs 2026'!$C$15+'Direct Costs 2026'!$C$14,"N/A")</f>
        <v>230000</v>
      </c>
      <c r="I380" s="480">
        <v>0</v>
      </c>
      <c r="J380" s="480">
        <v>0</v>
      </c>
      <c r="K380" s="480" cm="1">
        <f t="array" ref="K380">IF(B380&gt;0,'Direct Costs 2026'!$C$26,"N/A")</f>
        <v>20000</v>
      </c>
      <c r="L380" s="480" cm="1">
        <f t="array" ref="L380">IF(B380&gt;0,'Direct Costs 2026'!$C$23,"N/A")</f>
        <v>140000</v>
      </c>
      <c r="M380" s="480" cm="1">
        <f t="array" ref="M380">IF(B380&gt;0,'Direct Costs 2026'!$C$45*B380,"N/A")</f>
        <v>900000</v>
      </c>
      <c r="N380" t="str" s="482" cm="1">
        <f t="array" ref="N380">IF(B380&gt;0,_xlfn.IFERROR(VLOOKUP(C372,'Boats Data Sheet 2026'!$C$3:$I$57,7,0)*'Direct Costs 2026'!$C$36,"N/A"),"N/A")</f>
        <v>N/A</v>
      </c>
      <c r="O380" t="str" s="482" cm="1">
        <f t="array" ref="O380">IF(B380&gt;0,IF(OR(VLOOKUP(C372,'Boats Data Sheet 2026'!$C$3:$F$57,4,0)="Own",VLOOKUP(C372,'Boats Data Sheet 2026'!$C$3:$F$57,4,0)="Management"),('Direct Costs 2026'!$C$37+'Direct Costs 2026'!$C$39),"N/A"),"N/A")</f>
        <v>N/A</v>
      </c>
      <c r="P380" s="480" cm="1">
        <f t="array" ref="P380">_xlfn.IFERROR('Direct Costs 2026'!$C$27*C380,"N/A")</f>
        <v>360000</v>
      </c>
      <c r="Q380" s="480" cm="1">
        <f t="array" ref="Q380">_xlfn.IFERROR(C380+SUM(E380:P380),"N/A")</f>
        <v>20651500</v>
      </c>
      <c r="R380" s="483"/>
      <c r="S380" s="480" cm="1">
        <f t="array" ref="S380">IF(B380&gt;0,'Allocation OH and Target 2026'!$E$31,"N/A")</f>
        <v>3100447.15769812</v>
      </c>
      <c r="T380" s="480" cm="1">
        <f t="array" ref="T380">IF(B380&gt;0,VLOOKUP(C372,'Allocation OH and Target 2026'!$C$35:$S$87,16,0),"N/A")</f>
        <v>0</v>
      </c>
      <c r="U380" s="480" cm="1">
        <f t="array" ref="U380">_xlfn.IFERROR((S380+T380),"N/A")</f>
        <v>3100447.15769812</v>
      </c>
      <c r="V380" s="483"/>
      <c r="W380" s="480" cm="1">
        <f t="array" ref="W380">_xlfn.IFERROR(U380+Q380,"N/A")</f>
        <v>23751947.1576981</v>
      </c>
      <c r="X380" s="480" cm="1">
        <f t="array" ref="X380">_xlfn.IFERROR(W380*0.5%,"N/A")</f>
        <v>118759.735788491</v>
      </c>
      <c r="Y380" s="480" cm="1">
        <f t="array" ref="Y380">_xlfn.IFERROR(W380*25%,"N/A")</f>
        <v>5937986.78942453</v>
      </c>
      <c r="Z380" s="484" cm="1">
        <f t="array" ref="Z380">IF(B380&gt;0,SUM(W380:Y380),"N/A")</f>
        <v>29808693.6829111</v>
      </c>
      <c r="AA380" s="484">
        <v>0</v>
      </c>
      <c r="AB380" s="483"/>
      <c r="AC380" s="484" cm="1">
        <f t="array" ref="AC380">IF(B380=6,AVERAGE(Z375:Z380),"N/A")</f>
        <v>29319243.6829111</v>
      </c>
      <c r="AD380" s="483"/>
      <c r="AE380" s="480"/>
      <c r="AF380" s="480"/>
      <c r="AG380" s="480"/>
      <c r="AH380" s="480"/>
      <c r="AI380" s="480"/>
      <c r="AJ380" s="480"/>
      <c r="AK380" s="480"/>
      <c r="AL380" s="480"/>
      <c r="AM380" s="480"/>
      <c r="AN380" s="486"/>
    </row>
    <row r="381" ht="15" customHeight="1" hidden="1">
      <c r="A381" s="12"/>
      <c r="B381" s="479" cm="1">
        <f t="array" ref="B381">IF(B380=0,0,IF(B380&lt;VLOOKUP(C372,'Boats Data Sheet 2026'!$C$3:$H$57,6,0),B380+1,0))</f>
        <v>7</v>
      </c>
      <c r="C381" s="480" cm="1">
        <f t="array" ref="C381">IF(B381&gt;0,IF(VLOOKUP(C372,'Boats Data Sheet 2026'!$C$3:$J$57,8,0)="N/A",0,VLOOKUP(C372,'Boats Data Sheet 2026'!$C$3:$J$57,8,0)),"N/A")</f>
        <v>18000000</v>
      </c>
      <c r="D381" s="481" cm="1">
        <f t="array" ref="D381">IF(B381&gt;7,2,IF(B381=0,"N/A",1))</f>
        <v>1</v>
      </c>
      <c r="E381" s="480" cm="1">
        <f t="array" ref="E381">_xlfn.IFERROR(SUM('Direct Costs 2026'!$C$4:$C$5)*D381,"N/A")</f>
        <v>875500</v>
      </c>
      <c r="F381" s="480" cm="1">
        <f t="array" ref="F381">_xlfn.IFERROR('Direct Costs 2026'!$C$43*B381,"N/A")</f>
        <v>42000</v>
      </c>
      <c r="G381" s="480" cm="1">
        <f t="array" ref="G381">IF(B381&gt;0,'Direct Costs 2026'!$C$25,"N/A")</f>
        <v>90000</v>
      </c>
      <c r="H381" s="480" cm="1">
        <f t="array" ref="H381">IF(B381&gt;0,'Direct Costs 2026'!$C$15+'Direct Costs 2026'!$C$14,"N/A")</f>
        <v>230000</v>
      </c>
      <c r="I381" s="480">
        <v>0</v>
      </c>
      <c r="J381" s="480">
        <v>0</v>
      </c>
      <c r="K381" s="480" cm="1">
        <f t="array" ref="K381">IF(B381&gt;0,'Direct Costs 2026'!$C$26,"N/A")</f>
        <v>20000</v>
      </c>
      <c r="L381" s="480" cm="1">
        <f t="array" ref="L381">IF(B381&gt;0,'Direct Costs 2026'!$C$23,"N/A")</f>
        <v>140000</v>
      </c>
      <c r="M381" s="480" cm="1">
        <f t="array" ref="M381">IF(B381&gt;0,'Direct Costs 2026'!$C$45*B381,"N/A")</f>
        <v>1050000</v>
      </c>
      <c r="N381" t="str" s="482" cm="1">
        <f t="array" ref="N381">IF(B381&gt;0,_xlfn.IFERROR(VLOOKUP(C372,'Boats Data Sheet 2026'!$C$3:$I$57,7,0)*'Direct Costs 2026'!$C$36,"N/A"),"N/A")</f>
        <v>N/A</v>
      </c>
      <c r="O381" t="str" s="482" cm="1">
        <f t="array" ref="O381">IF(B381&gt;0,IF(OR(VLOOKUP(C372,'Boats Data Sheet 2026'!$C$3:$F$57,4,0)="Own",VLOOKUP(C372,'Boats Data Sheet 2026'!$C$3:$F$57,4,0)="Management"),('Direct Costs 2026'!$C$37+'Direct Costs 2026'!$C$39),"N/A"),"N/A")</f>
        <v>N/A</v>
      </c>
      <c r="P381" s="480" cm="1">
        <f t="array" ref="P381">_xlfn.IFERROR('Direct Costs 2026'!$C$27*C381,"N/A")</f>
        <v>360000</v>
      </c>
      <c r="Q381" s="480" cm="1">
        <f t="array" ref="Q381">_xlfn.IFERROR(C381+SUM(E381:P381),"N/A")</f>
        <v>20807500</v>
      </c>
      <c r="R381" s="483"/>
      <c r="S381" s="480" cm="1">
        <f t="array" ref="S381">IF(B381&gt;0,'Allocation OH and Target 2026'!$E$31,"N/A")</f>
        <v>3100447.15769812</v>
      </c>
      <c r="T381" s="480" cm="1">
        <f t="array" ref="T381">IF(B381&gt;0,VLOOKUP(C372,'Allocation OH and Target 2026'!$C$35:$S$87,16,0),"N/A")</f>
        <v>0</v>
      </c>
      <c r="U381" s="480" cm="1">
        <f t="array" ref="U381">_xlfn.IFERROR((S381+T381),"N/A")</f>
        <v>3100447.15769812</v>
      </c>
      <c r="V381" s="483"/>
      <c r="W381" s="480" cm="1">
        <f t="array" ref="W381">_xlfn.IFERROR(U381+Q381,"N/A")</f>
        <v>23907947.1576981</v>
      </c>
      <c r="X381" s="480" cm="1">
        <f t="array" ref="X381">_xlfn.IFERROR(W381*0.5%,"N/A")</f>
        <v>119539.735788491</v>
      </c>
      <c r="Y381" s="480" cm="1">
        <f t="array" ref="Y381">_xlfn.IFERROR(W381*25%,"N/A")</f>
        <v>5976986.78942453</v>
      </c>
      <c r="Z381" s="484" cm="1">
        <f t="array" ref="Z381">IF(B381&gt;0,SUM(W381:Y381),"N/A")</f>
        <v>30004473.6829111</v>
      </c>
      <c r="AA381" s="484" cm="1">
        <f t="array" ref="AA381">_xlfn.IFERROR((Z381-AVERAGE(Z375:Z380)),"N/A")</f>
        <v>685230</v>
      </c>
      <c r="AB381" s="483"/>
      <c r="AC381" t="str" s="485" cm="1">
        <f t="array" ref="AC381">IF(B381=6,AVERAGE(Z375:Z380),"N/A")</f>
        <v>N/A</v>
      </c>
      <c r="AD381" s="483"/>
      <c r="AE381" s="480"/>
      <c r="AF381" s="480"/>
      <c r="AG381" s="480"/>
      <c r="AH381" s="480"/>
      <c r="AI381" s="480"/>
      <c r="AJ381" s="480"/>
      <c r="AK381" s="480"/>
      <c r="AL381" s="480"/>
      <c r="AM381" s="480"/>
      <c r="AN381" s="486"/>
    </row>
    <row r="382" ht="15" customHeight="1" hidden="1">
      <c r="A382" s="12"/>
      <c r="B382" s="479" cm="1">
        <f t="array" ref="B382">IF(B381=0,0,IF(B381&lt;VLOOKUP(C372,'Boats Data Sheet 2026'!$C$3:$H$57,6,0),B381+1,0))</f>
        <v>8</v>
      </c>
      <c r="C382" s="480" cm="1">
        <f t="array" ref="C382">IF(B382&gt;0,IF(VLOOKUP(C372,'Boats Data Sheet 2026'!$C$3:$J$57,8,0)="N/A",0,VLOOKUP(C372,'Boats Data Sheet 2026'!$C$3:$J$57,8,0)),"N/A")</f>
        <v>18000000</v>
      </c>
      <c r="D382" s="481" cm="1">
        <f t="array" ref="D382">IF(B382&gt;7,2,IF(B382=0,"N/A",1))</f>
        <v>2</v>
      </c>
      <c r="E382" s="480" cm="1">
        <f t="array" ref="E382">_xlfn.IFERROR(SUM('Direct Costs 2026'!$C$4:$C$5)*D382,"N/A")</f>
        <v>1751000</v>
      </c>
      <c r="F382" s="480" cm="1">
        <f t="array" ref="F382">_xlfn.IFERROR('Direct Costs 2026'!$C$43*B382,"N/A")</f>
        <v>48000</v>
      </c>
      <c r="G382" s="480" cm="1">
        <f t="array" ref="G382">IF(B382&gt;0,'Direct Costs 2026'!$C$25,"N/A")</f>
        <v>90000</v>
      </c>
      <c r="H382" s="480" cm="1">
        <f t="array" ref="H382">IF(B382&gt;0,'Direct Costs 2026'!$C$15+'Direct Costs 2026'!$C$14,"N/A")</f>
        <v>230000</v>
      </c>
      <c r="I382" s="480">
        <v>0</v>
      </c>
      <c r="J382" s="480">
        <v>0</v>
      </c>
      <c r="K382" s="480" cm="1">
        <f t="array" ref="K382">IF(B382&gt;0,'Direct Costs 2026'!$C$26,"N/A")</f>
        <v>20000</v>
      </c>
      <c r="L382" s="480" cm="1">
        <f t="array" ref="L382">IF(B382&gt;0,'Direct Costs 2026'!$C$23,"N/A")</f>
        <v>140000</v>
      </c>
      <c r="M382" s="480" cm="1">
        <f t="array" ref="M382">IF(B382&gt;0,'Direct Costs 2026'!$C$45*B382,"N/A")</f>
        <v>1200000</v>
      </c>
      <c r="N382" t="str" s="482" cm="1">
        <f t="array" ref="N382">IF(B382&gt;0,_xlfn.IFERROR(VLOOKUP(C372,'Boats Data Sheet 2026'!$C$3:$I$57,7,0)*'Direct Costs 2026'!$C$36,"N/A"),"N/A")</f>
        <v>N/A</v>
      </c>
      <c r="O382" t="str" s="482" cm="1">
        <f t="array" ref="O382">IF(B382&gt;0,IF(OR(VLOOKUP(C372,'Boats Data Sheet 2026'!$C$3:$F$57,4,0)="Own",VLOOKUP(C372,'Boats Data Sheet 2026'!$C$3:$F$57,4,0)="Management"),('Direct Costs 2026'!$C$37+'Direct Costs 2026'!$C$39),"N/A"),"N/A")</f>
        <v>N/A</v>
      </c>
      <c r="P382" s="480" cm="1">
        <f t="array" ref="P382">_xlfn.IFERROR('Direct Costs 2026'!$C$27*C382,"N/A")</f>
        <v>360000</v>
      </c>
      <c r="Q382" s="480" cm="1">
        <f t="array" ref="Q382">_xlfn.IFERROR(C382+SUM(E382:P382),"N/A")</f>
        <v>21839000</v>
      </c>
      <c r="R382" s="483"/>
      <c r="S382" s="480" cm="1">
        <f t="array" ref="S382">IF(B382&gt;0,'Allocation OH and Target 2026'!$E$31,"N/A")</f>
        <v>3100447.15769812</v>
      </c>
      <c r="T382" s="480" cm="1">
        <f t="array" ref="T382">IF(B382&gt;0,VLOOKUP(C372,'Allocation OH and Target 2026'!$C$35:$S$87,16,0),"N/A")</f>
        <v>0</v>
      </c>
      <c r="U382" s="480" cm="1">
        <f t="array" ref="U382">_xlfn.IFERROR((S382+T382),"N/A")</f>
        <v>3100447.15769812</v>
      </c>
      <c r="V382" s="483"/>
      <c r="W382" s="480" cm="1">
        <f t="array" ref="W382">_xlfn.IFERROR(U382+Q382,"N/A")</f>
        <v>24939447.1576981</v>
      </c>
      <c r="X382" s="480" cm="1">
        <f t="array" ref="X382">_xlfn.IFERROR(W382*0.5%,"N/A")</f>
        <v>124697.235788491</v>
      </c>
      <c r="Y382" s="480" cm="1">
        <f t="array" ref="Y382">_xlfn.IFERROR(W382*25%,"N/A")</f>
        <v>6234861.78942453</v>
      </c>
      <c r="Z382" s="484" cm="1">
        <f t="array" ref="Z382">IF(B382&gt;0,SUM(W382:Y382),"N/A")</f>
        <v>31299006.1829111</v>
      </c>
      <c r="AA382" s="484" cm="1">
        <f t="array" ref="AA382">_xlfn.IFERROR((Z382-AVERAGE(Z375:Z380)),"N/A")</f>
        <v>1979762.5</v>
      </c>
      <c r="AB382" s="483"/>
      <c r="AC382" t="str" s="485" cm="1">
        <f t="array" ref="AC382">IF(B382=6,AVERAGE(Z375:Z380),"N/A")</f>
        <v>N/A</v>
      </c>
      <c r="AD382" s="483"/>
      <c r="AE382" s="480"/>
      <c r="AF382" s="480"/>
      <c r="AG382" s="480"/>
      <c r="AH382" s="480"/>
      <c r="AI382" s="480"/>
      <c r="AJ382" s="480"/>
      <c r="AK382" s="480"/>
      <c r="AL382" s="480"/>
      <c r="AM382" s="480"/>
      <c r="AN382" s="486"/>
    </row>
    <row r="383" ht="15" customHeight="1" hidden="1">
      <c r="A383" s="12"/>
      <c r="B383" s="479" cm="1">
        <f t="array" ref="B383">IF(B382=0,0,IF(B382&lt;VLOOKUP(C372,'Boats Data Sheet 2026'!$C$3:$H$57,6,0),B382+1,0))</f>
        <v>9</v>
      </c>
      <c r="C383" s="480" cm="1">
        <f t="array" ref="C383">IF(B383&gt;0,IF(VLOOKUP(C372,'Boats Data Sheet 2026'!$C$3:$J$57,8,0)="N/A",0,VLOOKUP(C372,'Boats Data Sheet 2026'!$C$3:$J$57,8,0)),"N/A")</f>
        <v>18000000</v>
      </c>
      <c r="D383" s="490" cm="1">
        <f t="array" ref="D383">IF(B383&gt;7,2,IF(B383=0,"N/A",1))</f>
        <v>2</v>
      </c>
      <c r="E383" s="480" cm="1">
        <f t="array" ref="E383">_xlfn.IFERROR(SUM('Direct Costs 2026'!$C$4:$C$5)*D383,"N/A")</f>
        <v>1751000</v>
      </c>
      <c r="F383" s="480" cm="1">
        <f t="array" ref="F383">_xlfn.IFERROR('Direct Costs 2026'!$C$43*B383,"N/A")</f>
        <v>54000</v>
      </c>
      <c r="G383" s="480" cm="1">
        <f t="array" ref="G383">IF(B383&gt;0,'Direct Costs 2026'!$C$25,"N/A")</f>
        <v>90000</v>
      </c>
      <c r="H383" s="480" cm="1">
        <f t="array" ref="H383">IF(B383&gt;0,'Direct Costs 2026'!$C$15+'Direct Costs 2026'!$C$14,"N/A")</f>
        <v>230000</v>
      </c>
      <c r="I383" s="480">
        <v>0</v>
      </c>
      <c r="J383" s="480">
        <v>0</v>
      </c>
      <c r="K383" s="480" cm="1">
        <f t="array" ref="K383">IF(B383&gt;0,'Direct Costs 2026'!$C$26,"N/A")</f>
        <v>20000</v>
      </c>
      <c r="L383" s="480" cm="1">
        <f t="array" ref="L383">IF(B383&gt;0,'Direct Costs 2026'!$C$23,"N/A")</f>
        <v>140000</v>
      </c>
      <c r="M383" s="480" cm="1">
        <f t="array" ref="M383">IF(B383&gt;0,'Direct Costs 2026'!$C$45*B383,"N/A")</f>
        <v>1350000</v>
      </c>
      <c r="N383" t="str" s="482" cm="1">
        <f t="array" ref="N383">IF(B383&gt;0,_xlfn.IFERROR(VLOOKUP(C372,'Boats Data Sheet 2026'!$C$3:$I$57,7,0)*'Direct Costs 2026'!$C$36,"N/A"),"N/A")</f>
        <v>N/A</v>
      </c>
      <c r="O383" t="str" s="482" cm="1">
        <f t="array" ref="O383">IF(B383&gt;0,IF(OR(VLOOKUP(C372,'Boats Data Sheet 2026'!$C$3:$F$57,4,0)="Own",VLOOKUP(C372,'Boats Data Sheet 2026'!$C$3:$F$57,4,0)="Management"),('Direct Costs 2026'!$C$37+'Direct Costs 2026'!$C$39),"N/A"),"N/A")</f>
        <v>N/A</v>
      </c>
      <c r="P383" s="480" cm="1">
        <f t="array" ref="P383">_xlfn.IFERROR('Direct Costs 2026'!$C$27*C383,"N/A")</f>
        <v>360000</v>
      </c>
      <c r="Q383" s="480" cm="1">
        <f t="array" ref="Q383">_xlfn.IFERROR(C383+SUM(E383:P383),"N/A")</f>
        <v>21995000</v>
      </c>
      <c r="R383" s="483"/>
      <c r="S383" s="480" cm="1">
        <f t="array" ref="S383">IF(B383&gt;0,'Allocation OH and Target 2026'!$E$31,"N/A")</f>
        <v>3100447.15769812</v>
      </c>
      <c r="T383" s="480" cm="1">
        <f t="array" ref="T383">IF(B383&gt;0,VLOOKUP(C372,'Allocation OH and Target 2026'!$C$35:$S$87,16,0),"N/A")</f>
        <v>0</v>
      </c>
      <c r="U383" s="480" cm="1">
        <f t="array" ref="U383">_xlfn.IFERROR((S383+T383),"N/A")</f>
        <v>3100447.15769812</v>
      </c>
      <c r="V383" s="483"/>
      <c r="W383" s="480" cm="1">
        <f t="array" ref="W383">_xlfn.IFERROR(U383+Q383,"N/A")</f>
        <v>25095447.1576981</v>
      </c>
      <c r="X383" s="480" cm="1">
        <f t="array" ref="X383">_xlfn.IFERROR(W383*0.5%,"N/A")</f>
        <v>125477.235788491</v>
      </c>
      <c r="Y383" s="480" cm="1">
        <f t="array" ref="Y383">_xlfn.IFERROR(W383*25%,"N/A")</f>
        <v>6273861.78942453</v>
      </c>
      <c r="Z383" s="484" cm="1">
        <f t="array" ref="Z383">IF(B383&gt;0,SUM(W383:Y383),"N/A")</f>
        <v>31494786.1829111</v>
      </c>
      <c r="AA383" s="484" cm="1">
        <f t="array" ref="AA383">_xlfn.IFERROR((Z383-AVERAGE(Z375:Z380)),"N/A")</f>
        <v>2175542.5</v>
      </c>
      <c r="AB383" s="483"/>
      <c r="AC383" t="str" s="485" cm="1">
        <f t="array" ref="AC383">IF(B383=6,AVERAGE(Z375:Z380),"N/A")</f>
        <v>N/A</v>
      </c>
      <c r="AD383" s="483"/>
      <c r="AE383" s="480"/>
      <c r="AF383" s="480"/>
      <c r="AG383" s="480"/>
      <c r="AH383" s="480"/>
      <c r="AI383" s="480"/>
      <c r="AJ383" s="480"/>
      <c r="AK383" s="480"/>
      <c r="AL383" s="480"/>
      <c r="AM383" s="480"/>
      <c r="AN383" s="486"/>
    </row>
    <row r="384" ht="15" customHeight="1" hidden="1">
      <c r="A384" s="12"/>
      <c r="B384" s="479" cm="1">
        <f t="array" ref="B384">IF(B383=0,0,IF(B383&lt;VLOOKUP(C372,'Boats Data Sheet 2026'!$C$3:$H$57,6,0),B383+1,0))</f>
        <v>10</v>
      </c>
      <c r="C384" s="480" cm="1">
        <f t="array" ref="C384">IF(B384&gt;0,IF(VLOOKUP(C372,'Boats Data Sheet 2026'!$C$3:$J$57,8,0)="N/A",0,VLOOKUP(C372,'Boats Data Sheet 2026'!$C$3:$J$57,8,0)),"N/A")</f>
        <v>18000000</v>
      </c>
      <c r="D384" s="490" cm="1">
        <f t="array" ref="D384">IF(B384&gt;7,2,IF(B384=0,"N/A",1))</f>
        <v>2</v>
      </c>
      <c r="E384" s="480" cm="1">
        <f t="array" ref="E384">_xlfn.IFERROR(SUM('Direct Costs 2026'!$C$4:$C$5)*D384,"N/A")</f>
        <v>1751000</v>
      </c>
      <c r="F384" s="480" cm="1">
        <f t="array" ref="F384">_xlfn.IFERROR('Direct Costs 2026'!$C$43*B384,"N/A")</f>
        <v>60000</v>
      </c>
      <c r="G384" s="480" cm="1">
        <f t="array" ref="G384">IF(B384&gt;0,'Direct Costs 2026'!$C$25,"N/A")</f>
        <v>90000</v>
      </c>
      <c r="H384" s="480" cm="1">
        <f t="array" ref="H384">IF(B384&gt;0,'Direct Costs 2026'!$C$15+'Direct Costs 2026'!$C$14,"N/A")</f>
        <v>230000</v>
      </c>
      <c r="I384" s="480">
        <v>0</v>
      </c>
      <c r="J384" s="480">
        <v>0</v>
      </c>
      <c r="K384" s="480" cm="1">
        <f t="array" ref="K384">IF(B384&gt;0,'Direct Costs 2026'!$C$26,"N/A")</f>
        <v>20000</v>
      </c>
      <c r="L384" s="480" cm="1">
        <f t="array" ref="L384">IF(B384&gt;0,'Direct Costs 2026'!$C$23,"N/A")</f>
        <v>140000</v>
      </c>
      <c r="M384" s="480" cm="1">
        <f t="array" ref="M384">IF(B384&gt;0,'Direct Costs 2026'!$C$45*B384,"N/A")</f>
        <v>1500000</v>
      </c>
      <c r="N384" t="str" s="482" cm="1">
        <f t="array" ref="N384">IF(B384&gt;0,_xlfn.IFERROR(VLOOKUP(C372,'Boats Data Sheet 2026'!$C$3:$I$57,7,0)*'Direct Costs 2026'!$C$36,"N/A"),"N/A")</f>
        <v>N/A</v>
      </c>
      <c r="O384" t="str" s="482" cm="1">
        <f t="array" ref="O384">IF(B384&gt;0,IF(OR(VLOOKUP(C372,'Boats Data Sheet 2026'!$C$3:$F$57,4,0)="Own",VLOOKUP(C372,'Boats Data Sheet 2026'!$C$3:$F$57,4,0)="Management"),('Direct Costs 2026'!$C$37+'Direct Costs 2026'!$C$39),"N/A"),"N/A")</f>
        <v>N/A</v>
      </c>
      <c r="P384" s="480" cm="1">
        <f t="array" ref="P384">_xlfn.IFERROR('Direct Costs 2026'!$C$27*C384,"N/A")</f>
        <v>360000</v>
      </c>
      <c r="Q384" s="480" cm="1">
        <f t="array" ref="Q384">_xlfn.IFERROR(C384+SUM(E384:P384),"N/A")</f>
        <v>22151000</v>
      </c>
      <c r="R384" s="483"/>
      <c r="S384" s="480" cm="1">
        <f t="array" ref="S384">IF(B384&gt;0,'Allocation OH and Target 2026'!$E$31,"N/A")</f>
        <v>3100447.15769812</v>
      </c>
      <c r="T384" s="480" cm="1">
        <f t="array" ref="T384">IF(B384&gt;0,VLOOKUP(C372,'Allocation OH and Target 2026'!$C$35:$S$87,16,0),"N/A")</f>
        <v>0</v>
      </c>
      <c r="U384" s="480" cm="1">
        <f t="array" ref="U384">_xlfn.IFERROR((S384+T384),"N/A")</f>
        <v>3100447.15769812</v>
      </c>
      <c r="V384" s="483"/>
      <c r="W384" s="480" cm="1">
        <f t="array" ref="W384">_xlfn.IFERROR(U384+Q384,"N/A")</f>
        <v>25251447.1576981</v>
      </c>
      <c r="X384" s="480" cm="1">
        <f t="array" ref="X384">_xlfn.IFERROR(W384*0.5%,"N/A")</f>
        <v>126257.235788491</v>
      </c>
      <c r="Y384" s="480" cm="1">
        <f t="array" ref="Y384">_xlfn.IFERROR(W384*25%,"N/A")</f>
        <v>6312861.78942453</v>
      </c>
      <c r="Z384" s="484" cm="1">
        <f t="array" ref="Z384">IF(B384&gt;0,SUM(W384:Y384),"N/A")</f>
        <v>31690566.1829111</v>
      </c>
      <c r="AA384" s="484" cm="1">
        <f t="array" ref="AA384">_xlfn.IFERROR((Z384-AVERAGE(Z375:Z380)),"N/A")</f>
        <v>2371322.5</v>
      </c>
      <c r="AB384" s="483"/>
      <c r="AC384" t="str" s="485" cm="1">
        <f t="array" ref="AC384">IF(B384=6,AVERAGE(Z375:Z380),"N/A")</f>
        <v>N/A</v>
      </c>
      <c r="AD384" s="483"/>
      <c r="AE384" s="480"/>
      <c r="AF384" s="480"/>
      <c r="AG384" s="480"/>
      <c r="AH384" s="480"/>
      <c r="AI384" s="480"/>
      <c r="AJ384" s="480"/>
      <c r="AK384" s="480"/>
      <c r="AL384" s="480"/>
      <c r="AM384" s="480"/>
      <c r="AN384" s="486"/>
    </row>
    <row r="385" ht="15" customHeight="1" hidden="1">
      <c r="A385" s="12"/>
      <c r="B385" s="479" cm="1">
        <f t="array" ref="B385">IF(B384=0,0,IF(B384&lt;VLOOKUP(C372,'Boats Data Sheet 2026'!$C$3:$H$57,6,0),B384+1,0))</f>
        <v>0</v>
      </c>
      <c r="C385" t="str" s="482" cm="1">
        <f t="array" ref="C385">IF(B385&gt;0,IF(VLOOKUP(C372,'Boats Data Sheet 2026'!$C$3:$J$57,8,0)="N/A",0,VLOOKUP(C372,'Boats Data Sheet 2026'!$C$3:$J$57,8,0)),"N/A")</f>
        <v>N/A</v>
      </c>
      <c r="D385" t="str" s="482" cm="1">
        <f t="array" ref="D385">IF(B385&gt;7,2,IF(B385=0,"N/A",1))</f>
        <v>N/A</v>
      </c>
      <c r="E385" t="str" s="482" cm="1">
        <f t="array" ref="E385">_xlfn.IFERROR(SUM('Direct Costs 2026'!$C$4:$C$5)*D385,"N/A")</f>
        <v>N/A</v>
      </c>
      <c r="F385" s="480" cm="1">
        <f t="array" ref="F385">_xlfn.IFERROR('Direct Costs 2026'!$C$43*B385,"N/A")</f>
        <v>0</v>
      </c>
      <c r="G385" t="str" s="482" cm="1">
        <f t="array" ref="G385">IF(B385&gt;0,'Direct Costs 2026'!$C$25,"N/A")</f>
        <v>N/A</v>
      </c>
      <c r="H385" t="str" s="482" cm="1">
        <f t="array" ref="H385">IF(B385&gt;0,'Direct Costs 2026'!$C$15+'Direct Costs 2026'!$C$14,"N/A")</f>
        <v>N/A</v>
      </c>
      <c r="I385" s="480">
        <v>0</v>
      </c>
      <c r="J385" s="480">
        <v>0</v>
      </c>
      <c r="K385" t="str" s="482" cm="1">
        <f t="array" ref="K385">IF(B385&gt;0,'Direct Costs 2026'!$C$26,"N/A")</f>
        <v>N/A</v>
      </c>
      <c r="L385" t="str" s="482" cm="1">
        <f t="array" ref="L385">IF(B385&gt;0,'Direct Costs 2026'!$C$23,"N/A")</f>
        <v>N/A</v>
      </c>
      <c r="M385" t="str" s="482" cm="1">
        <f t="array" ref="M385">IF(B385&gt;0,'Direct Costs 2026'!$C$45*B385,"N/A")</f>
        <v>N/A</v>
      </c>
      <c r="N385" t="str" s="482" cm="1">
        <f t="array" ref="N385">IF(B385&gt;0,_xlfn.IFERROR(VLOOKUP(C372,'Boats Data Sheet 2026'!$C$3:$I$57,7,0)*'Direct Costs 2026'!$C$36,"N/A"),"N/A")</f>
        <v>N/A</v>
      </c>
      <c r="O385" t="str" s="482" cm="1">
        <f t="array" ref="O385">IF(B385&gt;0,IF(OR(VLOOKUP(C372,'Boats Data Sheet 2026'!$C$3:$F$57,4,0)="Own",VLOOKUP(C372,'Boats Data Sheet 2026'!$C$3:$F$57,4,0)="Management"),('Direct Costs 2026'!$C$37+'Direct Costs 2026'!$C$39),"N/A"),"N/A")</f>
        <v>N/A</v>
      </c>
      <c r="P385" t="str" s="482" cm="1">
        <f t="array" ref="P385">_xlfn.IFERROR('Direct Costs 2026'!$C$27*C385,"N/A")</f>
        <v>N/A</v>
      </c>
      <c r="Q385" t="str" s="482" cm="1">
        <f t="array" ref="Q385">_xlfn.IFERROR(C385+SUM(E385:P385),"N/A")</f>
        <v>N/A</v>
      </c>
      <c r="R385" s="483"/>
      <c r="S385" t="str" s="482" cm="1">
        <f t="array" ref="S385">IF(B385&gt;0,'Allocation OH and Target 2026'!$E$31,"N/A")</f>
        <v>N/A</v>
      </c>
      <c r="T385" t="str" s="482" cm="1">
        <f t="array" ref="T385">IF(B385&gt;0,VLOOKUP(C372,'Allocation OH and Target 2026'!$C$35:$S$87,16,0),"N/A")</f>
        <v>N/A</v>
      </c>
      <c r="U385" t="str" s="482" cm="1">
        <f t="array" ref="U385">_xlfn.IFERROR((S385+T385),"N/A")</f>
        <v>N/A</v>
      </c>
      <c r="V385" s="483"/>
      <c r="W385" t="str" s="482" cm="1">
        <f t="array" ref="W385">_xlfn.IFERROR(U385+Q385,"N/A")</f>
        <v>N/A</v>
      </c>
      <c r="X385" t="str" s="482" cm="1">
        <f t="array" ref="X385">_xlfn.IFERROR(W385*0.5%,"N/A")</f>
        <v>N/A</v>
      </c>
      <c r="Y385" t="str" s="482" cm="1">
        <f t="array" ref="Y385">_xlfn.IFERROR(W385*25%,"N/A")</f>
        <v>N/A</v>
      </c>
      <c r="Z385" t="str" s="485" cm="1">
        <f t="array" ref="Z385">IF(B385&gt;0,SUM(W385:Y385),"N/A")</f>
        <v>N/A</v>
      </c>
      <c r="AA385" t="str" s="485" cm="1">
        <f t="array" ref="AA385">_xlfn.IFERROR((Z385-AVERAGE(Z375:Z380)),"N/A")</f>
        <v>N/A</v>
      </c>
      <c r="AB385" s="483"/>
      <c r="AC385" t="str" s="485" cm="1">
        <f t="array" ref="AC385">IF(B385=6,AVERAGE(Z375:Z380),"N/A")</f>
        <v>N/A</v>
      </c>
      <c r="AD385" s="483"/>
      <c r="AE385" s="480"/>
      <c r="AF385" s="480"/>
      <c r="AG385" s="480"/>
      <c r="AH385" s="480"/>
      <c r="AI385" s="480"/>
      <c r="AJ385" s="480"/>
      <c r="AK385" s="480"/>
      <c r="AL385" s="480"/>
      <c r="AM385" s="480"/>
      <c r="AN385" s="486"/>
    </row>
    <row r="386" ht="15" customHeight="1" hidden="1">
      <c r="A386" s="12"/>
      <c r="B386" s="479" cm="1">
        <f t="array" ref="B386">IF(B385=0,0,IF(B385&lt;VLOOKUP(C372,'Boats Data Sheet 2026'!$C$3:$H$57,6,0),B385+1,0))</f>
        <v>0</v>
      </c>
      <c r="C386" t="str" s="482" cm="1">
        <f t="array" ref="C386">IF(B386&gt;0,IF(VLOOKUP(C372,'Boats Data Sheet 2026'!$C$3:$J$57,8,0)="N/A",0,VLOOKUP(C372,'Boats Data Sheet 2026'!$C$3:$J$57,8,0)),"N/A")</f>
        <v>N/A</v>
      </c>
      <c r="D386" t="str" s="482" cm="1">
        <f t="array" ref="D386">IF(B386&gt;7,2,IF(B386=0,"N/A",1))</f>
        <v>N/A</v>
      </c>
      <c r="E386" t="str" s="482" cm="1">
        <f t="array" ref="E386">_xlfn.IFERROR(SUM('Direct Costs 2026'!$C$4:$C$5)*D386,"N/A")</f>
        <v>N/A</v>
      </c>
      <c r="F386" s="480" cm="1">
        <f t="array" ref="F386">_xlfn.IFERROR('Direct Costs 2026'!$C$43*B386,"N/A")</f>
        <v>0</v>
      </c>
      <c r="G386" t="str" s="482" cm="1">
        <f t="array" ref="G386">IF(B386&gt;0,'Direct Costs 2026'!$C$25,"N/A")</f>
        <v>N/A</v>
      </c>
      <c r="H386" t="str" s="482" cm="1">
        <f t="array" ref="H386">IF(B386&gt;0,'Direct Costs 2026'!$C$15+'Direct Costs 2026'!$C$14,"N/A")</f>
        <v>N/A</v>
      </c>
      <c r="I386" s="480">
        <v>0</v>
      </c>
      <c r="J386" s="480">
        <v>0</v>
      </c>
      <c r="K386" t="str" s="482" cm="1">
        <f t="array" ref="K386">IF(B386&gt;0,'Direct Costs 2026'!$C$26,"N/A")</f>
        <v>N/A</v>
      </c>
      <c r="L386" t="str" s="482" cm="1">
        <f t="array" ref="L386">IF(B386&gt;0,'Direct Costs 2026'!$C$23,"N/A")</f>
        <v>N/A</v>
      </c>
      <c r="M386" t="str" s="482" cm="1">
        <f t="array" ref="M386">IF(B386&gt;0,'Direct Costs 2026'!$C$45*B386,"N/A")</f>
        <v>N/A</v>
      </c>
      <c r="N386" t="str" s="482" cm="1">
        <f t="array" ref="N386">IF(B386&gt;0,_xlfn.IFERROR(VLOOKUP(C372,'Boats Data Sheet 2026'!$C$3:$I$57,7,0)*'Direct Costs 2026'!$C$36,"N/A"),"N/A")</f>
        <v>N/A</v>
      </c>
      <c r="O386" t="str" s="482" cm="1">
        <f t="array" ref="O386">IF(B386&gt;0,IF(OR(VLOOKUP(C372,'Boats Data Sheet 2026'!$C$3:$F$57,4,0)="Own",VLOOKUP(C372,'Boats Data Sheet 2026'!$C$3:$F$57,4,0)="Management"),('Direct Costs 2026'!$C$37+'Direct Costs 2026'!$C$39),"N/A"),"N/A")</f>
        <v>N/A</v>
      </c>
      <c r="P386" t="str" s="482" cm="1">
        <f t="array" ref="P386">_xlfn.IFERROR('Direct Costs 2026'!$C$27*C386,"N/A")</f>
        <v>N/A</v>
      </c>
      <c r="Q386" t="str" s="482" cm="1">
        <f t="array" ref="Q386">_xlfn.IFERROR(C386+SUM(E386:P386),"N/A")</f>
        <v>N/A</v>
      </c>
      <c r="R386" s="483"/>
      <c r="S386" t="str" s="482" cm="1">
        <f t="array" ref="S386">IF(B386&gt;0,'Allocation OH and Target 2026'!$E$31,"N/A")</f>
        <v>N/A</v>
      </c>
      <c r="T386" t="str" s="482" cm="1">
        <f t="array" ref="T386">IF(B386&gt;0,VLOOKUP(C372,'Allocation OH and Target 2026'!$C$35:$S$87,16,0),"N/A")</f>
        <v>N/A</v>
      </c>
      <c r="U386" t="str" s="482" cm="1">
        <f t="array" ref="U386">_xlfn.IFERROR((S386+T386),"N/A")</f>
        <v>N/A</v>
      </c>
      <c r="V386" s="483"/>
      <c r="W386" t="str" s="482" cm="1">
        <f t="array" ref="W386">_xlfn.IFERROR(U386+Q386,"N/A")</f>
        <v>N/A</v>
      </c>
      <c r="X386" t="str" s="482" cm="1">
        <f t="array" ref="X386">_xlfn.IFERROR(W386*0.5%,"N/A")</f>
        <v>N/A</v>
      </c>
      <c r="Y386" t="str" s="482" cm="1">
        <f t="array" ref="Y386">_xlfn.IFERROR(W386*25%,"N/A")</f>
        <v>N/A</v>
      </c>
      <c r="Z386" t="str" s="485" cm="1">
        <f t="array" ref="Z386">IF(B386&gt;0,SUM(W386:Y386),"N/A")</f>
        <v>N/A</v>
      </c>
      <c r="AA386" t="str" s="485" cm="1">
        <f t="array" ref="AA386">_xlfn.IFERROR((Z386-AVERAGE(Z375:Z380)),"N/A")</f>
        <v>N/A</v>
      </c>
      <c r="AB386" s="483"/>
      <c r="AC386" t="str" s="485" cm="1">
        <f t="array" ref="AC386">IF(B386=6,AVERAGE(Z375:Z380),"N/A")</f>
        <v>N/A</v>
      </c>
      <c r="AD386" s="483"/>
      <c r="AE386" s="480"/>
      <c r="AF386" s="480"/>
      <c r="AG386" s="480"/>
      <c r="AH386" s="480"/>
      <c r="AI386" s="480"/>
      <c r="AJ386" s="480"/>
      <c r="AK386" s="480"/>
      <c r="AL386" s="480"/>
      <c r="AM386" s="480"/>
      <c r="AN386" s="486"/>
    </row>
    <row r="387" ht="15" customHeight="1" hidden="1">
      <c r="A387" s="12"/>
      <c r="B387" s="479" cm="1">
        <f t="array" ref="B387">IF(B386=0,0,IF(B386&lt;VLOOKUP(C372,'Boats Data Sheet 2026'!$C$3:$H$57,6,0),B386+1,0))</f>
        <v>0</v>
      </c>
      <c r="C387" t="str" s="482" cm="1">
        <f t="array" ref="C387">IF(B387&gt;0,IF(VLOOKUP(C372,'Boats Data Sheet 2026'!$C$3:$J$57,8,0)="N/A",0,VLOOKUP(C372,'Boats Data Sheet 2026'!$C$3:$J$57,8,0)),"N/A")</f>
        <v>N/A</v>
      </c>
      <c r="D387" t="str" s="482" cm="1">
        <f t="array" ref="D387">IF(B387&gt;7,2,IF(B387=0,"N/A",1))</f>
        <v>N/A</v>
      </c>
      <c r="E387" t="str" s="482" cm="1">
        <f t="array" ref="E387">_xlfn.IFERROR(SUM('Direct Costs 2026'!$C$4:$C$5)*D387,"N/A")</f>
        <v>N/A</v>
      </c>
      <c r="F387" s="480" cm="1">
        <f t="array" ref="F387">_xlfn.IFERROR('Direct Costs 2026'!$C$43*B387,"N/A")</f>
        <v>0</v>
      </c>
      <c r="G387" t="str" s="482" cm="1">
        <f t="array" ref="G387">IF(B387&gt;0,'Direct Costs 2026'!$C$25,"N/A")</f>
        <v>N/A</v>
      </c>
      <c r="H387" t="str" s="482" cm="1">
        <f t="array" ref="H387">IF(B387&gt;0,'Direct Costs 2026'!$C$15+'Direct Costs 2026'!$C$14,"N/A")</f>
        <v>N/A</v>
      </c>
      <c r="I387" s="480">
        <v>0</v>
      </c>
      <c r="J387" s="480">
        <v>0</v>
      </c>
      <c r="K387" t="str" s="482" cm="1">
        <f t="array" ref="K387">IF(B387&gt;0,'Direct Costs 2026'!$C$26,"N/A")</f>
        <v>N/A</v>
      </c>
      <c r="L387" t="str" s="482" cm="1">
        <f t="array" ref="L387">IF(B387&gt;0,'Direct Costs 2026'!$C$23,"N/A")</f>
        <v>N/A</v>
      </c>
      <c r="M387" t="str" s="482" cm="1">
        <f t="array" ref="M387">IF(B387&gt;0,'Direct Costs 2026'!$C$45*B387,"N/A")</f>
        <v>N/A</v>
      </c>
      <c r="N387" t="str" s="482" cm="1">
        <f t="array" ref="N387">IF(B387&gt;0,_xlfn.IFERROR(VLOOKUP(C372,'Boats Data Sheet 2026'!$C$3:$I$57,7,0)*'Direct Costs 2026'!$C$36,"N/A"),"N/A")</f>
        <v>N/A</v>
      </c>
      <c r="O387" t="str" s="482" cm="1">
        <f t="array" ref="O387">IF(B387&gt;0,IF(OR(VLOOKUP(C372,'Boats Data Sheet 2026'!$C$3:$F$57,4,0)="Own",VLOOKUP(C372,'Boats Data Sheet 2026'!$C$3:$F$57,4,0)="Management"),('Direct Costs 2026'!$C$37+'Direct Costs 2026'!$C$39),"N/A"),"N/A")</f>
        <v>N/A</v>
      </c>
      <c r="P387" t="str" s="482" cm="1">
        <f t="array" ref="P387">_xlfn.IFERROR('Direct Costs 2026'!$C$27*C387,"N/A")</f>
        <v>N/A</v>
      </c>
      <c r="Q387" t="str" s="482" cm="1">
        <f t="array" ref="Q387">_xlfn.IFERROR(C387+SUM(E387:P387),"N/A")</f>
        <v>N/A</v>
      </c>
      <c r="R387" s="483"/>
      <c r="S387" t="str" s="482" cm="1">
        <f t="array" ref="S387">IF(B387&gt;0,'Allocation OH and Target 2026'!$E$31,"N/A")</f>
        <v>N/A</v>
      </c>
      <c r="T387" t="str" s="482" cm="1">
        <f t="array" ref="T387">IF(B387&gt;0,VLOOKUP(C372,'Allocation OH and Target 2026'!$C$35:$S$87,16,0),"N/A")</f>
        <v>N/A</v>
      </c>
      <c r="U387" t="str" s="482" cm="1">
        <f t="array" ref="U387">_xlfn.IFERROR((S387+T387),"N/A")</f>
        <v>N/A</v>
      </c>
      <c r="V387" s="483"/>
      <c r="W387" t="str" s="482" cm="1">
        <f t="array" ref="W387">_xlfn.IFERROR(U387+Q387,"N/A")</f>
        <v>N/A</v>
      </c>
      <c r="X387" t="str" s="482" cm="1">
        <f t="array" ref="X387">_xlfn.IFERROR(W387*0.5%,"N/A")</f>
        <v>N/A</v>
      </c>
      <c r="Y387" t="str" s="482" cm="1">
        <f t="array" ref="Y387">_xlfn.IFERROR(W387*25%,"N/A")</f>
        <v>N/A</v>
      </c>
      <c r="Z387" t="str" s="485" cm="1">
        <f t="array" ref="Z387">IF(B387&gt;0,SUM(W387:Y387),"N/A")</f>
        <v>N/A</v>
      </c>
      <c r="AA387" t="str" s="485" cm="1">
        <f t="array" ref="AA387">_xlfn.IFERROR((Z387-AVERAGE(Z375:Z380)),"N/A")</f>
        <v>N/A</v>
      </c>
      <c r="AB387" s="483"/>
      <c r="AC387" t="str" s="485" cm="1">
        <f t="array" ref="AC387">IF(B387=6,AVERAGE(Z375:Z380),"N/A")</f>
        <v>N/A</v>
      </c>
      <c r="AD387" s="483"/>
      <c r="AE387" s="480"/>
      <c r="AF387" s="480"/>
      <c r="AG387" s="480"/>
      <c r="AH387" s="480"/>
      <c r="AI387" s="480"/>
      <c r="AJ387" s="480"/>
      <c r="AK387" s="480"/>
      <c r="AL387" s="480"/>
      <c r="AM387" s="480"/>
      <c r="AN387" s="486"/>
    </row>
    <row r="388" ht="15" customHeight="1" hidden="1">
      <c r="A388" s="12"/>
      <c r="B388" s="479" cm="1">
        <f t="array" ref="B388">IF(B387=0,0,IF(B387&lt;VLOOKUP(C372,'Boats Data Sheet 2026'!$C$3:$H$57,6,0),B387+1,0))</f>
        <v>0</v>
      </c>
      <c r="C388" t="str" s="482" cm="1">
        <f t="array" ref="C388">IF(B388&gt;0,IF(VLOOKUP(C372,'Boats Data Sheet 2026'!$C$3:$J$57,8,0)="N/A",0,VLOOKUP(C372,'Boats Data Sheet 2026'!$C$3:$J$57,8,0)),"N/A")</f>
        <v>N/A</v>
      </c>
      <c r="D388" t="str" s="482" cm="1">
        <f t="array" ref="D388">IF(B388&gt;7,2,IF(B388=0,"N/A",1))</f>
        <v>N/A</v>
      </c>
      <c r="E388" t="str" s="482" cm="1">
        <f t="array" ref="E388">_xlfn.IFERROR(SUM('Direct Costs 2026'!$C$4:$C$5)*D388,"N/A")</f>
        <v>N/A</v>
      </c>
      <c r="F388" s="480" cm="1">
        <f t="array" ref="F388">_xlfn.IFERROR('Direct Costs 2026'!$C$43*B388,"N/A")</f>
        <v>0</v>
      </c>
      <c r="G388" t="str" s="482" cm="1">
        <f t="array" ref="G388">IF(B388&gt;0,'Direct Costs 2026'!$C$25,"N/A")</f>
        <v>N/A</v>
      </c>
      <c r="H388" t="str" s="482" cm="1">
        <f t="array" ref="H388">IF(B388&gt;0,'Direct Costs 2026'!$C$15+'Direct Costs 2026'!$C$14,"N/A")</f>
        <v>N/A</v>
      </c>
      <c r="I388" s="480">
        <v>0</v>
      </c>
      <c r="J388" s="480">
        <v>0</v>
      </c>
      <c r="K388" t="str" s="482" cm="1">
        <f t="array" ref="K388">IF(B388&gt;0,'Direct Costs 2026'!$C$26,"N/A")</f>
        <v>N/A</v>
      </c>
      <c r="L388" t="str" s="482" cm="1">
        <f t="array" ref="L388">IF(B388&gt;0,'Direct Costs 2026'!$C$23,"N/A")</f>
        <v>N/A</v>
      </c>
      <c r="M388" t="str" s="482" cm="1">
        <f t="array" ref="M388">IF(B388&gt;0,'Direct Costs 2026'!$C$45*B388,"N/A")</f>
        <v>N/A</v>
      </c>
      <c r="N388" t="str" s="482" cm="1">
        <f t="array" ref="N388">IF(B388&gt;0,_xlfn.IFERROR(VLOOKUP(C372,'Boats Data Sheet 2026'!$C$3:$I$57,7,0)*'Direct Costs 2026'!$C$36,"N/A"),"N/A")</f>
        <v>N/A</v>
      </c>
      <c r="O388" t="str" s="482" cm="1">
        <f t="array" ref="O388">IF(B388&gt;0,IF(OR(VLOOKUP(C372,'Boats Data Sheet 2026'!$C$3:$F$57,4,0)="Own",VLOOKUP(C372,'Boats Data Sheet 2026'!$C$3:$F$57,4,0)="Management"),('Direct Costs 2026'!$C$37+'Direct Costs 2026'!$C$39),"N/A"),"N/A")</f>
        <v>N/A</v>
      </c>
      <c r="P388" t="str" s="482" cm="1">
        <f t="array" ref="P388">_xlfn.IFERROR('Direct Costs 2026'!$C$27*C388,"N/A")</f>
        <v>N/A</v>
      </c>
      <c r="Q388" t="str" s="482" cm="1">
        <f t="array" ref="Q388">_xlfn.IFERROR(C388+SUM(E388:P388),"N/A")</f>
        <v>N/A</v>
      </c>
      <c r="R388" s="483"/>
      <c r="S388" t="str" s="482" cm="1">
        <f t="array" ref="S388">IF(B388&gt;0,'Allocation OH and Target 2026'!$E$31,"N/A")</f>
        <v>N/A</v>
      </c>
      <c r="T388" t="str" s="482" cm="1">
        <f t="array" ref="T388">IF(B388&gt;0,VLOOKUP(C372,'Allocation OH and Target 2026'!$C$35:$S$87,16,0),"N/A")</f>
        <v>N/A</v>
      </c>
      <c r="U388" t="str" s="482" cm="1">
        <f t="array" ref="U388">_xlfn.IFERROR((S388+T388),"N/A")</f>
        <v>N/A</v>
      </c>
      <c r="V388" s="483"/>
      <c r="W388" t="str" s="482" cm="1">
        <f t="array" ref="W388">_xlfn.IFERROR(U388+Q388,"N/A")</f>
        <v>N/A</v>
      </c>
      <c r="X388" t="str" s="482" cm="1">
        <f t="array" ref="X388">_xlfn.IFERROR(W388*0.5%,"N/A")</f>
        <v>N/A</v>
      </c>
      <c r="Y388" t="str" s="482" cm="1">
        <f t="array" ref="Y388">_xlfn.IFERROR(W388*25%,"N/A")</f>
        <v>N/A</v>
      </c>
      <c r="Z388" t="str" s="485" cm="1">
        <f t="array" ref="Z388">IF(B388&gt;0,SUM(W388:Y388),"N/A")</f>
        <v>N/A</v>
      </c>
      <c r="AA388" t="str" s="485" cm="1">
        <f t="array" ref="AA388">_xlfn.IFERROR((Z388-AVERAGE(Z375:Z380)),"N/A")</f>
        <v>N/A</v>
      </c>
      <c r="AB388" s="483"/>
      <c r="AC388" t="str" s="485" cm="1">
        <f t="array" ref="AC388">IF(B388=6,AVERAGE(Z375:Z380),"N/A")</f>
        <v>N/A</v>
      </c>
      <c r="AD388" s="483"/>
      <c r="AE388" s="480"/>
      <c r="AF388" s="480"/>
      <c r="AG388" s="480"/>
      <c r="AH388" s="480"/>
      <c r="AI388" s="480"/>
      <c r="AJ388" s="480"/>
      <c r="AK388" s="480"/>
      <c r="AL388" s="480"/>
      <c r="AM388" s="480"/>
      <c r="AN388" s="486"/>
    </row>
    <row r="389" ht="15" customHeight="1" hidden="1">
      <c r="A389" s="12"/>
      <c r="B389" s="479" cm="1">
        <f t="array" ref="B389">IF(B388=0,0,IF(B388&lt;VLOOKUP(C372,'Boats Data Sheet 2026'!$C$3:$H$57,6,0),B388+1,0))</f>
        <v>0</v>
      </c>
      <c r="C389" t="str" s="482" cm="1">
        <f t="array" ref="C389">IF(B389&gt;0,IF(VLOOKUP(C372,'Boats Data Sheet 2026'!$C$3:$J$57,8,0)="N/A",0,VLOOKUP(C372,'Boats Data Sheet 2026'!$C$3:$J$57,8,0)),"N/A")</f>
        <v>N/A</v>
      </c>
      <c r="D389" t="str" s="482" cm="1">
        <f t="array" ref="D389">IF(B389&gt;7,2,IF(B389=0,"N/A",1))</f>
        <v>N/A</v>
      </c>
      <c r="E389" t="str" s="482" cm="1">
        <f t="array" ref="E389">_xlfn.IFERROR(SUM('Direct Costs 2026'!$C$4:$C$5)*D389,"N/A")</f>
        <v>N/A</v>
      </c>
      <c r="F389" s="480" cm="1">
        <f t="array" ref="F389">_xlfn.IFERROR('Direct Costs 2026'!$C$43*B389,"N/A")</f>
        <v>0</v>
      </c>
      <c r="G389" t="str" s="482" cm="1">
        <f t="array" ref="G389">IF(B389&gt;0,'Direct Costs 2026'!$C$25,"N/A")</f>
        <v>N/A</v>
      </c>
      <c r="H389" t="str" s="482" cm="1">
        <f t="array" ref="H389">IF(B389&gt;0,'Direct Costs 2026'!$C$15+'Direct Costs 2026'!$C$14,"N/A")</f>
        <v>N/A</v>
      </c>
      <c r="I389" s="480">
        <v>0</v>
      </c>
      <c r="J389" s="480">
        <v>0</v>
      </c>
      <c r="K389" t="str" s="482" cm="1">
        <f t="array" ref="K389">IF(B389&gt;0,'Direct Costs 2026'!$C$26,"N/A")</f>
        <v>N/A</v>
      </c>
      <c r="L389" t="str" s="482" cm="1">
        <f t="array" ref="L389">IF(B389&gt;0,'Direct Costs 2026'!$C$23,"N/A")</f>
        <v>N/A</v>
      </c>
      <c r="M389" t="str" s="482" cm="1">
        <f t="array" ref="M389">IF(B389&gt;0,'Direct Costs 2026'!$C$45*B389,"N/A")</f>
        <v>N/A</v>
      </c>
      <c r="N389" t="str" s="482" cm="1">
        <f t="array" ref="N389">IF(B389&gt;0,_xlfn.IFERROR(VLOOKUP(C372,'Boats Data Sheet 2026'!$C$3:$I$57,7,0)*'Direct Costs 2026'!$C$36,"N/A"),"N/A")</f>
        <v>N/A</v>
      </c>
      <c r="O389" t="str" s="482" cm="1">
        <f t="array" ref="O389">IF(B389&gt;0,IF(OR(VLOOKUP(C372,'Boats Data Sheet 2026'!$C$3:$F$57,4,0)="Own",VLOOKUP(C372,'Boats Data Sheet 2026'!$C$3:$F$57,4,0)="Management"),('Direct Costs 2026'!$C$37+'Direct Costs 2026'!$C$39),"N/A"),"N/A")</f>
        <v>N/A</v>
      </c>
      <c r="P389" t="str" s="482" cm="1">
        <f t="array" ref="P389">_xlfn.IFERROR('Direct Costs 2026'!$C$27*C389,"N/A")</f>
        <v>N/A</v>
      </c>
      <c r="Q389" t="str" s="482" cm="1">
        <f t="array" ref="Q389">_xlfn.IFERROR(C389+SUM(E389:P389),"N/A")</f>
        <v>N/A</v>
      </c>
      <c r="R389" s="483"/>
      <c r="S389" t="str" s="482" cm="1">
        <f t="array" ref="S389">IF(B389&gt;0,'Allocation OH and Target 2026'!$E$31,"N/A")</f>
        <v>N/A</v>
      </c>
      <c r="T389" t="str" s="482" cm="1">
        <f t="array" ref="T389">IF(B389&gt;0,VLOOKUP(C372,'Allocation OH and Target 2026'!$C$35:$S$87,16,0),"N/A")</f>
        <v>N/A</v>
      </c>
      <c r="U389" t="str" s="482" cm="1">
        <f t="array" ref="U389">_xlfn.IFERROR((S389+T389),"N/A")</f>
        <v>N/A</v>
      </c>
      <c r="V389" s="483"/>
      <c r="W389" t="str" s="482" cm="1">
        <f t="array" ref="W389">_xlfn.IFERROR(U389+Q389,"N/A")</f>
        <v>N/A</v>
      </c>
      <c r="X389" t="str" s="482" cm="1">
        <f t="array" ref="X389">_xlfn.IFERROR(W389*0.5%,"N/A")</f>
        <v>N/A</v>
      </c>
      <c r="Y389" t="str" s="482" cm="1">
        <f t="array" ref="Y389">_xlfn.IFERROR(W389*25%,"N/A")</f>
        <v>N/A</v>
      </c>
      <c r="Z389" t="str" s="485" cm="1">
        <f t="array" ref="Z389">IF(B389&gt;0,SUM(W389:Y389),"N/A")</f>
        <v>N/A</v>
      </c>
      <c r="AA389" t="str" s="485" cm="1">
        <f t="array" ref="AA389">_xlfn.IFERROR((Z389-AVERAGE(Z375:Z380)),"N/A")</f>
        <v>N/A</v>
      </c>
      <c r="AB389" s="483"/>
      <c r="AC389" t="str" s="485" cm="1">
        <f t="array" ref="AC389">IF(B389=6,AVERAGE(Z375:Z380),"N/A")</f>
        <v>N/A</v>
      </c>
      <c r="AD389" s="483"/>
      <c r="AE389" s="480"/>
      <c r="AF389" s="480"/>
      <c r="AG389" s="480"/>
      <c r="AH389" s="480"/>
      <c r="AI389" s="480"/>
      <c r="AJ389" s="480"/>
      <c r="AK389" s="480"/>
      <c r="AL389" s="480"/>
      <c r="AM389" s="480"/>
      <c r="AN389" s="486"/>
    </row>
    <row r="390" ht="15" customHeight="1" hidden="1">
      <c r="A390" s="12"/>
      <c r="B390" s="479" cm="1">
        <f t="array" ref="B390">IF(B389=0,0,IF(B389&lt;VLOOKUP(C372,'Boats Data Sheet 2026'!$C$3:$H$57,6,0),B389+1,0))</f>
        <v>0</v>
      </c>
      <c r="C390" t="str" s="482" cm="1">
        <f t="array" ref="C390">IF(B390&gt;0,IF(VLOOKUP(C372,'Boats Data Sheet 2026'!$C$3:$J$57,8,0)="N/A",0,VLOOKUP(C372,'Boats Data Sheet 2026'!$C$3:$J$57,8,0)),"N/A")</f>
        <v>N/A</v>
      </c>
      <c r="D390" t="str" s="482" cm="1">
        <f t="array" ref="D390">IF(B390&gt;7,2,IF(B390=0,"N/A",1))</f>
        <v>N/A</v>
      </c>
      <c r="E390" t="str" s="482" cm="1">
        <f t="array" ref="E390">_xlfn.IFERROR(SUM('Direct Costs 2026'!$C$4:$C$5)*D390,"N/A")</f>
        <v>N/A</v>
      </c>
      <c r="F390" s="480" cm="1">
        <f t="array" ref="F390">_xlfn.IFERROR('Direct Costs 2026'!$C$43*B390,"N/A")</f>
        <v>0</v>
      </c>
      <c r="G390" t="str" s="482" cm="1">
        <f t="array" ref="G390">IF(B390&gt;0,'Direct Costs 2026'!$C$25,"N/A")</f>
        <v>N/A</v>
      </c>
      <c r="H390" t="str" s="482" cm="1">
        <f t="array" ref="H390">IF(B390&gt;0,'Direct Costs 2026'!$C$15+'Direct Costs 2026'!$C$14,"N/A")</f>
        <v>N/A</v>
      </c>
      <c r="I390" s="480">
        <v>0</v>
      </c>
      <c r="J390" s="480">
        <v>0</v>
      </c>
      <c r="K390" t="str" s="482" cm="1">
        <f t="array" ref="K390">IF(B390&gt;0,'Direct Costs 2026'!$C$26,"N/A")</f>
        <v>N/A</v>
      </c>
      <c r="L390" t="str" s="482" cm="1">
        <f t="array" ref="L390">IF(B390&gt;0,'Direct Costs 2026'!$C$23,"N/A")</f>
        <v>N/A</v>
      </c>
      <c r="M390" t="str" s="482" cm="1">
        <f t="array" ref="M390">IF(B390&gt;0,'Direct Costs 2026'!$C$45*B390,"N/A")</f>
        <v>N/A</v>
      </c>
      <c r="N390" t="str" s="482" cm="1">
        <f t="array" ref="N390">IF(B390&gt;0,_xlfn.IFERROR(VLOOKUP(C372,'Boats Data Sheet 2026'!$C$3:$I$57,7,0)*'Direct Costs 2026'!$C$36,"N/A"),"N/A")</f>
        <v>N/A</v>
      </c>
      <c r="O390" t="str" s="482" cm="1">
        <f t="array" ref="O390">IF(B390&gt;0,IF(OR(VLOOKUP(C372,'Boats Data Sheet 2026'!$C$3:$F$57,4,0)="Own",VLOOKUP(C372,'Boats Data Sheet 2026'!$C$3:$F$57,4,0)="Management"),('Direct Costs 2026'!$C$37+'Direct Costs 2026'!$C$39),"N/A"),"N/A")</f>
        <v>N/A</v>
      </c>
      <c r="P390" t="str" s="482" cm="1">
        <f t="array" ref="P390">_xlfn.IFERROR('Direct Costs 2026'!$C$27*C390,"N/A")</f>
        <v>N/A</v>
      </c>
      <c r="Q390" t="str" s="482" cm="1">
        <f t="array" ref="Q390">_xlfn.IFERROR(C390+SUM(E390:P390),"N/A")</f>
        <v>N/A</v>
      </c>
      <c r="R390" s="483"/>
      <c r="S390" t="str" s="482" cm="1">
        <f t="array" ref="S390">IF(B390&gt;0,'Allocation OH and Target 2026'!$E$31,"N/A")</f>
        <v>N/A</v>
      </c>
      <c r="T390" t="str" s="482" cm="1">
        <f t="array" ref="T390">IF(B390&gt;0,VLOOKUP(C372,'Allocation OH and Target 2026'!$C$35:$S$87,16,0),"N/A")</f>
        <v>N/A</v>
      </c>
      <c r="U390" t="str" s="482" cm="1">
        <f t="array" ref="U390">_xlfn.IFERROR((S390+T390),"N/A")</f>
        <v>N/A</v>
      </c>
      <c r="V390" s="483"/>
      <c r="W390" t="str" s="482" cm="1">
        <f t="array" ref="W390">_xlfn.IFERROR(U390+Q390,"N/A")</f>
        <v>N/A</v>
      </c>
      <c r="X390" t="str" s="482" cm="1">
        <f t="array" ref="X390">_xlfn.IFERROR(W390*0.5%,"N/A")</f>
        <v>N/A</v>
      </c>
      <c r="Y390" t="str" s="482" cm="1">
        <f t="array" ref="Y390">_xlfn.IFERROR(W390*25%,"N/A")</f>
        <v>N/A</v>
      </c>
      <c r="Z390" t="str" s="485" cm="1">
        <f t="array" ref="Z390">IF(B390&gt;0,SUM(W390:Y390),"N/A")</f>
        <v>N/A</v>
      </c>
      <c r="AA390" t="str" s="485" cm="1">
        <f t="array" ref="AA390">_xlfn.IFERROR((Z390-AVERAGE(Z375:Z380)),"N/A")</f>
        <v>N/A</v>
      </c>
      <c r="AB390" s="483"/>
      <c r="AC390" t="str" s="485" cm="1">
        <f t="array" ref="AC390">IF(B390=6,AVERAGE(Z375:Z380),"N/A")</f>
        <v>N/A</v>
      </c>
      <c r="AD390" s="483"/>
      <c r="AE390" s="480"/>
      <c r="AF390" s="480"/>
      <c r="AG390" s="480"/>
      <c r="AH390" s="480"/>
      <c r="AI390" s="480"/>
      <c r="AJ390" s="480"/>
      <c r="AK390" s="480"/>
      <c r="AL390" s="480"/>
      <c r="AM390" s="480"/>
      <c r="AN390" s="486"/>
    </row>
    <row r="391" ht="15" customHeight="1" hidden="1">
      <c r="A391" s="12"/>
      <c r="B391" s="479" cm="1">
        <f t="array" ref="B391">IF(B390=0,0,IF(B390&lt;VLOOKUP(C372,'Boats Data Sheet 2026'!$C$3:$H$57,6,0),B390+1,0))</f>
        <v>0</v>
      </c>
      <c r="C391" t="str" s="482" cm="1">
        <f t="array" ref="C391">IF(B391&gt;0,IF(VLOOKUP(C372,'Boats Data Sheet 2026'!$C$3:$J$57,8,0)="N/A",0,VLOOKUP(C372,'Boats Data Sheet 2026'!$C$3:$J$57,8,0)),"N/A")</f>
        <v>N/A</v>
      </c>
      <c r="D391" t="str" s="482" cm="1">
        <f t="array" ref="D391">IF(B391&gt;7,2,IF(B391=0,"N/A",1))</f>
        <v>N/A</v>
      </c>
      <c r="E391" t="str" s="482" cm="1">
        <f t="array" ref="E391">_xlfn.IFERROR(SUM('Direct Costs 2026'!$C$4:$C$5)*D391,"N/A")</f>
        <v>N/A</v>
      </c>
      <c r="F391" s="480" cm="1">
        <f t="array" ref="F391">_xlfn.IFERROR('Direct Costs 2026'!$C$43*B391,"N/A")</f>
        <v>0</v>
      </c>
      <c r="G391" t="str" s="482" cm="1">
        <f t="array" ref="G391">IF(B391&gt;0,'Direct Costs 2026'!$C$25,"N/A")</f>
        <v>N/A</v>
      </c>
      <c r="H391" t="str" s="482" cm="1">
        <f t="array" ref="H391">IF(B391&gt;0,'Direct Costs 2026'!$C$15+'Direct Costs 2026'!$C$14,"N/A")</f>
        <v>N/A</v>
      </c>
      <c r="I391" s="480">
        <v>0</v>
      </c>
      <c r="J391" s="480">
        <v>0</v>
      </c>
      <c r="K391" t="str" s="482" cm="1">
        <f t="array" ref="K391">IF(B391&gt;0,'Direct Costs 2026'!$C$26,"N/A")</f>
        <v>N/A</v>
      </c>
      <c r="L391" t="str" s="482" cm="1">
        <f t="array" ref="L391">IF(B391&gt;0,'Direct Costs 2026'!$C$23,"N/A")</f>
        <v>N/A</v>
      </c>
      <c r="M391" t="str" s="482" cm="1">
        <f t="array" ref="M391">IF(B391&gt;0,'Direct Costs 2026'!$C$45*B391,"N/A")</f>
        <v>N/A</v>
      </c>
      <c r="N391" t="str" s="482" cm="1">
        <f t="array" ref="N391">IF(B391&gt;0,_xlfn.IFERROR(VLOOKUP(C372,'Boats Data Sheet 2026'!$C$3:$I$57,7,0)*'Direct Costs 2026'!$C$36,"N/A"),"N/A")</f>
        <v>N/A</v>
      </c>
      <c r="O391" t="str" s="482" cm="1">
        <f t="array" ref="O391">IF(B391&gt;0,IF(OR(VLOOKUP(C372,'Boats Data Sheet 2026'!$C$3:$F$57,4,0)="Own",VLOOKUP(C372,'Boats Data Sheet 2026'!$C$3:$F$57,4,0)="Management"),('Direct Costs 2026'!$C$37+'Direct Costs 2026'!$C$39),"N/A"),"N/A")</f>
        <v>N/A</v>
      </c>
      <c r="P391" t="str" s="482" cm="1">
        <f t="array" ref="P391">_xlfn.IFERROR('Direct Costs 2026'!$C$27*C391,"N/A")</f>
        <v>N/A</v>
      </c>
      <c r="Q391" t="str" s="482" cm="1">
        <f t="array" ref="Q391">_xlfn.IFERROR(C391+SUM(E391:P391),"N/A")</f>
        <v>N/A</v>
      </c>
      <c r="R391" s="483"/>
      <c r="S391" t="str" s="482" cm="1">
        <f t="array" ref="S391">IF(B391&gt;0,'Allocation OH and Target 2026'!$E$31,"N/A")</f>
        <v>N/A</v>
      </c>
      <c r="T391" t="str" s="482" cm="1">
        <f t="array" ref="T391">IF(B391&gt;0,VLOOKUP(C372,'Allocation OH and Target 2026'!$C$35:$S$87,16,0),"N/A")</f>
        <v>N/A</v>
      </c>
      <c r="U391" t="str" s="482" cm="1">
        <f t="array" ref="U391">_xlfn.IFERROR((S391+T391),"N/A")</f>
        <v>N/A</v>
      </c>
      <c r="V391" s="483"/>
      <c r="W391" t="str" s="482" cm="1">
        <f t="array" ref="W391">_xlfn.IFERROR(U391+Q391,"N/A")</f>
        <v>N/A</v>
      </c>
      <c r="X391" t="str" s="482" cm="1">
        <f t="array" ref="X391">_xlfn.IFERROR(W391*0.5%,"N/A")</f>
        <v>N/A</v>
      </c>
      <c r="Y391" t="str" s="482" cm="1">
        <f t="array" ref="Y391">_xlfn.IFERROR(W391*25%,"N/A")</f>
        <v>N/A</v>
      </c>
      <c r="Z391" t="str" s="485" cm="1">
        <f t="array" ref="Z391">IF(B391&gt;0,SUM(W391:Y391),"N/A")</f>
        <v>N/A</v>
      </c>
      <c r="AA391" t="str" s="485" cm="1">
        <f t="array" ref="AA391">_xlfn.IFERROR((Z391-AVERAGE(Z375:Z380)),"N/A")</f>
        <v>N/A</v>
      </c>
      <c r="AB391" s="483"/>
      <c r="AC391" t="str" s="485" cm="1">
        <f t="array" ref="AC391">IF(B391=6,AVERAGE(Z375:Z380),"N/A")</f>
        <v>N/A</v>
      </c>
      <c r="AD391" s="483"/>
      <c r="AE391" s="480"/>
      <c r="AF391" s="480"/>
      <c r="AG391" s="480"/>
      <c r="AH391" s="480"/>
      <c r="AI391" s="480"/>
      <c r="AJ391" s="480"/>
      <c r="AK391" s="480"/>
      <c r="AL391" s="480"/>
      <c r="AM391" s="480"/>
      <c r="AN391" s="486"/>
    </row>
    <row r="392" ht="15.5" customHeight="1" hidden="1">
      <c r="A392" s="12"/>
      <c r="B392" s="479" cm="1">
        <f t="array" ref="B392">IF(B391=0,0,IF(B391&lt;VLOOKUP(C372,'Boats Data Sheet 2026'!$C$3:$H$57,6,0),B391+1,0))</f>
        <v>0</v>
      </c>
      <c r="C392" t="str" s="482" cm="1">
        <f t="array" ref="C392">IF(B392&gt;0,IF(VLOOKUP(C372,'Boats Data Sheet 2026'!$C$3:$J$57,8,0)="N/A",0,VLOOKUP(C372,'Boats Data Sheet 2026'!$C$3:$J$57,8,0)),"N/A")</f>
        <v>N/A</v>
      </c>
      <c r="D392" t="str" s="482" cm="1">
        <f t="array" ref="D392">IF(B392&gt;7,2,IF(B392=0,"N/A",1))</f>
        <v>N/A</v>
      </c>
      <c r="E392" t="str" s="482" cm="1">
        <f t="array" ref="E392">_xlfn.IFERROR(SUM('Direct Costs 2026'!$C$4:$C$5)*D392,"N/A")</f>
        <v>N/A</v>
      </c>
      <c r="F392" s="480" cm="1">
        <f t="array" ref="F392">_xlfn.IFERROR('Direct Costs 2026'!$C$43*B392,"N/A")</f>
        <v>0</v>
      </c>
      <c r="G392" t="str" s="482" cm="1">
        <f t="array" ref="G392">IF(B392&gt;0,'Direct Costs 2026'!$C$25,"N/A")</f>
        <v>N/A</v>
      </c>
      <c r="H392" t="str" s="482" cm="1">
        <f t="array" ref="H392">IF(B392&gt;0,'Direct Costs 2026'!$C$15+'Direct Costs 2026'!$C$14,"N/A")</f>
        <v>N/A</v>
      </c>
      <c r="I392" s="480">
        <v>0</v>
      </c>
      <c r="J392" s="480">
        <v>0</v>
      </c>
      <c r="K392" t="str" s="482" cm="1">
        <f t="array" ref="K392">IF(B392&gt;0,'Direct Costs 2026'!$C$26,"N/A")</f>
        <v>N/A</v>
      </c>
      <c r="L392" t="str" s="482" cm="1">
        <f t="array" ref="L392">IF(B392&gt;0,'Direct Costs 2026'!$C$23,"N/A")</f>
        <v>N/A</v>
      </c>
      <c r="M392" t="str" s="482" cm="1">
        <f t="array" ref="M392">IF(B392&gt;0,'Direct Costs 2026'!$C$45*B392,"N/A")</f>
        <v>N/A</v>
      </c>
      <c r="N392" t="str" s="482" cm="1">
        <f t="array" ref="N392">IF(B392&gt;0,_xlfn.IFERROR(VLOOKUP(C372,'Boats Data Sheet 2026'!$C$3:$I$57,7,0)*'Direct Costs 2026'!$C$36,"N/A"),"N/A")</f>
        <v>N/A</v>
      </c>
      <c r="O392" t="str" s="482" cm="1">
        <f t="array" ref="O392">IF(B392&gt;0,IF(OR(VLOOKUP(C372,'Boats Data Sheet 2026'!$C$3:$F$57,4,0)="Own",VLOOKUP(C372,'Boats Data Sheet 2026'!$C$3:$F$57,4,0)="Management"),('Direct Costs 2026'!$C$37+'Direct Costs 2026'!$C$39),"N/A"),"N/A")</f>
        <v>N/A</v>
      </c>
      <c r="P392" t="str" s="482" cm="1">
        <f t="array" ref="P392">_xlfn.IFERROR('Direct Costs 2026'!$C$27*C392,"N/A")</f>
        <v>N/A</v>
      </c>
      <c r="Q392" t="str" s="482" cm="1">
        <f t="array" ref="Q392">_xlfn.IFERROR(C392+SUM(E392:P392),"N/A")</f>
        <v>N/A</v>
      </c>
      <c r="R392" s="483"/>
      <c r="S392" t="str" s="482" cm="1">
        <f t="array" ref="S392">IF(B392&gt;0,'Allocation OH and Target 2026'!$E$31,"N/A")</f>
        <v>N/A</v>
      </c>
      <c r="T392" t="str" s="482" cm="1">
        <f t="array" ref="T392">IF(B392&gt;0,VLOOKUP(C372,'Allocation OH and Target 2026'!$C$35:$S$87,16,0),"N/A")</f>
        <v>N/A</v>
      </c>
      <c r="U392" t="str" s="482" cm="1">
        <f t="array" ref="U392">_xlfn.IFERROR((S392+T392),"N/A")</f>
        <v>N/A</v>
      </c>
      <c r="V392" s="483"/>
      <c r="W392" t="str" s="482" cm="1">
        <f t="array" ref="W392">_xlfn.IFERROR(U392+Q392,"N/A")</f>
        <v>N/A</v>
      </c>
      <c r="X392" t="str" s="482" cm="1">
        <f t="array" ref="X392">_xlfn.IFERROR(W392*0.5%,"N/A")</f>
        <v>N/A</v>
      </c>
      <c r="Y392" t="str" s="482" cm="1">
        <f t="array" ref="Y392">_xlfn.IFERROR(W392*25%,"N/A")</f>
        <v>N/A</v>
      </c>
      <c r="Z392" t="str" s="485" cm="1">
        <f t="array" ref="Z392">IF(B392&gt;0,SUM(W392:Y392),"N/A")</f>
        <v>N/A</v>
      </c>
      <c r="AA392" t="str" s="485" cm="1">
        <f t="array" ref="AA392">_xlfn.IFERROR((Z392-AVERAGE(Z375:Z380)),"N/A")</f>
        <v>N/A</v>
      </c>
      <c r="AB392" s="483"/>
      <c r="AC392" t="str" s="485" cm="1">
        <f t="array" ref="AC392">IF(B392=6,AVERAGE(Z375:Z380),"N/A")</f>
        <v>N/A</v>
      </c>
      <c r="AD392" s="483"/>
      <c r="AE392" s="480"/>
      <c r="AF392" s="480"/>
      <c r="AG392" s="480"/>
      <c r="AH392" s="480"/>
      <c r="AI392" s="480"/>
      <c r="AJ392" s="480"/>
      <c r="AK392" s="480"/>
      <c r="AL392" s="480"/>
      <c r="AM392" s="480"/>
      <c r="AN392" s="486"/>
    </row>
    <row r="393" ht="14.05" customHeight="1">
      <c r="A393" s="32"/>
      <c r="B393" s="477"/>
      <c r="C393" s="477"/>
      <c r="D393" s="477"/>
      <c r="E393" s="477"/>
      <c r="F393" s="477"/>
      <c r="G393" s="477"/>
      <c r="H393" s="477"/>
      <c r="I393" s="477"/>
      <c r="J393" s="477"/>
      <c r="K393" s="477"/>
      <c r="L393" s="477"/>
      <c r="M393" s="477"/>
      <c r="N393" s="477"/>
      <c r="O393" s="477"/>
      <c r="P393" s="477"/>
      <c r="Q393" s="477"/>
      <c r="R393" s="477"/>
      <c r="S393" s="477"/>
      <c r="T393" s="477"/>
      <c r="U393" s="477"/>
      <c r="V393" s="477"/>
      <c r="W393" s="477"/>
      <c r="X393" s="477"/>
      <c r="Y393" s="477"/>
      <c r="Z393" s="477"/>
      <c r="AA393" s="477"/>
      <c r="AB393" s="477"/>
      <c r="AC393" s="477"/>
      <c r="AD393" s="477"/>
      <c r="AE393" s="477"/>
      <c r="AF393" s="477"/>
      <c r="AG393" s="477"/>
      <c r="AH393" s="477"/>
      <c r="AI393" s="477"/>
      <c r="AJ393" s="477"/>
      <c r="AK393" s="477"/>
      <c r="AL393" s="477"/>
      <c r="AM393" s="477"/>
      <c r="AN393" s="478"/>
    </row>
    <row r="394" ht="15" customHeight="1">
      <c r="A394" s="32"/>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c r="AK394" s="35"/>
      <c r="AL394" s="35"/>
      <c r="AM394" s="35"/>
      <c r="AN394" s="442"/>
    </row>
    <row r="395" ht="15.5" customHeight="1">
      <c r="A395" s="395">
        <v>19</v>
      </c>
      <c r="B395" t="s" s="444">
        <v>506</v>
      </c>
      <c r="C395" t="s" s="445">
        <v>201</v>
      </c>
      <c r="D395" s="446"/>
      <c r="E395" t="s" s="447">
        <v>542</v>
      </c>
      <c r="F395" s="446"/>
      <c r="G395" s="446"/>
      <c r="H395" s="446"/>
      <c r="I395" s="446"/>
      <c r="J395" s="446"/>
      <c r="K395" s="446"/>
      <c r="L395" s="446"/>
      <c r="M395" s="446"/>
      <c r="N395" s="446"/>
      <c r="O395" s="446"/>
      <c r="P395" s="446"/>
      <c r="Q395" s="446"/>
      <c r="R395" s="446"/>
      <c r="S395" s="446"/>
      <c r="T395" s="446"/>
      <c r="U395" s="446"/>
      <c r="V395" s="446"/>
      <c r="W395" s="446"/>
      <c r="X395" s="446"/>
      <c r="Y395" s="446"/>
      <c r="Z395" s="446"/>
      <c r="AA395" s="446"/>
      <c r="AB395" s="446"/>
      <c r="AC395" s="446"/>
      <c r="AD395" s="446"/>
      <c r="AE395" t="s" s="445">
        <v>508</v>
      </c>
      <c r="AF395" s="448" cm="1">
        <f t="array" ref="AF395">AVERAGE(Q398:Q403)</f>
        <v>28421500</v>
      </c>
      <c r="AG395" s="491"/>
      <c r="AH395" s="448"/>
      <c r="AI395" t="s" s="449">
        <v>510</v>
      </c>
      <c r="AJ395" s="448" cm="1">
        <f t="array" ref="AJ395">AVERAGE(Y398:Y405)</f>
        <v>7946846.16442453</v>
      </c>
      <c r="AK395" t="s" s="445">
        <v>511</v>
      </c>
      <c r="AL395" s="448" cm="1">
        <f t="array" ref="AL395">AVERAGE(W398:W403)</f>
        <v>31521947.1576981</v>
      </c>
      <c r="AM395" t="s" s="449">
        <v>512</v>
      </c>
      <c r="AN395" s="450" cm="1">
        <f t="array" ref="AN395">W398</f>
        <v>31131947.1576981</v>
      </c>
    </row>
    <row r="396" ht="15" customHeight="1">
      <c r="A396" s="12"/>
      <c r="B396" s="451"/>
      <c r="C396" t="s" s="452">
        <v>513</v>
      </c>
      <c r="D396" s="453"/>
      <c r="E396" s="453"/>
      <c r="F396" s="453"/>
      <c r="G396" s="453"/>
      <c r="H396" s="453"/>
      <c r="I396" s="453"/>
      <c r="J396" s="453"/>
      <c r="K396" s="453"/>
      <c r="L396" s="453"/>
      <c r="M396" s="453"/>
      <c r="N396" s="453"/>
      <c r="O396" s="453"/>
      <c r="P396" s="453"/>
      <c r="Q396" s="454"/>
      <c r="R396" s="455"/>
      <c r="S396" t="s" s="452">
        <v>514</v>
      </c>
      <c r="T396" s="453"/>
      <c r="U396" s="454"/>
      <c r="V396" s="455"/>
      <c r="W396" t="s" s="452">
        <v>515</v>
      </c>
      <c r="X396" s="453"/>
      <c r="Y396" s="453"/>
      <c r="Z396" s="453"/>
      <c r="AA396" s="453"/>
      <c r="AB396" s="456"/>
      <c r="AC396" s="457"/>
      <c r="AD396" s="457"/>
      <c r="AE396" s="457"/>
      <c r="AF396" s="457"/>
      <c r="AG396" s="457"/>
      <c r="AH396" s="457"/>
      <c r="AI396" s="457"/>
      <c r="AJ396" s="457"/>
      <c r="AK396" s="457"/>
      <c r="AL396" s="458"/>
      <c r="AM396" s="459"/>
      <c r="AN396" s="458"/>
    </row>
    <row r="397" ht="46.25" customHeight="1">
      <c r="A397" s="187"/>
      <c r="B397" t="s" s="460">
        <v>517</v>
      </c>
      <c r="C397" t="s" s="461">
        <v>518</v>
      </c>
      <c r="D397" t="s" s="461">
        <v>519</v>
      </c>
      <c r="E397" t="s" s="461">
        <v>520</v>
      </c>
      <c r="F397" t="s" s="461">
        <v>521</v>
      </c>
      <c r="G397" t="s" s="461">
        <v>522</v>
      </c>
      <c r="H397" t="s" s="461">
        <v>553</v>
      </c>
      <c r="I397" t="s" s="461">
        <v>524</v>
      </c>
      <c r="J397" t="s" s="461">
        <v>525</v>
      </c>
      <c r="K397" t="s" s="461">
        <v>526</v>
      </c>
      <c r="L397" t="s" s="461">
        <v>527</v>
      </c>
      <c r="M397" t="s" s="461">
        <v>528</v>
      </c>
      <c r="N397" t="s" s="461">
        <v>529</v>
      </c>
      <c r="O397" t="s" s="461">
        <v>530</v>
      </c>
      <c r="P397" t="s" s="461">
        <v>531</v>
      </c>
      <c r="Q397" t="s" s="461">
        <v>532</v>
      </c>
      <c r="R397" s="462"/>
      <c r="S397" t="s" s="461">
        <v>533</v>
      </c>
      <c r="T397" t="s" s="461">
        <v>534</v>
      </c>
      <c r="U397" t="s" s="461">
        <v>535</v>
      </c>
      <c r="V397" s="462"/>
      <c r="W397" t="s" s="461">
        <v>536</v>
      </c>
      <c r="X397" t="s" s="461">
        <v>537</v>
      </c>
      <c r="Y397" t="s" s="461">
        <v>538</v>
      </c>
      <c r="Z397" t="s" s="461">
        <v>539</v>
      </c>
      <c r="AA397" t="s" s="461">
        <v>121</v>
      </c>
      <c r="AB397" s="463"/>
      <c r="AC397" t="s" s="461">
        <v>39</v>
      </c>
      <c r="AD397" s="463"/>
      <c r="AE397" s="463"/>
      <c r="AF397" s="463"/>
      <c r="AG397" s="463"/>
      <c r="AH397" s="463"/>
      <c r="AI397" s="463"/>
      <c r="AJ397" s="463"/>
      <c r="AK397" s="463"/>
      <c r="AL397" s="463"/>
      <c r="AM397" s="463"/>
      <c r="AN397" s="464"/>
    </row>
    <row r="398" ht="15" customHeight="1" hidden="1">
      <c r="A398" s="12"/>
      <c r="B398" s="479">
        <v>1</v>
      </c>
      <c r="C398" s="480" cm="1">
        <f t="array" ref="C398">IF(B398&gt;0,IF(VLOOKUP(C395,'Boats Data Sheet 2026'!$C$3:$J$57,8,0)="N/A",0,VLOOKUP(C395,'Boats Data Sheet 2026'!$C$3:$J$57,8,0)),"N/A")</f>
        <v>26000000</v>
      </c>
      <c r="D398" s="481" cm="1">
        <f t="array" ref="D398">IF(B398&gt;7,2,IF(B398=0,"N/A",1))</f>
        <v>1</v>
      </c>
      <c r="E398" s="480" cm="1">
        <f t="array" ref="E398">_xlfn.IFERROR(SUM('Direct Costs 2026'!$C$4:$C$5)*D398,"N/A")</f>
        <v>875500</v>
      </c>
      <c r="F398" s="480" cm="1">
        <f t="array" ref="F398">_xlfn.IFERROR('Direct Costs 2026'!$C$43*B398,"N/A")</f>
        <v>6000</v>
      </c>
      <c r="G398" s="480" cm="1">
        <f t="array" ref="G398">IF(B398&gt;0,'Direct Costs 2026'!$C$25,"N/A")</f>
        <v>90000</v>
      </c>
      <c r="H398" s="480" cm="1">
        <f t="array" ref="H398">IF(B398&gt;0,'Direct Costs 2026'!$C$15+'Direct Costs 2026'!$C$14,"N/A")</f>
        <v>230000</v>
      </c>
      <c r="I398" s="480">
        <v>0</v>
      </c>
      <c r="J398" s="480">
        <v>0</v>
      </c>
      <c r="K398" s="480" cm="1">
        <f t="array" ref="K398">IF(B398&gt;0,'Direct Costs 2026'!$C$26,"N/A")</f>
        <v>20000</v>
      </c>
      <c r="L398" s="480" cm="1">
        <f t="array" ref="L398">IF(B398&gt;0,'Direct Costs 2026'!$C$23,"N/A")</f>
        <v>140000</v>
      </c>
      <c r="M398" s="480" cm="1">
        <f t="array" ref="M398">IF(B398&gt;0,'Direct Costs 2026'!$C$45*B398,"N/A")</f>
        <v>150000</v>
      </c>
      <c r="N398" t="str" s="482" cm="1">
        <f t="array" ref="N398">IF(B398&gt;0,_xlfn.IFERROR(VLOOKUP(C395,'Boats Data Sheet 2026'!$C$3:$I$57,7,0)*'Direct Costs 2026'!$C$36,"N/A"),"N/A")</f>
        <v>N/A</v>
      </c>
      <c r="O398" t="str" s="482" cm="1">
        <f t="array" ref="O398">IF(B398&gt;0,IF(OR(VLOOKUP(C395,'Boats Data Sheet 2026'!$C$3:$F$57,4,0)="Own",VLOOKUP(C395,'Boats Data Sheet 2026'!$C$3:$F$57,4,0)="Management"),('Direct Costs 2026'!$C$37+'Direct Costs 2026'!$C$39),"N/A"),"N/A")</f>
        <v>N/A</v>
      </c>
      <c r="P398" s="480" cm="1">
        <f t="array" ref="P398">_xlfn.IFERROR('Direct Costs 2026'!$C$27*C398,"N/A")</f>
        <v>520000</v>
      </c>
      <c r="Q398" s="480" cm="1">
        <f t="array" ref="Q398">_xlfn.IFERROR(C398+SUM(E398:P398),"N/A")</f>
        <v>28031500</v>
      </c>
      <c r="R398" s="483"/>
      <c r="S398" s="480" cm="1">
        <f t="array" ref="S398">IF(B398&gt;0,'Allocation OH and Target 2026'!$E$31,"N/A")</f>
        <v>3100447.15769812</v>
      </c>
      <c r="T398" s="480" cm="1">
        <f t="array" ref="T398">IF(B398&gt;0,VLOOKUP(C395,'Allocation OH and Target 2026'!$C$35:$S$87,16,0),"N/A")</f>
        <v>0</v>
      </c>
      <c r="U398" s="480" cm="1">
        <f t="array" ref="U398">_xlfn.IFERROR((S398+T398),"N/A")</f>
        <v>3100447.15769812</v>
      </c>
      <c r="V398" s="483"/>
      <c r="W398" s="480" cm="1">
        <f t="array" ref="W398">_xlfn.IFERROR(U398+Q398,"N/A")</f>
        <v>31131947.1576981</v>
      </c>
      <c r="X398" s="480" cm="1">
        <f t="array" ref="X398">_xlfn.IFERROR(W398*0.5%,"N/A")</f>
        <v>155659.735788491</v>
      </c>
      <c r="Y398" s="480" cm="1">
        <f t="array" ref="Y398">_xlfn.IFERROR(W398*25%,"N/A")</f>
        <v>7782986.78942453</v>
      </c>
      <c r="Z398" s="484" cm="1">
        <f t="array" ref="Z398">IF(B398&gt;0,SUM(W398:Y398),"N/A")</f>
        <v>39070593.6829111</v>
      </c>
      <c r="AA398" s="484">
        <v>0</v>
      </c>
      <c r="AB398" s="483"/>
      <c r="AC398" t="str" s="485" cm="1">
        <f t="array" ref="AC398">IF(B398=6,AVERAGE(Z398:Z403),"N/A")</f>
        <v>N/A</v>
      </c>
      <c r="AD398" s="483"/>
      <c r="AE398" s="480"/>
      <c r="AF398" s="480"/>
      <c r="AG398" s="480"/>
      <c r="AH398" s="480"/>
      <c r="AI398" s="480"/>
      <c r="AJ398" s="480"/>
      <c r="AK398" s="480"/>
      <c r="AL398" s="480"/>
      <c r="AM398" s="480"/>
      <c r="AN398" s="486"/>
    </row>
    <row r="399" ht="15" customHeight="1" hidden="1">
      <c r="A399" s="12"/>
      <c r="B399" s="479" cm="1">
        <f t="array" ref="B399">IF(B398=0,0,IF(B398&lt;VLOOKUP(C395,'Boats Data Sheet 2026'!$C$3:$H$57,6,0),B398+1,0))</f>
        <v>2</v>
      </c>
      <c r="C399" s="480" cm="1">
        <f t="array" ref="C399">IF(B399&gt;0,IF(VLOOKUP(C395,'Boats Data Sheet 2026'!$C$3:$J$57,8,0)="N/A",0,VLOOKUP(C395,'Boats Data Sheet 2026'!$C$3:$J$57,8,0)),"N/A")</f>
        <v>26000000</v>
      </c>
      <c r="D399" s="481" cm="1">
        <f t="array" ref="D399">IF(B399&gt;7,2,IF(B399=0,"N/A",1))</f>
        <v>1</v>
      </c>
      <c r="E399" s="480" cm="1">
        <f t="array" ref="E399">_xlfn.IFERROR(SUM('Direct Costs 2026'!$C$4:$C$5)*D399,"N/A")</f>
        <v>875500</v>
      </c>
      <c r="F399" s="480" cm="1">
        <f t="array" ref="F399">_xlfn.IFERROR('Direct Costs 2026'!$C$43*B399,"N/A")</f>
        <v>12000</v>
      </c>
      <c r="G399" s="480" cm="1">
        <f t="array" ref="G399">IF(B399&gt;0,'Direct Costs 2026'!$C$25,"N/A")</f>
        <v>90000</v>
      </c>
      <c r="H399" s="480" cm="1">
        <f t="array" ref="H399">IF(B399&gt;0,'Direct Costs 2026'!$C$15+'Direct Costs 2026'!$C$14,"N/A")</f>
        <v>230000</v>
      </c>
      <c r="I399" s="480">
        <v>0</v>
      </c>
      <c r="J399" s="480">
        <v>0</v>
      </c>
      <c r="K399" s="480" cm="1">
        <f t="array" ref="K399">IF(B399&gt;0,'Direct Costs 2026'!$C$26,"N/A")</f>
        <v>20000</v>
      </c>
      <c r="L399" s="480" cm="1">
        <f t="array" ref="L399">IF(B399&gt;0,'Direct Costs 2026'!$C$23,"N/A")</f>
        <v>140000</v>
      </c>
      <c r="M399" s="480" cm="1">
        <f t="array" ref="M399">IF(B399&gt;0,'Direct Costs 2026'!$C$45*B399,"N/A")</f>
        <v>300000</v>
      </c>
      <c r="N399" t="str" s="482" cm="1">
        <f t="array" ref="N399">IF(B399&gt;0,_xlfn.IFERROR(VLOOKUP(C395,'Boats Data Sheet 2026'!$C$3:$I$57,7,0)*'Direct Costs 2026'!$C$36,"N/A"),"N/A")</f>
        <v>N/A</v>
      </c>
      <c r="O399" t="str" s="482" cm="1">
        <f t="array" ref="O399">IF(B399&gt;0,IF(OR(VLOOKUP(C395,'Boats Data Sheet 2026'!$C$3:$F$57,4,0)="Own",VLOOKUP(C395,'Boats Data Sheet 2026'!$C$3:$F$57,4,0)="Management"),('Direct Costs 2026'!$C$37+'Direct Costs 2026'!$C$39),"N/A"),"N/A")</f>
        <v>N/A</v>
      </c>
      <c r="P399" s="480" cm="1">
        <f t="array" ref="P399">_xlfn.IFERROR('Direct Costs 2026'!$C$27*C399,"N/A")</f>
        <v>520000</v>
      </c>
      <c r="Q399" s="480" cm="1">
        <f t="array" ref="Q399">_xlfn.IFERROR(C399+SUM(E399:P399),"N/A")</f>
        <v>28187500</v>
      </c>
      <c r="R399" s="483"/>
      <c r="S399" s="480" cm="1">
        <f t="array" ref="S399">IF(B399&gt;0,'Allocation OH and Target 2026'!$E$31,"N/A")</f>
        <v>3100447.15769812</v>
      </c>
      <c r="T399" s="480" cm="1">
        <f t="array" ref="T399">IF(B399&gt;0,VLOOKUP(C395,'Allocation OH and Target 2026'!$C$35:$S$87,16,0),"N/A")</f>
        <v>0</v>
      </c>
      <c r="U399" s="480" cm="1">
        <f t="array" ref="U399">_xlfn.IFERROR((S399+T399),"N/A")</f>
        <v>3100447.15769812</v>
      </c>
      <c r="V399" s="483"/>
      <c r="W399" s="480" cm="1">
        <f t="array" ref="W399">_xlfn.IFERROR(U399+Q399,"N/A")</f>
        <v>31287947.1576981</v>
      </c>
      <c r="X399" s="480" cm="1">
        <f t="array" ref="X399">_xlfn.IFERROR(W399*0.5%,"N/A")</f>
        <v>156439.735788491</v>
      </c>
      <c r="Y399" s="480" cm="1">
        <f t="array" ref="Y399">_xlfn.IFERROR(W399*25%,"N/A")</f>
        <v>7821986.78942453</v>
      </c>
      <c r="Z399" s="484" cm="1">
        <f t="array" ref="Z399">IF(B399&gt;0,SUM(W399:Y399),"N/A")</f>
        <v>39266373.6829111</v>
      </c>
      <c r="AA399" s="484">
        <v>0</v>
      </c>
      <c r="AB399" s="483"/>
      <c r="AC399" t="str" s="485" cm="1">
        <f t="array" ref="AC399">IF(B399=6,AVERAGE(Z398:Z403),"N/A")</f>
        <v>N/A</v>
      </c>
      <c r="AD399" s="483"/>
      <c r="AE399" s="480"/>
      <c r="AF399" s="480"/>
      <c r="AG399" s="480"/>
      <c r="AH399" s="480"/>
      <c r="AI399" s="480"/>
      <c r="AJ399" s="480"/>
      <c r="AK399" s="480"/>
      <c r="AL399" s="480"/>
      <c r="AM399" s="480"/>
      <c r="AN399" s="486"/>
    </row>
    <row r="400" ht="15" customHeight="1" hidden="1">
      <c r="A400" s="12"/>
      <c r="B400" s="479" cm="1">
        <f t="array" ref="B400">IF(B399=0,0,IF(B399&lt;VLOOKUP(C395,'Boats Data Sheet 2026'!$C$3:$H$57,6,0),B399+1,0))</f>
        <v>3</v>
      </c>
      <c r="C400" s="480" cm="1">
        <f t="array" ref="C400">IF(B400&gt;0,IF(VLOOKUP(C395,'Boats Data Sheet 2026'!$C$3:$J$57,8,0)="N/A",0,VLOOKUP(C395,'Boats Data Sheet 2026'!$C$3:$J$57,8,0)),"N/A")</f>
        <v>26000000</v>
      </c>
      <c r="D400" s="481" cm="1">
        <f t="array" ref="D400">IF(B400&gt;7,2,IF(B400=0,"N/A",1))</f>
        <v>1</v>
      </c>
      <c r="E400" s="480" cm="1">
        <f t="array" ref="E400">_xlfn.IFERROR(SUM('Direct Costs 2026'!$C$4:$C$5)*D400,"N/A")</f>
        <v>875500</v>
      </c>
      <c r="F400" s="480" cm="1">
        <f t="array" ref="F400">_xlfn.IFERROR('Direct Costs 2026'!$C$43*B400,"N/A")</f>
        <v>18000</v>
      </c>
      <c r="G400" s="480" cm="1">
        <f t="array" ref="G400">IF(B400&gt;0,'Direct Costs 2026'!$C$25,"N/A")</f>
        <v>90000</v>
      </c>
      <c r="H400" s="480" cm="1">
        <f t="array" ref="H400">IF(B400&gt;0,'Direct Costs 2026'!$C$15+'Direct Costs 2026'!$C$14,"N/A")</f>
        <v>230000</v>
      </c>
      <c r="I400" s="480">
        <v>0</v>
      </c>
      <c r="J400" s="480">
        <v>0</v>
      </c>
      <c r="K400" s="480" cm="1">
        <f t="array" ref="K400">IF(B400&gt;0,'Direct Costs 2026'!$C$26,"N/A")</f>
        <v>20000</v>
      </c>
      <c r="L400" s="480" cm="1">
        <f t="array" ref="L400">IF(B400&gt;0,'Direct Costs 2026'!$C$23,"N/A")</f>
        <v>140000</v>
      </c>
      <c r="M400" s="480" cm="1">
        <f t="array" ref="M400">IF(B400&gt;0,'Direct Costs 2026'!$C$45*B400,"N/A")</f>
        <v>450000</v>
      </c>
      <c r="N400" t="str" s="482" cm="1">
        <f t="array" ref="N400">IF(B400&gt;0,_xlfn.IFERROR(VLOOKUP(C395,'Boats Data Sheet 2026'!$C$3:$I$57,7,0)*'Direct Costs 2026'!$C$36,"N/A"),"N/A")</f>
        <v>N/A</v>
      </c>
      <c r="O400" t="str" s="482" cm="1">
        <f t="array" ref="O400">IF(B400&gt;0,IF(OR(VLOOKUP(C395,'Boats Data Sheet 2026'!$C$3:$F$57,4,0)="Own",VLOOKUP(C395,'Boats Data Sheet 2026'!$C$3:$F$57,4,0)="Management"),('Direct Costs 2026'!$C$37+'Direct Costs 2026'!$C$39),"N/A"),"N/A")</f>
        <v>N/A</v>
      </c>
      <c r="P400" s="480" cm="1">
        <f t="array" ref="P400">_xlfn.IFERROR('Direct Costs 2026'!$C$27*C400,"N/A")</f>
        <v>520000</v>
      </c>
      <c r="Q400" s="480" cm="1">
        <f t="array" ref="Q400">_xlfn.IFERROR(C400+SUM(E400:P400),"N/A")</f>
        <v>28343500</v>
      </c>
      <c r="R400" s="483"/>
      <c r="S400" s="480" cm="1">
        <f t="array" ref="S400">IF(B400&gt;0,'Allocation OH and Target 2026'!$E$31,"N/A")</f>
        <v>3100447.15769812</v>
      </c>
      <c r="T400" s="480" cm="1">
        <f t="array" ref="T400">IF(B400&gt;0,VLOOKUP(C395,'Allocation OH and Target 2026'!$C$35:$S$87,16,0),"N/A")</f>
        <v>0</v>
      </c>
      <c r="U400" s="480" cm="1">
        <f t="array" ref="U400">_xlfn.IFERROR((S400+T400),"N/A")</f>
        <v>3100447.15769812</v>
      </c>
      <c r="V400" s="483"/>
      <c r="W400" s="480" cm="1">
        <f t="array" ref="W400">_xlfn.IFERROR(U400+Q400,"N/A")</f>
        <v>31443947.1576981</v>
      </c>
      <c r="X400" s="480" cm="1">
        <f t="array" ref="X400">_xlfn.IFERROR(W400*0.5%,"N/A")</f>
        <v>157219.735788491</v>
      </c>
      <c r="Y400" s="480" cm="1">
        <f t="array" ref="Y400">_xlfn.IFERROR(W400*25%,"N/A")</f>
        <v>7860986.78942453</v>
      </c>
      <c r="Z400" s="484" cm="1">
        <f t="array" ref="Z400">IF(B400&gt;0,SUM(W400:Y400),"N/A")</f>
        <v>39462153.6829111</v>
      </c>
      <c r="AA400" s="484">
        <v>0</v>
      </c>
      <c r="AB400" s="483"/>
      <c r="AC400" t="str" s="485" cm="1">
        <f t="array" ref="AC400">IF(B400=6,AVERAGE(Z398:Z403),"N/A")</f>
        <v>N/A</v>
      </c>
      <c r="AD400" s="483"/>
      <c r="AE400" s="480"/>
      <c r="AF400" s="480"/>
      <c r="AG400" s="480"/>
      <c r="AH400" s="480"/>
      <c r="AI400" s="480"/>
      <c r="AJ400" s="480"/>
      <c r="AK400" s="480"/>
      <c r="AL400" s="480"/>
      <c r="AM400" s="480"/>
      <c r="AN400" s="486"/>
    </row>
    <row r="401" ht="15" customHeight="1" hidden="1">
      <c r="A401" s="12"/>
      <c r="B401" s="479" cm="1">
        <f t="array" ref="B401">IF(B400=0,0,IF(B400&lt;VLOOKUP(C395,'Boats Data Sheet 2026'!$C$3:$H$57,6,0),B400+1,0))</f>
        <v>4</v>
      </c>
      <c r="C401" s="480" cm="1">
        <f t="array" ref="C401">IF(B401&gt;0,IF(VLOOKUP(C395,'Boats Data Sheet 2026'!$C$3:$J$57,8,0)="N/A",0,VLOOKUP(C395,'Boats Data Sheet 2026'!$C$3:$J$57,8,0)),"N/A")</f>
        <v>26000000</v>
      </c>
      <c r="D401" s="481" cm="1">
        <f t="array" ref="D401">IF(B401&gt;7,2,IF(B401=0,"N/A",1))</f>
        <v>1</v>
      </c>
      <c r="E401" s="480" cm="1">
        <f t="array" ref="E401">_xlfn.IFERROR(SUM('Direct Costs 2026'!$C$4:$C$5)*D401,"N/A")</f>
        <v>875500</v>
      </c>
      <c r="F401" s="480" cm="1">
        <f t="array" ref="F401">_xlfn.IFERROR('Direct Costs 2026'!$C$43*B401,"N/A")</f>
        <v>24000</v>
      </c>
      <c r="G401" s="480" cm="1">
        <f t="array" ref="G401">IF(B401&gt;0,'Direct Costs 2026'!$C$25,"N/A")</f>
        <v>90000</v>
      </c>
      <c r="H401" s="480" cm="1">
        <f t="array" ref="H401">IF(B401&gt;0,'Direct Costs 2026'!$C$15+'Direct Costs 2026'!$C$14,"N/A")</f>
        <v>230000</v>
      </c>
      <c r="I401" s="480">
        <v>0</v>
      </c>
      <c r="J401" s="480">
        <v>0</v>
      </c>
      <c r="K401" s="480" cm="1">
        <f t="array" ref="K401">IF(B401&gt;0,'Direct Costs 2026'!$C$26,"N/A")</f>
        <v>20000</v>
      </c>
      <c r="L401" s="480" cm="1">
        <f t="array" ref="L401">IF(B401&gt;0,'Direct Costs 2026'!$C$23,"N/A")</f>
        <v>140000</v>
      </c>
      <c r="M401" s="480" cm="1">
        <f t="array" ref="M401">IF(B401&gt;0,'Direct Costs 2026'!$C$45*B401,"N/A")</f>
        <v>600000</v>
      </c>
      <c r="N401" t="str" s="482" cm="1">
        <f t="array" ref="N401">IF(B401&gt;0,_xlfn.IFERROR(VLOOKUP(C395,'Boats Data Sheet 2026'!$C$3:$I$57,7,0)*'Direct Costs 2026'!$C$36,"N/A"),"N/A")</f>
        <v>N/A</v>
      </c>
      <c r="O401" t="str" s="482" cm="1">
        <f t="array" ref="O401">IF(B401&gt;0,IF(OR(VLOOKUP(C395,'Boats Data Sheet 2026'!$C$3:$F$57,4,0)="Own",VLOOKUP(C395,'Boats Data Sheet 2026'!$C$3:$F$57,4,0)="Management"),('Direct Costs 2026'!$C$37+'Direct Costs 2026'!$C$39),"N/A"),"N/A")</f>
        <v>N/A</v>
      </c>
      <c r="P401" s="480" cm="1">
        <f t="array" ref="P401">_xlfn.IFERROR('Direct Costs 2026'!$C$27*C401,"N/A")</f>
        <v>520000</v>
      </c>
      <c r="Q401" s="480" cm="1">
        <f t="array" ref="Q401">_xlfn.IFERROR(C401+SUM(E401:P401),"N/A")</f>
        <v>28499500</v>
      </c>
      <c r="R401" s="483"/>
      <c r="S401" s="480" cm="1">
        <f t="array" ref="S401">IF(B401&gt;0,'Allocation OH and Target 2026'!$E$31,"N/A")</f>
        <v>3100447.15769812</v>
      </c>
      <c r="T401" s="480" cm="1">
        <f t="array" ref="T401">IF(B401&gt;0,VLOOKUP(C395,'Allocation OH and Target 2026'!$C$35:$S$87,16,0),"N/A")</f>
        <v>0</v>
      </c>
      <c r="U401" s="480" cm="1">
        <f t="array" ref="U401">_xlfn.IFERROR((S401+T401),"N/A")</f>
        <v>3100447.15769812</v>
      </c>
      <c r="V401" s="483"/>
      <c r="W401" s="480" cm="1">
        <f t="array" ref="W401">_xlfn.IFERROR(U401+Q401,"N/A")</f>
        <v>31599947.1576981</v>
      </c>
      <c r="X401" s="480" cm="1">
        <f t="array" ref="X401">_xlfn.IFERROR(W401*0.5%,"N/A")</f>
        <v>157999.735788491</v>
      </c>
      <c r="Y401" s="480" cm="1">
        <f t="array" ref="Y401">_xlfn.IFERROR(W401*25%,"N/A")</f>
        <v>7899986.78942453</v>
      </c>
      <c r="Z401" s="484" cm="1">
        <f t="array" ref="Z401">IF(B401&gt;0,SUM(W401:Y401),"N/A")</f>
        <v>39657933.6829111</v>
      </c>
      <c r="AA401" s="484">
        <v>0</v>
      </c>
      <c r="AB401" s="483"/>
      <c r="AC401" t="str" s="485" cm="1">
        <f t="array" ref="AC401">IF(B401=6,AVERAGE(Z398:Z403),"N/A")</f>
        <v>N/A</v>
      </c>
      <c r="AD401" s="483"/>
      <c r="AE401" s="480"/>
      <c r="AF401" s="480"/>
      <c r="AG401" s="480"/>
      <c r="AH401" s="480"/>
      <c r="AI401" s="480"/>
      <c r="AJ401" s="480"/>
      <c r="AK401" s="480"/>
      <c r="AL401" s="480"/>
      <c r="AM401" s="480"/>
      <c r="AN401" s="486"/>
    </row>
    <row r="402" ht="15" customHeight="1" hidden="1">
      <c r="A402" s="12"/>
      <c r="B402" s="479" cm="1">
        <f t="array" ref="B402">IF(B401=0,0,IF(B401&lt;VLOOKUP(C395,'Boats Data Sheet 2026'!$C$3:$H$57,6,0),B401+1,0))</f>
        <v>5</v>
      </c>
      <c r="C402" s="480" cm="1">
        <f t="array" ref="C402">IF(B402&gt;0,IF(VLOOKUP(C395,'Boats Data Sheet 2026'!$C$3:$J$57,8,0)="N/A",0,VLOOKUP(C395,'Boats Data Sheet 2026'!$C$3:$J$57,8,0)),"N/A")</f>
        <v>26000000</v>
      </c>
      <c r="D402" s="481" cm="1">
        <f t="array" ref="D402">IF(B402&gt;7,2,IF(B402=0,"N/A",1))</f>
        <v>1</v>
      </c>
      <c r="E402" s="480" cm="1">
        <f t="array" ref="E402">_xlfn.IFERROR(SUM('Direct Costs 2026'!$C$4:$C$5)*D402,"N/A")</f>
        <v>875500</v>
      </c>
      <c r="F402" s="480" cm="1">
        <f t="array" ref="F402">_xlfn.IFERROR('Direct Costs 2026'!$C$43*B402,"N/A")</f>
        <v>30000</v>
      </c>
      <c r="G402" s="480" cm="1">
        <f t="array" ref="G402">IF(B402&gt;0,'Direct Costs 2026'!$C$25,"N/A")</f>
        <v>90000</v>
      </c>
      <c r="H402" s="480" cm="1">
        <f t="array" ref="H402">IF(B402&gt;0,'Direct Costs 2026'!$C$15+'Direct Costs 2026'!$C$14,"N/A")</f>
        <v>230000</v>
      </c>
      <c r="I402" s="480">
        <v>0</v>
      </c>
      <c r="J402" s="480">
        <v>0</v>
      </c>
      <c r="K402" s="480" cm="1">
        <f t="array" ref="K402">IF(B402&gt;0,'Direct Costs 2026'!$C$26,"N/A")</f>
        <v>20000</v>
      </c>
      <c r="L402" s="480" cm="1">
        <f t="array" ref="L402">IF(B402&gt;0,'Direct Costs 2026'!$C$23,"N/A")</f>
        <v>140000</v>
      </c>
      <c r="M402" s="480" cm="1">
        <f t="array" ref="M402">IF(B402&gt;0,'Direct Costs 2026'!$C$45*B402,"N/A")</f>
        <v>750000</v>
      </c>
      <c r="N402" t="str" s="482" cm="1">
        <f t="array" ref="N402">IF(B402&gt;0,_xlfn.IFERROR(VLOOKUP(C395,'Boats Data Sheet 2026'!$C$3:$I$57,7,0)*'Direct Costs 2026'!$C$36,"N/A"),"N/A")</f>
        <v>N/A</v>
      </c>
      <c r="O402" t="str" s="482" cm="1">
        <f t="array" ref="O402">IF(B402&gt;0,IF(OR(VLOOKUP(C395,'Boats Data Sheet 2026'!$C$3:$F$57,4,0)="Own",VLOOKUP(C395,'Boats Data Sheet 2026'!$C$3:$F$57,4,0)="Management"),('Direct Costs 2026'!$C$37+'Direct Costs 2026'!$C$39),"N/A"),"N/A")</f>
        <v>N/A</v>
      </c>
      <c r="P402" s="480" cm="1">
        <f t="array" ref="P402">_xlfn.IFERROR('Direct Costs 2026'!$C$27*C402,"N/A")</f>
        <v>520000</v>
      </c>
      <c r="Q402" s="480" cm="1">
        <f t="array" ref="Q402">_xlfn.IFERROR(C402+SUM(E402:P402),"N/A")</f>
        <v>28655500</v>
      </c>
      <c r="R402" s="483"/>
      <c r="S402" s="480" cm="1">
        <f t="array" ref="S402">IF(B402&gt;0,'Allocation OH and Target 2026'!$E$31,"N/A")</f>
        <v>3100447.15769812</v>
      </c>
      <c r="T402" s="480" cm="1">
        <f t="array" ref="T402">IF(B402&gt;0,VLOOKUP(C395,'Allocation OH and Target 2026'!$C$35:$S$87,16,0),"N/A")</f>
        <v>0</v>
      </c>
      <c r="U402" s="480" cm="1">
        <f t="array" ref="U402">_xlfn.IFERROR((S402+T402),"N/A")</f>
        <v>3100447.15769812</v>
      </c>
      <c r="V402" s="483"/>
      <c r="W402" s="480" cm="1">
        <f t="array" ref="W402">_xlfn.IFERROR(U402+Q402,"N/A")</f>
        <v>31755947.1576981</v>
      </c>
      <c r="X402" s="480" cm="1">
        <f t="array" ref="X402">_xlfn.IFERROR(W402*0.5%,"N/A")</f>
        <v>158779.735788491</v>
      </c>
      <c r="Y402" s="480" cm="1">
        <f t="array" ref="Y402">_xlfn.IFERROR(W402*25%,"N/A")</f>
        <v>7938986.78942453</v>
      </c>
      <c r="Z402" s="484" cm="1">
        <f t="array" ref="Z402">IF(B402&gt;0,SUM(W402:Y402),"N/A")</f>
        <v>39853713.6829111</v>
      </c>
      <c r="AA402" s="484">
        <v>0</v>
      </c>
      <c r="AB402" s="483"/>
      <c r="AC402" t="str" s="485" cm="1">
        <f t="array" ref="AC402">IF(B402=6,AVERAGE(Z398:Z403),"N/A")</f>
        <v>N/A</v>
      </c>
      <c r="AD402" s="483"/>
      <c r="AE402" s="480"/>
      <c r="AF402" s="480"/>
      <c r="AG402" s="480"/>
      <c r="AH402" s="480"/>
      <c r="AI402" s="480"/>
      <c r="AJ402" s="480"/>
      <c r="AK402" s="480"/>
      <c r="AL402" s="480"/>
      <c r="AM402" s="480"/>
      <c r="AN402" s="486"/>
    </row>
    <row r="403" ht="15" customHeight="1" hidden="1">
      <c r="A403" s="12"/>
      <c r="B403" s="479" cm="1">
        <f t="array" ref="B403">IF(B402=0,0,IF(B402&lt;VLOOKUP(C395,'Boats Data Sheet 2026'!$C$3:$H$57,6,0),B402+1,0))</f>
        <v>6</v>
      </c>
      <c r="C403" s="480" cm="1">
        <f t="array" ref="C403">IF(B403&gt;0,IF(VLOOKUP(C395,'Boats Data Sheet 2026'!$C$3:$J$57,8,0)="N/A",0,VLOOKUP(C395,'Boats Data Sheet 2026'!$C$3:$J$57,8,0)),"N/A")</f>
        <v>26000000</v>
      </c>
      <c r="D403" s="481" cm="1">
        <f t="array" ref="D403">IF(B403&gt;7,2,IF(B403=0,"N/A",1))</f>
        <v>1</v>
      </c>
      <c r="E403" s="480" cm="1">
        <f t="array" ref="E403">_xlfn.IFERROR(SUM('Direct Costs 2026'!$C$4:$C$5)*D403,"N/A")</f>
        <v>875500</v>
      </c>
      <c r="F403" s="480" cm="1">
        <f t="array" ref="F403">_xlfn.IFERROR('Direct Costs 2026'!$C$43*B403,"N/A")</f>
        <v>36000</v>
      </c>
      <c r="G403" s="480" cm="1">
        <f t="array" ref="G403">IF(B403&gt;0,'Direct Costs 2026'!$C$25,"N/A")</f>
        <v>90000</v>
      </c>
      <c r="H403" s="480" cm="1">
        <f t="array" ref="H403">IF(B403&gt;0,'Direct Costs 2026'!$C$15+'Direct Costs 2026'!$C$14,"N/A")</f>
        <v>230000</v>
      </c>
      <c r="I403" s="480">
        <v>0</v>
      </c>
      <c r="J403" s="480">
        <v>0</v>
      </c>
      <c r="K403" s="480" cm="1">
        <f t="array" ref="K403">IF(B403&gt;0,'Direct Costs 2026'!$C$26,"N/A")</f>
        <v>20000</v>
      </c>
      <c r="L403" s="480" cm="1">
        <f t="array" ref="L403">IF(B403&gt;0,'Direct Costs 2026'!$C$23,"N/A")</f>
        <v>140000</v>
      </c>
      <c r="M403" s="480" cm="1">
        <f t="array" ref="M403">IF(B403&gt;0,'Direct Costs 2026'!$C$45*B403,"N/A")</f>
        <v>900000</v>
      </c>
      <c r="N403" t="str" s="482" cm="1">
        <f t="array" ref="N403">IF(B403&gt;0,_xlfn.IFERROR(VLOOKUP(C395,'Boats Data Sheet 2026'!$C$3:$I$57,7,0)*'Direct Costs 2026'!$C$36,"N/A"),"N/A")</f>
        <v>N/A</v>
      </c>
      <c r="O403" t="str" s="482" cm="1">
        <f t="array" ref="O403">IF(B403&gt;0,IF(OR(VLOOKUP(C395,'Boats Data Sheet 2026'!$C$3:$F$57,4,0)="Own",VLOOKUP(C395,'Boats Data Sheet 2026'!$C$3:$F$57,4,0)="Management"),('Direct Costs 2026'!$C$37+'Direct Costs 2026'!$C$39),"N/A"),"N/A")</f>
        <v>N/A</v>
      </c>
      <c r="P403" s="480" cm="1">
        <f t="array" ref="P403">_xlfn.IFERROR('Direct Costs 2026'!$C$27*C403,"N/A")</f>
        <v>520000</v>
      </c>
      <c r="Q403" s="480" cm="1">
        <f t="array" ref="Q403">_xlfn.IFERROR(C403+SUM(E403:P403),"N/A")</f>
        <v>28811500</v>
      </c>
      <c r="R403" s="483"/>
      <c r="S403" s="480" cm="1">
        <f t="array" ref="S403">IF(B403&gt;0,'Allocation OH and Target 2026'!$E$31,"N/A")</f>
        <v>3100447.15769812</v>
      </c>
      <c r="T403" s="480" cm="1">
        <f t="array" ref="T403">IF(B403&gt;0,VLOOKUP(C395,'Allocation OH and Target 2026'!$C$35:$S$87,16,0),"N/A")</f>
        <v>0</v>
      </c>
      <c r="U403" s="480" cm="1">
        <f t="array" ref="U403">_xlfn.IFERROR((S403+T403),"N/A")</f>
        <v>3100447.15769812</v>
      </c>
      <c r="V403" s="483"/>
      <c r="W403" s="480" cm="1">
        <f t="array" ref="W403">_xlfn.IFERROR(U403+Q403,"N/A")</f>
        <v>31911947.1576981</v>
      </c>
      <c r="X403" s="480" cm="1">
        <f t="array" ref="X403">_xlfn.IFERROR(W403*0.5%,"N/A")</f>
        <v>159559.735788491</v>
      </c>
      <c r="Y403" s="480" cm="1">
        <f t="array" ref="Y403">_xlfn.IFERROR(W403*25%,"N/A")</f>
        <v>7977986.78942453</v>
      </c>
      <c r="Z403" s="484" cm="1">
        <f t="array" ref="Z403">IF(B403&gt;0,SUM(W403:Y403),"N/A")</f>
        <v>40049493.6829111</v>
      </c>
      <c r="AA403" s="484">
        <v>0</v>
      </c>
      <c r="AB403" s="483"/>
      <c r="AC403" s="484" cm="1">
        <f t="array" ref="AC403">IF(B403=6,AVERAGE(Z398:Z403),"N/A")</f>
        <v>39560043.6829111</v>
      </c>
      <c r="AD403" s="483"/>
      <c r="AE403" s="480"/>
      <c r="AF403" s="480"/>
      <c r="AG403" s="480"/>
      <c r="AH403" s="480"/>
      <c r="AI403" s="480"/>
      <c r="AJ403" s="480"/>
      <c r="AK403" s="480"/>
      <c r="AL403" s="480"/>
      <c r="AM403" s="480"/>
      <c r="AN403" s="486"/>
    </row>
    <row r="404" ht="15" customHeight="1" hidden="1">
      <c r="A404" s="12"/>
      <c r="B404" s="479" cm="1">
        <f t="array" ref="B404">IF(B403=0,0,IF(B403&lt;VLOOKUP(C395,'Boats Data Sheet 2026'!$C$3:$H$57,6,0),B403+1,0))</f>
        <v>7</v>
      </c>
      <c r="C404" s="480" cm="1">
        <f t="array" ref="C404">IF(B404&gt;0,IF(VLOOKUP(C395,'Boats Data Sheet 2026'!$C$3:$J$57,8,0)="N/A",0,VLOOKUP(C395,'Boats Data Sheet 2026'!$C$3:$J$57,8,0)),"N/A")</f>
        <v>26000000</v>
      </c>
      <c r="D404" s="481" cm="1">
        <f t="array" ref="D404">IF(B404&gt;7,2,IF(B404=0,"N/A",1))</f>
        <v>1</v>
      </c>
      <c r="E404" s="480" cm="1">
        <f t="array" ref="E404">_xlfn.IFERROR(SUM('Direct Costs 2026'!$C$4:$C$5)*D404,"N/A")</f>
        <v>875500</v>
      </c>
      <c r="F404" s="480" cm="1">
        <f t="array" ref="F404">_xlfn.IFERROR('Direct Costs 2026'!$C$43*B404,"N/A")</f>
        <v>42000</v>
      </c>
      <c r="G404" s="480" cm="1">
        <f t="array" ref="G404">IF(B404&gt;0,'Direct Costs 2026'!$C$25,"N/A")</f>
        <v>90000</v>
      </c>
      <c r="H404" s="480" cm="1">
        <f t="array" ref="H404">IF(B404&gt;0,'Direct Costs 2026'!$C$15+'Direct Costs 2026'!$C$14,"N/A")</f>
        <v>230000</v>
      </c>
      <c r="I404" s="480">
        <v>0</v>
      </c>
      <c r="J404" s="480">
        <v>0</v>
      </c>
      <c r="K404" s="480" cm="1">
        <f t="array" ref="K404">IF(B404&gt;0,'Direct Costs 2026'!$C$26,"N/A")</f>
        <v>20000</v>
      </c>
      <c r="L404" s="480" cm="1">
        <f t="array" ref="L404">IF(B404&gt;0,'Direct Costs 2026'!$C$23,"N/A")</f>
        <v>140000</v>
      </c>
      <c r="M404" s="480" cm="1">
        <f t="array" ref="M404">IF(B404&gt;0,'Direct Costs 2026'!$C$45*B404,"N/A")</f>
        <v>1050000</v>
      </c>
      <c r="N404" t="str" s="482" cm="1">
        <f t="array" ref="N404">IF(B404&gt;0,_xlfn.IFERROR(VLOOKUP(C395,'Boats Data Sheet 2026'!$C$3:$I$57,7,0)*'Direct Costs 2026'!$C$36,"N/A"),"N/A")</f>
        <v>N/A</v>
      </c>
      <c r="O404" t="str" s="482" cm="1">
        <f t="array" ref="O404">IF(B404&gt;0,IF(OR(VLOOKUP(C395,'Boats Data Sheet 2026'!$C$3:$F$57,4,0)="Own",VLOOKUP(C395,'Boats Data Sheet 2026'!$C$3:$F$57,4,0)="Management"),('Direct Costs 2026'!$C$37+'Direct Costs 2026'!$C$39),"N/A"),"N/A")</f>
        <v>N/A</v>
      </c>
      <c r="P404" s="480" cm="1">
        <f t="array" ref="P404">_xlfn.IFERROR('Direct Costs 2026'!$C$27*C404,"N/A")</f>
        <v>520000</v>
      </c>
      <c r="Q404" s="480" cm="1">
        <f t="array" ref="Q404">_xlfn.IFERROR(C404+SUM(E404:P404),"N/A")</f>
        <v>28967500</v>
      </c>
      <c r="R404" s="483"/>
      <c r="S404" s="480" cm="1">
        <f t="array" ref="S404">IF(B404&gt;0,'Allocation OH and Target 2026'!$E$31,"N/A")</f>
        <v>3100447.15769812</v>
      </c>
      <c r="T404" s="480" cm="1">
        <f t="array" ref="T404">IF(B404&gt;0,VLOOKUP(C395,'Allocation OH and Target 2026'!$C$35:$S$87,16,0),"N/A")</f>
        <v>0</v>
      </c>
      <c r="U404" s="480" cm="1">
        <f t="array" ref="U404">_xlfn.IFERROR((S404+T404),"N/A")</f>
        <v>3100447.15769812</v>
      </c>
      <c r="V404" s="483"/>
      <c r="W404" s="480" cm="1">
        <f t="array" ref="W404">_xlfn.IFERROR(U404+Q404,"N/A")</f>
        <v>32067947.1576981</v>
      </c>
      <c r="X404" s="480" cm="1">
        <f t="array" ref="X404">_xlfn.IFERROR(W404*0.5%,"N/A")</f>
        <v>160339.735788491</v>
      </c>
      <c r="Y404" s="480" cm="1">
        <f t="array" ref="Y404">_xlfn.IFERROR(W404*25%,"N/A")</f>
        <v>8016986.78942453</v>
      </c>
      <c r="Z404" s="484" cm="1">
        <f t="array" ref="Z404">IF(B404&gt;0,SUM(W404:Y404),"N/A")</f>
        <v>40245273.6829111</v>
      </c>
      <c r="AA404" s="484" cm="1">
        <f t="array" ref="AA404">_xlfn.IFERROR((Z404-AVERAGE(Z398:Z403)),"N/A")</f>
        <v>685230</v>
      </c>
      <c r="AB404" s="483"/>
      <c r="AC404" t="str" s="485" cm="1">
        <f t="array" ref="AC404">IF(B404=6,AVERAGE(Z398:Z403),"N/A")</f>
        <v>N/A</v>
      </c>
      <c r="AD404" s="483"/>
      <c r="AE404" s="480"/>
      <c r="AF404" s="480"/>
      <c r="AG404" s="480"/>
      <c r="AH404" s="480"/>
      <c r="AI404" s="480"/>
      <c r="AJ404" s="480"/>
      <c r="AK404" s="480"/>
      <c r="AL404" s="480"/>
      <c r="AM404" s="480"/>
      <c r="AN404" s="486"/>
    </row>
    <row r="405" ht="15" customHeight="1" hidden="1">
      <c r="A405" s="12"/>
      <c r="B405" s="479" cm="1">
        <f t="array" ref="B405">IF(B404=0,0,IF(B404&lt;VLOOKUP(C395,'Boats Data Sheet 2026'!$C$3:$H$57,6,0),B404+1,0))</f>
        <v>8</v>
      </c>
      <c r="C405" s="480" cm="1">
        <f t="array" ref="C405">IF(B405&gt;0,IF(VLOOKUP(C395,'Boats Data Sheet 2026'!$C$3:$J$57,8,0)="N/A",0,VLOOKUP(C395,'Boats Data Sheet 2026'!$C$3:$J$57,8,0)),"N/A")</f>
        <v>26000000</v>
      </c>
      <c r="D405" s="481" cm="1">
        <f t="array" ref="D405">IF(B405&gt;7,2,IF(B405=0,"N/A",1))</f>
        <v>2</v>
      </c>
      <c r="E405" s="480" cm="1">
        <f t="array" ref="E405">_xlfn.IFERROR(SUM('Direct Costs 2026'!$C$4:$C$5)*D405,"N/A")</f>
        <v>1751000</v>
      </c>
      <c r="F405" s="480" cm="1">
        <f t="array" ref="F405">_xlfn.IFERROR('Direct Costs 2026'!$C$43*B405,"N/A")</f>
        <v>48000</v>
      </c>
      <c r="G405" s="480" cm="1">
        <f t="array" ref="G405">IF(B405&gt;0,'Direct Costs 2026'!$C$25,"N/A")</f>
        <v>90000</v>
      </c>
      <c r="H405" s="480" cm="1">
        <f t="array" ref="H405">IF(B405&gt;0,'Direct Costs 2026'!$C$15+'Direct Costs 2026'!$C$14,"N/A")</f>
        <v>230000</v>
      </c>
      <c r="I405" s="480">
        <v>0</v>
      </c>
      <c r="J405" s="480">
        <v>0</v>
      </c>
      <c r="K405" s="480" cm="1">
        <f t="array" ref="K405">IF(B405&gt;0,'Direct Costs 2026'!$C$26,"N/A")</f>
        <v>20000</v>
      </c>
      <c r="L405" s="480" cm="1">
        <f t="array" ref="L405">IF(B405&gt;0,'Direct Costs 2026'!$C$23,"N/A")</f>
        <v>140000</v>
      </c>
      <c r="M405" s="480" cm="1">
        <f t="array" ref="M405">IF(B405&gt;0,'Direct Costs 2026'!$C$45*B405,"N/A")</f>
        <v>1200000</v>
      </c>
      <c r="N405" t="str" s="482" cm="1">
        <f t="array" ref="N405">IF(B405&gt;0,_xlfn.IFERROR(VLOOKUP(C395,'Boats Data Sheet 2026'!$C$3:$I$57,7,0)*'Direct Costs 2026'!$C$36,"N/A"),"N/A")</f>
        <v>N/A</v>
      </c>
      <c r="O405" t="str" s="482" cm="1">
        <f t="array" ref="O405">IF(B405&gt;0,IF(OR(VLOOKUP(C395,'Boats Data Sheet 2026'!$C$3:$F$57,4,0)="Own",VLOOKUP(C395,'Boats Data Sheet 2026'!$C$3:$F$57,4,0)="Management"),('Direct Costs 2026'!$C$37+'Direct Costs 2026'!$C$39),"N/A"),"N/A")</f>
        <v>N/A</v>
      </c>
      <c r="P405" s="480" cm="1">
        <f t="array" ref="P405">_xlfn.IFERROR('Direct Costs 2026'!$C$27*C405,"N/A")</f>
        <v>520000</v>
      </c>
      <c r="Q405" s="480" cm="1">
        <f t="array" ref="Q405">_xlfn.IFERROR(C405+SUM(E405:P405),"N/A")</f>
        <v>29999000</v>
      </c>
      <c r="R405" s="483"/>
      <c r="S405" s="480" cm="1">
        <f t="array" ref="S405">IF(B405&gt;0,'Allocation OH and Target 2026'!$E$31,"N/A")</f>
        <v>3100447.15769812</v>
      </c>
      <c r="T405" s="480" cm="1">
        <f t="array" ref="T405">IF(B405&gt;0,VLOOKUP(C395,'Allocation OH and Target 2026'!$C$35:$S$87,16,0),"N/A")</f>
        <v>0</v>
      </c>
      <c r="U405" s="480" cm="1">
        <f t="array" ref="U405">_xlfn.IFERROR((S405+T405),"N/A")</f>
        <v>3100447.15769812</v>
      </c>
      <c r="V405" s="483"/>
      <c r="W405" s="480" cm="1">
        <f t="array" ref="W405">_xlfn.IFERROR(U405+Q405,"N/A")</f>
        <v>33099447.1576981</v>
      </c>
      <c r="X405" s="480" cm="1">
        <f t="array" ref="X405">_xlfn.IFERROR(W405*0.5%,"N/A")</f>
        <v>165497.235788491</v>
      </c>
      <c r="Y405" s="480" cm="1">
        <f t="array" ref="Y405">_xlfn.IFERROR(W405*25%,"N/A")</f>
        <v>8274861.78942453</v>
      </c>
      <c r="Z405" s="484" cm="1">
        <f t="array" ref="Z405">IF(B405&gt;0,SUM(W405:Y405),"N/A")</f>
        <v>41539806.1829111</v>
      </c>
      <c r="AA405" s="484" cm="1">
        <f t="array" ref="AA405">_xlfn.IFERROR((Z405-AVERAGE(Z398:Z403)),"N/A")</f>
        <v>1979762.5</v>
      </c>
      <c r="AB405" s="483"/>
      <c r="AC405" t="str" s="485" cm="1">
        <f t="array" ref="AC405">IF(B405=6,AVERAGE(Z398:Z403),"N/A")</f>
        <v>N/A</v>
      </c>
      <c r="AD405" s="483"/>
      <c r="AE405" s="480"/>
      <c r="AF405" s="480"/>
      <c r="AG405" s="480"/>
      <c r="AH405" s="480"/>
      <c r="AI405" s="480"/>
      <c r="AJ405" s="480"/>
      <c r="AK405" s="480"/>
      <c r="AL405" s="480"/>
      <c r="AM405" s="480"/>
      <c r="AN405" s="486"/>
    </row>
    <row r="406" ht="15" customHeight="1" hidden="1">
      <c r="A406" s="12"/>
      <c r="B406" s="479" cm="1">
        <f t="array" ref="B406">IF(B405=0,0,IF(B405&lt;VLOOKUP(C395,'Boats Data Sheet 2026'!$C$3:$H$57,6,0),B405+1,0))</f>
        <v>9</v>
      </c>
      <c r="C406" s="480" cm="1">
        <f t="array" ref="C406">IF(B406&gt;0,IF(VLOOKUP(C395,'Boats Data Sheet 2026'!$C$3:$J$57,8,0)="N/A",0,VLOOKUP(C395,'Boats Data Sheet 2026'!$C$3:$J$57,8,0)),"N/A")</f>
        <v>26000000</v>
      </c>
      <c r="D406" s="490" cm="1">
        <f t="array" ref="D406">IF(B406&gt;7,2,IF(B406=0,"N/A",1))</f>
        <v>2</v>
      </c>
      <c r="E406" s="480" cm="1">
        <f t="array" ref="E406">_xlfn.IFERROR(SUM('Direct Costs 2026'!$C$4:$C$5)*D406,"N/A")</f>
        <v>1751000</v>
      </c>
      <c r="F406" s="480" cm="1">
        <f t="array" ref="F406">_xlfn.IFERROR('Direct Costs 2026'!$C$43*B406,"N/A")</f>
        <v>54000</v>
      </c>
      <c r="G406" s="480" cm="1">
        <f t="array" ref="G406">IF(B406&gt;0,'Direct Costs 2026'!$C$25,"N/A")</f>
        <v>90000</v>
      </c>
      <c r="H406" s="480" cm="1">
        <f t="array" ref="H406">IF(B406&gt;0,'Direct Costs 2026'!$C$15+'Direct Costs 2026'!$C$14,"N/A")</f>
        <v>230000</v>
      </c>
      <c r="I406" s="480">
        <v>0</v>
      </c>
      <c r="J406" s="480">
        <v>0</v>
      </c>
      <c r="K406" s="480" cm="1">
        <f t="array" ref="K406">IF(B406&gt;0,'Direct Costs 2026'!$C$26,"N/A")</f>
        <v>20000</v>
      </c>
      <c r="L406" s="480" cm="1">
        <f t="array" ref="L406">IF(B406&gt;0,'Direct Costs 2026'!$C$23,"N/A")</f>
        <v>140000</v>
      </c>
      <c r="M406" s="480" cm="1">
        <f t="array" ref="M406">IF(B406&gt;0,'Direct Costs 2026'!$C$45*B406,"N/A")</f>
        <v>1350000</v>
      </c>
      <c r="N406" t="str" s="482" cm="1">
        <f t="array" ref="N406">IF(B406&gt;0,_xlfn.IFERROR(VLOOKUP(C395,'Boats Data Sheet 2026'!$C$3:$I$57,7,0)*'Direct Costs 2026'!$C$36,"N/A"),"N/A")</f>
        <v>N/A</v>
      </c>
      <c r="O406" t="str" s="482" cm="1">
        <f t="array" ref="O406">IF(B406&gt;0,IF(OR(VLOOKUP(C395,'Boats Data Sheet 2026'!$C$3:$F$57,4,0)="Own",VLOOKUP(C395,'Boats Data Sheet 2026'!$C$3:$F$57,4,0)="Management"),('Direct Costs 2026'!$C$37+'Direct Costs 2026'!$C$39),"N/A"),"N/A")</f>
        <v>N/A</v>
      </c>
      <c r="P406" s="480" cm="1">
        <f t="array" ref="P406">_xlfn.IFERROR('Direct Costs 2026'!$C$27*C406,"N/A")</f>
        <v>520000</v>
      </c>
      <c r="Q406" s="480" cm="1">
        <f t="array" ref="Q406">_xlfn.IFERROR(C406+SUM(E406:P406),"N/A")</f>
        <v>30155000</v>
      </c>
      <c r="R406" s="483"/>
      <c r="S406" s="480" cm="1">
        <f t="array" ref="S406">IF(B406&gt;0,'Allocation OH and Target 2026'!$E$31,"N/A")</f>
        <v>3100447.15769812</v>
      </c>
      <c r="T406" s="480" cm="1">
        <f t="array" ref="T406">IF(B406&gt;0,VLOOKUP(C395,'Allocation OH and Target 2026'!$C$35:$S$87,16,0),"N/A")</f>
        <v>0</v>
      </c>
      <c r="U406" s="480" cm="1">
        <f t="array" ref="U406">_xlfn.IFERROR((S406+T406),"N/A")</f>
        <v>3100447.15769812</v>
      </c>
      <c r="V406" s="483"/>
      <c r="W406" s="480" cm="1">
        <f t="array" ref="W406">_xlfn.IFERROR(U406+Q406,"N/A")</f>
        <v>33255447.1576981</v>
      </c>
      <c r="X406" s="480" cm="1">
        <f t="array" ref="X406">_xlfn.IFERROR(W406*0.5%,"N/A")</f>
        <v>166277.235788491</v>
      </c>
      <c r="Y406" s="480" cm="1">
        <f t="array" ref="Y406">_xlfn.IFERROR(W406*25%,"N/A")</f>
        <v>8313861.78942453</v>
      </c>
      <c r="Z406" s="484" cm="1">
        <f t="array" ref="Z406">IF(B406&gt;0,SUM(W406:Y406),"N/A")</f>
        <v>41735586.1829111</v>
      </c>
      <c r="AA406" s="484" cm="1">
        <f t="array" ref="AA406">_xlfn.IFERROR((Z406-AVERAGE(Z398:Z403)),"N/A")</f>
        <v>2175542.5</v>
      </c>
      <c r="AB406" s="483"/>
      <c r="AC406" t="str" s="485" cm="1">
        <f t="array" ref="AC406">IF(B406=6,AVERAGE(Z398:Z403),"N/A")</f>
        <v>N/A</v>
      </c>
      <c r="AD406" s="483"/>
      <c r="AE406" s="480"/>
      <c r="AF406" s="480"/>
      <c r="AG406" s="480"/>
      <c r="AH406" s="480"/>
      <c r="AI406" s="480"/>
      <c r="AJ406" s="480"/>
      <c r="AK406" s="480"/>
      <c r="AL406" s="480"/>
      <c r="AM406" s="480"/>
      <c r="AN406" s="486"/>
    </row>
    <row r="407" ht="15" customHeight="1" hidden="1">
      <c r="A407" s="12"/>
      <c r="B407" s="479" cm="1">
        <f t="array" ref="B407">IF(B406=0,0,IF(B406&lt;VLOOKUP(C395,'Boats Data Sheet 2026'!$C$3:$H$57,6,0),B406+1,0))</f>
        <v>10</v>
      </c>
      <c r="C407" s="480" cm="1">
        <f t="array" ref="C407">IF(B407&gt;0,IF(VLOOKUP(C395,'Boats Data Sheet 2026'!$C$3:$J$57,8,0)="N/A",0,VLOOKUP(C395,'Boats Data Sheet 2026'!$C$3:$J$57,8,0)),"N/A")</f>
        <v>26000000</v>
      </c>
      <c r="D407" s="490" cm="1">
        <f t="array" ref="D407">IF(B407&gt;7,2,IF(B407=0,"N/A",1))</f>
        <v>2</v>
      </c>
      <c r="E407" s="480" cm="1">
        <f t="array" ref="E407">_xlfn.IFERROR(SUM('Direct Costs 2026'!$C$4:$C$5)*D407,"N/A")</f>
        <v>1751000</v>
      </c>
      <c r="F407" s="480" cm="1">
        <f t="array" ref="F407">_xlfn.IFERROR('Direct Costs 2026'!$C$43*B407,"N/A")</f>
        <v>60000</v>
      </c>
      <c r="G407" s="480" cm="1">
        <f t="array" ref="G407">IF(B407&gt;0,'Direct Costs 2026'!$C$25,"N/A")</f>
        <v>90000</v>
      </c>
      <c r="H407" s="480" cm="1">
        <f t="array" ref="H407">IF(B407&gt;0,'Direct Costs 2026'!$C$15+'Direct Costs 2026'!$C$14,"N/A")</f>
        <v>230000</v>
      </c>
      <c r="I407" s="480">
        <v>0</v>
      </c>
      <c r="J407" s="480">
        <v>0</v>
      </c>
      <c r="K407" s="480" cm="1">
        <f t="array" ref="K407">IF(B407&gt;0,'Direct Costs 2026'!$C$26,"N/A")</f>
        <v>20000</v>
      </c>
      <c r="L407" s="480" cm="1">
        <f t="array" ref="L407">IF(B407&gt;0,'Direct Costs 2026'!$C$23,"N/A")</f>
        <v>140000</v>
      </c>
      <c r="M407" s="480" cm="1">
        <f t="array" ref="M407">IF(B407&gt;0,'Direct Costs 2026'!$C$45*B407,"N/A")</f>
        <v>1500000</v>
      </c>
      <c r="N407" t="str" s="482" cm="1">
        <f t="array" ref="N407">IF(B407&gt;0,_xlfn.IFERROR(VLOOKUP(C395,'Boats Data Sheet 2026'!$C$3:$I$57,7,0)*'Direct Costs 2026'!$C$36,"N/A"),"N/A")</f>
        <v>N/A</v>
      </c>
      <c r="O407" t="str" s="482" cm="1">
        <f t="array" ref="O407">IF(B407&gt;0,IF(OR(VLOOKUP(C395,'Boats Data Sheet 2026'!$C$3:$F$57,4,0)="Own",VLOOKUP(C395,'Boats Data Sheet 2026'!$C$3:$F$57,4,0)="Management"),('Direct Costs 2026'!$C$37+'Direct Costs 2026'!$C$39),"N/A"),"N/A")</f>
        <v>N/A</v>
      </c>
      <c r="P407" s="480" cm="1">
        <f t="array" ref="P407">_xlfn.IFERROR('Direct Costs 2026'!$C$27*C407,"N/A")</f>
        <v>520000</v>
      </c>
      <c r="Q407" s="480" cm="1">
        <f t="array" ref="Q407">_xlfn.IFERROR(C407+SUM(E407:P407),"N/A")</f>
        <v>30311000</v>
      </c>
      <c r="R407" s="483"/>
      <c r="S407" s="480" cm="1">
        <f t="array" ref="S407">IF(B407&gt;0,'Allocation OH and Target 2026'!$E$31,"N/A")</f>
        <v>3100447.15769812</v>
      </c>
      <c r="T407" s="480" cm="1">
        <f t="array" ref="T407">IF(B407&gt;0,VLOOKUP(C395,'Allocation OH and Target 2026'!$C$35:$S$87,16,0),"N/A")</f>
        <v>0</v>
      </c>
      <c r="U407" s="480" cm="1">
        <f t="array" ref="U407">_xlfn.IFERROR((S407+T407),"N/A")</f>
        <v>3100447.15769812</v>
      </c>
      <c r="V407" s="483"/>
      <c r="W407" s="480" cm="1">
        <f t="array" ref="W407">_xlfn.IFERROR(U407+Q407,"N/A")</f>
        <v>33411447.1576981</v>
      </c>
      <c r="X407" s="480" cm="1">
        <f t="array" ref="X407">_xlfn.IFERROR(W407*0.5%,"N/A")</f>
        <v>167057.235788491</v>
      </c>
      <c r="Y407" s="480" cm="1">
        <f t="array" ref="Y407">_xlfn.IFERROR(W407*25%,"N/A")</f>
        <v>8352861.78942453</v>
      </c>
      <c r="Z407" s="484" cm="1">
        <f t="array" ref="Z407">IF(B407&gt;0,SUM(W407:Y407),"N/A")</f>
        <v>41931366.1829111</v>
      </c>
      <c r="AA407" s="484" cm="1">
        <f t="array" ref="AA407">_xlfn.IFERROR((Z407-AVERAGE(Z398:Z403)),"N/A")</f>
        <v>2371322.5</v>
      </c>
      <c r="AB407" s="483"/>
      <c r="AC407" t="str" s="485" cm="1">
        <f t="array" ref="AC407">IF(B407=6,AVERAGE(Z398:Z403),"N/A")</f>
        <v>N/A</v>
      </c>
      <c r="AD407" s="483"/>
      <c r="AE407" s="480"/>
      <c r="AF407" s="480"/>
      <c r="AG407" s="480"/>
      <c r="AH407" s="480"/>
      <c r="AI407" s="480"/>
      <c r="AJ407" s="480"/>
      <c r="AK407" s="480"/>
      <c r="AL407" s="480"/>
      <c r="AM407" s="480"/>
      <c r="AN407" s="486"/>
    </row>
    <row r="408" ht="15" customHeight="1" hidden="1">
      <c r="A408" s="12"/>
      <c r="B408" s="479" cm="1">
        <f t="array" ref="B408">IF(B407=0,0,IF(B407&lt;VLOOKUP(C395,'Boats Data Sheet 2026'!$C$3:$H$57,6,0),B407+1,0))</f>
        <v>0</v>
      </c>
      <c r="C408" t="str" s="482" cm="1">
        <f t="array" ref="C408">IF(B408&gt;0,IF(VLOOKUP(C395,'Boats Data Sheet 2026'!$C$3:$J$57,8,0)="N/A",0,VLOOKUP(C395,'Boats Data Sheet 2026'!$C$3:$J$57,8,0)),"N/A")</f>
        <v>N/A</v>
      </c>
      <c r="D408" t="str" s="482" cm="1">
        <f t="array" ref="D408">IF(B408&gt;7,2,IF(B408=0,"N/A",1))</f>
        <v>N/A</v>
      </c>
      <c r="E408" t="str" s="482" cm="1">
        <f t="array" ref="E408">_xlfn.IFERROR(SUM('Direct Costs 2026'!$C$4:$C$5)*D408,"N/A")</f>
        <v>N/A</v>
      </c>
      <c r="F408" s="480" cm="1">
        <f t="array" ref="F408">_xlfn.IFERROR('Direct Costs 2026'!$C$43*B408,"N/A")</f>
        <v>0</v>
      </c>
      <c r="G408" t="str" s="482" cm="1">
        <f t="array" ref="G408">IF(B408&gt;0,'Direct Costs 2026'!$C$25,"N/A")</f>
        <v>N/A</v>
      </c>
      <c r="H408" t="str" s="482" cm="1">
        <f t="array" ref="H408">IF(B408&gt;0,'Direct Costs 2026'!$C$15+'Direct Costs 2026'!$C$14,"N/A")</f>
        <v>N/A</v>
      </c>
      <c r="I408" s="480">
        <v>0</v>
      </c>
      <c r="J408" s="480">
        <v>0</v>
      </c>
      <c r="K408" t="str" s="482" cm="1">
        <f t="array" ref="K408">IF(B408&gt;0,'Direct Costs 2026'!$C$26,"N/A")</f>
        <v>N/A</v>
      </c>
      <c r="L408" t="str" s="482" cm="1">
        <f t="array" ref="L408">IF(B408&gt;0,'Direct Costs 2026'!$C$23,"N/A")</f>
        <v>N/A</v>
      </c>
      <c r="M408" t="str" s="482" cm="1">
        <f t="array" ref="M408">IF(B408&gt;0,'Direct Costs 2026'!$C$45*B408,"N/A")</f>
        <v>N/A</v>
      </c>
      <c r="N408" t="str" s="482" cm="1">
        <f t="array" ref="N408">IF(B408&gt;0,_xlfn.IFERROR(VLOOKUP(C395,'Boats Data Sheet 2026'!$C$3:$I$57,7,0)*'Direct Costs 2026'!$C$36,"N/A"),"N/A")</f>
        <v>N/A</v>
      </c>
      <c r="O408" t="str" s="482" cm="1">
        <f t="array" ref="O408">IF(B408&gt;0,IF(OR(VLOOKUP(C395,'Boats Data Sheet 2026'!$C$3:$F$57,4,0)="Own",VLOOKUP(C395,'Boats Data Sheet 2026'!$C$3:$F$57,4,0)="Management"),('Direct Costs 2026'!$C$37+'Direct Costs 2026'!$C$39),"N/A"),"N/A")</f>
        <v>N/A</v>
      </c>
      <c r="P408" t="str" s="482" cm="1">
        <f t="array" ref="P408">_xlfn.IFERROR('Direct Costs 2026'!$C$27*C408,"N/A")</f>
        <v>N/A</v>
      </c>
      <c r="Q408" t="str" s="482" cm="1">
        <f t="array" ref="Q408">_xlfn.IFERROR(C408+SUM(E408:P408),"N/A")</f>
        <v>N/A</v>
      </c>
      <c r="R408" s="483"/>
      <c r="S408" t="str" s="482" cm="1">
        <f t="array" ref="S408">IF(B408&gt;0,'Allocation OH and Target 2026'!$E$31,"N/A")</f>
        <v>N/A</v>
      </c>
      <c r="T408" t="str" s="482" cm="1">
        <f t="array" ref="T408">IF(B408&gt;0,VLOOKUP(C395,'Allocation OH and Target 2026'!$C$35:$S$87,16,0),"N/A")</f>
        <v>N/A</v>
      </c>
      <c r="U408" t="str" s="482" cm="1">
        <f t="array" ref="U408">_xlfn.IFERROR((S408+T408),"N/A")</f>
        <v>N/A</v>
      </c>
      <c r="V408" s="483"/>
      <c r="W408" t="str" s="482" cm="1">
        <f t="array" ref="W408">_xlfn.IFERROR(U408+Q408,"N/A")</f>
        <v>N/A</v>
      </c>
      <c r="X408" t="str" s="482" cm="1">
        <f t="array" ref="X408">_xlfn.IFERROR(W408*0.5%,"N/A")</f>
        <v>N/A</v>
      </c>
      <c r="Y408" t="str" s="482" cm="1">
        <f t="array" ref="Y408">_xlfn.IFERROR(W408*25%,"N/A")</f>
        <v>N/A</v>
      </c>
      <c r="Z408" t="str" s="485" cm="1">
        <f t="array" ref="Z408">IF(B408&gt;0,SUM(W408:Y408),"N/A")</f>
        <v>N/A</v>
      </c>
      <c r="AA408" t="str" s="485" cm="1">
        <f t="array" ref="AA408">_xlfn.IFERROR((Z408-AVERAGE(Z398:Z403)),"N/A")</f>
        <v>N/A</v>
      </c>
      <c r="AB408" s="483"/>
      <c r="AC408" t="str" s="485" cm="1">
        <f t="array" ref="AC408">IF(B408=6,AVERAGE(Z398:Z403),"N/A")</f>
        <v>N/A</v>
      </c>
      <c r="AD408" s="483"/>
      <c r="AE408" s="480"/>
      <c r="AF408" s="480"/>
      <c r="AG408" s="480"/>
      <c r="AH408" s="480"/>
      <c r="AI408" s="480"/>
      <c r="AJ408" s="480"/>
      <c r="AK408" s="480"/>
      <c r="AL408" s="480"/>
      <c r="AM408" s="480"/>
      <c r="AN408" s="486"/>
    </row>
    <row r="409" ht="15" customHeight="1" hidden="1">
      <c r="A409" s="12"/>
      <c r="B409" s="479" cm="1">
        <f t="array" ref="B409">IF(B408=0,0,IF(B408&lt;VLOOKUP(C395,'Boats Data Sheet 2026'!$C$3:$H$57,6,0),B408+1,0))</f>
        <v>0</v>
      </c>
      <c r="C409" t="str" s="482" cm="1">
        <f t="array" ref="C409">IF(B409&gt;0,IF(VLOOKUP(C395,'Boats Data Sheet 2026'!$C$3:$J$57,8,0)="N/A",0,VLOOKUP(C395,'Boats Data Sheet 2026'!$C$3:$J$57,8,0)),"N/A")</f>
        <v>N/A</v>
      </c>
      <c r="D409" t="str" s="482" cm="1">
        <f t="array" ref="D409">IF(B409&gt;7,2,IF(B409=0,"N/A",1))</f>
        <v>N/A</v>
      </c>
      <c r="E409" t="str" s="482" cm="1">
        <f t="array" ref="E409">_xlfn.IFERROR(SUM('Direct Costs 2026'!$C$4:$C$5)*D409,"N/A")</f>
        <v>N/A</v>
      </c>
      <c r="F409" s="480" cm="1">
        <f t="array" ref="F409">_xlfn.IFERROR('Direct Costs 2026'!$C$43*B409,"N/A")</f>
        <v>0</v>
      </c>
      <c r="G409" t="str" s="482" cm="1">
        <f t="array" ref="G409">IF(B409&gt;0,'Direct Costs 2026'!$C$25,"N/A")</f>
        <v>N/A</v>
      </c>
      <c r="H409" t="str" s="482" cm="1">
        <f t="array" ref="H409">IF(B409&gt;0,'Direct Costs 2026'!$C$15+'Direct Costs 2026'!$C$14,"N/A")</f>
        <v>N/A</v>
      </c>
      <c r="I409" s="480">
        <v>0</v>
      </c>
      <c r="J409" s="480">
        <v>0</v>
      </c>
      <c r="K409" t="str" s="482" cm="1">
        <f t="array" ref="K409">IF(B409&gt;0,'Direct Costs 2026'!$C$26,"N/A")</f>
        <v>N/A</v>
      </c>
      <c r="L409" t="str" s="482" cm="1">
        <f t="array" ref="L409">IF(B409&gt;0,'Direct Costs 2026'!$C$23,"N/A")</f>
        <v>N/A</v>
      </c>
      <c r="M409" t="str" s="482" cm="1">
        <f t="array" ref="M409">IF(B409&gt;0,'Direct Costs 2026'!$C$45*B409,"N/A")</f>
        <v>N/A</v>
      </c>
      <c r="N409" t="str" s="482" cm="1">
        <f t="array" ref="N409">IF(B409&gt;0,_xlfn.IFERROR(VLOOKUP(C395,'Boats Data Sheet 2026'!$C$3:$I$57,7,0)*'Direct Costs 2026'!$C$36,"N/A"),"N/A")</f>
        <v>N/A</v>
      </c>
      <c r="O409" t="str" s="482" cm="1">
        <f t="array" ref="O409">IF(B409&gt;0,IF(OR(VLOOKUP(C395,'Boats Data Sheet 2026'!$C$3:$F$57,4,0)="Own",VLOOKUP(C395,'Boats Data Sheet 2026'!$C$3:$F$57,4,0)="Management"),('Direct Costs 2026'!$C$37+'Direct Costs 2026'!$C$39),"N/A"),"N/A")</f>
        <v>N/A</v>
      </c>
      <c r="P409" t="str" s="482" cm="1">
        <f t="array" ref="P409">_xlfn.IFERROR('Direct Costs 2026'!$C$27*C409,"N/A")</f>
        <v>N/A</v>
      </c>
      <c r="Q409" t="str" s="482" cm="1">
        <f t="array" ref="Q409">_xlfn.IFERROR(C409+SUM(E409:P409),"N/A")</f>
        <v>N/A</v>
      </c>
      <c r="R409" s="483"/>
      <c r="S409" t="str" s="482" cm="1">
        <f t="array" ref="S409">IF(B409&gt;0,'Allocation OH and Target 2026'!$E$31,"N/A")</f>
        <v>N/A</v>
      </c>
      <c r="T409" t="str" s="482" cm="1">
        <f t="array" ref="T409">IF(B409&gt;0,VLOOKUP(C395,'Allocation OH and Target 2026'!$C$35:$S$87,16,0),"N/A")</f>
        <v>N/A</v>
      </c>
      <c r="U409" t="str" s="482" cm="1">
        <f t="array" ref="U409">_xlfn.IFERROR((S409+T409),"N/A")</f>
        <v>N/A</v>
      </c>
      <c r="V409" s="483"/>
      <c r="W409" t="str" s="482" cm="1">
        <f t="array" ref="W409">_xlfn.IFERROR(U409+Q409,"N/A")</f>
        <v>N/A</v>
      </c>
      <c r="X409" t="str" s="482" cm="1">
        <f t="array" ref="X409">_xlfn.IFERROR(W409*0.5%,"N/A")</f>
        <v>N/A</v>
      </c>
      <c r="Y409" t="str" s="482" cm="1">
        <f t="array" ref="Y409">_xlfn.IFERROR(W409*25%,"N/A")</f>
        <v>N/A</v>
      </c>
      <c r="Z409" t="str" s="485" cm="1">
        <f t="array" ref="Z409">IF(B409&gt;0,SUM(W409:Y409),"N/A")</f>
        <v>N/A</v>
      </c>
      <c r="AA409" t="str" s="485" cm="1">
        <f t="array" ref="AA409">_xlfn.IFERROR((Z409-AVERAGE(Z398:Z403)),"N/A")</f>
        <v>N/A</v>
      </c>
      <c r="AB409" s="483"/>
      <c r="AC409" t="str" s="485" cm="1">
        <f t="array" ref="AC409">IF(B409=6,AVERAGE(Z398:Z403),"N/A")</f>
        <v>N/A</v>
      </c>
      <c r="AD409" s="483"/>
      <c r="AE409" s="480"/>
      <c r="AF409" s="480"/>
      <c r="AG409" s="480"/>
      <c r="AH409" s="480"/>
      <c r="AI409" s="480"/>
      <c r="AJ409" s="480"/>
      <c r="AK409" s="480"/>
      <c r="AL409" s="480"/>
      <c r="AM409" s="480"/>
      <c r="AN409" s="486"/>
    </row>
    <row r="410" ht="15" customHeight="1" hidden="1">
      <c r="A410" s="12"/>
      <c r="B410" s="479" cm="1">
        <f t="array" ref="B410">IF(B409=0,0,IF(B409&lt;VLOOKUP(C395,'Boats Data Sheet 2026'!$C$3:$H$57,6,0),B409+1,0))</f>
        <v>0</v>
      </c>
      <c r="C410" t="str" s="482" cm="1">
        <f t="array" ref="C410">IF(B410&gt;0,IF(VLOOKUP(C395,'Boats Data Sheet 2026'!$C$3:$J$57,8,0)="N/A",0,VLOOKUP(C395,'Boats Data Sheet 2026'!$C$3:$J$57,8,0)),"N/A")</f>
        <v>N/A</v>
      </c>
      <c r="D410" t="str" s="482" cm="1">
        <f t="array" ref="D410">IF(B410&gt;7,2,IF(B410=0,"N/A",1))</f>
        <v>N/A</v>
      </c>
      <c r="E410" t="str" s="482" cm="1">
        <f t="array" ref="E410">_xlfn.IFERROR(SUM('Direct Costs 2026'!$C$4:$C$5)*D410,"N/A")</f>
        <v>N/A</v>
      </c>
      <c r="F410" s="480" cm="1">
        <f t="array" ref="F410">_xlfn.IFERROR('Direct Costs 2026'!$C$43*B410,"N/A")</f>
        <v>0</v>
      </c>
      <c r="G410" t="str" s="482" cm="1">
        <f t="array" ref="G410">IF(B410&gt;0,'Direct Costs 2026'!$C$25,"N/A")</f>
        <v>N/A</v>
      </c>
      <c r="H410" t="str" s="482" cm="1">
        <f t="array" ref="H410">IF(B410&gt;0,'Direct Costs 2026'!$C$15+'Direct Costs 2026'!$C$14,"N/A")</f>
        <v>N/A</v>
      </c>
      <c r="I410" s="480">
        <v>0</v>
      </c>
      <c r="J410" s="480">
        <v>0</v>
      </c>
      <c r="K410" t="str" s="482" cm="1">
        <f t="array" ref="K410">IF(B410&gt;0,'Direct Costs 2026'!$C$26,"N/A")</f>
        <v>N/A</v>
      </c>
      <c r="L410" t="str" s="482" cm="1">
        <f t="array" ref="L410">IF(B410&gt;0,'Direct Costs 2026'!$C$23,"N/A")</f>
        <v>N/A</v>
      </c>
      <c r="M410" t="str" s="482" cm="1">
        <f t="array" ref="M410">IF(B410&gt;0,'Direct Costs 2026'!$C$45*B410,"N/A")</f>
        <v>N/A</v>
      </c>
      <c r="N410" t="str" s="482" cm="1">
        <f t="array" ref="N410">IF(B410&gt;0,_xlfn.IFERROR(VLOOKUP(C395,'Boats Data Sheet 2026'!$C$3:$I$57,7,0)*'Direct Costs 2026'!$C$36,"N/A"),"N/A")</f>
        <v>N/A</v>
      </c>
      <c r="O410" t="str" s="482" cm="1">
        <f t="array" ref="O410">IF(B410&gt;0,IF(OR(VLOOKUP(C395,'Boats Data Sheet 2026'!$C$3:$F$57,4,0)="Own",VLOOKUP(C395,'Boats Data Sheet 2026'!$C$3:$F$57,4,0)="Management"),('Direct Costs 2026'!$C$37+'Direct Costs 2026'!$C$39),"N/A"),"N/A")</f>
        <v>N/A</v>
      </c>
      <c r="P410" t="str" s="482" cm="1">
        <f t="array" ref="P410">_xlfn.IFERROR('Direct Costs 2026'!$C$27*C410,"N/A")</f>
        <v>N/A</v>
      </c>
      <c r="Q410" t="str" s="482" cm="1">
        <f t="array" ref="Q410">_xlfn.IFERROR(C410+SUM(E410:P410),"N/A")</f>
        <v>N/A</v>
      </c>
      <c r="R410" s="483"/>
      <c r="S410" t="str" s="482" cm="1">
        <f t="array" ref="S410">IF(B410&gt;0,'Allocation OH and Target 2026'!$E$31,"N/A")</f>
        <v>N/A</v>
      </c>
      <c r="T410" t="str" s="482" cm="1">
        <f t="array" ref="T410">IF(B410&gt;0,VLOOKUP(C395,'Allocation OH and Target 2026'!$C$35:$S$87,16,0),"N/A")</f>
        <v>N/A</v>
      </c>
      <c r="U410" t="str" s="482" cm="1">
        <f t="array" ref="U410">_xlfn.IFERROR((S410+T410),"N/A")</f>
        <v>N/A</v>
      </c>
      <c r="V410" s="483"/>
      <c r="W410" t="str" s="482" cm="1">
        <f t="array" ref="W410">_xlfn.IFERROR(U410+Q410,"N/A")</f>
        <v>N/A</v>
      </c>
      <c r="X410" t="str" s="482" cm="1">
        <f t="array" ref="X410">_xlfn.IFERROR(W410*0.5%,"N/A")</f>
        <v>N/A</v>
      </c>
      <c r="Y410" t="str" s="482" cm="1">
        <f t="array" ref="Y410">_xlfn.IFERROR(W410*25%,"N/A")</f>
        <v>N/A</v>
      </c>
      <c r="Z410" t="str" s="485" cm="1">
        <f t="array" ref="Z410">IF(B410&gt;0,SUM(W410:Y410),"N/A")</f>
        <v>N/A</v>
      </c>
      <c r="AA410" t="str" s="485" cm="1">
        <f t="array" ref="AA410">_xlfn.IFERROR((Z410-AVERAGE(Z398:Z403)),"N/A")</f>
        <v>N/A</v>
      </c>
      <c r="AB410" s="483"/>
      <c r="AC410" t="str" s="485" cm="1">
        <f t="array" ref="AC410">IF(B410=6,AVERAGE(Z398:Z403),"N/A")</f>
        <v>N/A</v>
      </c>
      <c r="AD410" s="483"/>
      <c r="AE410" s="480"/>
      <c r="AF410" s="480"/>
      <c r="AG410" s="480"/>
      <c r="AH410" s="480"/>
      <c r="AI410" s="480"/>
      <c r="AJ410" s="480"/>
      <c r="AK410" s="480"/>
      <c r="AL410" s="480"/>
      <c r="AM410" s="480"/>
      <c r="AN410" s="486"/>
    </row>
    <row r="411" ht="15" customHeight="1" hidden="1">
      <c r="A411" s="12"/>
      <c r="B411" s="479" cm="1">
        <f t="array" ref="B411">IF(B410=0,0,IF(B410&lt;VLOOKUP(C395,'Boats Data Sheet 2026'!$C$3:$H$57,6,0),B410+1,0))</f>
        <v>0</v>
      </c>
      <c r="C411" t="str" s="482" cm="1">
        <f t="array" ref="C411">IF(B411&gt;0,IF(VLOOKUP(C395,'Boats Data Sheet 2026'!$C$3:$J$57,8,0)="N/A",0,VLOOKUP(C395,'Boats Data Sheet 2026'!$C$3:$J$57,8,0)),"N/A")</f>
        <v>N/A</v>
      </c>
      <c r="D411" t="str" s="482" cm="1">
        <f t="array" ref="D411">IF(B411&gt;7,2,IF(B411=0,"N/A",1))</f>
        <v>N/A</v>
      </c>
      <c r="E411" t="str" s="482" cm="1">
        <f t="array" ref="E411">_xlfn.IFERROR(SUM('Direct Costs 2026'!$C$4:$C$5)*D411,"N/A")</f>
        <v>N/A</v>
      </c>
      <c r="F411" s="480" cm="1">
        <f t="array" ref="F411">_xlfn.IFERROR('Direct Costs 2026'!$C$43*B411,"N/A")</f>
        <v>0</v>
      </c>
      <c r="G411" t="str" s="482" cm="1">
        <f t="array" ref="G411">IF(B411&gt;0,'Direct Costs 2026'!$C$25,"N/A")</f>
        <v>N/A</v>
      </c>
      <c r="H411" t="str" s="482" cm="1">
        <f t="array" ref="H411">IF(B411&gt;0,'Direct Costs 2026'!$C$15+'Direct Costs 2026'!$C$14,"N/A")</f>
        <v>N/A</v>
      </c>
      <c r="I411" s="480">
        <v>0</v>
      </c>
      <c r="J411" s="480">
        <v>0</v>
      </c>
      <c r="K411" t="str" s="482" cm="1">
        <f t="array" ref="K411">IF(B411&gt;0,'Direct Costs 2026'!$C$26,"N/A")</f>
        <v>N/A</v>
      </c>
      <c r="L411" t="str" s="482" cm="1">
        <f t="array" ref="L411">IF(B411&gt;0,'Direct Costs 2026'!$C$23,"N/A")</f>
        <v>N/A</v>
      </c>
      <c r="M411" t="str" s="482" cm="1">
        <f t="array" ref="M411">IF(B411&gt;0,'Direct Costs 2026'!$C$45*B411,"N/A")</f>
        <v>N/A</v>
      </c>
      <c r="N411" t="str" s="482" cm="1">
        <f t="array" ref="N411">IF(B411&gt;0,_xlfn.IFERROR(VLOOKUP(C395,'Boats Data Sheet 2026'!$C$3:$I$57,7,0)*'Direct Costs 2026'!$C$36,"N/A"),"N/A")</f>
        <v>N/A</v>
      </c>
      <c r="O411" t="str" s="482" cm="1">
        <f t="array" ref="O411">IF(B411&gt;0,IF(OR(VLOOKUP(C395,'Boats Data Sheet 2026'!$C$3:$F$57,4,0)="Own",VLOOKUP(C395,'Boats Data Sheet 2026'!$C$3:$F$57,4,0)="Management"),('Direct Costs 2026'!$C$37+'Direct Costs 2026'!$C$39),"N/A"),"N/A")</f>
        <v>N/A</v>
      </c>
      <c r="P411" t="str" s="482" cm="1">
        <f t="array" ref="P411">_xlfn.IFERROR('Direct Costs 2026'!$C$27*C411,"N/A")</f>
        <v>N/A</v>
      </c>
      <c r="Q411" t="str" s="482" cm="1">
        <f t="array" ref="Q411">_xlfn.IFERROR(C411+SUM(E411:P411),"N/A")</f>
        <v>N/A</v>
      </c>
      <c r="R411" s="483"/>
      <c r="S411" t="str" s="482" cm="1">
        <f t="array" ref="S411">IF(B411&gt;0,'Allocation OH and Target 2026'!$E$31,"N/A")</f>
        <v>N/A</v>
      </c>
      <c r="T411" t="str" s="482" cm="1">
        <f t="array" ref="T411">IF(B411&gt;0,VLOOKUP(C395,'Allocation OH and Target 2026'!$C$35:$S$87,16,0),"N/A")</f>
        <v>N/A</v>
      </c>
      <c r="U411" t="str" s="482" cm="1">
        <f t="array" ref="U411">_xlfn.IFERROR((S411+T411),"N/A")</f>
        <v>N/A</v>
      </c>
      <c r="V411" s="483"/>
      <c r="W411" t="str" s="482" cm="1">
        <f t="array" ref="W411">_xlfn.IFERROR(U411+Q411,"N/A")</f>
        <v>N/A</v>
      </c>
      <c r="X411" t="str" s="482" cm="1">
        <f t="array" ref="X411">_xlfn.IFERROR(W411*0.5%,"N/A")</f>
        <v>N/A</v>
      </c>
      <c r="Y411" t="str" s="482" cm="1">
        <f t="array" ref="Y411">_xlfn.IFERROR(W411*25%,"N/A")</f>
        <v>N/A</v>
      </c>
      <c r="Z411" t="str" s="485" cm="1">
        <f t="array" ref="Z411">IF(B411&gt;0,SUM(W411:Y411),"N/A")</f>
        <v>N/A</v>
      </c>
      <c r="AA411" t="str" s="485" cm="1">
        <f t="array" ref="AA411">_xlfn.IFERROR((Z411-AVERAGE(Z398:Z403)),"N/A")</f>
        <v>N/A</v>
      </c>
      <c r="AB411" s="483"/>
      <c r="AC411" t="str" s="485" cm="1">
        <f t="array" ref="AC411">IF(B411=6,AVERAGE(Z398:Z403),"N/A")</f>
        <v>N/A</v>
      </c>
      <c r="AD411" s="483"/>
      <c r="AE411" s="480"/>
      <c r="AF411" s="480"/>
      <c r="AG411" s="480"/>
      <c r="AH411" s="480"/>
      <c r="AI411" s="480"/>
      <c r="AJ411" s="480"/>
      <c r="AK411" s="480"/>
      <c r="AL411" s="480"/>
      <c r="AM411" s="480"/>
      <c r="AN411" s="486"/>
    </row>
    <row r="412" ht="15" customHeight="1" hidden="1">
      <c r="A412" s="12"/>
      <c r="B412" s="479" cm="1">
        <f t="array" ref="B412">IF(B411=0,0,IF(B411&lt;VLOOKUP(C395,'Boats Data Sheet 2026'!$C$3:$H$57,6,0),B411+1,0))</f>
        <v>0</v>
      </c>
      <c r="C412" t="str" s="482" cm="1">
        <f t="array" ref="C412">IF(B412&gt;0,IF(VLOOKUP(C395,'Boats Data Sheet 2026'!$C$3:$J$57,8,0)="N/A",0,VLOOKUP(C395,'Boats Data Sheet 2026'!$C$3:$J$57,8,0)),"N/A")</f>
        <v>N/A</v>
      </c>
      <c r="D412" t="str" s="482" cm="1">
        <f t="array" ref="D412">IF(B412&gt;7,2,IF(B412=0,"N/A",1))</f>
        <v>N/A</v>
      </c>
      <c r="E412" t="str" s="482" cm="1">
        <f t="array" ref="E412">_xlfn.IFERROR(SUM('Direct Costs 2026'!$C$4:$C$5)*D412,"N/A")</f>
        <v>N/A</v>
      </c>
      <c r="F412" s="480" cm="1">
        <f t="array" ref="F412">_xlfn.IFERROR('Direct Costs 2026'!$C$43*B412,"N/A")</f>
        <v>0</v>
      </c>
      <c r="G412" t="str" s="482" cm="1">
        <f t="array" ref="G412">IF(B412&gt;0,'Direct Costs 2026'!$C$25,"N/A")</f>
        <v>N/A</v>
      </c>
      <c r="H412" t="str" s="482" cm="1">
        <f t="array" ref="H412">IF(B412&gt;0,'Direct Costs 2026'!$C$15+'Direct Costs 2026'!$C$14,"N/A")</f>
        <v>N/A</v>
      </c>
      <c r="I412" s="480">
        <v>0</v>
      </c>
      <c r="J412" s="480">
        <v>0</v>
      </c>
      <c r="K412" t="str" s="482" cm="1">
        <f t="array" ref="K412">IF(B412&gt;0,'Direct Costs 2026'!$C$26,"N/A")</f>
        <v>N/A</v>
      </c>
      <c r="L412" t="str" s="482" cm="1">
        <f t="array" ref="L412">IF(B412&gt;0,'Direct Costs 2026'!$C$23,"N/A")</f>
        <v>N/A</v>
      </c>
      <c r="M412" t="str" s="482" cm="1">
        <f t="array" ref="M412">IF(B412&gt;0,'Direct Costs 2026'!$C$45*B412,"N/A")</f>
        <v>N/A</v>
      </c>
      <c r="N412" t="str" s="482" cm="1">
        <f t="array" ref="N412">IF(B412&gt;0,_xlfn.IFERROR(VLOOKUP(C395,'Boats Data Sheet 2026'!$C$3:$I$57,7,0)*'Direct Costs 2026'!$C$36,"N/A"),"N/A")</f>
        <v>N/A</v>
      </c>
      <c r="O412" t="str" s="482" cm="1">
        <f t="array" ref="O412">IF(B412&gt;0,IF(OR(VLOOKUP(C395,'Boats Data Sheet 2026'!$C$3:$F$57,4,0)="Own",VLOOKUP(C395,'Boats Data Sheet 2026'!$C$3:$F$57,4,0)="Management"),('Direct Costs 2026'!$C$37+'Direct Costs 2026'!$C$39),"N/A"),"N/A")</f>
        <v>N/A</v>
      </c>
      <c r="P412" t="str" s="482" cm="1">
        <f t="array" ref="P412">_xlfn.IFERROR('Direct Costs 2026'!$C$27*C412,"N/A")</f>
        <v>N/A</v>
      </c>
      <c r="Q412" t="str" s="482" cm="1">
        <f t="array" ref="Q412">_xlfn.IFERROR(C412+SUM(E412:P412),"N/A")</f>
        <v>N/A</v>
      </c>
      <c r="R412" s="483"/>
      <c r="S412" t="str" s="482" cm="1">
        <f t="array" ref="S412">IF(B412&gt;0,'Allocation OH and Target 2026'!$E$31,"N/A")</f>
        <v>N/A</v>
      </c>
      <c r="T412" t="str" s="482" cm="1">
        <f t="array" ref="T412">IF(B412&gt;0,VLOOKUP(C395,'Allocation OH and Target 2026'!$C$35:$S$87,16,0),"N/A")</f>
        <v>N/A</v>
      </c>
      <c r="U412" t="str" s="482" cm="1">
        <f t="array" ref="U412">_xlfn.IFERROR((S412+T412),"N/A")</f>
        <v>N/A</v>
      </c>
      <c r="V412" s="483"/>
      <c r="W412" t="str" s="482" cm="1">
        <f t="array" ref="W412">_xlfn.IFERROR(U412+Q412,"N/A")</f>
        <v>N/A</v>
      </c>
      <c r="X412" t="str" s="482" cm="1">
        <f t="array" ref="X412">_xlfn.IFERROR(W412*0.5%,"N/A")</f>
        <v>N/A</v>
      </c>
      <c r="Y412" t="str" s="482" cm="1">
        <f t="array" ref="Y412">_xlfn.IFERROR(W412*25%,"N/A")</f>
        <v>N/A</v>
      </c>
      <c r="Z412" t="str" s="485" cm="1">
        <f t="array" ref="Z412">IF(B412&gt;0,SUM(W412:Y412),"N/A")</f>
        <v>N/A</v>
      </c>
      <c r="AA412" t="str" s="485" cm="1">
        <f t="array" ref="AA412">_xlfn.IFERROR((Z412-AVERAGE(Z398:Z403)),"N/A")</f>
        <v>N/A</v>
      </c>
      <c r="AB412" s="483"/>
      <c r="AC412" t="str" s="485" cm="1">
        <f t="array" ref="AC412">IF(B412=6,AVERAGE(Z398:Z403),"N/A")</f>
        <v>N/A</v>
      </c>
      <c r="AD412" s="483"/>
      <c r="AE412" s="480"/>
      <c r="AF412" s="480"/>
      <c r="AG412" s="480"/>
      <c r="AH412" s="480"/>
      <c r="AI412" s="480"/>
      <c r="AJ412" s="480"/>
      <c r="AK412" s="480"/>
      <c r="AL412" s="480"/>
      <c r="AM412" s="480"/>
      <c r="AN412" s="486"/>
    </row>
    <row r="413" ht="15" customHeight="1" hidden="1">
      <c r="A413" s="12"/>
      <c r="B413" s="479" cm="1">
        <f t="array" ref="B413">IF(B412=0,0,IF(B412&lt;VLOOKUP(C395,'Boats Data Sheet 2026'!$C$3:$H$57,6,0),B412+1,0))</f>
        <v>0</v>
      </c>
      <c r="C413" t="str" s="482" cm="1">
        <f t="array" ref="C413">IF(B413&gt;0,IF(VLOOKUP(C395,'Boats Data Sheet 2026'!$C$3:$J$57,8,0)="N/A",0,VLOOKUP(C395,'Boats Data Sheet 2026'!$C$3:$J$57,8,0)),"N/A")</f>
        <v>N/A</v>
      </c>
      <c r="D413" t="str" s="482" cm="1">
        <f t="array" ref="D413">IF(B413&gt;7,2,IF(B413=0,"N/A",1))</f>
        <v>N/A</v>
      </c>
      <c r="E413" t="str" s="482" cm="1">
        <f t="array" ref="E413">_xlfn.IFERROR(SUM('Direct Costs 2026'!$C$4:$C$5)*D413,"N/A")</f>
        <v>N/A</v>
      </c>
      <c r="F413" s="480" cm="1">
        <f t="array" ref="F413">_xlfn.IFERROR('Direct Costs 2026'!$C$43*B413,"N/A")</f>
        <v>0</v>
      </c>
      <c r="G413" t="str" s="482" cm="1">
        <f t="array" ref="G413">IF(B413&gt;0,'Direct Costs 2026'!$C$25,"N/A")</f>
        <v>N/A</v>
      </c>
      <c r="H413" t="str" s="482" cm="1">
        <f t="array" ref="H413">IF(B413&gt;0,'Direct Costs 2026'!$C$15+'Direct Costs 2026'!$C$14,"N/A")</f>
        <v>N/A</v>
      </c>
      <c r="I413" s="480">
        <v>0</v>
      </c>
      <c r="J413" s="480">
        <v>0</v>
      </c>
      <c r="K413" t="str" s="482" cm="1">
        <f t="array" ref="K413">IF(B413&gt;0,'Direct Costs 2026'!$C$26,"N/A")</f>
        <v>N/A</v>
      </c>
      <c r="L413" t="str" s="482" cm="1">
        <f t="array" ref="L413">IF(B413&gt;0,'Direct Costs 2026'!$C$23,"N/A")</f>
        <v>N/A</v>
      </c>
      <c r="M413" t="str" s="482" cm="1">
        <f t="array" ref="M413">IF(B413&gt;0,'Direct Costs 2026'!$C$45*B413,"N/A")</f>
        <v>N/A</v>
      </c>
      <c r="N413" t="str" s="482" cm="1">
        <f t="array" ref="N413">IF(B413&gt;0,_xlfn.IFERROR(VLOOKUP(C395,'Boats Data Sheet 2026'!$C$3:$I$57,7,0)*'Direct Costs 2026'!$C$36,"N/A"),"N/A")</f>
        <v>N/A</v>
      </c>
      <c r="O413" t="str" s="482" cm="1">
        <f t="array" ref="O413">IF(B413&gt;0,IF(OR(VLOOKUP(C395,'Boats Data Sheet 2026'!$C$3:$F$57,4,0)="Own",VLOOKUP(C395,'Boats Data Sheet 2026'!$C$3:$F$57,4,0)="Management"),('Direct Costs 2026'!$C$37+'Direct Costs 2026'!$C$39),"N/A"),"N/A")</f>
        <v>N/A</v>
      </c>
      <c r="P413" t="str" s="482" cm="1">
        <f t="array" ref="P413">_xlfn.IFERROR('Direct Costs 2026'!$C$27*C413,"N/A")</f>
        <v>N/A</v>
      </c>
      <c r="Q413" t="str" s="482" cm="1">
        <f t="array" ref="Q413">_xlfn.IFERROR(C413+SUM(E413:P413),"N/A")</f>
        <v>N/A</v>
      </c>
      <c r="R413" s="483"/>
      <c r="S413" t="str" s="482" cm="1">
        <f t="array" ref="S413">IF(B413&gt;0,'Allocation OH and Target 2026'!$E$31,"N/A")</f>
        <v>N/A</v>
      </c>
      <c r="T413" t="str" s="482" cm="1">
        <f t="array" ref="T413">IF(B413&gt;0,VLOOKUP(C395,'Allocation OH and Target 2026'!$C$35:$S$87,16,0),"N/A")</f>
        <v>N/A</v>
      </c>
      <c r="U413" t="str" s="482" cm="1">
        <f t="array" ref="U413">_xlfn.IFERROR((S413+T413),"N/A")</f>
        <v>N/A</v>
      </c>
      <c r="V413" s="483"/>
      <c r="W413" t="str" s="482" cm="1">
        <f t="array" ref="W413">_xlfn.IFERROR(U413+Q413,"N/A")</f>
        <v>N/A</v>
      </c>
      <c r="X413" t="str" s="482" cm="1">
        <f t="array" ref="X413">_xlfn.IFERROR(W413*0.5%,"N/A")</f>
        <v>N/A</v>
      </c>
      <c r="Y413" t="str" s="482" cm="1">
        <f t="array" ref="Y413">_xlfn.IFERROR(W413*25%,"N/A")</f>
        <v>N/A</v>
      </c>
      <c r="Z413" t="str" s="485" cm="1">
        <f t="array" ref="Z413">IF(B413&gt;0,SUM(W413:Y413),"N/A")</f>
        <v>N/A</v>
      </c>
      <c r="AA413" t="str" s="485" cm="1">
        <f t="array" ref="AA413">_xlfn.IFERROR((Z413-AVERAGE(Z398:Z403)),"N/A")</f>
        <v>N/A</v>
      </c>
      <c r="AB413" s="483"/>
      <c r="AC413" t="str" s="485" cm="1">
        <f t="array" ref="AC413">IF(B413=6,AVERAGE(Z398:Z403),"N/A")</f>
        <v>N/A</v>
      </c>
      <c r="AD413" s="483"/>
      <c r="AE413" s="480"/>
      <c r="AF413" s="480"/>
      <c r="AG413" s="480"/>
      <c r="AH413" s="480"/>
      <c r="AI413" s="480"/>
      <c r="AJ413" s="480"/>
      <c r="AK413" s="480"/>
      <c r="AL413" s="480"/>
      <c r="AM413" s="480"/>
      <c r="AN413" s="486"/>
    </row>
    <row r="414" ht="15" customHeight="1" hidden="1">
      <c r="A414" s="12"/>
      <c r="B414" s="479" cm="1">
        <f t="array" ref="B414">IF(B413=0,0,IF(B413&lt;VLOOKUP(C395,'Boats Data Sheet 2026'!$C$3:$H$57,6,0),B413+1,0))</f>
        <v>0</v>
      </c>
      <c r="C414" t="str" s="482" cm="1">
        <f t="array" ref="C414">IF(B414&gt;0,IF(VLOOKUP(C395,'Boats Data Sheet 2026'!$C$3:$J$57,8,0)="N/A",0,VLOOKUP(C395,'Boats Data Sheet 2026'!$C$3:$J$57,8,0)),"N/A")</f>
        <v>N/A</v>
      </c>
      <c r="D414" t="str" s="482" cm="1">
        <f t="array" ref="D414">IF(B414&gt;7,2,IF(B414=0,"N/A",1))</f>
        <v>N/A</v>
      </c>
      <c r="E414" t="str" s="482" cm="1">
        <f t="array" ref="E414">_xlfn.IFERROR(SUM('Direct Costs 2026'!$C$4:$C$5)*D414,"N/A")</f>
        <v>N/A</v>
      </c>
      <c r="F414" s="480" cm="1">
        <f t="array" ref="F414">_xlfn.IFERROR('Direct Costs 2026'!$C$43*B414,"N/A")</f>
        <v>0</v>
      </c>
      <c r="G414" t="str" s="482" cm="1">
        <f t="array" ref="G414">IF(B414&gt;0,'Direct Costs 2026'!$C$25,"N/A")</f>
        <v>N/A</v>
      </c>
      <c r="H414" t="str" s="482" cm="1">
        <f t="array" ref="H414">IF(B414&gt;0,'Direct Costs 2026'!$C$15+'Direct Costs 2026'!$C$14,"N/A")</f>
        <v>N/A</v>
      </c>
      <c r="I414" s="480">
        <v>0</v>
      </c>
      <c r="J414" s="480">
        <v>0</v>
      </c>
      <c r="K414" t="str" s="482" cm="1">
        <f t="array" ref="K414">IF(B414&gt;0,'Direct Costs 2026'!$C$26,"N/A")</f>
        <v>N/A</v>
      </c>
      <c r="L414" t="str" s="482" cm="1">
        <f t="array" ref="L414">IF(B414&gt;0,'Direct Costs 2026'!$C$23,"N/A")</f>
        <v>N/A</v>
      </c>
      <c r="M414" t="str" s="482" cm="1">
        <f t="array" ref="M414">IF(B414&gt;0,'Direct Costs 2026'!$C$45*B414,"N/A")</f>
        <v>N/A</v>
      </c>
      <c r="N414" t="str" s="482" cm="1">
        <f t="array" ref="N414">IF(B414&gt;0,_xlfn.IFERROR(VLOOKUP(C395,'Boats Data Sheet 2026'!$C$3:$I$57,7,0)*'Direct Costs 2026'!$C$36,"N/A"),"N/A")</f>
        <v>N/A</v>
      </c>
      <c r="O414" t="str" s="482" cm="1">
        <f t="array" ref="O414">IF(B414&gt;0,IF(OR(VLOOKUP(C395,'Boats Data Sheet 2026'!$C$3:$F$57,4,0)="Own",VLOOKUP(C395,'Boats Data Sheet 2026'!$C$3:$F$57,4,0)="Management"),('Direct Costs 2026'!$C$37+'Direct Costs 2026'!$C$39),"N/A"),"N/A")</f>
        <v>N/A</v>
      </c>
      <c r="P414" t="str" s="482" cm="1">
        <f t="array" ref="P414">_xlfn.IFERROR('Direct Costs 2026'!$C$27*C414,"N/A")</f>
        <v>N/A</v>
      </c>
      <c r="Q414" t="str" s="482" cm="1">
        <f t="array" ref="Q414">_xlfn.IFERROR(C414+SUM(E414:P414),"N/A")</f>
        <v>N/A</v>
      </c>
      <c r="R414" s="483"/>
      <c r="S414" t="str" s="482" cm="1">
        <f t="array" ref="S414">IF(B414&gt;0,'Allocation OH and Target 2026'!$E$31,"N/A")</f>
        <v>N/A</v>
      </c>
      <c r="T414" t="str" s="482" cm="1">
        <f t="array" ref="T414">IF(B414&gt;0,VLOOKUP(C395,'Allocation OH and Target 2026'!$C$35:$S$87,16,0),"N/A")</f>
        <v>N/A</v>
      </c>
      <c r="U414" t="str" s="482" cm="1">
        <f t="array" ref="U414">_xlfn.IFERROR((S414+T414),"N/A")</f>
        <v>N/A</v>
      </c>
      <c r="V414" s="483"/>
      <c r="W414" t="str" s="482" cm="1">
        <f t="array" ref="W414">_xlfn.IFERROR(U414+Q414,"N/A")</f>
        <v>N/A</v>
      </c>
      <c r="X414" t="str" s="482" cm="1">
        <f t="array" ref="X414">_xlfn.IFERROR(W414*0.5%,"N/A")</f>
        <v>N/A</v>
      </c>
      <c r="Y414" t="str" s="482" cm="1">
        <f t="array" ref="Y414">_xlfn.IFERROR(W414*25%,"N/A")</f>
        <v>N/A</v>
      </c>
      <c r="Z414" t="str" s="485" cm="1">
        <f t="array" ref="Z414">IF(B414&gt;0,SUM(W414:Y414),"N/A")</f>
        <v>N/A</v>
      </c>
      <c r="AA414" t="str" s="485" cm="1">
        <f t="array" ref="AA414">_xlfn.IFERROR((Z414-AVERAGE(Z398:Z403)),"N/A")</f>
        <v>N/A</v>
      </c>
      <c r="AB414" s="483"/>
      <c r="AC414" t="str" s="485" cm="1">
        <f t="array" ref="AC414">IF(B414=6,AVERAGE(Z398:Z403),"N/A")</f>
        <v>N/A</v>
      </c>
      <c r="AD414" s="483"/>
      <c r="AE414" s="480"/>
      <c r="AF414" s="480"/>
      <c r="AG414" s="480"/>
      <c r="AH414" s="480"/>
      <c r="AI414" s="480"/>
      <c r="AJ414" s="480"/>
      <c r="AK414" s="480"/>
      <c r="AL414" s="480"/>
      <c r="AM414" s="480"/>
      <c r="AN414" s="486"/>
    </row>
    <row r="415" ht="15.5" customHeight="1" hidden="1">
      <c r="A415" s="12"/>
      <c r="B415" s="479" cm="1">
        <f t="array" ref="B415">IF(B414=0,0,IF(B414&lt;VLOOKUP(C395,'Boats Data Sheet 2026'!$C$3:$H$57,6,0),B414+1,0))</f>
        <v>0</v>
      </c>
      <c r="C415" t="str" s="482" cm="1">
        <f t="array" ref="C415">IF(B415&gt;0,IF(VLOOKUP(C395,'Boats Data Sheet 2026'!$C$3:$J$57,8,0)="N/A",0,VLOOKUP(C395,'Boats Data Sheet 2026'!$C$3:$J$57,8,0)),"N/A")</f>
        <v>N/A</v>
      </c>
      <c r="D415" t="str" s="482" cm="1">
        <f t="array" ref="D415">IF(B415&gt;7,2,IF(B415=0,"N/A",1))</f>
        <v>N/A</v>
      </c>
      <c r="E415" t="str" s="482" cm="1">
        <f t="array" ref="E415">_xlfn.IFERROR(SUM('Direct Costs 2026'!$C$4:$C$5)*D415,"N/A")</f>
        <v>N/A</v>
      </c>
      <c r="F415" s="480" cm="1">
        <f t="array" ref="F415">_xlfn.IFERROR('Direct Costs 2026'!$C$43*B415,"N/A")</f>
        <v>0</v>
      </c>
      <c r="G415" t="str" s="482" cm="1">
        <f t="array" ref="G415">IF(B415&gt;0,'Direct Costs 2026'!$C$25,"N/A")</f>
        <v>N/A</v>
      </c>
      <c r="H415" t="str" s="482" cm="1">
        <f t="array" ref="H415">IF(B415&gt;0,'Direct Costs 2026'!$C$15+'Direct Costs 2026'!$C$14,"N/A")</f>
        <v>N/A</v>
      </c>
      <c r="I415" s="480">
        <v>0</v>
      </c>
      <c r="J415" s="480">
        <v>0</v>
      </c>
      <c r="K415" t="str" s="482" cm="1">
        <f t="array" ref="K415">IF(B415&gt;0,'Direct Costs 2026'!$C$26,"N/A")</f>
        <v>N/A</v>
      </c>
      <c r="L415" t="str" s="482" cm="1">
        <f t="array" ref="L415">IF(B415&gt;0,'Direct Costs 2026'!$C$23,"N/A")</f>
        <v>N/A</v>
      </c>
      <c r="M415" t="str" s="482" cm="1">
        <f t="array" ref="M415">IF(B415&gt;0,'Direct Costs 2026'!$C$45*B415,"N/A")</f>
        <v>N/A</v>
      </c>
      <c r="N415" t="str" s="482" cm="1">
        <f t="array" ref="N415">IF(B415&gt;0,_xlfn.IFERROR(VLOOKUP(C395,'Boats Data Sheet 2026'!$C$3:$I$57,7,0)*'Direct Costs 2026'!$C$36,"N/A"),"N/A")</f>
        <v>N/A</v>
      </c>
      <c r="O415" t="str" s="482" cm="1">
        <f t="array" ref="O415">IF(B415&gt;0,IF(OR(VLOOKUP(C395,'Boats Data Sheet 2026'!$C$3:$F$57,4,0)="Own",VLOOKUP(C395,'Boats Data Sheet 2026'!$C$3:$F$57,4,0)="Management"),('Direct Costs 2026'!$C$37+'Direct Costs 2026'!$C$39),"N/A"),"N/A")</f>
        <v>N/A</v>
      </c>
      <c r="P415" t="str" s="482" cm="1">
        <f t="array" ref="P415">_xlfn.IFERROR('Direct Costs 2026'!$C$27*C415,"N/A")</f>
        <v>N/A</v>
      </c>
      <c r="Q415" t="str" s="482" cm="1">
        <f t="array" ref="Q415">_xlfn.IFERROR(C415+SUM(E415:P415),"N/A")</f>
        <v>N/A</v>
      </c>
      <c r="R415" s="483"/>
      <c r="S415" t="str" s="482" cm="1">
        <f t="array" ref="S415">IF(B415&gt;0,'Allocation OH and Target 2026'!$E$31,"N/A")</f>
        <v>N/A</v>
      </c>
      <c r="T415" t="str" s="482" cm="1">
        <f t="array" ref="T415">IF(B415&gt;0,VLOOKUP(C395,'Allocation OH and Target 2026'!$C$35:$S$87,16,0),"N/A")</f>
        <v>N/A</v>
      </c>
      <c r="U415" t="str" s="482" cm="1">
        <f t="array" ref="U415">_xlfn.IFERROR((S415+T415),"N/A")</f>
        <v>N/A</v>
      </c>
      <c r="V415" s="483"/>
      <c r="W415" t="str" s="482" cm="1">
        <f t="array" ref="W415">_xlfn.IFERROR(U415+Q415,"N/A")</f>
        <v>N/A</v>
      </c>
      <c r="X415" t="str" s="482" cm="1">
        <f t="array" ref="X415">_xlfn.IFERROR(W415*0.5%,"N/A")</f>
        <v>N/A</v>
      </c>
      <c r="Y415" t="str" s="482" cm="1">
        <f t="array" ref="Y415">_xlfn.IFERROR(W415*25%,"N/A")</f>
        <v>N/A</v>
      </c>
      <c r="Z415" t="str" s="485" cm="1">
        <f t="array" ref="Z415">IF(B415&gt;0,SUM(W415:Y415),"N/A")</f>
        <v>N/A</v>
      </c>
      <c r="AA415" t="str" s="485" cm="1">
        <f t="array" ref="AA415">_xlfn.IFERROR((Z415-AVERAGE(Z398:Z403)),"N/A")</f>
        <v>N/A</v>
      </c>
      <c r="AB415" s="483"/>
      <c r="AC415" t="str" s="485" cm="1">
        <f t="array" ref="AC415">IF(B415=6,AVERAGE(Z398:Z403),"N/A")</f>
        <v>N/A</v>
      </c>
      <c r="AD415" s="483"/>
      <c r="AE415" s="480"/>
      <c r="AF415" s="480"/>
      <c r="AG415" s="480"/>
      <c r="AH415" s="480"/>
      <c r="AI415" s="480"/>
      <c r="AJ415" s="480"/>
      <c r="AK415" s="480"/>
      <c r="AL415" s="480"/>
      <c r="AM415" s="480"/>
      <c r="AN415" s="486"/>
    </row>
    <row r="416" ht="14.05" customHeight="1">
      <c r="A416" s="32"/>
      <c r="B416" s="477"/>
      <c r="C416" s="477"/>
      <c r="D416" s="477"/>
      <c r="E416" s="477"/>
      <c r="F416" s="477"/>
      <c r="G416" s="477"/>
      <c r="H416" s="477"/>
      <c r="I416" s="477"/>
      <c r="J416" s="477"/>
      <c r="K416" s="477"/>
      <c r="L416" s="477"/>
      <c r="M416" s="477"/>
      <c r="N416" s="477"/>
      <c r="O416" s="477"/>
      <c r="P416" s="477"/>
      <c r="Q416" s="477"/>
      <c r="R416" s="477"/>
      <c r="S416" s="477"/>
      <c r="T416" s="477"/>
      <c r="U416" s="477"/>
      <c r="V416" s="477"/>
      <c r="W416" s="477"/>
      <c r="X416" s="477"/>
      <c r="Y416" s="477"/>
      <c r="Z416" s="477"/>
      <c r="AA416" s="477"/>
      <c r="AB416" s="477"/>
      <c r="AC416" s="477"/>
      <c r="AD416" s="477"/>
      <c r="AE416" s="477"/>
      <c r="AF416" s="477"/>
      <c r="AG416" s="477"/>
      <c r="AH416" s="477"/>
      <c r="AI416" s="477"/>
      <c r="AJ416" s="477"/>
      <c r="AK416" s="477"/>
      <c r="AL416" s="477"/>
      <c r="AM416" s="477"/>
      <c r="AN416" s="478"/>
    </row>
    <row r="417" ht="15" customHeight="1">
      <c r="A417" s="32"/>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442"/>
    </row>
    <row r="418" ht="15.5" customHeight="1">
      <c r="A418" s="395">
        <v>20</v>
      </c>
      <c r="B418" t="s" s="444">
        <v>506</v>
      </c>
      <c r="C418" t="s" s="445">
        <v>202</v>
      </c>
      <c r="D418" s="446"/>
      <c r="E418" t="s" s="447">
        <v>542</v>
      </c>
      <c r="F418" s="446"/>
      <c r="G418" s="446"/>
      <c r="H418" s="446"/>
      <c r="I418" s="446"/>
      <c r="J418" s="446"/>
      <c r="K418" s="446"/>
      <c r="L418" s="446"/>
      <c r="M418" s="446"/>
      <c r="N418" s="446"/>
      <c r="O418" s="446"/>
      <c r="P418" s="446"/>
      <c r="Q418" s="446"/>
      <c r="R418" s="446"/>
      <c r="S418" s="446"/>
      <c r="T418" s="446"/>
      <c r="U418" s="446"/>
      <c r="V418" s="446"/>
      <c r="W418" s="446"/>
      <c r="X418" s="446"/>
      <c r="Y418" s="446"/>
      <c r="Z418" s="446"/>
      <c r="AA418" s="446"/>
      <c r="AB418" s="446"/>
      <c r="AC418" s="446"/>
      <c r="AD418" s="446"/>
      <c r="AE418" t="s" s="445">
        <v>508</v>
      </c>
      <c r="AF418" s="448" cm="1">
        <f t="array" ref="AF418">AVERAGE(Q421:Q426)</f>
        <v>13121500</v>
      </c>
      <c r="AG418" t="s" s="449">
        <v>509</v>
      </c>
      <c r="AH418" s="448" cm="1">
        <f t="array" ref="AH418">AVERAGE(Q427:Q434)-AF418</f>
        <v>1665583.33333333</v>
      </c>
      <c r="AI418" t="s" s="449">
        <v>510</v>
      </c>
      <c r="AJ418" s="448" cm="1">
        <f t="array" ref="AJ418">AVERAGE(Y421:Y428)</f>
        <v>4121846.16442453</v>
      </c>
      <c r="AK418" t="s" s="445">
        <v>511</v>
      </c>
      <c r="AL418" s="448" cm="1">
        <f t="array" ref="AL418">AVERAGE(W421:W426)</f>
        <v>16221947.1576981</v>
      </c>
      <c r="AM418" t="s" s="449">
        <v>512</v>
      </c>
      <c r="AN418" s="450" cm="1">
        <f t="array" ref="AN418">W421</f>
        <v>15831947.1576981</v>
      </c>
    </row>
    <row r="419" ht="15" customHeight="1">
      <c r="A419" s="12"/>
      <c r="B419" s="451"/>
      <c r="C419" t="s" s="452">
        <v>513</v>
      </c>
      <c r="D419" s="453"/>
      <c r="E419" s="453"/>
      <c r="F419" s="453"/>
      <c r="G419" s="453"/>
      <c r="H419" s="453"/>
      <c r="I419" s="453"/>
      <c r="J419" s="453"/>
      <c r="K419" s="453"/>
      <c r="L419" s="453"/>
      <c r="M419" s="453"/>
      <c r="N419" s="453"/>
      <c r="O419" s="453"/>
      <c r="P419" s="453"/>
      <c r="Q419" s="454"/>
      <c r="R419" s="455"/>
      <c r="S419" t="s" s="452">
        <v>514</v>
      </c>
      <c r="T419" s="453"/>
      <c r="U419" s="454"/>
      <c r="V419" s="455"/>
      <c r="W419" t="s" s="452">
        <v>515</v>
      </c>
      <c r="X419" s="453"/>
      <c r="Y419" s="453"/>
      <c r="Z419" s="453"/>
      <c r="AA419" s="453"/>
      <c r="AB419" s="456"/>
      <c r="AC419" s="457"/>
      <c r="AD419" s="457"/>
      <c r="AE419" s="457"/>
      <c r="AF419" s="457"/>
      <c r="AG419" s="457"/>
      <c r="AH419" s="457"/>
      <c r="AI419" s="457"/>
      <c r="AJ419" s="457"/>
      <c r="AK419" s="457"/>
      <c r="AL419" s="458"/>
      <c r="AM419" s="459"/>
      <c r="AN419" s="458"/>
    </row>
    <row r="420" ht="46.25" customHeight="1">
      <c r="A420" s="187"/>
      <c r="B420" t="s" s="460">
        <v>517</v>
      </c>
      <c r="C420" t="s" s="461">
        <v>518</v>
      </c>
      <c r="D420" t="s" s="461">
        <v>519</v>
      </c>
      <c r="E420" t="s" s="461">
        <v>520</v>
      </c>
      <c r="F420" t="s" s="461">
        <v>521</v>
      </c>
      <c r="G420" t="s" s="461">
        <v>522</v>
      </c>
      <c r="H420" t="s" s="461">
        <v>553</v>
      </c>
      <c r="I420" t="s" s="461">
        <v>524</v>
      </c>
      <c r="J420" t="s" s="461">
        <v>525</v>
      </c>
      <c r="K420" t="s" s="461">
        <v>526</v>
      </c>
      <c r="L420" t="s" s="461">
        <v>527</v>
      </c>
      <c r="M420" t="s" s="461">
        <v>528</v>
      </c>
      <c r="N420" t="s" s="461">
        <v>529</v>
      </c>
      <c r="O420" t="s" s="461">
        <v>530</v>
      </c>
      <c r="P420" t="s" s="461">
        <v>531</v>
      </c>
      <c r="Q420" t="s" s="461">
        <v>532</v>
      </c>
      <c r="R420" s="462"/>
      <c r="S420" t="s" s="461">
        <v>533</v>
      </c>
      <c r="T420" t="s" s="461">
        <v>534</v>
      </c>
      <c r="U420" t="s" s="461">
        <v>535</v>
      </c>
      <c r="V420" s="462"/>
      <c r="W420" t="s" s="461">
        <v>536</v>
      </c>
      <c r="X420" t="s" s="461">
        <v>537</v>
      </c>
      <c r="Y420" t="s" s="461">
        <v>538</v>
      </c>
      <c r="Z420" t="s" s="461">
        <v>539</v>
      </c>
      <c r="AA420" t="s" s="461">
        <v>121</v>
      </c>
      <c r="AB420" s="463"/>
      <c r="AC420" t="s" s="461">
        <v>39</v>
      </c>
      <c r="AD420" s="463"/>
      <c r="AE420" s="463"/>
      <c r="AF420" s="463"/>
      <c r="AG420" s="463"/>
      <c r="AH420" s="463"/>
      <c r="AI420" s="463"/>
      <c r="AJ420" s="463"/>
      <c r="AK420" s="463"/>
      <c r="AL420" s="463"/>
      <c r="AM420" s="463"/>
      <c r="AN420" s="464"/>
    </row>
    <row r="421" ht="15" customHeight="1" hidden="1">
      <c r="A421" s="12"/>
      <c r="B421" s="479">
        <v>1</v>
      </c>
      <c r="C421" s="480" cm="1">
        <f t="array" ref="C421">IF(B421&gt;0,IF(VLOOKUP(C418,'Boats Data Sheet 2026'!$C$3:$J$57,8,0)="N/A",0,VLOOKUP(C418,'Boats Data Sheet 2026'!$C$3:$J$57,8,0)),"N/A")</f>
        <v>11000000</v>
      </c>
      <c r="D421" s="481" cm="1">
        <f t="array" ref="D421">IF(B421&gt;7,2,IF(B421=0,"N/A",1))</f>
        <v>1</v>
      </c>
      <c r="E421" s="480" cm="1">
        <f t="array" ref="E421">_xlfn.IFERROR(SUM('Direct Costs 2026'!$C$4:$C$5)*D421,"N/A")</f>
        <v>875500</v>
      </c>
      <c r="F421" s="480" cm="1">
        <f t="array" ref="F421">_xlfn.IFERROR('Direct Costs 2026'!$C$43*B421,"N/A")</f>
        <v>6000</v>
      </c>
      <c r="G421" s="480" cm="1">
        <f t="array" ref="G421">IF(B421&gt;0,'Direct Costs 2026'!$C$25,"N/A")</f>
        <v>90000</v>
      </c>
      <c r="H421" s="480" cm="1">
        <f t="array" ref="H421">IF(B421&gt;0,'Direct Costs 2026'!$C$15+'Direct Costs 2026'!$C$14,"N/A")</f>
        <v>230000</v>
      </c>
      <c r="I421" s="480">
        <v>0</v>
      </c>
      <c r="J421" s="480">
        <v>0</v>
      </c>
      <c r="K421" s="480" cm="1">
        <f t="array" ref="K421">IF(B421&gt;0,'Direct Costs 2026'!$C$26,"N/A")</f>
        <v>20000</v>
      </c>
      <c r="L421" s="480" cm="1">
        <f t="array" ref="L421">IF(B421&gt;0,'Direct Costs 2026'!$C$23,"N/A")</f>
        <v>140000</v>
      </c>
      <c r="M421" s="480" cm="1">
        <f t="array" ref="M421">IF(B421&gt;0,'Direct Costs 2026'!$C$45*B421,"N/A")</f>
        <v>150000</v>
      </c>
      <c r="N421" t="str" s="482" cm="1">
        <f t="array" ref="N421">IF(B421&gt;0,_xlfn.IFERROR(VLOOKUP(C418,'Boats Data Sheet 2026'!$C$3:$I$57,7,0)*'Direct Costs 2026'!$C$36,"N/A"),"N/A")</f>
        <v>N/A</v>
      </c>
      <c r="O421" t="str" s="482" cm="1">
        <f t="array" ref="O421">IF(B421&gt;0,IF(OR(VLOOKUP(C418,'Boats Data Sheet 2026'!$C$3:$F$57,4,0)="Own",VLOOKUP(C418,'Boats Data Sheet 2026'!$C$3:$F$57,4,0)="Management"),('Direct Costs 2026'!$C$37+'Direct Costs 2026'!$C$39),"N/A"),"N/A")</f>
        <v>N/A</v>
      </c>
      <c r="P421" s="480" cm="1">
        <f t="array" ref="P421">_xlfn.IFERROR('Direct Costs 2026'!$C$27*C421,"N/A")</f>
        <v>220000</v>
      </c>
      <c r="Q421" s="480" cm="1">
        <f t="array" ref="Q421">_xlfn.IFERROR(C421+SUM(E421:P421),"N/A")</f>
        <v>12731500</v>
      </c>
      <c r="R421" s="483"/>
      <c r="S421" s="480" cm="1">
        <f t="array" ref="S421">IF(B421&gt;0,'Allocation OH and Target 2026'!$E$31,"N/A")</f>
        <v>3100447.15769812</v>
      </c>
      <c r="T421" s="480" cm="1">
        <f t="array" ref="T421">IF(B421&gt;0,VLOOKUP(C418,'Allocation OH and Target 2026'!$C$35:$S$87,16,0),"N/A")</f>
        <v>0</v>
      </c>
      <c r="U421" s="480" cm="1">
        <f t="array" ref="U421">_xlfn.IFERROR((S421+T421),"N/A")</f>
        <v>3100447.15769812</v>
      </c>
      <c r="V421" s="483"/>
      <c r="W421" s="480" cm="1">
        <f t="array" ref="W421">_xlfn.IFERROR(U421+Q421,"N/A")</f>
        <v>15831947.1576981</v>
      </c>
      <c r="X421" s="480" cm="1">
        <f t="array" ref="X421">_xlfn.IFERROR(W421*0.5%,"N/A")</f>
        <v>79159.735788490507</v>
      </c>
      <c r="Y421" s="480" cm="1">
        <f t="array" ref="Y421">_xlfn.IFERROR(W421*25%,"N/A")</f>
        <v>3957986.78942453</v>
      </c>
      <c r="Z421" s="484" cm="1">
        <f t="array" ref="Z421">IF(B421&gt;0,SUM(W421:Y421),"N/A")</f>
        <v>19869093.6829111</v>
      </c>
      <c r="AA421" s="484">
        <v>0</v>
      </c>
      <c r="AB421" s="483"/>
      <c r="AC421" t="str" s="485" cm="1">
        <f t="array" ref="AC421">IF(B421=6,AVERAGE(Z421:Z426),"N/A")</f>
        <v>N/A</v>
      </c>
      <c r="AD421" s="483"/>
      <c r="AE421" s="480"/>
      <c r="AF421" s="480"/>
      <c r="AG421" s="480"/>
      <c r="AH421" s="480"/>
      <c r="AI421" s="480"/>
      <c r="AJ421" s="480"/>
      <c r="AK421" s="480"/>
      <c r="AL421" s="480"/>
      <c r="AM421" s="480"/>
      <c r="AN421" s="486"/>
    </row>
    <row r="422" ht="15" customHeight="1" hidden="1">
      <c r="A422" s="12"/>
      <c r="B422" s="479" cm="1">
        <f t="array" ref="B422">IF(B421=0,0,IF(B421&lt;VLOOKUP(C418,'Boats Data Sheet 2026'!$C$3:$H$57,6,0),B421+1,0))</f>
        <v>2</v>
      </c>
      <c r="C422" s="480" cm="1">
        <f t="array" ref="C422">IF(B422&gt;0,IF(VLOOKUP(C418,'Boats Data Sheet 2026'!$C$3:$J$57,8,0)="N/A",0,VLOOKUP(C418,'Boats Data Sheet 2026'!$C$3:$J$57,8,0)),"N/A")</f>
        <v>11000000</v>
      </c>
      <c r="D422" s="481" cm="1">
        <f t="array" ref="D422">IF(B422&gt;7,2,IF(B422=0,"N/A",1))</f>
        <v>1</v>
      </c>
      <c r="E422" s="480" cm="1">
        <f t="array" ref="E422">_xlfn.IFERROR(SUM('Direct Costs 2026'!$C$4:$C$5)*D422,"N/A")</f>
        <v>875500</v>
      </c>
      <c r="F422" s="480" cm="1">
        <f t="array" ref="F422">_xlfn.IFERROR('Direct Costs 2026'!$C$43*B422,"N/A")</f>
        <v>12000</v>
      </c>
      <c r="G422" s="480" cm="1">
        <f t="array" ref="G422">IF(B422&gt;0,'Direct Costs 2026'!$C$25,"N/A")</f>
        <v>90000</v>
      </c>
      <c r="H422" s="480" cm="1">
        <f t="array" ref="H422">IF(B422&gt;0,'Direct Costs 2026'!$C$15+'Direct Costs 2026'!$C$14,"N/A")</f>
        <v>230000</v>
      </c>
      <c r="I422" s="480">
        <v>0</v>
      </c>
      <c r="J422" s="480">
        <v>0</v>
      </c>
      <c r="K422" s="480" cm="1">
        <f t="array" ref="K422">IF(B422&gt;0,'Direct Costs 2026'!$C$26,"N/A")</f>
        <v>20000</v>
      </c>
      <c r="L422" s="480" cm="1">
        <f t="array" ref="L422">IF(B422&gt;0,'Direct Costs 2026'!$C$23,"N/A")</f>
        <v>140000</v>
      </c>
      <c r="M422" s="480" cm="1">
        <f t="array" ref="M422">IF(B422&gt;0,'Direct Costs 2026'!$C$45*B422,"N/A")</f>
        <v>300000</v>
      </c>
      <c r="N422" t="str" s="482" cm="1">
        <f t="array" ref="N422">IF(B422&gt;0,_xlfn.IFERROR(VLOOKUP(C418,'Boats Data Sheet 2026'!$C$3:$I$57,7,0)*'Direct Costs 2026'!$C$36,"N/A"),"N/A")</f>
        <v>N/A</v>
      </c>
      <c r="O422" t="str" s="482" cm="1">
        <f t="array" ref="O422">IF(B422&gt;0,IF(OR(VLOOKUP(C418,'Boats Data Sheet 2026'!$C$3:$F$57,4,0)="Own",VLOOKUP(C418,'Boats Data Sheet 2026'!$C$3:$F$57,4,0)="Management"),('Direct Costs 2026'!$C$37+'Direct Costs 2026'!$C$39),"N/A"),"N/A")</f>
        <v>N/A</v>
      </c>
      <c r="P422" s="480" cm="1">
        <f t="array" ref="P422">_xlfn.IFERROR('Direct Costs 2026'!$C$27*C422,"N/A")</f>
        <v>220000</v>
      </c>
      <c r="Q422" s="480" cm="1">
        <f t="array" ref="Q422">_xlfn.IFERROR(C422+SUM(E422:P422),"N/A")</f>
        <v>12887500</v>
      </c>
      <c r="R422" s="483"/>
      <c r="S422" s="480" cm="1">
        <f t="array" ref="S422">IF(B422&gt;0,'Allocation OH and Target 2026'!$E$31,"N/A")</f>
        <v>3100447.15769812</v>
      </c>
      <c r="T422" s="480" cm="1">
        <f t="array" ref="T422">IF(B422&gt;0,VLOOKUP(C418,'Allocation OH and Target 2026'!$C$35:$S$87,16,0),"N/A")</f>
        <v>0</v>
      </c>
      <c r="U422" s="480" cm="1">
        <f t="array" ref="U422">_xlfn.IFERROR((S422+T422),"N/A")</f>
        <v>3100447.15769812</v>
      </c>
      <c r="V422" s="483"/>
      <c r="W422" s="480" cm="1">
        <f t="array" ref="W422">_xlfn.IFERROR(U422+Q422,"N/A")</f>
        <v>15987947.1576981</v>
      </c>
      <c r="X422" s="480" cm="1">
        <f t="array" ref="X422">_xlfn.IFERROR(W422*0.5%,"N/A")</f>
        <v>79939.735788490507</v>
      </c>
      <c r="Y422" s="480" cm="1">
        <f t="array" ref="Y422">_xlfn.IFERROR(W422*25%,"N/A")</f>
        <v>3996986.78942453</v>
      </c>
      <c r="Z422" s="484" cm="1">
        <f t="array" ref="Z422">IF(B422&gt;0,SUM(W422:Y422),"N/A")</f>
        <v>20064873.6829111</v>
      </c>
      <c r="AA422" s="484">
        <v>0</v>
      </c>
      <c r="AB422" s="483"/>
      <c r="AC422" t="str" s="485" cm="1">
        <f t="array" ref="AC422">IF(B422=6,AVERAGE(Z421:Z426),"N/A")</f>
        <v>N/A</v>
      </c>
      <c r="AD422" s="483"/>
      <c r="AE422" s="480"/>
      <c r="AF422" s="480"/>
      <c r="AG422" s="480"/>
      <c r="AH422" s="480"/>
      <c r="AI422" s="480"/>
      <c r="AJ422" s="480"/>
      <c r="AK422" s="480"/>
      <c r="AL422" s="480"/>
      <c r="AM422" s="480"/>
      <c r="AN422" s="486"/>
    </row>
    <row r="423" ht="15" customHeight="1" hidden="1">
      <c r="A423" s="12"/>
      <c r="B423" s="479" cm="1">
        <f t="array" ref="B423">IF(B422=0,0,IF(B422&lt;VLOOKUP(C418,'Boats Data Sheet 2026'!$C$3:$H$57,6,0),B422+1,0))</f>
        <v>3</v>
      </c>
      <c r="C423" s="480" cm="1">
        <f t="array" ref="C423">IF(B423&gt;0,IF(VLOOKUP(C418,'Boats Data Sheet 2026'!$C$3:$J$57,8,0)="N/A",0,VLOOKUP(C418,'Boats Data Sheet 2026'!$C$3:$J$57,8,0)),"N/A")</f>
        <v>11000000</v>
      </c>
      <c r="D423" s="481" cm="1">
        <f t="array" ref="D423">IF(B423&gt;7,2,IF(B423=0,"N/A",1))</f>
        <v>1</v>
      </c>
      <c r="E423" s="480" cm="1">
        <f t="array" ref="E423">_xlfn.IFERROR(SUM('Direct Costs 2026'!$C$4:$C$5)*D423,"N/A")</f>
        <v>875500</v>
      </c>
      <c r="F423" s="480" cm="1">
        <f t="array" ref="F423">_xlfn.IFERROR('Direct Costs 2026'!$C$43*B423,"N/A")</f>
        <v>18000</v>
      </c>
      <c r="G423" s="480" cm="1">
        <f t="array" ref="G423">IF(B423&gt;0,'Direct Costs 2026'!$C$25,"N/A")</f>
        <v>90000</v>
      </c>
      <c r="H423" s="480" cm="1">
        <f t="array" ref="H423">IF(B423&gt;0,'Direct Costs 2026'!$C$15+'Direct Costs 2026'!$C$14,"N/A")</f>
        <v>230000</v>
      </c>
      <c r="I423" s="480">
        <v>0</v>
      </c>
      <c r="J423" s="480">
        <v>0</v>
      </c>
      <c r="K423" s="480" cm="1">
        <f t="array" ref="K423">IF(B423&gt;0,'Direct Costs 2026'!$C$26,"N/A")</f>
        <v>20000</v>
      </c>
      <c r="L423" s="480" cm="1">
        <f t="array" ref="L423">IF(B423&gt;0,'Direct Costs 2026'!$C$23,"N/A")</f>
        <v>140000</v>
      </c>
      <c r="M423" s="480" cm="1">
        <f t="array" ref="M423">IF(B423&gt;0,'Direct Costs 2026'!$C$45*B423,"N/A")</f>
        <v>450000</v>
      </c>
      <c r="N423" t="str" s="482" cm="1">
        <f t="array" ref="N423">IF(B423&gt;0,_xlfn.IFERROR(VLOOKUP(C418,'Boats Data Sheet 2026'!$C$3:$I$57,7,0)*'Direct Costs 2026'!$C$36,"N/A"),"N/A")</f>
        <v>N/A</v>
      </c>
      <c r="O423" t="str" s="482" cm="1">
        <f t="array" ref="O423">IF(B423&gt;0,IF(OR(VLOOKUP(C418,'Boats Data Sheet 2026'!$C$3:$F$57,4,0)="Own",VLOOKUP(C418,'Boats Data Sheet 2026'!$C$3:$F$57,4,0)="Management"),('Direct Costs 2026'!$C$37+'Direct Costs 2026'!$C$39),"N/A"),"N/A")</f>
        <v>N/A</v>
      </c>
      <c r="P423" s="480" cm="1">
        <f t="array" ref="P423">_xlfn.IFERROR('Direct Costs 2026'!$C$27*C423,"N/A")</f>
        <v>220000</v>
      </c>
      <c r="Q423" s="480" cm="1">
        <f t="array" ref="Q423">_xlfn.IFERROR(C423+SUM(E423:P423),"N/A")</f>
        <v>13043500</v>
      </c>
      <c r="R423" s="483"/>
      <c r="S423" s="480" cm="1">
        <f t="array" ref="S423">IF(B423&gt;0,'Allocation OH and Target 2026'!$E$31,"N/A")</f>
        <v>3100447.15769812</v>
      </c>
      <c r="T423" s="480" cm="1">
        <f t="array" ref="T423">IF(B423&gt;0,VLOOKUP(C418,'Allocation OH and Target 2026'!$C$35:$S$87,16,0),"N/A")</f>
        <v>0</v>
      </c>
      <c r="U423" s="480" cm="1">
        <f t="array" ref="U423">_xlfn.IFERROR((S423+T423),"N/A")</f>
        <v>3100447.15769812</v>
      </c>
      <c r="V423" s="483"/>
      <c r="W423" s="480" cm="1">
        <f t="array" ref="W423">_xlfn.IFERROR(U423+Q423,"N/A")</f>
        <v>16143947.1576981</v>
      </c>
      <c r="X423" s="480" cm="1">
        <f t="array" ref="X423">_xlfn.IFERROR(W423*0.5%,"N/A")</f>
        <v>80719.735788490507</v>
      </c>
      <c r="Y423" s="480" cm="1">
        <f t="array" ref="Y423">_xlfn.IFERROR(W423*25%,"N/A")</f>
        <v>4035986.78942453</v>
      </c>
      <c r="Z423" s="484" cm="1">
        <f t="array" ref="Z423">IF(B423&gt;0,SUM(W423:Y423),"N/A")</f>
        <v>20260653.6829111</v>
      </c>
      <c r="AA423" s="484">
        <v>0</v>
      </c>
      <c r="AB423" s="483"/>
      <c r="AC423" t="str" s="485" cm="1">
        <f t="array" ref="AC423">IF(B423=6,AVERAGE(Z421:Z426),"N/A")</f>
        <v>N/A</v>
      </c>
      <c r="AD423" s="483"/>
      <c r="AE423" s="480"/>
      <c r="AF423" s="480"/>
      <c r="AG423" s="480"/>
      <c r="AH423" s="480"/>
      <c r="AI423" s="480"/>
      <c r="AJ423" s="480"/>
      <c r="AK423" s="480"/>
      <c r="AL423" s="480"/>
      <c r="AM423" s="480"/>
      <c r="AN423" s="486"/>
    </row>
    <row r="424" ht="15" customHeight="1" hidden="1">
      <c r="A424" s="12"/>
      <c r="B424" s="479" cm="1">
        <f t="array" ref="B424">IF(B423=0,0,IF(B423&lt;VLOOKUP(C418,'Boats Data Sheet 2026'!$C$3:$H$57,6,0),B423+1,0))</f>
        <v>4</v>
      </c>
      <c r="C424" s="480" cm="1">
        <f t="array" ref="C424">IF(B424&gt;0,IF(VLOOKUP(C418,'Boats Data Sheet 2026'!$C$3:$J$57,8,0)="N/A",0,VLOOKUP(C418,'Boats Data Sheet 2026'!$C$3:$J$57,8,0)),"N/A")</f>
        <v>11000000</v>
      </c>
      <c r="D424" s="481" cm="1">
        <f t="array" ref="D424">IF(B424&gt;7,2,IF(B424=0,"N/A",1))</f>
        <v>1</v>
      </c>
      <c r="E424" s="480" cm="1">
        <f t="array" ref="E424">_xlfn.IFERROR(SUM('Direct Costs 2026'!$C$4:$C$5)*D424,"N/A")</f>
        <v>875500</v>
      </c>
      <c r="F424" s="480" cm="1">
        <f t="array" ref="F424">_xlfn.IFERROR('Direct Costs 2026'!$C$43*B424,"N/A")</f>
        <v>24000</v>
      </c>
      <c r="G424" s="480" cm="1">
        <f t="array" ref="G424">IF(B424&gt;0,'Direct Costs 2026'!$C$25,"N/A")</f>
        <v>90000</v>
      </c>
      <c r="H424" s="480" cm="1">
        <f t="array" ref="H424">IF(B424&gt;0,'Direct Costs 2026'!$C$15+'Direct Costs 2026'!$C$14,"N/A")</f>
        <v>230000</v>
      </c>
      <c r="I424" s="480">
        <v>0</v>
      </c>
      <c r="J424" s="480">
        <v>0</v>
      </c>
      <c r="K424" s="480" cm="1">
        <f t="array" ref="K424">IF(B424&gt;0,'Direct Costs 2026'!$C$26,"N/A")</f>
        <v>20000</v>
      </c>
      <c r="L424" s="480" cm="1">
        <f t="array" ref="L424">IF(B424&gt;0,'Direct Costs 2026'!$C$23,"N/A")</f>
        <v>140000</v>
      </c>
      <c r="M424" s="480" cm="1">
        <f t="array" ref="M424">IF(B424&gt;0,'Direct Costs 2026'!$C$45*B424,"N/A")</f>
        <v>600000</v>
      </c>
      <c r="N424" t="str" s="482" cm="1">
        <f t="array" ref="N424">IF(B424&gt;0,_xlfn.IFERROR(VLOOKUP(C418,'Boats Data Sheet 2026'!$C$3:$I$57,7,0)*'Direct Costs 2026'!$C$36,"N/A"),"N/A")</f>
        <v>N/A</v>
      </c>
      <c r="O424" t="str" s="482" cm="1">
        <f t="array" ref="O424">IF(B424&gt;0,IF(OR(VLOOKUP(C418,'Boats Data Sheet 2026'!$C$3:$F$57,4,0)="Own",VLOOKUP(C418,'Boats Data Sheet 2026'!$C$3:$F$57,4,0)="Management"),('Direct Costs 2026'!$C$37+'Direct Costs 2026'!$C$39),"N/A"),"N/A")</f>
        <v>N/A</v>
      </c>
      <c r="P424" s="480" cm="1">
        <f t="array" ref="P424">_xlfn.IFERROR('Direct Costs 2026'!$C$27*C424,"N/A")</f>
        <v>220000</v>
      </c>
      <c r="Q424" s="480" cm="1">
        <f t="array" ref="Q424">_xlfn.IFERROR(C424+SUM(E424:P424),"N/A")</f>
        <v>13199500</v>
      </c>
      <c r="R424" s="483"/>
      <c r="S424" s="480" cm="1">
        <f t="array" ref="S424">IF(B424&gt;0,'Allocation OH and Target 2026'!$E$31,"N/A")</f>
        <v>3100447.15769812</v>
      </c>
      <c r="T424" s="480" cm="1">
        <f t="array" ref="T424">IF(B424&gt;0,VLOOKUP(C418,'Allocation OH and Target 2026'!$C$35:$S$87,16,0),"N/A")</f>
        <v>0</v>
      </c>
      <c r="U424" s="480" cm="1">
        <f t="array" ref="U424">_xlfn.IFERROR((S424+T424),"N/A")</f>
        <v>3100447.15769812</v>
      </c>
      <c r="V424" s="483"/>
      <c r="W424" s="480" cm="1">
        <f t="array" ref="W424">_xlfn.IFERROR(U424+Q424,"N/A")</f>
        <v>16299947.1576981</v>
      </c>
      <c r="X424" s="480" cm="1">
        <f t="array" ref="X424">_xlfn.IFERROR(W424*0.5%,"N/A")</f>
        <v>81499.735788490507</v>
      </c>
      <c r="Y424" s="480" cm="1">
        <f t="array" ref="Y424">_xlfn.IFERROR(W424*25%,"N/A")</f>
        <v>4074986.78942453</v>
      </c>
      <c r="Z424" s="484" cm="1">
        <f t="array" ref="Z424">IF(B424&gt;0,SUM(W424:Y424),"N/A")</f>
        <v>20456433.6829111</v>
      </c>
      <c r="AA424" s="484">
        <v>0</v>
      </c>
      <c r="AB424" s="483"/>
      <c r="AC424" t="str" s="485" cm="1">
        <f t="array" ref="AC424">IF(B424=6,AVERAGE(Z421:Z426),"N/A")</f>
        <v>N/A</v>
      </c>
      <c r="AD424" s="483"/>
      <c r="AE424" s="480"/>
      <c r="AF424" s="480"/>
      <c r="AG424" s="480"/>
      <c r="AH424" s="480"/>
      <c r="AI424" s="480"/>
      <c r="AJ424" s="480"/>
      <c r="AK424" s="480"/>
      <c r="AL424" s="480"/>
      <c r="AM424" s="480"/>
      <c r="AN424" s="486"/>
    </row>
    <row r="425" ht="15" customHeight="1" hidden="1">
      <c r="A425" s="12"/>
      <c r="B425" s="479" cm="1">
        <f t="array" ref="B425">IF(B424=0,0,IF(B424&lt;VLOOKUP(C418,'Boats Data Sheet 2026'!$C$3:$H$57,6,0),B424+1,0))</f>
        <v>5</v>
      </c>
      <c r="C425" s="480" cm="1">
        <f t="array" ref="C425">IF(B425&gt;0,IF(VLOOKUP(C418,'Boats Data Sheet 2026'!$C$3:$J$57,8,0)="N/A",0,VLOOKUP(C418,'Boats Data Sheet 2026'!$C$3:$J$57,8,0)),"N/A")</f>
        <v>11000000</v>
      </c>
      <c r="D425" s="481" cm="1">
        <f t="array" ref="D425">IF(B425&gt;7,2,IF(B425=0,"N/A",1))</f>
        <v>1</v>
      </c>
      <c r="E425" s="480" cm="1">
        <f t="array" ref="E425">_xlfn.IFERROR(SUM('Direct Costs 2026'!$C$4:$C$5)*D425,"N/A")</f>
        <v>875500</v>
      </c>
      <c r="F425" s="480" cm="1">
        <f t="array" ref="F425">_xlfn.IFERROR('Direct Costs 2026'!$C$43*B425,"N/A")</f>
        <v>30000</v>
      </c>
      <c r="G425" s="480" cm="1">
        <f t="array" ref="G425">IF(B425&gt;0,'Direct Costs 2026'!$C$25,"N/A")</f>
        <v>90000</v>
      </c>
      <c r="H425" s="480" cm="1">
        <f t="array" ref="H425">IF(B425&gt;0,'Direct Costs 2026'!$C$15+'Direct Costs 2026'!$C$14,"N/A")</f>
        <v>230000</v>
      </c>
      <c r="I425" s="480">
        <v>0</v>
      </c>
      <c r="J425" s="480">
        <v>0</v>
      </c>
      <c r="K425" s="480" cm="1">
        <f t="array" ref="K425">IF(B425&gt;0,'Direct Costs 2026'!$C$26,"N/A")</f>
        <v>20000</v>
      </c>
      <c r="L425" s="480" cm="1">
        <f t="array" ref="L425">IF(B425&gt;0,'Direct Costs 2026'!$C$23,"N/A")</f>
        <v>140000</v>
      </c>
      <c r="M425" s="480" cm="1">
        <f t="array" ref="M425">IF(B425&gt;0,'Direct Costs 2026'!$C$45*B425,"N/A")</f>
        <v>750000</v>
      </c>
      <c r="N425" t="str" s="482" cm="1">
        <f t="array" ref="N425">IF(B425&gt;0,_xlfn.IFERROR(VLOOKUP(C418,'Boats Data Sheet 2026'!$C$3:$I$57,7,0)*'Direct Costs 2026'!$C$36,"N/A"),"N/A")</f>
        <v>N/A</v>
      </c>
      <c r="O425" t="str" s="482" cm="1">
        <f t="array" ref="O425">IF(B425&gt;0,IF(OR(VLOOKUP(C418,'Boats Data Sheet 2026'!$C$3:$F$57,4,0)="Own",VLOOKUP(C418,'Boats Data Sheet 2026'!$C$3:$F$57,4,0)="Management"),('Direct Costs 2026'!$C$37+'Direct Costs 2026'!$C$39),"N/A"),"N/A")</f>
        <v>N/A</v>
      </c>
      <c r="P425" s="480" cm="1">
        <f t="array" ref="P425">_xlfn.IFERROR('Direct Costs 2026'!$C$27*C425,"N/A")</f>
        <v>220000</v>
      </c>
      <c r="Q425" s="480" cm="1">
        <f t="array" ref="Q425">_xlfn.IFERROR(C425+SUM(E425:P425),"N/A")</f>
        <v>13355500</v>
      </c>
      <c r="R425" s="483"/>
      <c r="S425" s="480" cm="1">
        <f t="array" ref="S425">IF(B425&gt;0,'Allocation OH and Target 2026'!$E$31,"N/A")</f>
        <v>3100447.15769812</v>
      </c>
      <c r="T425" s="480" cm="1">
        <f t="array" ref="T425">IF(B425&gt;0,VLOOKUP(C418,'Allocation OH and Target 2026'!$C$35:$S$87,16,0),"N/A")</f>
        <v>0</v>
      </c>
      <c r="U425" s="480" cm="1">
        <f t="array" ref="U425">_xlfn.IFERROR((S425+T425),"N/A")</f>
        <v>3100447.15769812</v>
      </c>
      <c r="V425" s="483"/>
      <c r="W425" s="480" cm="1">
        <f t="array" ref="W425">_xlfn.IFERROR(U425+Q425,"N/A")</f>
        <v>16455947.1576981</v>
      </c>
      <c r="X425" s="480" cm="1">
        <f t="array" ref="X425">_xlfn.IFERROR(W425*0.5%,"N/A")</f>
        <v>82279.735788490507</v>
      </c>
      <c r="Y425" s="480" cm="1">
        <f t="array" ref="Y425">_xlfn.IFERROR(W425*25%,"N/A")</f>
        <v>4113986.78942453</v>
      </c>
      <c r="Z425" s="484" cm="1">
        <f t="array" ref="Z425">IF(B425&gt;0,SUM(W425:Y425),"N/A")</f>
        <v>20652213.6829111</v>
      </c>
      <c r="AA425" s="484">
        <v>0</v>
      </c>
      <c r="AB425" s="483"/>
      <c r="AC425" t="str" s="485" cm="1">
        <f t="array" ref="AC425">IF(B425=6,AVERAGE(Z421:Z426),"N/A")</f>
        <v>N/A</v>
      </c>
      <c r="AD425" s="483"/>
      <c r="AE425" s="480"/>
      <c r="AF425" s="480"/>
      <c r="AG425" s="480"/>
      <c r="AH425" s="480"/>
      <c r="AI425" s="480"/>
      <c r="AJ425" s="480"/>
      <c r="AK425" s="480"/>
      <c r="AL425" s="480"/>
      <c r="AM425" s="480"/>
      <c r="AN425" s="486"/>
    </row>
    <row r="426" ht="15" customHeight="1" hidden="1">
      <c r="A426" s="12"/>
      <c r="B426" s="479" cm="1">
        <f t="array" ref="B426">IF(B425=0,0,IF(B425&lt;VLOOKUP(C418,'Boats Data Sheet 2026'!$C$3:$H$57,6,0),B425+1,0))</f>
        <v>6</v>
      </c>
      <c r="C426" s="480" cm="1">
        <f t="array" ref="C426">IF(B426&gt;0,IF(VLOOKUP(C418,'Boats Data Sheet 2026'!$C$3:$J$57,8,0)="N/A",0,VLOOKUP(C418,'Boats Data Sheet 2026'!$C$3:$J$57,8,0)),"N/A")</f>
        <v>11000000</v>
      </c>
      <c r="D426" s="481" cm="1">
        <f t="array" ref="D426">IF(B426&gt;7,2,IF(B426=0,"N/A",1))</f>
        <v>1</v>
      </c>
      <c r="E426" s="480" cm="1">
        <f t="array" ref="E426">_xlfn.IFERROR(SUM('Direct Costs 2026'!$C$4:$C$5)*D426,"N/A")</f>
        <v>875500</v>
      </c>
      <c r="F426" s="480" cm="1">
        <f t="array" ref="F426">_xlfn.IFERROR('Direct Costs 2026'!$C$43*B426,"N/A")</f>
        <v>36000</v>
      </c>
      <c r="G426" s="480" cm="1">
        <f t="array" ref="G426">IF(B426&gt;0,'Direct Costs 2026'!$C$25,"N/A")</f>
        <v>90000</v>
      </c>
      <c r="H426" s="480" cm="1">
        <f t="array" ref="H426">IF(B426&gt;0,'Direct Costs 2026'!$C$15+'Direct Costs 2026'!$C$14,"N/A")</f>
        <v>230000</v>
      </c>
      <c r="I426" s="480">
        <v>0</v>
      </c>
      <c r="J426" s="480">
        <v>0</v>
      </c>
      <c r="K426" s="480" cm="1">
        <f t="array" ref="K426">IF(B426&gt;0,'Direct Costs 2026'!$C$26,"N/A")</f>
        <v>20000</v>
      </c>
      <c r="L426" s="480" cm="1">
        <f t="array" ref="L426">IF(B426&gt;0,'Direct Costs 2026'!$C$23,"N/A")</f>
        <v>140000</v>
      </c>
      <c r="M426" s="480" cm="1">
        <f t="array" ref="M426">IF(B426&gt;0,'Direct Costs 2026'!$C$45*B426,"N/A")</f>
        <v>900000</v>
      </c>
      <c r="N426" t="str" s="482" cm="1">
        <f t="array" ref="N426">IF(B426&gt;0,_xlfn.IFERROR(VLOOKUP(C418,'Boats Data Sheet 2026'!$C$3:$I$57,7,0)*'Direct Costs 2026'!$C$36,"N/A"),"N/A")</f>
        <v>N/A</v>
      </c>
      <c r="O426" t="str" s="482" cm="1">
        <f t="array" ref="O426">IF(B426&gt;0,IF(OR(VLOOKUP(C418,'Boats Data Sheet 2026'!$C$3:$F$57,4,0)="Own",VLOOKUP(C418,'Boats Data Sheet 2026'!$C$3:$F$57,4,0)="Management"),('Direct Costs 2026'!$C$37+'Direct Costs 2026'!$C$39),"N/A"),"N/A")</f>
        <v>N/A</v>
      </c>
      <c r="P426" s="480" cm="1">
        <f t="array" ref="P426">_xlfn.IFERROR('Direct Costs 2026'!$C$27*C426,"N/A")</f>
        <v>220000</v>
      </c>
      <c r="Q426" s="480" cm="1">
        <f t="array" ref="Q426">_xlfn.IFERROR(C426+SUM(E426:P426),"N/A")</f>
        <v>13511500</v>
      </c>
      <c r="R426" s="483"/>
      <c r="S426" s="480" cm="1">
        <f t="array" ref="S426">IF(B426&gt;0,'Allocation OH and Target 2026'!$E$31,"N/A")</f>
        <v>3100447.15769812</v>
      </c>
      <c r="T426" s="480" cm="1">
        <f t="array" ref="T426">IF(B426&gt;0,VLOOKUP(C418,'Allocation OH and Target 2026'!$C$35:$S$87,16,0),"N/A")</f>
        <v>0</v>
      </c>
      <c r="U426" s="480" cm="1">
        <f t="array" ref="U426">_xlfn.IFERROR((S426+T426),"N/A")</f>
        <v>3100447.15769812</v>
      </c>
      <c r="V426" s="483"/>
      <c r="W426" s="480" cm="1">
        <f t="array" ref="W426">_xlfn.IFERROR(U426+Q426,"N/A")</f>
        <v>16611947.1576981</v>
      </c>
      <c r="X426" s="480" cm="1">
        <f t="array" ref="X426">_xlfn.IFERROR(W426*0.5%,"N/A")</f>
        <v>83059.735788490507</v>
      </c>
      <c r="Y426" s="480" cm="1">
        <f t="array" ref="Y426">_xlfn.IFERROR(W426*25%,"N/A")</f>
        <v>4152986.78942453</v>
      </c>
      <c r="Z426" s="484" cm="1">
        <f t="array" ref="Z426">IF(B426&gt;0,SUM(W426:Y426),"N/A")</f>
        <v>20847993.6829111</v>
      </c>
      <c r="AA426" s="484">
        <v>0</v>
      </c>
      <c r="AB426" s="483"/>
      <c r="AC426" s="484" cm="1">
        <f t="array" ref="AC426">IF(B426=6,AVERAGE(Z421:Z426),"N/A")</f>
        <v>20358543.6829111</v>
      </c>
      <c r="AD426" s="483"/>
      <c r="AE426" s="480"/>
      <c r="AF426" s="480"/>
      <c r="AG426" s="480"/>
      <c r="AH426" s="480"/>
      <c r="AI426" s="480"/>
      <c r="AJ426" s="480"/>
      <c r="AK426" s="480"/>
      <c r="AL426" s="480"/>
      <c r="AM426" s="480"/>
      <c r="AN426" s="486"/>
    </row>
    <row r="427" ht="15" customHeight="1" hidden="1">
      <c r="A427" s="12"/>
      <c r="B427" s="479" cm="1">
        <f t="array" ref="B427">IF(B426=0,0,IF(B426&lt;VLOOKUP(C418,'Boats Data Sheet 2026'!$C$3:$H$57,6,0),B426+1,0))</f>
        <v>7</v>
      </c>
      <c r="C427" s="480" cm="1">
        <f t="array" ref="C427">IF(B427&gt;0,IF(VLOOKUP(C418,'Boats Data Sheet 2026'!$C$3:$J$57,8,0)="N/A",0,VLOOKUP(C418,'Boats Data Sheet 2026'!$C$3:$J$57,8,0)),"N/A")</f>
        <v>11000000</v>
      </c>
      <c r="D427" s="481" cm="1">
        <f t="array" ref="D427">IF(B427&gt;7,2,IF(B427=0,"N/A",1))</f>
        <v>1</v>
      </c>
      <c r="E427" s="480" cm="1">
        <f t="array" ref="E427">_xlfn.IFERROR(SUM('Direct Costs 2026'!$C$4:$C$5)*D427,"N/A")</f>
        <v>875500</v>
      </c>
      <c r="F427" s="480" cm="1">
        <f t="array" ref="F427">_xlfn.IFERROR('Direct Costs 2026'!$C$43*B427,"N/A")</f>
        <v>42000</v>
      </c>
      <c r="G427" s="480" cm="1">
        <f t="array" ref="G427">IF(B427&gt;0,'Direct Costs 2026'!$C$25,"N/A")</f>
        <v>90000</v>
      </c>
      <c r="H427" s="480" cm="1">
        <f t="array" ref="H427">IF(B427&gt;0,'Direct Costs 2026'!$C$15+'Direct Costs 2026'!$C$14,"N/A")</f>
        <v>230000</v>
      </c>
      <c r="I427" s="480">
        <v>0</v>
      </c>
      <c r="J427" s="480">
        <v>0</v>
      </c>
      <c r="K427" s="480" cm="1">
        <f t="array" ref="K427">IF(B427&gt;0,'Direct Costs 2026'!$C$26,"N/A")</f>
        <v>20000</v>
      </c>
      <c r="L427" s="480" cm="1">
        <f t="array" ref="L427">IF(B427&gt;0,'Direct Costs 2026'!$C$23,"N/A")</f>
        <v>140000</v>
      </c>
      <c r="M427" s="480" cm="1">
        <f t="array" ref="M427">IF(B427&gt;0,'Direct Costs 2026'!$C$45*B427,"N/A")</f>
        <v>1050000</v>
      </c>
      <c r="N427" t="str" s="482" cm="1">
        <f t="array" ref="N427">IF(B427&gt;0,_xlfn.IFERROR(VLOOKUP(C418,'Boats Data Sheet 2026'!$C$3:$I$57,7,0)*'Direct Costs 2026'!$C$36,"N/A"),"N/A")</f>
        <v>N/A</v>
      </c>
      <c r="O427" t="str" s="482" cm="1">
        <f t="array" ref="O427">IF(B427&gt;0,IF(OR(VLOOKUP(C418,'Boats Data Sheet 2026'!$C$3:$F$57,4,0)="Own",VLOOKUP(C418,'Boats Data Sheet 2026'!$C$3:$F$57,4,0)="Management"),('Direct Costs 2026'!$C$37+'Direct Costs 2026'!$C$39),"N/A"),"N/A")</f>
        <v>N/A</v>
      </c>
      <c r="P427" s="480" cm="1">
        <f t="array" ref="P427">_xlfn.IFERROR('Direct Costs 2026'!$C$27*C427,"N/A")</f>
        <v>220000</v>
      </c>
      <c r="Q427" s="480" cm="1">
        <f t="array" ref="Q427">_xlfn.IFERROR(C427+SUM(E427:P427),"N/A")</f>
        <v>13667500</v>
      </c>
      <c r="R427" s="483"/>
      <c r="S427" s="480" cm="1">
        <f t="array" ref="S427">IF(B427&gt;0,'Allocation OH and Target 2026'!$E$31,"N/A")</f>
        <v>3100447.15769812</v>
      </c>
      <c r="T427" s="480" cm="1">
        <f t="array" ref="T427">IF(B427&gt;0,VLOOKUP(C418,'Allocation OH and Target 2026'!$C$35:$S$87,16,0),"N/A")</f>
        <v>0</v>
      </c>
      <c r="U427" s="480" cm="1">
        <f t="array" ref="U427">_xlfn.IFERROR((S427+T427),"N/A")</f>
        <v>3100447.15769812</v>
      </c>
      <c r="V427" s="483"/>
      <c r="W427" s="480" cm="1">
        <f t="array" ref="W427">_xlfn.IFERROR(U427+Q427,"N/A")</f>
        <v>16767947.1576981</v>
      </c>
      <c r="X427" s="480" cm="1">
        <f t="array" ref="X427">_xlfn.IFERROR(W427*0.5%,"N/A")</f>
        <v>83839.735788490507</v>
      </c>
      <c r="Y427" s="480" cm="1">
        <f t="array" ref="Y427">_xlfn.IFERROR(W427*25%,"N/A")</f>
        <v>4191986.78942453</v>
      </c>
      <c r="Z427" s="484" cm="1">
        <f t="array" ref="Z427">IF(B427&gt;0,SUM(W427:Y427),"N/A")</f>
        <v>21043773.6829111</v>
      </c>
      <c r="AA427" s="484" cm="1">
        <f t="array" ref="AA427">_xlfn.IFERROR((Z427-AVERAGE(Z421:Z426)),"N/A")</f>
        <v>685230</v>
      </c>
      <c r="AB427" s="483"/>
      <c r="AC427" t="str" s="485" cm="1">
        <f t="array" ref="AC427">IF(B427=6,AVERAGE(Z421:Z426),"N/A")</f>
        <v>N/A</v>
      </c>
      <c r="AD427" s="483"/>
      <c r="AE427" s="480"/>
      <c r="AF427" s="480"/>
      <c r="AG427" s="480"/>
      <c r="AH427" s="480"/>
      <c r="AI427" s="480"/>
      <c r="AJ427" s="480"/>
      <c r="AK427" s="480"/>
      <c r="AL427" s="480"/>
      <c r="AM427" s="480"/>
      <c r="AN427" s="486"/>
    </row>
    <row r="428" ht="15" customHeight="1" hidden="1">
      <c r="A428" s="12"/>
      <c r="B428" s="479" cm="1">
        <f t="array" ref="B428">IF(B427=0,0,IF(B427&lt;VLOOKUP(C418,'Boats Data Sheet 2026'!$C$3:$H$57,6,0),B427+1,0))</f>
        <v>8</v>
      </c>
      <c r="C428" s="480" cm="1">
        <f t="array" ref="C428">IF(B428&gt;0,IF(VLOOKUP(C418,'Boats Data Sheet 2026'!$C$3:$J$57,8,0)="N/A",0,VLOOKUP(C418,'Boats Data Sheet 2026'!$C$3:$J$57,8,0)),"N/A")</f>
        <v>11000000</v>
      </c>
      <c r="D428" s="481" cm="1">
        <f t="array" ref="D428">IF(B428&gt;7,2,IF(B428=0,"N/A",1))</f>
        <v>2</v>
      </c>
      <c r="E428" s="480" cm="1">
        <f t="array" ref="E428">_xlfn.IFERROR(SUM('Direct Costs 2026'!$C$4:$C$5)*D428,"N/A")</f>
        <v>1751000</v>
      </c>
      <c r="F428" s="480" cm="1">
        <f t="array" ref="F428">_xlfn.IFERROR('Direct Costs 2026'!$C$43*B428,"N/A")</f>
        <v>48000</v>
      </c>
      <c r="G428" s="480" cm="1">
        <f t="array" ref="G428">IF(B428&gt;0,'Direct Costs 2026'!$C$25,"N/A")</f>
        <v>90000</v>
      </c>
      <c r="H428" s="480" cm="1">
        <f t="array" ref="H428">IF(B428&gt;0,'Direct Costs 2026'!$C$15+'Direct Costs 2026'!$C$14,"N/A")</f>
        <v>230000</v>
      </c>
      <c r="I428" s="480">
        <v>0</v>
      </c>
      <c r="J428" s="480">
        <v>0</v>
      </c>
      <c r="K428" s="480" cm="1">
        <f t="array" ref="K428">IF(B428&gt;0,'Direct Costs 2026'!$C$26,"N/A")</f>
        <v>20000</v>
      </c>
      <c r="L428" s="480" cm="1">
        <f t="array" ref="L428">IF(B428&gt;0,'Direct Costs 2026'!$C$23,"N/A")</f>
        <v>140000</v>
      </c>
      <c r="M428" s="480" cm="1">
        <f t="array" ref="M428">IF(B428&gt;0,'Direct Costs 2026'!$C$45*B428,"N/A")</f>
        <v>1200000</v>
      </c>
      <c r="N428" t="str" s="482" cm="1">
        <f t="array" ref="N428">IF(B428&gt;0,_xlfn.IFERROR(VLOOKUP(C418,'Boats Data Sheet 2026'!$C$3:$I$57,7,0)*'Direct Costs 2026'!$C$36,"N/A"),"N/A")</f>
        <v>N/A</v>
      </c>
      <c r="O428" t="str" s="482" cm="1">
        <f t="array" ref="O428">IF(B428&gt;0,IF(OR(VLOOKUP(C418,'Boats Data Sheet 2026'!$C$3:$F$57,4,0)="Own",VLOOKUP(C418,'Boats Data Sheet 2026'!$C$3:$F$57,4,0)="Management"),('Direct Costs 2026'!$C$37+'Direct Costs 2026'!$C$39),"N/A"),"N/A")</f>
        <v>N/A</v>
      </c>
      <c r="P428" s="480" cm="1">
        <f t="array" ref="P428">_xlfn.IFERROR('Direct Costs 2026'!$C$27*C428,"N/A")</f>
        <v>220000</v>
      </c>
      <c r="Q428" s="480" cm="1">
        <f t="array" ref="Q428">_xlfn.IFERROR(C428+SUM(E428:P428),"N/A")</f>
        <v>14699000</v>
      </c>
      <c r="R428" s="483"/>
      <c r="S428" s="480" cm="1">
        <f t="array" ref="S428">IF(B428&gt;0,'Allocation OH and Target 2026'!$E$31,"N/A")</f>
        <v>3100447.15769812</v>
      </c>
      <c r="T428" s="480" cm="1">
        <f t="array" ref="T428">IF(B428&gt;0,VLOOKUP(C418,'Allocation OH and Target 2026'!$C$35:$S$87,16,0),"N/A")</f>
        <v>0</v>
      </c>
      <c r="U428" s="480" cm="1">
        <f t="array" ref="U428">_xlfn.IFERROR((S428+T428),"N/A")</f>
        <v>3100447.15769812</v>
      </c>
      <c r="V428" s="483"/>
      <c r="W428" s="480" cm="1">
        <f t="array" ref="W428">_xlfn.IFERROR(U428+Q428,"N/A")</f>
        <v>17799447.1576981</v>
      </c>
      <c r="X428" s="480" cm="1">
        <f t="array" ref="X428">_xlfn.IFERROR(W428*0.5%,"N/A")</f>
        <v>88997.235788490507</v>
      </c>
      <c r="Y428" s="480" cm="1">
        <f t="array" ref="Y428">_xlfn.IFERROR(W428*25%,"N/A")</f>
        <v>4449861.78942453</v>
      </c>
      <c r="Z428" s="484" cm="1">
        <f t="array" ref="Z428">IF(B428&gt;0,SUM(W428:Y428),"N/A")</f>
        <v>22338306.1829111</v>
      </c>
      <c r="AA428" s="484" cm="1">
        <f t="array" ref="AA428">_xlfn.IFERROR((Z428-AVERAGE(Z421:Z426)),"N/A")</f>
        <v>1979762.5</v>
      </c>
      <c r="AB428" s="483"/>
      <c r="AC428" t="str" s="485" cm="1">
        <f t="array" ref="AC428">IF(B428=6,AVERAGE(Z421:Z426),"N/A")</f>
        <v>N/A</v>
      </c>
      <c r="AD428" s="483"/>
      <c r="AE428" s="480"/>
      <c r="AF428" s="480"/>
      <c r="AG428" s="480"/>
      <c r="AH428" s="480"/>
      <c r="AI428" s="480"/>
      <c r="AJ428" s="480"/>
      <c r="AK428" s="480"/>
      <c r="AL428" s="480"/>
      <c r="AM428" s="480"/>
      <c r="AN428" s="486"/>
    </row>
    <row r="429" ht="15" customHeight="1" hidden="1">
      <c r="A429" s="12"/>
      <c r="B429" s="479" cm="1">
        <f t="array" ref="B429">IF(B428=0,0,IF(B428&lt;VLOOKUP(C418,'Boats Data Sheet 2026'!$C$3:$H$57,6,0),B428+1,0))</f>
        <v>9</v>
      </c>
      <c r="C429" s="480" cm="1">
        <f t="array" ref="C429">IF(B429&gt;0,IF(VLOOKUP(C418,'Boats Data Sheet 2026'!$C$3:$J$57,8,0)="N/A",0,VLOOKUP(C418,'Boats Data Sheet 2026'!$C$3:$J$57,8,0)),"N/A")</f>
        <v>11000000</v>
      </c>
      <c r="D429" s="490" cm="1">
        <f t="array" ref="D429">IF(B429&gt;7,2,IF(B429=0,"N/A",1))</f>
        <v>2</v>
      </c>
      <c r="E429" s="480" cm="1">
        <f t="array" ref="E429">_xlfn.IFERROR(SUM('Direct Costs 2026'!$C$4:$C$5)*D429,"N/A")</f>
        <v>1751000</v>
      </c>
      <c r="F429" s="480" cm="1">
        <f t="array" ref="F429">_xlfn.IFERROR('Direct Costs 2026'!$C$43*B429,"N/A")</f>
        <v>54000</v>
      </c>
      <c r="G429" s="480" cm="1">
        <f t="array" ref="G429">IF(B429&gt;0,'Direct Costs 2026'!$C$25,"N/A")</f>
        <v>90000</v>
      </c>
      <c r="H429" s="480" cm="1">
        <f t="array" ref="H429">IF(B429&gt;0,'Direct Costs 2026'!$C$15+'Direct Costs 2026'!$C$14,"N/A")</f>
        <v>230000</v>
      </c>
      <c r="I429" s="480">
        <v>0</v>
      </c>
      <c r="J429" s="480">
        <v>0</v>
      </c>
      <c r="K429" s="480" cm="1">
        <f t="array" ref="K429">IF(B429&gt;0,'Direct Costs 2026'!$C$26,"N/A")</f>
        <v>20000</v>
      </c>
      <c r="L429" s="480" cm="1">
        <f t="array" ref="L429">IF(B429&gt;0,'Direct Costs 2026'!$C$23,"N/A")</f>
        <v>140000</v>
      </c>
      <c r="M429" s="480" cm="1">
        <f t="array" ref="M429">IF(B429&gt;0,'Direct Costs 2026'!$C$45*B429,"N/A")</f>
        <v>1350000</v>
      </c>
      <c r="N429" t="str" s="482" cm="1">
        <f t="array" ref="N429">IF(B429&gt;0,_xlfn.IFERROR(VLOOKUP(C418,'Boats Data Sheet 2026'!$C$3:$I$57,7,0)*'Direct Costs 2026'!$C$36,"N/A"),"N/A")</f>
        <v>N/A</v>
      </c>
      <c r="O429" t="str" s="482" cm="1">
        <f t="array" ref="O429">IF(B429&gt;0,IF(OR(VLOOKUP(C418,'Boats Data Sheet 2026'!$C$3:$F$57,4,0)="Own",VLOOKUP(C418,'Boats Data Sheet 2026'!$C$3:$F$57,4,0)="Management"),('Direct Costs 2026'!$C$37+'Direct Costs 2026'!$C$39),"N/A"),"N/A")</f>
        <v>N/A</v>
      </c>
      <c r="P429" s="480" cm="1">
        <f t="array" ref="P429">_xlfn.IFERROR('Direct Costs 2026'!$C$27*C429,"N/A")</f>
        <v>220000</v>
      </c>
      <c r="Q429" s="480" cm="1">
        <f t="array" ref="Q429">_xlfn.IFERROR(C429+SUM(E429:P429),"N/A")</f>
        <v>14855000</v>
      </c>
      <c r="R429" s="483"/>
      <c r="S429" s="480" cm="1">
        <f t="array" ref="S429">IF(B429&gt;0,'Allocation OH and Target 2026'!$E$31,"N/A")</f>
        <v>3100447.15769812</v>
      </c>
      <c r="T429" s="480" cm="1">
        <f t="array" ref="T429">IF(B429&gt;0,VLOOKUP(C418,'Allocation OH and Target 2026'!$C$35:$S$87,16,0),"N/A")</f>
        <v>0</v>
      </c>
      <c r="U429" s="480" cm="1">
        <f t="array" ref="U429">_xlfn.IFERROR((S429+T429),"N/A")</f>
        <v>3100447.15769812</v>
      </c>
      <c r="V429" s="483"/>
      <c r="W429" s="480" cm="1">
        <f t="array" ref="W429">_xlfn.IFERROR(U429+Q429,"N/A")</f>
        <v>17955447.1576981</v>
      </c>
      <c r="X429" s="480" cm="1">
        <f t="array" ref="X429">_xlfn.IFERROR(W429*0.5%,"N/A")</f>
        <v>89777.235788490507</v>
      </c>
      <c r="Y429" s="480" cm="1">
        <f t="array" ref="Y429">_xlfn.IFERROR(W429*25%,"N/A")</f>
        <v>4488861.78942453</v>
      </c>
      <c r="Z429" s="484" cm="1">
        <f t="array" ref="Z429">IF(B429&gt;0,SUM(W429:Y429),"N/A")</f>
        <v>22534086.1829111</v>
      </c>
      <c r="AA429" s="484" cm="1">
        <f t="array" ref="AA429">_xlfn.IFERROR((Z429-AVERAGE(Z421:Z426)),"N/A")</f>
        <v>2175542.5</v>
      </c>
      <c r="AB429" s="483"/>
      <c r="AC429" t="str" s="485" cm="1">
        <f t="array" ref="AC429">IF(B429=6,AVERAGE(Z421:Z426),"N/A")</f>
        <v>N/A</v>
      </c>
      <c r="AD429" s="483"/>
      <c r="AE429" s="480"/>
      <c r="AF429" s="480"/>
      <c r="AG429" s="480"/>
      <c r="AH429" s="480"/>
      <c r="AI429" s="480"/>
      <c r="AJ429" s="480"/>
      <c r="AK429" s="480"/>
      <c r="AL429" s="480"/>
      <c r="AM429" s="480"/>
      <c r="AN429" s="486"/>
    </row>
    <row r="430" ht="15" customHeight="1" hidden="1">
      <c r="A430" s="12"/>
      <c r="B430" s="479" cm="1">
        <f t="array" ref="B430">IF(B429=0,0,IF(B429&lt;VLOOKUP(C418,'Boats Data Sheet 2026'!$C$3:$H$57,6,0),B429+1,0))</f>
        <v>10</v>
      </c>
      <c r="C430" s="480" cm="1">
        <f t="array" ref="C430">IF(B430&gt;0,IF(VLOOKUP(C418,'Boats Data Sheet 2026'!$C$3:$J$57,8,0)="N/A",0,VLOOKUP(C418,'Boats Data Sheet 2026'!$C$3:$J$57,8,0)),"N/A")</f>
        <v>11000000</v>
      </c>
      <c r="D430" s="490" cm="1">
        <f t="array" ref="D430">IF(B430&gt;7,2,IF(B430=0,"N/A",1))</f>
        <v>2</v>
      </c>
      <c r="E430" s="480" cm="1">
        <f t="array" ref="E430">_xlfn.IFERROR(SUM('Direct Costs 2026'!$C$4:$C$5)*D430,"N/A")</f>
        <v>1751000</v>
      </c>
      <c r="F430" s="480" cm="1">
        <f t="array" ref="F430">_xlfn.IFERROR('Direct Costs 2026'!$C$43*B430,"N/A")</f>
        <v>60000</v>
      </c>
      <c r="G430" s="480" cm="1">
        <f t="array" ref="G430">IF(B430&gt;0,'Direct Costs 2026'!$C$25,"N/A")</f>
        <v>90000</v>
      </c>
      <c r="H430" s="480" cm="1">
        <f t="array" ref="H430">IF(B430&gt;0,'Direct Costs 2026'!$C$15+'Direct Costs 2026'!$C$14,"N/A")</f>
        <v>230000</v>
      </c>
      <c r="I430" s="480">
        <v>0</v>
      </c>
      <c r="J430" s="480">
        <v>0</v>
      </c>
      <c r="K430" s="480" cm="1">
        <f t="array" ref="K430">IF(B430&gt;0,'Direct Costs 2026'!$C$26,"N/A")</f>
        <v>20000</v>
      </c>
      <c r="L430" s="480" cm="1">
        <f t="array" ref="L430">IF(B430&gt;0,'Direct Costs 2026'!$C$23,"N/A")</f>
        <v>140000</v>
      </c>
      <c r="M430" s="480" cm="1">
        <f t="array" ref="M430">IF(B430&gt;0,'Direct Costs 2026'!$C$45*B430,"N/A")</f>
        <v>1500000</v>
      </c>
      <c r="N430" t="str" s="482" cm="1">
        <f t="array" ref="N430">IF(B430&gt;0,_xlfn.IFERROR(VLOOKUP(C418,'Boats Data Sheet 2026'!$C$3:$I$57,7,0)*'Direct Costs 2026'!$C$36,"N/A"),"N/A")</f>
        <v>N/A</v>
      </c>
      <c r="O430" t="str" s="482" cm="1">
        <f t="array" ref="O430">IF(B430&gt;0,IF(OR(VLOOKUP(C418,'Boats Data Sheet 2026'!$C$3:$F$57,4,0)="Own",VLOOKUP(C418,'Boats Data Sheet 2026'!$C$3:$F$57,4,0)="Management"),('Direct Costs 2026'!$C$37+'Direct Costs 2026'!$C$39),"N/A"),"N/A")</f>
        <v>N/A</v>
      </c>
      <c r="P430" s="480" cm="1">
        <f t="array" ref="P430">_xlfn.IFERROR('Direct Costs 2026'!$C$27*C430,"N/A")</f>
        <v>220000</v>
      </c>
      <c r="Q430" s="480" cm="1">
        <f t="array" ref="Q430">_xlfn.IFERROR(C430+SUM(E430:P430),"N/A")</f>
        <v>15011000</v>
      </c>
      <c r="R430" s="483"/>
      <c r="S430" s="480" cm="1">
        <f t="array" ref="S430">IF(B430&gt;0,'Allocation OH and Target 2026'!$E$31,"N/A")</f>
        <v>3100447.15769812</v>
      </c>
      <c r="T430" s="480" cm="1">
        <f t="array" ref="T430">IF(B430&gt;0,VLOOKUP(C418,'Allocation OH and Target 2026'!$C$35:$S$87,16,0),"N/A")</f>
        <v>0</v>
      </c>
      <c r="U430" s="480" cm="1">
        <f t="array" ref="U430">_xlfn.IFERROR((S430+T430),"N/A")</f>
        <v>3100447.15769812</v>
      </c>
      <c r="V430" s="483"/>
      <c r="W430" s="480" cm="1">
        <f t="array" ref="W430">_xlfn.IFERROR(U430+Q430,"N/A")</f>
        <v>18111447.1576981</v>
      </c>
      <c r="X430" s="480" cm="1">
        <f t="array" ref="X430">_xlfn.IFERROR(W430*0.5%,"N/A")</f>
        <v>90557.235788490507</v>
      </c>
      <c r="Y430" s="480" cm="1">
        <f t="array" ref="Y430">_xlfn.IFERROR(W430*25%,"N/A")</f>
        <v>4527861.78942453</v>
      </c>
      <c r="Z430" s="484" cm="1">
        <f t="array" ref="Z430">IF(B430&gt;0,SUM(W430:Y430),"N/A")</f>
        <v>22729866.1829111</v>
      </c>
      <c r="AA430" s="484" cm="1">
        <f t="array" ref="AA430">_xlfn.IFERROR((Z430-AVERAGE(Z421:Z426)),"N/A")</f>
        <v>2371322.5</v>
      </c>
      <c r="AB430" s="483"/>
      <c r="AC430" t="str" s="485" cm="1">
        <f t="array" ref="AC430">IF(B430=6,AVERAGE(Z421:Z426),"N/A")</f>
        <v>N/A</v>
      </c>
      <c r="AD430" s="483"/>
      <c r="AE430" s="480"/>
      <c r="AF430" s="480"/>
      <c r="AG430" s="480"/>
      <c r="AH430" s="480"/>
      <c r="AI430" s="480"/>
      <c r="AJ430" s="480"/>
      <c r="AK430" s="480"/>
      <c r="AL430" s="480"/>
      <c r="AM430" s="480"/>
      <c r="AN430" s="486"/>
    </row>
    <row r="431" ht="15" customHeight="1" hidden="1">
      <c r="A431" s="12"/>
      <c r="B431" s="479" cm="1">
        <f t="array" ref="B431">IF(B430=0,0,IF(B430&lt;VLOOKUP(C418,'Boats Data Sheet 2026'!$C$3:$H$57,6,0),B430+1,0))</f>
        <v>11</v>
      </c>
      <c r="C431" s="480" cm="1">
        <f t="array" ref="C431">IF(B431&gt;0,IF(VLOOKUP(C418,'Boats Data Sheet 2026'!$C$3:$J$57,8,0)="N/A",0,VLOOKUP(C418,'Boats Data Sheet 2026'!$C$3:$J$57,8,0)),"N/A")</f>
        <v>11000000</v>
      </c>
      <c r="D431" s="490" cm="1">
        <f t="array" ref="D431">IF(B431&gt;7,2,IF(B431=0,"N/A",1))</f>
        <v>2</v>
      </c>
      <c r="E431" s="480" cm="1">
        <f t="array" ref="E431">_xlfn.IFERROR(SUM('Direct Costs 2026'!$C$4:$C$5)*D431,"N/A")</f>
        <v>1751000</v>
      </c>
      <c r="F431" s="480" cm="1">
        <f t="array" ref="F431">_xlfn.IFERROR('Direct Costs 2026'!$C$43*B431,"N/A")</f>
        <v>66000</v>
      </c>
      <c r="G431" s="480" cm="1">
        <f t="array" ref="G431">IF(B431&gt;0,'Direct Costs 2026'!$C$25,"N/A")</f>
        <v>90000</v>
      </c>
      <c r="H431" s="480" cm="1">
        <f t="array" ref="H431">IF(B431&gt;0,'Direct Costs 2026'!$C$15+'Direct Costs 2026'!$C$14,"N/A")</f>
        <v>230000</v>
      </c>
      <c r="I431" s="480">
        <v>0</v>
      </c>
      <c r="J431" s="480">
        <v>0</v>
      </c>
      <c r="K431" s="480" cm="1">
        <f t="array" ref="K431">IF(B431&gt;0,'Direct Costs 2026'!$C$26,"N/A")</f>
        <v>20000</v>
      </c>
      <c r="L431" s="480" cm="1">
        <f t="array" ref="L431">IF(B431&gt;0,'Direct Costs 2026'!$C$23,"N/A")</f>
        <v>140000</v>
      </c>
      <c r="M431" s="480" cm="1">
        <f t="array" ref="M431">IF(B431&gt;0,'Direct Costs 2026'!$C$45*B431,"N/A")</f>
        <v>1650000</v>
      </c>
      <c r="N431" t="str" s="482" cm="1">
        <f t="array" ref="N431">IF(B431&gt;0,_xlfn.IFERROR(VLOOKUP(C418,'Boats Data Sheet 2026'!$C$3:$I$57,7,0)*'Direct Costs 2026'!$C$36,"N/A"),"N/A")</f>
        <v>N/A</v>
      </c>
      <c r="O431" t="str" s="482" cm="1">
        <f t="array" ref="O431">IF(B431&gt;0,IF(OR(VLOOKUP(C418,'Boats Data Sheet 2026'!$C$3:$F$57,4,0)="Own",VLOOKUP(C418,'Boats Data Sheet 2026'!$C$3:$F$57,4,0)="Management"),('Direct Costs 2026'!$C$37+'Direct Costs 2026'!$C$39),"N/A"),"N/A")</f>
        <v>N/A</v>
      </c>
      <c r="P431" s="480" cm="1">
        <f t="array" ref="P431">_xlfn.IFERROR('Direct Costs 2026'!$C$27*C431,"N/A")</f>
        <v>220000</v>
      </c>
      <c r="Q431" s="480" cm="1">
        <f t="array" ref="Q431">_xlfn.IFERROR(C431+SUM(E431:P431),"N/A")</f>
        <v>15167000</v>
      </c>
      <c r="R431" s="483"/>
      <c r="S431" s="480" cm="1">
        <f t="array" ref="S431">IF(B431&gt;0,'Allocation OH and Target 2026'!$E$31,"N/A")</f>
        <v>3100447.15769812</v>
      </c>
      <c r="T431" s="480" cm="1">
        <f t="array" ref="T431">IF(B431&gt;0,VLOOKUP(C418,'Allocation OH and Target 2026'!$C$35:$S$87,16,0),"N/A")</f>
        <v>0</v>
      </c>
      <c r="U431" s="480" cm="1">
        <f t="array" ref="U431">_xlfn.IFERROR((S431+T431),"N/A")</f>
        <v>3100447.15769812</v>
      </c>
      <c r="V431" s="483"/>
      <c r="W431" s="480" cm="1">
        <f t="array" ref="W431">_xlfn.IFERROR(U431+Q431,"N/A")</f>
        <v>18267447.1576981</v>
      </c>
      <c r="X431" s="480" cm="1">
        <f t="array" ref="X431">_xlfn.IFERROR(W431*0.5%,"N/A")</f>
        <v>91337.235788490507</v>
      </c>
      <c r="Y431" s="480" cm="1">
        <f t="array" ref="Y431">_xlfn.IFERROR(W431*25%,"N/A")</f>
        <v>4566861.78942453</v>
      </c>
      <c r="Z431" s="484" cm="1">
        <f t="array" ref="Z431">IF(B431&gt;0,SUM(W431:Y431),"N/A")</f>
        <v>22925646.1829111</v>
      </c>
      <c r="AA431" s="484" cm="1">
        <f t="array" ref="AA431">_xlfn.IFERROR((Z431-AVERAGE(Z421:Z426)),"N/A")</f>
        <v>2567102.5</v>
      </c>
      <c r="AB431" s="483"/>
      <c r="AC431" t="str" s="485" cm="1">
        <f t="array" ref="AC431">IF(B431=6,AVERAGE(Z421:Z426),"N/A")</f>
        <v>N/A</v>
      </c>
      <c r="AD431" s="483"/>
      <c r="AE431" s="480"/>
      <c r="AF431" s="480"/>
      <c r="AG431" s="480"/>
      <c r="AH431" s="480"/>
      <c r="AI431" s="480"/>
      <c r="AJ431" s="480"/>
      <c r="AK431" s="480"/>
      <c r="AL431" s="480"/>
      <c r="AM431" s="480"/>
      <c r="AN431" s="486"/>
    </row>
    <row r="432" ht="15" customHeight="1" hidden="1">
      <c r="A432" s="12"/>
      <c r="B432" s="479" cm="1">
        <f t="array" ref="B432">IF(B431=0,0,IF(B431&lt;VLOOKUP(C418,'Boats Data Sheet 2026'!$C$3:$H$57,6,0),B431+1,0))</f>
        <v>12</v>
      </c>
      <c r="C432" s="480" cm="1">
        <f t="array" ref="C432">IF(B432&gt;0,IF(VLOOKUP(C418,'Boats Data Sheet 2026'!$C$3:$J$57,8,0)="N/A",0,VLOOKUP(C418,'Boats Data Sheet 2026'!$C$3:$J$57,8,0)),"N/A")</f>
        <v>11000000</v>
      </c>
      <c r="D432" s="490" cm="1">
        <f t="array" ref="D432">IF(B432&gt;7,2,IF(B432=0,"N/A",1))</f>
        <v>2</v>
      </c>
      <c r="E432" s="480" cm="1">
        <f t="array" ref="E432">_xlfn.IFERROR(SUM('Direct Costs 2026'!$C$4:$C$5)*D432,"N/A")</f>
        <v>1751000</v>
      </c>
      <c r="F432" s="480" cm="1">
        <f t="array" ref="F432">_xlfn.IFERROR('Direct Costs 2026'!$C$43*B432,"N/A")</f>
        <v>72000</v>
      </c>
      <c r="G432" s="480" cm="1">
        <f t="array" ref="G432">IF(B432&gt;0,'Direct Costs 2026'!$C$25,"N/A")</f>
        <v>90000</v>
      </c>
      <c r="H432" s="480" cm="1">
        <f t="array" ref="H432">IF(B432&gt;0,'Direct Costs 2026'!$C$15+'Direct Costs 2026'!$C$14,"N/A")</f>
        <v>230000</v>
      </c>
      <c r="I432" s="480">
        <v>0</v>
      </c>
      <c r="J432" s="480">
        <v>0</v>
      </c>
      <c r="K432" s="480" cm="1">
        <f t="array" ref="K432">IF(B432&gt;0,'Direct Costs 2026'!$C$26,"N/A")</f>
        <v>20000</v>
      </c>
      <c r="L432" s="480" cm="1">
        <f t="array" ref="L432">IF(B432&gt;0,'Direct Costs 2026'!$C$23,"N/A")</f>
        <v>140000</v>
      </c>
      <c r="M432" s="480" cm="1">
        <f t="array" ref="M432">IF(B432&gt;0,'Direct Costs 2026'!$C$45*B432,"N/A")</f>
        <v>1800000</v>
      </c>
      <c r="N432" t="str" s="482" cm="1">
        <f t="array" ref="N432">IF(B432&gt;0,_xlfn.IFERROR(VLOOKUP(C418,'Boats Data Sheet 2026'!$C$3:$I$57,7,0)*'Direct Costs 2026'!$C$36,"N/A"),"N/A")</f>
        <v>N/A</v>
      </c>
      <c r="O432" t="str" s="482" cm="1">
        <f t="array" ref="O432">IF(B432&gt;0,IF(OR(VLOOKUP(C418,'Boats Data Sheet 2026'!$C$3:$F$57,4,0)="Own",VLOOKUP(C418,'Boats Data Sheet 2026'!$C$3:$F$57,4,0)="Management"),('Direct Costs 2026'!$C$37+'Direct Costs 2026'!$C$39),"N/A"),"N/A")</f>
        <v>N/A</v>
      </c>
      <c r="P432" s="480" cm="1">
        <f t="array" ref="P432">_xlfn.IFERROR('Direct Costs 2026'!$C$27*C432,"N/A")</f>
        <v>220000</v>
      </c>
      <c r="Q432" s="480" cm="1">
        <f t="array" ref="Q432">_xlfn.IFERROR(C432+SUM(E432:P432),"N/A")</f>
        <v>15323000</v>
      </c>
      <c r="R432" s="483"/>
      <c r="S432" s="480" cm="1">
        <f t="array" ref="S432">IF(B432&gt;0,'Allocation OH and Target 2026'!$E$31,"N/A")</f>
        <v>3100447.15769812</v>
      </c>
      <c r="T432" s="480" cm="1">
        <f t="array" ref="T432">IF(B432&gt;0,VLOOKUP(C418,'Allocation OH and Target 2026'!$C$35:$S$87,16,0),"N/A")</f>
        <v>0</v>
      </c>
      <c r="U432" s="480" cm="1">
        <f t="array" ref="U432">_xlfn.IFERROR((S432+T432),"N/A")</f>
        <v>3100447.15769812</v>
      </c>
      <c r="V432" s="483"/>
      <c r="W432" s="480" cm="1">
        <f t="array" ref="W432">_xlfn.IFERROR(U432+Q432,"N/A")</f>
        <v>18423447.1576981</v>
      </c>
      <c r="X432" s="480" cm="1">
        <f t="array" ref="X432">_xlfn.IFERROR(W432*0.5%,"N/A")</f>
        <v>92117.235788490507</v>
      </c>
      <c r="Y432" s="480" cm="1">
        <f t="array" ref="Y432">_xlfn.IFERROR(W432*25%,"N/A")</f>
        <v>4605861.78942453</v>
      </c>
      <c r="Z432" s="484" cm="1">
        <f t="array" ref="Z432">IF(B432&gt;0,SUM(W432:Y432),"N/A")</f>
        <v>23121426.1829111</v>
      </c>
      <c r="AA432" s="484" cm="1">
        <f t="array" ref="AA432">_xlfn.IFERROR((Z432-AVERAGE(Z421:Z426)),"N/A")</f>
        <v>2762882.5</v>
      </c>
      <c r="AB432" s="483"/>
      <c r="AC432" t="str" s="485" cm="1">
        <f t="array" ref="AC432">IF(B432=6,AVERAGE(Z421:Z426),"N/A")</f>
        <v>N/A</v>
      </c>
      <c r="AD432" s="483"/>
      <c r="AE432" s="480"/>
      <c r="AF432" s="480"/>
      <c r="AG432" s="480"/>
      <c r="AH432" s="480"/>
      <c r="AI432" s="480"/>
      <c r="AJ432" s="480"/>
      <c r="AK432" s="480"/>
      <c r="AL432" s="480"/>
      <c r="AM432" s="480"/>
      <c r="AN432" s="486"/>
    </row>
    <row r="433" ht="15" customHeight="1" hidden="1">
      <c r="A433" s="12"/>
      <c r="B433" s="479" cm="1">
        <f t="array" ref="B433">IF(B432=0,0,IF(B432&lt;VLOOKUP(C418,'Boats Data Sheet 2026'!$C$3:$H$57,6,0),B432+1,0))</f>
        <v>0</v>
      </c>
      <c r="C433" t="str" s="482" cm="1">
        <f t="array" ref="C433">IF(B433&gt;0,IF(VLOOKUP(C418,'Boats Data Sheet 2026'!$C$3:$J$57,8,0)="N/A",0,VLOOKUP(C418,'Boats Data Sheet 2026'!$C$3:$J$57,8,0)),"N/A")</f>
        <v>N/A</v>
      </c>
      <c r="D433" t="str" s="482" cm="1">
        <f t="array" ref="D433">IF(B433&gt;7,2,IF(B433=0,"N/A",1))</f>
        <v>N/A</v>
      </c>
      <c r="E433" t="str" s="482" cm="1">
        <f t="array" ref="E433">_xlfn.IFERROR(SUM('Direct Costs 2026'!$C$4:$C$5)*D433,"N/A")</f>
        <v>N/A</v>
      </c>
      <c r="F433" s="480" cm="1">
        <f t="array" ref="F433">_xlfn.IFERROR('Direct Costs 2026'!$C$43*B433,"N/A")</f>
        <v>0</v>
      </c>
      <c r="G433" t="str" s="482" cm="1">
        <f t="array" ref="G433">IF(B433&gt;0,'Direct Costs 2026'!$C$25,"N/A")</f>
        <v>N/A</v>
      </c>
      <c r="H433" t="str" s="482" cm="1">
        <f t="array" ref="H433">IF(B433&gt;0,'Direct Costs 2026'!$C$15+'Direct Costs 2026'!$C$14,"N/A")</f>
        <v>N/A</v>
      </c>
      <c r="I433" s="480">
        <v>0</v>
      </c>
      <c r="J433" s="480">
        <v>0</v>
      </c>
      <c r="K433" t="str" s="482" cm="1">
        <f t="array" ref="K433">IF(B433&gt;0,'Direct Costs 2026'!$C$26,"N/A")</f>
        <v>N/A</v>
      </c>
      <c r="L433" t="str" s="482" cm="1">
        <f t="array" ref="L433">IF(B433&gt;0,'Direct Costs 2026'!$C$23,"N/A")</f>
        <v>N/A</v>
      </c>
      <c r="M433" t="str" s="482" cm="1">
        <f t="array" ref="M433">IF(B433&gt;0,'Direct Costs 2026'!$C$45*B433,"N/A")</f>
        <v>N/A</v>
      </c>
      <c r="N433" t="str" s="482" cm="1">
        <f t="array" ref="N433">IF(B433&gt;0,_xlfn.IFERROR(VLOOKUP(C418,'Boats Data Sheet 2026'!$C$3:$I$57,7,0)*'Direct Costs 2026'!$C$36,"N/A"),"N/A")</f>
        <v>N/A</v>
      </c>
      <c r="O433" t="str" s="482" cm="1">
        <f t="array" ref="O433">IF(B433&gt;0,IF(OR(VLOOKUP(C418,'Boats Data Sheet 2026'!$C$3:$F$57,4,0)="Own",VLOOKUP(C418,'Boats Data Sheet 2026'!$C$3:$F$57,4,0)="Management"),('Direct Costs 2026'!$C$37+'Direct Costs 2026'!$C$39),"N/A"),"N/A")</f>
        <v>N/A</v>
      </c>
      <c r="P433" t="str" s="482" cm="1">
        <f t="array" ref="P433">_xlfn.IFERROR('Direct Costs 2026'!$C$27*C433,"N/A")</f>
        <v>N/A</v>
      </c>
      <c r="Q433" t="str" s="482" cm="1">
        <f t="array" ref="Q433">_xlfn.IFERROR(C433+SUM(E433:P433),"N/A")</f>
        <v>N/A</v>
      </c>
      <c r="R433" s="483"/>
      <c r="S433" t="str" s="482" cm="1">
        <f t="array" ref="S433">IF(B433&gt;0,'Allocation OH and Target 2026'!$E$31,"N/A")</f>
        <v>N/A</v>
      </c>
      <c r="T433" t="str" s="482" cm="1">
        <f t="array" ref="T433">IF(B433&gt;0,VLOOKUP(C418,'Allocation OH and Target 2026'!$C$35:$S$87,16,0),"N/A")</f>
        <v>N/A</v>
      </c>
      <c r="U433" t="str" s="482" cm="1">
        <f t="array" ref="U433">_xlfn.IFERROR((S433+T433),"N/A")</f>
        <v>N/A</v>
      </c>
      <c r="V433" s="483"/>
      <c r="W433" t="str" s="482" cm="1">
        <f t="array" ref="W433">_xlfn.IFERROR(U433+Q433,"N/A")</f>
        <v>N/A</v>
      </c>
      <c r="X433" t="str" s="482" cm="1">
        <f t="array" ref="X433">_xlfn.IFERROR(W433*0.5%,"N/A")</f>
        <v>N/A</v>
      </c>
      <c r="Y433" t="str" s="482" cm="1">
        <f t="array" ref="Y433">_xlfn.IFERROR(W433*25%,"N/A")</f>
        <v>N/A</v>
      </c>
      <c r="Z433" t="str" s="485" cm="1">
        <f t="array" ref="Z433">IF(B433&gt;0,SUM(W433:Y433),"N/A")</f>
        <v>N/A</v>
      </c>
      <c r="AA433" t="str" s="485" cm="1">
        <f t="array" ref="AA433">_xlfn.IFERROR((Z433-AVERAGE(Z421:Z426)),"N/A")</f>
        <v>N/A</v>
      </c>
      <c r="AB433" s="483"/>
      <c r="AC433" t="str" s="485" cm="1">
        <f t="array" ref="AC433">IF(B433=6,AVERAGE(Z421:Z426),"N/A")</f>
        <v>N/A</v>
      </c>
      <c r="AD433" s="483"/>
      <c r="AE433" s="480"/>
      <c r="AF433" s="480"/>
      <c r="AG433" s="480"/>
      <c r="AH433" s="480"/>
      <c r="AI433" s="480"/>
      <c r="AJ433" s="480"/>
      <c r="AK433" s="480"/>
      <c r="AL433" s="480"/>
      <c r="AM433" s="480"/>
      <c r="AN433" s="486"/>
    </row>
    <row r="434" ht="15" customHeight="1" hidden="1">
      <c r="A434" s="12"/>
      <c r="B434" s="479" cm="1">
        <f t="array" ref="B434">IF(B433=0,0,IF(B433&lt;VLOOKUP(C418,'Boats Data Sheet 2026'!$C$3:$H$57,6,0),B433+1,0))</f>
        <v>0</v>
      </c>
      <c r="C434" t="str" s="482" cm="1">
        <f t="array" ref="C434">IF(B434&gt;0,IF(VLOOKUP(C418,'Boats Data Sheet 2026'!$C$3:$J$57,8,0)="N/A",0,VLOOKUP(C418,'Boats Data Sheet 2026'!$C$3:$J$57,8,0)),"N/A")</f>
        <v>N/A</v>
      </c>
      <c r="D434" t="str" s="482" cm="1">
        <f t="array" ref="D434">IF(B434&gt;7,2,IF(B434=0,"N/A",1))</f>
        <v>N/A</v>
      </c>
      <c r="E434" t="str" s="482" cm="1">
        <f t="array" ref="E434">_xlfn.IFERROR(SUM('Direct Costs 2026'!$C$4:$C$5)*D434,"N/A")</f>
        <v>N/A</v>
      </c>
      <c r="F434" s="480" cm="1">
        <f t="array" ref="F434">_xlfn.IFERROR('Direct Costs 2026'!$C$43*B434,"N/A")</f>
        <v>0</v>
      </c>
      <c r="G434" t="str" s="482" cm="1">
        <f t="array" ref="G434">IF(B434&gt;0,'Direct Costs 2026'!$C$25,"N/A")</f>
        <v>N/A</v>
      </c>
      <c r="H434" t="str" s="482" cm="1">
        <f t="array" ref="H434">IF(B434&gt;0,'Direct Costs 2026'!$C$15+'Direct Costs 2026'!$C$14,"N/A")</f>
        <v>N/A</v>
      </c>
      <c r="I434" s="480">
        <v>0</v>
      </c>
      <c r="J434" s="480">
        <v>0</v>
      </c>
      <c r="K434" t="str" s="482" cm="1">
        <f t="array" ref="K434">IF(B434&gt;0,'Direct Costs 2026'!$C$26,"N/A")</f>
        <v>N/A</v>
      </c>
      <c r="L434" t="str" s="482" cm="1">
        <f t="array" ref="L434">IF(B434&gt;0,'Direct Costs 2026'!$C$23,"N/A")</f>
        <v>N/A</v>
      </c>
      <c r="M434" t="str" s="482" cm="1">
        <f t="array" ref="M434">IF(B434&gt;0,'Direct Costs 2026'!$C$45*B434,"N/A")</f>
        <v>N/A</v>
      </c>
      <c r="N434" t="str" s="482" cm="1">
        <f t="array" ref="N434">IF(B434&gt;0,_xlfn.IFERROR(VLOOKUP(C418,'Boats Data Sheet 2026'!$C$3:$I$57,7,0)*'Direct Costs 2026'!$C$36,"N/A"),"N/A")</f>
        <v>N/A</v>
      </c>
      <c r="O434" t="str" s="482" cm="1">
        <f t="array" ref="O434">IF(B434&gt;0,IF(OR(VLOOKUP(C418,'Boats Data Sheet 2026'!$C$3:$F$57,4,0)="Own",VLOOKUP(C418,'Boats Data Sheet 2026'!$C$3:$F$57,4,0)="Management"),('Direct Costs 2026'!$C$37+'Direct Costs 2026'!$C$39),"N/A"),"N/A")</f>
        <v>N/A</v>
      </c>
      <c r="P434" t="str" s="482" cm="1">
        <f t="array" ref="P434">_xlfn.IFERROR('Direct Costs 2026'!$C$27*C434,"N/A")</f>
        <v>N/A</v>
      </c>
      <c r="Q434" t="str" s="482" cm="1">
        <f t="array" ref="Q434">_xlfn.IFERROR(C434+SUM(E434:P434),"N/A")</f>
        <v>N/A</v>
      </c>
      <c r="R434" s="483"/>
      <c r="S434" t="str" s="482" cm="1">
        <f t="array" ref="S434">IF(B434&gt;0,'Allocation OH and Target 2026'!$E$31,"N/A")</f>
        <v>N/A</v>
      </c>
      <c r="T434" t="str" s="482" cm="1">
        <f t="array" ref="T434">IF(B434&gt;0,VLOOKUP(C418,'Allocation OH and Target 2026'!$C$35:$S$87,16,0),"N/A")</f>
        <v>N/A</v>
      </c>
      <c r="U434" t="str" s="482" cm="1">
        <f t="array" ref="U434">_xlfn.IFERROR((S434+T434),"N/A")</f>
        <v>N/A</v>
      </c>
      <c r="V434" s="483"/>
      <c r="W434" t="str" s="482" cm="1">
        <f t="array" ref="W434">_xlfn.IFERROR(U434+Q434,"N/A")</f>
        <v>N/A</v>
      </c>
      <c r="X434" t="str" s="482" cm="1">
        <f t="array" ref="X434">_xlfn.IFERROR(W434*0.5%,"N/A")</f>
        <v>N/A</v>
      </c>
      <c r="Y434" t="str" s="482" cm="1">
        <f t="array" ref="Y434">_xlfn.IFERROR(W434*25%,"N/A")</f>
        <v>N/A</v>
      </c>
      <c r="Z434" t="str" s="485" cm="1">
        <f t="array" ref="Z434">IF(B434&gt;0,SUM(W434:Y434),"N/A")</f>
        <v>N/A</v>
      </c>
      <c r="AA434" t="str" s="485" cm="1">
        <f t="array" ref="AA434">_xlfn.IFERROR((Z434-AVERAGE(Z421:Z426)),"N/A")</f>
        <v>N/A</v>
      </c>
      <c r="AB434" s="483"/>
      <c r="AC434" t="str" s="485" cm="1">
        <f t="array" ref="AC434">IF(B434=6,AVERAGE(Z421:Z426),"N/A")</f>
        <v>N/A</v>
      </c>
      <c r="AD434" s="483"/>
      <c r="AE434" s="480"/>
      <c r="AF434" s="480"/>
      <c r="AG434" s="480"/>
      <c r="AH434" s="480"/>
      <c r="AI434" s="480"/>
      <c r="AJ434" s="480"/>
      <c r="AK434" s="480"/>
      <c r="AL434" s="480"/>
      <c r="AM434" s="480"/>
      <c r="AN434" s="486"/>
    </row>
    <row r="435" ht="15" customHeight="1" hidden="1">
      <c r="A435" s="12"/>
      <c r="B435" s="479" cm="1">
        <f t="array" ref="B435">IF(B434=0,0,IF(B434&lt;VLOOKUP(C418,'Boats Data Sheet 2026'!$C$3:$H$57,6,0),B434+1,0))</f>
        <v>0</v>
      </c>
      <c r="C435" t="str" s="482" cm="1">
        <f t="array" ref="C435">IF(B435&gt;0,IF(VLOOKUP(C418,'Boats Data Sheet 2026'!$C$3:$J$57,8,0)="N/A",0,VLOOKUP(C418,'Boats Data Sheet 2026'!$C$3:$J$57,8,0)),"N/A")</f>
        <v>N/A</v>
      </c>
      <c r="D435" t="str" s="482" cm="1">
        <f t="array" ref="D435">IF(B435&gt;7,2,IF(B435=0,"N/A",1))</f>
        <v>N/A</v>
      </c>
      <c r="E435" t="str" s="482" cm="1">
        <f t="array" ref="E435">_xlfn.IFERROR(SUM('Direct Costs 2026'!$C$4:$C$5)*D435,"N/A")</f>
        <v>N/A</v>
      </c>
      <c r="F435" s="480" cm="1">
        <f t="array" ref="F435">_xlfn.IFERROR('Direct Costs 2026'!$C$43*B435,"N/A")</f>
        <v>0</v>
      </c>
      <c r="G435" t="str" s="482" cm="1">
        <f t="array" ref="G435">IF(B435&gt;0,'Direct Costs 2026'!$C$25,"N/A")</f>
        <v>N/A</v>
      </c>
      <c r="H435" t="str" s="482" cm="1">
        <f t="array" ref="H435">IF(B435&gt;0,'Direct Costs 2026'!$C$15+'Direct Costs 2026'!$C$14,"N/A")</f>
        <v>N/A</v>
      </c>
      <c r="I435" s="480">
        <v>0</v>
      </c>
      <c r="J435" s="480">
        <v>0</v>
      </c>
      <c r="K435" t="str" s="482" cm="1">
        <f t="array" ref="K435">IF(B435&gt;0,'Direct Costs 2026'!$C$26,"N/A")</f>
        <v>N/A</v>
      </c>
      <c r="L435" t="str" s="482" cm="1">
        <f t="array" ref="L435">IF(B435&gt;0,'Direct Costs 2026'!$C$23,"N/A")</f>
        <v>N/A</v>
      </c>
      <c r="M435" t="str" s="482" cm="1">
        <f t="array" ref="M435">IF(B435&gt;0,'Direct Costs 2026'!$C$45*B435,"N/A")</f>
        <v>N/A</v>
      </c>
      <c r="N435" t="str" s="482" cm="1">
        <f t="array" ref="N435">IF(B435&gt;0,_xlfn.IFERROR(VLOOKUP(C418,'Boats Data Sheet 2026'!$C$3:$I$57,7,0)*'Direct Costs 2026'!$C$36,"N/A"),"N/A")</f>
        <v>N/A</v>
      </c>
      <c r="O435" t="str" s="482" cm="1">
        <f t="array" ref="O435">IF(B435&gt;0,IF(OR(VLOOKUP(C418,'Boats Data Sheet 2026'!$C$3:$F$57,4,0)="Own",VLOOKUP(C418,'Boats Data Sheet 2026'!$C$3:$F$57,4,0)="Management"),('Direct Costs 2026'!$C$37+'Direct Costs 2026'!$C$39),"N/A"),"N/A")</f>
        <v>N/A</v>
      </c>
      <c r="P435" t="str" s="482" cm="1">
        <f t="array" ref="P435">_xlfn.IFERROR('Direct Costs 2026'!$C$27*C435,"N/A")</f>
        <v>N/A</v>
      </c>
      <c r="Q435" t="str" s="482" cm="1">
        <f t="array" ref="Q435">_xlfn.IFERROR(C435+SUM(E435:P435),"N/A")</f>
        <v>N/A</v>
      </c>
      <c r="R435" s="483"/>
      <c r="S435" t="str" s="482" cm="1">
        <f t="array" ref="S435">IF(B435&gt;0,'Allocation OH and Target 2026'!$E$31,"N/A")</f>
        <v>N/A</v>
      </c>
      <c r="T435" t="str" s="482" cm="1">
        <f t="array" ref="T435">IF(B435&gt;0,VLOOKUP(C418,'Allocation OH and Target 2026'!$C$35:$S$87,16,0),"N/A")</f>
        <v>N/A</v>
      </c>
      <c r="U435" t="str" s="482" cm="1">
        <f t="array" ref="U435">_xlfn.IFERROR((S435+T435),"N/A")</f>
        <v>N/A</v>
      </c>
      <c r="V435" s="483"/>
      <c r="W435" t="str" s="482" cm="1">
        <f t="array" ref="W435">_xlfn.IFERROR(U435+Q435,"N/A")</f>
        <v>N/A</v>
      </c>
      <c r="X435" t="str" s="482" cm="1">
        <f t="array" ref="X435">_xlfn.IFERROR(W435*0.5%,"N/A")</f>
        <v>N/A</v>
      </c>
      <c r="Y435" t="str" s="482" cm="1">
        <f t="array" ref="Y435">_xlfn.IFERROR(W435*25%,"N/A")</f>
        <v>N/A</v>
      </c>
      <c r="Z435" t="str" s="485" cm="1">
        <f t="array" ref="Z435">IF(B435&gt;0,SUM(W435:Y435),"N/A")</f>
        <v>N/A</v>
      </c>
      <c r="AA435" t="str" s="485" cm="1">
        <f t="array" ref="AA435">_xlfn.IFERROR((Z435-AVERAGE(Z421:Z426)),"N/A")</f>
        <v>N/A</v>
      </c>
      <c r="AB435" s="483"/>
      <c r="AC435" t="str" s="485" cm="1">
        <f t="array" ref="AC435">IF(B435=6,AVERAGE(Z421:Z426),"N/A")</f>
        <v>N/A</v>
      </c>
      <c r="AD435" s="483"/>
      <c r="AE435" s="480"/>
      <c r="AF435" s="480"/>
      <c r="AG435" s="480"/>
      <c r="AH435" s="480"/>
      <c r="AI435" s="480"/>
      <c r="AJ435" s="480"/>
      <c r="AK435" s="480"/>
      <c r="AL435" s="480"/>
      <c r="AM435" s="480"/>
      <c r="AN435" s="486"/>
    </row>
    <row r="436" ht="15" customHeight="1" hidden="1">
      <c r="A436" s="12"/>
      <c r="B436" s="479" cm="1">
        <f t="array" ref="B436">IF(B435=0,0,IF(B435&lt;VLOOKUP(C418,'Boats Data Sheet 2026'!$C$3:$H$57,6,0),B435+1,0))</f>
        <v>0</v>
      </c>
      <c r="C436" t="str" s="482" cm="1">
        <f t="array" ref="C436">IF(B436&gt;0,IF(VLOOKUP(C418,'Boats Data Sheet 2026'!$C$3:$J$57,8,0)="N/A",0,VLOOKUP(C418,'Boats Data Sheet 2026'!$C$3:$J$57,8,0)),"N/A")</f>
        <v>N/A</v>
      </c>
      <c r="D436" t="str" s="482" cm="1">
        <f t="array" ref="D436">IF(B436&gt;7,2,IF(B436=0,"N/A",1))</f>
        <v>N/A</v>
      </c>
      <c r="E436" t="str" s="482" cm="1">
        <f t="array" ref="E436">_xlfn.IFERROR(SUM('Direct Costs 2026'!$C$4:$C$5)*D436,"N/A")</f>
        <v>N/A</v>
      </c>
      <c r="F436" s="480" cm="1">
        <f t="array" ref="F436">_xlfn.IFERROR('Direct Costs 2026'!$C$43*B436,"N/A")</f>
        <v>0</v>
      </c>
      <c r="G436" t="str" s="482" cm="1">
        <f t="array" ref="G436">IF(B436&gt;0,'Direct Costs 2026'!$C$25,"N/A")</f>
        <v>N/A</v>
      </c>
      <c r="H436" t="str" s="482" cm="1">
        <f t="array" ref="H436">IF(B436&gt;0,'Direct Costs 2026'!$C$15+'Direct Costs 2026'!$C$14,"N/A")</f>
        <v>N/A</v>
      </c>
      <c r="I436" s="480">
        <v>0</v>
      </c>
      <c r="J436" s="480">
        <v>0</v>
      </c>
      <c r="K436" t="str" s="482" cm="1">
        <f t="array" ref="K436">IF(B436&gt;0,'Direct Costs 2026'!$C$26,"N/A")</f>
        <v>N/A</v>
      </c>
      <c r="L436" t="str" s="482" cm="1">
        <f t="array" ref="L436">IF(B436&gt;0,'Direct Costs 2026'!$C$23,"N/A")</f>
        <v>N/A</v>
      </c>
      <c r="M436" t="str" s="482" cm="1">
        <f t="array" ref="M436">IF(B436&gt;0,'Direct Costs 2026'!$C$45*B436,"N/A")</f>
        <v>N/A</v>
      </c>
      <c r="N436" t="str" s="482" cm="1">
        <f t="array" ref="N436">IF(B436&gt;0,_xlfn.IFERROR(VLOOKUP(C418,'Boats Data Sheet 2026'!$C$3:$I$57,7,0)*'Direct Costs 2026'!$C$36,"N/A"),"N/A")</f>
        <v>N/A</v>
      </c>
      <c r="O436" t="str" s="482" cm="1">
        <f t="array" ref="O436">IF(B436&gt;0,IF(OR(VLOOKUP(C418,'Boats Data Sheet 2026'!$C$3:$F$57,4,0)="Own",VLOOKUP(C418,'Boats Data Sheet 2026'!$C$3:$F$57,4,0)="Management"),('Direct Costs 2026'!$C$37+'Direct Costs 2026'!$C$39),"N/A"),"N/A")</f>
        <v>N/A</v>
      </c>
      <c r="P436" t="str" s="482" cm="1">
        <f t="array" ref="P436">_xlfn.IFERROR('Direct Costs 2026'!$C$27*C436,"N/A")</f>
        <v>N/A</v>
      </c>
      <c r="Q436" t="str" s="482" cm="1">
        <f t="array" ref="Q436">_xlfn.IFERROR(C436+SUM(E436:P436),"N/A")</f>
        <v>N/A</v>
      </c>
      <c r="R436" s="483"/>
      <c r="S436" t="str" s="482" cm="1">
        <f t="array" ref="S436">IF(B436&gt;0,'Allocation OH and Target 2026'!$E$31,"N/A")</f>
        <v>N/A</v>
      </c>
      <c r="T436" t="str" s="482" cm="1">
        <f t="array" ref="T436">IF(B436&gt;0,VLOOKUP(C418,'Allocation OH and Target 2026'!$C$35:$S$87,16,0),"N/A")</f>
        <v>N/A</v>
      </c>
      <c r="U436" t="str" s="482" cm="1">
        <f t="array" ref="U436">_xlfn.IFERROR((S436+T436),"N/A")</f>
        <v>N/A</v>
      </c>
      <c r="V436" s="483"/>
      <c r="W436" t="str" s="482" cm="1">
        <f t="array" ref="W436">_xlfn.IFERROR(U436+Q436,"N/A")</f>
        <v>N/A</v>
      </c>
      <c r="X436" t="str" s="482" cm="1">
        <f t="array" ref="X436">_xlfn.IFERROR(W436*0.5%,"N/A")</f>
        <v>N/A</v>
      </c>
      <c r="Y436" t="str" s="482" cm="1">
        <f t="array" ref="Y436">_xlfn.IFERROR(W436*25%,"N/A")</f>
        <v>N/A</v>
      </c>
      <c r="Z436" t="str" s="485" cm="1">
        <f t="array" ref="Z436">IF(B436&gt;0,SUM(W436:Y436),"N/A")</f>
        <v>N/A</v>
      </c>
      <c r="AA436" t="str" s="485" cm="1">
        <f t="array" ref="AA436">_xlfn.IFERROR((Z436-AVERAGE(Z421:Z426)),"N/A")</f>
        <v>N/A</v>
      </c>
      <c r="AB436" s="483"/>
      <c r="AC436" t="str" s="485" cm="1">
        <f t="array" ref="AC436">IF(B436=6,AVERAGE(Z421:Z426),"N/A")</f>
        <v>N/A</v>
      </c>
      <c r="AD436" s="483"/>
      <c r="AE436" s="480"/>
      <c r="AF436" s="480"/>
      <c r="AG436" s="480"/>
      <c r="AH436" s="480"/>
      <c r="AI436" s="480"/>
      <c r="AJ436" s="480"/>
      <c r="AK436" s="480"/>
      <c r="AL436" s="480"/>
      <c r="AM436" s="480"/>
      <c r="AN436" s="486"/>
    </row>
    <row r="437" ht="15" customHeight="1" hidden="1">
      <c r="A437" s="12"/>
      <c r="B437" s="479" cm="1">
        <f t="array" ref="B437">IF(B436=0,0,IF(B436&lt;VLOOKUP(C418,'Boats Data Sheet 2026'!$C$3:$H$57,6,0),B436+1,0))</f>
        <v>0</v>
      </c>
      <c r="C437" t="str" s="482" cm="1">
        <f t="array" ref="C437">IF(B437&gt;0,IF(VLOOKUP(C418,'Boats Data Sheet 2026'!$C$3:$J$57,8,0)="N/A",0,VLOOKUP(C418,'Boats Data Sheet 2026'!$C$3:$J$57,8,0)),"N/A")</f>
        <v>N/A</v>
      </c>
      <c r="D437" t="str" s="482" cm="1">
        <f t="array" ref="D437">IF(B437&gt;7,2,IF(B437=0,"N/A",1))</f>
        <v>N/A</v>
      </c>
      <c r="E437" t="str" s="482" cm="1">
        <f t="array" ref="E437">_xlfn.IFERROR(SUM('Direct Costs 2026'!$C$4:$C$5)*D437,"N/A")</f>
        <v>N/A</v>
      </c>
      <c r="F437" s="480" cm="1">
        <f t="array" ref="F437">_xlfn.IFERROR('Direct Costs 2026'!$C$43*B437,"N/A")</f>
        <v>0</v>
      </c>
      <c r="G437" t="str" s="482" cm="1">
        <f t="array" ref="G437">IF(B437&gt;0,'Direct Costs 2026'!$C$25,"N/A")</f>
        <v>N/A</v>
      </c>
      <c r="H437" t="str" s="482" cm="1">
        <f t="array" ref="H437">IF(B437&gt;0,'Direct Costs 2026'!$C$15+'Direct Costs 2026'!$C$14,"N/A")</f>
        <v>N/A</v>
      </c>
      <c r="I437" s="480">
        <v>0</v>
      </c>
      <c r="J437" s="480">
        <v>0</v>
      </c>
      <c r="K437" t="str" s="482" cm="1">
        <f t="array" ref="K437">IF(B437&gt;0,'Direct Costs 2026'!$C$26,"N/A")</f>
        <v>N/A</v>
      </c>
      <c r="L437" t="str" s="482" cm="1">
        <f t="array" ref="L437">IF(B437&gt;0,'Direct Costs 2026'!$C$23,"N/A")</f>
        <v>N/A</v>
      </c>
      <c r="M437" t="str" s="482" cm="1">
        <f t="array" ref="M437">IF(B437&gt;0,'Direct Costs 2026'!$C$45*B437,"N/A")</f>
        <v>N/A</v>
      </c>
      <c r="N437" t="str" s="482" cm="1">
        <f t="array" ref="N437">IF(B437&gt;0,_xlfn.IFERROR(VLOOKUP(C418,'Boats Data Sheet 2026'!$C$3:$I$57,7,0)*'Direct Costs 2026'!$C$36,"N/A"),"N/A")</f>
        <v>N/A</v>
      </c>
      <c r="O437" t="str" s="482" cm="1">
        <f t="array" ref="O437">IF(B437&gt;0,IF(OR(VLOOKUP(C418,'Boats Data Sheet 2026'!$C$3:$F$57,4,0)="Own",VLOOKUP(C418,'Boats Data Sheet 2026'!$C$3:$F$57,4,0)="Management"),('Direct Costs 2026'!$C$37+'Direct Costs 2026'!$C$39),"N/A"),"N/A")</f>
        <v>N/A</v>
      </c>
      <c r="P437" t="str" s="482" cm="1">
        <f t="array" ref="P437">_xlfn.IFERROR('Direct Costs 2026'!$C$27*C437,"N/A")</f>
        <v>N/A</v>
      </c>
      <c r="Q437" t="str" s="482" cm="1">
        <f t="array" ref="Q437">_xlfn.IFERROR(C437+SUM(E437:P437),"N/A")</f>
        <v>N/A</v>
      </c>
      <c r="R437" s="483"/>
      <c r="S437" t="str" s="482" cm="1">
        <f t="array" ref="S437">IF(B437&gt;0,'Allocation OH and Target 2026'!$E$31,"N/A")</f>
        <v>N/A</v>
      </c>
      <c r="T437" t="str" s="482" cm="1">
        <f t="array" ref="T437">IF(B437&gt;0,VLOOKUP(C418,'Allocation OH and Target 2026'!$C$35:$S$87,16,0),"N/A")</f>
        <v>N/A</v>
      </c>
      <c r="U437" t="str" s="482" cm="1">
        <f t="array" ref="U437">_xlfn.IFERROR((S437+T437),"N/A")</f>
        <v>N/A</v>
      </c>
      <c r="V437" s="483"/>
      <c r="W437" t="str" s="482" cm="1">
        <f t="array" ref="W437">_xlfn.IFERROR(U437+Q437,"N/A")</f>
        <v>N/A</v>
      </c>
      <c r="X437" t="str" s="482" cm="1">
        <f t="array" ref="X437">_xlfn.IFERROR(W437*0.5%,"N/A")</f>
        <v>N/A</v>
      </c>
      <c r="Y437" t="str" s="482" cm="1">
        <f t="array" ref="Y437">_xlfn.IFERROR(W437*25%,"N/A")</f>
        <v>N/A</v>
      </c>
      <c r="Z437" t="str" s="485" cm="1">
        <f t="array" ref="Z437">IF(B437&gt;0,SUM(W437:Y437),"N/A")</f>
        <v>N/A</v>
      </c>
      <c r="AA437" t="str" s="485" cm="1">
        <f t="array" ref="AA437">_xlfn.IFERROR((Z437-AVERAGE(Z421:Z426)),"N/A")</f>
        <v>N/A</v>
      </c>
      <c r="AB437" s="483"/>
      <c r="AC437" t="str" s="485" cm="1">
        <f t="array" ref="AC437">IF(B437=6,AVERAGE(Z421:Z426),"N/A")</f>
        <v>N/A</v>
      </c>
      <c r="AD437" s="483"/>
      <c r="AE437" s="480"/>
      <c r="AF437" s="480"/>
      <c r="AG437" s="480"/>
      <c r="AH437" s="480"/>
      <c r="AI437" s="480"/>
      <c r="AJ437" s="480"/>
      <c r="AK437" s="480"/>
      <c r="AL437" s="480"/>
      <c r="AM437" s="480"/>
      <c r="AN437" s="486"/>
    </row>
    <row r="438" ht="15.5" customHeight="1" hidden="1">
      <c r="A438" s="12"/>
      <c r="B438" s="479" cm="1">
        <f t="array" ref="B438">IF(B437=0,0,IF(B437&lt;VLOOKUP(C418,'Boats Data Sheet 2026'!$C$3:$H$57,6,0),B437+1,0))</f>
        <v>0</v>
      </c>
      <c r="C438" t="str" s="482" cm="1">
        <f t="array" ref="C438">IF(B438&gt;0,IF(VLOOKUP(C418,'Boats Data Sheet 2026'!$C$3:$J$57,8,0)="N/A",0,VLOOKUP(C418,'Boats Data Sheet 2026'!$C$3:$J$57,8,0)),"N/A")</f>
        <v>N/A</v>
      </c>
      <c r="D438" t="str" s="482" cm="1">
        <f t="array" ref="D438">IF(B438&gt;7,2,IF(B438=0,"N/A",1))</f>
        <v>N/A</v>
      </c>
      <c r="E438" t="str" s="482" cm="1">
        <f t="array" ref="E438">_xlfn.IFERROR(SUM('Direct Costs 2026'!$C$4:$C$5)*D438,"N/A")</f>
        <v>N/A</v>
      </c>
      <c r="F438" s="480" cm="1">
        <f t="array" ref="F438">_xlfn.IFERROR('Direct Costs 2026'!$C$43*B438,"N/A")</f>
        <v>0</v>
      </c>
      <c r="G438" t="str" s="482" cm="1">
        <f t="array" ref="G438">IF(B438&gt;0,'Direct Costs 2026'!$C$25,"N/A")</f>
        <v>N/A</v>
      </c>
      <c r="H438" t="str" s="482" cm="1">
        <f t="array" ref="H438">IF(B438&gt;0,'Direct Costs 2026'!$C$15+'Direct Costs 2026'!$C$14,"N/A")</f>
        <v>N/A</v>
      </c>
      <c r="I438" s="480">
        <v>0</v>
      </c>
      <c r="J438" s="480">
        <v>0</v>
      </c>
      <c r="K438" t="str" s="482" cm="1">
        <f t="array" ref="K438">IF(B438&gt;0,'Direct Costs 2026'!$C$26,"N/A")</f>
        <v>N/A</v>
      </c>
      <c r="L438" t="str" s="482" cm="1">
        <f t="array" ref="L438">IF(B438&gt;0,'Direct Costs 2026'!$C$23,"N/A")</f>
        <v>N/A</v>
      </c>
      <c r="M438" t="str" s="482" cm="1">
        <f t="array" ref="M438">IF(B438&gt;0,'Direct Costs 2026'!$C$45*B438,"N/A")</f>
        <v>N/A</v>
      </c>
      <c r="N438" t="str" s="482" cm="1">
        <f t="array" ref="N438">IF(B438&gt;0,_xlfn.IFERROR(VLOOKUP(C418,'Boats Data Sheet 2026'!$C$3:$I$57,7,0)*'Direct Costs 2026'!$C$36,"N/A"),"N/A")</f>
        <v>N/A</v>
      </c>
      <c r="O438" t="str" s="482" cm="1">
        <f t="array" ref="O438">IF(B438&gt;0,IF(OR(VLOOKUP(C418,'Boats Data Sheet 2026'!$C$3:$F$57,4,0)="Own",VLOOKUP(C418,'Boats Data Sheet 2026'!$C$3:$F$57,4,0)="Management"),('Direct Costs 2026'!$C$37+'Direct Costs 2026'!$C$39),"N/A"),"N/A")</f>
        <v>N/A</v>
      </c>
      <c r="P438" t="str" s="482" cm="1">
        <f t="array" ref="P438">_xlfn.IFERROR('Direct Costs 2026'!$C$27*C438,"N/A")</f>
        <v>N/A</v>
      </c>
      <c r="Q438" t="str" s="482" cm="1">
        <f t="array" ref="Q438">_xlfn.IFERROR(C438+SUM(E438:P438),"N/A")</f>
        <v>N/A</v>
      </c>
      <c r="R438" s="483"/>
      <c r="S438" t="str" s="482" cm="1">
        <f t="array" ref="S438">IF(B438&gt;0,'Allocation OH and Target 2026'!$E$31,"N/A")</f>
        <v>N/A</v>
      </c>
      <c r="T438" t="str" s="482" cm="1">
        <f t="array" ref="T438">IF(B438&gt;0,VLOOKUP(C418,'Allocation OH and Target 2026'!$C$35:$S$87,16,0),"N/A")</f>
        <v>N/A</v>
      </c>
      <c r="U438" t="str" s="482" cm="1">
        <f t="array" ref="U438">_xlfn.IFERROR((S438+T438),"N/A")</f>
        <v>N/A</v>
      </c>
      <c r="V438" s="483"/>
      <c r="W438" t="str" s="482" cm="1">
        <f t="array" ref="W438">_xlfn.IFERROR(U438+Q438,"N/A")</f>
        <v>N/A</v>
      </c>
      <c r="X438" t="str" s="482" cm="1">
        <f t="array" ref="X438">_xlfn.IFERROR(W438*0.5%,"N/A")</f>
        <v>N/A</v>
      </c>
      <c r="Y438" t="str" s="482" cm="1">
        <f t="array" ref="Y438">_xlfn.IFERROR(W438*25%,"N/A")</f>
        <v>N/A</v>
      </c>
      <c r="Z438" t="str" s="485" cm="1">
        <f t="array" ref="Z438">IF(B438&gt;0,SUM(W438:Y438),"N/A")</f>
        <v>N/A</v>
      </c>
      <c r="AA438" t="str" s="485" cm="1">
        <f t="array" ref="AA438">_xlfn.IFERROR((Z438-AVERAGE(Z421:Z426)),"N/A")</f>
        <v>N/A</v>
      </c>
      <c r="AB438" s="483"/>
      <c r="AC438" t="str" s="485" cm="1">
        <f t="array" ref="AC438">IF(B438=6,AVERAGE(Z421:Z426),"N/A")</f>
        <v>N/A</v>
      </c>
      <c r="AD438" s="483"/>
      <c r="AE438" s="480"/>
      <c r="AF438" s="480"/>
      <c r="AG438" s="480"/>
      <c r="AH438" s="480"/>
      <c r="AI438" s="480"/>
      <c r="AJ438" s="480"/>
      <c r="AK438" s="480"/>
      <c r="AL438" s="480"/>
      <c r="AM438" s="480"/>
      <c r="AN438" s="486"/>
    </row>
    <row r="439" ht="14.05" customHeight="1">
      <c r="A439" s="32"/>
      <c r="B439" s="477"/>
      <c r="C439" s="477"/>
      <c r="D439" s="477"/>
      <c r="E439" s="477"/>
      <c r="F439" s="477"/>
      <c r="G439" s="477"/>
      <c r="H439" s="477"/>
      <c r="I439" s="477"/>
      <c r="J439" s="477"/>
      <c r="K439" s="477"/>
      <c r="L439" s="477"/>
      <c r="M439" s="477"/>
      <c r="N439" s="477"/>
      <c r="O439" s="477"/>
      <c r="P439" s="477"/>
      <c r="Q439" s="477"/>
      <c r="R439" s="477"/>
      <c r="S439" s="477"/>
      <c r="T439" s="477"/>
      <c r="U439" s="477"/>
      <c r="V439" s="477"/>
      <c r="W439" s="477"/>
      <c r="X439" s="477"/>
      <c r="Y439" s="477"/>
      <c r="Z439" s="477"/>
      <c r="AA439" s="477"/>
      <c r="AB439" s="477"/>
      <c r="AC439" s="477"/>
      <c r="AD439" s="477"/>
      <c r="AE439" s="477"/>
      <c r="AF439" s="477"/>
      <c r="AG439" s="477"/>
      <c r="AH439" s="477"/>
      <c r="AI439" s="477"/>
      <c r="AJ439" s="477"/>
      <c r="AK439" s="477"/>
      <c r="AL439" s="477"/>
      <c r="AM439" s="477"/>
      <c r="AN439" s="478"/>
    </row>
    <row r="440" ht="15" customHeight="1">
      <c r="A440" s="32"/>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442"/>
    </row>
    <row r="441" ht="15.5" customHeight="1">
      <c r="A441" s="395">
        <v>21</v>
      </c>
      <c r="B441" t="s" s="444">
        <v>506</v>
      </c>
      <c r="C441" t="s" s="445">
        <v>203</v>
      </c>
      <c r="D441" s="446"/>
      <c r="E441" t="s" s="447">
        <v>542</v>
      </c>
      <c r="F441" s="446"/>
      <c r="G441" s="446"/>
      <c r="H441" s="446"/>
      <c r="I441" s="446"/>
      <c r="J441" s="446"/>
      <c r="K441" s="446"/>
      <c r="L441" s="446"/>
      <c r="M441" s="446"/>
      <c r="N441" s="446"/>
      <c r="O441" s="446"/>
      <c r="P441" s="446"/>
      <c r="Q441" s="446"/>
      <c r="R441" s="446"/>
      <c r="S441" s="446"/>
      <c r="T441" s="446"/>
      <c r="U441" s="446"/>
      <c r="V441" s="446"/>
      <c r="W441" s="446"/>
      <c r="X441" s="446"/>
      <c r="Y441" s="446"/>
      <c r="Z441" s="446"/>
      <c r="AA441" s="446"/>
      <c r="AB441" s="446"/>
      <c r="AC441" s="446"/>
      <c r="AD441" s="446"/>
      <c r="AE441" t="s" s="445">
        <v>508</v>
      </c>
      <c r="AF441" s="448" cm="1">
        <f t="array" ref="AF441">AVERAGE(Q444:Q449)</f>
        <v>10061500</v>
      </c>
      <c r="AG441" t="s" s="449">
        <v>509</v>
      </c>
      <c r="AH441" s="448" cm="1">
        <f t="array" ref="AH441">AVERAGE(Q450:Q457)-AF441</f>
        <v>1665583.33333333</v>
      </c>
      <c r="AI441" t="s" s="449">
        <v>510</v>
      </c>
      <c r="AJ441" s="448" cm="1">
        <f t="array" ref="AJ441">AVERAGE(Y444:Y451)</f>
        <v>3356846.16442453</v>
      </c>
      <c r="AK441" t="s" s="445">
        <v>511</v>
      </c>
      <c r="AL441" s="448" cm="1">
        <f t="array" ref="AL441">AVERAGE(W444:W449)</f>
        <v>13161947.1576981</v>
      </c>
      <c r="AM441" t="s" s="449">
        <v>512</v>
      </c>
      <c r="AN441" s="450" cm="1">
        <f t="array" ref="AN441">W444</f>
        <v>12771947.1576981</v>
      </c>
    </row>
    <row r="442" ht="15" customHeight="1">
      <c r="A442" s="12"/>
      <c r="B442" s="451"/>
      <c r="C442" t="s" s="452">
        <v>513</v>
      </c>
      <c r="D442" s="453"/>
      <c r="E442" s="453"/>
      <c r="F442" s="453"/>
      <c r="G442" s="453"/>
      <c r="H442" s="453"/>
      <c r="I442" s="453"/>
      <c r="J442" s="453"/>
      <c r="K442" s="453"/>
      <c r="L442" s="453"/>
      <c r="M442" s="453"/>
      <c r="N442" s="453"/>
      <c r="O442" s="453"/>
      <c r="P442" s="453"/>
      <c r="Q442" s="454"/>
      <c r="R442" s="455"/>
      <c r="S442" t="s" s="452">
        <v>514</v>
      </c>
      <c r="T442" s="453"/>
      <c r="U442" s="454"/>
      <c r="V442" s="455"/>
      <c r="W442" t="s" s="452">
        <v>515</v>
      </c>
      <c r="X442" s="453"/>
      <c r="Y442" s="453"/>
      <c r="Z442" s="453"/>
      <c r="AA442" s="453"/>
      <c r="AB442" s="456"/>
      <c r="AC442" s="457"/>
      <c r="AD442" s="457"/>
      <c r="AE442" s="457"/>
      <c r="AF442" s="457"/>
      <c r="AG442" s="457"/>
      <c r="AH442" s="457"/>
      <c r="AI442" s="457"/>
      <c r="AJ442" s="457"/>
      <c r="AK442" s="457"/>
      <c r="AL442" s="458"/>
      <c r="AM442" s="459"/>
      <c r="AN442" s="458"/>
    </row>
    <row r="443" ht="46.25" customHeight="1">
      <c r="A443" s="187"/>
      <c r="B443" t="s" s="460">
        <v>517</v>
      </c>
      <c r="C443" t="s" s="461">
        <v>518</v>
      </c>
      <c r="D443" t="s" s="461">
        <v>519</v>
      </c>
      <c r="E443" t="s" s="461">
        <v>520</v>
      </c>
      <c r="F443" t="s" s="461">
        <v>521</v>
      </c>
      <c r="G443" t="s" s="461">
        <v>522</v>
      </c>
      <c r="H443" t="s" s="461">
        <v>553</v>
      </c>
      <c r="I443" t="s" s="461">
        <v>524</v>
      </c>
      <c r="J443" t="s" s="461">
        <v>525</v>
      </c>
      <c r="K443" t="s" s="461">
        <v>526</v>
      </c>
      <c r="L443" t="s" s="461">
        <v>527</v>
      </c>
      <c r="M443" t="s" s="461">
        <v>528</v>
      </c>
      <c r="N443" t="s" s="461">
        <v>529</v>
      </c>
      <c r="O443" t="s" s="461">
        <v>530</v>
      </c>
      <c r="P443" t="s" s="461">
        <v>531</v>
      </c>
      <c r="Q443" t="s" s="461">
        <v>532</v>
      </c>
      <c r="R443" s="462"/>
      <c r="S443" t="s" s="461">
        <v>533</v>
      </c>
      <c r="T443" t="s" s="461">
        <v>534</v>
      </c>
      <c r="U443" t="s" s="461">
        <v>535</v>
      </c>
      <c r="V443" s="462"/>
      <c r="W443" t="s" s="461">
        <v>536</v>
      </c>
      <c r="X443" t="s" s="461">
        <v>537</v>
      </c>
      <c r="Y443" t="s" s="461">
        <v>538</v>
      </c>
      <c r="Z443" t="s" s="461">
        <v>539</v>
      </c>
      <c r="AA443" t="s" s="461">
        <v>121</v>
      </c>
      <c r="AB443" s="463"/>
      <c r="AC443" t="s" s="461">
        <v>39</v>
      </c>
      <c r="AD443" s="463"/>
      <c r="AE443" s="463"/>
      <c r="AF443" s="463"/>
      <c r="AG443" s="463"/>
      <c r="AH443" s="463"/>
      <c r="AI443" s="463"/>
      <c r="AJ443" s="463"/>
      <c r="AK443" s="463"/>
      <c r="AL443" s="463"/>
      <c r="AM443" s="463"/>
      <c r="AN443" s="464"/>
    </row>
    <row r="444" ht="15" customHeight="1" hidden="1">
      <c r="A444" s="12"/>
      <c r="B444" s="479">
        <v>1</v>
      </c>
      <c r="C444" s="480" cm="1">
        <f t="array" ref="C444">IF(B444&gt;0,IF(VLOOKUP(C441,'Boats Data Sheet 2026'!$C$3:$J$57,8,0)="N/A",0,VLOOKUP(C441,'Boats Data Sheet 2026'!$C$3:$J$57,8,0)),"N/A")</f>
        <v>8000000</v>
      </c>
      <c r="D444" s="481" cm="1">
        <f t="array" ref="D444">IF(B444&gt;7,2,IF(B444=0,"N/A",1))</f>
        <v>1</v>
      </c>
      <c r="E444" s="480" cm="1">
        <f t="array" ref="E444">_xlfn.IFERROR(SUM('Direct Costs 2026'!$C$4:$C$5)*D444,"N/A")</f>
        <v>875500</v>
      </c>
      <c r="F444" s="480" cm="1">
        <f t="array" ref="F444">_xlfn.IFERROR('Direct Costs 2026'!$C$43*B444,"N/A")</f>
        <v>6000</v>
      </c>
      <c r="G444" s="480" cm="1">
        <f t="array" ref="G444">IF(B444&gt;0,'Direct Costs 2026'!$C$25,"N/A")</f>
        <v>90000</v>
      </c>
      <c r="H444" s="480" cm="1">
        <f t="array" ref="H444">IF(B444&gt;0,'Direct Costs 2026'!$C$15+'Direct Costs 2026'!$C$14,"N/A")</f>
        <v>230000</v>
      </c>
      <c r="I444" s="480">
        <v>0</v>
      </c>
      <c r="J444" s="480">
        <v>0</v>
      </c>
      <c r="K444" s="480" cm="1">
        <f t="array" ref="K444">IF(B444&gt;0,'Direct Costs 2026'!$C$26,"N/A")</f>
        <v>20000</v>
      </c>
      <c r="L444" s="480" cm="1">
        <f t="array" ref="L444">IF(B444&gt;0,'Direct Costs 2026'!$C$23,"N/A")</f>
        <v>140000</v>
      </c>
      <c r="M444" s="480" cm="1">
        <f t="array" ref="M444">IF(B444&gt;0,'Direct Costs 2026'!$C$45*B444,"N/A")</f>
        <v>150000</v>
      </c>
      <c r="N444" t="str" s="482" cm="1">
        <f t="array" ref="N444">IF(B444&gt;0,_xlfn.IFERROR(VLOOKUP(C441,'Boats Data Sheet 2026'!$C$3:$I$57,7,0)*'Direct Costs 2026'!$C$36,"N/A"),"N/A")</f>
        <v>N/A</v>
      </c>
      <c r="O444" t="str" s="482" cm="1">
        <f t="array" ref="O444">IF(B444&gt;0,IF(OR(VLOOKUP(C441,'Boats Data Sheet 2026'!$C$3:$F$57,4,0)="Own",VLOOKUP(C441,'Boats Data Sheet 2026'!$C$3:$F$57,4,0)="Management"),('Direct Costs 2026'!$C$37+'Direct Costs 2026'!$C$39),"N/A"),"N/A")</f>
        <v>N/A</v>
      </c>
      <c r="P444" s="480" cm="1">
        <f t="array" ref="P444">_xlfn.IFERROR('Direct Costs 2026'!$C$27*C444,"N/A")</f>
        <v>160000</v>
      </c>
      <c r="Q444" s="480" cm="1">
        <f t="array" ref="Q444">_xlfn.IFERROR(C444+SUM(E444:P444),"N/A")</f>
        <v>9671500</v>
      </c>
      <c r="R444" s="483"/>
      <c r="S444" s="480" cm="1">
        <f t="array" ref="S444">IF(B444&gt;0,'Allocation OH and Target 2026'!$E$31,"N/A")</f>
        <v>3100447.15769812</v>
      </c>
      <c r="T444" s="480" cm="1">
        <f t="array" ref="T444">IF(B444&gt;0,VLOOKUP(C441,'Allocation OH and Target 2026'!$C$35:$S$87,16,0),"N/A")</f>
        <v>0</v>
      </c>
      <c r="U444" s="480" cm="1">
        <f t="array" ref="U444">_xlfn.IFERROR((S444+T444),"N/A")</f>
        <v>3100447.15769812</v>
      </c>
      <c r="V444" s="483"/>
      <c r="W444" s="480" cm="1">
        <f t="array" ref="W444">_xlfn.IFERROR(U444+Q444,"N/A")</f>
        <v>12771947.1576981</v>
      </c>
      <c r="X444" s="480" cm="1">
        <f t="array" ref="X444">_xlfn.IFERROR(W444*0.5%,"N/A")</f>
        <v>63859.7357884905</v>
      </c>
      <c r="Y444" s="480" cm="1">
        <f t="array" ref="Y444">_xlfn.IFERROR(W444*25%,"N/A")</f>
        <v>3192986.78942453</v>
      </c>
      <c r="Z444" s="484" cm="1">
        <f t="array" ref="Z444">IF(B444&gt;0,SUM(W444:Y444),"N/A")</f>
        <v>16028793.6829111</v>
      </c>
      <c r="AA444" s="484">
        <v>0</v>
      </c>
      <c r="AB444" s="483"/>
      <c r="AC444" t="str" s="485" cm="1">
        <f t="array" ref="AC444">IF(B444=6,AVERAGE(Z444:Z449),"N/A")</f>
        <v>N/A</v>
      </c>
      <c r="AD444" s="483"/>
      <c r="AE444" s="480"/>
      <c r="AF444" s="480"/>
      <c r="AG444" s="480"/>
      <c r="AH444" s="480"/>
      <c r="AI444" s="480"/>
      <c r="AJ444" s="480"/>
      <c r="AK444" s="480"/>
      <c r="AL444" s="480"/>
      <c r="AM444" s="480"/>
      <c r="AN444" s="486"/>
    </row>
    <row r="445" ht="15" customHeight="1" hidden="1">
      <c r="A445" s="12"/>
      <c r="B445" s="479" cm="1">
        <f t="array" ref="B445">IF(B444=0,0,IF(B444&lt;VLOOKUP(C441,'Boats Data Sheet 2026'!$C$3:$H$57,6,0),B444+1,0))</f>
        <v>2</v>
      </c>
      <c r="C445" s="480" cm="1">
        <f t="array" ref="C445">IF(B445&gt;0,IF(VLOOKUP(C441,'Boats Data Sheet 2026'!$C$3:$J$57,8,0)="N/A",0,VLOOKUP(C441,'Boats Data Sheet 2026'!$C$3:$J$57,8,0)),"N/A")</f>
        <v>8000000</v>
      </c>
      <c r="D445" s="481" cm="1">
        <f t="array" ref="D445">IF(B445&gt;7,2,IF(B445=0,"N/A",1))</f>
        <v>1</v>
      </c>
      <c r="E445" s="480" cm="1">
        <f t="array" ref="E445">_xlfn.IFERROR(SUM('Direct Costs 2026'!$C$4:$C$5)*D445,"N/A")</f>
        <v>875500</v>
      </c>
      <c r="F445" s="480" cm="1">
        <f t="array" ref="F445">_xlfn.IFERROR('Direct Costs 2026'!$C$43*B445,"N/A")</f>
        <v>12000</v>
      </c>
      <c r="G445" s="480" cm="1">
        <f t="array" ref="G445">IF(B445&gt;0,'Direct Costs 2026'!$C$25,"N/A")</f>
        <v>90000</v>
      </c>
      <c r="H445" s="480" cm="1">
        <f t="array" ref="H445">IF(B445&gt;0,'Direct Costs 2026'!$C$15+'Direct Costs 2026'!$C$14,"N/A")</f>
        <v>230000</v>
      </c>
      <c r="I445" s="480">
        <v>0</v>
      </c>
      <c r="J445" s="480">
        <v>0</v>
      </c>
      <c r="K445" s="480" cm="1">
        <f t="array" ref="K445">IF(B445&gt;0,'Direct Costs 2026'!$C$26,"N/A")</f>
        <v>20000</v>
      </c>
      <c r="L445" s="480" cm="1">
        <f t="array" ref="L445">IF(B445&gt;0,'Direct Costs 2026'!$C$23,"N/A")</f>
        <v>140000</v>
      </c>
      <c r="M445" s="480" cm="1">
        <f t="array" ref="M445">IF(B445&gt;0,'Direct Costs 2026'!$C$45*B445,"N/A")</f>
        <v>300000</v>
      </c>
      <c r="N445" t="str" s="482" cm="1">
        <f t="array" ref="N445">IF(B445&gt;0,_xlfn.IFERROR(VLOOKUP(C441,'Boats Data Sheet 2026'!$C$3:$I$57,7,0)*'Direct Costs 2026'!$C$36,"N/A"),"N/A")</f>
        <v>N/A</v>
      </c>
      <c r="O445" t="str" s="482" cm="1">
        <f t="array" ref="O445">IF(B445&gt;0,IF(OR(VLOOKUP(C441,'Boats Data Sheet 2026'!$C$3:$F$57,4,0)="Own",VLOOKUP(C441,'Boats Data Sheet 2026'!$C$3:$F$57,4,0)="Management"),('Direct Costs 2026'!$C$37+'Direct Costs 2026'!$C$39),"N/A"),"N/A")</f>
        <v>N/A</v>
      </c>
      <c r="P445" s="480" cm="1">
        <f t="array" ref="P445">_xlfn.IFERROR('Direct Costs 2026'!$C$27*C445,"N/A")</f>
        <v>160000</v>
      </c>
      <c r="Q445" s="480" cm="1">
        <f t="array" ref="Q445">_xlfn.IFERROR(C445+SUM(E445:P445),"N/A")</f>
        <v>9827500</v>
      </c>
      <c r="R445" s="483"/>
      <c r="S445" s="480" cm="1">
        <f t="array" ref="S445">IF(B445&gt;0,'Allocation OH and Target 2026'!$E$31,"N/A")</f>
        <v>3100447.15769812</v>
      </c>
      <c r="T445" s="480" cm="1">
        <f t="array" ref="T445">IF(B445&gt;0,VLOOKUP(C441,'Allocation OH and Target 2026'!$C$35:$S$87,16,0),"N/A")</f>
        <v>0</v>
      </c>
      <c r="U445" s="480" cm="1">
        <f t="array" ref="U445">_xlfn.IFERROR((S445+T445),"N/A")</f>
        <v>3100447.15769812</v>
      </c>
      <c r="V445" s="483"/>
      <c r="W445" s="480" cm="1">
        <f t="array" ref="W445">_xlfn.IFERROR(U445+Q445,"N/A")</f>
        <v>12927947.1576981</v>
      </c>
      <c r="X445" s="480" cm="1">
        <f t="array" ref="X445">_xlfn.IFERROR(W445*0.5%,"N/A")</f>
        <v>64639.7357884905</v>
      </c>
      <c r="Y445" s="480" cm="1">
        <f t="array" ref="Y445">_xlfn.IFERROR(W445*25%,"N/A")</f>
        <v>3231986.78942453</v>
      </c>
      <c r="Z445" s="484" cm="1">
        <f t="array" ref="Z445">IF(B445&gt;0,SUM(W445:Y445),"N/A")</f>
        <v>16224573.6829111</v>
      </c>
      <c r="AA445" s="484">
        <v>0</v>
      </c>
      <c r="AB445" s="483"/>
      <c r="AC445" t="str" s="485" cm="1">
        <f t="array" ref="AC445">IF(B445=6,AVERAGE(Z444:Z449),"N/A")</f>
        <v>N/A</v>
      </c>
      <c r="AD445" s="483"/>
      <c r="AE445" s="480"/>
      <c r="AF445" s="480"/>
      <c r="AG445" s="480"/>
      <c r="AH445" s="480"/>
      <c r="AI445" s="480"/>
      <c r="AJ445" s="480"/>
      <c r="AK445" s="480"/>
      <c r="AL445" s="480"/>
      <c r="AM445" s="480"/>
      <c r="AN445" s="486"/>
    </row>
    <row r="446" ht="15" customHeight="1" hidden="1">
      <c r="A446" s="12"/>
      <c r="B446" s="479" cm="1">
        <f t="array" ref="B446">IF(B445=0,0,IF(B445&lt;VLOOKUP(C441,'Boats Data Sheet 2026'!$C$3:$H$57,6,0),B445+1,0))</f>
        <v>3</v>
      </c>
      <c r="C446" s="480" cm="1">
        <f t="array" ref="C446">IF(B446&gt;0,IF(VLOOKUP(C441,'Boats Data Sheet 2026'!$C$3:$J$57,8,0)="N/A",0,VLOOKUP(C441,'Boats Data Sheet 2026'!$C$3:$J$57,8,0)),"N/A")</f>
        <v>8000000</v>
      </c>
      <c r="D446" s="481" cm="1">
        <f t="array" ref="D446">IF(B446&gt;7,2,IF(B446=0,"N/A",1))</f>
        <v>1</v>
      </c>
      <c r="E446" s="480" cm="1">
        <f t="array" ref="E446">_xlfn.IFERROR(SUM('Direct Costs 2026'!$C$4:$C$5)*D446,"N/A")</f>
        <v>875500</v>
      </c>
      <c r="F446" s="480" cm="1">
        <f t="array" ref="F446">_xlfn.IFERROR('Direct Costs 2026'!$C$43*B446,"N/A")</f>
        <v>18000</v>
      </c>
      <c r="G446" s="480" cm="1">
        <f t="array" ref="G446">IF(B446&gt;0,'Direct Costs 2026'!$C$25,"N/A")</f>
        <v>90000</v>
      </c>
      <c r="H446" s="480" cm="1">
        <f t="array" ref="H446">IF(B446&gt;0,'Direct Costs 2026'!$C$15+'Direct Costs 2026'!$C$14,"N/A")</f>
        <v>230000</v>
      </c>
      <c r="I446" s="480">
        <v>0</v>
      </c>
      <c r="J446" s="480">
        <v>0</v>
      </c>
      <c r="K446" s="480" cm="1">
        <f t="array" ref="K446">IF(B446&gt;0,'Direct Costs 2026'!$C$26,"N/A")</f>
        <v>20000</v>
      </c>
      <c r="L446" s="480" cm="1">
        <f t="array" ref="L446">IF(B446&gt;0,'Direct Costs 2026'!$C$23,"N/A")</f>
        <v>140000</v>
      </c>
      <c r="M446" s="480" cm="1">
        <f t="array" ref="M446">IF(B446&gt;0,'Direct Costs 2026'!$C$45*B446,"N/A")</f>
        <v>450000</v>
      </c>
      <c r="N446" t="str" s="482" cm="1">
        <f t="array" ref="N446">IF(B446&gt;0,_xlfn.IFERROR(VLOOKUP(C441,'Boats Data Sheet 2026'!$C$3:$I$57,7,0)*'Direct Costs 2026'!$C$36,"N/A"),"N/A")</f>
        <v>N/A</v>
      </c>
      <c r="O446" t="str" s="482" cm="1">
        <f t="array" ref="O446">IF(B446&gt;0,IF(OR(VLOOKUP(C441,'Boats Data Sheet 2026'!$C$3:$F$57,4,0)="Own",VLOOKUP(C441,'Boats Data Sheet 2026'!$C$3:$F$57,4,0)="Management"),('Direct Costs 2026'!$C$37+'Direct Costs 2026'!$C$39),"N/A"),"N/A")</f>
        <v>N/A</v>
      </c>
      <c r="P446" s="480" cm="1">
        <f t="array" ref="P446">_xlfn.IFERROR('Direct Costs 2026'!$C$27*C446,"N/A")</f>
        <v>160000</v>
      </c>
      <c r="Q446" s="480" cm="1">
        <f t="array" ref="Q446">_xlfn.IFERROR(C446+SUM(E446:P446),"N/A")</f>
        <v>9983500</v>
      </c>
      <c r="R446" s="483"/>
      <c r="S446" s="480" cm="1">
        <f t="array" ref="S446">IF(B446&gt;0,'Allocation OH and Target 2026'!$E$31,"N/A")</f>
        <v>3100447.15769812</v>
      </c>
      <c r="T446" s="480" cm="1">
        <f t="array" ref="T446">IF(B446&gt;0,VLOOKUP(C441,'Allocation OH and Target 2026'!$C$35:$S$87,16,0),"N/A")</f>
        <v>0</v>
      </c>
      <c r="U446" s="480" cm="1">
        <f t="array" ref="U446">_xlfn.IFERROR((S446+T446),"N/A")</f>
        <v>3100447.15769812</v>
      </c>
      <c r="V446" s="483"/>
      <c r="W446" s="480" cm="1">
        <f t="array" ref="W446">_xlfn.IFERROR(U446+Q446,"N/A")</f>
        <v>13083947.1576981</v>
      </c>
      <c r="X446" s="480" cm="1">
        <f t="array" ref="X446">_xlfn.IFERROR(W446*0.5%,"N/A")</f>
        <v>65419.7357884905</v>
      </c>
      <c r="Y446" s="480" cm="1">
        <f t="array" ref="Y446">_xlfn.IFERROR(W446*25%,"N/A")</f>
        <v>3270986.78942453</v>
      </c>
      <c r="Z446" s="484" cm="1">
        <f t="array" ref="Z446">IF(B446&gt;0,SUM(W446:Y446),"N/A")</f>
        <v>16420353.6829111</v>
      </c>
      <c r="AA446" s="484">
        <v>0</v>
      </c>
      <c r="AB446" s="483"/>
      <c r="AC446" t="str" s="485" cm="1">
        <f t="array" ref="AC446">IF(B446=6,AVERAGE(Z444:Z449),"N/A")</f>
        <v>N/A</v>
      </c>
      <c r="AD446" s="483"/>
      <c r="AE446" s="480"/>
      <c r="AF446" s="480"/>
      <c r="AG446" s="480"/>
      <c r="AH446" s="480"/>
      <c r="AI446" s="480"/>
      <c r="AJ446" s="480"/>
      <c r="AK446" s="480"/>
      <c r="AL446" s="480"/>
      <c r="AM446" s="480"/>
      <c r="AN446" s="486"/>
    </row>
    <row r="447" ht="15" customHeight="1" hidden="1">
      <c r="A447" s="12"/>
      <c r="B447" s="479" cm="1">
        <f t="array" ref="B447">IF(B446=0,0,IF(B446&lt;VLOOKUP(C441,'Boats Data Sheet 2026'!$C$3:$H$57,6,0),B446+1,0))</f>
        <v>4</v>
      </c>
      <c r="C447" s="480" cm="1">
        <f t="array" ref="C447">IF(B447&gt;0,IF(VLOOKUP(C441,'Boats Data Sheet 2026'!$C$3:$J$57,8,0)="N/A",0,VLOOKUP(C441,'Boats Data Sheet 2026'!$C$3:$J$57,8,0)),"N/A")</f>
        <v>8000000</v>
      </c>
      <c r="D447" s="481" cm="1">
        <f t="array" ref="D447">IF(B447&gt;7,2,IF(B447=0,"N/A",1))</f>
        <v>1</v>
      </c>
      <c r="E447" s="480" cm="1">
        <f t="array" ref="E447">_xlfn.IFERROR(SUM('Direct Costs 2026'!$C$4:$C$5)*D447,"N/A")</f>
        <v>875500</v>
      </c>
      <c r="F447" s="480" cm="1">
        <f t="array" ref="F447">_xlfn.IFERROR('Direct Costs 2026'!$C$43*B447,"N/A")</f>
        <v>24000</v>
      </c>
      <c r="G447" s="480" cm="1">
        <f t="array" ref="G447">IF(B447&gt;0,'Direct Costs 2026'!$C$25,"N/A")</f>
        <v>90000</v>
      </c>
      <c r="H447" s="480" cm="1">
        <f t="array" ref="H447">IF(B447&gt;0,'Direct Costs 2026'!$C$15+'Direct Costs 2026'!$C$14,"N/A")</f>
        <v>230000</v>
      </c>
      <c r="I447" s="480">
        <v>0</v>
      </c>
      <c r="J447" s="480">
        <v>0</v>
      </c>
      <c r="K447" s="480" cm="1">
        <f t="array" ref="K447">IF(B447&gt;0,'Direct Costs 2026'!$C$26,"N/A")</f>
        <v>20000</v>
      </c>
      <c r="L447" s="480" cm="1">
        <f t="array" ref="L447">IF(B447&gt;0,'Direct Costs 2026'!$C$23,"N/A")</f>
        <v>140000</v>
      </c>
      <c r="M447" s="480" cm="1">
        <f t="array" ref="M447">IF(B447&gt;0,'Direct Costs 2026'!$C$45*B447,"N/A")</f>
        <v>600000</v>
      </c>
      <c r="N447" t="str" s="482" cm="1">
        <f t="array" ref="N447">IF(B447&gt;0,_xlfn.IFERROR(VLOOKUP(C441,'Boats Data Sheet 2026'!$C$3:$I$57,7,0)*'Direct Costs 2026'!$C$36,"N/A"),"N/A")</f>
        <v>N/A</v>
      </c>
      <c r="O447" t="str" s="482" cm="1">
        <f t="array" ref="O447">IF(B447&gt;0,IF(OR(VLOOKUP(C441,'Boats Data Sheet 2026'!$C$3:$F$57,4,0)="Own",VLOOKUP(C441,'Boats Data Sheet 2026'!$C$3:$F$57,4,0)="Management"),('Direct Costs 2026'!$C$37+'Direct Costs 2026'!$C$39),"N/A"),"N/A")</f>
        <v>N/A</v>
      </c>
      <c r="P447" s="480" cm="1">
        <f t="array" ref="P447">_xlfn.IFERROR('Direct Costs 2026'!$C$27*C447,"N/A")</f>
        <v>160000</v>
      </c>
      <c r="Q447" s="480" cm="1">
        <f t="array" ref="Q447">_xlfn.IFERROR(C447+SUM(E447:P447),"N/A")</f>
        <v>10139500</v>
      </c>
      <c r="R447" s="483"/>
      <c r="S447" s="480" cm="1">
        <f t="array" ref="S447">IF(B447&gt;0,'Allocation OH and Target 2026'!$E$31,"N/A")</f>
        <v>3100447.15769812</v>
      </c>
      <c r="T447" s="480" cm="1">
        <f t="array" ref="T447">IF(B447&gt;0,VLOOKUP(C441,'Allocation OH and Target 2026'!$C$35:$S$87,16,0),"N/A")</f>
        <v>0</v>
      </c>
      <c r="U447" s="480" cm="1">
        <f t="array" ref="U447">_xlfn.IFERROR((S447+T447),"N/A")</f>
        <v>3100447.15769812</v>
      </c>
      <c r="V447" s="483"/>
      <c r="W447" s="480" cm="1">
        <f t="array" ref="W447">_xlfn.IFERROR(U447+Q447,"N/A")</f>
        <v>13239947.1576981</v>
      </c>
      <c r="X447" s="480" cm="1">
        <f t="array" ref="X447">_xlfn.IFERROR(W447*0.5%,"N/A")</f>
        <v>66199.735788490507</v>
      </c>
      <c r="Y447" s="480" cm="1">
        <f t="array" ref="Y447">_xlfn.IFERROR(W447*25%,"N/A")</f>
        <v>3309986.78942453</v>
      </c>
      <c r="Z447" s="484" cm="1">
        <f t="array" ref="Z447">IF(B447&gt;0,SUM(W447:Y447),"N/A")</f>
        <v>16616133.6829111</v>
      </c>
      <c r="AA447" s="484">
        <v>0</v>
      </c>
      <c r="AB447" s="483"/>
      <c r="AC447" t="str" s="485" cm="1">
        <f t="array" ref="AC447">IF(B447=6,AVERAGE(Z444:Z449),"N/A")</f>
        <v>N/A</v>
      </c>
      <c r="AD447" s="483"/>
      <c r="AE447" s="480"/>
      <c r="AF447" s="480"/>
      <c r="AG447" s="480"/>
      <c r="AH447" s="480"/>
      <c r="AI447" s="480"/>
      <c r="AJ447" s="480"/>
      <c r="AK447" s="480"/>
      <c r="AL447" s="480"/>
      <c r="AM447" s="480"/>
      <c r="AN447" s="486"/>
    </row>
    <row r="448" ht="15" customHeight="1" hidden="1">
      <c r="A448" s="12"/>
      <c r="B448" s="479" cm="1">
        <f t="array" ref="B448">IF(B447=0,0,IF(B447&lt;VLOOKUP(C441,'Boats Data Sheet 2026'!$C$3:$H$57,6,0),B447+1,0))</f>
        <v>5</v>
      </c>
      <c r="C448" s="480" cm="1">
        <f t="array" ref="C448">IF(B448&gt;0,IF(VLOOKUP(C441,'Boats Data Sheet 2026'!$C$3:$J$57,8,0)="N/A",0,VLOOKUP(C441,'Boats Data Sheet 2026'!$C$3:$J$57,8,0)),"N/A")</f>
        <v>8000000</v>
      </c>
      <c r="D448" s="481" cm="1">
        <f t="array" ref="D448">IF(B448&gt;7,2,IF(B448=0,"N/A",1))</f>
        <v>1</v>
      </c>
      <c r="E448" s="480" cm="1">
        <f t="array" ref="E448">_xlfn.IFERROR(SUM('Direct Costs 2026'!$C$4:$C$5)*D448,"N/A")</f>
        <v>875500</v>
      </c>
      <c r="F448" s="480" cm="1">
        <f t="array" ref="F448">_xlfn.IFERROR('Direct Costs 2026'!$C$43*B448,"N/A")</f>
        <v>30000</v>
      </c>
      <c r="G448" s="480" cm="1">
        <f t="array" ref="G448">IF(B448&gt;0,'Direct Costs 2026'!$C$25,"N/A")</f>
        <v>90000</v>
      </c>
      <c r="H448" s="480" cm="1">
        <f t="array" ref="H448">IF(B448&gt;0,'Direct Costs 2026'!$C$15+'Direct Costs 2026'!$C$14,"N/A")</f>
        <v>230000</v>
      </c>
      <c r="I448" s="480">
        <v>0</v>
      </c>
      <c r="J448" s="480">
        <v>0</v>
      </c>
      <c r="K448" s="480" cm="1">
        <f t="array" ref="K448">IF(B448&gt;0,'Direct Costs 2026'!$C$26,"N/A")</f>
        <v>20000</v>
      </c>
      <c r="L448" s="480" cm="1">
        <f t="array" ref="L448">IF(B448&gt;0,'Direct Costs 2026'!$C$23,"N/A")</f>
        <v>140000</v>
      </c>
      <c r="M448" s="480" cm="1">
        <f t="array" ref="M448">IF(B448&gt;0,'Direct Costs 2026'!$C$45*B448,"N/A")</f>
        <v>750000</v>
      </c>
      <c r="N448" t="str" s="482" cm="1">
        <f t="array" ref="N448">IF(B448&gt;0,_xlfn.IFERROR(VLOOKUP(C441,'Boats Data Sheet 2026'!$C$3:$I$57,7,0)*'Direct Costs 2026'!$C$36,"N/A"),"N/A")</f>
        <v>N/A</v>
      </c>
      <c r="O448" t="str" s="482" cm="1">
        <f t="array" ref="O448">IF(B448&gt;0,IF(OR(VLOOKUP(C441,'Boats Data Sheet 2026'!$C$3:$F$57,4,0)="Own",VLOOKUP(C441,'Boats Data Sheet 2026'!$C$3:$F$57,4,0)="Management"),('Direct Costs 2026'!$C$37+'Direct Costs 2026'!$C$39),"N/A"),"N/A")</f>
        <v>N/A</v>
      </c>
      <c r="P448" s="480" cm="1">
        <f t="array" ref="P448">_xlfn.IFERROR('Direct Costs 2026'!$C$27*C448,"N/A")</f>
        <v>160000</v>
      </c>
      <c r="Q448" s="480" cm="1">
        <f t="array" ref="Q448">_xlfn.IFERROR(C448+SUM(E448:P448),"N/A")</f>
        <v>10295500</v>
      </c>
      <c r="R448" s="483"/>
      <c r="S448" s="480" cm="1">
        <f t="array" ref="S448">IF(B448&gt;0,'Allocation OH and Target 2026'!$E$31,"N/A")</f>
        <v>3100447.15769812</v>
      </c>
      <c r="T448" s="480" cm="1">
        <f t="array" ref="T448">IF(B448&gt;0,VLOOKUP(C441,'Allocation OH and Target 2026'!$C$35:$S$87,16,0),"N/A")</f>
        <v>0</v>
      </c>
      <c r="U448" s="480" cm="1">
        <f t="array" ref="U448">_xlfn.IFERROR((S448+T448),"N/A")</f>
        <v>3100447.15769812</v>
      </c>
      <c r="V448" s="483"/>
      <c r="W448" s="480" cm="1">
        <f t="array" ref="W448">_xlfn.IFERROR(U448+Q448,"N/A")</f>
        <v>13395947.1576981</v>
      </c>
      <c r="X448" s="480" cm="1">
        <f t="array" ref="X448">_xlfn.IFERROR(W448*0.5%,"N/A")</f>
        <v>66979.735788490507</v>
      </c>
      <c r="Y448" s="480" cm="1">
        <f t="array" ref="Y448">_xlfn.IFERROR(W448*25%,"N/A")</f>
        <v>3348986.78942453</v>
      </c>
      <c r="Z448" s="484" cm="1">
        <f t="array" ref="Z448">IF(B448&gt;0,SUM(W448:Y448),"N/A")</f>
        <v>16811913.6829111</v>
      </c>
      <c r="AA448" s="484">
        <v>0</v>
      </c>
      <c r="AB448" s="483"/>
      <c r="AC448" t="str" s="485" cm="1">
        <f t="array" ref="AC448">IF(B448=6,AVERAGE(Z444:Z449),"N/A")</f>
        <v>N/A</v>
      </c>
      <c r="AD448" s="483"/>
      <c r="AE448" s="480"/>
      <c r="AF448" s="480"/>
      <c r="AG448" s="480"/>
      <c r="AH448" s="480"/>
      <c r="AI448" s="480"/>
      <c r="AJ448" s="480"/>
      <c r="AK448" s="480"/>
      <c r="AL448" s="480"/>
      <c r="AM448" s="480"/>
      <c r="AN448" s="486"/>
    </row>
    <row r="449" ht="15" customHeight="1" hidden="1">
      <c r="A449" s="12"/>
      <c r="B449" s="479" cm="1">
        <f t="array" ref="B449">IF(B448=0,0,IF(B448&lt;VLOOKUP(C441,'Boats Data Sheet 2026'!$C$3:$H$57,6,0),B448+1,0))</f>
        <v>6</v>
      </c>
      <c r="C449" s="480" cm="1">
        <f t="array" ref="C449">IF(B449&gt;0,IF(VLOOKUP(C441,'Boats Data Sheet 2026'!$C$3:$J$57,8,0)="N/A",0,VLOOKUP(C441,'Boats Data Sheet 2026'!$C$3:$J$57,8,0)),"N/A")</f>
        <v>8000000</v>
      </c>
      <c r="D449" s="481" cm="1">
        <f t="array" ref="D449">IF(B449&gt;7,2,IF(B449=0,"N/A",1))</f>
        <v>1</v>
      </c>
      <c r="E449" s="480" cm="1">
        <f t="array" ref="E449">_xlfn.IFERROR(SUM('Direct Costs 2026'!$C$4:$C$5)*D449,"N/A")</f>
        <v>875500</v>
      </c>
      <c r="F449" s="480" cm="1">
        <f t="array" ref="F449">_xlfn.IFERROR('Direct Costs 2026'!$C$43*B449,"N/A")</f>
        <v>36000</v>
      </c>
      <c r="G449" s="480" cm="1">
        <f t="array" ref="G449">IF(B449&gt;0,'Direct Costs 2026'!$C$25,"N/A")</f>
        <v>90000</v>
      </c>
      <c r="H449" s="480" cm="1">
        <f t="array" ref="H449">IF(B449&gt;0,'Direct Costs 2026'!$C$15+'Direct Costs 2026'!$C$14,"N/A")</f>
        <v>230000</v>
      </c>
      <c r="I449" s="480">
        <v>0</v>
      </c>
      <c r="J449" s="480">
        <v>0</v>
      </c>
      <c r="K449" s="480" cm="1">
        <f t="array" ref="K449">IF(B449&gt;0,'Direct Costs 2026'!$C$26,"N/A")</f>
        <v>20000</v>
      </c>
      <c r="L449" s="480" cm="1">
        <f t="array" ref="L449">IF(B449&gt;0,'Direct Costs 2026'!$C$23,"N/A")</f>
        <v>140000</v>
      </c>
      <c r="M449" s="480" cm="1">
        <f t="array" ref="M449">IF(B449&gt;0,'Direct Costs 2026'!$C$45*B449,"N/A")</f>
        <v>900000</v>
      </c>
      <c r="N449" t="str" s="482" cm="1">
        <f t="array" ref="N449">IF(B449&gt;0,_xlfn.IFERROR(VLOOKUP(C441,'Boats Data Sheet 2026'!$C$3:$I$57,7,0)*'Direct Costs 2026'!$C$36,"N/A"),"N/A")</f>
        <v>N/A</v>
      </c>
      <c r="O449" t="str" s="482" cm="1">
        <f t="array" ref="O449">IF(B449&gt;0,IF(OR(VLOOKUP(C441,'Boats Data Sheet 2026'!$C$3:$F$57,4,0)="Own",VLOOKUP(C441,'Boats Data Sheet 2026'!$C$3:$F$57,4,0)="Management"),('Direct Costs 2026'!$C$37+'Direct Costs 2026'!$C$39),"N/A"),"N/A")</f>
        <v>N/A</v>
      </c>
      <c r="P449" s="480" cm="1">
        <f t="array" ref="P449">_xlfn.IFERROR('Direct Costs 2026'!$C$27*C449,"N/A")</f>
        <v>160000</v>
      </c>
      <c r="Q449" s="480" cm="1">
        <f t="array" ref="Q449">_xlfn.IFERROR(C449+SUM(E449:P449),"N/A")</f>
        <v>10451500</v>
      </c>
      <c r="R449" s="483"/>
      <c r="S449" s="480" cm="1">
        <f t="array" ref="S449">IF(B449&gt;0,'Allocation OH and Target 2026'!$E$31,"N/A")</f>
        <v>3100447.15769812</v>
      </c>
      <c r="T449" s="480" cm="1">
        <f t="array" ref="T449">IF(B449&gt;0,VLOOKUP(C441,'Allocation OH and Target 2026'!$C$35:$S$87,16,0),"N/A")</f>
        <v>0</v>
      </c>
      <c r="U449" s="480" cm="1">
        <f t="array" ref="U449">_xlfn.IFERROR((S449+T449),"N/A")</f>
        <v>3100447.15769812</v>
      </c>
      <c r="V449" s="483"/>
      <c r="W449" s="480" cm="1">
        <f t="array" ref="W449">_xlfn.IFERROR(U449+Q449,"N/A")</f>
        <v>13551947.1576981</v>
      </c>
      <c r="X449" s="480" cm="1">
        <f t="array" ref="X449">_xlfn.IFERROR(W449*0.5%,"N/A")</f>
        <v>67759.735788490507</v>
      </c>
      <c r="Y449" s="480" cm="1">
        <f t="array" ref="Y449">_xlfn.IFERROR(W449*25%,"N/A")</f>
        <v>3387986.78942453</v>
      </c>
      <c r="Z449" s="484" cm="1">
        <f t="array" ref="Z449">IF(B449&gt;0,SUM(W449:Y449),"N/A")</f>
        <v>17007693.6829111</v>
      </c>
      <c r="AA449" s="484">
        <v>0</v>
      </c>
      <c r="AB449" s="483"/>
      <c r="AC449" s="484" cm="1">
        <f t="array" ref="AC449">IF(B449=6,AVERAGE(Z444:Z449),"N/A")</f>
        <v>16518243.6829111</v>
      </c>
      <c r="AD449" s="483"/>
      <c r="AE449" s="480"/>
      <c r="AF449" s="480"/>
      <c r="AG449" s="480"/>
      <c r="AH449" s="480"/>
      <c r="AI449" s="480"/>
      <c r="AJ449" s="480"/>
      <c r="AK449" s="480"/>
      <c r="AL449" s="480"/>
      <c r="AM449" s="480"/>
      <c r="AN449" s="486"/>
    </row>
    <row r="450" ht="15" customHeight="1" hidden="1">
      <c r="A450" s="12"/>
      <c r="B450" s="479" cm="1">
        <f t="array" ref="B450">IF(B449=0,0,IF(B449&lt;VLOOKUP(C441,'Boats Data Sheet 2026'!$C$3:$H$57,6,0),B449+1,0))</f>
        <v>7</v>
      </c>
      <c r="C450" s="480" cm="1">
        <f t="array" ref="C450">IF(B450&gt;0,IF(VLOOKUP(C441,'Boats Data Sheet 2026'!$C$3:$J$57,8,0)="N/A",0,VLOOKUP(C441,'Boats Data Sheet 2026'!$C$3:$J$57,8,0)),"N/A")</f>
        <v>8000000</v>
      </c>
      <c r="D450" s="481" cm="1">
        <f t="array" ref="D450">IF(B450&gt;7,2,IF(B450=0,"N/A",1))</f>
        <v>1</v>
      </c>
      <c r="E450" s="480" cm="1">
        <f t="array" ref="E450">_xlfn.IFERROR(SUM('Direct Costs 2026'!$C$4:$C$5)*D450,"N/A")</f>
        <v>875500</v>
      </c>
      <c r="F450" s="480" cm="1">
        <f t="array" ref="F450">_xlfn.IFERROR('Direct Costs 2026'!$C$43*B450,"N/A")</f>
        <v>42000</v>
      </c>
      <c r="G450" s="480" cm="1">
        <f t="array" ref="G450">IF(B450&gt;0,'Direct Costs 2026'!$C$25,"N/A")</f>
        <v>90000</v>
      </c>
      <c r="H450" s="480" cm="1">
        <f t="array" ref="H450">IF(B450&gt;0,'Direct Costs 2026'!$C$15+'Direct Costs 2026'!$C$14,"N/A")</f>
        <v>230000</v>
      </c>
      <c r="I450" s="480">
        <v>0</v>
      </c>
      <c r="J450" s="480">
        <v>0</v>
      </c>
      <c r="K450" s="480" cm="1">
        <f t="array" ref="K450">IF(B450&gt;0,'Direct Costs 2026'!$C$26,"N/A")</f>
        <v>20000</v>
      </c>
      <c r="L450" s="480" cm="1">
        <f t="array" ref="L450">IF(B450&gt;0,'Direct Costs 2026'!$C$23,"N/A")</f>
        <v>140000</v>
      </c>
      <c r="M450" s="480" cm="1">
        <f t="array" ref="M450">IF(B450&gt;0,'Direct Costs 2026'!$C$45*B450,"N/A")</f>
        <v>1050000</v>
      </c>
      <c r="N450" t="str" s="482" cm="1">
        <f t="array" ref="N450">IF(B450&gt;0,_xlfn.IFERROR(VLOOKUP(C441,'Boats Data Sheet 2026'!$C$3:$I$57,7,0)*'Direct Costs 2026'!$C$36,"N/A"),"N/A")</f>
        <v>N/A</v>
      </c>
      <c r="O450" t="str" s="482" cm="1">
        <f t="array" ref="O450">IF(B450&gt;0,IF(OR(VLOOKUP(C441,'Boats Data Sheet 2026'!$C$3:$F$57,4,0)="Own",VLOOKUP(C441,'Boats Data Sheet 2026'!$C$3:$F$57,4,0)="Management"),('Direct Costs 2026'!$C$37+'Direct Costs 2026'!$C$39),"N/A"),"N/A")</f>
        <v>N/A</v>
      </c>
      <c r="P450" s="480" cm="1">
        <f t="array" ref="P450">_xlfn.IFERROR('Direct Costs 2026'!$C$27*C450,"N/A")</f>
        <v>160000</v>
      </c>
      <c r="Q450" s="480" cm="1">
        <f t="array" ref="Q450">_xlfn.IFERROR(C450+SUM(E450:P450),"N/A")</f>
        <v>10607500</v>
      </c>
      <c r="R450" s="483"/>
      <c r="S450" s="480" cm="1">
        <f t="array" ref="S450">IF(B450&gt;0,'Allocation OH and Target 2026'!$E$31,"N/A")</f>
        <v>3100447.15769812</v>
      </c>
      <c r="T450" s="480" cm="1">
        <f t="array" ref="T450">IF(B450&gt;0,VLOOKUP(C441,'Allocation OH and Target 2026'!$C$35:$S$87,16,0),"N/A")</f>
        <v>0</v>
      </c>
      <c r="U450" s="480" cm="1">
        <f t="array" ref="U450">_xlfn.IFERROR((S450+T450),"N/A")</f>
        <v>3100447.15769812</v>
      </c>
      <c r="V450" s="483"/>
      <c r="W450" s="480" cm="1">
        <f t="array" ref="W450">_xlfn.IFERROR(U450+Q450,"N/A")</f>
        <v>13707947.1576981</v>
      </c>
      <c r="X450" s="480" cm="1">
        <f t="array" ref="X450">_xlfn.IFERROR(W450*0.5%,"N/A")</f>
        <v>68539.735788490507</v>
      </c>
      <c r="Y450" s="480" cm="1">
        <f t="array" ref="Y450">_xlfn.IFERROR(W450*25%,"N/A")</f>
        <v>3426986.78942453</v>
      </c>
      <c r="Z450" s="484" cm="1">
        <f t="array" ref="Z450">IF(B450&gt;0,SUM(W450:Y450),"N/A")</f>
        <v>17203473.6829111</v>
      </c>
      <c r="AA450" s="484" cm="1">
        <f t="array" ref="AA450">_xlfn.IFERROR((Z450-AVERAGE(Z444:Z449)),"N/A")</f>
        <v>685230</v>
      </c>
      <c r="AB450" s="483"/>
      <c r="AC450" t="str" s="485" cm="1">
        <f t="array" ref="AC450">IF(B450=6,AVERAGE(Z444:Z449),"N/A")</f>
        <v>N/A</v>
      </c>
      <c r="AD450" s="483"/>
      <c r="AE450" s="480"/>
      <c r="AF450" s="480"/>
      <c r="AG450" s="480"/>
      <c r="AH450" s="480"/>
      <c r="AI450" s="480"/>
      <c r="AJ450" s="480"/>
      <c r="AK450" s="480"/>
      <c r="AL450" s="480"/>
      <c r="AM450" s="480"/>
      <c r="AN450" s="486"/>
    </row>
    <row r="451" ht="15" customHeight="1" hidden="1">
      <c r="A451" s="12"/>
      <c r="B451" s="479" cm="1">
        <f t="array" ref="B451">IF(B450=0,0,IF(B450&lt;VLOOKUP(C441,'Boats Data Sheet 2026'!$C$3:$H$57,6,0),B450+1,0))</f>
        <v>8</v>
      </c>
      <c r="C451" s="480" cm="1">
        <f t="array" ref="C451">IF(B451&gt;0,IF(VLOOKUP(C441,'Boats Data Sheet 2026'!$C$3:$J$57,8,0)="N/A",0,VLOOKUP(C441,'Boats Data Sheet 2026'!$C$3:$J$57,8,0)),"N/A")</f>
        <v>8000000</v>
      </c>
      <c r="D451" s="481" cm="1">
        <f t="array" ref="D451">IF(B451&gt;7,2,IF(B451=0,"N/A",1))</f>
        <v>2</v>
      </c>
      <c r="E451" s="480" cm="1">
        <f t="array" ref="E451">_xlfn.IFERROR(SUM('Direct Costs 2026'!$C$4:$C$5)*D451,"N/A")</f>
        <v>1751000</v>
      </c>
      <c r="F451" s="480" cm="1">
        <f t="array" ref="F451">_xlfn.IFERROR('Direct Costs 2026'!$C$43*B451,"N/A")</f>
        <v>48000</v>
      </c>
      <c r="G451" s="480" cm="1">
        <f t="array" ref="G451">IF(B451&gt;0,'Direct Costs 2026'!$C$25,"N/A")</f>
        <v>90000</v>
      </c>
      <c r="H451" s="480" cm="1">
        <f t="array" ref="H451">IF(B451&gt;0,'Direct Costs 2026'!$C$15+'Direct Costs 2026'!$C$14,"N/A")</f>
        <v>230000</v>
      </c>
      <c r="I451" s="480">
        <v>0</v>
      </c>
      <c r="J451" s="480">
        <v>0</v>
      </c>
      <c r="K451" s="480" cm="1">
        <f t="array" ref="K451">IF(B451&gt;0,'Direct Costs 2026'!$C$26,"N/A")</f>
        <v>20000</v>
      </c>
      <c r="L451" s="480" cm="1">
        <f t="array" ref="L451">IF(B451&gt;0,'Direct Costs 2026'!$C$23,"N/A")</f>
        <v>140000</v>
      </c>
      <c r="M451" s="480" cm="1">
        <f t="array" ref="M451">IF(B451&gt;0,'Direct Costs 2026'!$C$45*B451,"N/A")</f>
        <v>1200000</v>
      </c>
      <c r="N451" t="str" s="482" cm="1">
        <f t="array" ref="N451">IF(B451&gt;0,_xlfn.IFERROR(VLOOKUP(C441,'Boats Data Sheet 2026'!$C$3:$I$57,7,0)*'Direct Costs 2026'!$C$36,"N/A"),"N/A")</f>
        <v>N/A</v>
      </c>
      <c r="O451" t="str" s="482" cm="1">
        <f t="array" ref="O451">IF(B451&gt;0,IF(OR(VLOOKUP(C441,'Boats Data Sheet 2026'!$C$3:$F$57,4,0)="Own",VLOOKUP(C441,'Boats Data Sheet 2026'!$C$3:$F$57,4,0)="Management"),('Direct Costs 2026'!$C$37+'Direct Costs 2026'!$C$39),"N/A"),"N/A")</f>
        <v>N/A</v>
      </c>
      <c r="P451" s="480" cm="1">
        <f t="array" ref="P451">_xlfn.IFERROR('Direct Costs 2026'!$C$27*C451,"N/A")</f>
        <v>160000</v>
      </c>
      <c r="Q451" s="480" cm="1">
        <f t="array" ref="Q451">_xlfn.IFERROR(C451+SUM(E451:P451),"N/A")</f>
        <v>11639000</v>
      </c>
      <c r="R451" s="483"/>
      <c r="S451" s="480" cm="1">
        <f t="array" ref="S451">IF(B451&gt;0,'Allocation OH and Target 2026'!$E$31,"N/A")</f>
        <v>3100447.15769812</v>
      </c>
      <c r="T451" s="480" cm="1">
        <f t="array" ref="T451">IF(B451&gt;0,VLOOKUP(C441,'Allocation OH and Target 2026'!$C$35:$S$87,16,0),"N/A")</f>
        <v>0</v>
      </c>
      <c r="U451" s="480" cm="1">
        <f t="array" ref="U451">_xlfn.IFERROR((S451+T451),"N/A")</f>
        <v>3100447.15769812</v>
      </c>
      <c r="V451" s="483"/>
      <c r="W451" s="480" cm="1">
        <f t="array" ref="W451">_xlfn.IFERROR(U451+Q451,"N/A")</f>
        <v>14739447.1576981</v>
      </c>
      <c r="X451" s="480" cm="1">
        <f t="array" ref="X451">_xlfn.IFERROR(W451*0.5%,"N/A")</f>
        <v>73697.235788490507</v>
      </c>
      <c r="Y451" s="480" cm="1">
        <f t="array" ref="Y451">_xlfn.IFERROR(W451*25%,"N/A")</f>
        <v>3684861.78942453</v>
      </c>
      <c r="Z451" s="484" cm="1">
        <f t="array" ref="Z451">IF(B451&gt;0,SUM(W451:Y451),"N/A")</f>
        <v>18498006.1829111</v>
      </c>
      <c r="AA451" s="484" cm="1">
        <f t="array" ref="AA451">_xlfn.IFERROR((Z451-AVERAGE(Z444:Z449)),"N/A")</f>
        <v>1979762.5</v>
      </c>
      <c r="AB451" s="483"/>
      <c r="AC451" t="str" s="485" cm="1">
        <f t="array" ref="AC451">IF(B451=6,AVERAGE(Z444:Z449),"N/A")</f>
        <v>N/A</v>
      </c>
      <c r="AD451" s="483"/>
      <c r="AE451" s="480"/>
      <c r="AF451" s="480"/>
      <c r="AG451" s="480"/>
      <c r="AH451" s="480"/>
      <c r="AI451" s="480"/>
      <c r="AJ451" s="480"/>
      <c r="AK451" s="480"/>
      <c r="AL451" s="480"/>
      <c r="AM451" s="480"/>
      <c r="AN451" s="486"/>
    </row>
    <row r="452" ht="15" customHeight="1" hidden="1">
      <c r="A452" s="12"/>
      <c r="B452" s="479" cm="1">
        <f t="array" ref="B452">IF(B451=0,0,IF(B451&lt;VLOOKUP(C441,'Boats Data Sheet 2026'!$C$3:$H$57,6,0),B451+1,0))</f>
        <v>9</v>
      </c>
      <c r="C452" s="480" cm="1">
        <f t="array" ref="C452">IF(B452&gt;0,IF(VLOOKUP(C441,'Boats Data Sheet 2026'!$C$3:$J$57,8,0)="N/A",0,VLOOKUP(C441,'Boats Data Sheet 2026'!$C$3:$J$57,8,0)),"N/A")</f>
        <v>8000000</v>
      </c>
      <c r="D452" s="490" cm="1">
        <f t="array" ref="D452">IF(B452&gt;7,2,IF(B452=0,"N/A",1))</f>
        <v>2</v>
      </c>
      <c r="E452" s="480" cm="1">
        <f t="array" ref="E452">_xlfn.IFERROR(SUM('Direct Costs 2026'!$C$4:$C$5)*D452,"N/A")</f>
        <v>1751000</v>
      </c>
      <c r="F452" s="480" cm="1">
        <f t="array" ref="F452">_xlfn.IFERROR('Direct Costs 2026'!$C$43*B452,"N/A")</f>
        <v>54000</v>
      </c>
      <c r="G452" s="480" cm="1">
        <f t="array" ref="G452">IF(B452&gt;0,'Direct Costs 2026'!$C$25,"N/A")</f>
        <v>90000</v>
      </c>
      <c r="H452" s="480" cm="1">
        <f t="array" ref="H452">IF(B452&gt;0,'Direct Costs 2026'!$C$15+'Direct Costs 2026'!$C$14,"N/A")</f>
        <v>230000</v>
      </c>
      <c r="I452" s="480">
        <v>0</v>
      </c>
      <c r="J452" s="480">
        <v>0</v>
      </c>
      <c r="K452" s="480" cm="1">
        <f t="array" ref="K452">IF(B452&gt;0,'Direct Costs 2026'!$C$26,"N/A")</f>
        <v>20000</v>
      </c>
      <c r="L452" s="480" cm="1">
        <f t="array" ref="L452">IF(B452&gt;0,'Direct Costs 2026'!$C$23,"N/A")</f>
        <v>140000</v>
      </c>
      <c r="M452" s="480" cm="1">
        <f t="array" ref="M452">IF(B452&gt;0,'Direct Costs 2026'!$C$45*B452,"N/A")</f>
        <v>1350000</v>
      </c>
      <c r="N452" t="str" s="482" cm="1">
        <f t="array" ref="N452">IF(B452&gt;0,_xlfn.IFERROR(VLOOKUP(C441,'Boats Data Sheet 2026'!$C$3:$I$57,7,0)*'Direct Costs 2026'!$C$36,"N/A"),"N/A")</f>
        <v>N/A</v>
      </c>
      <c r="O452" t="str" s="482" cm="1">
        <f t="array" ref="O452">IF(B452&gt;0,IF(OR(VLOOKUP(C441,'Boats Data Sheet 2026'!$C$3:$F$57,4,0)="Own",VLOOKUP(C441,'Boats Data Sheet 2026'!$C$3:$F$57,4,0)="Management"),('Direct Costs 2026'!$C$37+'Direct Costs 2026'!$C$39),"N/A"),"N/A")</f>
        <v>N/A</v>
      </c>
      <c r="P452" s="480" cm="1">
        <f t="array" ref="P452">_xlfn.IFERROR('Direct Costs 2026'!$C$27*C452,"N/A")</f>
        <v>160000</v>
      </c>
      <c r="Q452" s="480" cm="1">
        <f t="array" ref="Q452">_xlfn.IFERROR(C452+SUM(E452:P452),"N/A")</f>
        <v>11795000</v>
      </c>
      <c r="R452" s="483"/>
      <c r="S452" s="480" cm="1">
        <f t="array" ref="S452">IF(B452&gt;0,'Allocation OH and Target 2026'!$E$31,"N/A")</f>
        <v>3100447.15769812</v>
      </c>
      <c r="T452" s="480" cm="1">
        <f t="array" ref="T452">IF(B452&gt;0,VLOOKUP(C441,'Allocation OH and Target 2026'!$C$35:$S$87,16,0),"N/A")</f>
        <v>0</v>
      </c>
      <c r="U452" s="480" cm="1">
        <f t="array" ref="U452">_xlfn.IFERROR((S452+T452),"N/A")</f>
        <v>3100447.15769812</v>
      </c>
      <c r="V452" s="483"/>
      <c r="W452" s="480" cm="1">
        <f t="array" ref="W452">_xlfn.IFERROR(U452+Q452,"N/A")</f>
        <v>14895447.1576981</v>
      </c>
      <c r="X452" s="480" cm="1">
        <f t="array" ref="X452">_xlfn.IFERROR(W452*0.5%,"N/A")</f>
        <v>74477.235788490507</v>
      </c>
      <c r="Y452" s="480" cm="1">
        <f t="array" ref="Y452">_xlfn.IFERROR(W452*25%,"N/A")</f>
        <v>3723861.78942453</v>
      </c>
      <c r="Z452" s="484" cm="1">
        <f t="array" ref="Z452">IF(B452&gt;0,SUM(W452:Y452),"N/A")</f>
        <v>18693786.1829111</v>
      </c>
      <c r="AA452" s="484" cm="1">
        <f t="array" ref="AA452">_xlfn.IFERROR((Z452-AVERAGE(Z444:Z449)),"N/A")</f>
        <v>2175542.5</v>
      </c>
      <c r="AB452" s="483"/>
      <c r="AC452" t="str" s="485" cm="1">
        <f t="array" ref="AC452">IF(B452=6,AVERAGE(Z444:Z449),"N/A")</f>
        <v>N/A</v>
      </c>
      <c r="AD452" s="483"/>
      <c r="AE452" s="480"/>
      <c r="AF452" s="480"/>
      <c r="AG452" s="480"/>
      <c r="AH452" s="480"/>
      <c r="AI452" s="480"/>
      <c r="AJ452" s="480"/>
      <c r="AK452" s="480"/>
      <c r="AL452" s="480"/>
      <c r="AM452" s="480"/>
      <c r="AN452" s="486"/>
    </row>
    <row r="453" ht="15" customHeight="1" hidden="1">
      <c r="A453" s="12"/>
      <c r="B453" s="479" cm="1">
        <f t="array" ref="B453">IF(B452=0,0,IF(B452&lt;VLOOKUP(C441,'Boats Data Sheet 2026'!$C$3:$H$57,6,0),B452+1,0))</f>
        <v>10</v>
      </c>
      <c r="C453" s="480" cm="1">
        <f t="array" ref="C453">IF(B453&gt;0,IF(VLOOKUP(C441,'Boats Data Sheet 2026'!$C$3:$J$57,8,0)="N/A",0,VLOOKUP(C441,'Boats Data Sheet 2026'!$C$3:$J$57,8,0)),"N/A")</f>
        <v>8000000</v>
      </c>
      <c r="D453" s="490" cm="1">
        <f t="array" ref="D453">IF(B453&gt;7,2,IF(B453=0,"N/A",1))</f>
        <v>2</v>
      </c>
      <c r="E453" s="480" cm="1">
        <f t="array" ref="E453">_xlfn.IFERROR(SUM('Direct Costs 2026'!$C$4:$C$5)*D453,"N/A")</f>
        <v>1751000</v>
      </c>
      <c r="F453" s="480" cm="1">
        <f t="array" ref="F453">_xlfn.IFERROR('Direct Costs 2026'!$C$43*B453,"N/A")</f>
        <v>60000</v>
      </c>
      <c r="G453" s="480" cm="1">
        <f t="array" ref="G453">IF(B453&gt;0,'Direct Costs 2026'!$C$25,"N/A")</f>
        <v>90000</v>
      </c>
      <c r="H453" s="480" cm="1">
        <f t="array" ref="H453">IF(B453&gt;0,'Direct Costs 2026'!$C$15+'Direct Costs 2026'!$C$14,"N/A")</f>
        <v>230000</v>
      </c>
      <c r="I453" s="480">
        <v>0</v>
      </c>
      <c r="J453" s="480">
        <v>0</v>
      </c>
      <c r="K453" s="480" cm="1">
        <f t="array" ref="K453">IF(B453&gt;0,'Direct Costs 2026'!$C$26,"N/A")</f>
        <v>20000</v>
      </c>
      <c r="L453" s="480" cm="1">
        <f t="array" ref="L453">IF(B453&gt;0,'Direct Costs 2026'!$C$23,"N/A")</f>
        <v>140000</v>
      </c>
      <c r="M453" s="480" cm="1">
        <f t="array" ref="M453">IF(B453&gt;0,'Direct Costs 2026'!$C$45*B453,"N/A")</f>
        <v>1500000</v>
      </c>
      <c r="N453" t="str" s="482" cm="1">
        <f t="array" ref="N453">IF(B453&gt;0,_xlfn.IFERROR(VLOOKUP(C441,'Boats Data Sheet 2026'!$C$3:$I$57,7,0)*'Direct Costs 2026'!$C$36,"N/A"),"N/A")</f>
        <v>N/A</v>
      </c>
      <c r="O453" t="str" s="482" cm="1">
        <f t="array" ref="O453">IF(B453&gt;0,IF(OR(VLOOKUP(C441,'Boats Data Sheet 2026'!$C$3:$F$57,4,0)="Own",VLOOKUP(C441,'Boats Data Sheet 2026'!$C$3:$F$57,4,0)="Management"),('Direct Costs 2026'!$C$37+'Direct Costs 2026'!$C$39),"N/A"),"N/A")</f>
        <v>N/A</v>
      </c>
      <c r="P453" s="480" cm="1">
        <f t="array" ref="P453">_xlfn.IFERROR('Direct Costs 2026'!$C$27*C453,"N/A")</f>
        <v>160000</v>
      </c>
      <c r="Q453" s="480" cm="1">
        <f t="array" ref="Q453">_xlfn.IFERROR(C453+SUM(E453:P453),"N/A")</f>
        <v>11951000</v>
      </c>
      <c r="R453" s="483"/>
      <c r="S453" s="480" cm="1">
        <f t="array" ref="S453">IF(B453&gt;0,'Allocation OH and Target 2026'!$E$31,"N/A")</f>
        <v>3100447.15769812</v>
      </c>
      <c r="T453" s="480" cm="1">
        <f t="array" ref="T453">IF(B453&gt;0,VLOOKUP(C441,'Allocation OH and Target 2026'!$C$35:$S$87,16,0),"N/A")</f>
        <v>0</v>
      </c>
      <c r="U453" s="480" cm="1">
        <f t="array" ref="U453">_xlfn.IFERROR((S453+T453),"N/A")</f>
        <v>3100447.15769812</v>
      </c>
      <c r="V453" s="483"/>
      <c r="W453" s="480" cm="1">
        <f t="array" ref="W453">_xlfn.IFERROR(U453+Q453,"N/A")</f>
        <v>15051447.1576981</v>
      </c>
      <c r="X453" s="480" cm="1">
        <f t="array" ref="X453">_xlfn.IFERROR(W453*0.5%,"N/A")</f>
        <v>75257.235788490507</v>
      </c>
      <c r="Y453" s="480" cm="1">
        <f t="array" ref="Y453">_xlfn.IFERROR(W453*25%,"N/A")</f>
        <v>3762861.78942453</v>
      </c>
      <c r="Z453" s="484" cm="1">
        <f t="array" ref="Z453">IF(B453&gt;0,SUM(W453:Y453),"N/A")</f>
        <v>18889566.1829111</v>
      </c>
      <c r="AA453" s="484" cm="1">
        <f t="array" ref="AA453">_xlfn.IFERROR((Z453-AVERAGE(Z444:Z449)),"N/A")</f>
        <v>2371322.5</v>
      </c>
      <c r="AB453" s="483"/>
      <c r="AC453" t="str" s="485" cm="1">
        <f t="array" ref="AC453">IF(B453=6,AVERAGE(Z444:Z449),"N/A")</f>
        <v>N/A</v>
      </c>
      <c r="AD453" s="483"/>
      <c r="AE453" s="480"/>
      <c r="AF453" s="480"/>
      <c r="AG453" s="480"/>
      <c r="AH453" s="480"/>
      <c r="AI453" s="480"/>
      <c r="AJ453" s="480"/>
      <c r="AK453" s="480"/>
      <c r="AL453" s="480"/>
      <c r="AM453" s="480"/>
      <c r="AN453" s="486"/>
    </row>
    <row r="454" ht="15" customHeight="1" hidden="1">
      <c r="A454" s="12"/>
      <c r="B454" s="479" cm="1">
        <f t="array" ref="B454">IF(B453=0,0,IF(B453&lt;VLOOKUP(C441,'Boats Data Sheet 2026'!$C$3:$H$57,6,0),B453+1,0))</f>
        <v>11</v>
      </c>
      <c r="C454" s="480" cm="1">
        <f t="array" ref="C454">IF(B454&gt;0,IF(VLOOKUP(C441,'Boats Data Sheet 2026'!$C$3:$J$57,8,0)="N/A",0,VLOOKUP(C441,'Boats Data Sheet 2026'!$C$3:$J$57,8,0)),"N/A")</f>
        <v>8000000</v>
      </c>
      <c r="D454" s="490" cm="1">
        <f t="array" ref="D454">IF(B454&gt;7,2,IF(B454=0,"N/A",1))</f>
        <v>2</v>
      </c>
      <c r="E454" s="480" cm="1">
        <f t="array" ref="E454">_xlfn.IFERROR(SUM('Direct Costs 2026'!$C$4:$C$5)*D454,"N/A")</f>
        <v>1751000</v>
      </c>
      <c r="F454" s="480" cm="1">
        <f t="array" ref="F454">_xlfn.IFERROR('Direct Costs 2026'!$C$43*B454,"N/A")</f>
        <v>66000</v>
      </c>
      <c r="G454" s="480" cm="1">
        <f t="array" ref="G454">IF(B454&gt;0,'Direct Costs 2026'!$C$25,"N/A")</f>
        <v>90000</v>
      </c>
      <c r="H454" s="480" cm="1">
        <f t="array" ref="H454">IF(B454&gt;0,'Direct Costs 2026'!$C$15+'Direct Costs 2026'!$C$14,"N/A")</f>
        <v>230000</v>
      </c>
      <c r="I454" s="480">
        <v>0</v>
      </c>
      <c r="J454" s="480">
        <v>0</v>
      </c>
      <c r="K454" s="480" cm="1">
        <f t="array" ref="K454">IF(B454&gt;0,'Direct Costs 2026'!$C$26,"N/A")</f>
        <v>20000</v>
      </c>
      <c r="L454" s="480" cm="1">
        <f t="array" ref="L454">IF(B454&gt;0,'Direct Costs 2026'!$C$23,"N/A")</f>
        <v>140000</v>
      </c>
      <c r="M454" s="480" cm="1">
        <f t="array" ref="M454">IF(B454&gt;0,'Direct Costs 2026'!$C$45*B454,"N/A")</f>
        <v>1650000</v>
      </c>
      <c r="N454" t="str" s="482" cm="1">
        <f t="array" ref="N454">IF(B454&gt;0,_xlfn.IFERROR(VLOOKUP(C441,'Boats Data Sheet 2026'!$C$3:$I$57,7,0)*'Direct Costs 2026'!$C$36,"N/A"),"N/A")</f>
        <v>N/A</v>
      </c>
      <c r="O454" t="str" s="482" cm="1">
        <f t="array" ref="O454">IF(B454&gt;0,IF(OR(VLOOKUP(C441,'Boats Data Sheet 2026'!$C$3:$F$57,4,0)="Own",VLOOKUP(C441,'Boats Data Sheet 2026'!$C$3:$F$57,4,0)="Management"),('Direct Costs 2026'!$C$37+'Direct Costs 2026'!$C$39),"N/A"),"N/A")</f>
        <v>N/A</v>
      </c>
      <c r="P454" s="480" cm="1">
        <f t="array" ref="P454">_xlfn.IFERROR('Direct Costs 2026'!$C$27*C454,"N/A")</f>
        <v>160000</v>
      </c>
      <c r="Q454" s="480" cm="1">
        <f t="array" ref="Q454">_xlfn.IFERROR(C454+SUM(E454:P454),"N/A")</f>
        <v>12107000</v>
      </c>
      <c r="R454" s="483"/>
      <c r="S454" s="480" cm="1">
        <f t="array" ref="S454">IF(B454&gt;0,'Allocation OH and Target 2026'!$E$31,"N/A")</f>
        <v>3100447.15769812</v>
      </c>
      <c r="T454" s="480" cm="1">
        <f t="array" ref="T454">IF(B454&gt;0,VLOOKUP(C441,'Allocation OH and Target 2026'!$C$35:$S$87,16,0),"N/A")</f>
        <v>0</v>
      </c>
      <c r="U454" s="480" cm="1">
        <f t="array" ref="U454">_xlfn.IFERROR((S454+T454),"N/A")</f>
        <v>3100447.15769812</v>
      </c>
      <c r="V454" s="483"/>
      <c r="W454" s="480" cm="1">
        <f t="array" ref="W454">_xlfn.IFERROR(U454+Q454,"N/A")</f>
        <v>15207447.1576981</v>
      </c>
      <c r="X454" s="480" cm="1">
        <f t="array" ref="X454">_xlfn.IFERROR(W454*0.5%,"N/A")</f>
        <v>76037.235788490507</v>
      </c>
      <c r="Y454" s="480" cm="1">
        <f t="array" ref="Y454">_xlfn.IFERROR(W454*25%,"N/A")</f>
        <v>3801861.78942453</v>
      </c>
      <c r="Z454" s="484" cm="1">
        <f t="array" ref="Z454">IF(B454&gt;0,SUM(W454:Y454),"N/A")</f>
        <v>19085346.1829111</v>
      </c>
      <c r="AA454" s="484" cm="1">
        <f t="array" ref="AA454">_xlfn.IFERROR((Z454-AVERAGE(Z444:Z449)),"N/A")</f>
        <v>2567102.5</v>
      </c>
      <c r="AB454" s="483"/>
      <c r="AC454" t="str" s="485" cm="1">
        <f t="array" ref="AC454">IF(B454=6,AVERAGE(Z444:Z449),"N/A")</f>
        <v>N/A</v>
      </c>
      <c r="AD454" s="483"/>
      <c r="AE454" s="480"/>
      <c r="AF454" s="480"/>
      <c r="AG454" s="480"/>
      <c r="AH454" s="480"/>
      <c r="AI454" s="480"/>
      <c r="AJ454" s="480"/>
      <c r="AK454" s="480"/>
      <c r="AL454" s="480"/>
      <c r="AM454" s="480"/>
      <c r="AN454" s="486"/>
    </row>
    <row r="455" ht="15" customHeight="1" hidden="1">
      <c r="A455" s="12"/>
      <c r="B455" s="479" cm="1">
        <f t="array" ref="B455">IF(B454=0,0,IF(B454&lt;VLOOKUP(C441,'Boats Data Sheet 2026'!$C$3:$H$57,6,0),B454+1,0))</f>
        <v>12</v>
      </c>
      <c r="C455" s="480" cm="1">
        <f t="array" ref="C455">IF(B455&gt;0,IF(VLOOKUP(C441,'Boats Data Sheet 2026'!$C$3:$J$57,8,0)="N/A",0,VLOOKUP(C441,'Boats Data Sheet 2026'!$C$3:$J$57,8,0)),"N/A")</f>
        <v>8000000</v>
      </c>
      <c r="D455" s="490" cm="1">
        <f t="array" ref="D455">IF(B455&gt;7,2,IF(B455=0,"N/A",1))</f>
        <v>2</v>
      </c>
      <c r="E455" s="480" cm="1">
        <f t="array" ref="E455">_xlfn.IFERROR(SUM('Direct Costs 2026'!$C$4:$C$5)*D455,"N/A")</f>
        <v>1751000</v>
      </c>
      <c r="F455" s="480" cm="1">
        <f t="array" ref="F455">_xlfn.IFERROR('Direct Costs 2026'!$C$43*B455,"N/A")</f>
        <v>72000</v>
      </c>
      <c r="G455" s="480" cm="1">
        <f t="array" ref="G455">IF(B455&gt;0,'Direct Costs 2026'!$C$25,"N/A")</f>
        <v>90000</v>
      </c>
      <c r="H455" s="480" cm="1">
        <f t="array" ref="H455">IF(B455&gt;0,'Direct Costs 2026'!$C$15+'Direct Costs 2026'!$C$14,"N/A")</f>
        <v>230000</v>
      </c>
      <c r="I455" s="480">
        <v>0</v>
      </c>
      <c r="J455" s="480">
        <v>0</v>
      </c>
      <c r="K455" s="480" cm="1">
        <f t="array" ref="K455">IF(B455&gt;0,'Direct Costs 2026'!$C$26,"N/A")</f>
        <v>20000</v>
      </c>
      <c r="L455" s="480" cm="1">
        <f t="array" ref="L455">IF(B455&gt;0,'Direct Costs 2026'!$C$23,"N/A")</f>
        <v>140000</v>
      </c>
      <c r="M455" s="480" cm="1">
        <f t="array" ref="M455">IF(B455&gt;0,'Direct Costs 2026'!$C$45*B455,"N/A")</f>
        <v>1800000</v>
      </c>
      <c r="N455" t="str" s="482" cm="1">
        <f t="array" ref="N455">IF(B455&gt;0,_xlfn.IFERROR(VLOOKUP(C441,'Boats Data Sheet 2026'!$C$3:$I$57,7,0)*'Direct Costs 2026'!$C$36,"N/A"),"N/A")</f>
        <v>N/A</v>
      </c>
      <c r="O455" t="str" s="482" cm="1">
        <f t="array" ref="O455">IF(B455&gt;0,IF(OR(VLOOKUP(C441,'Boats Data Sheet 2026'!$C$3:$F$57,4,0)="Own",VLOOKUP(C441,'Boats Data Sheet 2026'!$C$3:$F$57,4,0)="Management"),('Direct Costs 2026'!$C$37+'Direct Costs 2026'!$C$39),"N/A"),"N/A")</f>
        <v>N/A</v>
      </c>
      <c r="P455" s="480" cm="1">
        <f t="array" ref="P455">_xlfn.IFERROR('Direct Costs 2026'!$C$27*C455,"N/A")</f>
        <v>160000</v>
      </c>
      <c r="Q455" s="480" cm="1">
        <f t="array" ref="Q455">_xlfn.IFERROR(C455+SUM(E455:P455),"N/A")</f>
        <v>12263000</v>
      </c>
      <c r="R455" s="483"/>
      <c r="S455" s="480" cm="1">
        <f t="array" ref="S455">IF(B455&gt;0,'Allocation OH and Target 2026'!$E$31,"N/A")</f>
        <v>3100447.15769812</v>
      </c>
      <c r="T455" s="480" cm="1">
        <f t="array" ref="T455">IF(B455&gt;0,VLOOKUP(C441,'Allocation OH and Target 2026'!$C$35:$S$87,16,0),"N/A")</f>
        <v>0</v>
      </c>
      <c r="U455" s="480" cm="1">
        <f t="array" ref="U455">_xlfn.IFERROR((S455+T455),"N/A")</f>
        <v>3100447.15769812</v>
      </c>
      <c r="V455" s="483"/>
      <c r="W455" s="480" cm="1">
        <f t="array" ref="W455">_xlfn.IFERROR(U455+Q455,"N/A")</f>
        <v>15363447.1576981</v>
      </c>
      <c r="X455" s="480" cm="1">
        <f t="array" ref="X455">_xlfn.IFERROR(W455*0.5%,"N/A")</f>
        <v>76817.235788490507</v>
      </c>
      <c r="Y455" s="480" cm="1">
        <f t="array" ref="Y455">_xlfn.IFERROR(W455*25%,"N/A")</f>
        <v>3840861.78942453</v>
      </c>
      <c r="Z455" s="484" cm="1">
        <f t="array" ref="Z455">IF(B455&gt;0,SUM(W455:Y455),"N/A")</f>
        <v>19281126.1829111</v>
      </c>
      <c r="AA455" s="484" cm="1">
        <f t="array" ref="AA455">_xlfn.IFERROR((Z455-AVERAGE(Z444:Z449)),"N/A")</f>
        <v>2762882.5</v>
      </c>
      <c r="AB455" s="483"/>
      <c r="AC455" t="str" s="485" cm="1">
        <f t="array" ref="AC455">IF(B455=6,AVERAGE(Z444:Z449),"N/A")</f>
        <v>N/A</v>
      </c>
      <c r="AD455" s="483"/>
      <c r="AE455" s="480"/>
      <c r="AF455" s="480"/>
      <c r="AG455" s="480"/>
      <c r="AH455" s="480"/>
      <c r="AI455" s="480"/>
      <c r="AJ455" s="480"/>
      <c r="AK455" s="480"/>
      <c r="AL455" s="480"/>
      <c r="AM455" s="480"/>
      <c r="AN455" s="486"/>
    </row>
    <row r="456" ht="15" customHeight="1" hidden="1">
      <c r="A456" s="12"/>
      <c r="B456" s="479" cm="1">
        <f t="array" ref="B456">IF(B455=0,0,IF(B455&lt;VLOOKUP(C441,'Boats Data Sheet 2026'!$C$3:$H$57,6,0),B455+1,0))</f>
        <v>0</v>
      </c>
      <c r="C456" t="str" s="482" cm="1">
        <f t="array" ref="C456">IF(B456&gt;0,IF(VLOOKUP(C441,'Boats Data Sheet 2026'!$C$3:$J$57,8,0)="N/A",0,VLOOKUP(C441,'Boats Data Sheet 2026'!$C$3:$J$57,8,0)),"N/A")</f>
        <v>N/A</v>
      </c>
      <c r="D456" t="str" s="482" cm="1">
        <f t="array" ref="D456">IF(B456&gt;7,2,IF(B456=0,"N/A",1))</f>
        <v>N/A</v>
      </c>
      <c r="E456" t="str" s="482" cm="1">
        <f t="array" ref="E456">_xlfn.IFERROR(SUM('Direct Costs 2026'!$C$4:$C$5)*D456,"N/A")</f>
        <v>N/A</v>
      </c>
      <c r="F456" s="480" cm="1">
        <f t="array" ref="F456">_xlfn.IFERROR('Direct Costs 2026'!$C$43*B456,"N/A")</f>
        <v>0</v>
      </c>
      <c r="G456" t="str" s="482" cm="1">
        <f t="array" ref="G456">IF(B456&gt;0,'Direct Costs 2026'!$C$25,"N/A")</f>
        <v>N/A</v>
      </c>
      <c r="H456" t="str" s="482" cm="1">
        <f t="array" ref="H456">IF(B456&gt;0,'Direct Costs 2026'!$C$15+'Direct Costs 2026'!$C$14,"N/A")</f>
        <v>N/A</v>
      </c>
      <c r="I456" s="480">
        <v>0</v>
      </c>
      <c r="J456" s="480">
        <v>0</v>
      </c>
      <c r="K456" t="str" s="482" cm="1">
        <f t="array" ref="K456">IF(B456&gt;0,'Direct Costs 2026'!$C$26,"N/A")</f>
        <v>N/A</v>
      </c>
      <c r="L456" t="str" s="482" cm="1">
        <f t="array" ref="L456">IF(B456&gt;0,'Direct Costs 2026'!$C$23,"N/A")</f>
        <v>N/A</v>
      </c>
      <c r="M456" t="str" s="482" cm="1">
        <f t="array" ref="M456">IF(B456&gt;0,'Direct Costs 2026'!$C$45*B456,"N/A")</f>
        <v>N/A</v>
      </c>
      <c r="N456" t="str" s="482" cm="1">
        <f t="array" ref="N456">IF(B456&gt;0,_xlfn.IFERROR(VLOOKUP(C441,'Boats Data Sheet 2026'!$C$3:$I$57,7,0)*'Direct Costs 2026'!$C$36,"N/A"),"N/A")</f>
        <v>N/A</v>
      </c>
      <c r="O456" t="str" s="482" cm="1">
        <f t="array" ref="O456">IF(B456&gt;0,IF(OR(VLOOKUP(C441,'Boats Data Sheet 2026'!$C$3:$F$57,4,0)="Own",VLOOKUP(C441,'Boats Data Sheet 2026'!$C$3:$F$57,4,0)="Management"),('Direct Costs 2026'!$C$37+'Direct Costs 2026'!$C$39),"N/A"),"N/A")</f>
        <v>N/A</v>
      </c>
      <c r="P456" t="str" s="482" cm="1">
        <f t="array" ref="P456">_xlfn.IFERROR('Direct Costs 2026'!$C$27*C456,"N/A")</f>
        <v>N/A</v>
      </c>
      <c r="Q456" t="str" s="482" cm="1">
        <f t="array" ref="Q456">_xlfn.IFERROR(C456+SUM(E456:P456),"N/A")</f>
        <v>N/A</v>
      </c>
      <c r="R456" s="483"/>
      <c r="S456" t="str" s="482" cm="1">
        <f t="array" ref="S456">IF(B456&gt;0,'Allocation OH and Target 2026'!$E$31,"N/A")</f>
        <v>N/A</v>
      </c>
      <c r="T456" t="str" s="482" cm="1">
        <f t="array" ref="T456">IF(B456&gt;0,VLOOKUP(C441,'Allocation OH and Target 2026'!$C$35:$S$87,16,0),"N/A")</f>
        <v>N/A</v>
      </c>
      <c r="U456" t="str" s="482" cm="1">
        <f t="array" ref="U456">_xlfn.IFERROR((S456+T456),"N/A")</f>
        <v>N/A</v>
      </c>
      <c r="V456" s="483"/>
      <c r="W456" t="str" s="482" cm="1">
        <f t="array" ref="W456">_xlfn.IFERROR(U456+Q456,"N/A")</f>
        <v>N/A</v>
      </c>
      <c r="X456" t="str" s="482" cm="1">
        <f t="array" ref="X456">_xlfn.IFERROR(W456*0.5%,"N/A")</f>
        <v>N/A</v>
      </c>
      <c r="Y456" t="str" s="482" cm="1">
        <f t="array" ref="Y456">_xlfn.IFERROR(W456*25%,"N/A")</f>
        <v>N/A</v>
      </c>
      <c r="Z456" t="str" s="485" cm="1">
        <f t="array" ref="Z456">IF(B456&gt;0,SUM(W456:Y456),"N/A")</f>
        <v>N/A</v>
      </c>
      <c r="AA456" t="str" s="485" cm="1">
        <f t="array" ref="AA456">_xlfn.IFERROR((Z456-AVERAGE(Z444:Z449)),"N/A")</f>
        <v>N/A</v>
      </c>
      <c r="AB456" s="483"/>
      <c r="AC456" t="str" s="485" cm="1">
        <f t="array" ref="AC456">IF(B456=6,AVERAGE(Z444:Z449),"N/A")</f>
        <v>N/A</v>
      </c>
      <c r="AD456" s="483"/>
      <c r="AE456" s="480"/>
      <c r="AF456" s="480"/>
      <c r="AG456" s="480"/>
      <c r="AH456" s="480"/>
      <c r="AI456" s="480"/>
      <c r="AJ456" s="480"/>
      <c r="AK456" s="480"/>
      <c r="AL456" s="480"/>
      <c r="AM456" s="480"/>
      <c r="AN456" s="486"/>
    </row>
    <row r="457" ht="15" customHeight="1" hidden="1">
      <c r="A457" s="12"/>
      <c r="B457" s="479" cm="1">
        <f t="array" ref="B457">IF(B456=0,0,IF(B456&lt;VLOOKUP(C441,'Boats Data Sheet 2026'!$C$3:$H$57,6,0),B456+1,0))</f>
        <v>0</v>
      </c>
      <c r="C457" t="str" s="482" cm="1">
        <f t="array" ref="C457">IF(B457&gt;0,IF(VLOOKUP(C441,'Boats Data Sheet 2026'!$C$3:$J$57,8,0)="N/A",0,VLOOKUP(C441,'Boats Data Sheet 2026'!$C$3:$J$57,8,0)),"N/A")</f>
        <v>N/A</v>
      </c>
      <c r="D457" t="str" s="482" cm="1">
        <f t="array" ref="D457">IF(B457&gt;7,2,IF(B457=0,"N/A",1))</f>
        <v>N/A</v>
      </c>
      <c r="E457" t="str" s="482" cm="1">
        <f t="array" ref="E457">_xlfn.IFERROR(SUM('Direct Costs 2026'!$C$4:$C$5)*D457,"N/A")</f>
        <v>N/A</v>
      </c>
      <c r="F457" s="480" cm="1">
        <f t="array" ref="F457">_xlfn.IFERROR('Direct Costs 2026'!$C$43*B457,"N/A")</f>
        <v>0</v>
      </c>
      <c r="G457" t="str" s="482" cm="1">
        <f t="array" ref="G457">IF(B457&gt;0,'Direct Costs 2026'!$C$25,"N/A")</f>
        <v>N/A</v>
      </c>
      <c r="H457" t="str" s="482" cm="1">
        <f t="array" ref="H457">IF(B457&gt;0,'Direct Costs 2026'!$C$15+'Direct Costs 2026'!$C$14,"N/A")</f>
        <v>N/A</v>
      </c>
      <c r="I457" s="480">
        <v>0</v>
      </c>
      <c r="J457" s="480">
        <v>0</v>
      </c>
      <c r="K457" t="str" s="482" cm="1">
        <f t="array" ref="K457">IF(B457&gt;0,'Direct Costs 2026'!$C$26,"N/A")</f>
        <v>N/A</v>
      </c>
      <c r="L457" t="str" s="482" cm="1">
        <f t="array" ref="L457">IF(B457&gt;0,'Direct Costs 2026'!$C$23,"N/A")</f>
        <v>N/A</v>
      </c>
      <c r="M457" t="str" s="482" cm="1">
        <f t="array" ref="M457">IF(B457&gt;0,'Direct Costs 2026'!$C$45*B457,"N/A")</f>
        <v>N/A</v>
      </c>
      <c r="N457" t="str" s="482" cm="1">
        <f t="array" ref="N457">IF(B457&gt;0,_xlfn.IFERROR(VLOOKUP(C441,'Boats Data Sheet 2026'!$C$3:$I$57,7,0)*'Direct Costs 2026'!$C$36,"N/A"),"N/A")</f>
        <v>N/A</v>
      </c>
      <c r="O457" t="str" s="482" cm="1">
        <f t="array" ref="O457">IF(B457&gt;0,IF(OR(VLOOKUP(C441,'Boats Data Sheet 2026'!$C$3:$F$57,4,0)="Own",VLOOKUP(C441,'Boats Data Sheet 2026'!$C$3:$F$57,4,0)="Management"),('Direct Costs 2026'!$C$37+'Direct Costs 2026'!$C$39),"N/A"),"N/A")</f>
        <v>N/A</v>
      </c>
      <c r="P457" t="str" s="482" cm="1">
        <f t="array" ref="P457">_xlfn.IFERROR('Direct Costs 2026'!$C$27*C457,"N/A")</f>
        <v>N/A</v>
      </c>
      <c r="Q457" t="str" s="482" cm="1">
        <f t="array" ref="Q457">_xlfn.IFERROR(C457+SUM(E457:P457),"N/A")</f>
        <v>N/A</v>
      </c>
      <c r="R457" s="483"/>
      <c r="S457" t="str" s="482" cm="1">
        <f t="array" ref="S457">IF(B457&gt;0,'Allocation OH and Target 2026'!$E$31,"N/A")</f>
        <v>N/A</v>
      </c>
      <c r="T457" t="str" s="482" cm="1">
        <f t="array" ref="T457">IF(B457&gt;0,VLOOKUP(C441,'Allocation OH and Target 2026'!$C$35:$S$87,16,0),"N/A")</f>
        <v>N/A</v>
      </c>
      <c r="U457" t="str" s="482" cm="1">
        <f t="array" ref="U457">_xlfn.IFERROR((S457+T457),"N/A")</f>
        <v>N/A</v>
      </c>
      <c r="V457" s="483"/>
      <c r="W457" t="str" s="482" cm="1">
        <f t="array" ref="W457">_xlfn.IFERROR(U457+Q457,"N/A")</f>
        <v>N/A</v>
      </c>
      <c r="X457" t="str" s="482" cm="1">
        <f t="array" ref="X457">_xlfn.IFERROR(W457*0.5%,"N/A")</f>
        <v>N/A</v>
      </c>
      <c r="Y457" t="str" s="482" cm="1">
        <f t="array" ref="Y457">_xlfn.IFERROR(W457*25%,"N/A")</f>
        <v>N/A</v>
      </c>
      <c r="Z457" t="str" s="485" cm="1">
        <f t="array" ref="Z457">IF(B457&gt;0,SUM(W457:Y457),"N/A")</f>
        <v>N/A</v>
      </c>
      <c r="AA457" t="str" s="485" cm="1">
        <f t="array" ref="AA457">_xlfn.IFERROR((Z457-AVERAGE(Z444:Z449)),"N/A")</f>
        <v>N/A</v>
      </c>
      <c r="AB457" s="483"/>
      <c r="AC457" t="str" s="485" cm="1">
        <f t="array" ref="AC457">IF(B457=6,AVERAGE(Z444:Z449),"N/A")</f>
        <v>N/A</v>
      </c>
      <c r="AD457" s="483"/>
      <c r="AE457" s="480"/>
      <c r="AF457" s="480"/>
      <c r="AG457" s="480"/>
      <c r="AH457" s="480"/>
      <c r="AI457" s="480"/>
      <c r="AJ457" s="480"/>
      <c r="AK457" s="480"/>
      <c r="AL457" s="480"/>
      <c r="AM457" s="480"/>
      <c r="AN457" s="486"/>
    </row>
    <row r="458" ht="15" customHeight="1" hidden="1">
      <c r="A458" s="12"/>
      <c r="B458" s="479" cm="1">
        <f t="array" ref="B458">IF(B457=0,0,IF(B457&lt;VLOOKUP(C441,'Boats Data Sheet 2026'!$C$3:$H$57,6,0),B457+1,0))</f>
        <v>0</v>
      </c>
      <c r="C458" t="str" s="482" cm="1">
        <f t="array" ref="C458">IF(B458&gt;0,IF(VLOOKUP(C441,'Boats Data Sheet 2026'!$C$3:$J$57,8,0)="N/A",0,VLOOKUP(C441,'Boats Data Sheet 2026'!$C$3:$J$57,8,0)),"N/A")</f>
        <v>N/A</v>
      </c>
      <c r="D458" t="str" s="482" cm="1">
        <f t="array" ref="D458">IF(B458&gt;7,2,IF(B458=0,"N/A",1))</f>
        <v>N/A</v>
      </c>
      <c r="E458" t="str" s="482" cm="1">
        <f t="array" ref="E458">_xlfn.IFERROR(SUM('Direct Costs 2026'!$C$4:$C$5)*D458,"N/A")</f>
        <v>N/A</v>
      </c>
      <c r="F458" s="480" cm="1">
        <f t="array" ref="F458">_xlfn.IFERROR('Direct Costs 2026'!$C$43*B458,"N/A")</f>
        <v>0</v>
      </c>
      <c r="G458" t="str" s="482" cm="1">
        <f t="array" ref="G458">IF(B458&gt;0,'Direct Costs 2026'!$C$25,"N/A")</f>
        <v>N/A</v>
      </c>
      <c r="H458" t="str" s="482" cm="1">
        <f t="array" ref="H458">IF(B458&gt;0,'Direct Costs 2026'!$C$15+'Direct Costs 2026'!$C$14,"N/A")</f>
        <v>N/A</v>
      </c>
      <c r="I458" s="480">
        <v>0</v>
      </c>
      <c r="J458" s="480">
        <v>0</v>
      </c>
      <c r="K458" t="str" s="482" cm="1">
        <f t="array" ref="K458">IF(B458&gt;0,'Direct Costs 2026'!$C$26,"N/A")</f>
        <v>N/A</v>
      </c>
      <c r="L458" t="str" s="482" cm="1">
        <f t="array" ref="L458">IF(B458&gt;0,'Direct Costs 2026'!$C$23,"N/A")</f>
        <v>N/A</v>
      </c>
      <c r="M458" t="str" s="482" cm="1">
        <f t="array" ref="M458">IF(B458&gt;0,'Direct Costs 2026'!$C$45*B458,"N/A")</f>
        <v>N/A</v>
      </c>
      <c r="N458" t="str" s="482" cm="1">
        <f t="array" ref="N458">IF(B458&gt;0,_xlfn.IFERROR(VLOOKUP(C441,'Boats Data Sheet 2026'!$C$3:$I$57,7,0)*'Direct Costs 2026'!$C$36,"N/A"),"N/A")</f>
        <v>N/A</v>
      </c>
      <c r="O458" t="str" s="482" cm="1">
        <f t="array" ref="O458">IF(B458&gt;0,IF(OR(VLOOKUP(C441,'Boats Data Sheet 2026'!$C$3:$F$57,4,0)="Own",VLOOKUP(C441,'Boats Data Sheet 2026'!$C$3:$F$57,4,0)="Management"),('Direct Costs 2026'!$C$37+'Direct Costs 2026'!$C$39),"N/A"),"N/A")</f>
        <v>N/A</v>
      </c>
      <c r="P458" t="str" s="482" cm="1">
        <f t="array" ref="P458">_xlfn.IFERROR('Direct Costs 2026'!$C$27*C458,"N/A")</f>
        <v>N/A</v>
      </c>
      <c r="Q458" t="str" s="482" cm="1">
        <f t="array" ref="Q458">_xlfn.IFERROR(C458+SUM(E458:P458),"N/A")</f>
        <v>N/A</v>
      </c>
      <c r="R458" s="483"/>
      <c r="S458" t="str" s="482" cm="1">
        <f t="array" ref="S458">IF(B458&gt;0,'Allocation OH and Target 2026'!$E$31,"N/A")</f>
        <v>N/A</v>
      </c>
      <c r="T458" t="str" s="482" cm="1">
        <f t="array" ref="T458">IF(B458&gt;0,VLOOKUP(C441,'Allocation OH and Target 2026'!$C$35:$S$87,16,0),"N/A")</f>
        <v>N/A</v>
      </c>
      <c r="U458" t="str" s="482" cm="1">
        <f t="array" ref="U458">_xlfn.IFERROR((S458+T458),"N/A")</f>
        <v>N/A</v>
      </c>
      <c r="V458" s="483"/>
      <c r="W458" t="str" s="482" cm="1">
        <f t="array" ref="W458">_xlfn.IFERROR(U458+Q458,"N/A")</f>
        <v>N/A</v>
      </c>
      <c r="X458" t="str" s="482" cm="1">
        <f t="array" ref="X458">_xlfn.IFERROR(W458*0.5%,"N/A")</f>
        <v>N/A</v>
      </c>
      <c r="Y458" t="str" s="482" cm="1">
        <f t="array" ref="Y458">_xlfn.IFERROR(W458*25%,"N/A")</f>
        <v>N/A</v>
      </c>
      <c r="Z458" t="str" s="485" cm="1">
        <f t="array" ref="Z458">IF(B458&gt;0,SUM(W458:Y458),"N/A")</f>
        <v>N/A</v>
      </c>
      <c r="AA458" t="str" s="485" cm="1">
        <f t="array" ref="AA458">_xlfn.IFERROR((Z458-AVERAGE(Z444:Z449)),"N/A")</f>
        <v>N/A</v>
      </c>
      <c r="AB458" s="483"/>
      <c r="AC458" t="str" s="485" cm="1">
        <f t="array" ref="AC458">IF(B458=6,AVERAGE(Z444:Z449),"N/A")</f>
        <v>N/A</v>
      </c>
      <c r="AD458" s="483"/>
      <c r="AE458" s="480"/>
      <c r="AF458" s="480"/>
      <c r="AG458" s="480"/>
      <c r="AH458" s="480"/>
      <c r="AI458" s="480"/>
      <c r="AJ458" s="480"/>
      <c r="AK458" s="480"/>
      <c r="AL458" s="480"/>
      <c r="AM458" s="480"/>
      <c r="AN458" s="486"/>
    </row>
    <row r="459" ht="15" customHeight="1" hidden="1">
      <c r="A459" s="12"/>
      <c r="B459" s="479" cm="1">
        <f t="array" ref="B459">IF(B458=0,0,IF(B458&lt;VLOOKUP(C441,'Boats Data Sheet 2026'!$C$3:$H$57,6,0),B458+1,0))</f>
        <v>0</v>
      </c>
      <c r="C459" t="str" s="482" cm="1">
        <f t="array" ref="C459">IF(B459&gt;0,IF(VLOOKUP(C441,'Boats Data Sheet 2026'!$C$3:$J$57,8,0)="N/A",0,VLOOKUP(C441,'Boats Data Sheet 2026'!$C$3:$J$57,8,0)),"N/A")</f>
        <v>N/A</v>
      </c>
      <c r="D459" t="str" s="482" cm="1">
        <f t="array" ref="D459">IF(B459&gt;7,2,IF(B459=0,"N/A",1))</f>
        <v>N/A</v>
      </c>
      <c r="E459" t="str" s="482" cm="1">
        <f t="array" ref="E459">_xlfn.IFERROR(SUM('Direct Costs 2026'!$C$4:$C$5)*D459,"N/A")</f>
        <v>N/A</v>
      </c>
      <c r="F459" s="480" cm="1">
        <f t="array" ref="F459">_xlfn.IFERROR('Direct Costs 2026'!$C$43*B459,"N/A")</f>
        <v>0</v>
      </c>
      <c r="G459" t="str" s="482" cm="1">
        <f t="array" ref="G459">IF(B459&gt;0,'Direct Costs 2026'!$C$25,"N/A")</f>
        <v>N/A</v>
      </c>
      <c r="H459" t="str" s="482" cm="1">
        <f t="array" ref="H459">IF(B459&gt;0,'Direct Costs 2026'!$C$15+'Direct Costs 2026'!$C$14,"N/A")</f>
        <v>N/A</v>
      </c>
      <c r="I459" s="480">
        <v>0</v>
      </c>
      <c r="J459" s="480">
        <v>0</v>
      </c>
      <c r="K459" t="str" s="482" cm="1">
        <f t="array" ref="K459">IF(B459&gt;0,'Direct Costs 2026'!$C$26,"N/A")</f>
        <v>N/A</v>
      </c>
      <c r="L459" t="str" s="482" cm="1">
        <f t="array" ref="L459">IF(B459&gt;0,'Direct Costs 2026'!$C$23,"N/A")</f>
        <v>N/A</v>
      </c>
      <c r="M459" t="str" s="482" cm="1">
        <f t="array" ref="M459">IF(B459&gt;0,'Direct Costs 2026'!$C$45*B459,"N/A")</f>
        <v>N/A</v>
      </c>
      <c r="N459" t="str" s="482" cm="1">
        <f t="array" ref="N459">IF(B459&gt;0,_xlfn.IFERROR(VLOOKUP(C441,'Boats Data Sheet 2026'!$C$3:$I$57,7,0)*'Direct Costs 2026'!$C$36,"N/A"),"N/A")</f>
        <v>N/A</v>
      </c>
      <c r="O459" t="str" s="482" cm="1">
        <f t="array" ref="O459">IF(B459&gt;0,IF(OR(VLOOKUP(C441,'Boats Data Sheet 2026'!$C$3:$F$57,4,0)="Own",VLOOKUP(C441,'Boats Data Sheet 2026'!$C$3:$F$57,4,0)="Management"),('Direct Costs 2026'!$C$37+'Direct Costs 2026'!$C$39),"N/A"),"N/A")</f>
        <v>N/A</v>
      </c>
      <c r="P459" t="str" s="482" cm="1">
        <f t="array" ref="P459">_xlfn.IFERROR('Direct Costs 2026'!$C$27*C459,"N/A")</f>
        <v>N/A</v>
      </c>
      <c r="Q459" t="str" s="482" cm="1">
        <f t="array" ref="Q459">_xlfn.IFERROR(C459+SUM(E459:P459),"N/A")</f>
        <v>N/A</v>
      </c>
      <c r="R459" s="483"/>
      <c r="S459" t="str" s="482" cm="1">
        <f t="array" ref="S459">IF(B459&gt;0,'Allocation OH and Target 2026'!$E$31,"N/A")</f>
        <v>N/A</v>
      </c>
      <c r="T459" t="str" s="482" cm="1">
        <f t="array" ref="T459">IF(B459&gt;0,VLOOKUP(C441,'Allocation OH and Target 2026'!$C$35:$S$87,16,0),"N/A")</f>
        <v>N/A</v>
      </c>
      <c r="U459" t="str" s="482" cm="1">
        <f t="array" ref="U459">_xlfn.IFERROR((S459+T459),"N/A")</f>
        <v>N/A</v>
      </c>
      <c r="V459" s="483"/>
      <c r="W459" t="str" s="482" cm="1">
        <f t="array" ref="W459">_xlfn.IFERROR(U459+Q459,"N/A")</f>
        <v>N/A</v>
      </c>
      <c r="X459" t="str" s="482" cm="1">
        <f t="array" ref="X459">_xlfn.IFERROR(W459*0.5%,"N/A")</f>
        <v>N/A</v>
      </c>
      <c r="Y459" t="str" s="482" cm="1">
        <f t="array" ref="Y459">_xlfn.IFERROR(W459*25%,"N/A")</f>
        <v>N/A</v>
      </c>
      <c r="Z459" t="str" s="485" cm="1">
        <f t="array" ref="Z459">IF(B459&gt;0,SUM(W459:Y459),"N/A")</f>
        <v>N/A</v>
      </c>
      <c r="AA459" t="str" s="485" cm="1">
        <f t="array" ref="AA459">_xlfn.IFERROR((Z459-AVERAGE(Z444:Z449)),"N/A")</f>
        <v>N/A</v>
      </c>
      <c r="AB459" s="483"/>
      <c r="AC459" t="str" s="485" cm="1">
        <f t="array" ref="AC459">IF(B459=6,AVERAGE(Z444:Z449),"N/A")</f>
        <v>N/A</v>
      </c>
      <c r="AD459" s="483"/>
      <c r="AE459" s="480"/>
      <c r="AF459" s="480"/>
      <c r="AG459" s="480"/>
      <c r="AH459" s="480"/>
      <c r="AI459" s="480"/>
      <c r="AJ459" s="480"/>
      <c r="AK459" s="480"/>
      <c r="AL459" s="480"/>
      <c r="AM459" s="480"/>
      <c r="AN459" s="486"/>
    </row>
    <row r="460" ht="15" customHeight="1" hidden="1">
      <c r="A460" s="12"/>
      <c r="B460" s="479" cm="1">
        <f t="array" ref="B460">IF(B459=0,0,IF(B459&lt;VLOOKUP(C441,'Boats Data Sheet 2026'!$C$3:$H$57,6,0),B459+1,0))</f>
        <v>0</v>
      </c>
      <c r="C460" t="str" s="482" cm="1">
        <f t="array" ref="C460">IF(B460&gt;0,IF(VLOOKUP(C441,'Boats Data Sheet 2026'!$C$3:$J$57,8,0)="N/A",0,VLOOKUP(C441,'Boats Data Sheet 2026'!$C$3:$J$57,8,0)),"N/A")</f>
        <v>N/A</v>
      </c>
      <c r="D460" t="str" s="482" cm="1">
        <f t="array" ref="D460">IF(B460&gt;7,2,IF(B460=0,"N/A",1))</f>
        <v>N/A</v>
      </c>
      <c r="E460" t="str" s="482" cm="1">
        <f t="array" ref="E460">_xlfn.IFERROR(SUM('Direct Costs 2026'!$C$4:$C$5)*D460,"N/A")</f>
        <v>N/A</v>
      </c>
      <c r="F460" s="480" cm="1">
        <f t="array" ref="F460">_xlfn.IFERROR('Direct Costs 2026'!$C$43*B460,"N/A")</f>
        <v>0</v>
      </c>
      <c r="G460" t="str" s="482" cm="1">
        <f t="array" ref="G460">IF(B460&gt;0,'Direct Costs 2026'!$C$25,"N/A")</f>
        <v>N/A</v>
      </c>
      <c r="H460" t="str" s="482" cm="1">
        <f t="array" ref="H460">IF(B460&gt;0,'Direct Costs 2026'!$C$15+'Direct Costs 2026'!$C$14,"N/A")</f>
        <v>N/A</v>
      </c>
      <c r="I460" s="480">
        <v>0</v>
      </c>
      <c r="J460" s="480">
        <v>0</v>
      </c>
      <c r="K460" t="str" s="482" cm="1">
        <f t="array" ref="K460">IF(B460&gt;0,'Direct Costs 2026'!$C$26,"N/A")</f>
        <v>N/A</v>
      </c>
      <c r="L460" t="str" s="482" cm="1">
        <f t="array" ref="L460">IF(B460&gt;0,'Direct Costs 2026'!$C$23,"N/A")</f>
        <v>N/A</v>
      </c>
      <c r="M460" t="str" s="482" cm="1">
        <f t="array" ref="M460">IF(B460&gt;0,'Direct Costs 2026'!$C$45*B460,"N/A")</f>
        <v>N/A</v>
      </c>
      <c r="N460" t="str" s="482" cm="1">
        <f t="array" ref="N460">IF(B460&gt;0,_xlfn.IFERROR(VLOOKUP(C441,'Boats Data Sheet 2026'!$C$3:$I$57,7,0)*'Direct Costs 2026'!$C$36,"N/A"),"N/A")</f>
        <v>N/A</v>
      </c>
      <c r="O460" t="str" s="482" cm="1">
        <f t="array" ref="O460">IF(B460&gt;0,IF(OR(VLOOKUP(C441,'Boats Data Sheet 2026'!$C$3:$F$57,4,0)="Own",VLOOKUP(C441,'Boats Data Sheet 2026'!$C$3:$F$57,4,0)="Management"),('Direct Costs 2026'!$C$37+'Direct Costs 2026'!$C$39),"N/A"),"N/A")</f>
        <v>N/A</v>
      </c>
      <c r="P460" t="str" s="482" cm="1">
        <f t="array" ref="P460">_xlfn.IFERROR('Direct Costs 2026'!$C$27*C460,"N/A")</f>
        <v>N/A</v>
      </c>
      <c r="Q460" t="str" s="482" cm="1">
        <f t="array" ref="Q460">_xlfn.IFERROR(C460+SUM(E460:P460),"N/A")</f>
        <v>N/A</v>
      </c>
      <c r="R460" s="483"/>
      <c r="S460" t="str" s="482" cm="1">
        <f t="array" ref="S460">IF(B460&gt;0,'Allocation OH and Target 2026'!$E$31,"N/A")</f>
        <v>N/A</v>
      </c>
      <c r="T460" t="str" s="482" cm="1">
        <f t="array" ref="T460">IF(B460&gt;0,VLOOKUP(C441,'Allocation OH and Target 2026'!$C$35:$S$87,16,0),"N/A")</f>
        <v>N/A</v>
      </c>
      <c r="U460" t="str" s="482" cm="1">
        <f t="array" ref="U460">_xlfn.IFERROR((S460+T460),"N/A")</f>
        <v>N/A</v>
      </c>
      <c r="V460" s="483"/>
      <c r="W460" t="str" s="482" cm="1">
        <f t="array" ref="W460">_xlfn.IFERROR(U460+Q460,"N/A")</f>
        <v>N/A</v>
      </c>
      <c r="X460" t="str" s="482" cm="1">
        <f t="array" ref="X460">_xlfn.IFERROR(W460*0.5%,"N/A")</f>
        <v>N/A</v>
      </c>
      <c r="Y460" t="str" s="482" cm="1">
        <f t="array" ref="Y460">_xlfn.IFERROR(W460*25%,"N/A")</f>
        <v>N/A</v>
      </c>
      <c r="Z460" t="str" s="485" cm="1">
        <f t="array" ref="Z460">IF(B460&gt;0,SUM(W460:Y460),"N/A")</f>
        <v>N/A</v>
      </c>
      <c r="AA460" t="str" s="485" cm="1">
        <f t="array" ref="AA460">_xlfn.IFERROR((Z460-AVERAGE(Z444:Z449)),"N/A")</f>
        <v>N/A</v>
      </c>
      <c r="AB460" s="483"/>
      <c r="AC460" t="str" s="485" cm="1">
        <f t="array" ref="AC460">IF(B460=6,AVERAGE(Z444:Z449),"N/A")</f>
        <v>N/A</v>
      </c>
      <c r="AD460" s="483"/>
      <c r="AE460" s="480"/>
      <c r="AF460" s="480"/>
      <c r="AG460" s="480"/>
      <c r="AH460" s="480"/>
      <c r="AI460" s="480"/>
      <c r="AJ460" s="480"/>
      <c r="AK460" s="480"/>
      <c r="AL460" s="480"/>
      <c r="AM460" s="480"/>
      <c r="AN460" s="486"/>
    </row>
    <row r="461" ht="15.5" customHeight="1" hidden="1">
      <c r="A461" s="12"/>
      <c r="B461" s="479" cm="1">
        <f t="array" ref="B461">IF(B460=0,0,IF(B460&lt;VLOOKUP(C441,'Boats Data Sheet 2026'!$C$3:$H$57,6,0),B460+1,0))</f>
        <v>0</v>
      </c>
      <c r="C461" t="str" s="482" cm="1">
        <f t="array" ref="C461">IF(B461&gt;0,IF(VLOOKUP(C441,'Boats Data Sheet 2026'!$C$3:$J$57,8,0)="N/A",0,VLOOKUP(C441,'Boats Data Sheet 2026'!$C$3:$J$57,8,0)),"N/A")</f>
        <v>N/A</v>
      </c>
      <c r="D461" t="str" s="482" cm="1">
        <f t="array" ref="D461">IF(B461&gt;7,2,IF(B461=0,"N/A",1))</f>
        <v>N/A</v>
      </c>
      <c r="E461" t="str" s="482" cm="1">
        <f t="array" ref="E461">_xlfn.IFERROR(SUM('Direct Costs 2026'!$C$4:$C$5)*D461,"N/A")</f>
        <v>N/A</v>
      </c>
      <c r="F461" s="480" cm="1">
        <f t="array" ref="F461">_xlfn.IFERROR('Direct Costs 2026'!$C$43*B461,"N/A")</f>
        <v>0</v>
      </c>
      <c r="G461" t="str" s="482" cm="1">
        <f t="array" ref="G461">IF(B461&gt;0,'Direct Costs 2026'!$C$25,"N/A")</f>
        <v>N/A</v>
      </c>
      <c r="H461" t="str" s="482" cm="1">
        <f t="array" ref="H461">IF(B461&gt;0,'Direct Costs 2026'!$C$15+'Direct Costs 2026'!$C$14,"N/A")</f>
        <v>N/A</v>
      </c>
      <c r="I461" s="480">
        <v>0</v>
      </c>
      <c r="J461" s="480">
        <v>0</v>
      </c>
      <c r="K461" t="str" s="482" cm="1">
        <f t="array" ref="K461">IF(B461&gt;0,'Direct Costs 2026'!$C$26,"N/A")</f>
        <v>N/A</v>
      </c>
      <c r="L461" t="str" s="482" cm="1">
        <f t="array" ref="L461">IF(B461&gt;0,'Direct Costs 2026'!$C$23,"N/A")</f>
        <v>N/A</v>
      </c>
      <c r="M461" t="str" s="482" cm="1">
        <f t="array" ref="M461">IF(B461&gt;0,'Direct Costs 2026'!$C$45*B461,"N/A")</f>
        <v>N/A</v>
      </c>
      <c r="N461" t="str" s="482" cm="1">
        <f t="array" ref="N461">IF(B461&gt;0,_xlfn.IFERROR(VLOOKUP(C441,'Boats Data Sheet 2026'!$C$3:$I$57,7,0)*'Direct Costs 2026'!$C$36,"N/A"),"N/A")</f>
        <v>N/A</v>
      </c>
      <c r="O461" t="str" s="482" cm="1">
        <f t="array" ref="O461">IF(B461&gt;0,IF(OR(VLOOKUP(C441,'Boats Data Sheet 2026'!$C$3:$F$57,4,0)="Own",VLOOKUP(C441,'Boats Data Sheet 2026'!$C$3:$F$57,4,0)="Management"),('Direct Costs 2026'!$C$37+'Direct Costs 2026'!$C$39),"N/A"),"N/A")</f>
        <v>N/A</v>
      </c>
      <c r="P461" t="str" s="482" cm="1">
        <f t="array" ref="P461">_xlfn.IFERROR('Direct Costs 2026'!$C$27*C461,"N/A")</f>
        <v>N/A</v>
      </c>
      <c r="Q461" t="str" s="482" cm="1">
        <f t="array" ref="Q461">_xlfn.IFERROR(C461+SUM(E461:P461),"N/A")</f>
        <v>N/A</v>
      </c>
      <c r="R461" s="483"/>
      <c r="S461" t="str" s="482" cm="1">
        <f t="array" ref="S461">IF(B461&gt;0,'Allocation OH and Target 2026'!$E$31,"N/A")</f>
        <v>N/A</v>
      </c>
      <c r="T461" t="str" s="482" cm="1">
        <f t="array" ref="T461">IF(B461&gt;0,VLOOKUP(C441,'Allocation OH and Target 2026'!$C$35:$S$87,16,0),"N/A")</f>
        <v>N/A</v>
      </c>
      <c r="U461" t="str" s="482" cm="1">
        <f t="array" ref="U461">_xlfn.IFERROR((S461+T461),"N/A")</f>
        <v>N/A</v>
      </c>
      <c r="V461" s="483"/>
      <c r="W461" t="str" s="482" cm="1">
        <f t="array" ref="W461">_xlfn.IFERROR(U461+Q461,"N/A")</f>
        <v>N/A</v>
      </c>
      <c r="X461" t="str" s="482" cm="1">
        <f t="array" ref="X461">_xlfn.IFERROR(W461*0.5%,"N/A")</f>
        <v>N/A</v>
      </c>
      <c r="Y461" t="str" s="482" cm="1">
        <f t="array" ref="Y461">_xlfn.IFERROR(W461*25%,"N/A")</f>
        <v>N/A</v>
      </c>
      <c r="Z461" t="str" s="485" cm="1">
        <f t="array" ref="Z461">IF(B461&gt;0,SUM(W461:Y461),"N/A")</f>
        <v>N/A</v>
      </c>
      <c r="AA461" t="str" s="485" cm="1">
        <f t="array" ref="AA461">_xlfn.IFERROR((Z461-AVERAGE(Z444:Z449)),"N/A")</f>
        <v>N/A</v>
      </c>
      <c r="AB461" s="483"/>
      <c r="AC461" t="str" s="485" cm="1">
        <f t="array" ref="AC461">IF(B461=6,AVERAGE(Z444:Z449),"N/A")</f>
        <v>N/A</v>
      </c>
      <c r="AD461" s="483"/>
      <c r="AE461" s="480"/>
      <c r="AF461" s="480"/>
      <c r="AG461" s="480"/>
      <c r="AH461" s="480"/>
      <c r="AI461" s="480"/>
      <c r="AJ461" s="480"/>
      <c r="AK461" s="480"/>
      <c r="AL461" s="480"/>
      <c r="AM461" s="480"/>
      <c r="AN461" s="486"/>
    </row>
    <row r="462" ht="14.05" customHeight="1">
      <c r="A462" s="32"/>
      <c r="B462" s="477"/>
      <c r="C462" s="477"/>
      <c r="D462" s="477"/>
      <c r="E462" s="477"/>
      <c r="F462" s="477"/>
      <c r="G462" s="477"/>
      <c r="H462" s="477"/>
      <c r="I462" s="477"/>
      <c r="J462" s="477"/>
      <c r="K462" s="477"/>
      <c r="L462" s="477"/>
      <c r="M462" s="477"/>
      <c r="N462" s="477"/>
      <c r="O462" s="477"/>
      <c r="P462" s="477"/>
      <c r="Q462" s="477"/>
      <c r="R462" s="477"/>
      <c r="S462" s="477"/>
      <c r="T462" s="477"/>
      <c r="U462" s="477"/>
      <c r="V462" s="477"/>
      <c r="W462" s="477"/>
      <c r="X462" s="477"/>
      <c r="Y462" s="477"/>
      <c r="Z462" s="477"/>
      <c r="AA462" s="477"/>
      <c r="AB462" s="477"/>
      <c r="AC462" s="477"/>
      <c r="AD462" s="477"/>
      <c r="AE462" s="477"/>
      <c r="AF462" s="477"/>
      <c r="AG462" s="477"/>
      <c r="AH462" s="477"/>
      <c r="AI462" s="477"/>
      <c r="AJ462" s="477"/>
      <c r="AK462" s="477"/>
      <c r="AL462" s="477"/>
      <c r="AM462" s="477"/>
      <c r="AN462" s="478"/>
    </row>
    <row r="463" ht="15" customHeight="1">
      <c r="A463" s="32"/>
      <c r="B463" s="35"/>
      <c r="C463" s="35"/>
      <c r="D463" s="35"/>
      <c r="E463" s="35"/>
      <c r="F463" s="35"/>
      <c r="G463" s="35"/>
      <c r="H463" s="35"/>
      <c r="I463" s="35"/>
      <c r="J463" s="35"/>
      <c r="K463" s="492"/>
      <c r="L463" s="493"/>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442"/>
    </row>
    <row r="464" ht="15.5" customHeight="1">
      <c r="A464" s="395">
        <v>22</v>
      </c>
      <c r="B464" t="s" s="396">
        <v>506</v>
      </c>
      <c r="C464" t="s" s="397">
        <v>204</v>
      </c>
      <c r="D464" s="398"/>
      <c r="E464" s="398"/>
      <c r="F464" s="398"/>
      <c r="G464" s="398"/>
      <c r="H464" s="398"/>
      <c r="I464" s="398"/>
      <c r="J464" s="398"/>
      <c r="K464" s="398"/>
      <c r="L464" s="398"/>
      <c r="M464" s="398"/>
      <c r="N464" s="398"/>
      <c r="O464" s="398"/>
      <c r="P464" s="398"/>
      <c r="Q464" s="398"/>
      <c r="R464" s="399"/>
      <c r="S464" s="398"/>
      <c r="T464" s="398"/>
      <c r="U464" s="398"/>
      <c r="V464" s="399"/>
      <c r="W464" s="398"/>
      <c r="X464" s="398"/>
      <c r="Y464" s="398"/>
      <c r="Z464" s="398"/>
      <c r="AA464" s="398"/>
      <c r="AB464" s="399"/>
      <c r="AC464" s="398"/>
      <c r="AD464" s="399"/>
      <c r="AE464" t="s" s="397">
        <v>508</v>
      </c>
      <c r="AF464" s="401" cm="1">
        <f t="array" ref="AF464">AVERAGE(Q467:Q472)</f>
        <v>20171500</v>
      </c>
      <c r="AG464" t="s" s="400">
        <v>509</v>
      </c>
      <c r="AH464" s="401" cm="1">
        <f t="array" ref="AH464">AVERAGE(Q473:Q480)-AF464</f>
        <v>1764428.57142857</v>
      </c>
      <c r="AI464" t="s" s="400">
        <v>510</v>
      </c>
      <c r="AJ464" s="401" cm="1">
        <f t="array" ref="AJ464">AVERAGE(Y467:Y474)</f>
        <v>5884346.16442453</v>
      </c>
      <c r="AK464" t="s" s="397">
        <v>511</v>
      </c>
      <c r="AL464" s="401" cm="1">
        <f t="array" ref="AL464">AVERAGE(W467:W472)</f>
        <v>23271947.1576981</v>
      </c>
      <c r="AM464" t="s" s="400">
        <v>512</v>
      </c>
      <c r="AN464" s="402" cm="1">
        <f t="array" ref="AN464">W467</f>
        <v>22881947.1576981</v>
      </c>
    </row>
    <row r="465" ht="15" customHeight="1">
      <c r="A465" s="12"/>
      <c r="B465" s="403"/>
      <c r="C465" t="s" s="404">
        <v>513</v>
      </c>
      <c r="D465" s="405"/>
      <c r="E465" s="405"/>
      <c r="F465" s="405"/>
      <c r="G465" s="405"/>
      <c r="H465" s="405"/>
      <c r="I465" s="405"/>
      <c r="J465" s="405"/>
      <c r="K465" s="405"/>
      <c r="L465" s="405"/>
      <c r="M465" s="405"/>
      <c r="N465" s="405"/>
      <c r="O465" s="405"/>
      <c r="P465" s="405"/>
      <c r="Q465" s="406"/>
      <c r="R465" s="407"/>
      <c r="S465" t="s" s="404">
        <v>514</v>
      </c>
      <c r="T465" s="405"/>
      <c r="U465" s="406"/>
      <c r="V465" s="407"/>
      <c r="W465" t="s" s="404">
        <v>515</v>
      </c>
      <c r="X465" s="405"/>
      <c r="Y465" s="405"/>
      <c r="Z465" s="405"/>
      <c r="AA465" s="405"/>
      <c r="AB465" s="408"/>
      <c r="AC465" s="443"/>
      <c r="AD465" s="410"/>
      <c r="AE465" s="443"/>
      <c r="AF465" s="443"/>
      <c r="AG465" s="443"/>
      <c r="AH465" s="443"/>
      <c r="AI465" s="443"/>
      <c r="AJ465" s="443"/>
      <c r="AK465" s="443"/>
      <c r="AL465" s="414"/>
      <c r="AM465" s="415"/>
      <c r="AN465" s="414"/>
    </row>
    <row r="466" ht="46.25" customHeight="1">
      <c r="A466" s="187"/>
      <c r="B466" t="s" s="416">
        <v>517</v>
      </c>
      <c r="C466" t="s" s="417">
        <v>518</v>
      </c>
      <c r="D466" t="s" s="417">
        <v>519</v>
      </c>
      <c r="E466" t="s" s="417">
        <v>520</v>
      </c>
      <c r="F466" t="s" s="159">
        <v>521</v>
      </c>
      <c r="G466" t="s" s="159">
        <v>522</v>
      </c>
      <c r="H466" t="s" s="159">
        <v>553</v>
      </c>
      <c r="I466" t="s" s="159">
        <v>524</v>
      </c>
      <c r="J466" t="s" s="159">
        <v>525</v>
      </c>
      <c r="K466" t="s" s="159">
        <v>526</v>
      </c>
      <c r="L466" t="s" s="159">
        <v>527</v>
      </c>
      <c r="M466" t="s" s="159">
        <v>528</v>
      </c>
      <c r="N466" t="s" s="159">
        <v>529</v>
      </c>
      <c r="O466" t="s" s="159">
        <v>530</v>
      </c>
      <c r="P466" t="s" s="159">
        <v>531</v>
      </c>
      <c r="Q466" t="s" s="159">
        <v>532</v>
      </c>
      <c r="R466" s="418"/>
      <c r="S466" t="s" s="159">
        <v>533</v>
      </c>
      <c r="T466" t="s" s="159">
        <v>534</v>
      </c>
      <c r="U466" t="s" s="159">
        <v>535</v>
      </c>
      <c r="V466" s="418"/>
      <c r="W466" t="s" s="159">
        <v>536</v>
      </c>
      <c r="X466" t="s" s="159">
        <v>537</v>
      </c>
      <c r="Y466" t="s" s="159">
        <v>538</v>
      </c>
      <c r="Z466" t="s" s="159">
        <v>539</v>
      </c>
      <c r="AA466" t="s" s="159">
        <v>121</v>
      </c>
      <c r="AB466" s="419"/>
      <c r="AC466" t="s" s="159">
        <v>39</v>
      </c>
      <c r="AD466" s="419"/>
      <c r="AE466" s="77"/>
      <c r="AF466" s="77"/>
      <c r="AG466" s="77"/>
      <c r="AH466" s="77"/>
      <c r="AI466" s="77"/>
      <c r="AJ466" s="77"/>
      <c r="AK466" s="77"/>
      <c r="AL466" s="77"/>
      <c r="AM466" s="77"/>
      <c r="AN466" s="78"/>
    </row>
    <row r="467" ht="15" customHeight="1">
      <c r="A467" s="12"/>
      <c r="B467" s="420">
        <v>1</v>
      </c>
      <c r="C467" s="421" cm="1">
        <f t="array" ref="C467">IF(B467&gt;0,IF(VLOOKUP(C464,'Boats Data Sheet 2026'!$C$3:$J$57,8,0)="N/A",0,VLOOKUP(C464,'Boats Data Sheet 2026'!$C$3:$J$57,8,0)),"N/A")</f>
        <v>18500000</v>
      </c>
      <c r="D467" s="422" cm="1">
        <f t="array" ref="D467">IF(B467&gt;7,2,IF(B467=0,"N/A",1))</f>
        <v>1</v>
      </c>
      <c r="E467" s="421" cm="1">
        <f t="array" ref="E467">_xlfn.IFERROR(SUM('Direct Costs 2026'!$C$4:$C$5)*D467,"N/A")</f>
        <v>875500</v>
      </c>
      <c r="F467" s="423" cm="1">
        <f t="array" ref="F467">_xlfn.IFERROR('Direct Costs 2026'!$C$43*B467,"N/A")</f>
        <v>6000</v>
      </c>
      <c r="G467" s="423" cm="1">
        <f t="array" ref="G467">IF(B467&gt;0,'Direct Costs 2026'!$C$25,"N/A")</f>
        <v>90000</v>
      </c>
      <c r="H467" s="423">
        <v>0</v>
      </c>
      <c r="I467" s="423">
        <v>0</v>
      </c>
      <c r="J467" s="423">
        <v>0</v>
      </c>
      <c r="K467" s="423" cm="1">
        <f t="array" ref="K467">IF(B467&gt;0,'Direct Costs 2026'!$C$26,"N/A")</f>
        <v>20000</v>
      </c>
      <c r="L467" s="423" cm="1">
        <f t="array" ref="L467">IF(B467&gt;0,'Direct Costs 2026'!$C$23,"N/A")</f>
        <v>140000</v>
      </c>
      <c r="M467" s="423" cm="1">
        <f t="array" ref="M467">IF(B467&gt;0,'Direct Costs 2026'!$C$45*B467,"N/A")</f>
        <v>150000</v>
      </c>
      <c r="N467" t="str" s="431" cm="1">
        <f t="array" ref="N467">IF(B467&gt;0,_xlfn.IFERROR(VLOOKUP(C464,'Boats Data Sheet 2026'!$C$3:$I$57,7,0)*'Direct Costs 2026'!$C$36,"N/A"),"N/A")</f>
        <v>N/A</v>
      </c>
      <c r="O467" t="str" s="431" cm="1">
        <f t="array" ref="O467">IF(B467&gt;0,IF(OR(VLOOKUP(C464,'Boats Data Sheet 2026'!$C$3:$F$57,4,0)="Own",VLOOKUP(C464,'Boats Data Sheet 2026'!$C$3:$F$57,4,0)="Management"),('Direct Costs 2026'!$C$37+'Direct Costs 2026'!$C$39),"N/A"),"N/A")</f>
        <v>N/A</v>
      </c>
      <c r="P467" s="423">
        <v>0</v>
      </c>
      <c r="Q467" s="423" cm="1">
        <f t="array" ref="Q467">_xlfn.IFERROR(C467+SUM(E467:P467),"N/A")</f>
        <v>19781500</v>
      </c>
      <c r="R467" s="424"/>
      <c r="S467" s="423" cm="1">
        <f t="array" ref="S467">IF(B467&gt;0,'Allocation OH and Target 2026'!$E$31,"N/A")</f>
        <v>3100447.15769812</v>
      </c>
      <c r="T467" s="423" cm="1">
        <f t="array" ref="T467">IF(B467&gt;0,VLOOKUP(C464,'Allocation OH and Target 2026'!$C$35:$S$87,16,0),"N/A")</f>
        <v>0</v>
      </c>
      <c r="U467" s="423" cm="1">
        <f t="array" ref="U467">_xlfn.IFERROR((S467+T467),"N/A")</f>
        <v>3100447.15769812</v>
      </c>
      <c r="V467" s="424"/>
      <c r="W467" s="423" cm="1">
        <f t="array" ref="W467">_xlfn.IFERROR(U467+Q467,"N/A")</f>
        <v>22881947.1576981</v>
      </c>
      <c r="X467" s="423" cm="1">
        <f t="array" ref="X467">_xlfn.IFERROR(W467*0.5%,"N/A")</f>
        <v>114409.735788491</v>
      </c>
      <c r="Y467" s="423" cm="1">
        <f t="array" ref="Y467">_xlfn.IFERROR(W467*25%,"N/A")</f>
        <v>5720486.78942453</v>
      </c>
      <c r="Z467" s="425" cm="1">
        <f t="array" ref="Z467">IF(B467&gt;0,SUM(W467:Y467),"N/A")</f>
        <v>28716843.6829111</v>
      </c>
      <c r="AA467" s="425">
        <v>0</v>
      </c>
      <c r="AB467" s="424"/>
      <c r="AC467" t="str" s="426" cm="1">
        <f t="array" ref="AC467">IF(B467=6,AVERAGE(Z467:Z472),"N/A")</f>
        <v>N/A</v>
      </c>
      <c r="AD467" s="424"/>
      <c r="AE467" s="423"/>
      <c r="AF467" s="423"/>
      <c r="AG467" s="423"/>
      <c r="AH467" s="423"/>
      <c r="AI467" s="423"/>
      <c r="AJ467" s="423"/>
      <c r="AK467" s="423"/>
      <c r="AL467" s="423"/>
      <c r="AM467" s="423"/>
      <c r="AN467" s="427"/>
    </row>
    <row r="468" ht="15" customHeight="1">
      <c r="A468" s="12"/>
      <c r="B468" s="428" cm="1">
        <f t="array" ref="B468">IF(B467=0,0,IF(B467&lt;VLOOKUP(C464,'Boats Data Sheet 2026'!$C$3:$H$57,6,0),B467+1,0))</f>
        <v>2</v>
      </c>
      <c r="C468" s="423" cm="1">
        <f t="array" ref="C468">IF(B468&gt;0,IF(VLOOKUP(C464,'Boats Data Sheet 2026'!$C$3:$J$57,8,0)="N/A",0,VLOOKUP(C464,'Boats Data Sheet 2026'!$C$3:$J$57,8,0)),"N/A")</f>
        <v>18500000</v>
      </c>
      <c r="D468" s="429" cm="1">
        <f t="array" ref="D468">IF(B468&gt;7,2,IF(B468=0,"N/A",1))</f>
        <v>1</v>
      </c>
      <c r="E468" s="423" cm="1">
        <f t="array" ref="E468">_xlfn.IFERROR(SUM('Direct Costs 2026'!$C$4:$C$5)*D468,"N/A")</f>
        <v>875500</v>
      </c>
      <c r="F468" s="423" cm="1">
        <f t="array" ref="F468">_xlfn.IFERROR('Direct Costs 2026'!$C$43*B468,"N/A")</f>
        <v>12000</v>
      </c>
      <c r="G468" s="423" cm="1">
        <f t="array" ref="G468">IF(B468&gt;0,'Direct Costs 2026'!$C$25,"N/A")</f>
        <v>90000</v>
      </c>
      <c r="H468" s="423">
        <v>0</v>
      </c>
      <c r="I468" s="423">
        <v>0</v>
      </c>
      <c r="J468" s="423">
        <v>0</v>
      </c>
      <c r="K468" s="423" cm="1">
        <f t="array" ref="K468">IF(B468&gt;0,'Direct Costs 2026'!$C$26,"N/A")</f>
        <v>20000</v>
      </c>
      <c r="L468" s="423" cm="1">
        <f t="array" ref="L468">IF(B468&gt;0,'Direct Costs 2026'!$C$23,"N/A")</f>
        <v>140000</v>
      </c>
      <c r="M468" s="423" cm="1">
        <f t="array" ref="M468">IF(B468&gt;0,'Direct Costs 2026'!$C$45*B468,"N/A")</f>
        <v>300000</v>
      </c>
      <c r="N468" t="str" s="431" cm="1">
        <f t="array" ref="N468">IF(B468&gt;0,_xlfn.IFERROR(VLOOKUP(C464,'Boats Data Sheet 2026'!$C$3:$I$57,7,0)*'Direct Costs 2026'!$C$36,"N/A"),"N/A")</f>
        <v>N/A</v>
      </c>
      <c r="O468" t="str" s="431" cm="1">
        <f t="array" ref="O468">IF(B468&gt;0,IF(OR(VLOOKUP(C464,'Boats Data Sheet 2026'!$C$3:$F$57,4,0)="Own",VLOOKUP(C464,'Boats Data Sheet 2026'!$C$3:$F$57,4,0)="Management"),('Direct Costs 2026'!$C$37+'Direct Costs 2026'!$C$39),"N/A"),"N/A")</f>
        <v>N/A</v>
      </c>
      <c r="P468" s="423">
        <v>0</v>
      </c>
      <c r="Q468" s="423" cm="1">
        <f t="array" ref="Q468">_xlfn.IFERROR(C468+SUM(E468:P468),"N/A")</f>
        <v>19937500</v>
      </c>
      <c r="R468" s="424"/>
      <c r="S468" s="423" cm="1">
        <f t="array" ref="S468">IF(B468&gt;0,'Allocation OH and Target 2026'!$E$31,"N/A")</f>
        <v>3100447.15769812</v>
      </c>
      <c r="T468" s="423" cm="1">
        <f t="array" ref="T468">IF(B468&gt;0,VLOOKUP(C464,'Allocation OH and Target 2026'!$C$35:$S$87,16,0),"N/A")</f>
        <v>0</v>
      </c>
      <c r="U468" s="423" cm="1">
        <f t="array" ref="U468">_xlfn.IFERROR((S468+T468),"N/A")</f>
        <v>3100447.15769812</v>
      </c>
      <c r="V468" s="424"/>
      <c r="W468" s="423" cm="1">
        <f t="array" ref="W468">_xlfn.IFERROR(U468+Q468,"N/A")</f>
        <v>23037947.1576981</v>
      </c>
      <c r="X468" s="423" cm="1">
        <f t="array" ref="X468">_xlfn.IFERROR(W468*0.5%,"N/A")</f>
        <v>115189.735788491</v>
      </c>
      <c r="Y468" s="423" cm="1">
        <f t="array" ref="Y468">_xlfn.IFERROR(W468*25%,"N/A")</f>
        <v>5759486.78942453</v>
      </c>
      <c r="Z468" s="425" cm="1">
        <f t="array" ref="Z468">IF(B468&gt;0,SUM(W468:Y468),"N/A")</f>
        <v>28912623.6829111</v>
      </c>
      <c r="AA468" s="425" cm="1">
        <f t="array" ref="AA468">_xlfn.IFERROR((Z468-Z467),"N/A")</f>
        <v>195780</v>
      </c>
      <c r="AB468" s="424"/>
      <c r="AC468" t="str" s="426" cm="1">
        <f t="array" ref="AC468">IF(B468=6,AVERAGE(Z467:Z472),"N/A")</f>
        <v>N/A</v>
      </c>
      <c r="AD468" s="424"/>
      <c r="AE468" s="423"/>
      <c r="AF468" s="423"/>
      <c r="AG468" s="423"/>
      <c r="AH468" s="423"/>
      <c r="AI468" s="423"/>
      <c r="AJ468" s="423"/>
      <c r="AK468" s="423"/>
      <c r="AL468" s="423"/>
      <c r="AM468" s="423"/>
      <c r="AN468" s="427"/>
    </row>
    <row r="469" ht="15" customHeight="1">
      <c r="A469" s="12"/>
      <c r="B469" s="428" cm="1">
        <f t="array" ref="B469">IF(B468=0,0,IF(B468&lt;VLOOKUP(C464,'Boats Data Sheet 2026'!$C$3:$H$57,6,0),B468+1,0))</f>
        <v>3</v>
      </c>
      <c r="C469" s="423" cm="1">
        <f t="array" ref="C469">IF(B469&gt;0,IF(VLOOKUP(C464,'Boats Data Sheet 2026'!$C$3:$J$57,8,0)="N/A",0,VLOOKUP(C464,'Boats Data Sheet 2026'!$C$3:$J$57,8,0)),"N/A")</f>
        <v>18500000</v>
      </c>
      <c r="D469" s="429" cm="1">
        <f t="array" ref="D469">IF(B469&gt;7,2,IF(B469=0,"N/A",1))</f>
        <v>1</v>
      </c>
      <c r="E469" s="423" cm="1">
        <f t="array" ref="E469">_xlfn.IFERROR(SUM('Direct Costs 2026'!$C$4:$C$5)*D469,"N/A")</f>
        <v>875500</v>
      </c>
      <c r="F469" s="423" cm="1">
        <f t="array" ref="F469">_xlfn.IFERROR('Direct Costs 2026'!$C$43*B469,"N/A")</f>
        <v>18000</v>
      </c>
      <c r="G469" s="423" cm="1">
        <f t="array" ref="G469">IF(B469&gt;0,'Direct Costs 2026'!$C$25,"N/A")</f>
        <v>90000</v>
      </c>
      <c r="H469" s="423">
        <v>0</v>
      </c>
      <c r="I469" s="423">
        <v>0</v>
      </c>
      <c r="J469" s="423">
        <v>0</v>
      </c>
      <c r="K469" s="423" cm="1">
        <f t="array" ref="K469">IF(B469&gt;0,'Direct Costs 2026'!$C$26,"N/A")</f>
        <v>20000</v>
      </c>
      <c r="L469" s="423" cm="1">
        <f t="array" ref="L469">IF(B469&gt;0,'Direct Costs 2026'!$C$23,"N/A")</f>
        <v>140000</v>
      </c>
      <c r="M469" s="423" cm="1">
        <f t="array" ref="M469">IF(B469&gt;0,'Direct Costs 2026'!$C$45*B469,"N/A")</f>
        <v>450000</v>
      </c>
      <c r="N469" t="str" s="431" cm="1">
        <f t="array" ref="N469">IF(B469&gt;0,_xlfn.IFERROR(VLOOKUP(C464,'Boats Data Sheet 2026'!$C$3:$I$57,7,0)*'Direct Costs 2026'!$C$36,"N/A"),"N/A")</f>
        <v>N/A</v>
      </c>
      <c r="O469" t="str" s="431" cm="1">
        <f t="array" ref="O469">IF(B469&gt;0,IF(OR(VLOOKUP(C464,'Boats Data Sheet 2026'!$C$3:$F$57,4,0)="Own",VLOOKUP(C464,'Boats Data Sheet 2026'!$C$3:$F$57,4,0)="Management"),('Direct Costs 2026'!$C$37+'Direct Costs 2026'!$C$39),"N/A"),"N/A")</f>
        <v>N/A</v>
      </c>
      <c r="P469" s="423">
        <v>0</v>
      </c>
      <c r="Q469" s="423" cm="1">
        <f t="array" ref="Q469">_xlfn.IFERROR(C469+SUM(E469:P469),"N/A")</f>
        <v>20093500</v>
      </c>
      <c r="R469" s="424"/>
      <c r="S469" s="423" cm="1">
        <f t="array" ref="S469">IF(B469&gt;0,'Allocation OH and Target 2026'!$E$31,"N/A")</f>
        <v>3100447.15769812</v>
      </c>
      <c r="T469" s="423" cm="1">
        <f t="array" ref="T469">IF(B469&gt;0,VLOOKUP(C464,'Allocation OH and Target 2026'!$C$35:$S$87,16,0),"N/A")</f>
        <v>0</v>
      </c>
      <c r="U469" s="423" cm="1">
        <f t="array" ref="U469">_xlfn.IFERROR((S469+T469),"N/A")</f>
        <v>3100447.15769812</v>
      </c>
      <c r="V469" s="424"/>
      <c r="W469" s="423" cm="1">
        <f t="array" ref="W469">_xlfn.IFERROR(U469+Q469,"N/A")</f>
        <v>23193947.1576981</v>
      </c>
      <c r="X469" s="423" cm="1">
        <f t="array" ref="X469">_xlfn.IFERROR(W469*0.5%,"N/A")</f>
        <v>115969.735788491</v>
      </c>
      <c r="Y469" s="423" cm="1">
        <f t="array" ref="Y469">_xlfn.IFERROR(W469*25%,"N/A")</f>
        <v>5798486.78942453</v>
      </c>
      <c r="Z469" s="425" cm="1">
        <f t="array" ref="Z469">IF(B469&gt;0,SUM(W469:Y469),"N/A")</f>
        <v>29108403.6829111</v>
      </c>
      <c r="AA469" s="425" cm="1">
        <f t="array" ref="AA469">_xlfn.IFERROR((Z469-Z468),"N/A")</f>
        <v>195780</v>
      </c>
      <c r="AB469" s="424"/>
      <c r="AC469" t="str" s="426" cm="1">
        <f t="array" ref="AC469">IF(B469=6,AVERAGE(Z467:Z472),"N/A")</f>
        <v>N/A</v>
      </c>
      <c r="AD469" s="424"/>
      <c r="AE469" s="423"/>
      <c r="AF469" s="423"/>
      <c r="AG469" s="423"/>
      <c r="AH469" s="423"/>
      <c r="AI469" s="423"/>
      <c r="AJ469" s="423"/>
      <c r="AK469" s="423"/>
      <c r="AL469" s="423"/>
      <c r="AM469" s="423"/>
      <c r="AN469" s="427"/>
    </row>
    <row r="470" ht="15" customHeight="1">
      <c r="A470" s="12"/>
      <c r="B470" s="428" cm="1">
        <f t="array" ref="B470">IF(B469=0,0,IF(B469&lt;VLOOKUP(C464,'Boats Data Sheet 2026'!$C$3:$H$57,6,0),B469+1,0))</f>
        <v>4</v>
      </c>
      <c r="C470" s="423" cm="1">
        <f t="array" ref="C470">IF(B470&gt;0,IF(VLOOKUP(C464,'Boats Data Sheet 2026'!$C$3:$J$57,8,0)="N/A",0,VLOOKUP(C464,'Boats Data Sheet 2026'!$C$3:$J$57,8,0)),"N/A")</f>
        <v>18500000</v>
      </c>
      <c r="D470" s="429" cm="1">
        <f t="array" ref="D470">IF(B470&gt;7,2,IF(B470=0,"N/A",1))</f>
        <v>1</v>
      </c>
      <c r="E470" s="423" cm="1">
        <f t="array" ref="E470">_xlfn.IFERROR(SUM('Direct Costs 2026'!$C$4:$C$5)*D470,"N/A")</f>
        <v>875500</v>
      </c>
      <c r="F470" s="423" cm="1">
        <f t="array" ref="F470">_xlfn.IFERROR('Direct Costs 2026'!$C$43*B470,"N/A")</f>
        <v>24000</v>
      </c>
      <c r="G470" s="423" cm="1">
        <f t="array" ref="G470">IF(B470&gt;0,'Direct Costs 2026'!$C$25,"N/A")</f>
        <v>90000</v>
      </c>
      <c r="H470" s="423">
        <v>0</v>
      </c>
      <c r="I470" s="423">
        <v>0</v>
      </c>
      <c r="J470" s="423">
        <v>0</v>
      </c>
      <c r="K470" s="423" cm="1">
        <f t="array" ref="K470">IF(B470&gt;0,'Direct Costs 2026'!$C$26,"N/A")</f>
        <v>20000</v>
      </c>
      <c r="L470" s="423" cm="1">
        <f t="array" ref="L470">IF(B470&gt;0,'Direct Costs 2026'!$C$23,"N/A")</f>
        <v>140000</v>
      </c>
      <c r="M470" s="423" cm="1">
        <f t="array" ref="M470">IF(B470&gt;0,'Direct Costs 2026'!$C$45*B470,"N/A")</f>
        <v>600000</v>
      </c>
      <c r="N470" t="str" s="431" cm="1">
        <f t="array" ref="N470">IF(B470&gt;0,_xlfn.IFERROR(VLOOKUP(C464,'Boats Data Sheet 2026'!$C$3:$I$57,7,0)*'Direct Costs 2026'!$C$36,"N/A"),"N/A")</f>
        <v>N/A</v>
      </c>
      <c r="O470" t="str" s="431" cm="1">
        <f t="array" ref="O470">IF(B470&gt;0,IF(OR(VLOOKUP(C464,'Boats Data Sheet 2026'!$C$3:$F$57,4,0)="Own",VLOOKUP(C464,'Boats Data Sheet 2026'!$C$3:$F$57,4,0)="Management"),('Direct Costs 2026'!$C$37+'Direct Costs 2026'!$C$39),"N/A"),"N/A")</f>
        <v>N/A</v>
      </c>
      <c r="P470" s="423">
        <v>0</v>
      </c>
      <c r="Q470" s="423" cm="1">
        <f t="array" ref="Q470">_xlfn.IFERROR(C470+SUM(E470:P470),"N/A")</f>
        <v>20249500</v>
      </c>
      <c r="R470" s="424"/>
      <c r="S470" s="423" cm="1">
        <f t="array" ref="S470">IF(B470&gt;0,'Allocation OH and Target 2026'!$E$31,"N/A")</f>
        <v>3100447.15769812</v>
      </c>
      <c r="T470" s="423" cm="1">
        <f t="array" ref="T470">IF(B470&gt;0,VLOOKUP(C464,'Allocation OH and Target 2026'!$C$35:$S$87,16,0),"N/A")</f>
        <v>0</v>
      </c>
      <c r="U470" s="423" cm="1">
        <f t="array" ref="U470">_xlfn.IFERROR((S470+T470),"N/A")</f>
        <v>3100447.15769812</v>
      </c>
      <c r="V470" s="424"/>
      <c r="W470" s="423" cm="1">
        <f t="array" ref="W470">_xlfn.IFERROR(U470+Q470,"N/A")</f>
        <v>23349947.1576981</v>
      </c>
      <c r="X470" s="423" cm="1">
        <f t="array" ref="X470">_xlfn.IFERROR(W470*0.5%,"N/A")</f>
        <v>116749.735788491</v>
      </c>
      <c r="Y470" s="423" cm="1">
        <f t="array" ref="Y470">_xlfn.IFERROR(W470*25%,"N/A")</f>
        <v>5837486.78942453</v>
      </c>
      <c r="Z470" s="425" cm="1">
        <f t="array" ref="Z470">IF(B470&gt;0,SUM(W470:Y470),"N/A")</f>
        <v>29304183.6829111</v>
      </c>
      <c r="AA470" s="425" cm="1">
        <f t="array" ref="AA470">_xlfn.IFERROR((Z470-Z469),"N/A")</f>
        <v>195780</v>
      </c>
      <c r="AB470" s="424"/>
      <c r="AC470" t="str" s="426" cm="1">
        <f t="array" ref="AC470">IF(B470=6,AVERAGE(Z467:Z472),"N/A")</f>
        <v>N/A</v>
      </c>
      <c r="AD470" s="424"/>
      <c r="AE470" s="423"/>
      <c r="AF470" s="423"/>
      <c r="AG470" s="423"/>
      <c r="AH470" s="423"/>
      <c r="AI470" s="423"/>
      <c r="AJ470" s="423"/>
      <c r="AK470" s="423"/>
      <c r="AL470" s="423"/>
      <c r="AM470" s="423"/>
      <c r="AN470" s="427"/>
    </row>
    <row r="471" ht="15" customHeight="1">
      <c r="A471" s="12"/>
      <c r="B471" s="428" cm="1">
        <f t="array" ref="B471">IF(B470=0,0,IF(B470&lt;VLOOKUP(C464,'Boats Data Sheet 2026'!$C$3:$H$57,6,0),B470+1,0))</f>
        <v>5</v>
      </c>
      <c r="C471" s="423" cm="1">
        <f t="array" ref="C471">IF(B471&gt;0,IF(VLOOKUP(C464,'Boats Data Sheet 2026'!$C$3:$J$57,8,0)="N/A",0,VLOOKUP(C464,'Boats Data Sheet 2026'!$C$3:$J$57,8,0)),"N/A")</f>
        <v>18500000</v>
      </c>
      <c r="D471" s="429" cm="1">
        <f t="array" ref="D471">IF(B471&gt;7,2,IF(B471=0,"N/A",1))</f>
        <v>1</v>
      </c>
      <c r="E471" s="423" cm="1">
        <f t="array" ref="E471">_xlfn.IFERROR(SUM('Direct Costs 2026'!$C$4:$C$5)*D471,"N/A")</f>
        <v>875500</v>
      </c>
      <c r="F471" s="423" cm="1">
        <f t="array" ref="F471">_xlfn.IFERROR('Direct Costs 2026'!$C$43*B471,"N/A")</f>
        <v>30000</v>
      </c>
      <c r="G471" s="423" cm="1">
        <f t="array" ref="G471">IF(B471&gt;0,'Direct Costs 2026'!$C$25,"N/A")</f>
        <v>90000</v>
      </c>
      <c r="H471" s="423">
        <v>0</v>
      </c>
      <c r="I471" s="423">
        <v>0</v>
      </c>
      <c r="J471" s="423">
        <v>0</v>
      </c>
      <c r="K471" s="423" cm="1">
        <f t="array" ref="K471">IF(B471&gt;0,'Direct Costs 2026'!$C$26,"N/A")</f>
        <v>20000</v>
      </c>
      <c r="L471" s="423" cm="1">
        <f t="array" ref="L471">IF(B471&gt;0,'Direct Costs 2026'!$C$23,"N/A")</f>
        <v>140000</v>
      </c>
      <c r="M471" s="423" cm="1">
        <f t="array" ref="M471">IF(B471&gt;0,'Direct Costs 2026'!$C$45*B471,"N/A")</f>
        <v>750000</v>
      </c>
      <c r="N471" t="str" s="431" cm="1">
        <f t="array" ref="N471">IF(B471&gt;0,_xlfn.IFERROR(VLOOKUP(C464,'Boats Data Sheet 2026'!$C$3:$I$57,7,0)*'Direct Costs 2026'!$C$36,"N/A"),"N/A")</f>
        <v>N/A</v>
      </c>
      <c r="O471" t="str" s="431" cm="1">
        <f t="array" ref="O471">IF(B471&gt;0,IF(OR(VLOOKUP(C464,'Boats Data Sheet 2026'!$C$3:$F$57,4,0)="Own",VLOOKUP(C464,'Boats Data Sheet 2026'!$C$3:$F$57,4,0)="Management"),('Direct Costs 2026'!$C$37+'Direct Costs 2026'!$C$39),"N/A"),"N/A")</f>
        <v>N/A</v>
      </c>
      <c r="P471" s="423">
        <v>0</v>
      </c>
      <c r="Q471" s="423" cm="1">
        <f t="array" ref="Q471">_xlfn.IFERROR(C471+SUM(E471:P471),"N/A")</f>
        <v>20405500</v>
      </c>
      <c r="R471" s="424"/>
      <c r="S471" s="423" cm="1">
        <f t="array" ref="S471">IF(B471&gt;0,'Allocation OH and Target 2026'!$E$31,"N/A")</f>
        <v>3100447.15769812</v>
      </c>
      <c r="T471" s="423" cm="1">
        <f t="array" ref="T471">IF(B471&gt;0,VLOOKUP(C464,'Allocation OH and Target 2026'!$C$35:$S$87,16,0),"N/A")</f>
        <v>0</v>
      </c>
      <c r="U471" s="423" cm="1">
        <f t="array" ref="U471">_xlfn.IFERROR((S471+T471),"N/A")</f>
        <v>3100447.15769812</v>
      </c>
      <c r="V471" s="424"/>
      <c r="W471" s="423" cm="1">
        <f t="array" ref="W471">_xlfn.IFERROR(U471+Q471,"N/A")</f>
        <v>23505947.1576981</v>
      </c>
      <c r="X471" s="423" cm="1">
        <f t="array" ref="X471">_xlfn.IFERROR(W471*0.5%,"N/A")</f>
        <v>117529.735788491</v>
      </c>
      <c r="Y471" s="423" cm="1">
        <f t="array" ref="Y471">_xlfn.IFERROR(W471*25%,"N/A")</f>
        <v>5876486.78942453</v>
      </c>
      <c r="Z471" s="425" cm="1">
        <f t="array" ref="Z471">IF(B471&gt;0,SUM(W471:Y471),"N/A")</f>
        <v>29499963.6829111</v>
      </c>
      <c r="AA471" s="425" cm="1">
        <f t="array" ref="AA471">_xlfn.IFERROR((Z471-Z470),"N/A")</f>
        <v>195780</v>
      </c>
      <c r="AB471" s="424"/>
      <c r="AC471" t="str" s="426" cm="1">
        <f t="array" ref="AC471">IF(B471=6,AVERAGE(Z467:Z472),"N/A")</f>
        <v>N/A</v>
      </c>
      <c r="AD471" s="424"/>
      <c r="AE471" s="423"/>
      <c r="AF471" s="423"/>
      <c r="AG471" s="423"/>
      <c r="AH471" s="423"/>
      <c r="AI471" s="423"/>
      <c r="AJ471" s="423"/>
      <c r="AK471" s="423"/>
      <c r="AL471" s="423"/>
      <c r="AM471" s="423"/>
      <c r="AN471" s="427"/>
    </row>
    <row r="472" ht="15" customHeight="1">
      <c r="A472" s="12"/>
      <c r="B472" s="428" cm="1">
        <f t="array" ref="B472">IF(B471=0,0,IF(B471&lt;VLOOKUP(C464,'Boats Data Sheet 2026'!$C$3:$H$57,6,0),B471+1,0))</f>
        <v>6</v>
      </c>
      <c r="C472" s="423" cm="1">
        <f t="array" ref="C472">IF(B472&gt;0,IF(VLOOKUP(C464,'Boats Data Sheet 2026'!$C$3:$J$57,8,0)="N/A",0,VLOOKUP(C464,'Boats Data Sheet 2026'!$C$3:$J$57,8,0)),"N/A")</f>
        <v>18500000</v>
      </c>
      <c r="D472" s="429" cm="1">
        <f t="array" ref="D472">IF(B472&gt;7,2,IF(B472=0,"N/A",1))</f>
        <v>1</v>
      </c>
      <c r="E472" s="423" cm="1">
        <f t="array" ref="E472">_xlfn.IFERROR(SUM('Direct Costs 2026'!$C$4:$C$5)*D472,"N/A")</f>
        <v>875500</v>
      </c>
      <c r="F472" s="423" cm="1">
        <f t="array" ref="F472">_xlfn.IFERROR('Direct Costs 2026'!$C$43*B472,"N/A")</f>
        <v>36000</v>
      </c>
      <c r="G472" s="423" cm="1">
        <f t="array" ref="G472">IF(B472&gt;0,'Direct Costs 2026'!$C$25,"N/A")</f>
        <v>90000</v>
      </c>
      <c r="H472" s="423">
        <v>0</v>
      </c>
      <c r="I472" s="423">
        <v>0</v>
      </c>
      <c r="J472" s="423">
        <v>0</v>
      </c>
      <c r="K472" s="423" cm="1">
        <f t="array" ref="K472">IF(B472&gt;0,'Direct Costs 2026'!$C$26,"N/A")</f>
        <v>20000</v>
      </c>
      <c r="L472" s="423" cm="1">
        <f t="array" ref="L472">IF(B472&gt;0,'Direct Costs 2026'!$C$23,"N/A")</f>
        <v>140000</v>
      </c>
      <c r="M472" s="423" cm="1">
        <f t="array" ref="M472">IF(B472&gt;0,'Direct Costs 2026'!$C$45*B472,"N/A")</f>
        <v>900000</v>
      </c>
      <c r="N472" t="str" s="431" cm="1">
        <f t="array" ref="N472">IF(B472&gt;0,_xlfn.IFERROR(VLOOKUP(C464,'Boats Data Sheet 2026'!$C$3:$I$57,7,0)*'Direct Costs 2026'!$C$36,"N/A"),"N/A")</f>
        <v>N/A</v>
      </c>
      <c r="O472" t="str" s="431" cm="1">
        <f t="array" ref="O472">IF(B472&gt;0,IF(OR(VLOOKUP(C464,'Boats Data Sheet 2026'!$C$3:$F$57,4,0)="Own",VLOOKUP(C464,'Boats Data Sheet 2026'!$C$3:$F$57,4,0)="Management"),('Direct Costs 2026'!$C$37+'Direct Costs 2026'!$C$39),"N/A"),"N/A")</f>
        <v>N/A</v>
      </c>
      <c r="P472" s="423">
        <v>0</v>
      </c>
      <c r="Q472" s="423" cm="1">
        <f t="array" ref="Q472">_xlfn.IFERROR(C472+SUM(E472:P472),"N/A")</f>
        <v>20561500</v>
      </c>
      <c r="R472" s="424"/>
      <c r="S472" s="423" cm="1">
        <f t="array" ref="S472">IF(B472&gt;0,'Allocation OH and Target 2026'!$E$31,"N/A")</f>
        <v>3100447.15769812</v>
      </c>
      <c r="T472" s="423" cm="1">
        <f t="array" ref="T472">IF(B472&gt;0,VLOOKUP(C464,'Allocation OH and Target 2026'!$C$35:$S$87,16,0),"N/A")</f>
        <v>0</v>
      </c>
      <c r="U472" s="423" cm="1">
        <f t="array" ref="U472">_xlfn.IFERROR((S472+T472),"N/A")</f>
        <v>3100447.15769812</v>
      </c>
      <c r="V472" s="424"/>
      <c r="W472" s="423" cm="1">
        <f t="array" ref="W472">_xlfn.IFERROR(U472+Q472,"N/A")</f>
        <v>23661947.1576981</v>
      </c>
      <c r="X472" s="423" cm="1">
        <f t="array" ref="X472">_xlfn.IFERROR(W472*0.5%,"N/A")</f>
        <v>118309.735788491</v>
      </c>
      <c r="Y472" s="423" cm="1">
        <f t="array" ref="Y472">_xlfn.IFERROR(W472*25%,"N/A")</f>
        <v>5915486.78942453</v>
      </c>
      <c r="Z472" s="425" cm="1">
        <f t="array" ref="Z472">IF(B472&gt;0,SUM(W472:Y472),"N/A")</f>
        <v>29695743.6829111</v>
      </c>
      <c r="AA472" s="425" cm="1">
        <f t="array" ref="AA472">_xlfn.IFERROR((Z472-Z471),"N/A")</f>
        <v>195780</v>
      </c>
      <c r="AB472" s="424"/>
      <c r="AC472" s="425" cm="1">
        <f t="array" ref="AC472">IF(B472=6,AVERAGE(Z467:Z472),"N/A")</f>
        <v>29206293.6829111</v>
      </c>
      <c r="AD472" s="424"/>
      <c r="AE472" s="423"/>
      <c r="AF472" s="423"/>
      <c r="AG472" s="423"/>
      <c r="AH472" s="423"/>
      <c r="AI472" s="423"/>
      <c r="AJ472" s="423"/>
      <c r="AK472" s="423"/>
      <c r="AL472" s="423"/>
      <c r="AM472" s="423"/>
      <c r="AN472" s="427"/>
    </row>
    <row r="473" ht="15" customHeight="1">
      <c r="A473" s="12"/>
      <c r="B473" s="428" cm="1">
        <f t="array" ref="B473">IF(B472=0,0,IF(B472&lt;VLOOKUP(C464,'Boats Data Sheet 2026'!$C$3:$H$57,6,0),B472+1,0))</f>
        <v>7</v>
      </c>
      <c r="C473" s="423" cm="1">
        <f t="array" ref="C473">IF(B473&gt;0,IF(VLOOKUP(C464,'Boats Data Sheet 2026'!$C$3:$J$57,8,0)="N/A",0,VLOOKUP(C464,'Boats Data Sheet 2026'!$C$3:$J$57,8,0)),"N/A")</f>
        <v>18500000</v>
      </c>
      <c r="D473" s="429" cm="1">
        <f t="array" ref="D473">IF(B473&gt;7,2,IF(B473=0,"N/A",1))</f>
        <v>1</v>
      </c>
      <c r="E473" s="423" cm="1">
        <f t="array" ref="E473">_xlfn.IFERROR(SUM('Direct Costs 2026'!$C$4:$C$5)*D473,"N/A")</f>
        <v>875500</v>
      </c>
      <c r="F473" s="423" cm="1">
        <f t="array" ref="F473">_xlfn.IFERROR('Direct Costs 2026'!$C$43*B473,"N/A")</f>
        <v>42000</v>
      </c>
      <c r="G473" s="423" cm="1">
        <f t="array" ref="G473">IF(B473&gt;0,'Direct Costs 2026'!$C$25,"N/A")</f>
        <v>90000</v>
      </c>
      <c r="H473" s="423">
        <v>0</v>
      </c>
      <c r="I473" s="423">
        <v>0</v>
      </c>
      <c r="J473" s="423">
        <v>0</v>
      </c>
      <c r="K473" s="423" cm="1">
        <f t="array" ref="K473">IF(B473&gt;0,'Direct Costs 2026'!$C$26,"N/A")</f>
        <v>20000</v>
      </c>
      <c r="L473" s="423" cm="1">
        <f t="array" ref="L473">IF(B473&gt;0,'Direct Costs 2026'!$C$23,"N/A")</f>
        <v>140000</v>
      </c>
      <c r="M473" s="423" cm="1">
        <f t="array" ref="M473">IF(B473&gt;0,'Direct Costs 2026'!$C$45*B473,"N/A")</f>
        <v>1050000</v>
      </c>
      <c r="N473" t="str" s="431" cm="1">
        <f t="array" ref="N473">IF(B473&gt;0,_xlfn.IFERROR(VLOOKUP(C464,'Boats Data Sheet 2026'!$C$3:$I$57,7,0)*'Direct Costs 2026'!$C$36,"N/A"),"N/A")</f>
        <v>N/A</v>
      </c>
      <c r="O473" t="str" s="431" cm="1">
        <f t="array" ref="O473">IF(B473&gt;0,IF(OR(VLOOKUP(C464,'Boats Data Sheet 2026'!$C$3:$F$57,4,0)="Own",VLOOKUP(C464,'Boats Data Sheet 2026'!$C$3:$F$57,4,0)="Management"),('Direct Costs 2026'!$C$37+'Direct Costs 2026'!$C$39),"N/A"),"N/A")</f>
        <v>N/A</v>
      </c>
      <c r="P473" s="423">
        <v>0</v>
      </c>
      <c r="Q473" s="423" cm="1">
        <f t="array" ref="Q473">_xlfn.IFERROR(C473+SUM(E473:P473),"N/A")</f>
        <v>20717500</v>
      </c>
      <c r="R473" s="424"/>
      <c r="S473" s="423" cm="1">
        <f t="array" ref="S473">IF(B473&gt;0,'Allocation OH and Target 2026'!$E$31,"N/A")</f>
        <v>3100447.15769812</v>
      </c>
      <c r="T473" s="423" cm="1">
        <f t="array" ref="T473">IF(B473&gt;0,VLOOKUP(C464,'Allocation OH and Target 2026'!$C$35:$S$87,16,0),"N/A")</f>
        <v>0</v>
      </c>
      <c r="U473" s="423" cm="1">
        <f t="array" ref="U473">_xlfn.IFERROR((S473+T473),"N/A")</f>
        <v>3100447.15769812</v>
      </c>
      <c r="V473" s="424"/>
      <c r="W473" s="423" cm="1">
        <f t="array" ref="W473">_xlfn.IFERROR(U473+Q473,"N/A")</f>
        <v>23817947.1576981</v>
      </c>
      <c r="X473" s="423" cm="1">
        <f t="array" ref="X473">_xlfn.IFERROR(W473*0.5%,"N/A")</f>
        <v>119089.735788491</v>
      </c>
      <c r="Y473" s="423" cm="1">
        <f t="array" ref="Y473">_xlfn.IFERROR(W473*25%,"N/A")</f>
        <v>5954486.78942453</v>
      </c>
      <c r="Z473" s="425" cm="1">
        <f t="array" ref="Z473">IF(B473&gt;0,SUM(W473:Y473),"N/A")</f>
        <v>29891523.6829111</v>
      </c>
      <c r="AA473" s="425" cm="1">
        <f t="array" ref="AA473">_xlfn.IFERROR((Z473-Z472),"N/A")</f>
        <v>195780</v>
      </c>
      <c r="AB473" s="424"/>
      <c r="AC473" t="str" s="426" cm="1">
        <f t="array" ref="AC473">IF(B473=6,AVERAGE(Z467:Z472),"N/A")</f>
        <v>N/A</v>
      </c>
      <c r="AD473" s="424"/>
      <c r="AE473" s="423"/>
      <c r="AF473" s="423"/>
      <c r="AG473" s="423"/>
      <c r="AH473" s="423"/>
      <c r="AI473" s="423"/>
      <c r="AJ473" s="423"/>
      <c r="AK473" s="423"/>
      <c r="AL473" s="423"/>
      <c r="AM473" s="423"/>
      <c r="AN473" s="427"/>
    </row>
    <row r="474" ht="15" customHeight="1">
      <c r="A474" s="12"/>
      <c r="B474" s="428" cm="1">
        <f t="array" ref="B474">IF(B473=0,0,IF(B473&lt;VLOOKUP(C464,'Boats Data Sheet 2026'!$C$3:$H$57,6,0),B473+1,0))</f>
        <v>8</v>
      </c>
      <c r="C474" s="423" cm="1">
        <f t="array" ref="C474">IF(B474&gt;0,IF(VLOOKUP(C464,'Boats Data Sheet 2026'!$C$3:$J$57,8,0)="N/A",0,VLOOKUP(C464,'Boats Data Sheet 2026'!$C$3:$J$57,8,0)),"N/A")</f>
        <v>18500000</v>
      </c>
      <c r="D474" s="429" cm="1">
        <f t="array" ref="D474">IF(B474&gt;7,2,IF(B474=0,"N/A",1))</f>
        <v>2</v>
      </c>
      <c r="E474" s="423" cm="1">
        <f t="array" ref="E474">_xlfn.IFERROR(SUM('Direct Costs 2026'!$C$4:$C$5)*D474,"N/A")</f>
        <v>1751000</v>
      </c>
      <c r="F474" s="423" cm="1">
        <f t="array" ref="F474">_xlfn.IFERROR('Direct Costs 2026'!$C$43*B474,"N/A")</f>
        <v>48000</v>
      </c>
      <c r="G474" s="423" cm="1">
        <f t="array" ref="G474">IF(B474&gt;0,'Direct Costs 2026'!$C$25,"N/A")</f>
        <v>90000</v>
      </c>
      <c r="H474" s="423">
        <v>0</v>
      </c>
      <c r="I474" s="423">
        <v>0</v>
      </c>
      <c r="J474" s="423">
        <v>0</v>
      </c>
      <c r="K474" s="423" cm="1">
        <f t="array" ref="K474">IF(B474&gt;0,'Direct Costs 2026'!$C$26,"N/A")</f>
        <v>20000</v>
      </c>
      <c r="L474" s="423" cm="1">
        <f t="array" ref="L474">IF(B474&gt;0,'Direct Costs 2026'!$C$23,"N/A")</f>
        <v>140000</v>
      </c>
      <c r="M474" s="423" cm="1">
        <f t="array" ref="M474">IF(B474&gt;0,'Direct Costs 2026'!$C$45*B474,"N/A")</f>
        <v>1200000</v>
      </c>
      <c r="N474" t="str" s="431" cm="1">
        <f t="array" ref="N474">IF(B474&gt;0,_xlfn.IFERROR(VLOOKUP(C464,'Boats Data Sheet 2026'!$C$3:$I$57,7,0)*'Direct Costs 2026'!$C$36,"N/A"),"N/A")</f>
        <v>N/A</v>
      </c>
      <c r="O474" t="str" s="431" cm="1">
        <f t="array" ref="O474">IF(B474&gt;0,IF(OR(VLOOKUP(C464,'Boats Data Sheet 2026'!$C$3:$F$57,4,0)="Own",VLOOKUP(C464,'Boats Data Sheet 2026'!$C$3:$F$57,4,0)="Management"),('Direct Costs 2026'!$C$37+'Direct Costs 2026'!$C$39),"N/A"),"N/A")</f>
        <v>N/A</v>
      </c>
      <c r="P474" s="423">
        <v>0</v>
      </c>
      <c r="Q474" s="423" cm="1">
        <f t="array" ref="Q474">_xlfn.IFERROR(C474+SUM(E474:P474),"N/A")</f>
        <v>21749000</v>
      </c>
      <c r="R474" s="424"/>
      <c r="S474" s="423" cm="1">
        <f t="array" ref="S474">IF(B474&gt;0,'Allocation OH and Target 2026'!$E$31,"N/A")</f>
        <v>3100447.15769812</v>
      </c>
      <c r="T474" s="423" cm="1">
        <f t="array" ref="T474">IF(B474&gt;0,VLOOKUP(C464,'Allocation OH and Target 2026'!$C$35:$S$87,16,0),"N/A")</f>
        <v>0</v>
      </c>
      <c r="U474" s="423" cm="1">
        <f t="array" ref="U474">_xlfn.IFERROR((S474+T474),"N/A")</f>
        <v>3100447.15769812</v>
      </c>
      <c r="V474" s="424"/>
      <c r="W474" s="423" cm="1">
        <f t="array" ref="W474">_xlfn.IFERROR(U474+Q474,"N/A")</f>
        <v>24849447.1576981</v>
      </c>
      <c r="X474" s="423" cm="1">
        <f t="array" ref="X474">_xlfn.IFERROR(W474*0.5%,"N/A")</f>
        <v>124247.235788491</v>
      </c>
      <c r="Y474" s="423" cm="1">
        <f t="array" ref="Y474">_xlfn.IFERROR(W474*25%,"N/A")</f>
        <v>6212361.78942453</v>
      </c>
      <c r="Z474" s="425" cm="1">
        <f t="array" ref="Z474">IF(B474&gt;0,SUM(W474:Y474),"N/A")</f>
        <v>31186056.1829111</v>
      </c>
      <c r="AA474" s="425" cm="1">
        <f t="array" ref="AA474">_xlfn.IFERROR((Z474-Z473),"N/A")</f>
        <v>1294532.5</v>
      </c>
      <c r="AB474" s="424"/>
      <c r="AC474" t="str" s="426" cm="1">
        <f t="array" ref="AC474">IF(B474=6,AVERAGE(Z467:Z472),"N/A")</f>
        <v>N/A</v>
      </c>
      <c r="AD474" s="424"/>
      <c r="AE474" s="423"/>
      <c r="AF474" s="423"/>
      <c r="AG474" s="423"/>
      <c r="AH474" s="423"/>
      <c r="AI474" s="423"/>
      <c r="AJ474" s="423"/>
      <c r="AK474" s="423"/>
      <c r="AL474" s="423"/>
      <c r="AM474" s="423"/>
      <c r="AN474" s="427"/>
    </row>
    <row r="475" ht="15" customHeight="1">
      <c r="A475" s="12"/>
      <c r="B475" s="428" cm="1">
        <f t="array" ref="B475">IF(B474=0,0,IF(B474&lt;VLOOKUP(C464,'Boats Data Sheet 2026'!$C$3:$H$57,6,0),B474+1,0))</f>
        <v>9</v>
      </c>
      <c r="C475" s="423" cm="1">
        <f t="array" ref="C475">IF(B475&gt;0,IF(VLOOKUP(C464,'Boats Data Sheet 2026'!$C$3:$J$57,8,0)="N/A",0,VLOOKUP(C464,'Boats Data Sheet 2026'!$C$3:$J$57,8,0)),"N/A")</f>
        <v>18500000</v>
      </c>
      <c r="D475" s="430" cm="1">
        <f t="array" ref="D475">IF(B475&gt;7,2,IF(B475=0,"N/A",1))</f>
        <v>2</v>
      </c>
      <c r="E475" s="423" cm="1">
        <f t="array" ref="E475">_xlfn.IFERROR(SUM('Direct Costs 2026'!$C$4:$C$5)*D475,"N/A")</f>
        <v>1751000</v>
      </c>
      <c r="F475" s="423" cm="1">
        <f t="array" ref="F475">_xlfn.IFERROR('Direct Costs 2026'!$C$43*B475,"N/A")</f>
        <v>54000</v>
      </c>
      <c r="G475" s="423" cm="1">
        <f t="array" ref="G475">IF(B475&gt;0,'Direct Costs 2026'!$C$25,"N/A")</f>
        <v>90000</v>
      </c>
      <c r="H475" s="423">
        <v>0</v>
      </c>
      <c r="I475" s="423">
        <v>0</v>
      </c>
      <c r="J475" s="423">
        <v>0</v>
      </c>
      <c r="K475" s="423" cm="1">
        <f t="array" ref="K475">IF(B475&gt;0,'Direct Costs 2026'!$C$26,"N/A")</f>
        <v>20000</v>
      </c>
      <c r="L475" s="423" cm="1">
        <f t="array" ref="L475">IF(B475&gt;0,'Direct Costs 2026'!$C$23,"N/A")</f>
        <v>140000</v>
      </c>
      <c r="M475" s="423" cm="1">
        <f t="array" ref="M475">IF(B475&gt;0,'Direct Costs 2026'!$C$45*B475,"N/A")</f>
        <v>1350000</v>
      </c>
      <c r="N475" t="str" s="431" cm="1">
        <f t="array" ref="N475">IF(B475&gt;0,_xlfn.IFERROR(VLOOKUP(C464,'Boats Data Sheet 2026'!$C$3:$I$57,7,0)*'Direct Costs 2026'!$C$36,"N/A"),"N/A")</f>
        <v>N/A</v>
      </c>
      <c r="O475" t="str" s="431" cm="1">
        <f t="array" ref="O475">IF(B475&gt;0,IF(OR(VLOOKUP(C464,'Boats Data Sheet 2026'!$C$3:$F$57,4,0)="Own",VLOOKUP(C464,'Boats Data Sheet 2026'!$C$3:$F$57,4,0)="Management"),('Direct Costs 2026'!$C$37+'Direct Costs 2026'!$C$39),"N/A"),"N/A")</f>
        <v>N/A</v>
      </c>
      <c r="P475" s="423">
        <v>0</v>
      </c>
      <c r="Q475" s="423" cm="1">
        <f t="array" ref="Q475">_xlfn.IFERROR(C475+SUM(E475:P475),"N/A")</f>
        <v>21905000</v>
      </c>
      <c r="R475" s="424"/>
      <c r="S475" s="423" cm="1">
        <f t="array" ref="S475">IF(B475&gt;0,'Allocation OH and Target 2026'!$E$31,"N/A")</f>
        <v>3100447.15769812</v>
      </c>
      <c r="T475" s="423" cm="1">
        <f t="array" ref="T475">IF(B475&gt;0,VLOOKUP(C464,'Allocation OH and Target 2026'!$C$35:$S$87,16,0),"N/A")</f>
        <v>0</v>
      </c>
      <c r="U475" s="423" cm="1">
        <f t="array" ref="U475">_xlfn.IFERROR((S475+T475),"N/A")</f>
        <v>3100447.15769812</v>
      </c>
      <c r="V475" s="424"/>
      <c r="W475" s="423" cm="1">
        <f t="array" ref="W475">_xlfn.IFERROR(U475+Q475,"N/A")</f>
        <v>25005447.1576981</v>
      </c>
      <c r="X475" s="423" cm="1">
        <f t="array" ref="X475">_xlfn.IFERROR(W475*0.5%,"N/A")</f>
        <v>125027.235788491</v>
      </c>
      <c r="Y475" s="423" cm="1">
        <f t="array" ref="Y475">_xlfn.IFERROR(W475*25%,"N/A")</f>
        <v>6251361.78942453</v>
      </c>
      <c r="Z475" s="425" cm="1">
        <f t="array" ref="Z475">IF(B475&gt;0,SUM(W475:Y475),"N/A")</f>
        <v>31381836.1829111</v>
      </c>
      <c r="AA475" s="425" cm="1">
        <f t="array" ref="AA475">_xlfn.IFERROR((Z475-Z474),"N/A")</f>
        <v>195780</v>
      </c>
      <c r="AB475" s="424"/>
      <c r="AC475" t="str" s="426" cm="1">
        <f t="array" ref="AC475">IF(B475=6,AVERAGE(Z467:Z472),"N/A")</f>
        <v>N/A</v>
      </c>
      <c r="AD475" s="424"/>
      <c r="AE475" s="423"/>
      <c r="AF475" s="423"/>
      <c r="AG475" s="423"/>
      <c r="AH475" s="423"/>
      <c r="AI475" s="423"/>
      <c r="AJ475" s="423"/>
      <c r="AK475" s="423"/>
      <c r="AL475" s="423"/>
      <c r="AM475" s="423"/>
      <c r="AN475" s="427"/>
    </row>
    <row r="476" ht="15" customHeight="1">
      <c r="A476" s="12"/>
      <c r="B476" s="428" cm="1">
        <f t="array" ref="B476">IF(B475=0,0,IF(B475&lt;VLOOKUP(C464,'Boats Data Sheet 2026'!$C$3:$H$57,6,0),B475+1,0))</f>
        <v>10</v>
      </c>
      <c r="C476" s="423" cm="1">
        <f t="array" ref="C476">IF(B476&gt;0,IF(VLOOKUP(C464,'Boats Data Sheet 2026'!$C$3:$J$57,8,0)="N/A",0,VLOOKUP(C464,'Boats Data Sheet 2026'!$C$3:$J$57,8,0)),"N/A")</f>
        <v>18500000</v>
      </c>
      <c r="D476" s="430" cm="1">
        <f t="array" ref="D476">IF(B476&gt;7,2,IF(B476=0,"N/A",1))</f>
        <v>2</v>
      </c>
      <c r="E476" s="423" cm="1">
        <f t="array" ref="E476">_xlfn.IFERROR(SUM('Direct Costs 2026'!$C$4:$C$5)*D476,"N/A")</f>
        <v>1751000</v>
      </c>
      <c r="F476" s="423" cm="1">
        <f t="array" ref="F476">_xlfn.IFERROR('Direct Costs 2026'!$C$43*B476,"N/A")</f>
        <v>60000</v>
      </c>
      <c r="G476" s="423" cm="1">
        <f t="array" ref="G476">IF(B476&gt;0,'Direct Costs 2026'!$C$25,"N/A")</f>
        <v>90000</v>
      </c>
      <c r="H476" s="423">
        <v>0</v>
      </c>
      <c r="I476" s="423">
        <v>0</v>
      </c>
      <c r="J476" s="423">
        <v>0</v>
      </c>
      <c r="K476" s="423" cm="1">
        <f t="array" ref="K476">IF(B476&gt;0,'Direct Costs 2026'!$C$26,"N/A")</f>
        <v>20000</v>
      </c>
      <c r="L476" s="423" cm="1">
        <f t="array" ref="L476">IF(B476&gt;0,'Direct Costs 2026'!$C$23,"N/A")</f>
        <v>140000</v>
      </c>
      <c r="M476" s="423" cm="1">
        <f t="array" ref="M476">IF(B476&gt;0,'Direct Costs 2026'!$C$45*B476,"N/A")</f>
        <v>1500000</v>
      </c>
      <c r="N476" t="str" s="431" cm="1">
        <f t="array" ref="N476">IF(B476&gt;0,_xlfn.IFERROR(VLOOKUP(C464,'Boats Data Sheet 2026'!$C$3:$I$57,7,0)*'Direct Costs 2026'!$C$36,"N/A"),"N/A")</f>
        <v>N/A</v>
      </c>
      <c r="O476" t="str" s="431" cm="1">
        <f t="array" ref="O476">IF(B476&gt;0,IF(OR(VLOOKUP(C464,'Boats Data Sheet 2026'!$C$3:$F$57,4,0)="Own",VLOOKUP(C464,'Boats Data Sheet 2026'!$C$3:$F$57,4,0)="Management"),('Direct Costs 2026'!$C$37+'Direct Costs 2026'!$C$39),"N/A"),"N/A")</f>
        <v>N/A</v>
      </c>
      <c r="P476" s="423">
        <v>0</v>
      </c>
      <c r="Q476" s="423" cm="1">
        <f t="array" ref="Q476">_xlfn.IFERROR(C476+SUM(E476:P476),"N/A")</f>
        <v>22061000</v>
      </c>
      <c r="R476" s="424"/>
      <c r="S476" s="423" cm="1">
        <f t="array" ref="S476">IF(B476&gt;0,'Allocation OH and Target 2026'!$E$31,"N/A")</f>
        <v>3100447.15769812</v>
      </c>
      <c r="T476" s="423" cm="1">
        <f t="array" ref="T476">IF(B476&gt;0,VLOOKUP(C464,'Allocation OH and Target 2026'!$C$35:$S$87,16,0),"N/A")</f>
        <v>0</v>
      </c>
      <c r="U476" s="423" cm="1">
        <f t="array" ref="U476">_xlfn.IFERROR((S476+T476),"N/A")</f>
        <v>3100447.15769812</v>
      </c>
      <c r="V476" s="424"/>
      <c r="W476" s="423" cm="1">
        <f t="array" ref="W476">_xlfn.IFERROR(U476+Q476,"N/A")</f>
        <v>25161447.1576981</v>
      </c>
      <c r="X476" s="423" cm="1">
        <f t="array" ref="X476">_xlfn.IFERROR(W476*0.5%,"N/A")</f>
        <v>125807.235788491</v>
      </c>
      <c r="Y476" s="423" cm="1">
        <f t="array" ref="Y476">_xlfn.IFERROR(W476*25%,"N/A")</f>
        <v>6290361.78942453</v>
      </c>
      <c r="Z476" s="425" cm="1">
        <f t="array" ref="Z476">IF(B476&gt;0,SUM(W476:Y476),"N/A")</f>
        <v>31577616.1829111</v>
      </c>
      <c r="AA476" s="425" cm="1">
        <f t="array" ref="AA476">_xlfn.IFERROR((Z476-Z475),"N/A")</f>
        <v>195780</v>
      </c>
      <c r="AB476" s="424"/>
      <c r="AC476" t="str" s="426" cm="1">
        <f t="array" ref="AC476">IF(B476=6,AVERAGE(Z467:Z472),"N/A")</f>
        <v>N/A</v>
      </c>
      <c r="AD476" s="424"/>
      <c r="AE476" s="423"/>
      <c r="AF476" s="423"/>
      <c r="AG476" s="423"/>
      <c r="AH476" s="423"/>
      <c r="AI476" s="423"/>
      <c r="AJ476" s="423"/>
      <c r="AK476" s="423"/>
      <c r="AL476" s="423"/>
      <c r="AM476" s="423"/>
      <c r="AN476" s="427"/>
    </row>
    <row r="477" ht="15" customHeight="1">
      <c r="A477" s="12"/>
      <c r="B477" s="428" cm="1">
        <f t="array" ref="B477">IF(B476=0,0,IF(B476&lt;VLOOKUP(C464,'Boats Data Sheet 2026'!$C$3:$H$57,6,0),B476+1,0))</f>
        <v>11</v>
      </c>
      <c r="C477" s="423" cm="1">
        <f t="array" ref="C477">IF(B477&gt;0,IF(VLOOKUP(C464,'Boats Data Sheet 2026'!$C$3:$J$57,8,0)="N/A",0,VLOOKUP(C464,'Boats Data Sheet 2026'!$C$3:$J$57,8,0)),"N/A")</f>
        <v>18500000</v>
      </c>
      <c r="D477" s="430" cm="1">
        <f t="array" ref="D477">IF(B477&gt;7,2,IF(B477=0,"N/A",1))</f>
        <v>2</v>
      </c>
      <c r="E477" s="423" cm="1">
        <f t="array" ref="E477">_xlfn.IFERROR(SUM('Direct Costs 2026'!$C$4:$C$5)*D477,"N/A")</f>
        <v>1751000</v>
      </c>
      <c r="F477" s="423" cm="1">
        <f t="array" ref="F477">_xlfn.IFERROR('Direct Costs 2026'!$C$43*B477,"N/A")</f>
        <v>66000</v>
      </c>
      <c r="G477" s="423" cm="1">
        <f t="array" ref="G477">IF(B477&gt;0,'Direct Costs 2026'!$C$25,"N/A")</f>
        <v>90000</v>
      </c>
      <c r="H477" s="423">
        <v>0</v>
      </c>
      <c r="I477" s="423">
        <v>0</v>
      </c>
      <c r="J477" s="423">
        <v>0</v>
      </c>
      <c r="K477" s="423" cm="1">
        <f t="array" ref="K477">IF(B477&gt;0,'Direct Costs 2026'!$C$26,"N/A")</f>
        <v>20000</v>
      </c>
      <c r="L477" s="423" cm="1">
        <f t="array" ref="L477">IF(B477&gt;0,'Direct Costs 2026'!$C$23,"N/A")</f>
        <v>140000</v>
      </c>
      <c r="M477" s="423" cm="1">
        <f t="array" ref="M477">IF(B477&gt;0,'Direct Costs 2026'!$C$45*B477,"N/A")</f>
        <v>1650000</v>
      </c>
      <c r="N477" t="str" s="431" cm="1">
        <f t="array" ref="N477">IF(B477&gt;0,_xlfn.IFERROR(VLOOKUP(C464,'Boats Data Sheet 2026'!$C$3:$I$57,7,0)*'Direct Costs 2026'!$C$36,"N/A"),"N/A")</f>
        <v>N/A</v>
      </c>
      <c r="O477" t="str" s="431" cm="1">
        <f t="array" ref="O477">IF(B477&gt;0,IF(OR(VLOOKUP(C464,'Boats Data Sheet 2026'!$C$3:$F$57,4,0)="Own",VLOOKUP(C464,'Boats Data Sheet 2026'!$C$3:$F$57,4,0)="Management"),('Direct Costs 2026'!$C$37+'Direct Costs 2026'!$C$39),"N/A"),"N/A")</f>
        <v>N/A</v>
      </c>
      <c r="P477" s="423">
        <v>0</v>
      </c>
      <c r="Q477" s="423" cm="1">
        <f t="array" ref="Q477">_xlfn.IFERROR(C477+SUM(E477:P477),"N/A")</f>
        <v>22217000</v>
      </c>
      <c r="R477" s="424"/>
      <c r="S477" s="423" cm="1">
        <f t="array" ref="S477">IF(B477&gt;0,'Allocation OH and Target 2026'!$E$31,"N/A")</f>
        <v>3100447.15769812</v>
      </c>
      <c r="T477" s="423" cm="1">
        <f t="array" ref="T477">IF(B477&gt;0,VLOOKUP(C464,'Allocation OH and Target 2026'!$C$35:$S$87,16,0),"N/A")</f>
        <v>0</v>
      </c>
      <c r="U477" s="423" cm="1">
        <f t="array" ref="U477">_xlfn.IFERROR((S477+T477),"N/A")</f>
        <v>3100447.15769812</v>
      </c>
      <c r="V477" s="424"/>
      <c r="W477" s="423" cm="1">
        <f t="array" ref="W477">_xlfn.IFERROR(U477+Q477,"N/A")</f>
        <v>25317447.1576981</v>
      </c>
      <c r="X477" s="423" cm="1">
        <f t="array" ref="X477">_xlfn.IFERROR(W477*0.5%,"N/A")</f>
        <v>126587.235788491</v>
      </c>
      <c r="Y477" s="423" cm="1">
        <f t="array" ref="Y477">_xlfn.IFERROR(W477*25%,"N/A")</f>
        <v>6329361.78942453</v>
      </c>
      <c r="Z477" s="425" cm="1">
        <f t="array" ref="Z477">IF(B477&gt;0,SUM(W477:Y477),"N/A")</f>
        <v>31773396.1829111</v>
      </c>
      <c r="AA477" s="425" cm="1">
        <f t="array" ref="AA477">_xlfn.IFERROR((Z477-Z476),"N/A")</f>
        <v>195780</v>
      </c>
      <c r="AB477" s="424"/>
      <c r="AC477" t="str" s="426" cm="1">
        <f t="array" ref="AC477">IF(B477=6,AVERAGE(Z467:Z472),"N/A")</f>
        <v>N/A</v>
      </c>
      <c r="AD477" s="424"/>
      <c r="AE477" s="423"/>
      <c r="AF477" s="423"/>
      <c r="AG477" s="423"/>
      <c r="AH477" s="423"/>
      <c r="AI477" s="423"/>
      <c r="AJ477" s="423"/>
      <c r="AK477" s="423"/>
      <c r="AL477" s="423"/>
      <c r="AM477" s="423"/>
      <c r="AN477" s="427"/>
    </row>
    <row r="478" ht="15" customHeight="1">
      <c r="A478" s="12"/>
      <c r="B478" s="428" cm="1">
        <f t="array" ref="B478">IF(B477=0,0,IF(B477&lt;VLOOKUP(C464,'Boats Data Sheet 2026'!$C$3:$H$57,6,0),B477+1,0))</f>
        <v>12</v>
      </c>
      <c r="C478" s="423" cm="1">
        <f t="array" ref="C478">IF(B478&gt;0,IF(VLOOKUP(C464,'Boats Data Sheet 2026'!$C$3:$J$57,8,0)="N/A",0,VLOOKUP(C464,'Boats Data Sheet 2026'!$C$3:$J$57,8,0)),"N/A")</f>
        <v>18500000</v>
      </c>
      <c r="D478" s="430" cm="1">
        <f t="array" ref="D478">IF(B478&gt;7,2,IF(B478=0,"N/A",1))</f>
        <v>2</v>
      </c>
      <c r="E478" s="423" cm="1">
        <f t="array" ref="E478">_xlfn.IFERROR(SUM('Direct Costs 2026'!$C$4:$C$5)*D478,"N/A")</f>
        <v>1751000</v>
      </c>
      <c r="F478" s="423" cm="1">
        <f t="array" ref="F478">_xlfn.IFERROR('Direct Costs 2026'!$C$43*B478,"N/A")</f>
        <v>72000</v>
      </c>
      <c r="G478" s="423" cm="1">
        <f t="array" ref="G478">IF(B478&gt;0,'Direct Costs 2026'!$C$25,"N/A")</f>
        <v>90000</v>
      </c>
      <c r="H478" s="423">
        <v>0</v>
      </c>
      <c r="I478" s="423">
        <v>0</v>
      </c>
      <c r="J478" s="423">
        <v>0</v>
      </c>
      <c r="K478" s="423" cm="1">
        <f t="array" ref="K478">IF(B478&gt;0,'Direct Costs 2026'!$C$26,"N/A")</f>
        <v>20000</v>
      </c>
      <c r="L478" s="423" cm="1">
        <f t="array" ref="L478">IF(B478&gt;0,'Direct Costs 2026'!$C$23,"N/A")</f>
        <v>140000</v>
      </c>
      <c r="M478" s="423" cm="1">
        <f t="array" ref="M478">IF(B478&gt;0,'Direct Costs 2026'!$C$45*B478,"N/A")</f>
        <v>1800000</v>
      </c>
      <c r="N478" t="str" s="431" cm="1">
        <f t="array" ref="N478">IF(B478&gt;0,_xlfn.IFERROR(VLOOKUP(C464,'Boats Data Sheet 2026'!$C$3:$I$57,7,0)*'Direct Costs 2026'!$C$36,"N/A"),"N/A")</f>
        <v>N/A</v>
      </c>
      <c r="O478" t="str" s="431" cm="1">
        <f t="array" ref="O478">IF(B478&gt;0,IF(OR(VLOOKUP(C464,'Boats Data Sheet 2026'!$C$3:$F$57,4,0)="Own",VLOOKUP(C464,'Boats Data Sheet 2026'!$C$3:$F$57,4,0)="Management"),('Direct Costs 2026'!$C$37+'Direct Costs 2026'!$C$39),"N/A"),"N/A")</f>
        <v>N/A</v>
      </c>
      <c r="P478" s="423">
        <v>0</v>
      </c>
      <c r="Q478" s="423" cm="1">
        <f t="array" ref="Q478">_xlfn.IFERROR(C478+SUM(E478:P478),"N/A")</f>
        <v>22373000</v>
      </c>
      <c r="R478" s="424"/>
      <c r="S478" s="423" cm="1">
        <f t="array" ref="S478">IF(B478&gt;0,'Allocation OH and Target 2026'!$E$31,"N/A")</f>
        <v>3100447.15769812</v>
      </c>
      <c r="T478" s="423" cm="1">
        <f t="array" ref="T478">IF(B478&gt;0,VLOOKUP(C464,'Allocation OH and Target 2026'!$C$35:$S$87,16,0),"N/A")</f>
        <v>0</v>
      </c>
      <c r="U478" s="423" cm="1">
        <f t="array" ref="U478">_xlfn.IFERROR((S478+T478),"N/A")</f>
        <v>3100447.15769812</v>
      </c>
      <c r="V478" s="424"/>
      <c r="W478" s="423" cm="1">
        <f t="array" ref="W478">_xlfn.IFERROR(U478+Q478,"N/A")</f>
        <v>25473447.1576981</v>
      </c>
      <c r="X478" s="423" cm="1">
        <f t="array" ref="X478">_xlfn.IFERROR(W478*0.5%,"N/A")</f>
        <v>127367.235788491</v>
      </c>
      <c r="Y478" s="423" cm="1">
        <f t="array" ref="Y478">_xlfn.IFERROR(W478*25%,"N/A")</f>
        <v>6368361.78942453</v>
      </c>
      <c r="Z478" s="425" cm="1">
        <f t="array" ref="Z478">IF(B478&gt;0,SUM(W478:Y478),"N/A")</f>
        <v>31969176.1829111</v>
      </c>
      <c r="AA478" s="425" cm="1">
        <f t="array" ref="AA478">_xlfn.IFERROR((Z478-Z477),"N/A")</f>
        <v>195780</v>
      </c>
      <c r="AB478" s="424"/>
      <c r="AC478" t="str" s="426" cm="1">
        <f t="array" ref="AC478">IF(B478=6,AVERAGE(Z467:Z472),"N/A")</f>
        <v>N/A</v>
      </c>
      <c r="AD478" s="424"/>
      <c r="AE478" s="423"/>
      <c r="AF478" s="423"/>
      <c r="AG478" s="423"/>
      <c r="AH478" s="423"/>
      <c r="AI478" s="423"/>
      <c r="AJ478" s="423"/>
      <c r="AK478" s="423"/>
      <c r="AL478" s="423"/>
      <c r="AM478" s="423"/>
      <c r="AN478" s="427"/>
    </row>
    <row r="479" ht="15" customHeight="1">
      <c r="A479" s="12"/>
      <c r="B479" s="428" cm="1">
        <f t="array" ref="B479">IF(B478=0,0,IF(B478&lt;VLOOKUP(C464,'Boats Data Sheet 2026'!$C$3:$H$57,6,0),B478+1,0))</f>
        <v>13</v>
      </c>
      <c r="C479" s="423" cm="1">
        <f t="array" ref="C479">IF(B479&gt;0,IF(VLOOKUP(C464,'Boats Data Sheet 2026'!$C$3:$J$57,8,0)="N/A",0,VLOOKUP(C464,'Boats Data Sheet 2026'!$C$3:$J$57,8,0)),"N/A")</f>
        <v>18500000</v>
      </c>
      <c r="D479" s="430" cm="1">
        <f t="array" ref="D479">IF(B479&gt;7,2,IF(B479=0,"N/A",1))</f>
        <v>2</v>
      </c>
      <c r="E479" s="423" cm="1">
        <f t="array" ref="E479">_xlfn.IFERROR(SUM('Direct Costs 2026'!$C$4:$C$5)*D479,"N/A")</f>
        <v>1751000</v>
      </c>
      <c r="F479" s="423" cm="1">
        <f t="array" ref="F479">_xlfn.IFERROR('Direct Costs 2026'!$C$43*B479,"N/A")</f>
        <v>78000</v>
      </c>
      <c r="G479" s="423" cm="1">
        <f t="array" ref="G479">IF(B479&gt;0,'Direct Costs 2026'!$C$25,"N/A")</f>
        <v>90000</v>
      </c>
      <c r="H479" s="423">
        <v>0</v>
      </c>
      <c r="I479" s="423">
        <v>0</v>
      </c>
      <c r="J479" s="423">
        <v>0</v>
      </c>
      <c r="K479" s="423" cm="1">
        <f t="array" ref="K479">IF(B479&gt;0,'Direct Costs 2026'!$C$26,"N/A")</f>
        <v>20000</v>
      </c>
      <c r="L479" s="423" cm="1">
        <f t="array" ref="L479">IF(B479&gt;0,'Direct Costs 2026'!$C$23,"N/A")</f>
        <v>140000</v>
      </c>
      <c r="M479" s="423" cm="1">
        <f t="array" ref="M479">IF(B479&gt;0,'Direct Costs 2026'!$C$45*B479,"N/A")</f>
        <v>1950000</v>
      </c>
      <c r="N479" t="str" s="431" cm="1">
        <f t="array" ref="N479">IF(B479&gt;0,_xlfn.IFERROR(VLOOKUP(C464,'Boats Data Sheet 2026'!$C$3:$I$57,7,0)*'Direct Costs 2026'!$C$36,"N/A"),"N/A")</f>
        <v>N/A</v>
      </c>
      <c r="O479" t="str" s="431" cm="1">
        <f t="array" ref="O479">IF(B479&gt;0,IF(OR(VLOOKUP(C464,'Boats Data Sheet 2026'!$C$3:$F$57,4,0)="Own",VLOOKUP(C464,'Boats Data Sheet 2026'!$C$3:$F$57,4,0)="Management"),('Direct Costs 2026'!$C$37+'Direct Costs 2026'!$C$39),"N/A"),"N/A")</f>
        <v>N/A</v>
      </c>
      <c r="P479" s="423">
        <v>0</v>
      </c>
      <c r="Q479" s="423" cm="1">
        <f t="array" ref="Q479">_xlfn.IFERROR(C479+SUM(E479:P479),"N/A")</f>
        <v>22529000</v>
      </c>
      <c r="R479" s="424"/>
      <c r="S479" s="423" cm="1">
        <f t="array" ref="S479">IF(B479&gt;0,'Allocation OH and Target 2026'!$E$31,"N/A")</f>
        <v>3100447.15769812</v>
      </c>
      <c r="T479" s="423" cm="1">
        <f t="array" ref="T479">IF(B479&gt;0,VLOOKUP(C464,'Allocation OH and Target 2026'!$C$35:$S$87,16,0),"N/A")</f>
        <v>0</v>
      </c>
      <c r="U479" s="423" cm="1">
        <f t="array" ref="U479">_xlfn.IFERROR((S479+T479),"N/A")</f>
        <v>3100447.15769812</v>
      </c>
      <c r="V479" s="424"/>
      <c r="W479" s="423" cm="1">
        <f t="array" ref="W479">_xlfn.IFERROR(U479+Q479,"N/A")</f>
        <v>25629447.1576981</v>
      </c>
      <c r="X479" s="423" cm="1">
        <f t="array" ref="X479">_xlfn.IFERROR(W479*0.5%,"N/A")</f>
        <v>128147.235788491</v>
      </c>
      <c r="Y479" s="423" cm="1">
        <f t="array" ref="Y479">_xlfn.IFERROR(W479*25%,"N/A")</f>
        <v>6407361.78942453</v>
      </c>
      <c r="Z479" s="425" cm="1">
        <f t="array" ref="Z479">IF(B479&gt;0,SUM(W479:Y479),"N/A")</f>
        <v>32164956.1829111</v>
      </c>
      <c r="AA479" s="425" cm="1">
        <f t="array" ref="AA479">_xlfn.IFERROR((Z479-Z478),"N/A")</f>
        <v>195780</v>
      </c>
      <c r="AB479" s="424"/>
      <c r="AC479" t="str" s="426" cm="1">
        <f t="array" ref="AC479">IF(B479=6,AVERAGE(Z467:Z472),"N/A")</f>
        <v>N/A</v>
      </c>
      <c r="AD479" s="424"/>
      <c r="AE479" s="423"/>
      <c r="AF479" s="423"/>
      <c r="AG479" s="423"/>
      <c r="AH479" s="423"/>
      <c r="AI479" s="423"/>
      <c r="AJ479" s="423"/>
      <c r="AK479" s="423"/>
      <c r="AL479" s="423"/>
      <c r="AM479" s="423"/>
      <c r="AN479" s="427"/>
    </row>
    <row r="480" ht="15" customHeight="1">
      <c r="A480" s="12"/>
      <c r="B480" s="428" cm="1">
        <f t="array" ref="B480">IF(B479=0,0,IF(B479&lt;VLOOKUP(C464,'Boats Data Sheet 2026'!$C$3:$H$57,6,0),B479+1,0))</f>
        <v>0</v>
      </c>
      <c r="C480" t="str" s="431" cm="1">
        <f t="array" ref="C480">IF(B480&gt;0,IF(VLOOKUP(C464,'Boats Data Sheet 2026'!$C$3:$J$57,8,0)="N/A",0,VLOOKUP(C464,'Boats Data Sheet 2026'!$C$3:$J$57,8,0)),"N/A")</f>
        <v>N/A</v>
      </c>
      <c r="D480" t="str" s="431" cm="1">
        <f t="array" ref="D480">IF(B480&gt;7,2,IF(B480=0,"N/A",1))</f>
        <v>N/A</v>
      </c>
      <c r="E480" t="str" s="431" cm="1">
        <f t="array" ref="E480">_xlfn.IFERROR(SUM('Direct Costs 2026'!$C$4:$C$5)*D480,"N/A")</f>
        <v>N/A</v>
      </c>
      <c r="F480" s="423" cm="1">
        <f t="array" ref="F480">_xlfn.IFERROR('Direct Costs 2026'!$C$43*B480,"N/A")</f>
        <v>0</v>
      </c>
      <c r="G480" t="str" s="431" cm="1">
        <f t="array" ref="G480">IF(B480&gt;0,'Direct Costs 2026'!$C$25,"N/A")</f>
        <v>N/A</v>
      </c>
      <c r="H480" t="str" s="431" cm="1">
        <f t="array" ref="H480">IF(B480&gt;0,'Direct Costs 2026'!$C$15,"N/A")</f>
        <v>N/A</v>
      </c>
      <c r="I480" s="423">
        <v>0</v>
      </c>
      <c r="J480" s="423">
        <v>0</v>
      </c>
      <c r="K480" t="str" s="431" cm="1">
        <f t="array" ref="K480">IF(B480&gt;0,'Direct Costs 2026'!$C$26,"N/A")</f>
        <v>N/A</v>
      </c>
      <c r="L480" t="str" s="431" cm="1">
        <f t="array" ref="L480">IF(B480&gt;0,'Direct Costs 2026'!$C$23,"N/A")</f>
        <v>N/A</v>
      </c>
      <c r="M480" t="str" s="431" cm="1">
        <f t="array" ref="M480">IF(B480&gt;0,'Direct Costs 2026'!$C$45*B480,"N/A")</f>
        <v>N/A</v>
      </c>
      <c r="N480" t="str" s="431" cm="1">
        <f t="array" ref="N480">IF(B480&gt;0,_xlfn.IFERROR(VLOOKUP(C464,'Boats Data Sheet 2026'!$C$3:$I$57,7,0)*'Direct Costs 2026'!$C$36,"N/A"),"N/A")</f>
        <v>N/A</v>
      </c>
      <c r="O480" t="str" s="431" cm="1">
        <f t="array" ref="O480">IF(B480&gt;0,IF(OR(VLOOKUP(C464,'Boats Data Sheet 2026'!$C$3:$F$57,4,0)="Own",VLOOKUP(C464,'Boats Data Sheet 2026'!$C$3:$F$57,4,0)="Management"),('Direct Costs 2026'!$C$37+'Direct Costs 2026'!$C$39),"N/A"),"N/A")</f>
        <v>N/A</v>
      </c>
      <c r="P480" t="str" s="431" cm="1">
        <f t="array" ref="P480">_xlfn.IFERROR('Direct Costs 2026'!$C$27*C480,"N/A")</f>
        <v>N/A</v>
      </c>
      <c r="Q480" t="str" s="431" cm="1">
        <f t="array" ref="Q480">_xlfn.IFERROR(C480+SUM(E480:P480),"N/A")</f>
        <v>N/A</v>
      </c>
      <c r="R480" s="424"/>
      <c r="S480" t="str" s="431" cm="1">
        <f t="array" ref="S480">IF(B480&gt;0,'Allocation OH and Target 2026'!$E$31,"N/A")</f>
        <v>N/A</v>
      </c>
      <c r="T480" t="str" s="431" cm="1">
        <f t="array" ref="T480">IF(B480&gt;0,VLOOKUP(C464,'Allocation OH and Target 2026'!$C$35:$S$87,16,0),"N/A")</f>
        <v>N/A</v>
      </c>
      <c r="U480" t="str" s="431" cm="1">
        <f t="array" ref="U480">_xlfn.IFERROR((S480+T480),"N/A")</f>
        <v>N/A</v>
      </c>
      <c r="V480" s="424"/>
      <c r="W480" t="str" s="431" cm="1">
        <f t="array" ref="W480">_xlfn.IFERROR(U480+Q480,"N/A")</f>
        <v>N/A</v>
      </c>
      <c r="X480" t="str" s="431" cm="1">
        <f t="array" ref="X480">_xlfn.IFERROR(W480*0.5%,"N/A")</f>
        <v>N/A</v>
      </c>
      <c r="Y480" t="str" s="431" cm="1">
        <f t="array" ref="Y480">_xlfn.IFERROR(W480*25%,"N/A")</f>
        <v>N/A</v>
      </c>
      <c r="Z480" t="str" s="426" cm="1">
        <f t="array" ref="Z480">IF(B480&gt;0,SUM(W480:Y480),"N/A")</f>
        <v>N/A</v>
      </c>
      <c r="AA480" t="str" s="426" cm="1">
        <f t="array" ref="AA480">_xlfn.IFERROR((Z480-Z479),"N/A")</f>
        <v>N/A</v>
      </c>
      <c r="AB480" s="424"/>
      <c r="AC480" t="str" s="426" cm="1">
        <f t="array" ref="AC480">IF(B480=6,AVERAGE(Z467:Z472),"N/A")</f>
        <v>N/A</v>
      </c>
      <c r="AD480" s="424"/>
      <c r="AE480" s="423"/>
      <c r="AF480" s="423"/>
      <c r="AG480" s="423"/>
      <c r="AH480" s="423"/>
      <c r="AI480" s="423"/>
      <c r="AJ480" s="423"/>
      <c r="AK480" s="423"/>
      <c r="AL480" s="423"/>
      <c r="AM480" s="423"/>
      <c r="AN480" s="427"/>
    </row>
    <row r="481" ht="15" customHeight="1">
      <c r="A481" s="12"/>
      <c r="B481" s="428" cm="1">
        <f t="array" ref="B481">IF(B480=0,0,IF(B480&lt;VLOOKUP(C464,'Boats Data Sheet 2026'!$C$3:$H$57,6,0),B480+1,0))</f>
        <v>0</v>
      </c>
      <c r="C481" t="str" s="431" cm="1">
        <f t="array" ref="C481">IF(B481&gt;0,IF(VLOOKUP(C464,'Boats Data Sheet 2026'!$C$3:$J$57,8,0)="N/A",0,VLOOKUP(C464,'Boats Data Sheet 2026'!$C$3:$J$57,8,0)),"N/A")</f>
        <v>N/A</v>
      </c>
      <c r="D481" t="str" s="431" cm="1">
        <f t="array" ref="D481">IF(B481&gt;7,2,IF(B481=0,"N/A",1))</f>
        <v>N/A</v>
      </c>
      <c r="E481" t="str" s="431" cm="1">
        <f t="array" ref="E481">_xlfn.IFERROR(SUM('Direct Costs 2026'!$C$4:$C$5)*D481,"N/A")</f>
        <v>N/A</v>
      </c>
      <c r="F481" s="423" cm="1">
        <f t="array" ref="F481">_xlfn.IFERROR('Direct Costs 2026'!$C$43*B481,"N/A")</f>
        <v>0</v>
      </c>
      <c r="G481" t="str" s="431" cm="1">
        <f t="array" ref="G481">IF(B481&gt;0,'Direct Costs 2026'!$C$25,"N/A")</f>
        <v>N/A</v>
      </c>
      <c r="H481" t="str" s="431" cm="1">
        <f t="array" ref="H481">IF(B481&gt;0,'Direct Costs 2026'!$C$15,"N/A")</f>
        <v>N/A</v>
      </c>
      <c r="I481" s="423">
        <v>0</v>
      </c>
      <c r="J481" s="423">
        <v>0</v>
      </c>
      <c r="K481" t="str" s="431" cm="1">
        <f t="array" ref="K481">IF(B481&gt;0,'Direct Costs 2026'!$C$26,"N/A")</f>
        <v>N/A</v>
      </c>
      <c r="L481" t="str" s="431" cm="1">
        <f t="array" ref="L481">IF(B481&gt;0,'Direct Costs 2026'!$C$23,"N/A")</f>
        <v>N/A</v>
      </c>
      <c r="M481" t="str" s="431" cm="1">
        <f t="array" ref="M481">IF(B481&gt;0,'Direct Costs 2026'!$C$45*B481,"N/A")</f>
        <v>N/A</v>
      </c>
      <c r="N481" t="str" s="431" cm="1">
        <f t="array" ref="N481">IF(B481&gt;0,_xlfn.IFERROR(VLOOKUP(C464,'Boats Data Sheet 2026'!$C$3:$I$57,7,0)*'Direct Costs 2026'!$C$36,"N/A"),"N/A")</f>
        <v>N/A</v>
      </c>
      <c r="O481" t="str" s="431" cm="1">
        <f t="array" ref="O481">IF(B481&gt;0,IF(OR(VLOOKUP(C464,'Boats Data Sheet 2026'!$C$3:$F$57,4,0)="Own",VLOOKUP(C464,'Boats Data Sheet 2026'!$C$3:$F$57,4,0)="Management"),('Direct Costs 2026'!$C$37+'Direct Costs 2026'!$C$39),"N/A"),"N/A")</f>
        <v>N/A</v>
      </c>
      <c r="P481" t="str" s="431" cm="1">
        <f t="array" ref="P481">_xlfn.IFERROR('Direct Costs 2026'!$C$27*C481,"N/A")</f>
        <v>N/A</v>
      </c>
      <c r="Q481" t="str" s="431" cm="1">
        <f t="array" ref="Q481">_xlfn.IFERROR(C481+SUM(E481:P481),"N/A")</f>
        <v>N/A</v>
      </c>
      <c r="R481" s="424"/>
      <c r="S481" t="str" s="431" cm="1">
        <f t="array" ref="S481">IF(B481&gt;0,'Allocation OH and Target 2026'!$E$31,"N/A")</f>
        <v>N/A</v>
      </c>
      <c r="T481" t="str" s="431" cm="1">
        <f t="array" ref="T481">IF(B481&gt;0,VLOOKUP(C464,'Allocation OH and Target 2026'!$C$35:$S$87,16,0),"N/A")</f>
        <v>N/A</v>
      </c>
      <c r="U481" t="str" s="431" cm="1">
        <f t="array" ref="U481">_xlfn.IFERROR((S481+T481),"N/A")</f>
        <v>N/A</v>
      </c>
      <c r="V481" s="424"/>
      <c r="W481" t="str" s="431" cm="1">
        <f t="array" ref="W481">_xlfn.IFERROR(U481+Q481,"N/A")</f>
        <v>N/A</v>
      </c>
      <c r="X481" t="str" s="431" cm="1">
        <f t="array" ref="X481">_xlfn.IFERROR(W481*0.5%,"N/A")</f>
        <v>N/A</v>
      </c>
      <c r="Y481" t="str" s="431" cm="1">
        <f t="array" ref="Y481">_xlfn.IFERROR(W481*25%,"N/A")</f>
        <v>N/A</v>
      </c>
      <c r="Z481" t="str" s="426" cm="1">
        <f t="array" ref="Z481">IF(B481&gt;0,SUM(W481:Y481),"N/A")</f>
        <v>N/A</v>
      </c>
      <c r="AA481" t="str" s="426" cm="1">
        <f t="array" ref="AA481">_xlfn.IFERROR((Z481-Z480),"N/A")</f>
        <v>N/A</v>
      </c>
      <c r="AB481" s="424"/>
      <c r="AC481" t="str" s="426" cm="1">
        <f t="array" ref="AC481">IF(B481=6,AVERAGE(Z467:Z472),"N/A")</f>
        <v>N/A</v>
      </c>
      <c r="AD481" s="424"/>
      <c r="AE481" s="423"/>
      <c r="AF481" s="423"/>
      <c r="AG481" s="423"/>
      <c r="AH481" s="423"/>
      <c r="AI481" s="423"/>
      <c r="AJ481" s="423"/>
      <c r="AK481" s="423"/>
      <c r="AL481" s="423"/>
      <c r="AM481" s="423"/>
      <c r="AN481" s="427"/>
    </row>
    <row r="482" ht="15" customHeight="1">
      <c r="A482" s="12"/>
      <c r="B482" s="428" cm="1">
        <f t="array" ref="B482">IF(B481=0,0,IF(B481&lt;VLOOKUP(C464,'Boats Data Sheet 2026'!$C$3:$H$57,6,0),B481+1,0))</f>
        <v>0</v>
      </c>
      <c r="C482" t="str" s="431" cm="1">
        <f t="array" ref="C482">IF(B482&gt;0,IF(VLOOKUP(C464,'Boats Data Sheet 2026'!$C$3:$J$57,8,0)="N/A",0,VLOOKUP(C464,'Boats Data Sheet 2026'!$C$3:$J$57,8,0)),"N/A")</f>
        <v>N/A</v>
      </c>
      <c r="D482" t="str" s="431" cm="1">
        <f t="array" ref="D482">IF(B482&gt;7,2,IF(B482=0,"N/A",1))</f>
        <v>N/A</v>
      </c>
      <c r="E482" t="str" s="431" cm="1">
        <f t="array" ref="E482">_xlfn.IFERROR(SUM('Direct Costs 2026'!$C$4:$C$5)*D482,"N/A")</f>
        <v>N/A</v>
      </c>
      <c r="F482" s="423" cm="1">
        <f t="array" ref="F482">_xlfn.IFERROR('Direct Costs 2026'!$C$43*B482,"N/A")</f>
        <v>0</v>
      </c>
      <c r="G482" t="str" s="431" cm="1">
        <f t="array" ref="G482">IF(B482&gt;0,'Direct Costs 2026'!$C$25,"N/A")</f>
        <v>N/A</v>
      </c>
      <c r="H482" t="str" s="431" cm="1">
        <f t="array" ref="H482">IF(B482&gt;0,'Direct Costs 2026'!$C$15,"N/A")</f>
        <v>N/A</v>
      </c>
      <c r="I482" s="423">
        <v>0</v>
      </c>
      <c r="J482" s="423">
        <v>0</v>
      </c>
      <c r="K482" t="str" s="431" cm="1">
        <f t="array" ref="K482">IF(B482&gt;0,'Direct Costs 2026'!$C$26,"N/A")</f>
        <v>N/A</v>
      </c>
      <c r="L482" t="str" s="431" cm="1">
        <f t="array" ref="L482">IF(B482&gt;0,'Direct Costs 2026'!$C$23,"N/A")</f>
        <v>N/A</v>
      </c>
      <c r="M482" t="str" s="431" cm="1">
        <f t="array" ref="M482">IF(B482&gt;0,'Direct Costs 2026'!$C$45*B482,"N/A")</f>
        <v>N/A</v>
      </c>
      <c r="N482" t="str" s="431" cm="1">
        <f t="array" ref="N482">IF(B482&gt;0,_xlfn.IFERROR(VLOOKUP(C464,'Boats Data Sheet 2026'!$C$3:$I$57,7,0)*'Direct Costs 2026'!$C$36,"N/A"),"N/A")</f>
        <v>N/A</v>
      </c>
      <c r="O482" t="str" s="431" cm="1">
        <f t="array" ref="O482">IF(B482&gt;0,IF(OR(VLOOKUP(C464,'Boats Data Sheet 2026'!$C$3:$F$57,4,0)="Own",VLOOKUP(C464,'Boats Data Sheet 2026'!$C$3:$F$57,4,0)="Management"),('Direct Costs 2026'!$C$37+'Direct Costs 2026'!$C$39),"N/A"),"N/A")</f>
        <v>N/A</v>
      </c>
      <c r="P482" t="str" s="431" cm="1">
        <f t="array" ref="P482">_xlfn.IFERROR('Direct Costs 2026'!$C$27*C482,"N/A")</f>
        <v>N/A</v>
      </c>
      <c r="Q482" t="str" s="431" cm="1">
        <f t="array" ref="Q482">_xlfn.IFERROR(C482+SUM(E482:P482),"N/A")</f>
        <v>N/A</v>
      </c>
      <c r="R482" s="424"/>
      <c r="S482" t="str" s="431" cm="1">
        <f t="array" ref="S482">IF(B482&gt;0,'Allocation OH and Target 2026'!$E$31,"N/A")</f>
        <v>N/A</v>
      </c>
      <c r="T482" t="str" s="431" cm="1">
        <f t="array" ref="T482">IF(B482&gt;0,VLOOKUP(C464,'Allocation OH and Target 2026'!$C$35:$S$87,16,0),"N/A")</f>
        <v>N/A</v>
      </c>
      <c r="U482" t="str" s="431" cm="1">
        <f t="array" ref="U482">_xlfn.IFERROR((S482+T482),"N/A")</f>
        <v>N/A</v>
      </c>
      <c r="V482" s="424"/>
      <c r="W482" t="str" s="431" cm="1">
        <f t="array" ref="W482">_xlfn.IFERROR(U482+Q482,"N/A")</f>
        <v>N/A</v>
      </c>
      <c r="X482" t="str" s="431" cm="1">
        <f t="array" ref="X482">_xlfn.IFERROR(W482*0.5%,"N/A")</f>
        <v>N/A</v>
      </c>
      <c r="Y482" t="str" s="431" cm="1">
        <f t="array" ref="Y482">_xlfn.IFERROR(W482*25%,"N/A")</f>
        <v>N/A</v>
      </c>
      <c r="Z482" t="str" s="426" cm="1">
        <f t="array" ref="Z482">IF(B482&gt;0,SUM(W482:Y482),"N/A")</f>
        <v>N/A</v>
      </c>
      <c r="AA482" t="str" s="426" cm="1">
        <f t="array" ref="AA482">_xlfn.IFERROR((Z482-Z481),"N/A")</f>
        <v>N/A</v>
      </c>
      <c r="AB482" s="424"/>
      <c r="AC482" t="str" s="426" cm="1">
        <f t="array" ref="AC482">IF(B482=6,AVERAGE(Z467:Z472),"N/A")</f>
        <v>N/A</v>
      </c>
      <c r="AD482" s="424"/>
      <c r="AE482" s="423"/>
      <c r="AF482" s="423"/>
      <c r="AG482" s="423"/>
      <c r="AH482" s="423"/>
      <c r="AI482" s="423"/>
      <c r="AJ482" s="423"/>
      <c r="AK482" s="423"/>
      <c r="AL482" s="423"/>
      <c r="AM482" s="423"/>
      <c r="AN482" s="427"/>
    </row>
    <row r="483" ht="15" customHeight="1">
      <c r="A483" s="12"/>
      <c r="B483" s="428" cm="1">
        <f t="array" ref="B483">IF(B482=0,0,IF(B482&lt;VLOOKUP(C464,'Boats Data Sheet 2026'!$C$3:$H$57,6,0),B482+1,0))</f>
        <v>0</v>
      </c>
      <c r="C483" t="str" s="431" cm="1">
        <f t="array" ref="C483">IF(B483&gt;0,IF(VLOOKUP(C464,'Boats Data Sheet 2026'!$C$3:$J$57,8,0)="N/A",0,VLOOKUP(C464,'Boats Data Sheet 2026'!$C$3:$J$57,8,0)),"N/A")</f>
        <v>N/A</v>
      </c>
      <c r="D483" t="str" s="431" cm="1">
        <f t="array" ref="D483">IF(B483&gt;7,2,IF(B483=0,"N/A",1))</f>
        <v>N/A</v>
      </c>
      <c r="E483" t="str" s="431" cm="1">
        <f t="array" ref="E483">_xlfn.IFERROR(SUM('Direct Costs 2026'!$C$4:$C$5)*D483,"N/A")</f>
        <v>N/A</v>
      </c>
      <c r="F483" s="423" cm="1">
        <f t="array" ref="F483">_xlfn.IFERROR('Direct Costs 2026'!$C$43*B483,"N/A")</f>
        <v>0</v>
      </c>
      <c r="G483" t="str" s="431" cm="1">
        <f t="array" ref="G483">IF(B483&gt;0,'Direct Costs 2026'!$C$25,"N/A")</f>
        <v>N/A</v>
      </c>
      <c r="H483" t="str" s="431" cm="1">
        <f t="array" ref="H483">IF(B483&gt;0,'Direct Costs 2026'!$C$15,"N/A")</f>
        <v>N/A</v>
      </c>
      <c r="I483" s="423">
        <v>0</v>
      </c>
      <c r="J483" s="423">
        <v>0</v>
      </c>
      <c r="K483" t="str" s="431" cm="1">
        <f t="array" ref="K483">IF(B483&gt;0,'Direct Costs 2026'!$C$26,"N/A")</f>
        <v>N/A</v>
      </c>
      <c r="L483" t="str" s="431" cm="1">
        <f t="array" ref="L483">IF(B483&gt;0,'Direct Costs 2026'!$C$23,"N/A")</f>
        <v>N/A</v>
      </c>
      <c r="M483" t="str" s="431" cm="1">
        <f t="array" ref="M483">IF(B483&gt;0,'Direct Costs 2026'!$C$45*B483,"N/A")</f>
        <v>N/A</v>
      </c>
      <c r="N483" t="str" s="431" cm="1">
        <f t="array" ref="N483">IF(B483&gt;0,_xlfn.IFERROR(VLOOKUP(C464,'Boats Data Sheet 2026'!$C$3:$I$57,7,0)*'Direct Costs 2026'!$C$36,"N/A"),"N/A")</f>
        <v>N/A</v>
      </c>
      <c r="O483" t="str" s="431" cm="1">
        <f t="array" ref="O483">IF(B483&gt;0,IF(OR(VLOOKUP(C464,'Boats Data Sheet 2026'!$C$3:$F$57,4,0)="Own",VLOOKUP(C464,'Boats Data Sheet 2026'!$C$3:$F$57,4,0)="Management"),('Direct Costs 2026'!$C$37+'Direct Costs 2026'!$C$39),"N/A"),"N/A")</f>
        <v>N/A</v>
      </c>
      <c r="P483" t="str" s="431" cm="1">
        <f t="array" ref="P483">_xlfn.IFERROR('Direct Costs 2026'!$C$27*C483,"N/A")</f>
        <v>N/A</v>
      </c>
      <c r="Q483" t="str" s="431" cm="1">
        <f t="array" ref="Q483">_xlfn.IFERROR(C483+SUM(E483:P483),"N/A")</f>
        <v>N/A</v>
      </c>
      <c r="R483" s="424"/>
      <c r="S483" t="str" s="431" cm="1">
        <f t="array" ref="S483">IF(B483&gt;0,'Allocation OH and Target 2026'!$E$31,"N/A")</f>
        <v>N/A</v>
      </c>
      <c r="T483" t="str" s="431" cm="1">
        <f t="array" ref="T483">IF(B483&gt;0,VLOOKUP(C464,'Allocation OH and Target 2026'!$C$35:$S$87,16,0),"N/A")</f>
        <v>N/A</v>
      </c>
      <c r="U483" t="str" s="431" cm="1">
        <f t="array" ref="U483">_xlfn.IFERROR((S483+T483),"N/A")</f>
        <v>N/A</v>
      </c>
      <c r="V483" s="424"/>
      <c r="W483" t="str" s="431" cm="1">
        <f t="array" ref="W483">_xlfn.IFERROR(U483+Q483,"N/A")</f>
        <v>N/A</v>
      </c>
      <c r="X483" t="str" s="431" cm="1">
        <f t="array" ref="X483">_xlfn.IFERROR(W483*0.5%,"N/A")</f>
        <v>N/A</v>
      </c>
      <c r="Y483" t="str" s="431" cm="1">
        <f t="array" ref="Y483">_xlfn.IFERROR(W483*25%,"N/A")</f>
        <v>N/A</v>
      </c>
      <c r="Z483" t="str" s="426" cm="1">
        <f t="array" ref="Z483">IF(B483&gt;0,SUM(W483:Y483),"N/A")</f>
        <v>N/A</v>
      </c>
      <c r="AA483" t="str" s="426" cm="1">
        <f t="array" ref="AA483">_xlfn.IFERROR((Z483-Z482),"N/A")</f>
        <v>N/A</v>
      </c>
      <c r="AB483" s="424"/>
      <c r="AC483" t="str" s="426" cm="1">
        <f t="array" ref="AC483">IF(B483=6,AVERAGE(Z467:Z472),"N/A")</f>
        <v>N/A</v>
      </c>
      <c r="AD483" s="424"/>
      <c r="AE483" s="423"/>
      <c r="AF483" s="423"/>
      <c r="AG483" s="423"/>
      <c r="AH483" s="423"/>
      <c r="AI483" s="423"/>
      <c r="AJ483" s="423"/>
      <c r="AK483" s="423"/>
      <c r="AL483" s="423"/>
      <c r="AM483" s="423"/>
      <c r="AN483" s="427"/>
    </row>
    <row r="484" ht="15.5" customHeight="1">
      <c r="A484" s="12"/>
      <c r="B484" s="432" cm="1">
        <f t="array" ref="B484">IF(B483=0,0,IF(B483&lt;VLOOKUP(C464,'Boats Data Sheet 2026'!$C$3:$H$57,6,0),B483+1,0))</f>
        <v>0</v>
      </c>
      <c r="C484" t="str" s="433" cm="1">
        <f t="array" ref="C484">IF(B484&gt;0,IF(VLOOKUP(C464,'Boats Data Sheet 2026'!$C$3:$J$57,8,0)="N/A",0,VLOOKUP(C464,'Boats Data Sheet 2026'!$C$3:$J$57,8,0)),"N/A")</f>
        <v>N/A</v>
      </c>
      <c r="D484" t="str" s="433" cm="1">
        <f t="array" ref="D484">IF(B484&gt;7,2,IF(B484=0,"N/A",1))</f>
        <v>N/A</v>
      </c>
      <c r="E484" t="str" s="433" cm="1">
        <f t="array" ref="E484">_xlfn.IFERROR(SUM('Direct Costs 2026'!$C$4:$C$5)*D484,"N/A")</f>
        <v>N/A</v>
      </c>
      <c r="F484" s="434" cm="1">
        <f t="array" ref="F484">_xlfn.IFERROR('Direct Costs 2026'!$C$43*B484,"N/A")</f>
        <v>0</v>
      </c>
      <c r="G484" t="str" s="433" cm="1">
        <f t="array" ref="G484">IF(B484&gt;0,'Direct Costs 2026'!$C$25,"N/A")</f>
        <v>N/A</v>
      </c>
      <c r="H484" t="str" s="433" cm="1">
        <f t="array" ref="H484">IF(B484&gt;0,'Direct Costs 2026'!$C$15,"N/A")</f>
        <v>N/A</v>
      </c>
      <c r="I484" s="434">
        <v>0</v>
      </c>
      <c r="J484" s="434">
        <v>0</v>
      </c>
      <c r="K484" t="str" s="433" cm="1">
        <f t="array" ref="K484">IF(B484&gt;0,'Direct Costs 2026'!$C$26,"N/A")</f>
        <v>N/A</v>
      </c>
      <c r="L484" t="str" s="433" cm="1">
        <f t="array" ref="L484">IF(B484&gt;0,'Direct Costs 2026'!$C$23,"N/A")</f>
        <v>N/A</v>
      </c>
      <c r="M484" t="str" s="433" cm="1">
        <f t="array" ref="M484">IF(B484&gt;0,'Direct Costs 2026'!$C$45*B484,"N/A")</f>
        <v>N/A</v>
      </c>
      <c r="N484" t="str" s="433" cm="1">
        <f t="array" ref="N484">IF(B484&gt;0,_xlfn.IFERROR(VLOOKUP(C464,'Boats Data Sheet 2026'!$C$3:$I$57,7,0)*'Direct Costs 2026'!$C$36,"N/A"),"N/A")</f>
        <v>N/A</v>
      </c>
      <c r="O484" t="str" s="433" cm="1">
        <f t="array" ref="O484">IF(B484&gt;0,IF(OR(VLOOKUP(C464,'Boats Data Sheet 2026'!$C$3:$F$57,4,0)="Own",VLOOKUP(C464,'Boats Data Sheet 2026'!$C$3:$F$57,4,0)="Management"),('Direct Costs 2026'!$C$37+'Direct Costs 2026'!$C$39),"N/A"),"N/A")</f>
        <v>N/A</v>
      </c>
      <c r="P484" t="str" s="433" cm="1">
        <f t="array" ref="P484">_xlfn.IFERROR('Direct Costs 2026'!$C$27*C484,"N/A")</f>
        <v>N/A</v>
      </c>
      <c r="Q484" t="str" s="433" cm="1">
        <f t="array" ref="Q484">_xlfn.IFERROR(C484+SUM(E484:P484),"N/A")</f>
        <v>N/A</v>
      </c>
      <c r="R484" s="435"/>
      <c r="S484" t="str" s="433" cm="1">
        <f t="array" ref="S484">IF(B484&gt;0,'Allocation OH and Target 2026'!$E$31,"N/A")</f>
        <v>N/A</v>
      </c>
      <c r="T484" t="str" s="433" cm="1">
        <f t="array" ref="T484">IF(B484&gt;0,VLOOKUP(C464,'Allocation OH and Target 2026'!$C$35:$S$87,16,0),"N/A")</f>
        <v>N/A</v>
      </c>
      <c r="U484" t="str" s="433" cm="1">
        <f t="array" ref="U484">_xlfn.IFERROR((S484+T484),"N/A")</f>
        <v>N/A</v>
      </c>
      <c r="V484" s="435"/>
      <c r="W484" t="str" s="433" cm="1">
        <f t="array" ref="W484">_xlfn.IFERROR(U484+Q484,"N/A")</f>
        <v>N/A</v>
      </c>
      <c r="X484" t="str" s="433" cm="1">
        <f t="array" ref="X484">_xlfn.IFERROR(W484*0.5%,"N/A")</f>
        <v>N/A</v>
      </c>
      <c r="Y484" t="str" s="433" cm="1">
        <f t="array" ref="Y484">_xlfn.IFERROR(W484*25%,"N/A")</f>
        <v>N/A</v>
      </c>
      <c r="Z484" t="str" s="436" cm="1">
        <f t="array" ref="Z484">IF(B484&gt;0,SUM(W484:Y484),"N/A")</f>
        <v>N/A</v>
      </c>
      <c r="AA484" t="str" s="436" cm="1">
        <f t="array" ref="AA484">_xlfn.IFERROR((Z484-Z483),"N/A")</f>
        <v>N/A</v>
      </c>
      <c r="AB484" s="435"/>
      <c r="AC484" t="str" s="436" cm="1">
        <f t="array" ref="AC484">IF(B484=6,AVERAGE(Z467:Z472),"N/A")</f>
        <v>N/A</v>
      </c>
      <c r="AD484" s="435"/>
      <c r="AE484" s="434"/>
      <c r="AF484" s="434"/>
      <c r="AG484" s="434"/>
      <c r="AH484" s="434"/>
      <c r="AI484" s="434"/>
      <c r="AJ484" s="434"/>
      <c r="AK484" s="434"/>
      <c r="AL484" s="434"/>
      <c r="AM484" s="434"/>
      <c r="AN484" s="437"/>
    </row>
    <row r="485" ht="15" customHeight="1">
      <c r="A485" s="32"/>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c r="AH485" s="124"/>
      <c r="AI485" s="124"/>
      <c r="AJ485" s="124"/>
      <c r="AK485" s="124"/>
      <c r="AL485" s="124"/>
      <c r="AM485" s="124"/>
      <c r="AN485" s="313"/>
    </row>
    <row r="486" ht="15" customHeight="1">
      <c r="A486" s="32"/>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c r="AM486" s="35"/>
      <c r="AN486" s="442"/>
    </row>
    <row r="487" ht="15.5" customHeight="1">
      <c r="A487" s="395">
        <v>24</v>
      </c>
      <c r="B487" t="s" s="396">
        <v>506</v>
      </c>
      <c r="C487" t="s" s="397">
        <v>206</v>
      </c>
      <c r="D487" s="398"/>
      <c r="E487" s="398"/>
      <c r="F487" s="398"/>
      <c r="G487" s="398"/>
      <c r="H487" s="398"/>
      <c r="I487" s="398"/>
      <c r="J487" s="398"/>
      <c r="K487" s="398"/>
      <c r="L487" s="398"/>
      <c r="M487" s="398"/>
      <c r="N487" s="398"/>
      <c r="O487" s="398"/>
      <c r="P487" s="398"/>
      <c r="Q487" s="398"/>
      <c r="R487" s="399"/>
      <c r="S487" s="398"/>
      <c r="T487" s="398"/>
      <c r="U487" s="398"/>
      <c r="V487" s="399"/>
      <c r="W487" s="398"/>
      <c r="X487" s="398"/>
      <c r="Y487" s="398"/>
      <c r="Z487" s="398"/>
      <c r="AA487" s="398"/>
      <c r="AB487" s="399"/>
      <c r="AC487" s="398"/>
      <c r="AD487" s="399"/>
      <c r="AE487" t="s" s="397">
        <v>508</v>
      </c>
      <c r="AF487" s="401" cm="1">
        <f t="array" ref="AF487">AVERAGE(Q490:Q495)</f>
        <v>17711500</v>
      </c>
      <c r="AG487" t="s" s="400">
        <v>509</v>
      </c>
      <c r="AH487" s="401" cm="1">
        <f t="array" ref="AH487">AVERAGE(Q496:Q503)-AF487</f>
        <v>1665583.33333333</v>
      </c>
      <c r="AI487" t="s" s="400">
        <v>510</v>
      </c>
      <c r="AJ487" s="401" cm="1">
        <f t="array" ref="AJ487">AVERAGE(Y490:Y497)</f>
        <v>5269346.16442453</v>
      </c>
      <c r="AK487" t="s" s="397">
        <v>511</v>
      </c>
      <c r="AL487" s="401" cm="1">
        <f t="array" ref="AL487">AVERAGE(W490:W495)</f>
        <v>20811947.1576981</v>
      </c>
      <c r="AM487" t="s" s="400">
        <v>512</v>
      </c>
      <c r="AN487" s="402" cm="1">
        <f t="array" ref="AN487">W490</f>
        <v>20421947.1576981</v>
      </c>
    </row>
    <row r="488" ht="15" customHeight="1">
      <c r="A488" s="12"/>
      <c r="B488" s="403"/>
      <c r="C488" t="s" s="404">
        <v>513</v>
      </c>
      <c r="D488" s="405"/>
      <c r="E488" s="405"/>
      <c r="F488" s="405"/>
      <c r="G488" s="405"/>
      <c r="H488" s="405"/>
      <c r="I488" s="405"/>
      <c r="J488" s="405"/>
      <c r="K488" s="405"/>
      <c r="L488" s="405"/>
      <c r="M488" s="405"/>
      <c r="N488" s="405"/>
      <c r="O488" s="405"/>
      <c r="P488" s="405"/>
      <c r="Q488" s="406"/>
      <c r="R488" s="407"/>
      <c r="S488" t="s" s="404">
        <v>514</v>
      </c>
      <c r="T488" s="405"/>
      <c r="U488" s="406"/>
      <c r="V488" s="407"/>
      <c r="W488" t="s" s="404">
        <v>515</v>
      </c>
      <c r="X488" s="405"/>
      <c r="Y488" s="405"/>
      <c r="Z488" s="405"/>
      <c r="AA488" s="405"/>
      <c r="AB488" s="408"/>
      <c r="AC488" s="443"/>
      <c r="AD488" s="410"/>
      <c r="AE488" s="443"/>
      <c r="AF488" s="443"/>
      <c r="AG488" s="443"/>
      <c r="AH488" s="443"/>
      <c r="AI488" s="443"/>
      <c r="AJ488" s="443"/>
      <c r="AK488" s="443"/>
      <c r="AL488" s="414"/>
      <c r="AM488" s="415"/>
      <c r="AN488" s="414"/>
    </row>
    <row r="489" ht="46.25" customHeight="1">
      <c r="A489" s="187"/>
      <c r="B489" t="s" s="416">
        <v>517</v>
      </c>
      <c r="C489" t="s" s="417">
        <v>518</v>
      </c>
      <c r="D489" t="s" s="417">
        <v>519</v>
      </c>
      <c r="E489" t="s" s="417">
        <v>520</v>
      </c>
      <c r="F489" t="s" s="159">
        <v>521</v>
      </c>
      <c r="G489" t="s" s="159">
        <v>522</v>
      </c>
      <c r="H489" t="s" s="159">
        <v>553</v>
      </c>
      <c r="I489" t="s" s="159">
        <v>524</v>
      </c>
      <c r="J489" t="s" s="159">
        <v>525</v>
      </c>
      <c r="K489" t="s" s="159">
        <v>526</v>
      </c>
      <c r="L489" t="s" s="159">
        <v>527</v>
      </c>
      <c r="M489" t="s" s="159">
        <v>528</v>
      </c>
      <c r="N489" t="s" s="159">
        <v>529</v>
      </c>
      <c r="O489" t="s" s="159">
        <v>530</v>
      </c>
      <c r="P489" t="s" s="159">
        <v>531</v>
      </c>
      <c r="Q489" t="s" s="159">
        <v>532</v>
      </c>
      <c r="R489" s="418"/>
      <c r="S489" t="s" s="159">
        <v>533</v>
      </c>
      <c r="T489" t="s" s="159">
        <v>534</v>
      </c>
      <c r="U489" t="s" s="159">
        <v>535</v>
      </c>
      <c r="V489" s="418"/>
      <c r="W489" t="s" s="159">
        <v>536</v>
      </c>
      <c r="X489" t="s" s="159">
        <v>537</v>
      </c>
      <c r="Y489" t="s" s="159">
        <v>538</v>
      </c>
      <c r="Z489" t="s" s="159">
        <v>539</v>
      </c>
      <c r="AA489" t="s" s="159">
        <v>121</v>
      </c>
      <c r="AB489" s="419"/>
      <c r="AC489" t="s" s="159">
        <v>39</v>
      </c>
      <c r="AD489" s="419"/>
      <c r="AE489" s="77"/>
      <c r="AF489" s="77"/>
      <c r="AG489" s="77"/>
      <c r="AH489" s="77"/>
      <c r="AI489" s="77"/>
      <c r="AJ489" s="77"/>
      <c r="AK489" s="77"/>
      <c r="AL489" s="77"/>
      <c r="AM489" s="77"/>
      <c r="AN489" s="78"/>
    </row>
    <row r="490" ht="15" customHeight="1">
      <c r="A490" s="12"/>
      <c r="B490" s="420">
        <v>1</v>
      </c>
      <c r="C490" s="421" cm="1">
        <f t="array" ref="C490">IF(B490&gt;0,IF(VLOOKUP(C487,'Boats Data Sheet 2026'!$C$3:$J$57,8,0)="N/A",0,VLOOKUP(C487,'Boats Data Sheet 2026'!$C$3:$J$57,8,0)),"N/A")</f>
        <v>15500000</v>
      </c>
      <c r="D490" s="422" cm="1">
        <f t="array" ref="D490">IF(B490&gt;7,2,IF(B490=0,"N/A",1))</f>
        <v>1</v>
      </c>
      <c r="E490" s="421" cm="1">
        <f t="array" ref="E490">_xlfn.IFERROR(SUM('Direct Costs 2026'!$C$4:$C$5)*D490,"N/A")</f>
        <v>875500</v>
      </c>
      <c r="F490" s="423" cm="1">
        <f t="array" ref="F490">_xlfn.IFERROR('Direct Costs 2026'!$C$43*B490,"N/A")</f>
        <v>6000</v>
      </c>
      <c r="G490" s="423" cm="1">
        <f t="array" ref="G490">IF(B490&gt;0,'Direct Costs 2026'!$C$25,"N/A")</f>
        <v>90000</v>
      </c>
      <c r="H490" s="423" cm="1">
        <f t="array" ref="H490">IF(B490&gt;0,'Direct Costs 2026'!$C$15+'Direct Costs 2026'!$C$14,"N/A")</f>
        <v>230000</v>
      </c>
      <c r="I490" s="423">
        <v>0</v>
      </c>
      <c r="J490" s="423">
        <v>0</v>
      </c>
      <c r="K490" s="423" cm="1">
        <f t="array" ref="K490">IF(B490&gt;0,'Direct Costs 2026'!$C$26,"N/A")</f>
        <v>20000</v>
      </c>
      <c r="L490" s="423" cm="1">
        <f t="array" ref="L490">IF(B490&gt;0,'Direct Costs 2026'!$C$23,"N/A")</f>
        <v>140000</v>
      </c>
      <c r="M490" s="423" cm="1">
        <f t="array" ref="M490">IF(B490&gt;0,'Direct Costs 2026'!$C$45*B490,"N/A")</f>
        <v>150000</v>
      </c>
      <c r="N490" t="str" s="431" cm="1">
        <f t="array" ref="N490">IF(B490&gt;0,_xlfn.IFERROR(VLOOKUP(C487,'Boats Data Sheet 2026'!$C$3:$I$57,7,0)*'Direct Costs 2026'!$C$36,"N/A"),"N/A")</f>
        <v>N/A</v>
      </c>
      <c r="O490" t="str" s="431" cm="1">
        <f t="array" ref="O490">IF(B490&gt;0,IF(OR(VLOOKUP(C487,'Boats Data Sheet 2026'!$C$3:$F$57,4,0)="Own",VLOOKUP(C487,'Boats Data Sheet 2026'!$C$3:$F$57,4,0)="Management"),('Direct Costs 2026'!$C$37+'Direct Costs 2026'!$C$39),"N/A"),"N/A")</f>
        <v>N/A</v>
      </c>
      <c r="P490" s="423" cm="1">
        <f t="array" ref="P490">_xlfn.IFERROR('Direct Costs 2026'!$C$27*C490,"N/A")</f>
        <v>310000</v>
      </c>
      <c r="Q490" s="423" cm="1">
        <f t="array" ref="Q490">_xlfn.IFERROR(C490+SUM(E490:P490),"N/A")</f>
        <v>17321500</v>
      </c>
      <c r="R490" s="424"/>
      <c r="S490" s="423" cm="1">
        <f t="array" ref="S490">IF(B490&gt;0,'Allocation OH and Target 2026'!$E$31,"N/A")</f>
        <v>3100447.15769812</v>
      </c>
      <c r="T490" s="423" cm="1">
        <f t="array" ref="T490">IF(B490&gt;0,VLOOKUP(C487,'Allocation OH and Target 2026'!$C$35:$S$87,16,0),"N/A")</f>
        <v>0</v>
      </c>
      <c r="U490" s="423" cm="1">
        <f t="array" ref="U490">_xlfn.IFERROR((S490+T490),"N/A")</f>
        <v>3100447.15769812</v>
      </c>
      <c r="V490" s="424"/>
      <c r="W490" s="423" cm="1">
        <f t="array" ref="W490">_xlfn.IFERROR(U490+Q490,"N/A")</f>
        <v>20421947.1576981</v>
      </c>
      <c r="X490" s="423" cm="1">
        <f t="array" ref="X490">_xlfn.IFERROR(W490*0.5%,"N/A")</f>
        <v>102109.735788491</v>
      </c>
      <c r="Y490" s="423" cm="1">
        <f t="array" ref="Y490">_xlfn.IFERROR(W490*25%,"N/A")</f>
        <v>5105486.78942453</v>
      </c>
      <c r="Z490" s="425" cm="1">
        <f t="array" ref="Z490">IF(B490&gt;0,SUM(W490:Y490),"N/A")</f>
        <v>25629543.6829111</v>
      </c>
      <c r="AA490" s="425">
        <v>0</v>
      </c>
      <c r="AB490" s="424"/>
      <c r="AC490" t="str" s="426" cm="1">
        <f t="array" ref="AC490">IF(B490=6,AVERAGE(Z490:Z495),"N/A")</f>
        <v>N/A</v>
      </c>
      <c r="AD490" s="424"/>
      <c r="AE490" s="423"/>
      <c r="AF490" s="423"/>
      <c r="AG490" s="423"/>
      <c r="AH490" s="423"/>
      <c r="AI490" s="423"/>
      <c r="AJ490" s="423"/>
      <c r="AK490" s="423"/>
      <c r="AL490" s="423"/>
      <c r="AM490" s="423"/>
      <c r="AN490" s="427"/>
    </row>
    <row r="491" ht="15" customHeight="1">
      <c r="A491" s="12"/>
      <c r="B491" s="428" cm="1">
        <f t="array" ref="B491">IF(B490=0,0,IF(B490&lt;VLOOKUP(C487,'Boats Data Sheet 2026'!$C$3:$H$57,6,0),B490+1,0))</f>
        <v>2</v>
      </c>
      <c r="C491" s="423" cm="1">
        <f t="array" ref="C491">IF(B491&gt;0,IF(VLOOKUP(C487,'Boats Data Sheet 2026'!$C$3:$J$57,8,0)="N/A",0,VLOOKUP(C487,'Boats Data Sheet 2026'!$C$3:$J$57,8,0)),"N/A")</f>
        <v>15500000</v>
      </c>
      <c r="D491" s="429" cm="1">
        <f t="array" ref="D491">IF(B491&gt;7,2,IF(B491=0,"N/A",1))</f>
        <v>1</v>
      </c>
      <c r="E491" s="423" cm="1">
        <f t="array" ref="E491">_xlfn.IFERROR(SUM('Direct Costs 2026'!$C$4:$C$5)*D491,"N/A")</f>
        <v>875500</v>
      </c>
      <c r="F491" s="423" cm="1">
        <f t="array" ref="F491">_xlfn.IFERROR('Direct Costs 2026'!$C$43*B491,"N/A")</f>
        <v>12000</v>
      </c>
      <c r="G491" s="423" cm="1">
        <f t="array" ref="G491">IF(B491&gt;0,'Direct Costs 2026'!$C$25,"N/A")</f>
        <v>90000</v>
      </c>
      <c r="H491" s="423" cm="1">
        <f t="array" ref="H491">IF(B491&gt;0,'Direct Costs 2026'!$C$15+'Direct Costs 2026'!$C$14,"N/A")</f>
        <v>230000</v>
      </c>
      <c r="I491" s="423">
        <v>0</v>
      </c>
      <c r="J491" s="423">
        <v>0</v>
      </c>
      <c r="K491" s="423" cm="1">
        <f t="array" ref="K491">IF(B491&gt;0,'Direct Costs 2026'!$C$26,"N/A")</f>
        <v>20000</v>
      </c>
      <c r="L491" s="423" cm="1">
        <f t="array" ref="L491">IF(B491&gt;0,'Direct Costs 2026'!$C$23,"N/A")</f>
        <v>140000</v>
      </c>
      <c r="M491" s="423" cm="1">
        <f t="array" ref="M491">IF(B491&gt;0,'Direct Costs 2026'!$C$45*B491,"N/A")</f>
        <v>300000</v>
      </c>
      <c r="N491" t="str" s="431" cm="1">
        <f t="array" ref="N491">IF(B491&gt;0,_xlfn.IFERROR(VLOOKUP(C487,'Boats Data Sheet 2026'!$C$3:$I$57,7,0)*'Direct Costs 2026'!$C$36,"N/A"),"N/A")</f>
        <v>N/A</v>
      </c>
      <c r="O491" t="str" s="431" cm="1">
        <f t="array" ref="O491">IF(B491&gt;0,IF(OR(VLOOKUP(C487,'Boats Data Sheet 2026'!$C$3:$F$57,4,0)="Own",VLOOKUP(C487,'Boats Data Sheet 2026'!$C$3:$F$57,4,0)="Management"),('Direct Costs 2026'!$C$37+'Direct Costs 2026'!$C$39),"N/A"),"N/A")</f>
        <v>N/A</v>
      </c>
      <c r="P491" s="423" cm="1">
        <f t="array" ref="P491">_xlfn.IFERROR('Direct Costs 2026'!$C$27*C491,"N/A")</f>
        <v>310000</v>
      </c>
      <c r="Q491" s="423" cm="1">
        <f t="array" ref="Q491">_xlfn.IFERROR(C491+SUM(E491:P491),"N/A")</f>
        <v>17477500</v>
      </c>
      <c r="R491" s="424"/>
      <c r="S491" s="423" cm="1">
        <f t="array" ref="S491">IF(B491&gt;0,'Allocation OH and Target 2026'!$E$31,"N/A")</f>
        <v>3100447.15769812</v>
      </c>
      <c r="T491" s="423" cm="1">
        <f t="array" ref="T491">IF(B491&gt;0,VLOOKUP(C487,'Allocation OH and Target 2026'!$C$35:$S$87,16,0),"N/A")</f>
        <v>0</v>
      </c>
      <c r="U491" s="423" cm="1">
        <f t="array" ref="U491">_xlfn.IFERROR((S491+T491),"N/A")</f>
        <v>3100447.15769812</v>
      </c>
      <c r="V491" s="424"/>
      <c r="W491" s="423" cm="1">
        <f t="array" ref="W491">_xlfn.IFERROR(U491+Q491,"N/A")</f>
        <v>20577947.1576981</v>
      </c>
      <c r="X491" s="423" cm="1">
        <f t="array" ref="X491">_xlfn.IFERROR(W491*0.5%,"N/A")</f>
        <v>102889.735788491</v>
      </c>
      <c r="Y491" s="423" cm="1">
        <f t="array" ref="Y491">_xlfn.IFERROR(W491*25%,"N/A")</f>
        <v>5144486.78942453</v>
      </c>
      <c r="Z491" s="425" cm="1">
        <f t="array" ref="Z491">IF(B491&gt;0,SUM(W491:Y491),"N/A")</f>
        <v>25825323.6829111</v>
      </c>
      <c r="AA491" s="425" cm="1">
        <f t="array" ref="AA491">_xlfn.IFERROR((Z491-Z490),"N/A")</f>
        <v>195780</v>
      </c>
      <c r="AB491" s="424"/>
      <c r="AC491" t="str" s="426" cm="1">
        <f t="array" ref="AC491">IF(B491=6,AVERAGE(Z490:Z495),"N/A")</f>
        <v>N/A</v>
      </c>
      <c r="AD491" s="424"/>
      <c r="AE491" s="423"/>
      <c r="AF491" s="423"/>
      <c r="AG491" s="423"/>
      <c r="AH491" s="423"/>
      <c r="AI491" s="423"/>
      <c r="AJ491" s="423"/>
      <c r="AK491" s="423"/>
      <c r="AL491" s="423"/>
      <c r="AM491" s="423"/>
      <c r="AN491" s="427"/>
    </row>
    <row r="492" ht="15" customHeight="1">
      <c r="A492" s="12"/>
      <c r="B492" s="428" cm="1">
        <f t="array" ref="B492">IF(B491=0,0,IF(B491&lt;VLOOKUP(C487,'Boats Data Sheet 2026'!$C$3:$H$57,6,0),B491+1,0))</f>
        <v>3</v>
      </c>
      <c r="C492" s="423" cm="1">
        <f t="array" ref="C492">IF(B492&gt;0,IF(VLOOKUP(C487,'Boats Data Sheet 2026'!$C$3:$J$57,8,0)="N/A",0,VLOOKUP(C487,'Boats Data Sheet 2026'!$C$3:$J$57,8,0)),"N/A")</f>
        <v>15500000</v>
      </c>
      <c r="D492" s="429" cm="1">
        <f t="array" ref="D492">IF(B492&gt;7,2,IF(B492=0,"N/A",1))</f>
        <v>1</v>
      </c>
      <c r="E492" s="423" cm="1">
        <f t="array" ref="E492">_xlfn.IFERROR(SUM('Direct Costs 2026'!$C$4:$C$5)*D492,"N/A")</f>
        <v>875500</v>
      </c>
      <c r="F492" s="423" cm="1">
        <f t="array" ref="F492">_xlfn.IFERROR('Direct Costs 2026'!$C$43*B492,"N/A")</f>
        <v>18000</v>
      </c>
      <c r="G492" s="423" cm="1">
        <f t="array" ref="G492">IF(B492&gt;0,'Direct Costs 2026'!$C$25,"N/A")</f>
        <v>90000</v>
      </c>
      <c r="H492" s="423" cm="1">
        <f t="array" ref="H492">IF(B492&gt;0,'Direct Costs 2026'!$C$15+'Direct Costs 2026'!$C$14,"N/A")</f>
        <v>230000</v>
      </c>
      <c r="I492" s="423">
        <v>0</v>
      </c>
      <c r="J492" s="423">
        <v>0</v>
      </c>
      <c r="K492" s="423" cm="1">
        <f t="array" ref="K492">IF(B492&gt;0,'Direct Costs 2026'!$C$26,"N/A")</f>
        <v>20000</v>
      </c>
      <c r="L492" s="423" cm="1">
        <f t="array" ref="L492">IF(B492&gt;0,'Direct Costs 2026'!$C$23,"N/A")</f>
        <v>140000</v>
      </c>
      <c r="M492" s="423" cm="1">
        <f t="array" ref="M492">IF(B492&gt;0,'Direct Costs 2026'!$C$45*B492,"N/A")</f>
        <v>450000</v>
      </c>
      <c r="N492" t="str" s="431" cm="1">
        <f t="array" ref="N492">IF(B492&gt;0,_xlfn.IFERROR(VLOOKUP(C487,'Boats Data Sheet 2026'!$C$3:$I$57,7,0)*'Direct Costs 2026'!$C$36,"N/A"),"N/A")</f>
        <v>N/A</v>
      </c>
      <c r="O492" t="str" s="431" cm="1">
        <f t="array" ref="O492">IF(B492&gt;0,IF(OR(VLOOKUP(C487,'Boats Data Sheet 2026'!$C$3:$F$57,4,0)="Own",VLOOKUP(C487,'Boats Data Sheet 2026'!$C$3:$F$57,4,0)="Management"),('Direct Costs 2026'!$C$37+'Direct Costs 2026'!$C$39),"N/A"),"N/A")</f>
        <v>N/A</v>
      </c>
      <c r="P492" s="423" cm="1">
        <f t="array" ref="P492">_xlfn.IFERROR('Direct Costs 2026'!$C$27*C492,"N/A")</f>
        <v>310000</v>
      </c>
      <c r="Q492" s="423" cm="1">
        <f t="array" ref="Q492">_xlfn.IFERROR(C492+SUM(E492:P492),"N/A")</f>
        <v>17633500</v>
      </c>
      <c r="R492" s="424"/>
      <c r="S492" s="423" cm="1">
        <f t="array" ref="S492">IF(B492&gt;0,'Allocation OH and Target 2026'!$E$31,"N/A")</f>
        <v>3100447.15769812</v>
      </c>
      <c r="T492" s="423" cm="1">
        <f t="array" ref="T492">IF(B492&gt;0,VLOOKUP(C487,'Allocation OH and Target 2026'!$C$35:$S$87,16,0),"N/A")</f>
        <v>0</v>
      </c>
      <c r="U492" s="423" cm="1">
        <f t="array" ref="U492">_xlfn.IFERROR((S492+T492),"N/A")</f>
        <v>3100447.15769812</v>
      </c>
      <c r="V492" s="424"/>
      <c r="W492" s="423" cm="1">
        <f t="array" ref="W492">_xlfn.IFERROR(U492+Q492,"N/A")</f>
        <v>20733947.1576981</v>
      </c>
      <c r="X492" s="423" cm="1">
        <f t="array" ref="X492">_xlfn.IFERROR(W492*0.5%,"N/A")</f>
        <v>103669.735788491</v>
      </c>
      <c r="Y492" s="423" cm="1">
        <f t="array" ref="Y492">_xlfn.IFERROR(W492*25%,"N/A")</f>
        <v>5183486.78942453</v>
      </c>
      <c r="Z492" s="425" cm="1">
        <f t="array" ref="Z492">IF(B492&gt;0,SUM(W492:Y492),"N/A")</f>
        <v>26021103.6829111</v>
      </c>
      <c r="AA492" s="425" cm="1">
        <f t="array" ref="AA492">_xlfn.IFERROR((Z492-Z491),"N/A")</f>
        <v>195780</v>
      </c>
      <c r="AB492" s="424"/>
      <c r="AC492" t="str" s="426" cm="1">
        <f t="array" ref="AC492">IF(B492=6,AVERAGE(Z490:Z495),"N/A")</f>
        <v>N/A</v>
      </c>
      <c r="AD492" s="424"/>
      <c r="AE492" s="423"/>
      <c r="AF492" s="423"/>
      <c r="AG492" s="423"/>
      <c r="AH492" s="423"/>
      <c r="AI492" s="423"/>
      <c r="AJ492" s="423"/>
      <c r="AK492" s="423"/>
      <c r="AL492" s="423"/>
      <c r="AM492" s="423"/>
      <c r="AN492" s="427"/>
    </row>
    <row r="493" ht="15" customHeight="1">
      <c r="A493" s="12"/>
      <c r="B493" s="428" cm="1">
        <f t="array" ref="B493">IF(B492=0,0,IF(B492&lt;VLOOKUP(C487,'Boats Data Sheet 2026'!$C$3:$H$57,6,0),B492+1,0))</f>
        <v>4</v>
      </c>
      <c r="C493" s="423" cm="1">
        <f t="array" ref="C493">IF(B493&gt;0,IF(VLOOKUP(C487,'Boats Data Sheet 2026'!$C$3:$J$57,8,0)="N/A",0,VLOOKUP(C487,'Boats Data Sheet 2026'!$C$3:$J$57,8,0)),"N/A")</f>
        <v>15500000</v>
      </c>
      <c r="D493" s="429" cm="1">
        <f t="array" ref="D493">IF(B493&gt;7,2,IF(B493=0,"N/A",1))</f>
        <v>1</v>
      </c>
      <c r="E493" s="423" cm="1">
        <f t="array" ref="E493">_xlfn.IFERROR(SUM('Direct Costs 2026'!$C$4:$C$5)*D493,"N/A")</f>
        <v>875500</v>
      </c>
      <c r="F493" s="423" cm="1">
        <f t="array" ref="F493">_xlfn.IFERROR('Direct Costs 2026'!$C$43*B493,"N/A")</f>
        <v>24000</v>
      </c>
      <c r="G493" s="423" cm="1">
        <f t="array" ref="G493">IF(B493&gt;0,'Direct Costs 2026'!$C$25,"N/A")</f>
        <v>90000</v>
      </c>
      <c r="H493" s="423" cm="1">
        <f t="array" ref="H493">IF(B493&gt;0,'Direct Costs 2026'!$C$15+'Direct Costs 2026'!$C$14,"N/A")</f>
        <v>230000</v>
      </c>
      <c r="I493" s="423">
        <v>0</v>
      </c>
      <c r="J493" s="423">
        <v>0</v>
      </c>
      <c r="K493" s="423" cm="1">
        <f t="array" ref="K493">IF(B493&gt;0,'Direct Costs 2026'!$C$26,"N/A")</f>
        <v>20000</v>
      </c>
      <c r="L493" s="423" cm="1">
        <f t="array" ref="L493">IF(B493&gt;0,'Direct Costs 2026'!$C$23,"N/A")</f>
        <v>140000</v>
      </c>
      <c r="M493" s="423" cm="1">
        <f t="array" ref="M493">IF(B493&gt;0,'Direct Costs 2026'!$C$45*B493,"N/A")</f>
        <v>600000</v>
      </c>
      <c r="N493" t="str" s="431" cm="1">
        <f t="array" ref="N493">IF(B493&gt;0,_xlfn.IFERROR(VLOOKUP(C487,'Boats Data Sheet 2026'!$C$3:$I$57,7,0)*'Direct Costs 2026'!$C$36,"N/A"),"N/A")</f>
        <v>N/A</v>
      </c>
      <c r="O493" t="str" s="431" cm="1">
        <f t="array" ref="O493">IF(B493&gt;0,IF(OR(VLOOKUP(C487,'Boats Data Sheet 2026'!$C$3:$F$57,4,0)="Own",VLOOKUP(C487,'Boats Data Sheet 2026'!$C$3:$F$57,4,0)="Management"),('Direct Costs 2026'!$C$37+'Direct Costs 2026'!$C$39),"N/A"),"N/A")</f>
        <v>N/A</v>
      </c>
      <c r="P493" s="423" cm="1">
        <f t="array" ref="P493">_xlfn.IFERROR('Direct Costs 2026'!$C$27*C493,"N/A")</f>
        <v>310000</v>
      </c>
      <c r="Q493" s="423" cm="1">
        <f t="array" ref="Q493">_xlfn.IFERROR(C493+SUM(E493:P493),"N/A")</f>
        <v>17789500</v>
      </c>
      <c r="R493" s="424"/>
      <c r="S493" s="423" cm="1">
        <f t="array" ref="S493">IF(B493&gt;0,'Allocation OH and Target 2026'!$E$31,"N/A")</f>
        <v>3100447.15769812</v>
      </c>
      <c r="T493" s="423" cm="1">
        <f t="array" ref="T493">IF(B493&gt;0,VLOOKUP(C487,'Allocation OH and Target 2026'!$C$35:$S$87,16,0),"N/A")</f>
        <v>0</v>
      </c>
      <c r="U493" s="423" cm="1">
        <f t="array" ref="U493">_xlfn.IFERROR((S493+T493),"N/A")</f>
        <v>3100447.15769812</v>
      </c>
      <c r="V493" s="424"/>
      <c r="W493" s="423" cm="1">
        <f t="array" ref="W493">_xlfn.IFERROR(U493+Q493,"N/A")</f>
        <v>20889947.1576981</v>
      </c>
      <c r="X493" s="423" cm="1">
        <f t="array" ref="X493">_xlfn.IFERROR(W493*0.5%,"N/A")</f>
        <v>104449.735788491</v>
      </c>
      <c r="Y493" s="423" cm="1">
        <f t="array" ref="Y493">_xlfn.IFERROR(W493*25%,"N/A")</f>
        <v>5222486.78942453</v>
      </c>
      <c r="Z493" s="425" cm="1">
        <f t="array" ref="Z493">IF(B493&gt;0,SUM(W493:Y493),"N/A")</f>
        <v>26216883.6829111</v>
      </c>
      <c r="AA493" s="425" cm="1">
        <f t="array" ref="AA493">_xlfn.IFERROR((Z493-Z492),"N/A")</f>
        <v>195780</v>
      </c>
      <c r="AB493" s="424"/>
      <c r="AC493" t="str" s="426" cm="1">
        <f t="array" ref="AC493">IF(B493=6,AVERAGE(Z490:Z495),"N/A")</f>
        <v>N/A</v>
      </c>
      <c r="AD493" s="424"/>
      <c r="AE493" s="423"/>
      <c r="AF493" s="423"/>
      <c r="AG493" s="423"/>
      <c r="AH493" s="423"/>
      <c r="AI493" s="423"/>
      <c r="AJ493" s="423"/>
      <c r="AK493" s="423"/>
      <c r="AL493" s="423"/>
      <c r="AM493" s="423"/>
      <c r="AN493" s="427"/>
    </row>
    <row r="494" ht="15" customHeight="1">
      <c r="A494" s="12"/>
      <c r="B494" s="428" cm="1">
        <f t="array" ref="B494">IF(B493=0,0,IF(B493&lt;VLOOKUP(C487,'Boats Data Sheet 2026'!$C$3:$H$57,6,0),B493+1,0))</f>
        <v>5</v>
      </c>
      <c r="C494" s="423" cm="1">
        <f t="array" ref="C494">IF(B494&gt;0,IF(VLOOKUP(C487,'Boats Data Sheet 2026'!$C$3:$J$57,8,0)="N/A",0,VLOOKUP(C487,'Boats Data Sheet 2026'!$C$3:$J$57,8,0)),"N/A")</f>
        <v>15500000</v>
      </c>
      <c r="D494" s="429" cm="1">
        <f t="array" ref="D494">IF(B494&gt;7,2,IF(B494=0,"N/A",1))</f>
        <v>1</v>
      </c>
      <c r="E494" s="423" cm="1">
        <f t="array" ref="E494">_xlfn.IFERROR(SUM('Direct Costs 2026'!$C$4:$C$5)*D494,"N/A")</f>
        <v>875500</v>
      </c>
      <c r="F494" s="423" cm="1">
        <f t="array" ref="F494">_xlfn.IFERROR('Direct Costs 2026'!$C$43*B494,"N/A")</f>
        <v>30000</v>
      </c>
      <c r="G494" s="423" cm="1">
        <f t="array" ref="G494">IF(B494&gt;0,'Direct Costs 2026'!$C$25,"N/A")</f>
        <v>90000</v>
      </c>
      <c r="H494" s="423" cm="1">
        <f t="array" ref="H494">IF(B494&gt;0,'Direct Costs 2026'!$C$15+'Direct Costs 2026'!$C$14,"N/A")</f>
        <v>230000</v>
      </c>
      <c r="I494" s="423">
        <v>0</v>
      </c>
      <c r="J494" s="423">
        <v>0</v>
      </c>
      <c r="K494" s="423" cm="1">
        <f t="array" ref="K494">IF(B494&gt;0,'Direct Costs 2026'!$C$26,"N/A")</f>
        <v>20000</v>
      </c>
      <c r="L494" s="423" cm="1">
        <f t="array" ref="L494">IF(B494&gt;0,'Direct Costs 2026'!$C$23,"N/A")</f>
        <v>140000</v>
      </c>
      <c r="M494" s="423" cm="1">
        <f t="array" ref="M494">IF(B494&gt;0,'Direct Costs 2026'!$C$45*B494,"N/A")</f>
        <v>750000</v>
      </c>
      <c r="N494" t="str" s="431" cm="1">
        <f t="array" ref="N494">IF(B494&gt;0,_xlfn.IFERROR(VLOOKUP(C487,'Boats Data Sheet 2026'!$C$3:$I$57,7,0)*'Direct Costs 2026'!$C$36,"N/A"),"N/A")</f>
        <v>N/A</v>
      </c>
      <c r="O494" t="str" s="431" cm="1">
        <f t="array" ref="O494">IF(B494&gt;0,IF(OR(VLOOKUP(C487,'Boats Data Sheet 2026'!$C$3:$F$57,4,0)="Own",VLOOKUP(C487,'Boats Data Sheet 2026'!$C$3:$F$57,4,0)="Management"),('Direct Costs 2026'!$C$37+'Direct Costs 2026'!$C$39),"N/A"),"N/A")</f>
        <v>N/A</v>
      </c>
      <c r="P494" s="423" cm="1">
        <f t="array" ref="P494">_xlfn.IFERROR('Direct Costs 2026'!$C$27*C494,"N/A")</f>
        <v>310000</v>
      </c>
      <c r="Q494" s="423" cm="1">
        <f t="array" ref="Q494">_xlfn.IFERROR(C494+SUM(E494:P494),"N/A")</f>
        <v>17945500</v>
      </c>
      <c r="R494" s="424"/>
      <c r="S494" s="423" cm="1">
        <f t="array" ref="S494">IF(B494&gt;0,'Allocation OH and Target 2026'!$E$31,"N/A")</f>
        <v>3100447.15769812</v>
      </c>
      <c r="T494" s="423" cm="1">
        <f t="array" ref="T494">IF(B494&gt;0,VLOOKUP(C487,'Allocation OH and Target 2026'!$C$35:$S$87,16,0),"N/A")</f>
        <v>0</v>
      </c>
      <c r="U494" s="423" cm="1">
        <f t="array" ref="U494">_xlfn.IFERROR((S494+T494),"N/A")</f>
        <v>3100447.15769812</v>
      </c>
      <c r="V494" s="424"/>
      <c r="W494" s="423" cm="1">
        <f t="array" ref="W494">_xlfn.IFERROR(U494+Q494,"N/A")</f>
        <v>21045947.1576981</v>
      </c>
      <c r="X494" s="423" cm="1">
        <f t="array" ref="X494">_xlfn.IFERROR(W494*0.5%,"N/A")</f>
        <v>105229.735788491</v>
      </c>
      <c r="Y494" s="423" cm="1">
        <f t="array" ref="Y494">_xlfn.IFERROR(W494*25%,"N/A")</f>
        <v>5261486.78942453</v>
      </c>
      <c r="Z494" s="425" cm="1">
        <f t="array" ref="Z494">IF(B494&gt;0,SUM(W494:Y494),"N/A")</f>
        <v>26412663.6829111</v>
      </c>
      <c r="AA494" s="425" cm="1">
        <f t="array" ref="AA494">_xlfn.IFERROR((Z494-Z493),"N/A")</f>
        <v>195780</v>
      </c>
      <c r="AB494" s="424"/>
      <c r="AC494" t="str" s="426" cm="1">
        <f t="array" ref="AC494">IF(B494=6,AVERAGE(Z490:Z495),"N/A")</f>
        <v>N/A</v>
      </c>
      <c r="AD494" s="424"/>
      <c r="AE494" s="423"/>
      <c r="AF494" s="423"/>
      <c r="AG494" s="423"/>
      <c r="AH494" s="423"/>
      <c r="AI494" s="423"/>
      <c r="AJ494" s="423"/>
      <c r="AK494" s="423"/>
      <c r="AL494" s="423"/>
      <c r="AM494" s="423"/>
      <c r="AN494" s="427"/>
    </row>
    <row r="495" ht="15" customHeight="1">
      <c r="A495" s="12"/>
      <c r="B495" s="428" cm="1">
        <f t="array" ref="B495">IF(B494=0,0,IF(B494&lt;VLOOKUP(C487,'Boats Data Sheet 2026'!$C$3:$H$57,6,0),B494+1,0))</f>
        <v>6</v>
      </c>
      <c r="C495" s="423" cm="1">
        <f t="array" ref="C495">IF(B495&gt;0,IF(VLOOKUP(C487,'Boats Data Sheet 2026'!$C$3:$J$57,8,0)="N/A",0,VLOOKUP(C487,'Boats Data Sheet 2026'!$C$3:$J$57,8,0)),"N/A")</f>
        <v>15500000</v>
      </c>
      <c r="D495" s="429" cm="1">
        <f t="array" ref="D495">IF(B495&gt;7,2,IF(B495=0,"N/A",1))</f>
        <v>1</v>
      </c>
      <c r="E495" s="423" cm="1">
        <f t="array" ref="E495">_xlfn.IFERROR(SUM('Direct Costs 2026'!$C$4:$C$5)*D495,"N/A")</f>
        <v>875500</v>
      </c>
      <c r="F495" s="423" cm="1">
        <f t="array" ref="F495">_xlfn.IFERROR('Direct Costs 2026'!$C$43*B495,"N/A")</f>
        <v>36000</v>
      </c>
      <c r="G495" s="423" cm="1">
        <f t="array" ref="G495">IF(B495&gt;0,'Direct Costs 2026'!$C$25,"N/A")</f>
        <v>90000</v>
      </c>
      <c r="H495" s="423" cm="1">
        <f t="array" ref="H495">IF(B495&gt;0,'Direct Costs 2026'!$C$15+'Direct Costs 2026'!$C$14,"N/A")</f>
        <v>230000</v>
      </c>
      <c r="I495" s="423">
        <v>0</v>
      </c>
      <c r="J495" s="423">
        <v>0</v>
      </c>
      <c r="K495" s="423" cm="1">
        <f t="array" ref="K495">IF(B495&gt;0,'Direct Costs 2026'!$C$26,"N/A")</f>
        <v>20000</v>
      </c>
      <c r="L495" s="423" cm="1">
        <f t="array" ref="L495">IF(B495&gt;0,'Direct Costs 2026'!$C$23,"N/A")</f>
        <v>140000</v>
      </c>
      <c r="M495" s="423" cm="1">
        <f t="array" ref="M495">IF(B495&gt;0,'Direct Costs 2026'!$C$45*B495,"N/A")</f>
        <v>900000</v>
      </c>
      <c r="N495" t="str" s="431" cm="1">
        <f t="array" ref="N495">IF(B495&gt;0,_xlfn.IFERROR(VLOOKUP(C487,'Boats Data Sheet 2026'!$C$3:$I$57,7,0)*'Direct Costs 2026'!$C$36,"N/A"),"N/A")</f>
        <v>N/A</v>
      </c>
      <c r="O495" t="str" s="431" cm="1">
        <f t="array" ref="O495">IF(B495&gt;0,IF(OR(VLOOKUP(C487,'Boats Data Sheet 2026'!$C$3:$F$57,4,0)="Own",VLOOKUP(C487,'Boats Data Sheet 2026'!$C$3:$F$57,4,0)="Management"),('Direct Costs 2026'!$C$37+'Direct Costs 2026'!$C$39),"N/A"),"N/A")</f>
        <v>N/A</v>
      </c>
      <c r="P495" s="423" cm="1">
        <f t="array" ref="P495">_xlfn.IFERROR('Direct Costs 2026'!$C$27*C495,"N/A")</f>
        <v>310000</v>
      </c>
      <c r="Q495" s="423" cm="1">
        <f t="array" ref="Q495">_xlfn.IFERROR(C495+SUM(E495:P495),"N/A")</f>
        <v>18101500</v>
      </c>
      <c r="R495" s="424"/>
      <c r="S495" s="423" cm="1">
        <f t="array" ref="S495">IF(B495&gt;0,'Allocation OH and Target 2026'!$E$31,"N/A")</f>
        <v>3100447.15769812</v>
      </c>
      <c r="T495" s="423" cm="1">
        <f t="array" ref="T495">IF(B495&gt;0,VLOOKUP(C487,'Allocation OH and Target 2026'!$C$35:$S$87,16,0),"N/A")</f>
        <v>0</v>
      </c>
      <c r="U495" s="423" cm="1">
        <f t="array" ref="U495">_xlfn.IFERROR((S495+T495),"N/A")</f>
        <v>3100447.15769812</v>
      </c>
      <c r="V495" s="424"/>
      <c r="W495" s="423" cm="1">
        <f t="array" ref="W495">_xlfn.IFERROR(U495+Q495,"N/A")</f>
        <v>21201947.1576981</v>
      </c>
      <c r="X495" s="423" cm="1">
        <f t="array" ref="X495">_xlfn.IFERROR(W495*0.5%,"N/A")</f>
        <v>106009.735788491</v>
      </c>
      <c r="Y495" s="423" cm="1">
        <f t="array" ref="Y495">_xlfn.IFERROR(W495*25%,"N/A")</f>
        <v>5300486.78942453</v>
      </c>
      <c r="Z495" s="425" cm="1">
        <f t="array" ref="Z495">IF(B495&gt;0,SUM(W495:Y495),"N/A")</f>
        <v>26608443.6829111</v>
      </c>
      <c r="AA495" s="425" cm="1">
        <f t="array" ref="AA495">_xlfn.IFERROR((Z495-Z494),"N/A")</f>
        <v>195780</v>
      </c>
      <c r="AB495" s="424"/>
      <c r="AC495" s="425" cm="1">
        <f t="array" ref="AC495">IF(B495=6,AVERAGE(Z490:Z495),"N/A")</f>
        <v>26118993.6829111</v>
      </c>
      <c r="AD495" s="424"/>
      <c r="AE495" s="423"/>
      <c r="AF495" s="423"/>
      <c r="AG495" s="423"/>
      <c r="AH495" s="423"/>
      <c r="AI495" s="423"/>
      <c r="AJ495" s="423"/>
      <c r="AK495" s="423"/>
      <c r="AL495" s="423"/>
      <c r="AM495" s="423"/>
      <c r="AN495" s="427"/>
    </row>
    <row r="496" ht="15" customHeight="1">
      <c r="A496" s="12"/>
      <c r="B496" s="428" cm="1">
        <f t="array" ref="B496">IF(B495=0,0,IF(B495&lt;VLOOKUP(C487,'Boats Data Sheet 2026'!$C$3:$H$57,6,0),B495+1,0))</f>
        <v>7</v>
      </c>
      <c r="C496" s="423" cm="1">
        <f t="array" ref="C496">IF(B496&gt;0,IF(VLOOKUP(C487,'Boats Data Sheet 2026'!$C$3:$J$57,8,0)="N/A",0,VLOOKUP(C487,'Boats Data Sheet 2026'!$C$3:$J$57,8,0)),"N/A")</f>
        <v>15500000</v>
      </c>
      <c r="D496" s="429" cm="1">
        <f t="array" ref="D496">IF(B496&gt;7,2,IF(B496=0,"N/A",1))</f>
        <v>1</v>
      </c>
      <c r="E496" s="423" cm="1">
        <f t="array" ref="E496">_xlfn.IFERROR(SUM('Direct Costs 2026'!$C$4:$C$5)*D496,"N/A")</f>
        <v>875500</v>
      </c>
      <c r="F496" s="423" cm="1">
        <f t="array" ref="F496">_xlfn.IFERROR('Direct Costs 2026'!$C$43*B496,"N/A")</f>
        <v>42000</v>
      </c>
      <c r="G496" s="423" cm="1">
        <f t="array" ref="G496">IF(B496&gt;0,'Direct Costs 2026'!$C$25,"N/A")</f>
        <v>90000</v>
      </c>
      <c r="H496" s="423" cm="1">
        <f t="array" ref="H496">IF(B496&gt;0,'Direct Costs 2026'!$C$15+'Direct Costs 2026'!$C$14,"N/A")</f>
        <v>230000</v>
      </c>
      <c r="I496" s="423">
        <v>0</v>
      </c>
      <c r="J496" s="423">
        <v>0</v>
      </c>
      <c r="K496" s="423" cm="1">
        <f t="array" ref="K496">IF(B496&gt;0,'Direct Costs 2026'!$C$26,"N/A")</f>
        <v>20000</v>
      </c>
      <c r="L496" s="423" cm="1">
        <f t="array" ref="L496">IF(B496&gt;0,'Direct Costs 2026'!$C$23,"N/A")</f>
        <v>140000</v>
      </c>
      <c r="M496" s="423" cm="1">
        <f t="array" ref="M496">IF(B496&gt;0,'Direct Costs 2026'!$C$45*B496,"N/A")</f>
        <v>1050000</v>
      </c>
      <c r="N496" t="str" s="431" cm="1">
        <f t="array" ref="N496">IF(B496&gt;0,_xlfn.IFERROR(VLOOKUP(C487,'Boats Data Sheet 2026'!$C$3:$I$57,7,0)*'Direct Costs 2026'!$C$36,"N/A"),"N/A")</f>
        <v>N/A</v>
      </c>
      <c r="O496" t="str" s="431" cm="1">
        <f t="array" ref="O496">IF(B496&gt;0,IF(OR(VLOOKUP(C487,'Boats Data Sheet 2026'!$C$3:$F$57,4,0)="Own",VLOOKUP(C487,'Boats Data Sheet 2026'!$C$3:$F$57,4,0)="Management"),('Direct Costs 2026'!$C$37+'Direct Costs 2026'!$C$39),"N/A"),"N/A")</f>
        <v>N/A</v>
      </c>
      <c r="P496" s="423" cm="1">
        <f t="array" ref="P496">_xlfn.IFERROR('Direct Costs 2026'!$C$27*C496,"N/A")</f>
        <v>310000</v>
      </c>
      <c r="Q496" s="423" cm="1">
        <f t="array" ref="Q496">_xlfn.IFERROR(C496+SUM(E496:P496),"N/A")</f>
        <v>18257500</v>
      </c>
      <c r="R496" s="424"/>
      <c r="S496" s="423" cm="1">
        <f t="array" ref="S496">IF(B496&gt;0,'Allocation OH and Target 2026'!$E$31,"N/A")</f>
        <v>3100447.15769812</v>
      </c>
      <c r="T496" s="423" cm="1">
        <f t="array" ref="T496">IF(B496&gt;0,VLOOKUP(C487,'Allocation OH and Target 2026'!$C$35:$S$87,16,0),"N/A")</f>
        <v>0</v>
      </c>
      <c r="U496" s="423" cm="1">
        <f t="array" ref="U496">_xlfn.IFERROR((S496+T496),"N/A")</f>
        <v>3100447.15769812</v>
      </c>
      <c r="V496" s="424"/>
      <c r="W496" s="423" cm="1">
        <f t="array" ref="W496">_xlfn.IFERROR(U496+Q496,"N/A")</f>
        <v>21357947.1576981</v>
      </c>
      <c r="X496" s="423" cm="1">
        <f t="array" ref="X496">_xlfn.IFERROR(W496*0.5%,"N/A")</f>
        <v>106789.735788491</v>
      </c>
      <c r="Y496" s="423" cm="1">
        <f t="array" ref="Y496">_xlfn.IFERROR(W496*25%,"N/A")</f>
        <v>5339486.78942453</v>
      </c>
      <c r="Z496" s="425" cm="1">
        <f t="array" ref="Z496">IF(B496&gt;0,SUM(W496:Y496),"N/A")</f>
        <v>26804223.6829111</v>
      </c>
      <c r="AA496" s="425" cm="1">
        <f t="array" ref="AA496">_xlfn.IFERROR((Z496-Z495),"N/A")</f>
        <v>195780</v>
      </c>
      <c r="AB496" s="424"/>
      <c r="AC496" t="str" s="426" cm="1">
        <f t="array" ref="AC496">IF(B496=6,AVERAGE(Z490:Z495),"N/A")</f>
        <v>N/A</v>
      </c>
      <c r="AD496" s="424"/>
      <c r="AE496" s="423"/>
      <c r="AF496" s="423"/>
      <c r="AG496" s="423"/>
      <c r="AH496" s="423"/>
      <c r="AI496" s="423"/>
      <c r="AJ496" s="423"/>
      <c r="AK496" s="423"/>
      <c r="AL496" s="423"/>
      <c r="AM496" s="423"/>
      <c r="AN496" s="427"/>
    </row>
    <row r="497" ht="15" customHeight="1">
      <c r="A497" s="12"/>
      <c r="B497" s="428" cm="1">
        <f t="array" ref="B497">IF(B496=0,0,IF(B496&lt;VLOOKUP(C487,'Boats Data Sheet 2026'!$C$3:$H$57,6,0),B496+1,0))</f>
        <v>8</v>
      </c>
      <c r="C497" s="423" cm="1">
        <f t="array" ref="C497">IF(B497&gt;0,IF(VLOOKUP(C487,'Boats Data Sheet 2026'!$C$3:$J$57,8,0)="N/A",0,VLOOKUP(C487,'Boats Data Sheet 2026'!$C$3:$J$57,8,0)),"N/A")</f>
        <v>15500000</v>
      </c>
      <c r="D497" s="429" cm="1">
        <f t="array" ref="D497">IF(B497&gt;7,2,IF(B497=0,"N/A",1))</f>
        <v>2</v>
      </c>
      <c r="E497" s="423" cm="1">
        <f t="array" ref="E497">_xlfn.IFERROR(SUM('Direct Costs 2026'!$C$4:$C$5)*D497,"N/A")</f>
        <v>1751000</v>
      </c>
      <c r="F497" s="423" cm="1">
        <f t="array" ref="F497">_xlfn.IFERROR('Direct Costs 2026'!$C$43*B497,"N/A")</f>
        <v>48000</v>
      </c>
      <c r="G497" s="423" cm="1">
        <f t="array" ref="G497">IF(B497&gt;0,'Direct Costs 2026'!$C$25,"N/A")</f>
        <v>90000</v>
      </c>
      <c r="H497" s="423" cm="1">
        <f t="array" ref="H497">IF(B497&gt;0,'Direct Costs 2026'!$C$15+'Direct Costs 2026'!$C$14,"N/A")</f>
        <v>230000</v>
      </c>
      <c r="I497" s="423">
        <v>0</v>
      </c>
      <c r="J497" s="423">
        <v>0</v>
      </c>
      <c r="K497" s="423" cm="1">
        <f t="array" ref="K497">IF(B497&gt;0,'Direct Costs 2026'!$C$26,"N/A")</f>
        <v>20000</v>
      </c>
      <c r="L497" s="423" cm="1">
        <f t="array" ref="L497">IF(B497&gt;0,'Direct Costs 2026'!$C$23,"N/A")</f>
        <v>140000</v>
      </c>
      <c r="M497" s="423" cm="1">
        <f t="array" ref="M497">IF(B497&gt;0,'Direct Costs 2026'!$C$45*B497,"N/A")</f>
        <v>1200000</v>
      </c>
      <c r="N497" t="str" s="431" cm="1">
        <f t="array" ref="N497">IF(B497&gt;0,_xlfn.IFERROR(VLOOKUP(C487,'Boats Data Sheet 2026'!$C$3:$I$57,7,0)*'Direct Costs 2026'!$C$36,"N/A"),"N/A")</f>
        <v>N/A</v>
      </c>
      <c r="O497" t="str" s="431" cm="1">
        <f t="array" ref="O497">IF(B497&gt;0,IF(OR(VLOOKUP(C487,'Boats Data Sheet 2026'!$C$3:$F$57,4,0)="Own",VLOOKUP(C487,'Boats Data Sheet 2026'!$C$3:$F$57,4,0)="Management"),('Direct Costs 2026'!$C$37+'Direct Costs 2026'!$C$39),"N/A"),"N/A")</f>
        <v>N/A</v>
      </c>
      <c r="P497" s="423" cm="1">
        <f t="array" ref="P497">_xlfn.IFERROR('Direct Costs 2026'!$C$27*C497,"N/A")</f>
        <v>310000</v>
      </c>
      <c r="Q497" s="423" cm="1">
        <f t="array" ref="Q497">_xlfn.IFERROR(C497+SUM(E497:P497),"N/A")</f>
        <v>19289000</v>
      </c>
      <c r="R497" s="424"/>
      <c r="S497" s="423" cm="1">
        <f t="array" ref="S497">IF(B497&gt;0,'Allocation OH and Target 2026'!$E$31,"N/A")</f>
        <v>3100447.15769812</v>
      </c>
      <c r="T497" s="423" cm="1">
        <f t="array" ref="T497">IF(B497&gt;0,VLOOKUP(C487,'Allocation OH and Target 2026'!$C$35:$S$87,16,0),"N/A")</f>
        <v>0</v>
      </c>
      <c r="U497" s="423" cm="1">
        <f t="array" ref="U497">_xlfn.IFERROR((S497+T497),"N/A")</f>
        <v>3100447.15769812</v>
      </c>
      <c r="V497" s="424"/>
      <c r="W497" s="423" cm="1">
        <f t="array" ref="W497">_xlfn.IFERROR(U497+Q497,"N/A")</f>
        <v>22389447.1576981</v>
      </c>
      <c r="X497" s="423" cm="1">
        <f t="array" ref="X497">_xlfn.IFERROR(W497*0.5%,"N/A")</f>
        <v>111947.235788491</v>
      </c>
      <c r="Y497" s="423" cm="1">
        <f t="array" ref="Y497">_xlfn.IFERROR(W497*25%,"N/A")</f>
        <v>5597361.78942453</v>
      </c>
      <c r="Z497" s="425" cm="1">
        <f t="array" ref="Z497">IF(B497&gt;0,SUM(W497:Y497),"N/A")</f>
        <v>28098756.1829111</v>
      </c>
      <c r="AA497" s="425" cm="1">
        <f t="array" ref="AA497">_xlfn.IFERROR((Z497-Z496),"N/A")</f>
        <v>1294532.5</v>
      </c>
      <c r="AB497" s="424"/>
      <c r="AC497" t="str" s="426" cm="1">
        <f t="array" ref="AC497">IF(B497=6,AVERAGE(Z490:Z495),"N/A")</f>
        <v>N/A</v>
      </c>
      <c r="AD497" s="424"/>
      <c r="AE497" s="423"/>
      <c r="AF497" s="423"/>
      <c r="AG497" s="423"/>
      <c r="AH497" s="423"/>
      <c r="AI497" s="423"/>
      <c r="AJ497" s="423"/>
      <c r="AK497" s="423"/>
      <c r="AL497" s="423"/>
      <c r="AM497" s="423"/>
      <c r="AN497" s="427"/>
    </row>
    <row r="498" ht="15" customHeight="1">
      <c r="A498" s="12"/>
      <c r="B498" s="428" cm="1">
        <f t="array" ref="B498">IF(B497=0,0,IF(B497&lt;VLOOKUP(C487,'Boats Data Sheet 2026'!$C$3:$H$57,6,0),B497+1,0))</f>
        <v>9</v>
      </c>
      <c r="C498" s="423" cm="1">
        <f t="array" ref="C498">IF(B498&gt;0,IF(VLOOKUP(C487,'Boats Data Sheet 2026'!$C$3:$J$57,8,0)="N/A",0,VLOOKUP(C487,'Boats Data Sheet 2026'!$C$3:$J$57,8,0)),"N/A")</f>
        <v>15500000</v>
      </c>
      <c r="D498" s="430" cm="1">
        <f t="array" ref="D498">IF(B498&gt;7,2,IF(B498=0,"N/A",1))</f>
        <v>2</v>
      </c>
      <c r="E498" s="423" cm="1">
        <f t="array" ref="E498">_xlfn.IFERROR(SUM('Direct Costs 2026'!$C$4:$C$5)*D498,"N/A")</f>
        <v>1751000</v>
      </c>
      <c r="F498" s="423" cm="1">
        <f t="array" ref="F498">_xlfn.IFERROR('Direct Costs 2026'!$C$43*B498,"N/A")</f>
        <v>54000</v>
      </c>
      <c r="G498" s="423" cm="1">
        <f t="array" ref="G498">IF(B498&gt;0,'Direct Costs 2026'!$C$25,"N/A")</f>
        <v>90000</v>
      </c>
      <c r="H498" s="423" cm="1">
        <f t="array" ref="H498">IF(B498&gt;0,'Direct Costs 2026'!$C$15+'Direct Costs 2026'!$C$14,"N/A")</f>
        <v>230000</v>
      </c>
      <c r="I498" s="423">
        <v>0</v>
      </c>
      <c r="J498" s="423">
        <v>0</v>
      </c>
      <c r="K498" s="423" cm="1">
        <f t="array" ref="K498">IF(B498&gt;0,'Direct Costs 2026'!$C$26,"N/A")</f>
        <v>20000</v>
      </c>
      <c r="L498" s="423" cm="1">
        <f t="array" ref="L498">IF(B498&gt;0,'Direct Costs 2026'!$C$23,"N/A")</f>
        <v>140000</v>
      </c>
      <c r="M498" s="423" cm="1">
        <f t="array" ref="M498">IF(B498&gt;0,'Direct Costs 2026'!$C$45*B498,"N/A")</f>
        <v>1350000</v>
      </c>
      <c r="N498" t="str" s="431" cm="1">
        <f t="array" ref="N498">IF(B498&gt;0,_xlfn.IFERROR(VLOOKUP(C487,'Boats Data Sheet 2026'!$C$3:$I$57,7,0)*'Direct Costs 2026'!$C$36,"N/A"),"N/A")</f>
        <v>N/A</v>
      </c>
      <c r="O498" t="str" s="431" cm="1">
        <f t="array" ref="O498">IF(B498&gt;0,IF(OR(VLOOKUP(C487,'Boats Data Sheet 2026'!$C$3:$F$57,4,0)="Own",VLOOKUP(C487,'Boats Data Sheet 2026'!$C$3:$F$57,4,0)="Management"),('Direct Costs 2026'!$C$37+'Direct Costs 2026'!$C$39),"N/A"),"N/A")</f>
        <v>N/A</v>
      </c>
      <c r="P498" s="423" cm="1">
        <f t="array" ref="P498">_xlfn.IFERROR('Direct Costs 2026'!$C$27*C498,"N/A")</f>
        <v>310000</v>
      </c>
      <c r="Q498" s="423" cm="1">
        <f t="array" ref="Q498">_xlfn.IFERROR(C498+SUM(E498:P498),"N/A")</f>
        <v>19445000</v>
      </c>
      <c r="R498" s="424"/>
      <c r="S498" s="423" cm="1">
        <f t="array" ref="S498">IF(B498&gt;0,'Allocation OH and Target 2026'!$E$31,"N/A")</f>
        <v>3100447.15769812</v>
      </c>
      <c r="T498" s="423" cm="1">
        <f t="array" ref="T498">IF(B498&gt;0,VLOOKUP(C487,'Allocation OH and Target 2026'!$C$35:$S$87,16,0),"N/A")</f>
        <v>0</v>
      </c>
      <c r="U498" s="423" cm="1">
        <f t="array" ref="U498">_xlfn.IFERROR((S498+T498),"N/A")</f>
        <v>3100447.15769812</v>
      </c>
      <c r="V498" s="424"/>
      <c r="W498" s="423" cm="1">
        <f t="array" ref="W498">_xlfn.IFERROR(U498+Q498,"N/A")</f>
        <v>22545447.1576981</v>
      </c>
      <c r="X498" s="423" cm="1">
        <f t="array" ref="X498">_xlfn.IFERROR(W498*0.5%,"N/A")</f>
        <v>112727.235788491</v>
      </c>
      <c r="Y498" s="423" cm="1">
        <f t="array" ref="Y498">_xlfn.IFERROR(W498*25%,"N/A")</f>
        <v>5636361.78942453</v>
      </c>
      <c r="Z498" s="425" cm="1">
        <f t="array" ref="Z498">IF(B498&gt;0,SUM(W498:Y498),"N/A")</f>
        <v>28294536.1829111</v>
      </c>
      <c r="AA498" s="425" cm="1">
        <f t="array" ref="AA498">_xlfn.IFERROR((Z498-Z497),"N/A")</f>
        <v>195780</v>
      </c>
      <c r="AB498" s="424"/>
      <c r="AC498" t="str" s="426" cm="1">
        <f t="array" ref="AC498">IF(B498=6,AVERAGE(Z490:Z495),"N/A")</f>
        <v>N/A</v>
      </c>
      <c r="AD498" s="424"/>
      <c r="AE498" s="423"/>
      <c r="AF498" s="423"/>
      <c r="AG498" s="423"/>
      <c r="AH498" s="423"/>
      <c r="AI498" s="423"/>
      <c r="AJ498" s="423"/>
      <c r="AK498" s="423"/>
      <c r="AL498" s="423"/>
      <c r="AM498" s="423"/>
      <c r="AN498" s="427"/>
    </row>
    <row r="499" ht="15" customHeight="1">
      <c r="A499" s="12"/>
      <c r="B499" s="428" cm="1">
        <f t="array" ref="B499">IF(B498=0,0,IF(B498&lt;VLOOKUP(C487,'Boats Data Sheet 2026'!$C$3:$H$57,6,0),B498+1,0))</f>
        <v>10</v>
      </c>
      <c r="C499" s="423" cm="1">
        <f t="array" ref="C499">IF(B499&gt;0,IF(VLOOKUP(C487,'Boats Data Sheet 2026'!$C$3:$J$57,8,0)="N/A",0,VLOOKUP(C487,'Boats Data Sheet 2026'!$C$3:$J$57,8,0)),"N/A")</f>
        <v>15500000</v>
      </c>
      <c r="D499" s="430" cm="1">
        <f t="array" ref="D499">IF(B499&gt;7,2,IF(B499=0,"N/A",1))</f>
        <v>2</v>
      </c>
      <c r="E499" s="423" cm="1">
        <f t="array" ref="E499">_xlfn.IFERROR(SUM('Direct Costs 2026'!$C$4:$C$5)*D499,"N/A")</f>
        <v>1751000</v>
      </c>
      <c r="F499" s="423" cm="1">
        <f t="array" ref="F499">_xlfn.IFERROR('Direct Costs 2026'!$C$43*B499,"N/A")</f>
        <v>60000</v>
      </c>
      <c r="G499" s="423" cm="1">
        <f t="array" ref="G499">IF(B499&gt;0,'Direct Costs 2026'!$C$25,"N/A")</f>
        <v>90000</v>
      </c>
      <c r="H499" s="423" cm="1">
        <f t="array" ref="H499">IF(B499&gt;0,'Direct Costs 2026'!$C$15+'Direct Costs 2026'!$C$14,"N/A")</f>
        <v>230000</v>
      </c>
      <c r="I499" s="423">
        <v>0</v>
      </c>
      <c r="J499" s="423">
        <v>0</v>
      </c>
      <c r="K499" s="423" cm="1">
        <f t="array" ref="K499">IF(B499&gt;0,'Direct Costs 2026'!$C$26,"N/A")</f>
        <v>20000</v>
      </c>
      <c r="L499" s="423" cm="1">
        <f t="array" ref="L499">IF(B499&gt;0,'Direct Costs 2026'!$C$23,"N/A")</f>
        <v>140000</v>
      </c>
      <c r="M499" s="423" cm="1">
        <f t="array" ref="M499">IF(B499&gt;0,'Direct Costs 2026'!$C$45*B499,"N/A")</f>
        <v>1500000</v>
      </c>
      <c r="N499" t="str" s="431" cm="1">
        <f t="array" ref="N499">IF(B499&gt;0,_xlfn.IFERROR(VLOOKUP(C487,'Boats Data Sheet 2026'!$C$3:$I$57,7,0)*'Direct Costs 2026'!$C$36,"N/A"),"N/A")</f>
        <v>N/A</v>
      </c>
      <c r="O499" t="str" s="431" cm="1">
        <f t="array" ref="O499">IF(B499&gt;0,IF(OR(VLOOKUP(C487,'Boats Data Sheet 2026'!$C$3:$F$57,4,0)="Own",VLOOKUP(C487,'Boats Data Sheet 2026'!$C$3:$F$57,4,0)="Management"),('Direct Costs 2026'!$C$37+'Direct Costs 2026'!$C$39),"N/A"),"N/A")</f>
        <v>N/A</v>
      </c>
      <c r="P499" s="423" cm="1">
        <f t="array" ref="P499">_xlfn.IFERROR('Direct Costs 2026'!$C$27*C499,"N/A")</f>
        <v>310000</v>
      </c>
      <c r="Q499" s="423" cm="1">
        <f t="array" ref="Q499">_xlfn.IFERROR(C499+SUM(E499:P499),"N/A")</f>
        <v>19601000</v>
      </c>
      <c r="R499" s="424"/>
      <c r="S499" s="423" cm="1">
        <f t="array" ref="S499">IF(B499&gt;0,'Allocation OH and Target 2026'!$E$31,"N/A")</f>
        <v>3100447.15769812</v>
      </c>
      <c r="T499" s="423" cm="1">
        <f t="array" ref="T499">IF(B499&gt;0,VLOOKUP(C487,'Allocation OH and Target 2026'!$C$35:$S$87,16,0),"N/A")</f>
        <v>0</v>
      </c>
      <c r="U499" s="423" cm="1">
        <f t="array" ref="U499">_xlfn.IFERROR((S499+T499),"N/A")</f>
        <v>3100447.15769812</v>
      </c>
      <c r="V499" s="424"/>
      <c r="W499" s="423" cm="1">
        <f t="array" ref="W499">_xlfn.IFERROR(U499+Q499,"N/A")</f>
        <v>22701447.1576981</v>
      </c>
      <c r="X499" s="423" cm="1">
        <f t="array" ref="X499">_xlfn.IFERROR(W499*0.5%,"N/A")</f>
        <v>113507.235788491</v>
      </c>
      <c r="Y499" s="423" cm="1">
        <f t="array" ref="Y499">_xlfn.IFERROR(W499*25%,"N/A")</f>
        <v>5675361.78942453</v>
      </c>
      <c r="Z499" s="425" cm="1">
        <f t="array" ref="Z499">IF(B499&gt;0,SUM(W499:Y499),"N/A")</f>
        <v>28490316.1829111</v>
      </c>
      <c r="AA499" s="425" cm="1">
        <f t="array" ref="AA499">_xlfn.IFERROR((Z499-Z498),"N/A")</f>
        <v>195780</v>
      </c>
      <c r="AB499" s="424"/>
      <c r="AC499" t="str" s="426" cm="1">
        <f t="array" ref="AC499">IF(B499=6,AVERAGE(Z490:Z495),"N/A")</f>
        <v>N/A</v>
      </c>
      <c r="AD499" s="424"/>
      <c r="AE499" s="423"/>
      <c r="AF499" s="423"/>
      <c r="AG499" s="423"/>
      <c r="AH499" s="423"/>
      <c r="AI499" s="423"/>
      <c r="AJ499" s="423"/>
      <c r="AK499" s="423"/>
      <c r="AL499" s="423"/>
      <c r="AM499" s="423"/>
      <c r="AN499" s="427"/>
    </row>
    <row r="500" ht="15" customHeight="1">
      <c r="A500" s="12"/>
      <c r="B500" s="428" cm="1">
        <f t="array" ref="B500">IF(B499=0,0,IF(B499&lt;VLOOKUP(C487,'Boats Data Sheet 2026'!$C$3:$H$57,6,0),B499+1,0))</f>
        <v>11</v>
      </c>
      <c r="C500" s="423" cm="1">
        <f t="array" ref="C500">IF(B500&gt;0,IF(VLOOKUP(C487,'Boats Data Sheet 2026'!$C$3:$J$57,8,0)="N/A",0,VLOOKUP(C487,'Boats Data Sheet 2026'!$C$3:$J$57,8,0)),"N/A")</f>
        <v>15500000</v>
      </c>
      <c r="D500" s="430" cm="1">
        <f t="array" ref="D500">IF(B500&gt;7,2,IF(B500=0,"N/A",1))</f>
        <v>2</v>
      </c>
      <c r="E500" s="423" cm="1">
        <f t="array" ref="E500">_xlfn.IFERROR(SUM('Direct Costs 2026'!$C$4:$C$5)*D500,"N/A")</f>
        <v>1751000</v>
      </c>
      <c r="F500" s="423" cm="1">
        <f t="array" ref="F500">_xlfn.IFERROR('Direct Costs 2026'!$C$43*B500,"N/A")</f>
        <v>66000</v>
      </c>
      <c r="G500" s="423" cm="1">
        <f t="array" ref="G500">IF(B500&gt;0,'Direct Costs 2026'!$C$25,"N/A")</f>
        <v>90000</v>
      </c>
      <c r="H500" s="423" cm="1">
        <f t="array" ref="H500">IF(B500&gt;0,'Direct Costs 2026'!$C$15+'Direct Costs 2026'!$C$14,"N/A")</f>
        <v>230000</v>
      </c>
      <c r="I500" s="423">
        <v>0</v>
      </c>
      <c r="J500" s="423">
        <v>0</v>
      </c>
      <c r="K500" s="423" cm="1">
        <f t="array" ref="K500">IF(B500&gt;0,'Direct Costs 2026'!$C$26,"N/A")</f>
        <v>20000</v>
      </c>
      <c r="L500" s="423" cm="1">
        <f t="array" ref="L500">IF(B500&gt;0,'Direct Costs 2026'!$C$23,"N/A")</f>
        <v>140000</v>
      </c>
      <c r="M500" s="423" cm="1">
        <f t="array" ref="M500">IF(B500&gt;0,'Direct Costs 2026'!$C$45*B500,"N/A")</f>
        <v>1650000</v>
      </c>
      <c r="N500" t="str" s="431" cm="1">
        <f t="array" ref="N500">IF(B500&gt;0,_xlfn.IFERROR(VLOOKUP(C487,'Boats Data Sheet 2026'!$C$3:$I$57,7,0)*'Direct Costs 2026'!$C$36,"N/A"),"N/A")</f>
        <v>N/A</v>
      </c>
      <c r="O500" t="str" s="431" cm="1">
        <f t="array" ref="O500">IF(B500&gt;0,IF(OR(VLOOKUP(C487,'Boats Data Sheet 2026'!$C$3:$F$57,4,0)="Own",VLOOKUP(C487,'Boats Data Sheet 2026'!$C$3:$F$57,4,0)="Management"),('Direct Costs 2026'!$C$37+'Direct Costs 2026'!$C$39),"N/A"),"N/A")</f>
        <v>N/A</v>
      </c>
      <c r="P500" s="423" cm="1">
        <f t="array" ref="P500">_xlfn.IFERROR('Direct Costs 2026'!$C$27*C500,"N/A")</f>
        <v>310000</v>
      </c>
      <c r="Q500" s="423" cm="1">
        <f t="array" ref="Q500">_xlfn.IFERROR(C500+SUM(E500:P500),"N/A")</f>
        <v>19757000</v>
      </c>
      <c r="R500" s="424"/>
      <c r="S500" s="423" cm="1">
        <f t="array" ref="S500">IF(B500&gt;0,'Allocation OH and Target 2026'!$E$31,"N/A")</f>
        <v>3100447.15769812</v>
      </c>
      <c r="T500" s="423" cm="1">
        <f t="array" ref="T500">IF(B500&gt;0,VLOOKUP(C487,'Allocation OH and Target 2026'!$C$35:$S$87,16,0),"N/A")</f>
        <v>0</v>
      </c>
      <c r="U500" s="423" cm="1">
        <f t="array" ref="U500">_xlfn.IFERROR((S500+T500),"N/A")</f>
        <v>3100447.15769812</v>
      </c>
      <c r="V500" s="424"/>
      <c r="W500" s="423" cm="1">
        <f t="array" ref="W500">_xlfn.IFERROR(U500+Q500,"N/A")</f>
        <v>22857447.1576981</v>
      </c>
      <c r="X500" s="423" cm="1">
        <f t="array" ref="X500">_xlfn.IFERROR(W500*0.5%,"N/A")</f>
        <v>114287.235788491</v>
      </c>
      <c r="Y500" s="423" cm="1">
        <f t="array" ref="Y500">_xlfn.IFERROR(W500*25%,"N/A")</f>
        <v>5714361.78942453</v>
      </c>
      <c r="Z500" s="425" cm="1">
        <f t="array" ref="Z500">IF(B500&gt;0,SUM(W500:Y500),"N/A")</f>
        <v>28686096.1829111</v>
      </c>
      <c r="AA500" s="425" cm="1">
        <f t="array" ref="AA500">_xlfn.IFERROR((Z500-Z499),"N/A")</f>
        <v>195780</v>
      </c>
      <c r="AB500" s="424"/>
      <c r="AC500" t="str" s="426" cm="1">
        <f t="array" ref="AC500">IF(B500=6,AVERAGE(Z490:Z495),"N/A")</f>
        <v>N/A</v>
      </c>
      <c r="AD500" s="424"/>
      <c r="AE500" s="423"/>
      <c r="AF500" s="423"/>
      <c r="AG500" s="423"/>
      <c r="AH500" s="423"/>
      <c r="AI500" s="423"/>
      <c r="AJ500" s="423"/>
      <c r="AK500" s="423"/>
      <c r="AL500" s="423"/>
      <c r="AM500" s="423"/>
      <c r="AN500" s="427"/>
    </row>
    <row r="501" ht="15" customHeight="1">
      <c r="A501" s="12"/>
      <c r="B501" s="428" cm="1">
        <f t="array" ref="B501">IF(B500=0,0,IF(B500&lt;VLOOKUP(C487,'Boats Data Sheet 2026'!$C$3:$H$57,6,0),B500+1,0))</f>
        <v>12</v>
      </c>
      <c r="C501" s="423" cm="1">
        <f t="array" ref="C501">IF(B501&gt;0,IF(VLOOKUP(C487,'Boats Data Sheet 2026'!$C$3:$J$57,8,0)="N/A",0,VLOOKUP(C487,'Boats Data Sheet 2026'!$C$3:$J$57,8,0)),"N/A")</f>
        <v>15500000</v>
      </c>
      <c r="D501" s="430" cm="1">
        <f t="array" ref="D501">IF(B501&gt;7,2,IF(B501=0,"N/A",1))</f>
        <v>2</v>
      </c>
      <c r="E501" s="423" cm="1">
        <f t="array" ref="E501">_xlfn.IFERROR(SUM('Direct Costs 2026'!$C$4:$C$5)*D501,"N/A")</f>
        <v>1751000</v>
      </c>
      <c r="F501" s="423" cm="1">
        <f t="array" ref="F501">_xlfn.IFERROR('Direct Costs 2026'!$C$43*B501,"N/A")</f>
        <v>72000</v>
      </c>
      <c r="G501" s="423" cm="1">
        <f t="array" ref="G501">IF(B501&gt;0,'Direct Costs 2026'!$C$25,"N/A")</f>
        <v>90000</v>
      </c>
      <c r="H501" s="423" cm="1">
        <f t="array" ref="H501">IF(B501&gt;0,'Direct Costs 2026'!$C$15+'Direct Costs 2026'!$C$14,"N/A")</f>
        <v>230000</v>
      </c>
      <c r="I501" s="423">
        <v>0</v>
      </c>
      <c r="J501" s="423">
        <v>0</v>
      </c>
      <c r="K501" s="423" cm="1">
        <f t="array" ref="K501">IF(B501&gt;0,'Direct Costs 2026'!$C$26,"N/A")</f>
        <v>20000</v>
      </c>
      <c r="L501" s="423" cm="1">
        <f t="array" ref="L501">IF(B501&gt;0,'Direct Costs 2026'!$C$23,"N/A")</f>
        <v>140000</v>
      </c>
      <c r="M501" s="423" cm="1">
        <f t="array" ref="M501">IF(B501&gt;0,'Direct Costs 2026'!$C$45*B501,"N/A")</f>
        <v>1800000</v>
      </c>
      <c r="N501" t="str" s="431" cm="1">
        <f t="array" ref="N501">IF(B501&gt;0,_xlfn.IFERROR(VLOOKUP(C487,'Boats Data Sheet 2026'!$C$3:$I$57,7,0)*'Direct Costs 2026'!$C$36,"N/A"),"N/A")</f>
        <v>N/A</v>
      </c>
      <c r="O501" t="str" s="431" cm="1">
        <f t="array" ref="O501">IF(B501&gt;0,IF(OR(VLOOKUP(C487,'Boats Data Sheet 2026'!$C$3:$F$57,4,0)="Own",VLOOKUP(C487,'Boats Data Sheet 2026'!$C$3:$F$57,4,0)="Management"),('Direct Costs 2026'!$C$37+'Direct Costs 2026'!$C$39),"N/A"),"N/A")</f>
        <v>N/A</v>
      </c>
      <c r="P501" s="423" cm="1">
        <f t="array" ref="P501">_xlfn.IFERROR('Direct Costs 2026'!$C$27*C501,"N/A")</f>
        <v>310000</v>
      </c>
      <c r="Q501" s="423" cm="1">
        <f t="array" ref="Q501">_xlfn.IFERROR(C501+SUM(E501:P501),"N/A")</f>
        <v>19913000</v>
      </c>
      <c r="R501" s="424"/>
      <c r="S501" s="423" cm="1">
        <f t="array" ref="S501">IF(B501&gt;0,'Allocation OH and Target 2026'!$E$31,"N/A")</f>
        <v>3100447.15769812</v>
      </c>
      <c r="T501" s="423" cm="1">
        <f t="array" ref="T501">IF(B501&gt;0,VLOOKUP(C487,'Allocation OH and Target 2026'!$C$35:$S$87,16,0),"N/A")</f>
        <v>0</v>
      </c>
      <c r="U501" s="423" cm="1">
        <f t="array" ref="U501">_xlfn.IFERROR((S501+T501),"N/A")</f>
        <v>3100447.15769812</v>
      </c>
      <c r="V501" s="424"/>
      <c r="W501" s="423" cm="1">
        <f t="array" ref="W501">_xlfn.IFERROR(U501+Q501,"N/A")</f>
        <v>23013447.1576981</v>
      </c>
      <c r="X501" s="423" cm="1">
        <f t="array" ref="X501">_xlfn.IFERROR(W501*0.5%,"N/A")</f>
        <v>115067.235788491</v>
      </c>
      <c r="Y501" s="423" cm="1">
        <f t="array" ref="Y501">_xlfn.IFERROR(W501*25%,"N/A")</f>
        <v>5753361.78942453</v>
      </c>
      <c r="Z501" s="425" cm="1">
        <f t="array" ref="Z501">IF(B501&gt;0,SUM(W501:Y501),"N/A")</f>
        <v>28881876.1829111</v>
      </c>
      <c r="AA501" s="425" cm="1">
        <f t="array" ref="AA501">_xlfn.IFERROR((Z501-Z500),"N/A")</f>
        <v>195780</v>
      </c>
      <c r="AB501" s="424"/>
      <c r="AC501" t="str" s="426" cm="1">
        <f t="array" ref="AC501">IF(B501=6,AVERAGE(Z490:Z495),"N/A")</f>
        <v>N/A</v>
      </c>
      <c r="AD501" s="424"/>
      <c r="AE501" s="423"/>
      <c r="AF501" s="423"/>
      <c r="AG501" s="423"/>
      <c r="AH501" s="423"/>
      <c r="AI501" s="423"/>
      <c r="AJ501" s="423"/>
      <c r="AK501" s="423"/>
      <c r="AL501" s="423"/>
      <c r="AM501" s="423"/>
      <c r="AN501" s="427"/>
    </row>
    <row r="502" ht="15" customHeight="1">
      <c r="A502" s="12"/>
      <c r="B502" s="428" cm="1">
        <f t="array" ref="B502">IF(B501=0,0,IF(B501&lt;VLOOKUP(C487,'Boats Data Sheet 2026'!$C$3:$H$57,6,0),B501+1,0))</f>
        <v>0</v>
      </c>
      <c r="C502" t="str" s="431" cm="1">
        <f t="array" ref="C502">IF(B502&gt;0,IF(VLOOKUP(C487,'Boats Data Sheet 2026'!$C$3:$J$57,8,0)="N/A",0,VLOOKUP(C487,'Boats Data Sheet 2026'!$C$3:$J$57,8,0)),"N/A")</f>
        <v>N/A</v>
      </c>
      <c r="D502" t="str" s="431" cm="1">
        <f t="array" ref="D502">IF(B502&gt;7,2,IF(B502=0,"N/A",1))</f>
        <v>N/A</v>
      </c>
      <c r="E502" t="str" s="431" cm="1">
        <f t="array" ref="E502">_xlfn.IFERROR(SUM('Direct Costs 2026'!$C$4:$C$5)*D502,"N/A")</f>
        <v>N/A</v>
      </c>
      <c r="F502" s="423" cm="1">
        <f t="array" ref="F502">_xlfn.IFERROR('Direct Costs 2026'!$C$43*B502,"N/A")</f>
        <v>0</v>
      </c>
      <c r="G502" t="str" s="431" cm="1">
        <f t="array" ref="G502">IF(B502&gt;0,'Direct Costs 2026'!$C$25,"N/A")</f>
        <v>N/A</v>
      </c>
      <c r="H502" t="str" s="431" cm="1">
        <f t="array" ref="H502">IF(B502&gt;0,'Direct Costs 2026'!$C$15+'Direct Costs 2026'!$C$14,"N/A")</f>
        <v>N/A</v>
      </c>
      <c r="I502" s="423">
        <v>0</v>
      </c>
      <c r="J502" s="423">
        <v>0</v>
      </c>
      <c r="K502" t="str" s="431" cm="1">
        <f t="array" ref="K502">IF(B502&gt;0,'Direct Costs 2026'!$C$26,"N/A")</f>
        <v>N/A</v>
      </c>
      <c r="L502" t="str" s="431" cm="1">
        <f t="array" ref="L502">IF(B502&gt;0,'Direct Costs 2026'!$C$23,"N/A")</f>
        <v>N/A</v>
      </c>
      <c r="M502" t="str" s="431" cm="1">
        <f t="array" ref="M502">IF(B502&gt;0,'Direct Costs 2026'!$C$45*B502,"N/A")</f>
        <v>N/A</v>
      </c>
      <c r="N502" t="str" s="431" cm="1">
        <f t="array" ref="N502">IF(B502&gt;0,_xlfn.IFERROR(VLOOKUP(C487,'Boats Data Sheet 2026'!$C$3:$I$57,7,0)*'Direct Costs 2026'!$C$36,"N/A"),"N/A")</f>
        <v>N/A</v>
      </c>
      <c r="O502" t="str" s="431" cm="1">
        <f t="array" ref="O502">IF(B502&gt;0,IF(OR(VLOOKUP(C487,'Boats Data Sheet 2026'!$C$3:$F$57,4,0)="Own",VLOOKUP(C487,'Boats Data Sheet 2026'!$C$3:$F$57,4,0)="Management"),('Direct Costs 2026'!$C$37+'Direct Costs 2026'!$C$39),"N/A"),"N/A")</f>
        <v>N/A</v>
      </c>
      <c r="P502" t="str" s="431" cm="1">
        <f t="array" ref="P502">_xlfn.IFERROR('Direct Costs 2026'!$C$27*C502,"N/A")</f>
        <v>N/A</v>
      </c>
      <c r="Q502" t="str" s="431" cm="1">
        <f t="array" ref="Q502">_xlfn.IFERROR(C502+SUM(E502:P502),"N/A")</f>
        <v>N/A</v>
      </c>
      <c r="R502" s="424"/>
      <c r="S502" t="str" s="431" cm="1">
        <f t="array" ref="S502">IF(B502&gt;0,'Allocation OH and Target 2026'!$E$31,"N/A")</f>
        <v>N/A</v>
      </c>
      <c r="T502" t="str" s="431" cm="1">
        <f t="array" ref="T502">IF(B502&gt;0,VLOOKUP(C487,'Allocation OH and Target 2026'!$C$35:$S$87,16,0),"N/A")</f>
        <v>N/A</v>
      </c>
      <c r="U502" t="str" s="431" cm="1">
        <f t="array" ref="U502">_xlfn.IFERROR((S502+T502),"N/A")</f>
        <v>N/A</v>
      </c>
      <c r="V502" s="424"/>
      <c r="W502" t="str" s="431" cm="1">
        <f t="array" ref="W502">_xlfn.IFERROR(U502+Q502,"N/A")</f>
        <v>N/A</v>
      </c>
      <c r="X502" t="str" s="431" cm="1">
        <f t="array" ref="X502">_xlfn.IFERROR(W502*0.5%,"N/A")</f>
        <v>N/A</v>
      </c>
      <c r="Y502" t="str" s="431" cm="1">
        <f t="array" ref="Y502">_xlfn.IFERROR(W502*25%,"N/A")</f>
        <v>N/A</v>
      </c>
      <c r="Z502" t="str" s="426" cm="1">
        <f t="array" ref="Z502">IF(B502&gt;0,SUM(W502:Y502),"N/A")</f>
        <v>N/A</v>
      </c>
      <c r="AA502" t="str" s="426" cm="1">
        <f t="array" ref="AA502">_xlfn.IFERROR((Z502-Z501),"N/A")</f>
        <v>N/A</v>
      </c>
      <c r="AB502" s="424"/>
      <c r="AC502" t="str" s="426" cm="1">
        <f t="array" ref="AC502">IF(B502=6,AVERAGE(Z490:Z495),"N/A")</f>
        <v>N/A</v>
      </c>
      <c r="AD502" s="424"/>
      <c r="AE502" s="423"/>
      <c r="AF502" s="423"/>
      <c r="AG502" s="423"/>
      <c r="AH502" s="423"/>
      <c r="AI502" s="423"/>
      <c r="AJ502" s="423"/>
      <c r="AK502" s="423"/>
      <c r="AL502" s="423"/>
      <c r="AM502" s="423"/>
      <c r="AN502" s="427"/>
    </row>
    <row r="503" ht="15" customHeight="1">
      <c r="A503" s="12"/>
      <c r="B503" s="428" cm="1">
        <f t="array" ref="B503">IF(B502=0,0,IF(B502&lt;VLOOKUP(C487,'Boats Data Sheet 2026'!$C$3:$H$57,6,0),B502+1,0))</f>
        <v>0</v>
      </c>
      <c r="C503" t="str" s="431" cm="1">
        <f t="array" ref="C503">IF(B503&gt;0,IF(VLOOKUP(C487,'Boats Data Sheet 2026'!$C$3:$J$57,8,0)="N/A",0,VLOOKUP(C487,'Boats Data Sheet 2026'!$C$3:$J$57,8,0)),"N/A")</f>
        <v>N/A</v>
      </c>
      <c r="D503" t="str" s="431" cm="1">
        <f t="array" ref="D503">IF(B503&gt;7,2,IF(B503=0,"N/A",1))</f>
        <v>N/A</v>
      </c>
      <c r="E503" t="str" s="431" cm="1">
        <f t="array" ref="E503">_xlfn.IFERROR(SUM('Direct Costs 2026'!$C$4:$C$5)*D503,"N/A")</f>
        <v>N/A</v>
      </c>
      <c r="F503" s="423" cm="1">
        <f t="array" ref="F503">_xlfn.IFERROR('Direct Costs 2026'!$C$43*B503,"N/A")</f>
        <v>0</v>
      </c>
      <c r="G503" t="str" s="431" cm="1">
        <f t="array" ref="G503">IF(B503&gt;0,'Direct Costs 2026'!$C$25,"N/A")</f>
        <v>N/A</v>
      </c>
      <c r="H503" t="str" s="431" cm="1">
        <f t="array" ref="H503">IF(B503&gt;0,'Direct Costs 2026'!$C$15+'Direct Costs 2026'!$C$14,"N/A")</f>
        <v>N/A</v>
      </c>
      <c r="I503" s="423">
        <v>0</v>
      </c>
      <c r="J503" s="423">
        <v>0</v>
      </c>
      <c r="K503" t="str" s="431" cm="1">
        <f t="array" ref="K503">IF(B503&gt;0,'Direct Costs 2026'!$C$26,"N/A")</f>
        <v>N/A</v>
      </c>
      <c r="L503" t="str" s="431" cm="1">
        <f t="array" ref="L503">IF(B503&gt;0,'Direct Costs 2026'!$C$23,"N/A")</f>
        <v>N/A</v>
      </c>
      <c r="M503" t="str" s="431" cm="1">
        <f t="array" ref="M503">IF(B503&gt;0,'Direct Costs 2026'!$C$45*B503,"N/A")</f>
        <v>N/A</v>
      </c>
      <c r="N503" t="str" s="431" cm="1">
        <f t="array" ref="N503">IF(B503&gt;0,_xlfn.IFERROR(VLOOKUP(C487,'Boats Data Sheet 2026'!$C$3:$I$57,7,0)*'Direct Costs 2026'!$C$36,"N/A"),"N/A")</f>
        <v>N/A</v>
      </c>
      <c r="O503" t="str" s="431" cm="1">
        <f t="array" ref="O503">IF(B503&gt;0,IF(OR(VLOOKUP(C487,'Boats Data Sheet 2026'!$C$3:$F$57,4,0)="Own",VLOOKUP(C487,'Boats Data Sheet 2026'!$C$3:$F$57,4,0)="Management"),('Direct Costs 2026'!$C$37+'Direct Costs 2026'!$C$39),"N/A"),"N/A")</f>
        <v>N/A</v>
      </c>
      <c r="P503" t="str" s="431" cm="1">
        <f t="array" ref="P503">_xlfn.IFERROR('Direct Costs 2026'!$C$27*C503,"N/A")</f>
        <v>N/A</v>
      </c>
      <c r="Q503" t="str" s="431" cm="1">
        <f t="array" ref="Q503">_xlfn.IFERROR(C503+SUM(E503:P503),"N/A")</f>
        <v>N/A</v>
      </c>
      <c r="R503" s="424"/>
      <c r="S503" t="str" s="431" cm="1">
        <f t="array" ref="S503">IF(B503&gt;0,'Allocation OH and Target 2026'!$E$31,"N/A")</f>
        <v>N/A</v>
      </c>
      <c r="T503" t="str" s="431" cm="1">
        <f t="array" ref="T503">IF(B503&gt;0,VLOOKUP(C487,'Allocation OH and Target 2026'!$C$35:$S$87,16,0),"N/A")</f>
        <v>N/A</v>
      </c>
      <c r="U503" t="str" s="431" cm="1">
        <f t="array" ref="U503">_xlfn.IFERROR((S503+T503),"N/A")</f>
        <v>N/A</v>
      </c>
      <c r="V503" s="424"/>
      <c r="W503" t="str" s="431" cm="1">
        <f t="array" ref="W503">_xlfn.IFERROR(U503+Q503,"N/A")</f>
        <v>N/A</v>
      </c>
      <c r="X503" t="str" s="431" cm="1">
        <f t="array" ref="X503">_xlfn.IFERROR(W503*0.5%,"N/A")</f>
        <v>N/A</v>
      </c>
      <c r="Y503" t="str" s="431" cm="1">
        <f t="array" ref="Y503">_xlfn.IFERROR(W503*25%,"N/A")</f>
        <v>N/A</v>
      </c>
      <c r="Z503" t="str" s="426" cm="1">
        <f t="array" ref="Z503">IF(B503&gt;0,SUM(W503:Y503),"N/A")</f>
        <v>N/A</v>
      </c>
      <c r="AA503" t="str" s="426" cm="1">
        <f t="array" ref="AA503">_xlfn.IFERROR((Z503-Z502),"N/A")</f>
        <v>N/A</v>
      </c>
      <c r="AB503" s="424"/>
      <c r="AC503" t="str" s="426" cm="1">
        <f t="array" ref="AC503">IF(B503=6,AVERAGE(Z490:Z495),"N/A")</f>
        <v>N/A</v>
      </c>
      <c r="AD503" s="424"/>
      <c r="AE503" s="423"/>
      <c r="AF503" s="423"/>
      <c r="AG503" s="423"/>
      <c r="AH503" s="423"/>
      <c r="AI503" s="423"/>
      <c r="AJ503" s="423"/>
      <c r="AK503" s="423"/>
      <c r="AL503" s="423"/>
      <c r="AM503" s="423"/>
      <c r="AN503" s="427"/>
    </row>
    <row r="504" ht="15" customHeight="1">
      <c r="A504" s="12"/>
      <c r="B504" s="428" cm="1">
        <f t="array" ref="B504">IF(B503=0,0,IF(B503&lt;VLOOKUP(C487,'Boats Data Sheet 2026'!$C$3:$H$57,6,0),B503+1,0))</f>
        <v>0</v>
      </c>
      <c r="C504" t="str" s="431" cm="1">
        <f t="array" ref="C504">IF(B504&gt;0,IF(VLOOKUP(C487,'Boats Data Sheet 2026'!$C$3:$J$57,8,0)="N/A",0,VLOOKUP(C487,'Boats Data Sheet 2026'!$C$3:$J$57,8,0)),"N/A")</f>
        <v>N/A</v>
      </c>
      <c r="D504" t="str" s="431" cm="1">
        <f t="array" ref="D504">IF(B504&gt;7,2,IF(B504=0,"N/A",1))</f>
        <v>N/A</v>
      </c>
      <c r="E504" t="str" s="431" cm="1">
        <f t="array" ref="E504">_xlfn.IFERROR(SUM('Direct Costs 2026'!$C$4:$C$5)*D504,"N/A")</f>
        <v>N/A</v>
      </c>
      <c r="F504" s="423" cm="1">
        <f t="array" ref="F504">_xlfn.IFERROR('Direct Costs 2026'!$C$43*B504,"N/A")</f>
        <v>0</v>
      </c>
      <c r="G504" t="str" s="431" cm="1">
        <f t="array" ref="G504">IF(B504&gt;0,'Direct Costs 2026'!$C$25,"N/A")</f>
        <v>N/A</v>
      </c>
      <c r="H504" t="str" s="431" cm="1">
        <f t="array" ref="H504">IF(B504&gt;0,'Direct Costs 2026'!$C$15+'Direct Costs 2026'!$C$14,"N/A")</f>
        <v>N/A</v>
      </c>
      <c r="I504" s="423">
        <v>0</v>
      </c>
      <c r="J504" s="423">
        <v>0</v>
      </c>
      <c r="K504" t="str" s="431" cm="1">
        <f t="array" ref="K504">IF(B504&gt;0,'Direct Costs 2026'!$C$26,"N/A")</f>
        <v>N/A</v>
      </c>
      <c r="L504" t="str" s="431" cm="1">
        <f t="array" ref="L504">IF(B504&gt;0,'Direct Costs 2026'!$C$23,"N/A")</f>
        <v>N/A</v>
      </c>
      <c r="M504" t="str" s="431" cm="1">
        <f t="array" ref="M504">IF(B504&gt;0,'Direct Costs 2026'!$C$45*B504,"N/A")</f>
        <v>N/A</v>
      </c>
      <c r="N504" t="str" s="431" cm="1">
        <f t="array" ref="N504">IF(B504&gt;0,_xlfn.IFERROR(VLOOKUP(C487,'Boats Data Sheet 2026'!$C$3:$I$57,7,0)*'Direct Costs 2026'!$C$36,"N/A"),"N/A")</f>
        <v>N/A</v>
      </c>
      <c r="O504" t="str" s="431" cm="1">
        <f t="array" ref="O504">IF(B504&gt;0,IF(OR(VLOOKUP(C487,'Boats Data Sheet 2026'!$C$3:$F$57,4,0)="Own",VLOOKUP(C487,'Boats Data Sheet 2026'!$C$3:$F$57,4,0)="Management"),('Direct Costs 2026'!$C$37+'Direct Costs 2026'!$C$39),"N/A"),"N/A")</f>
        <v>N/A</v>
      </c>
      <c r="P504" t="str" s="431" cm="1">
        <f t="array" ref="P504">_xlfn.IFERROR('Direct Costs 2026'!$C$27*C504,"N/A")</f>
        <v>N/A</v>
      </c>
      <c r="Q504" t="str" s="431" cm="1">
        <f t="array" ref="Q504">_xlfn.IFERROR(C504+SUM(E504:P504),"N/A")</f>
        <v>N/A</v>
      </c>
      <c r="R504" s="424"/>
      <c r="S504" t="str" s="431" cm="1">
        <f t="array" ref="S504">IF(B504&gt;0,'Allocation OH and Target 2026'!$E$31,"N/A")</f>
        <v>N/A</v>
      </c>
      <c r="T504" t="str" s="431" cm="1">
        <f t="array" ref="T504">IF(B504&gt;0,VLOOKUP(C487,'Allocation OH and Target 2026'!$C$35:$S$87,16,0),"N/A")</f>
        <v>N/A</v>
      </c>
      <c r="U504" t="str" s="431" cm="1">
        <f t="array" ref="U504">_xlfn.IFERROR((S504+T504),"N/A")</f>
        <v>N/A</v>
      </c>
      <c r="V504" s="424"/>
      <c r="W504" t="str" s="431" cm="1">
        <f t="array" ref="W504">_xlfn.IFERROR(U504+Q504,"N/A")</f>
        <v>N/A</v>
      </c>
      <c r="X504" t="str" s="431" cm="1">
        <f t="array" ref="X504">_xlfn.IFERROR(W504*0.5%,"N/A")</f>
        <v>N/A</v>
      </c>
      <c r="Y504" t="str" s="431" cm="1">
        <f t="array" ref="Y504">_xlfn.IFERROR(W504*25%,"N/A")</f>
        <v>N/A</v>
      </c>
      <c r="Z504" t="str" s="426" cm="1">
        <f t="array" ref="Z504">IF(B504&gt;0,SUM(W504:Y504),"N/A")</f>
        <v>N/A</v>
      </c>
      <c r="AA504" t="str" s="426" cm="1">
        <f t="array" ref="AA504">_xlfn.IFERROR((Z504-Z503),"N/A")</f>
        <v>N/A</v>
      </c>
      <c r="AB504" s="424"/>
      <c r="AC504" t="str" s="426" cm="1">
        <f t="array" ref="AC504">IF(B504=6,AVERAGE(Z490:Z495),"N/A")</f>
        <v>N/A</v>
      </c>
      <c r="AD504" s="424"/>
      <c r="AE504" s="423"/>
      <c r="AF504" s="423"/>
      <c r="AG504" s="423"/>
      <c r="AH504" s="423"/>
      <c r="AI504" s="423"/>
      <c r="AJ504" s="423"/>
      <c r="AK504" s="423"/>
      <c r="AL504" s="423"/>
      <c r="AM504" s="423"/>
      <c r="AN504" s="427"/>
    </row>
    <row r="505" ht="15" customHeight="1">
      <c r="A505" s="12"/>
      <c r="B505" s="428" cm="1">
        <f t="array" ref="B505">IF(B504=0,0,IF(B504&lt;VLOOKUP(C487,'Boats Data Sheet 2026'!$C$3:$H$57,6,0),B504+1,0))</f>
        <v>0</v>
      </c>
      <c r="C505" t="str" s="431" cm="1">
        <f t="array" ref="C505">IF(B505&gt;0,IF(VLOOKUP(C487,'Boats Data Sheet 2026'!$C$3:$J$57,8,0)="N/A",0,VLOOKUP(C487,'Boats Data Sheet 2026'!$C$3:$J$57,8,0)),"N/A")</f>
        <v>N/A</v>
      </c>
      <c r="D505" t="str" s="431" cm="1">
        <f t="array" ref="D505">IF(B505&gt;7,2,IF(B505=0,"N/A",1))</f>
        <v>N/A</v>
      </c>
      <c r="E505" t="str" s="431" cm="1">
        <f t="array" ref="E505">_xlfn.IFERROR(SUM('Direct Costs 2026'!$C$4:$C$5)*D505,"N/A")</f>
        <v>N/A</v>
      </c>
      <c r="F505" s="423" cm="1">
        <f t="array" ref="F505">_xlfn.IFERROR('Direct Costs 2026'!$C$43*B505,"N/A")</f>
        <v>0</v>
      </c>
      <c r="G505" t="str" s="431" cm="1">
        <f t="array" ref="G505">IF(B505&gt;0,'Direct Costs 2026'!$C$25,"N/A")</f>
        <v>N/A</v>
      </c>
      <c r="H505" t="str" s="431" cm="1">
        <f t="array" ref="H505">IF(B505&gt;0,'Direct Costs 2026'!$C$15+'Direct Costs 2026'!$C$14,"N/A")</f>
        <v>N/A</v>
      </c>
      <c r="I505" s="423">
        <v>0</v>
      </c>
      <c r="J505" s="423">
        <v>0</v>
      </c>
      <c r="K505" t="str" s="431" cm="1">
        <f t="array" ref="K505">IF(B505&gt;0,'Direct Costs 2026'!$C$26,"N/A")</f>
        <v>N/A</v>
      </c>
      <c r="L505" t="str" s="431" cm="1">
        <f t="array" ref="L505">IF(B505&gt;0,'Direct Costs 2026'!$C$23,"N/A")</f>
        <v>N/A</v>
      </c>
      <c r="M505" t="str" s="431" cm="1">
        <f t="array" ref="M505">IF(B505&gt;0,'Direct Costs 2026'!$C$45*B505,"N/A")</f>
        <v>N/A</v>
      </c>
      <c r="N505" t="str" s="431" cm="1">
        <f t="array" ref="N505">IF(B505&gt;0,_xlfn.IFERROR(VLOOKUP(C487,'Boats Data Sheet 2026'!$C$3:$I$57,7,0)*'Direct Costs 2026'!$C$36,"N/A"),"N/A")</f>
        <v>N/A</v>
      </c>
      <c r="O505" t="str" s="431" cm="1">
        <f t="array" ref="O505">IF(B505&gt;0,IF(OR(VLOOKUP(C487,'Boats Data Sheet 2026'!$C$3:$F$57,4,0)="Own",VLOOKUP(C487,'Boats Data Sheet 2026'!$C$3:$F$57,4,0)="Management"),('Direct Costs 2026'!$C$37+'Direct Costs 2026'!$C$39),"N/A"),"N/A")</f>
        <v>N/A</v>
      </c>
      <c r="P505" t="str" s="431" cm="1">
        <f t="array" ref="P505">_xlfn.IFERROR('Direct Costs 2026'!$C$27*C505,"N/A")</f>
        <v>N/A</v>
      </c>
      <c r="Q505" t="str" s="431" cm="1">
        <f t="array" ref="Q505">_xlfn.IFERROR(C505+SUM(E505:P505),"N/A")</f>
        <v>N/A</v>
      </c>
      <c r="R505" s="424"/>
      <c r="S505" t="str" s="431" cm="1">
        <f t="array" ref="S505">IF(B505&gt;0,'Allocation OH and Target 2026'!$E$31,"N/A")</f>
        <v>N/A</v>
      </c>
      <c r="T505" t="str" s="431" cm="1">
        <f t="array" ref="T505">IF(B505&gt;0,VLOOKUP(C487,'Allocation OH and Target 2026'!$C$35:$S$87,16,0),"N/A")</f>
        <v>N/A</v>
      </c>
      <c r="U505" t="str" s="431" cm="1">
        <f t="array" ref="U505">_xlfn.IFERROR((S505+T505),"N/A")</f>
        <v>N/A</v>
      </c>
      <c r="V505" s="424"/>
      <c r="W505" t="str" s="431" cm="1">
        <f t="array" ref="W505">_xlfn.IFERROR(U505+Q505,"N/A")</f>
        <v>N/A</v>
      </c>
      <c r="X505" t="str" s="431" cm="1">
        <f t="array" ref="X505">_xlfn.IFERROR(W505*0.5%,"N/A")</f>
        <v>N/A</v>
      </c>
      <c r="Y505" t="str" s="431" cm="1">
        <f t="array" ref="Y505">_xlfn.IFERROR(W505*25%,"N/A")</f>
        <v>N/A</v>
      </c>
      <c r="Z505" t="str" s="426" cm="1">
        <f t="array" ref="Z505">IF(B505&gt;0,SUM(W505:Y505),"N/A")</f>
        <v>N/A</v>
      </c>
      <c r="AA505" t="str" s="426" cm="1">
        <f t="array" ref="AA505">_xlfn.IFERROR((Z505-Z504),"N/A")</f>
        <v>N/A</v>
      </c>
      <c r="AB505" s="424"/>
      <c r="AC505" t="str" s="426" cm="1">
        <f t="array" ref="AC505">IF(B505=6,AVERAGE(Z490:Z495),"N/A")</f>
        <v>N/A</v>
      </c>
      <c r="AD505" s="424"/>
      <c r="AE505" s="423"/>
      <c r="AF505" s="423"/>
      <c r="AG505" s="423"/>
      <c r="AH505" s="423"/>
      <c r="AI505" s="423"/>
      <c r="AJ505" s="423"/>
      <c r="AK505" s="423"/>
      <c r="AL505" s="423"/>
      <c r="AM505" s="423"/>
      <c r="AN505" s="427"/>
    </row>
    <row r="506" ht="15" customHeight="1">
      <c r="A506" s="12"/>
      <c r="B506" s="428" cm="1">
        <f t="array" ref="B506">IF(B505=0,0,IF(B505&lt;VLOOKUP(C487,'Boats Data Sheet 2026'!$C$3:$H$57,6,0),B505+1,0))</f>
        <v>0</v>
      </c>
      <c r="C506" t="str" s="431" cm="1">
        <f t="array" ref="C506">IF(B506&gt;0,IF(VLOOKUP(C487,'Boats Data Sheet 2026'!$C$3:$J$57,8,0)="N/A",0,VLOOKUP(C487,'Boats Data Sheet 2026'!$C$3:$J$57,8,0)),"N/A")</f>
        <v>N/A</v>
      </c>
      <c r="D506" t="str" s="431" cm="1">
        <f t="array" ref="D506">IF(B506&gt;7,2,IF(B506=0,"N/A",1))</f>
        <v>N/A</v>
      </c>
      <c r="E506" t="str" s="431" cm="1">
        <f t="array" ref="E506">_xlfn.IFERROR(SUM('Direct Costs 2026'!$C$4:$C$5)*D506,"N/A")</f>
        <v>N/A</v>
      </c>
      <c r="F506" s="423" cm="1">
        <f t="array" ref="F506">_xlfn.IFERROR('Direct Costs 2026'!$C$43*B506,"N/A")</f>
        <v>0</v>
      </c>
      <c r="G506" t="str" s="431" cm="1">
        <f t="array" ref="G506">IF(B506&gt;0,'Direct Costs 2026'!$C$25,"N/A")</f>
        <v>N/A</v>
      </c>
      <c r="H506" t="str" s="431" cm="1">
        <f t="array" ref="H506">IF(B506&gt;0,'Direct Costs 2026'!$C$15+'Direct Costs 2026'!$C$14,"N/A")</f>
        <v>N/A</v>
      </c>
      <c r="I506" s="423">
        <v>0</v>
      </c>
      <c r="J506" s="423">
        <v>0</v>
      </c>
      <c r="K506" t="str" s="431" cm="1">
        <f t="array" ref="K506">IF(B506&gt;0,'Direct Costs 2026'!$C$26,"N/A")</f>
        <v>N/A</v>
      </c>
      <c r="L506" t="str" s="431" cm="1">
        <f t="array" ref="L506">IF(B506&gt;0,'Direct Costs 2026'!$C$23,"N/A")</f>
        <v>N/A</v>
      </c>
      <c r="M506" t="str" s="431" cm="1">
        <f t="array" ref="M506">IF(B506&gt;0,'Direct Costs 2026'!$C$45*B506,"N/A")</f>
        <v>N/A</v>
      </c>
      <c r="N506" t="str" s="431" cm="1">
        <f t="array" ref="N506">IF(B506&gt;0,_xlfn.IFERROR(VLOOKUP(C487,'Boats Data Sheet 2026'!$C$3:$I$57,7,0)*'Direct Costs 2026'!$C$36,"N/A"),"N/A")</f>
        <v>N/A</v>
      </c>
      <c r="O506" t="str" s="431" cm="1">
        <f t="array" ref="O506">IF(B506&gt;0,IF(OR(VLOOKUP(C487,'Boats Data Sheet 2026'!$C$3:$F$57,4,0)="Own",VLOOKUP(C487,'Boats Data Sheet 2026'!$C$3:$F$57,4,0)="Management"),('Direct Costs 2026'!$C$37+'Direct Costs 2026'!$C$39),"N/A"),"N/A")</f>
        <v>N/A</v>
      </c>
      <c r="P506" t="str" s="431" cm="1">
        <f t="array" ref="P506">_xlfn.IFERROR('Direct Costs 2026'!$C$27*C506,"N/A")</f>
        <v>N/A</v>
      </c>
      <c r="Q506" t="str" s="431" cm="1">
        <f t="array" ref="Q506">_xlfn.IFERROR(C506+SUM(E506:P506),"N/A")</f>
        <v>N/A</v>
      </c>
      <c r="R506" s="424"/>
      <c r="S506" t="str" s="431" cm="1">
        <f t="array" ref="S506">IF(B506&gt;0,'Allocation OH and Target 2026'!$E$31,"N/A")</f>
        <v>N/A</v>
      </c>
      <c r="T506" t="str" s="431" cm="1">
        <f t="array" ref="T506">IF(B506&gt;0,VLOOKUP(C487,'Allocation OH and Target 2026'!$C$35:$S$87,16,0),"N/A")</f>
        <v>N/A</v>
      </c>
      <c r="U506" t="str" s="431" cm="1">
        <f t="array" ref="U506">_xlfn.IFERROR((S506+T506),"N/A")</f>
        <v>N/A</v>
      </c>
      <c r="V506" s="424"/>
      <c r="W506" t="str" s="431" cm="1">
        <f t="array" ref="W506">_xlfn.IFERROR(U506+Q506,"N/A")</f>
        <v>N/A</v>
      </c>
      <c r="X506" t="str" s="431" cm="1">
        <f t="array" ref="X506">_xlfn.IFERROR(W506*0.5%,"N/A")</f>
        <v>N/A</v>
      </c>
      <c r="Y506" t="str" s="431" cm="1">
        <f t="array" ref="Y506">_xlfn.IFERROR(W506*25%,"N/A")</f>
        <v>N/A</v>
      </c>
      <c r="Z506" t="str" s="426" cm="1">
        <f t="array" ref="Z506">IF(B506&gt;0,SUM(W506:Y506),"N/A")</f>
        <v>N/A</v>
      </c>
      <c r="AA506" t="str" s="426" cm="1">
        <f t="array" ref="AA506">_xlfn.IFERROR((Z506-Z505),"N/A")</f>
        <v>N/A</v>
      </c>
      <c r="AB506" s="424"/>
      <c r="AC506" t="str" s="426" cm="1">
        <f t="array" ref="AC506">IF(B506=6,AVERAGE(Z490:Z495),"N/A")</f>
        <v>N/A</v>
      </c>
      <c r="AD506" s="424"/>
      <c r="AE506" s="423"/>
      <c r="AF506" s="423"/>
      <c r="AG506" s="423"/>
      <c r="AH506" s="423"/>
      <c r="AI506" s="423"/>
      <c r="AJ506" s="423"/>
      <c r="AK506" s="423"/>
      <c r="AL506" s="423"/>
      <c r="AM506" s="423"/>
      <c r="AN506" s="427"/>
    </row>
    <row r="507" ht="15.5" customHeight="1">
      <c r="A507" s="12"/>
      <c r="B507" s="432" cm="1">
        <f t="array" ref="B507">IF(B506=0,0,IF(B506&lt;VLOOKUP(C487,'Boats Data Sheet 2026'!$C$3:$H$57,6,0),B506+1,0))</f>
        <v>0</v>
      </c>
      <c r="C507" t="str" s="433" cm="1">
        <f t="array" ref="C507">IF(B507&gt;0,IF(VLOOKUP(C487,'Boats Data Sheet 2026'!$C$3:$J$57,8,0)="N/A",0,VLOOKUP(C487,'Boats Data Sheet 2026'!$C$3:$J$57,8,0)),"N/A")</f>
        <v>N/A</v>
      </c>
      <c r="D507" t="str" s="433" cm="1">
        <f t="array" ref="D507">IF(B507&gt;7,2,IF(B507=0,"N/A",1))</f>
        <v>N/A</v>
      </c>
      <c r="E507" t="str" s="433" cm="1">
        <f t="array" ref="E507">_xlfn.IFERROR(SUM('Direct Costs 2026'!$C$4:$C$5)*D507,"N/A")</f>
        <v>N/A</v>
      </c>
      <c r="F507" s="434" cm="1">
        <f t="array" ref="F507">_xlfn.IFERROR('Direct Costs 2026'!$C$43*B507,"N/A")</f>
        <v>0</v>
      </c>
      <c r="G507" t="str" s="433" cm="1">
        <f t="array" ref="G507">IF(B507&gt;0,'Direct Costs 2026'!$C$25,"N/A")</f>
        <v>N/A</v>
      </c>
      <c r="H507" t="str" s="433" cm="1">
        <f t="array" ref="H507">IF(B507&gt;0,'Direct Costs 2026'!$C$15+'Direct Costs 2026'!$C$14,"N/A")</f>
        <v>N/A</v>
      </c>
      <c r="I507" s="434">
        <v>0</v>
      </c>
      <c r="J507" s="434">
        <v>0</v>
      </c>
      <c r="K507" t="str" s="433" cm="1">
        <f t="array" ref="K507">IF(B507&gt;0,'Direct Costs 2026'!$C$26,"N/A")</f>
        <v>N/A</v>
      </c>
      <c r="L507" t="str" s="433" cm="1">
        <f t="array" ref="L507">IF(B507&gt;0,'Direct Costs 2026'!$C$23,"N/A")</f>
        <v>N/A</v>
      </c>
      <c r="M507" t="str" s="433" cm="1">
        <f t="array" ref="M507">IF(B507&gt;0,'Direct Costs 2026'!$C$45*B507,"N/A")</f>
        <v>N/A</v>
      </c>
      <c r="N507" t="str" s="433" cm="1">
        <f t="array" ref="N507">IF(B507&gt;0,_xlfn.IFERROR(VLOOKUP(C487,'Boats Data Sheet 2026'!$C$3:$I$57,7,0)*'Direct Costs 2026'!$C$36,"N/A"),"N/A")</f>
        <v>N/A</v>
      </c>
      <c r="O507" t="str" s="433" cm="1">
        <f t="array" ref="O507">IF(B507&gt;0,IF(OR(VLOOKUP(C487,'Boats Data Sheet 2026'!$C$3:$F$57,4,0)="Own",VLOOKUP(C487,'Boats Data Sheet 2026'!$C$3:$F$57,4,0)="Management"),('Direct Costs 2026'!$C$37+'Direct Costs 2026'!$C$39),"N/A"),"N/A")</f>
        <v>N/A</v>
      </c>
      <c r="P507" t="str" s="433" cm="1">
        <f t="array" ref="P507">_xlfn.IFERROR('Direct Costs 2026'!$C$27*C507,"N/A")</f>
        <v>N/A</v>
      </c>
      <c r="Q507" t="str" s="433" cm="1">
        <f t="array" ref="Q507">_xlfn.IFERROR(C507+SUM(E507:P507),"N/A")</f>
        <v>N/A</v>
      </c>
      <c r="R507" s="435"/>
      <c r="S507" t="str" s="433" cm="1">
        <f t="array" ref="S507">IF(B507&gt;0,'Allocation OH and Target 2026'!$E$31,"N/A")</f>
        <v>N/A</v>
      </c>
      <c r="T507" t="str" s="433" cm="1">
        <f t="array" ref="T507">IF(B507&gt;0,VLOOKUP(C487,'Allocation OH and Target 2026'!$C$35:$S$87,16,0),"N/A")</f>
        <v>N/A</v>
      </c>
      <c r="U507" t="str" s="433" cm="1">
        <f t="array" ref="U507">_xlfn.IFERROR((S507+T507),"N/A")</f>
        <v>N/A</v>
      </c>
      <c r="V507" s="435"/>
      <c r="W507" t="str" s="433" cm="1">
        <f t="array" ref="W507">_xlfn.IFERROR(U507+Q507,"N/A")</f>
        <v>N/A</v>
      </c>
      <c r="X507" t="str" s="433" cm="1">
        <f t="array" ref="X507">_xlfn.IFERROR(W507*0.5%,"N/A")</f>
        <v>N/A</v>
      </c>
      <c r="Y507" t="str" s="433" cm="1">
        <f t="array" ref="Y507">_xlfn.IFERROR(W507*25%,"N/A")</f>
        <v>N/A</v>
      </c>
      <c r="Z507" t="str" s="436" cm="1">
        <f t="array" ref="Z507">IF(B507&gt;0,SUM(W507:Y507),"N/A")</f>
        <v>N/A</v>
      </c>
      <c r="AA507" t="str" s="436" cm="1">
        <f t="array" ref="AA507">_xlfn.IFERROR((Z507-Z506),"N/A")</f>
        <v>N/A</v>
      </c>
      <c r="AB507" s="435"/>
      <c r="AC507" t="str" s="436" cm="1">
        <f t="array" ref="AC507">IF(B507=6,AVERAGE(Z490:Z495),"N/A")</f>
        <v>N/A</v>
      </c>
      <c r="AD507" s="435"/>
      <c r="AE507" s="434"/>
      <c r="AF507" s="434"/>
      <c r="AG507" s="434"/>
      <c r="AH507" s="434"/>
      <c r="AI507" s="434"/>
      <c r="AJ507" s="434"/>
      <c r="AK507" s="434"/>
      <c r="AL507" s="434"/>
      <c r="AM507" s="434"/>
      <c r="AN507" s="437"/>
    </row>
    <row r="508" ht="15" customHeight="1">
      <c r="A508" s="32"/>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c r="AH508" s="124"/>
      <c r="AI508" s="124"/>
      <c r="AJ508" s="124"/>
      <c r="AK508" s="124"/>
      <c r="AL508" s="124"/>
      <c r="AM508" s="124"/>
      <c r="AN508" s="313"/>
    </row>
    <row r="509" ht="15" customHeight="1">
      <c r="A509" s="32"/>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442"/>
    </row>
    <row r="510" ht="15.5" customHeight="1">
      <c r="A510" s="395">
        <v>25</v>
      </c>
      <c r="B510" t="s" s="396">
        <v>506</v>
      </c>
      <c r="C510" t="s" s="397">
        <v>207</v>
      </c>
      <c r="D510" s="398"/>
      <c r="E510" s="398"/>
      <c r="F510" s="398"/>
      <c r="G510" s="398"/>
      <c r="H510" s="398"/>
      <c r="I510" s="398"/>
      <c r="J510" s="398"/>
      <c r="K510" s="398"/>
      <c r="L510" s="398"/>
      <c r="M510" s="398"/>
      <c r="N510" s="398"/>
      <c r="O510" s="398"/>
      <c r="P510" s="398"/>
      <c r="Q510" s="398"/>
      <c r="R510" s="399"/>
      <c r="S510" s="398"/>
      <c r="T510" s="398"/>
      <c r="U510" s="398"/>
      <c r="V510" s="399"/>
      <c r="W510" s="398"/>
      <c r="X510" s="398"/>
      <c r="Y510" s="398"/>
      <c r="Z510" s="398"/>
      <c r="AA510" s="398"/>
      <c r="AB510" s="399"/>
      <c r="AC510" s="398"/>
      <c r="AD510" s="399"/>
      <c r="AE510" t="s" s="397">
        <v>508</v>
      </c>
      <c r="AF510" s="401" cm="1">
        <f t="array" ref="AF510">AVERAGE(Q513:Q518)</f>
        <v>9215500</v>
      </c>
      <c r="AG510" t="s" s="400">
        <v>509</v>
      </c>
      <c r="AH510" s="401" cm="1">
        <f t="array" ref="AH510">AVERAGE(Q519:Q526)-AF510</f>
        <v>1665583.33333333</v>
      </c>
      <c r="AI510" t="s" s="400">
        <v>510</v>
      </c>
      <c r="AJ510" s="401" cm="1">
        <f t="array" ref="AJ510">AVERAGE(Y513:Y520)</f>
        <v>3145346.16442453</v>
      </c>
      <c r="AK510" t="s" s="397">
        <v>511</v>
      </c>
      <c r="AL510" s="401" cm="1">
        <f t="array" ref="AL510">AVERAGE(W513:W518)</f>
        <v>12315947.1576981</v>
      </c>
      <c r="AM510" t="s" s="400">
        <v>512</v>
      </c>
      <c r="AN510" s="402" cm="1">
        <f t="array" ref="AN510">W513</f>
        <v>11925947.1576981</v>
      </c>
    </row>
    <row r="511" ht="15" customHeight="1">
      <c r="A511" s="12"/>
      <c r="B511" s="403"/>
      <c r="C511" t="s" s="404">
        <v>513</v>
      </c>
      <c r="D511" s="405"/>
      <c r="E511" s="405"/>
      <c r="F511" s="405"/>
      <c r="G511" s="405"/>
      <c r="H511" s="405"/>
      <c r="I511" s="405"/>
      <c r="J511" s="405"/>
      <c r="K511" s="405"/>
      <c r="L511" s="405"/>
      <c r="M511" s="405"/>
      <c r="N511" s="405"/>
      <c r="O511" s="405"/>
      <c r="P511" s="405"/>
      <c r="Q511" s="406"/>
      <c r="R511" s="407"/>
      <c r="S511" t="s" s="404">
        <v>514</v>
      </c>
      <c r="T511" s="405"/>
      <c r="U511" s="406"/>
      <c r="V511" s="407"/>
      <c r="W511" t="s" s="404">
        <v>515</v>
      </c>
      <c r="X511" s="405"/>
      <c r="Y511" s="405"/>
      <c r="Z511" s="405"/>
      <c r="AA511" s="405"/>
      <c r="AB511" s="408"/>
      <c r="AC511" t="s" s="409">
        <v>516</v>
      </c>
      <c r="AD511" s="410"/>
      <c r="AE511" s="443"/>
      <c r="AF511" s="443"/>
      <c r="AG511" s="443"/>
      <c r="AH511" s="443"/>
      <c r="AI511" s="443"/>
      <c r="AJ511" s="443"/>
      <c r="AK511" s="443"/>
      <c r="AL511" s="414"/>
      <c r="AM511" s="415"/>
      <c r="AN511" s="414"/>
    </row>
    <row r="512" ht="46.25" customHeight="1">
      <c r="A512" s="187"/>
      <c r="B512" t="s" s="416">
        <v>517</v>
      </c>
      <c r="C512" t="s" s="417">
        <v>518</v>
      </c>
      <c r="D512" t="s" s="417">
        <v>519</v>
      </c>
      <c r="E512" t="s" s="417">
        <v>520</v>
      </c>
      <c r="F512" t="s" s="159">
        <v>521</v>
      </c>
      <c r="G512" t="s" s="159">
        <v>522</v>
      </c>
      <c r="H512" t="s" s="159">
        <v>556</v>
      </c>
      <c r="I512" t="s" s="159">
        <v>524</v>
      </c>
      <c r="J512" t="s" s="159">
        <v>525</v>
      </c>
      <c r="K512" t="s" s="159">
        <v>526</v>
      </c>
      <c r="L512" t="s" s="159">
        <v>527</v>
      </c>
      <c r="M512" t="s" s="159">
        <v>528</v>
      </c>
      <c r="N512" t="s" s="159">
        <v>529</v>
      </c>
      <c r="O512" t="s" s="159">
        <v>530</v>
      </c>
      <c r="P512" t="s" s="159">
        <v>531</v>
      </c>
      <c r="Q512" t="s" s="159">
        <v>532</v>
      </c>
      <c r="R512" s="418"/>
      <c r="S512" t="s" s="159">
        <v>533</v>
      </c>
      <c r="T512" t="s" s="159">
        <v>534</v>
      </c>
      <c r="U512" t="s" s="159">
        <v>535</v>
      </c>
      <c r="V512" s="418"/>
      <c r="W512" t="s" s="159">
        <v>536</v>
      </c>
      <c r="X512" t="s" s="159">
        <v>537</v>
      </c>
      <c r="Y512" t="s" s="159">
        <v>538</v>
      </c>
      <c r="Z512" t="s" s="159">
        <v>539</v>
      </c>
      <c r="AA512" t="s" s="159">
        <v>121</v>
      </c>
      <c r="AB512" s="419"/>
      <c r="AC512" t="s" s="159">
        <v>39</v>
      </c>
      <c r="AD512" s="419"/>
      <c r="AE512" s="77"/>
      <c r="AF512" s="77"/>
      <c r="AG512" s="77"/>
      <c r="AH512" s="77"/>
      <c r="AI512" s="77"/>
      <c r="AJ512" s="77"/>
      <c r="AK512" s="77"/>
      <c r="AL512" s="77"/>
      <c r="AM512" s="77"/>
      <c r="AN512" s="78"/>
    </row>
    <row r="513" ht="15" customHeight="1">
      <c r="A513" s="12"/>
      <c r="B513" s="420">
        <v>1</v>
      </c>
      <c r="C513" s="421" cm="1">
        <f t="array" ref="C513">IF(B513&gt;0,IF(VLOOKUP(C510,'Boats Data Sheet 2026'!$C$3:$J$57,8,0)="N/A",0,VLOOKUP(C510,'Boats Data Sheet 2026'!$C$3:$J$57,8,0)),"N/A")</f>
        <v>7200000</v>
      </c>
      <c r="D513" s="422" cm="1">
        <f t="array" ref="D513">IF(B513&gt;7,2,IF(B513=0,"N/A",1))</f>
        <v>1</v>
      </c>
      <c r="E513" s="421" cm="1">
        <f t="array" ref="E513">_xlfn.IFERROR(SUM('Direct Costs 2026'!$C$4:$C$5)*D513,"N/A")</f>
        <v>875500</v>
      </c>
      <c r="F513" s="423" cm="1">
        <f t="array" ref="F513">_xlfn.IFERROR('Direct Costs 2026'!$C$43*B513,"N/A")</f>
        <v>6000</v>
      </c>
      <c r="G513" s="423" cm="1">
        <f t="array" ref="G513">IF(B513&gt;0,'Direct Costs 2026'!$C$25,"N/A")</f>
        <v>90000</v>
      </c>
      <c r="H513" s="423" cm="1">
        <f t="array" ref="H513">IF(B513&gt;0,'Direct Costs 2026'!$C$22,"N/A")</f>
        <v>200000</v>
      </c>
      <c r="I513" s="423">
        <v>0</v>
      </c>
      <c r="J513" s="423">
        <v>0</v>
      </c>
      <c r="K513" s="423" cm="1">
        <f t="array" ref="K513">IF(B513&gt;0,'Direct Costs 2026'!$C$26,"N/A")</f>
        <v>20000</v>
      </c>
      <c r="L513" s="423" cm="1">
        <f t="array" ref="L513">IF(B513&gt;0,'Direct Costs 2026'!$C$23,"N/A")</f>
        <v>140000</v>
      </c>
      <c r="M513" s="423" cm="1">
        <f t="array" ref="M513">IF(B513&gt;0,'Direct Costs 2026'!$C$45*B513,"N/A")</f>
        <v>150000</v>
      </c>
      <c r="N513" t="str" s="431" cm="1">
        <f t="array" ref="N513">IF(B513&gt;0,_xlfn.IFERROR(VLOOKUP(C510,'Boats Data Sheet 2026'!$C$3:$I$57,7,0)*'Direct Costs 2026'!$C$36,"N/A"),"N/A")</f>
        <v>N/A</v>
      </c>
      <c r="O513" t="str" s="431" cm="1">
        <f t="array" ref="O513">IF(B513&gt;0,IF(OR(VLOOKUP(C510,'Boats Data Sheet 2026'!$C$3:$F$57,4,0)="Own",VLOOKUP(C510,'Boats Data Sheet 2026'!$C$3:$F$57,4,0)="Management"),('Direct Costs 2026'!$C$37+'Direct Costs 2026'!$C$39),"N/A"),"N/A")</f>
        <v>N/A</v>
      </c>
      <c r="P513" s="423" cm="1">
        <f t="array" ref="P513">_xlfn.IFERROR('Direct Costs 2026'!$C$27*C513,"N/A")</f>
        <v>144000</v>
      </c>
      <c r="Q513" s="423" cm="1">
        <f t="array" ref="Q513">_xlfn.IFERROR(C513+SUM(E513:P513),"N/A")</f>
        <v>8825500</v>
      </c>
      <c r="R513" s="424"/>
      <c r="S513" s="423" cm="1">
        <f t="array" ref="S513">IF(B513&gt;0,'Allocation OH and Target 2026'!$E$31,"N/A")</f>
        <v>3100447.15769812</v>
      </c>
      <c r="T513" s="423" cm="1">
        <f t="array" ref="T513">IF(B513&gt;0,VLOOKUP(C510,'Allocation OH and Target 2026'!$C$35:$S$87,16,0),"N/A")</f>
        <v>0</v>
      </c>
      <c r="U513" s="423" cm="1">
        <f t="array" ref="U513">_xlfn.IFERROR((S513+T513),"N/A")</f>
        <v>3100447.15769812</v>
      </c>
      <c r="V513" s="424"/>
      <c r="W513" s="423" cm="1">
        <f t="array" ref="W513">_xlfn.IFERROR(U513+Q513,"N/A")</f>
        <v>11925947.1576981</v>
      </c>
      <c r="X513" s="423" cm="1">
        <f t="array" ref="X513">_xlfn.IFERROR(W513*0.5%,"N/A")</f>
        <v>59629.7357884905</v>
      </c>
      <c r="Y513" s="423" cm="1">
        <f t="array" ref="Y513">_xlfn.IFERROR(W513*25%,"N/A")</f>
        <v>2981486.78942453</v>
      </c>
      <c r="Z513" s="425" cm="1">
        <f t="array" ref="Z513">IF(B513&gt;0,SUM(W513:Y513),"N/A")</f>
        <v>14967063.6829111</v>
      </c>
      <c r="AA513" s="425">
        <v>0</v>
      </c>
      <c r="AB513" s="424"/>
      <c r="AC513" t="str" s="426" cm="1">
        <f t="array" ref="AC513">IF(B513=6,AVERAGE(Z513:Z518),"N/A")</f>
        <v>N/A</v>
      </c>
      <c r="AD513" s="424"/>
      <c r="AE513" s="423"/>
      <c r="AF513" s="423"/>
      <c r="AG513" s="423"/>
      <c r="AH513" s="423"/>
      <c r="AI513" s="423"/>
      <c r="AJ513" s="423"/>
      <c r="AK513" s="423"/>
      <c r="AL513" s="423"/>
      <c r="AM513" s="423"/>
      <c r="AN513" s="427"/>
    </row>
    <row r="514" ht="15" customHeight="1">
      <c r="A514" s="12"/>
      <c r="B514" s="428" cm="1">
        <f t="array" ref="B514">IF(B513=0,0,IF(B513&lt;VLOOKUP(C510,'Boats Data Sheet 2026'!$C$3:$H$57,6,0),B513+1,0))</f>
        <v>2</v>
      </c>
      <c r="C514" s="423" cm="1">
        <f t="array" ref="C514">IF(B514&gt;0,IF(VLOOKUP(C510,'Boats Data Sheet 2026'!$C$3:$J$57,8,0)="N/A",0,VLOOKUP(C510,'Boats Data Sheet 2026'!$C$3:$J$57,8,0)),"N/A")</f>
        <v>7200000</v>
      </c>
      <c r="D514" s="429" cm="1">
        <f t="array" ref="D514">IF(B514&gt;7,2,IF(B514=0,"N/A",1))</f>
        <v>1</v>
      </c>
      <c r="E514" s="423" cm="1">
        <f t="array" ref="E514">_xlfn.IFERROR(SUM('Direct Costs 2026'!$C$4:$C$5)*D514,"N/A")</f>
        <v>875500</v>
      </c>
      <c r="F514" s="423" cm="1">
        <f t="array" ref="F514">_xlfn.IFERROR('Direct Costs 2026'!$C$43*B514,"N/A")</f>
        <v>12000</v>
      </c>
      <c r="G514" s="423" cm="1">
        <f t="array" ref="G514">IF(B514&gt;0,'Direct Costs 2026'!$C$25,"N/A")</f>
        <v>90000</v>
      </c>
      <c r="H514" s="423" cm="1">
        <f t="array" ref="H514">IF(B514&gt;0,'Direct Costs 2026'!$C$22,"N/A")</f>
        <v>200000</v>
      </c>
      <c r="I514" s="423">
        <v>0</v>
      </c>
      <c r="J514" s="423">
        <v>0</v>
      </c>
      <c r="K514" s="423" cm="1">
        <f t="array" ref="K514">IF(B514&gt;0,'Direct Costs 2026'!$C$26,"N/A")</f>
        <v>20000</v>
      </c>
      <c r="L514" s="423" cm="1">
        <f t="array" ref="L514">IF(B514&gt;0,'Direct Costs 2026'!$C$23,"N/A")</f>
        <v>140000</v>
      </c>
      <c r="M514" s="423" cm="1">
        <f t="array" ref="M514">IF(B514&gt;0,'Direct Costs 2026'!$C$45*B514,"N/A")</f>
        <v>300000</v>
      </c>
      <c r="N514" t="str" s="431" cm="1">
        <f t="array" ref="N514">IF(B514&gt;0,_xlfn.IFERROR(VLOOKUP(C510,'Boats Data Sheet 2026'!$C$3:$I$57,7,0)*'Direct Costs 2026'!$C$36,"N/A"),"N/A")</f>
        <v>N/A</v>
      </c>
      <c r="O514" t="str" s="431" cm="1">
        <f t="array" ref="O514">IF(B514&gt;0,IF(OR(VLOOKUP(C510,'Boats Data Sheet 2026'!$C$3:$F$57,4,0)="Own",VLOOKUP(C510,'Boats Data Sheet 2026'!$C$3:$F$57,4,0)="Management"),('Direct Costs 2026'!$C$37+'Direct Costs 2026'!$C$39),"N/A"),"N/A")</f>
        <v>N/A</v>
      </c>
      <c r="P514" s="423" cm="1">
        <f t="array" ref="P514">_xlfn.IFERROR('Direct Costs 2026'!$C$27*C514,"N/A")</f>
        <v>144000</v>
      </c>
      <c r="Q514" s="423" cm="1">
        <f t="array" ref="Q514">_xlfn.IFERROR(C514+SUM(E514:P514),"N/A")</f>
        <v>8981500</v>
      </c>
      <c r="R514" s="424"/>
      <c r="S514" s="423" cm="1">
        <f t="array" ref="S514">IF(B514&gt;0,'Allocation OH and Target 2026'!$E$31,"N/A")</f>
        <v>3100447.15769812</v>
      </c>
      <c r="T514" s="423" cm="1">
        <f t="array" ref="T514">IF(B514&gt;0,VLOOKUP(C510,'Allocation OH and Target 2026'!$C$35:$S$87,16,0),"N/A")</f>
        <v>0</v>
      </c>
      <c r="U514" s="423" cm="1">
        <f t="array" ref="U514">_xlfn.IFERROR((S514+T514),"N/A")</f>
        <v>3100447.15769812</v>
      </c>
      <c r="V514" s="424"/>
      <c r="W514" s="423" cm="1">
        <f t="array" ref="W514">_xlfn.IFERROR(U514+Q514,"N/A")</f>
        <v>12081947.1576981</v>
      </c>
      <c r="X514" s="423" cm="1">
        <f t="array" ref="X514">_xlfn.IFERROR(W514*0.5%,"N/A")</f>
        <v>60409.7357884905</v>
      </c>
      <c r="Y514" s="423" cm="1">
        <f t="array" ref="Y514">_xlfn.IFERROR(W514*25%,"N/A")</f>
        <v>3020486.78942453</v>
      </c>
      <c r="Z514" s="425" cm="1">
        <f t="array" ref="Z514">IF(B514&gt;0,SUM(W514:Y514),"N/A")</f>
        <v>15162843.6829111</v>
      </c>
      <c r="AA514" s="425" cm="1">
        <f t="array" ref="AA514">_xlfn.IFERROR((Z514-Z513),"N/A")</f>
        <v>195780</v>
      </c>
      <c r="AB514" s="424"/>
      <c r="AC514" t="str" s="426" cm="1">
        <f t="array" ref="AC514">IF(B514=6,AVERAGE(Z513:Z518),"N/A")</f>
        <v>N/A</v>
      </c>
      <c r="AD514" s="424"/>
      <c r="AE514" s="423"/>
      <c r="AF514" s="423"/>
      <c r="AG514" s="423"/>
      <c r="AH514" s="423"/>
      <c r="AI514" s="423"/>
      <c r="AJ514" s="423"/>
      <c r="AK514" s="423"/>
      <c r="AL514" s="423"/>
      <c r="AM514" s="423"/>
      <c r="AN514" s="427"/>
    </row>
    <row r="515" ht="15" customHeight="1">
      <c r="A515" s="12"/>
      <c r="B515" s="428" cm="1">
        <f t="array" ref="B515">IF(B514=0,0,IF(B514&lt;VLOOKUP(C510,'Boats Data Sheet 2026'!$C$3:$H$57,6,0),B514+1,0))</f>
        <v>3</v>
      </c>
      <c r="C515" s="423" cm="1">
        <f t="array" ref="C515">IF(B515&gt;0,IF(VLOOKUP(C510,'Boats Data Sheet 2026'!$C$3:$J$57,8,0)="N/A",0,VLOOKUP(C510,'Boats Data Sheet 2026'!$C$3:$J$57,8,0)),"N/A")</f>
        <v>7200000</v>
      </c>
      <c r="D515" s="429" cm="1">
        <f t="array" ref="D515">IF(B515&gt;7,2,IF(B515=0,"N/A",1))</f>
        <v>1</v>
      </c>
      <c r="E515" s="423" cm="1">
        <f t="array" ref="E515">_xlfn.IFERROR(SUM('Direct Costs 2026'!$C$4:$C$5)*D515,"N/A")</f>
        <v>875500</v>
      </c>
      <c r="F515" s="423" cm="1">
        <f t="array" ref="F515">_xlfn.IFERROR('Direct Costs 2026'!$C$43*B515,"N/A")</f>
        <v>18000</v>
      </c>
      <c r="G515" s="423" cm="1">
        <f t="array" ref="G515">IF(B515&gt;0,'Direct Costs 2026'!$C$25,"N/A")</f>
        <v>90000</v>
      </c>
      <c r="H515" s="423" cm="1">
        <f t="array" ref="H515">IF(B515&gt;0,'Direct Costs 2026'!$C$22,"N/A")</f>
        <v>200000</v>
      </c>
      <c r="I515" s="423">
        <v>0</v>
      </c>
      <c r="J515" s="423">
        <v>0</v>
      </c>
      <c r="K515" s="423" cm="1">
        <f t="array" ref="K515">IF(B515&gt;0,'Direct Costs 2026'!$C$26,"N/A")</f>
        <v>20000</v>
      </c>
      <c r="L515" s="423" cm="1">
        <f t="array" ref="L515">IF(B515&gt;0,'Direct Costs 2026'!$C$23,"N/A")</f>
        <v>140000</v>
      </c>
      <c r="M515" s="423" cm="1">
        <f t="array" ref="M515">IF(B515&gt;0,'Direct Costs 2026'!$C$45*B515,"N/A")</f>
        <v>450000</v>
      </c>
      <c r="N515" t="str" s="431" cm="1">
        <f t="array" ref="N515">IF(B515&gt;0,_xlfn.IFERROR(VLOOKUP(C510,'Boats Data Sheet 2026'!$C$3:$I$57,7,0)*'Direct Costs 2026'!$C$36,"N/A"),"N/A")</f>
        <v>N/A</v>
      </c>
      <c r="O515" t="str" s="431" cm="1">
        <f t="array" ref="O515">IF(B515&gt;0,IF(OR(VLOOKUP(C510,'Boats Data Sheet 2026'!$C$3:$F$57,4,0)="Own",VLOOKUP(C510,'Boats Data Sheet 2026'!$C$3:$F$57,4,0)="Management"),('Direct Costs 2026'!$C$37+'Direct Costs 2026'!$C$39),"N/A"),"N/A")</f>
        <v>N/A</v>
      </c>
      <c r="P515" s="423" cm="1">
        <f t="array" ref="P515">_xlfn.IFERROR('Direct Costs 2026'!$C$27*C515,"N/A")</f>
        <v>144000</v>
      </c>
      <c r="Q515" s="423" cm="1">
        <f t="array" ref="Q515">_xlfn.IFERROR(C515+SUM(E515:P515),"N/A")</f>
        <v>9137500</v>
      </c>
      <c r="R515" s="424"/>
      <c r="S515" s="423" cm="1">
        <f t="array" ref="S515">IF(B515&gt;0,'Allocation OH and Target 2026'!$E$31,"N/A")</f>
        <v>3100447.15769812</v>
      </c>
      <c r="T515" s="423" cm="1">
        <f t="array" ref="T515">IF(B515&gt;0,VLOOKUP(C510,'Allocation OH and Target 2026'!$C$35:$S$87,16,0),"N/A")</f>
        <v>0</v>
      </c>
      <c r="U515" s="423" cm="1">
        <f t="array" ref="U515">_xlfn.IFERROR((S515+T515),"N/A")</f>
        <v>3100447.15769812</v>
      </c>
      <c r="V515" s="424"/>
      <c r="W515" s="423" cm="1">
        <f t="array" ref="W515">_xlfn.IFERROR(U515+Q515,"N/A")</f>
        <v>12237947.1576981</v>
      </c>
      <c r="X515" s="423" cm="1">
        <f t="array" ref="X515">_xlfn.IFERROR(W515*0.5%,"N/A")</f>
        <v>61189.7357884905</v>
      </c>
      <c r="Y515" s="423" cm="1">
        <f t="array" ref="Y515">_xlfn.IFERROR(W515*25%,"N/A")</f>
        <v>3059486.78942453</v>
      </c>
      <c r="Z515" s="425" cm="1">
        <f t="array" ref="Z515">IF(B515&gt;0,SUM(W515:Y515),"N/A")</f>
        <v>15358623.6829111</v>
      </c>
      <c r="AA515" s="425" cm="1">
        <f t="array" ref="AA515">_xlfn.IFERROR((Z515-Z514),"N/A")</f>
        <v>195780</v>
      </c>
      <c r="AB515" s="424"/>
      <c r="AC515" t="str" s="426" cm="1">
        <f t="array" ref="AC515">IF(B515=6,AVERAGE(Z513:Z518),"N/A")</f>
        <v>N/A</v>
      </c>
      <c r="AD515" s="424"/>
      <c r="AE515" s="423"/>
      <c r="AF515" s="423"/>
      <c r="AG515" s="423"/>
      <c r="AH515" s="423"/>
      <c r="AI515" s="423"/>
      <c r="AJ515" s="423"/>
      <c r="AK515" s="423"/>
      <c r="AL515" s="423"/>
      <c r="AM515" s="423"/>
      <c r="AN515" s="427"/>
    </row>
    <row r="516" ht="15" customHeight="1">
      <c r="A516" s="12"/>
      <c r="B516" s="428" cm="1">
        <f t="array" ref="B516">IF(B515=0,0,IF(B515&lt;VLOOKUP(C510,'Boats Data Sheet 2026'!$C$3:$H$57,6,0),B515+1,0))</f>
        <v>4</v>
      </c>
      <c r="C516" s="423" cm="1">
        <f t="array" ref="C516">IF(B516&gt;0,IF(VLOOKUP(C510,'Boats Data Sheet 2026'!$C$3:$J$57,8,0)="N/A",0,VLOOKUP(C510,'Boats Data Sheet 2026'!$C$3:$J$57,8,0)),"N/A")</f>
        <v>7200000</v>
      </c>
      <c r="D516" s="429" cm="1">
        <f t="array" ref="D516">IF(B516&gt;7,2,IF(B516=0,"N/A",1))</f>
        <v>1</v>
      </c>
      <c r="E516" s="423" cm="1">
        <f t="array" ref="E516">_xlfn.IFERROR(SUM('Direct Costs 2026'!$C$4:$C$5)*D516,"N/A")</f>
        <v>875500</v>
      </c>
      <c r="F516" s="423" cm="1">
        <f t="array" ref="F516">_xlfn.IFERROR('Direct Costs 2026'!$C$43*B516,"N/A")</f>
        <v>24000</v>
      </c>
      <c r="G516" s="423" cm="1">
        <f t="array" ref="G516">IF(B516&gt;0,'Direct Costs 2026'!$C$25,"N/A")</f>
        <v>90000</v>
      </c>
      <c r="H516" s="423" cm="1">
        <f t="array" ref="H516">IF(B516&gt;0,'Direct Costs 2026'!$C$22,"N/A")</f>
        <v>200000</v>
      </c>
      <c r="I516" s="423">
        <v>0</v>
      </c>
      <c r="J516" s="423">
        <v>0</v>
      </c>
      <c r="K516" s="423" cm="1">
        <f t="array" ref="K516">IF(B516&gt;0,'Direct Costs 2026'!$C$26,"N/A")</f>
        <v>20000</v>
      </c>
      <c r="L516" s="423" cm="1">
        <f t="array" ref="L516">IF(B516&gt;0,'Direct Costs 2026'!$C$23,"N/A")</f>
        <v>140000</v>
      </c>
      <c r="M516" s="423" cm="1">
        <f t="array" ref="M516">IF(B516&gt;0,'Direct Costs 2026'!$C$45*B516,"N/A")</f>
        <v>600000</v>
      </c>
      <c r="N516" t="str" s="431" cm="1">
        <f t="array" ref="N516">IF(B516&gt;0,_xlfn.IFERROR(VLOOKUP(C510,'Boats Data Sheet 2026'!$C$3:$I$57,7,0)*'Direct Costs 2026'!$C$36,"N/A"),"N/A")</f>
        <v>N/A</v>
      </c>
      <c r="O516" t="str" s="431" cm="1">
        <f t="array" ref="O516">IF(B516&gt;0,IF(OR(VLOOKUP(C510,'Boats Data Sheet 2026'!$C$3:$F$57,4,0)="Own",VLOOKUP(C510,'Boats Data Sheet 2026'!$C$3:$F$57,4,0)="Management"),('Direct Costs 2026'!$C$37+'Direct Costs 2026'!$C$39),"N/A"),"N/A")</f>
        <v>N/A</v>
      </c>
      <c r="P516" s="423" cm="1">
        <f t="array" ref="P516">_xlfn.IFERROR('Direct Costs 2026'!$C$27*C516,"N/A")</f>
        <v>144000</v>
      </c>
      <c r="Q516" s="423" cm="1">
        <f t="array" ref="Q516">_xlfn.IFERROR(C516+SUM(E516:P516),"N/A")</f>
        <v>9293500</v>
      </c>
      <c r="R516" s="424"/>
      <c r="S516" s="423" cm="1">
        <f t="array" ref="S516">IF(B516&gt;0,'Allocation OH and Target 2026'!$E$31,"N/A")</f>
        <v>3100447.15769812</v>
      </c>
      <c r="T516" s="423" cm="1">
        <f t="array" ref="T516">IF(B516&gt;0,VLOOKUP(C510,'Allocation OH and Target 2026'!$C$35:$S$87,16,0),"N/A")</f>
        <v>0</v>
      </c>
      <c r="U516" s="423" cm="1">
        <f t="array" ref="U516">_xlfn.IFERROR((S516+T516),"N/A")</f>
        <v>3100447.15769812</v>
      </c>
      <c r="V516" s="424"/>
      <c r="W516" s="423" cm="1">
        <f t="array" ref="W516">_xlfn.IFERROR(U516+Q516,"N/A")</f>
        <v>12393947.1576981</v>
      </c>
      <c r="X516" s="423" cm="1">
        <f t="array" ref="X516">_xlfn.IFERROR(W516*0.5%,"N/A")</f>
        <v>61969.7357884905</v>
      </c>
      <c r="Y516" s="423" cm="1">
        <f t="array" ref="Y516">_xlfn.IFERROR(W516*25%,"N/A")</f>
        <v>3098486.78942453</v>
      </c>
      <c r="Z516" s="425" cm="1">
        <f t="array" ref="Z516">IF(B516&gt;0,SUM(W516:Y516),"N/A")</f>
        <v>15554403.6829111</v>
      </c>
      <c r="AA516" s="425" cm="1">
        <f t="array" ref="AA516">_xlfn.IFERROR((Z516-Z515),"N/A")</f>
        <v>195780</v>
      </c>
      <c r="AB516" s="424"/>
      <c r="AC516" t="str" s="426" cm="1">
        <f t="array" ref="AC516">IF(B516=6,AVERAGE(Z513:Z518),"N/A")</f>
        <v>N/A</v>
      </c>
      <c r="AD516" s="424"/>
      <c r="AE516" s="423"/>
      <c r="AF516" s="423"/>
      <c r="AG516" s="423"/>
      <c r="AH516" s="423"/>
      <c r="AI516" s="423"/>
      <c r="AJ516" s="423"/>
      <c r="AK516" s="423"/>
      <c r="AL516" s="423"/>
      <c r="AM516" s="423"/>
      <c r="AN516" s="427"/>
    </row>
    <row r="517" ht="15" customHeight="1">
      <c r="A517" s="12"/>
      <c r="B517" s="428" cm="1">
        <f t="array" ref="B517">IF(B516=0,0,IF(B516&lt;VLOOKUP(C510,'Boats Data Sheet 2026'!$C$3:$H$57,6,0),B516+1,0))</f>
        <v>5</v>
      </c>
      <c r="C517" s="423" cm="1">
        <f t="array" ref="C517">IF(B517&gt;0,IF(VLOOKUP(C510,'Boats Data Sheet 2026'!$C$3:$J$57,8,0)="N/A",0,VLOOKUP(C510,'Boats Data Sheet 2026'!$C$3:$J$57,8,0)),"N/A")</f>
        <v>7200000</v>
      </c>
      <c r="D517" s="429" cm="1">
        <f t="array" ref="D517">IF(B517&gt;7,2,IF(B517=0,"N/A",1))</f>
        <v>1</v>
      </c>
      <c r="E517" s="423" cm="1">
        <f t="array" ref="E517">_xlfn.IFERROR(SUM('Direct Costs 2026'!$C$4:$C$5)*D517,"N/A")</f>
        <v>875500</v>
      </c>
      <c r="F517" s="423" cm="1">
        <f t="array" ref="F517">_xlfn.IFERROR('Direct Costs 2026'!$C$43*B517,"N/A")</f>
        <v>30000</v>
      </c>
      <c r="G517" s="423" cm="1">
        <f t="array" ref="G517">IF(B517&gt;0,'Direct Costs 2026'!$C$25,"N/A")</f>
        <v>90000</v>
      </c>
      <c r="H517" s="423" cm="1">
        <f t="array" ref="H517">IF(B517&gt;0,'Direct Costs 2026'!$C$22,"N/A")</f>
        <v>200000</v>
      </c>
      <c r="I517" s="423">
        <v>0</v>
      </c>
      <c r="J517" s="423">
        <v>0</v>
      </c>
      <c r="K517" s="423" cm="1">
        <f t="array" ref="K517">IF(B517&gt;0,'Direct Costs 2026'!$C$26,"N/A")</f>
        <v>20000</v>
      </c>
      <c r="L517" s="423" cm="1">
        <f t="array" ref="L517">IF(B517&gt;0,'Direct Costs 2026'!$C$23,"N/A")</f>
        <v>140000</v>
      </c>
      <c r="M517" s="423" cm="1">
        <f t="array" ref="M517">IF(B517&gt;0,'Direct Costs 2026'!$C$45*B517,"N/A")</f>
        <v>750000</v>
      </c>
      <c r="N517" t="str" s="431" cm="1">
        <f t="array" ref="N517">IF(B517&gt;0,_xlfn.IFERROR(VLOOKUP(C510,'Boats Data Sheet 2026'!$C$3:$I$57,7,0)*'Direct Costs 2026'!$C$36,"N/A"),"N/A")</f>
        <v>N/A</v>
      </c>
      <c r="O517" t="str" s="431" cm="1">
        <f t="array" ref="O517">IF(B517&gt;0,IF(OR(VLOOKUP(C510,'Boats Data Sheet 2026'!$C$3:$F$57,4,0)="Own",VLOOKUP(C510,'Boats Data Sheet 2026'!$C$3:$F$57,4,0)="Management"),('Direct Costs 2026'!$C$37+'Direct Costs 2026'!$C$39),"N/A"),"N/A")</f>
        <v>N/A</v>
      </c>
      <c r="P517" s="423" cm="1">
        <f t="array" ref="P517">_xlfn.IFERROR('Direct Costs 2026'!$C$27*C517,"N/A")</f>
        <v>144000</v>
      </c>
      <c r="Q517" s="423" cm="1">
        <f t="array" ref="Q517">_xlfn.IFERROR(C517+SUM(E517:P517),"N/A")</f>
        <v>9449500</v>
      </c>
      <c r="R517" s="424"/>
      <c r="S517" s="423" cm="1">
        <f t="array" ref="S517">IF(B517&gt;0,'Allocation OH and Target 2026'!$E$31,"N/A")</f>
        <v>3100447.15769812</v>
      </c>
      <c r="T517" s="423" cm="1">
        <f t="array" ref="T517">IF(B517&gt;0,VLOOKUP(C510,'Allocation OH and Target 2026'!$C$35:$S$87,16,0),"N/A")</f>
        <v>0</v>
      </c>
      <c r="U517" s="423" cm="1">
        <f t="array" ref="U517">_xlfn.IFERROR((S517+T517),"N/A")</f>
        <v>3100447.15769812</v>
      </c>
      <c r="V517" s="424"/>
      <c r="W517" s="423" cm="1">
        <f t="array" ref="W517">_xlfn.IFERROR(U517+Q517,"N/A")</f>
        <v>12549947.1576981</v>
      </c>
      <c r="X517" s="423" cm="1">
        <f t="array" ref="X517">_xlfn.IFERROR(W517*0.5%,"N/A")</f>
        <v>62749.7357884905</v>
      </c>
      <c r="Y517" s="423" cm="1">
        <f t="array" ref="Y517">_xlfn.IFERROR(W517*25%,"N/A")</f>
        <v>3137486.78942453</v>
      </c>
      <c r="Z517" s="425" cm="1">
        <f t="array" ref="Z517">IF(B517&gt;0,SUM(W517:Y517),"N/A")</f>
        <v>15750183.6829111</v>
      </c>
      <c r="AA517" s="425" cm="1">
        <f t="array" ref="AA517">_xlfn.IFERROR((Z517-Z516),"N/A")</f>
        <v>195780</v>
      </c>
      <c r="AB517" s="424"/>
      <c r="AC517" t="str" s="426" cm="1">
        <f t="array" ref="AC517">IF(B517=6,AVERAGE(Z513:Z518),"N/A")</f>
        <v>N/A</v>
      </c>
      <c r="AD517" s="424"/>
      <c r="AE517" s="423"/>
      <c r="AF517" s="423"/>
      <c r="AG517" s="423"/>
      <c r="AH517" s="423"/>
      <c r="AI517" s="423"/>
      <c r="AJ517" s="423"/>
      <c r="AK517" s="423"/>
      <c r="AL517" s="423"/>
      <c r="AM517" s="423"/>
      <c r="AN517" s="427"/>
    </row>
    <row r="518" ht="15" customHeight="1">
      <c r="A518" s="12"/>
      <c r="B518" s="428" cm="1">
        <f t="array" ref="B518">IF(B517=0,0,IF(B517&lt;VLOOKUP(C510,'Boats Data Sheet 2026'!$C$3:$H$57,6,0),B517+1,0))</f>
        <v>6</v>
      </c>
      <c r="C518" s="423" cm="1">
        <f t="array" ref="C518">IF(B518&gt;0,IF(VLOOKUP(C510,'Boats Data Sheet 2026'!$C$3:$J$57,8,0)="N/A",0,VLOOKUP(C510,'Boats Data Sheet 2026'!$C$3:$J$57,8,0)),"N/A")</f>
        <v>7200000</v>
      </c>
      <c r="D518" s="429" cm="1">
        <f t="array" ref="D518">IF(B518&gt;7,2,IF(B518=0,"N/A",1))</f>
        <v>1</v>
      </c>
      <c r="E518" s="423" cm="1">
        <f t="array" ref="E518">_xlfn.IFERROR(SUM('Direct Costs 2026'!$C$4:$C$5)*D518,"N/A")</f>
        <v>875500</v>
      </c>
      <c r="F518" s="423" cm="1">
        <f t="array" ref="F518">_xlfn.IFERROR('Direct Costs 2026'!$C$43*B518,"N/A")</f>
        <v>36000</v>
      </c>
      <c r="G518" s="423" cm="1">
        <f t="array" ref="G518">IF(B518&gt;0,'Direct Costs 2026'!$C$25,"N/A")</f>
        <v>90000</v>
      </c>
      <c r="H518" s="423" cm="1">
        <f t="array" ref="H518">IF(B518&gt;0,'Direct Costs 2026'!$C$22,"N/A")</f>
        <v>200000</v>
      </c>
      <c r="I518" s="423">
        <v>0</v>
      </c>
      <c r="J518" s="423">
        <v>0</v>
      </c>
      <c r="K518" s="423" cm="1">
        <f t="array" ref="K518">IF(B518&gt;0,'Direct Costs 2026'!$C$26,"N/A")</f>
        <v>20000</v>
      </c>
      <c r="L518" s="423" cm="1">
        <f t="array" ref="L518">IF(B518&gt;0,'Direct Costs 2026'!$C$23,"N/A")</f>
        <v>140000</v>
      </c>
      <c r="M518" s="423" cm="1">
        <f t="array" ref="M518">IF(B518&gt;0,'Direct Costs 2026'!$C$45*B518,"N/A")</f>
        <v>900000</v>
      </c>
      <c r="N518" t="str" s="431" cm="1">
        <f t="array" ref="N518">IF(B518&gt;0,_xlfn.IFERROR(VLOOKUP(C510,'Boats Data Sheet 2026'!$C$3:$I$57,7,0)*'Direct Costs 2026'!$C$36,"N/A"),"N/A")</f>
        <v>N/A</v>
      </c>
      <c r="O518" t="str" s="431" cm="1">
        <f t="array" ref="O518">IF(B518&gt;0,IF(OR(VLOOKUP(C510,'Boats Data Sheet 2026'!$C$3:$F$57,4,0)="Own",VLOOKUP(C510,'Boats Data Sheet 2026'!$C$3:$F$57,4,0)="Management"),('Direct Costs 2026'!$C$37+'Direct Costs 2026'!$C$39),"N/A"),"N/A")</f>
        <v>N/A</v>
      </c>
      <c r="P518" s="423" cm="1">
        <f t="array" ref="P518">_xlfn.IFERROR('Direct Costs 2026'!$C$27*C518,"N/A")</f>
        <v>144000</v>
      </c>
      <c r="Q518" s="423" cm="1">
        <f t="array" ref="Q518">_xlfn.IFERROR(C518+SUM(E518:P518),"N/A")</f>
        <v>9605500</v>
      </c>
      <c r="R518" s="424"/>
      <c r="S518" s="423" cm="1">
        <f t="array" ref="S518">IF(B518&gt;0,'Allocation OH and Target 2026'!$E$31,"N/A")</f>
        <v>3100447.15769812</v>
      </c>
      <c r="T518" s="423" cm="1">
        <f t="array" ref="T518">IF(B518&gt;0,VLOOKUP(C510,'Allocation OH and Target 2026'!$C$35:$S$87,16,0),"N/A")</f>
        <v>0</v>
      </c>
      <c r="U518" s="423" cm="1">
        <f t="array" ref="U518">_xlfn.IFERROR((S518+T518),"N/A")</f>
        <v>3100447.15769812</v>
      </c>
      <c r="V518" s="424"/>
      <c r="W518" s="423" cm="1">
        <f t="array" ref="W518">_xlfn.IFERROR(U518+Q518,"N/A")</f>
        <v>12705947.1576981</v>
      </c>
      <c r="X518" s="423" cm="1">
        <f t="array" ref="X518">_xlfn.IFERROR(W518*0.5%,"N/A")</f>
        <v>63529.7357884905</v>
      </c>
      <c r="Y518" s="423" cm="1">
        <f t="array" ref="Y518">_xlfn.IFERROR(W518*25%,"N/A")</f>
        <v>3176486.78942453</v>
      </c>
      <c r="Z518" s="425" cm="1">
        <f t="array" ref="Z518">IF(B518&gt;0,SUM(W518:Y518),"N/A")</f>
        <v>15945963.6829111</v>
      </c>
      <c r="AA518" s="425" cm="1">
        <f t="array" ref="AA518">_xlfn.IFERROR((Z518-Z517),"N/A")</f>
        <v>195780</v>
      </c>
      <c r="AB518" s="424"/>
      <c r="AC518" s="425" cm="1">
        <f t="array" ref="AC518">IF(B518=6,AVERAGE(Z513:Z518),"N/A")</f>
        <v>15456513.6829111</v>
      </c>
      <c r="AD518" s="424"/>
      <c r="AE518" s="423"/>
      <c r="AF518" s="423"/>
      <c r="AG518" s="423"/>
      <c r="AH518" s="423"/>
      <c r="AI518" s="423"/>
      <c r="AJ518" s="423"/>
      <c r="AK518" s="423"/>
      <c r="AL518" s="423"/>
      <c r="AM518" s="423"/>
      <c r="AN518" s="427"/>
    </row>
    <row r="519" ht="15" customHeight="1">
      <c r="A519" s="12"/>
      <c r="B519" s="428" cm="1">
        <f t="array" ref="B519">IF(B518=0,0,IF(B518&lt;VLOOKUP(C510,'Boats Data Sheet 2026'!$C$3:$H$57,6,0),B518+1,0))</f>
        <v>7</v>
      </c>
      <c r="C519" s="423" cm="1">
        <f t="array" ref="C519">IF(B519&gt;0,IF(VLOOKUP(C510,'Boats Data Sheet 2026'!$C$3:$J$57,8,0)="N/A",0,VLOOKUP(C510,'Boats Data Sheet 2026'!$C$3:$J$57,8,0)),"N/A")</f>
        <v>7200000</v>
      </c>
      <c r="D519" s="429" cm="1">
        <f t="array" ref="D519">IF(B519&gt;7,2,IF(B519=0,"N/A",1))</f>
        <v>1</v>
      </c>
      <c r="E519" s="423" cm="1">
        <f t="array" ref="E519">_xlfn.IFERROR(SUM('Direct Costs 2026'!$C$4:$C$5)*D519,"N/A")</f>
        <v>875500</v>
      </c>
      <c r="F519" s="423" cm="1">
        <f t="array" ref="F519">_xlfn.IFERROR('Direct Costs 2026'!$C$43*B519,"N/A")</f>
        <v>42000</v>
      </c>
      <c r="G519" s="423" cm="1">
        <f t="array" ref="G519">IF(B519&gt;0,'Direct Costs 2026'!$C$25,"N/A")</f>
        <v>90000</v>
      </c>
      <c r="H519" s="423" cm="1">
        <f t="array" ref="H519">IF(B519&gt;0,'Direct Costs 2026'!$C$22,"N/A")</f>
        <v>200000</v>
      </c>
      <c r="I519" s="423">
        <v>0</v>
      </c>
      <c r="J519" s="423">
        <v>0</v>
      </c>
      <c r="K519" s="423" cm="1">
        <f t="array" ref="K519">IF(B519&gt;0,'Direct Costs 2026'!$C$26,"N/A")</f>
        <v>20000</v>
      </c>
      <c r="L519" s="423" cm="1">
        <f t="array" ref="L519">IF(B519&gt;0,'Direct Costs 2026'!$C$23,"N/A")</f>
        <v>140000</v>
      </c>
      <c r="M519" s="423" cm="1">
        <f t="array" ref="M519">IF(B519&gt;0,'Direct Costs 2026'!$C$45*B519,"N/A")</f>
        <v>1050000</v>
      </c>
      <c r="N519" t="str" s="431" cm="1">
        <f t="array" ref="N519">IF(B519&gt;0,_xlfn.IFERROR(VLOOKUP(C510,'Boats Data Sheet 2026'!$C$3:$I$57,7,0)*'Direct Costs 2026'!$C$36,"N/A"),"N/A")</f>
        <v>N/A</v>
      </c>
      <c r="O519" t="str" s="431" cm="1">
        <f t="array" ref="O519">IF(B519&gt;0,IF(OR(VLOOKUP(C510,'Boats Data Sheet 2026'!$C$3:$F$57,4,0)="Own",VLOOKUP(C510,'Boats Data Sheet 2026'!$C$3:$F$57,4,0)="Management"),('Direct Costs 2026'!$C$37+'Direct Costs 2026'!$C$39),"N/A"),"N/A")</f>
        <v>N/A</v>
      </c>
      <c r="P519" s="423" cm="1">
        <f t="array" ref="P519">_xlfn.IFERROR('Direct Costs 2026'!$C$27*C519,"N/A")</f>
        <v>144000</v>
      </c>
      <c r="Q519" s="423" cm="1">
        <f t="array" ref="Q519">_xlfn.IFERROR(C519+SUM(E519:P519),"N/A")</f>
        <v>9761500</v>
      </c>
      <c r="R519" s="424"/>
      <c r="S519" s="423" cm="1">
        <f t="array" ref="S519">IF(B519&gt;0,'Allocation OH and Target 2026'!$E$31,"N/A")</f>
        <v>3100447.15769812</v>
      </c>
      <c r="T519" s="423" cm="1">
        <f t="array" ref="T519">IF(B519&gt;0,VLOOKUP(C510,'Allocation OH and Target 2026'!$C$35:$S$87,16,0),"N/A")</f>
        <v>0</v>
      </c>
      <c r="U519" s="423" cm="1">
        <f t="array" ref="U519">_xlfn.IFERROR((S519+T519),"N/A")</f>
        <v>3100447.15769812</v>
      </c>
      <c r="V519" s="424"/>
      <c r="W519" s="423" cm="1">
        <f t="array" ref="W519">_xlfn.IFERROR(U519+Q519,"N/A")</f>
        <v>12861947.1576981</v>
      </c>
      <c r="X519" s="423" cm="1">
        <f t="array" ref="X519">_xlfn.IFERROR(W519*0.5%,"N/A")</f>
        <v>64309.7357884905</v>
      </c>
      <c r="Y519" s="423" cm="1">
        <f t="array" ref="Y519">_xlfn.IFERROR(W519*25%,"N/A")</f>
        <v>3215486.78942453</v>
      </c>
      <c r="Z519" s="425" cm="1">
        <f t="array" ref="Z519">IF(B519&gt;0,SUM(W519:Y519),"N/A")</f>
        <v>16141743.6829111</v>
      </c>
      <c r="AA519" s="425" cm="1">
        <f t="array" ref="AA519">_xlfn.IFERROR((Z519-Z518),"N/A")</f>
        <v>195780</v>
      </c>
      <c r="AB519" s="424"/>
      <c r="AC519" t="str" s="426" cm="1">
        <f t="array" ref="AC519">IF(B519=6,AVERAGE(Z513:Z518),"N/A")</f>
        <v>N/A</v>
      </c>
      <c r="AD519" s="424"/>
      <c r="AE519" s="423"/>
      <c r="AF519" s="423"/>
      <c r="AG519" s="423"/>
      <c r="AH519" s="423"/>
      <c r="AI519" s="423"/>
      <c r="AJ519" s="423"/>
      <c r="AK519" s="423"/>
      <c r="AL519" s="423"/>
      <c r="AM519" s="423"/>
      <c r="AN519" s="427"/>
    </row>
    <row r="520" ht="15" customHeight="1">
      <c r="A520" s="12"/>
      <c r="B520" s="428" cm="1">
        <f t="array" ref="B520">IF(B519=0,0,IF(B519&lt;VLOOKUP(C510,'Boats Data Sheet 2026'!$C$3:$H$57,6,0),B519+1,0))</f>
        <v>8</v>
      </c>
      <c r="C520" s="423" cm="1">
        <f t="array" ref="C520">IF(B520&gt;0,IF(VLOOKUP(C510,'Boats Data Sheet 2026'!$C$3:$J$57,8,0)="N/A",0,VLOOKUP(C510,'Boats Data Sheet 2026'!$C$3:$J$57,8,0)),"N/A")</f>
        <v>7200000</v>
      </c>
      <c r="D520" s="429" cm="1">
        <f t="array" ref="D520">IF(B520&gt;7,2,IF(B520=0,"N/A",1))</f>
        <v>2</v>
      </c>
      <c r="E520" s="423" cm="1">
        <f t="array" ref="E520">_xlfn.IFERROR(SUM('Direct Costs 2026'!$C$4:$C$5)*D520,"N/A")</f>
        <v>1751000</v>
      </c>
      <c r="F520" s="423" cm="1">
        <f t="array" ref="F520">_xlfn.IFERROR('Direct Costs 2026'!$C$43*B520,"N/A")</f>
        <v>48000</v>
      </c>
      <c r="G520" s="423" cm="1">
        <f t="array" ref="G520">IF(B520&gt;0,'Direct Costs 2026'!$C$25,"N/A")</f>
        <v>90000</v>
      </c>
      <c r="H520" s="423" cm="1">
        <f t="array" ref="H520">IF(B520&gt;0,'Direct Costs 2026'!$C$22,"N/A")</f>
        <v>200000</v>
      </c>
      <c r="I520" s="423">
        <v>0</v>
      </c>
      <c r="J520" s="423">
        <v>0</v>
      </c>
      <c r="K520" s="423" cm="1">
        <f t="array" ref="K520">IF(B520&gt;0,'Direct Costs 2026'!$C$26,"N/A")</f>
        <v>20000</v>
      </c>
      <c r="L520" s="423" cm="1">
        <f t="array" ref="L520">IF(B520&gt;0,'Direct Costs 2026'!$C$23,"N/A")</f>
        <v>140000</v>
      </c>
      <c r="M520" s="423" cm="1">
        <f t="array" ref="M520">IF(B520&gt;0,'Direct Costs 2026'!$C$45*B520,"N/A")</f>
        <v>1200000</v>
      </c>
      <c r="N520" t="str" s="431" cm="1">
        <f t="array" ref="N520">IF(B520&gt;0,_xlfn.IFERROR(VLOOKUP(C510,'Boats Data Sheet 2026'!$C$3:$I$57,7,0)*'Direct Costs 2026'!$C$36,"N/A"),"N/A")</f>
        <v>N/A</v>
      </c>
      <c r="O520" t="str" s="431" cm="1">
        <f t="array" ref="O520">IF(B520&gt;0,IF(OR(VLOOKUP(C510,'Boats Data Sheet 2026'!$C$3:$F$57,4,0)="Own",VLOOKUP(C510,'Boats Data Sheet 2026'!$C$3:$F$57,4,0)="Management"),('Direct Costs 2026'!$C$37+'Direct Costs 2026'!$C$39),"N/A"),"N/A")</f>
        <v>N/A</v>
      </c>
      <c r="P520" s="423" cm="1">
        <f t="array" ref="P520">_xlfn.IFERROR('Direct Costs 2026'!$C$27*C520,"N/A")</f>
        <v>144000</v>
      </c>
      <c r="Q520" s="423" cm="1">
        <f t="array" ref="Q520">_xlfn.IFERROR(C520+SUM(E520:P520),"N/A")</f>
        <v>10793000</v>
      </c>
      <c r="R520" s="424"/>
      <c r="S520" s="423" cm="1">
        <f t="array" ref="S520">IF(B520&gt;0,'Allocation OH and Target 2026'!$E$31,"N/A")</f>
        <v>3100447.15769812</v>
      </c>
      <c r="T520" s="423" cm="1">
        <f t="array" ref="T520">IF(B520&gt;0,VLOOKUP(C510,'Allocation OH and Target 2026'!$C$35:$S$87,16,0),"N/A")</f>
        <v>0</v>
      </c>
      <c r="U520" s="423" cm="1">
        <f t="array" ref="U520">_xlfn.IFERROR((S520+T520),"N/A")</f>
        <v>3100447.15769812</v>
      </c>
      <c r="V520" s="424"/>
      <c r="W520" s="423" cm="1">
        <f t="array" ref="W520">_xlfn.IFERROR(U520+Q520,"N/A")</f>
        <v>13893447.1576981</v>
      </c>
      <c r="X520" s="423" cm="1">
        <f t="array" ref="X520">_xlfn.IFERROR(W520*0.5%,"N/A")</f>
        <v>69467.235788490507</v>
      </c>
      <c r="Y520" s="423" cm="1">
        <f t="array" ref="Y520">_xlfn.IFERROR(W520*25%,"N/A")</f>
        <v>3473361.78942453</v>
      </c>
      <c r="Z520" s="425" cm="1">
        <f t="array" ref="Z520">IF(B520&gt;0,SUM(W520:Y520),"N/A")</f>
        <v>17436276.1829111</v>
      </c>
      <c r="AA520" s="425" cm="1">
        <f t="array" ref="AA520">_xlfn.IFERROR((Z520-Z519),"N/A")</f>
        <v>1294532.5</v>
      </c>
      <c r="AB520" s="424"/>
      <c r="AC520" t="str" s="426" cm="1">
        <f t="array" ref="AC520">IF(B520=6,AVERAGE(Z513:Z518),"N/A")</f>
        <v>N/A</v>
      </c>
      <c r="AD520" s="424"/>
      <c r="AE520" s="423"/>
      <c r="AF520" s="423"/>
      <c r="AG520" s="423"/>
      <c r="AH520" s="423"/>
      <c r="AI520" s="423"/>
      <c r="AJ520" s="423"/>
      <c r="AK520" s="423"/>
      <c r="AL520" s="423"/>
      <c r="AM520" s="423"/>
      <c r="AN520" s="427"/>
    </row>
    <row r="521" ht="15" customHeight="1">
      <c r="A521" s="12"/>
      <c r="B521" s="428" cm="1">
        <f t="array" ref="B521">IF(B520=0,0,IF(B520&lt;VLOOKUP(C510,'Boats Data Sheet 2026'!$C$3:$H$57,6,0),B520+1,0))</f>
        <v>9</v>
      </c>
      <c r="C521" s="423" cm="1">
        <f t="array" ref="C521">IF(B521&gt;0,IF(VLOOKUP(C510,'Boats Data Sheet 2026'!$C$3:$J$57,8,0)="N/A",0,VLOOKUP(C510,'Boats Data Sheet 2026'!$C$3:$J$57,8,0)),"N/A")</f>
        <v>7200000</v>
      </c>
      <c r="D521" s="430" cm="1">
        <f t="array" ref="D521">IF(B521&gt;7,2,IF(B521=0,"N/A",1))</f>
        <v>2</v>
      </c>
      <c r="E521" s="423" cm="1">
        <f t="array" ref="E521">_xlfn.IFERROR(SUM('Direct Costs 2026'!$C$4:$C$5)*D521,"N/A")</f>
        <v>1751000</v>
      </c>
      <c r="F521" s="423" cm="1">
        <f t="array" ref="F521">_xlfn.IFERROR('Direct Costs 2026'!$C$43*B521,"N/A")</f>
        <v>54000</v>
      </c>
      <c r="G521" s="423" cm="1">
        <f t="array" ref="G521">IF(B521&gt;0,'Direct Costs 2026'!$C$25,"N/A")</f>
        <v>90000</v>
      </c>
      <c r="H521" s="423" cm="1">
        <f t="array" ref="H521">IF(B521&gt;0,'Direct Costs 2026'!$C$22,"N/A")</f>
        <v>200000</v>
      </c>
      <c r="I521" s="423">
        <v>0</v>
      </c>
      <c r="J521" s="423">
        <v>0</v>
      </c>
      <c r="K521" s="423" cm="1">
        <f t="array" ref="K521">IF(B521&gt;0,'Direct Costs 2026'!$C$26,"N/A")</f>
        <v>20000</v>
      </c>
      <c r="L521" s="423" cm="1">
        <f t="array" ref="L521">IF(B521&gt;0,'Direct Costs 2026'!$C$23,"N/A")</f>
        <v>140000</v>
      </c>
      <c r="M521" s="423" cm="1">
        <f t="array" ref="M521">IF(B521&gt;0,'Direct Costs 2026'!$C$45*B521,"N/A")</f>
        <v>1350000</v>
      </c>
      <c r="N521" t="str" s="431" cm="1">
        <f t="array" ref="N521">IF(B521&gt;0,_xlfn.IFERROR(VLOOKUP(C510,'Boats Data Sheet 2026'!$C$3:$I$57,7,0)*'Direct Costs 2026'!$C$36,"N/A"),"N/A")</f>
        <v>N/A</v>
      </c>
      <c r="O521" t="str" s="431" cm="1">
        <f t="array" ref="O521">IF(B521&gt;0,IF(OR(VLOOKUP(C510,'Boats Data Sheet 2026'!$C$3:$F$57,4,0)="Own",VLOOKUP(C510,'Boats Data Sheet 2026'!$C$3:$F$57,4,0)="Management"),('Direct Costs 2026'!$C$37+'Direct Costs 2026'!$C$39),"N/A"),"N/A")</f>
        <v>N/A</v>
      </c>
      <c r="P521" s="423" cm="1">
        <f t="array" ref="P521">_xlfn.IFERROR('Direct Costs 2026'!$C$27*C521,"N/A")</f>
        <v>144000</v>
      </c>
      <c r="Q521" s="423" cm="1">
        <f t="array" ref="Q521">_xlfn.IFERROR(C521+SUM(E521:P521),"N/A")</f>
        <v>10949000</v>
      </c>
      <c r="R521" s="424"/>
      <c r="S521" s="423" cm="1">
        <f t="array" ref="S521">IF(B521&gt;0,'Allocation OH and Target 2026'!$E$31,"N/A")</f>
        <v>3100447.15769812</v>
      </c>
      <c r="T521" s="423" cm="1">
        <f t="array" ref="T521">IF(B521&gt;0,VLOOKUP(C510,'Allocation OH and Target 2026'!$C$35:$S$87,16,0),"N/A")</f>
        <v>0</v>
      </c>
      <c r="U521" s="423" cm="1">
        <f t="array" ref="U521">_xlfn.IFERROR((S521+T521),"N/A")</f>
        <v>3100447.15769812</v>
      </c>
      <c r="V521" s="424"/>
      <c r="W521" s="423" cm="1">
        <f t="array" ref="W521">_xlfn.IFERROR(U521+Q521,"N/A")</f>
        <v>14049447.1576981</v>
      </c>
      <c r="X521" s="423" cm="1">
        <f t="array" ref="X521">_xlfn.IFERROR(W521*0.5%,"N/A")</f>
        <v>70247.235788490507</v>
      </c>
      <c r="Y521" s="423" cm="1">
        <f t="array" ref="Y521">_xlfn.IFERROR(W521*25%,"N/A")</f>
        <v>3512361.78942453</v>
      </c>
      <c r="Z521" s="425" cm="1">
        <f t="array" ref="Z521">IF(B521&gt;0,SUM(W521:Y521),"N/A")</f>
        <v>17632056.1829111</v>
      </c>
      <c r="AA521" s="425" cm="1">
        <f t="array" ref="AA521">_xlfn.IFERROR((Z521-Z520),"N/A")</f>
        <v>195780</v>
      </c>
      <c r="AB521" s="424"/>
      <c r="AC521" t="str" s="426" cm="1">
        <f t="array" ref="AC521">IF(B521=6,AVERAGE(Z513:Z518),"N/A")</f>
        <v>N/A</v>
      </c>
      <c r="AD521" s="424"/>
      <c r="AE521" s="423"/>
      <c r="AF521" s="423"/>
      <c r="AG521" s="423"/>
      <c r="AH521" s="423"/>
      <c r="AI521" s="423"/>
      <c r="AJ521" s="423"/>
      <c r="AK521" s="423"/>
      <c r="AL521" s="423"/>
      <c r="AM521" s="423"/>
      <c r="AN521" s="427"/>
    </row>
    <row r="522" ht="15" customHeight="1">
      <c r="A522" s="12"/>
      <c r="B522" s="428" cm="1">
        <f t="array" ref="B522">IF(B521=0,0,IF(B521&lt;VLOOKUP(C510,'Boats Data Sheet 2026'!$C$3:$H$57,6,0),B521+1,0))</f>
        <v>10</v>
      </c>
      <c r="C522" s="423" cm="1">
        <f t="array" ref="C522">IF(B522&gt;0,IF(VLOOKUP(C510,'Boats Data Sheet 2026'!$C$3:$J$57,8,0)="N/A",0,VLOOKUP(C510,'Boats Data Sheet 2026'!$C$3:$J$57,8,0)),"N/A")</f>
        <v>7200000</v>
      </c>
      <c r="D522" s="430" cm="1">
        <f t="array" ref="D522">IF(B522&gt;7,2,IF(B522=0,"N/A",1))</f>
        <v>2</v>
      </c>
      <c r="E522" s="423" cm="1">
        <f t="array" ref="E522">_xlfn.IFERROR(SUM('Direct Costs 2026'!$C$4:$C$5)*D522,"N/A")</f>
        <v>1751000</v>
      </c>
      <c r="F522" s="423" cm="1">
        <f t="array" ref="F522">_xlfn.IFERROR('Direct Costs 2026'!$C$43*B522,"N/A")</f>
        <v>60000</v>
      </c>
      <c r="G522" s="423" cm="1">
        <f t="array" ref="G522">IF(B522&gt;0,'Direct Costs 2026'!$C$25,"N/A")</f>
        <v>90000</v>
      </c>
      <c r="H522" s="423" cm="1">
        <f t="array" ref="H522">IF(B522&gt;0,'Direct Costs 2026'!$C$22,"N/A")</f>
        <v>200000</v>
      </c>
      <c r="I522" s="423">
        <v>0</v>
      </c>
      <c r="J522" s="423">
        <v>0</v>
      </c>
      <c r="K522" s="423" cm="1">
        <f t="array" ref="K522">IF(B522&gt;0,'Direct Costs 2026'!$C$26,"N/A")</f>
        <v>20000</v>
      </c>
      <c r="L522" s="423" cm="1">
        <f t="array" ref="L522">IF(B522&gt;0,'Direct Costs 2026'!$C$23,"N/A")</f>
        <v>140000</v>
      </c>
      <c r="M522" s="423" cm="1">
        <f t="array" ref="M522">IF(B522&gt;0,'Direct Costs 2026'!$C$45*B522,"N/A")</f>
        <v>1500000</v>
      </c>
      <c r="N522" t="str" s="431" cm="1">
        <f t="array" ref="N522">IF(B522&gt;0,_xlfn.IFERROR(VLOOKUP(C510,'Boats Data Sheet 2026'!$C$3:$I$57,7,0)*'Direct Costs 2026'!$C$36,"N/A"),"N/A")</f>
        <v>N/A</v>
      </c>
      <c r="O522" t="str" s="431" cm="1">
        <f t="array" ref="O522">IF(B522&gt;0,IF(OR(VLOOKUP(C510,'Boats Data Sheet 2026'!$C$3:$F$57,4,0)="Own",VLOOKUP(C510,'Boats Data Sheet 2026'!$C$3:$F$57,4,0)="Management"),('Direct Costs 2026'!$C$37+'Direct Costs 2026'!$C$39),"N/A"),"N/A")</f>
        <v>N/A</v>
      </c>
      <c r="P522" s="423" cm="1">
        <f t="array" ref="P522">_xlfn.IFERROR('Direct Costs 2026'!$C$27*C522,"N/A")</f>
        <v>144000</v>
      </c>
      <c r="Q522" s="423" cm="1">
        <f t="array" ref="Q522">_xlfn.IFERROR(C522+SUM(E522:P522),"N/A")</f>
        <v>11105000</v>
      </c>
      <c r="R522" s="424"/>
      <c r="S522" s="423" cm="1">
        <f t="array" ref="S522">IF(B522&gt;0,'Allocation OH and Target 2026'!$E$31,"N/A")</f>
        <v>3100447.15769812</v>
      </c>
      <c r="T522" s="423" cm="1">
        <f t="array" ref="T522">IF(B522&gt;0,VLOOKUP(C510,'Allocation OH and Target 2026'!$C$35:$S$87,16,0),"N/A")</f>
        <v>0</v>
      </c>
      <c r="U522" s="423" cm="1">
        <f t="array" ref="U522">_xlfn.IFERROR((S522+T522),"N/A")</f>
        <v>3100447.15769812</v>
      </c>
      <c r="V522" s="424"/>
      <c r="W522" s="423" cm="1">
        <f t="array" ref="W522">_xlfn.IFERROR(U522+Q522,"N/A")</f>
        <v>14205447.1576981</v>
      </c>
      <c r="X522" s="423" cm="1">
        <f t="array" ref="X522">_xlfn.IFERROR(W522*0.5%,"N/A")</f>
        <v>71027.235788490507</v>
      </c>
      <c r="Y522" s="423" cm="1">
        <f t="array" ref="Y522">_xlfn.IFERROR(W522*25%,"N/A")</f>
        <v>3551361.78942453</v>
      </c>
      <c r="Z522" s="425" cm="1">
        <f t="array" ref="Z522">IF(B522&gt;0,SUM(W522:Y522),"N/A")</f>
        <v>17827836.1829111</v>
      </c>
      <c r="AA522" s="425" cm="1">
        <f t="array" ref="AA522">_xlfn.IFERROR((Z522-Z521),"N/A")</f>
        <v>195780</v>
      </c>
      <c r="AB522" s="424"/>
      <c r="AC522" t="str" s="426" cm="1">
        <f t="array" ref="AC522">IF(B522=6,AVERAGE(Z513:Z518),"N/A")</f>
        <v>N/A</v>
      </c>
      <c r="AD522" s="424"/>
      <c r="AE522" s="423"/>
      <c r="AF522" s="423"/>
      <c r="AG522" s="423"/>
      <c r="AH522" s="423"/>
      <c r="AI522" s="423"/>
      <c r="AJ522" s="423"/>
      <c r="AK522" s="423"/>
      <c r="AL522" s="423"/>
      <c r="AM522" s="423"/>
      <c r="AN522" s="427"/>
    </row>
    <row r="523" ht="15" customHeight="1">
      <c r="A523" s="12"/>
      <c r="B523" s="428" cm="1">
        <f t="array" ref="B523">IF(B522=0,0,IF(B522&lt;VLOOKUP(C510,'Boats Data Sheet 2026'!$C$3:$H$57,6,0),B522+1,0))</f>
        <v>11</v>
      </c>
      <c r="C523" s="423" cm="1">
        <f t="array" ref="C523">IF(B523&gt;0,IF(VLOOKUP(C510,'Boats Data Sheet 2026'!$C$3:$J$57,8,0)="N/A",0,VLOOKUP(C510,'Boats Data Sheet 2026'!$C$3:$J$57,8,0)),"N/A")</f>
        <v>7200000</v>
      </c>
      <c r="D523" s="430" cm="1">
        <f t="array" ref="D523">IF(B523&gt;7,2,IF(B523=0,"N/A",1))</f>
        <v>2</v>
      </c>
      <c r="E523" s="423" cm="1">
        <f t="array" ref="E523">_xlfn.IFERROR(SUM('Direct Costs 2026'!$C$4:$C$5)*D523,"N/A")</f>
        <v>1751000</v>
      </c>
      <c r="F523" s="423" cm="1">
        <f t="array" ref="F523">_xlfn.IFERROR('Direct Costs 2026'!$C$43*B523,"N/A")</f>
        <v>66000</v>
      </c>
      <c r="G523" s="423" cm="1">
        <f t="array" ref="G523">IF(B523&gt;0,'Direct Costs 2026'!$C$25,"N/A")</f>
        <v>90000</v>
      </c>
      <c r="H523" s="423" cm="1">
        <f t="array" ref="H523">IF(B523&gt;0,'Direct Costs 2026'!$C$22,"N/A")</f>
        <v>200000</v>
      </c>
      <c r="I523" s="423">
        <v>0</v>
      </c>
      <c r="J523" s="423">
        <v>0</v>
      </c>
      <c r="K523" s="423" cm="1">
        <f t="array" ref="K523">IF(B523&gt;0,'Direct Costs 2026'!$C$26,"N/A")</f>
        <v>20000</v>
      </c>
      <c r="L523" s="423" cm="1">
        <f t="array" ref="L523">IF(B523&gt;0,'Direct Costs 2026'!$C$23,"N/A")</f>
        <v>140000</v>
      </c>
      <c r="M523" s="423" cm="1">
        <f t="array" ref="M523">IF(B523&gt;0,'Direct Costs 2026'!$C$45*B523,"N/A")</f>
        <v>1650000</v>
      </c>
      <c r="N523" t="str" s="431" cm="1">
        <f t="array" ref="N523">IF(B523&gt;0,_xlfn.IFERROR(VLOOKUP(C510,'Boats Data Sheet 2026'!$C$3:$I$57,7,0)*'Direct Costs 2026'!$C$36,"N/A"),"N/A")</f>
        <v>N/A</v>
      </c>
      <c r="O523" t="str" s="431" cm="1">
        <f t="array" ref="O523">IF(B523&gt;0,IF(OR(VLOOKUP(C510,'Boats Data Sheet 2026'!$C$3:$F$57,4,0)="Own",VLOOKUP(C510,'Boats Data Sheet 2026'!$C$3:$F$57,4,0)="Management"),('Direct Costs 2026'!$C$37+'Direct Costs 2026'!$C$39),"N/A"),"N/A")</f>
        <v>N/A</v>
      </c>
      <c r="P523" s="423" cm="1">
        <f t="array" ref="P523">_xlfn.IFERROR('Direct Costs 2026'!$C$27*C523,"N/A")</f>
        <v>144000</v>
      </c>
      <c r="Q523" s="423" cm="1">
        <f t="array" ref="Q523">_xlfn.IFERROR(C523+SUM(E523:P523),"N/A")</f>
        <v>11261000</v>
      </c>
      <c r="R523" s="424"/>
      <c r="S523" s="423" cm="1">
        <f t="array" ref="S523">IF(B523&gt;0,'Allocation OH and Target 2026'!$E$31,"N/A")</f>
        <v>3100447.15769812</v>
      </c>
      <c r="T523" s="423" cm="1">
        <f t="array" ref="T523">IF(B523&gt;0,VLOOKUP(C510,'Allocation OH and Target 2026'!$C$35:$S$87,16,0),"N/A")</f>
        <v>0</v>
      </c>
      <c r="U523" s="423" cm="1">
        <f t="array" ref="U523">_xlfn.IFERROR((S523+T523),"N/A")</f>
        <v>3100447.15769812</v>
      </c>
      <c r="V523" s="424"/>
      <c r="W523" s="423" cm="1">
        <f t="array" ref="W523">_xlfn.IFERROR(U523+Q523,"N/A")</f>
        <v>14361447.1576981</v>
      </c>
      <c r="X523" s="423" cm="1">
        <f t="array" ref="X523">_xlfn.IFERROR(W523*0.5%,"N/A")</f>
        <v>71807.235788490507</v>
      </c>
      <c r="Y523" s="423" cm="1">
        <f t="array" ref="Y523">_xlfn.IFERROR(W523*25%,"N/A")</f>
        <v>3590361.78942453</v>
      </c>
      <c r="Z523" s="425" cm="1">
        <f t="array" ref="Z523">IF(B523&gt;0,SUM(W523:Y523),"N/A")</f>
        <v>18023616.1829111</v>
      </c>
      <c r="AA523" s="425" cm="1">
        <f t="array" ref="AA523">_xlfn.IFERROR((Z523-Z522),"N/A")</f>
        <v>195780</v>
      </c>
      <c r="AB523" s="424"/>
      <c r="AC523" t="str" s="426" cm="1">
        <f t="array" ref="AC523">IF(B523=6,AVERAGE(Z513:Z518),"N/A")</f>
        <v>N/A</v>
      </c>
      <c r="AD523" s="424"/>
      <c r="AE523" s="423"/>
      <c r="AF523" s="423"/>
      <c r="AG523" s="423"/>
      <c r="AH523" s="423"/>
      <c r="AI523" s="423"/>
      <c r="AJ523" s="423"/>
      <c r="AK523" s="423"/>
      <c r="AL523" s="423"/>
      <c r="AM523" s="423"/>
      <c r="AN523" s="427"/>
    </row>
    <row r="524" ht="15" customHeight="1">
      <c r="A524" s="12"/>
      <c r="B524" s="428" cm="1">
        <f t="array" ref="B524">IF(B523=0,0,IF(B523&lt;VLOOKUP(C510,'Boats Data Sheet 2026'!$C$3:$H$57,6,0),B523+1,0))</f>
        <v>12</v>
      </c>
      <c r="C524" s="423" cm="1">
        <f t="array" ref="C524">IF(B524&gt;0,IF(VLOOKUP(C510,'Boats Data Sheet 2026'!$C$3:$J$57,8,0)="N/A",0,VLOOKUP(C510,'Boats Data Sheet 2026'!$C$3:$J$57,8,0)),"N/A")</f>
        <v>7200000</v>
      </c>
      <c r="D524" s="430" cm="1">
        <f t="array" ref="D524">IF(B524&gt;7,2,IF(B524=0,"N/A",1))</f>
        <v>2</v>
      </c>
      <c r="E524" s="423" cm="1">
        <f t="array" ref="E524">_xlfn.IFERROR(SUM('Direct Costs 2026'!$C$4:$C$5)*D524,"N/A")</f>
        <v>1751000</v>
      </c>
      <c r="F524" s="423" cm="1">
        <f t="array" ref="F524">_xlfn.IFERROR('Direct Costs 2026'!$C$43*B524,"N/A")</f>
        <v>72000</v>
      </c>
      <c r="G524" s="423" cm="1">
        <f t="array" ref="G524">IF(B524&gt;0,'Direct Costs 2026'!$C$25,"N/A")</f>
        <v>90000</v>
      </c>
      <c r="H524" s="423" cm="1">
        <f t="array" ref="H524">IF(B524&gt;0,'Direct Costs 2026'!$C$22,"N/A")</f>
        <v>200000</v>
      </c>
      <c r="I524" s="423">
        <v>0</v>
      </c>
      <c r="J524" s="423">
        <v>0</v>
      </c>
      <c r="K524" s="423" cm="1">
        <f t="array" ref="K524">IF(B524&gt;0,'Direct Costs 2026'!$C$26,"N/A")</f>
        <v>20000</v>
      </c>
      <c r="L524" s="423" cm="1">
        <f t="array" ref="L524">IF(B524&gt;0,'Direct Costs 2026'!$C$23,"N/A")</f>
        <v>140000</v>
      </c>
      <c r="M524" s="423" cm="1">
        <f t="array" ref="M524">IF(B524&gt;0,'Direct Costs 2026'!$C$45*B524,"N/A")</f>
        <v>1800000</v>
      </c>
      <c r="N524" t="str" s="431" cm="1">
        <f t="array" ref="N524">IF(B524&gt;0,_xlfn.IFERROR(VLOOKUP(C510,'Boats Data Sheet 2026'!$C$3:$I$57,7,0)*'Direct Costs 2026'!$C$36,"N/A"),"N/A")</f>
        <v>N/A</v>
      </c>
      <c r="O524" t="str" s="431" cm="1">
        <f t="array" ref="O524">IF(B524&gt;0,IF(OR(VLOOKUP(C510,'Boats Data Sheet 2026'!$C$3:$F$57,4,0)="Own",VLOOKUP(C510,'Boats Data Sheet 2026'!$C$3:$F$57,4,0)="Management"),('Direct Costs 2026'!$C$37+'Direct Costs 2026'!$C$39),"N/A"),"N/A")</f>
        <v>N/A</v>
      </c>
      <c r="P524" s="423" cm="1">
        <f t="array" ref="P524">_xlfn.IFERROR('Direct Costs 2026'!$C$27*C524,"N/A")</f>
        <v>144000</v>
      </c>
      <c r="Q524" s="423" cm="1">
        <f t="array" ref="Q524">_xlfn.IFERROR(C524+SUM(E524:P524),"N/A")</f>
        <v>11417000</v>
      </c>
      <c r="R524" s="424"/>
      <c r="S524" s="423" cm="1">
        <f t="array" ref="S524">IF(B524&gt;0,'Allocation OH and Target 2026'!$E$31,"N/A")</f>
        <v>3100447.15769812</v>
      </c>
      <c r="T524" s="423" cm="1">
        <f t="array" ref="T524">IF(B524&gt;0,VLOOKUP(C510,'Allocation OH and Target 2026'!$C$35:$S$87,16,0),"N/A")</f>
        <v>0</v>
      </c>
      <c r="U524" s="423" cm="1">
        <f t="array" ref="U524">_xlfn.IFERROR((S524+T524),"N/A")</f>
        <v>3100447.15769812</v>
      </c>
      <c r="V524" s="424"/>
      <c r="W524" s="423" cm="1">
        <f t="array" ref="W524">_xlfn.IFERROR(U524+Q524,"N/A")</f>
        <v>14517447.1576981</v>
      </c>
      <c r="X524" s="423" cm="1">
        <f t="array" ref="X524">_xlfn.IFERROR(W524*0.5%,"N/A")</f>
        <v>72587.235788490507</v>
      </c>
      <c r="Y524" s="423" cm="1">
        <f t="array" ref="Y524">_xlfn.IFERROR(W524*25%,"N/A")</f>
        <v>3629361.78942453</v>
      </c>
      <c r="Z524" s="425" cm="1">
        <f t="array" ref="Z524">IF(B524&gt;0,SUM(W524:Y524),"N/A")</f>
        <v>18219396.1829111</v>
      </c>
      <c r="AA524" s="425" cm="1">
        <f t="array" ref="AA524">_xlfn.IFERROR((Z524-Z523),"N/A")</f>
        <v>195780</v>
      </c>
      <c r="AB524" s="424"/>
      <c r="AC524" t="str" s="426" cm="1">
        <f t="array" ref="AC524">IF(B524=6,AVERAGE(Z513:Z518),"N/A")</f>
        <v>N/A</v>
      </c>
      <c r="AD524" s="424"/>
      <c r="AE524" s="423"/>
      <c r="AF524" s="423"/>
      <c r="AG524" s="423"/>
      <c r="AH524" s="423"/>
      <c r="AI524" s="423"/>
      <c r="AJ524" s="423"/>
      <c r="AK524" s="423"/>
      <c r="AL524" s="423"/>
      <c r="AM524" s="423"/>
      <c r="AN524" s="427"/>
    </row>
    <row r="525" ht="15" customHeight="1">
      <c r="A525" s="12"/>
      <c r="B525" s="428" cm="1">
        <f t="array" ref="B525">IF(B524=0,0,IF(B524&lt;VLOOKUP(C510,'Boats Data Sheet 2026'!$C$3:$H$57,6,0),B524+1,0))</f>
        <v>0</v>
      </c>
      <c r="C525" t="str" s="431" cm="1">
        <f t="array" ref="C525">IF(B525&gt;0,IF(VLOOKUP(C510,'Boats Data Sheet 2026'!$C$3:$J$57,8,0)="N/A",0,VLOOKUP(C510,'Boats Data Sheet 2026'!$C$3:$J$57,8,0)),"N/A")</f>
        <v>N/A</v>
      </c>
      <c r="D525" t="str" s="431" cm="1">
        <f t="array" ref="D525">IF(B525&gt;7,2,IF(B525=0,"N/A",1))</f>
        <v>N/A</v>
      </c>
      <c r="E525" t="str" s="431" cm="1">
        <f t="array" ref="E525">_xlfn.IFERROR(SUM('Direct Costs 2026'!$C$4:$C$5)*D525,"N/A")</f>
        <v>N/A</v>
      </c>
      <c r="F525" s="423" cm="1">
        <f t="array" ref="F525">_xlfn.IFERROR('Direct Costs 2026'!$C$43*B525,"N/A")</f>
        <v>0</v>
      </c>
      <c r="G525" t="str" s="431" cm="1">
        <f t="array" ref="G525">IF(B525&gt;0,'Direct Costs 2026'!$C$25,"N/A")</f>
        <v>N/A</v>
      </c>
      <c r="H525" t="str" s="431" cm="1">
        <f t="array" ref="H525">IF(B525&gt;0,'Direct Costs 2026'!$C$22,"N/A")</f>
        <v>N/A</v>
      </c>
      <c r="I525" s="423">
        <v>0</v>
      </c>
      <c r="J525" s="423">
        <v>0</v>
      </c>
      <c r="K525" t="str" s="431" cm="1">
        <f t="array" ref="K525">IF(B525&gt;0,'Direct Costs 2026'!$C$26,"N/A")</f>
        <v>N/A</v>
      </c>
      <c r="L525" t="str" s="431" cm="1">
        <f t="array" ref="L525">IF(B525&gt;0,'Direct Costs 2026'!$C$23,"N/A")</f>
        <v>N/A</v>
      </c>
      <c r="M525" t="str" s="431" cm="1">
        <f t="array" ref="M525">IF(B525&gt;0,'Direct Costs 2026'!$C$45*B525,"N/A")</f>
        <v>N/A</v>
      </c>
      <c r="N525" t="str" s="431" cm="1">
        <f t="array" ref="N525">IF(B525&gt;0,_xlfn.IFERROR(VLOOKUP(C510,'Boats Data Sheet 2026'!$C$3:$I$57,7,0)*'Direct Costs 2026'!$C$36,"N/A"),"N/A")</f>
        <v>N/A</v>
      </c>
      <c r="O525" t="str" s="431" cm="1">
        <f t="array" ref="O525">IF(B525&gt;0,IF(OR(VLOOKUP(C510,'Boats Data Sheet 2026'!$C$3:$F$57,4,0)="Own",VLOOKUP(C510,'Boats Data Sheet 2026'!$C$3:$F$57,4,0)="Management"),('Direct Costs 2026'!$C$37+'Direct Costs 2026'!$C$39),"N/A"),"N/A")</f>
        <v>N/A</v>
      </c>
      <c r="P525" t="str" s="431" cm="1">
        <f t="array" ref="P525">_xlfn.IFERROR('Direct Costs 2026'!$C$27*C525,"N/A")</f>
        <v>N/A</v>
      </c>
      <c r="Q525" t="str" s="431" cm="1">
        <f t="array" ref="Q525">_xlfn.IFERROR(C525+SUM(E525:P525),"N/A")</f>
        <v>N/A</v>
      </c>
      <c r="R525" s="424"/>
      <c r="S525" t="str" s="431" cm="1">
        <f t="array" ref="S525">IF(B525&gt;0,'Allocation OH and Target 2026'!$E$31,"N/A")</f>
        <v>N/A</v>
      </c>
      <c r="T525" t="str" s="431" cm="1">
        <f t="array" ref="T525">IF(B525&gt;0,VLOOKUP(C510,'Allocation OH and Target 2026'!$C$35:$S$87,16,0),"N/A")</f>
        <v>N/A</v>
      </c>
      <c r="U525" t="str" s="431" cm="1">
        <f t="array" ref="U525">_xlfn.IFERROR((S525+T525),"N/A")</f>
        <v>N/A</v>
      </c>
      <c r="V525" s="424"/>
      <c r="W525" t="str" s="431" cm="1">
        <f t="array" ref="W525">_xlfn.IFERROR(U525+Q525,"N/A")</f>
        <v>N/A</v>
      </c>
      <c r="X525" t="str" s="431" cm="1">
        <f t="array" ref="X525">_xlfn.IFERROR(W525*0.5%,"N/A")</f>
        <v>N/A</v>
      </c>
      <c r="Y525" t="str" s="431" cm="1">
        <f t="array" ref="Y525">_xlfn.IFERROR(W525*25%,"N/A")</f>
        <v>N/A</v>
      </c>
      <c r="Z525" t="str" s="426" cm="1">
        <f t="array" ref="Z525">IF(B525&gt;0,SUM(W525:Y525),"N/A")</f>
        <v>N/A</v>
      </c>
      <c r="AA525" t="str" s="426" cm="1">
        <f t="array" ref="AA525">_xlfn.IFERROR((Z525-Z524),"N/A")</f>
        <v>N/A</v>
      </c>
      <c r="AB525" s="424"/>
      <c r="AC525" t="str" s="426" cm="1">
        <f t="array" ref="AC525">IF(B525=6,AVERAGE(Z513:Z518),"N/A")</f>
        <v>N/A</v>
      </c>
      <c r="AD525" s="424"/>
      <c r="AE525" s="423"/>
      <c r="AF525" s="423"/>
      <c r="AG525" s="423"/>
      <c r="AH525" s="423"/>
      <c r="AI525" s="423"/>
      <c r="AJ525" s="423"/>
      <c r="AK525" s="423"/>
      <c r="AL525" s="423"/>
      <c r="AM525" s="423"/>
      <c r="AN525" s="427"/>
    </row>
    <row r="526" ht="15" customHeight="1">
      <c r="A526" s="12"/>
      <c r="B526" s="428" cm="1">
        <f t="array" ref="B526">IF(B525=0,0,IF(B525&lt;VLOOKUP(C510,'Boats Data Sheet 2026'!$C$3:$H$57,6,0),B525+1,0))</f>
        <v>0</v>
      </c>
      <c r="C526" t="str" s="431" cm="1">
        <f t="array" ref="C526">IF(B526&gt;0,IF(VLOOKUP(C510,'Boats Data Sheet 2026'!$C$3:$J$57,8,0)="N/A",0,VLOOKUP(C510,'Boats Data Sheet 2026'!$C$3:$J$57,8,0)),"N/A")</f>
        <v>N/A</v>
      </c>
      <c r="D526" t="str" s="431" cm="1">
        <f t="array" ref="D526">IF(B526&gt;7,2,IF(B526=0,"N/A",1))</f>
        <v>N/A</v>
      </c>
      <c r="E526" t="str" s="431" cm="1">
        <f t="array" ref="E526">_xlfn.IFERROR(SUM('Direct Costs 2026'!$C$4:$C$5)*D526,"N/A")</f>
        <v>N/A</v>
      </c>
      <c r="F526" s="423" cm="1">
        <f t="array" ref="F526">_xlfn.IFERROR('Direct Costs 2026'!$C$43*B526,"N/A")</f>
        <v>0</v>
      </c>
      <c r="G526" t="str" s="431" cm="1">
        <f t="array" ref="G526">IF(B526&gt;0,'Direct Costs 2026'!$C$25,"N/A")</f>
        <v>N/A</v>
      </c>
      <c r="H526" t="str" s="431" cm="1">
        <f t="array" ref="H526">IF(B526&gt;0,'Direct Costs 2026'!$C$22,"N/A")</f>
        <v>N/A</v>
      </c>
      <c r="I526" s="423">
        <v>0</v>
      </c>
      <c r="J526" s="423">
        <v>0</v>
      </c>
      <c r="K526" t="str" s="431" cm="1">
        <f t="array" ref="K526">IF(B526&gt;0,'Direct Costs 2026'!$C$26,"N/A")</f>
        <v>N/A</v>
      </c>
      <c r="L526" t="str" s="431" cm="1">
        <f t="array" ref="L526">IF(B526&gt;0,'Direct Costs 2026'!$C$23,"N/A")</f>
        <v>N/A</v>
      </c>
      <c r="M526" t="str" s="431" cm="1">
        <f t="array" ref="M526">IF(B526&gt;0,'Direct Costs 2026'!$C$45*B526,"N/A")</f>
        <v>N/A</v>
      </c>
      <c r="N526" t="str" s="431" cm="1">
        <f t="array" ref="N526">IF(B526&gt;0,_xlfn.IFERROR(VLOOKUP(C510,'Boats Data Sheet 2026'!$C$3:$I$57,7,0)*'Direct Costs 2026'!$C$36,"N/A"),"N/A")</f>
        <v>N/A</v>
      </c>
      <c r="O526" t="str" s="431" cm="1">
        <f t="array" ref="O526">IF(B526&gt;0,IF(OR(VLOOKUP(C510,'Boats Data Sheet 2026'!$C$3:$F$57,4,0)="Own",VLOOKUP(C510,'Boats Data Sheet 2026'!$C$3:$F$57,4,0)="Management"),('Direct Costs 2026'!$C$37+'Direct Costs 2026'!$C$39),"N/A"),"N/A")</f>
        <v>N/A</v>
      </c>
      <c r="P526" t="str" s="431" cm="1">
        <f t="array" ref="P526">_xlfn.IFERROR('Direct Costs 2026'!$C$27*C526,"N/A")</f>
        <v>N/A</v>
      </c>
      <c r="Q526" t="str" s="431" cm="1">
        <f t="array" ref="Q526">_xlfn.IFERROR(C526+SUM(E526:P526),"N/A")</f>
        <v>N/A</v>
      </c>
      <c r="R526" s="424"/>
      <c r="S526" t="str" s="431" cm="1">
        <f t="array" ref="S526">IF(B526&gt;0,'Allocation OH and Target 2026'!$E$31,"N/A")</f>
        <v>N/A</v>
      </c>
      <c r="T526" t="str" s="431" cm="1">
        <f t="array" ref="T526">IF(B526&gt;0,VLOOKUP(C510,'Allocation OH and Target 2026'!$C$35:$S$87,16,0),"N/A")</f>
        <v>N/A</v>
      </c>
      <c r="U526" t="str" s="431" cm="1">
        <f t="array" ref="U526">_xlfn.IFERROR((S526+T526),"N/A")</f>
        <v>N/A</v>
      </c>
      <c r="V526" s="424"/>
      <c r="W526" t="str" s="431" cm="1">
        <f t="array" ref="W526">_xlfn.IFERROR(U526+Q526,"N/A")</f>
        <v>N/A</v>
      </c>
      <c r="X526" t="str" s="431" cm="1">
        <f t="array" ref="X526">_xlfn.IFERROR(W526*0.5%,"N/A")</f>
        <v>N/A</v>
      </c>
      <c r="Y526" t="str" s="431" cm="1">
        <f t="array" ref="Y526">_xlfn.IFERROR(W526*25%,"N/A")</f>
        <v>N/A</v>
      </c>
      <c r="Z526" t="str" s="426" cm="1">
        <f t="array" ref="Z526">IF(B526&gt;0,SUM(W526:Y526),"N/A")</f>
        <v>N/A</v>
      </c>
      <c r="AA526" t="str" s="426" cm="1">
        <f t="array" ref="AA526">_xlfn.IFERROR((Z526-Z525),"N/A")</f>
        <v>N/A</v>
      </c>
      <c r="AB526" s="424"/>
      <c r="AC526" t="str" s="426" cm="1">
        <f t="array" ref="AC526">IF(B526=6,AVERAGE(Z513:Z518),"N/A")</f>
        <v>N/A</v>
      </c>
      <c r="AD526" s="424"/>
      <c r="AE526" s="423"/>
      <c r="AF526" s="423"/>
      <c r="AG526" s="423"/>
      <c r="AH526" s="423"/>
      <c r="AI526" s="423"/>
      <c r="AJ526" s="423"/>
      <c r="AK526" s="423"/>
      <c r="AL526" s="423"/>
      <c r="AM526" s="423"/>
      <c r="AN526" s="427"/>
    </row>
    <row r="527" ht="15" customHeight="1">
      <c r="A527" s="12"/>
      <c r="B527" s="428" cm="1">
        <f t="array" ref="B527">IF(B526=0,0,IF(B526&lt;VLOOKUP(C510,'Boats Data Sheet 2026'!$C$3:$H$57,6,0),B526+1,0))</f>
        <v>0</v>
      </c>
      <c r="C527" t="str" s="431" cm="1">
        <f t="array" ref="C527">IF(B527&gt;0,IF(VLOOKUP(C510,'Boats Data Sheet 2026'!$C$3:$J$57,8,0)="N/A",0,VLOOKUP(C510,'Boats Data Sheet 2026'!$C$3:$J$57,8,0)),"N/A")</f>
        <v>N/A</v>
      </c>
      <c r="D527" t="str" s="431" cm="1">
        <f t="array" ref="D527">IF(B527&gt;7,2,IF(B527=0,"N/A",1))</f>
        <v>N/A</v>
      </c>
      <c r="E527" t="str" s="431" cm="1">
        <f t="array" ref="E527">_xlfn.IFERROR(SUM('Direct Costs 2026'!$C$4:$C$5)*D527,"N/A")</f>
        <v>N/A</v>
      </c>
      <c r="F527" s="423" cm="1">
        <f t="array" ref="F527">_xlfn.IFERROR('Direct Costs 2026'!$C$43*B527,"N/A")</f>
        <v>0</v>
      </c>
      <c r="G527" t="str" s="431" cm="1">
        <f t="array" ref="G527">IF(B527&gt;0,'Direct Costs 2026'!$C$25,"N/A")</f>
        <v>N/A</v>
      </c>
      <c r="H527" t="str" s="431" cm="1">
        <f t="array" ref="H527">IF(B527&gt;0,'Direct Costs 2026'!$C$22,"N/A")</f>
        <v>N/A</v>
      </c>
      <c r="I527" s="423">
        <v>0</v>
      </c>
      <c r="J527" s="423">
        <v>0</v>
      </c>
      <c r="K527" t="str" s="431" cm="1">
        <f t="array" ref="K527">IF(B527&gt;0,'Direct Costs 2026'!$C$26,"N/A")</f>
        <v>N/A</v>
      </c>
      <c r="L527" t="str" s="431" cm="1">
        <f t="array" ref="L527">IF(B527&gt;0,'Direct Costs 2026'!$C$23,"N/A")</f>
        <v>N/A</v>
      </c>
      <c r="M527" t="str" s="431" cm="1">
        <f t="array" ref="M527">IF(B527&gt;0,'Direct Costs 2026'!$C$45*B527,"N/A")</f>
        <v>N/A</v>
      </c>
      <c r="N527" t="str" s="431" cm="1">
        <f t="array" ref="N527">IF(B527&gt;0,_xlfn.IFERROR(VLOOKUP(C510,'Boats Data Sheet 2026'!$C$3:$I$57,7,0)*'Direct Costs 2026'!$C$36,"N/A"),"N/A")</f>
        <v>N/A</v>
      </c>
      <c r="O527" t="str" s="431" cm="1">
        <f t="array" ref="O527">IF(B527&gt;0,IF(OR(VLOOKUP(C510,'Boats Data Sheet 2026'!$C$3:$F$57,4,0)="Own",VLOOKUP(C510,'Boats Data Sheet 2026'!$C$3:$F$57,4,0)="Management"),('Direct Costs 2026'!$C$37+'Direct Costs 2026'!$C$39),"N/A"),"N/A")</f>
        <v>N/A</v>
      </c>
      <c r="P527" t="str" s="431" cm="1">
        <f t="array" ref="P527">_xlfn.IFERROR('Direct Costs 2026'!$C$27*C527,"N/A")</f>
        <v>N/A</v>
      </c>
      <c r="Q527" t="str" s="431" cm="1">
        <f t="array" ref="Q527">_xlfn.IFERROR(C527+SUM(E527:P527),"N/A")</f>
        <v>N/A</v>
      </c>
      <c r="R527" s="424"/>
      <c r="S527" t="str" s="431" cm="1">
        <f t="array" ref="S527">IF(B527&gt;0,'Allocation OH and Target 2026'!$E$31,"N/A")</f>
        <v>N/A</v>
      </c>
      <c r="T527" t="str" s="431" cm="1">
        <f t="array" ref="T527">IF(B527&gt;0,VLOOKUP(C510,'Allocation OH and Target 2026'!$C$35:$S$87,16,0),"N/A")</f>
        <v>N/A</v>
      </c>
      <c r="U527" t="str" s="431" cm="1">
        <f t="array" ref="U527">_xlfn.IFERROR((S527+T527),"N/A")</f>
        <v>N/A</v>
      </c>
      <c r="V527" s="424"/>
      <c r="W527" t="str" s="431" cm="1">
        <f t="array" ref="W527">_xlfn.IFERROR(U527+Q527,"N/A")</f>
        <v>N/A</v>
      </c>
      <c r="X527" t="str" s="431" cm="1">
        <f t="array" ref="X527">_xlfn.IFERROR(W527*0.5%,"N/A")</f>
        <v>N/A</v>
      </c>
      <c r="Y527" t="str" s="431" cm="1">
        <f t="array" ref="Y527">_xlfn.IFERROR(W527*25%,"N/A")</f>
        <v>N/A</v>
      </c>
      <c r="Z527" t="str" s="426" cm="1">
        <f t="array" ref="Z527">IF(B527&gt;0,SUM(W527:Y527),"N/A")</f>
        <v>N/A</v>
      </c>
      <c r="AA527" t="str" s="426" cm="1">
        <f t="array" ref="AA527">_xlfn.IFERROR((Z527-Z526),"N/A")</f>
        <v>N/A</v>
      </c>
      <c r="AB527" s="424"/>
      <c r="AC527" t="str" s="426" cm="1">
        <f t="array" ref="AC527">IF(B527=6,AVERAGE(Z513:Z518),"N/A")</f>
        <v>N/A</v>
      </c>
      <c r="AD527" s="424"/>
      <c r="AE527" s="423"/>
      <c r="AF527" s="423"/>
      <c r="AG527" s="423"/>
      <c r="AH527" s="423"/>
      <c r="AI527" s="423"/>
      <c r="AJ527" s="423"/>
      <c r="AK527" s="423"/>
      <c r="AL527" s="423"/>
      <c r="AM527" s="423"/>
      <c r="AN527" s="427"/>
    </row>
    <row r="528" ht="15" customHeight="1">
      <c r="A528" s="12"/>
      <c r="B528" s="428" cm="1">
        <f t="array" ref="B528">IF(B527=0,0,IF(B527&lt;VLOOKUP(C510,'Boats Data Sheet 2026'!$C$3:$H$57,6,0),B527+1,0))</f>
        <v>0</v>
      </c>
      <c r="C528" t="str" s="431" cm="1">
        <f t="array" ref="C528">IF(B528&gt;0,IF(VLOOKUP(C510,'Boats Data Sheet 2026'!$C$3:$J$57,8,0)="N/A",0,VLOOKUP(C510,'Boats Data Sheet 2026'!$C$3:$J$57,8,0)),"N/A")</f>
        <v>N/A</v>
      </c>
      <c r="D528" t="str" s="431" cm="1">
        <f t="array" ref="D528">IF(B528&gt;7,2,IF(B528=0,"N/A",1))</f>
        <v>N/A</v>
      </c>
      <c r="E528" t="str" s="431" cm="1">
        <f t="array" ref="E528">_xlfn.IFERROR(SUM('Direct Costs 2026'!$C$4:$C$5)*D528,"N/A")</f>
        <v>N/A</v>
      </c>
      <c r="F528" s="423" cm="1">
        <f t="array" ref="F528">_xlfn.IFERROR('Direct Costs 2026'!$C$43*B528,"N/A")</f>
        <v>0</v>
      </c>
      <c r="G528" t="str" s="431" cm="1">
        <f t="array" ref="G528">IF(B528&gt;0,'Direct Costs 2026'!$C$25,"N/A")</f>
        <v>N/A</v>
      </c>
      <c r="H528" t="str" s="431" cm="1">
        <f t="array" ref="H528">IF(B528&gt;0,'Direct Costs 2026'!$C$22,"N/A")</f>
        <v>N/A</v>
      </c>
      <c r="I528" s="423">
        <v>0</v>
      </c>
      <c r="J528" s="423">
        <v>0</v>
      </c>
      <c r="K528" t="str" s="431" cm="1">
        <f t="array" ref="K528">IF(B528&gt;0,'Direct Costs 2026'!$C$26,"N/A")</f>
        <v>N/A</v>
      </c>
      <c r="L528" t="str" s="431" cm="1">
        <f t="array" ref="L528">IF(B528&gt;0,'Direct Costs 2026'!$C$23,"N/A")</f>
        <v>N/A</v>
      </c>
      <c r="M528" t="str" s="431" cm="1">
        <f t="array" ref="M528">IF(B528&gt;0,'Direct Costs 2026'!$C$45*B528,"N/A")</f>
        <v>N/A</v>
      </c>
      <c r="N528" t="str" s="431" cm="1">
        <f t="array" ref="N528">IF(B528&gt;0,_xlfn.IFERROR(VLOOKUP(C510,'Boats Data Sheet 2026'!$C$3:$I$57,7,0)*'Direct Costs 2026'!$C$36,"N/A"),"N/A")</f>
        <v>N/A</v>
      </c>
      <c r="O528" t="str" s="431" cm="1">
        <f t="array" ref="O528">IF(B528&gt;0,IF(OR(VLOOKUP(C510,'Boats Data Sheet 2026'!$C$3:$F$57,4,0)="Own",VLOOKUP(C510,'Boats Data Sheet 2026'!$C$3:$F$57,4,0)="Management"),('Direct Costs 2026'!$C$37+'Direct Costs 2026'!$C$39),"N/A"),"N/A")</f>
        <v>N/A</v>
      </c>
      <c r="P528" t="str" s="431" cm="1">
        <f t="array" ref="P528">_xlfn.IFERROR('Direct Costs 2026'!$C$27*C528,"N/A")</f>
        <v>N/A</v>
      </c>
      <c r="Q528" t="str" s="431" cm="1">
        <f t="array" ref="Q528">_xlfn.IFERROR(C528+SUM(E528:P528),"N/A")</f>
        <v>N/A</v>
      </c>
      <c r="R528" s="424"/>
      <c r="S528" t="str" s="431" cm="1">
        <f t="array" ref="S528">IF(B528&gt;0,'Allocation OH and Target 2026'!$E$31,"N/A")</f>
        <v>N/A</v>
      </c>
      <c r="T528" t="str" s="431" cm="1">
        <f t="array" ref="T528">IF(B528&gt;0,VLOOKUP(C510,'Allocation OH and Target 2026'!$C$35:$S$87,16,0),"N/A")</f>
        <v>N/A</v>
      </c>
      <c r="U528" t="str" s="431" cm="1">
        <f t="array" ref="U528">_xlfn.IFERROR((S528+T528),"N/A")</f>
        <v>N/A</v>
      </c>
      <c r="V528" s="424"/>
      <c r="W528" t="str" s="431" cm="1">
        <f t="array" ref="W528">_xlfn.IFERROR(U528+Q528,"N/A")</f>
        <v>N/A</v>
      </c>
      <c r="X528" t="str" s="431" cm="1">
        <f t="array" ref="X528">_xlfn.IFERROR(W528*0.5%,"N/A")</f>
        <v>N/A</v>
      </c>
      <c r="Y528" t="str" s="431" cm="1">
        <f t="array" ref="Y528">_xlfn.IFERROR(W528*25%,"N/A")</f>
        <v>N/A</v>
      </c>
      <c r="Z528" t="str" s="426" cm="1">
        <f t="array" ref="Z528">IF(B528&gt;0,SUM(W528:Y528),"N/A")</f>
        <v>N/A</v>
      </c>
      <c r="AA528" t="str" s="426" cm="1">
        <f t="array" ref="AA528">_xlfn.IFERROR((Z528-Z527),"N/A")</f>
        <v>N/A</v>
      </c>
      <c r="AB528" s="424"/>
      <c r="AC528" t="str" s="426" cm="1">
        <f t="array" ref="AC528">IF(B528=6,AVERAGE(Z513:Z518),"N/A")</f>
        <v>N/A</v>
      </c>
      <c r="AD528" s="424"/>
      <c r="AE528" s="423"/>
      <c r="AF528" s="423"/>
      <c r="AG528" s="423"/>
      <c r="AH528" s="423"/>
      <c r="AI528" s="423"/>
      <c r="AJ528" s="423"/>
      <c r="AK528" s="423"/>
      <c r="AL528" s="423"/>
      <c r="AM528" s="423"/>
      <c r="AN528" s="427"/>
    </row>
    <row r="529" ht="15" customHeight="1">
      <c r="A529" s="12"/>
      <c r="B529" s="428" cm="1">
        <f t="array" ref="B529">IF(B528=0,0,IF(B528&lt;VLOOKUP(C510,'Boats Data Sheet 2026'!$C$3:$H$57,6,0),B528+1,0))</f>
        <v>0</v>
      </c>
      <c r="C529" t="str" s="431" cm="1">
        <f t="array" ref="C529">IF(B529&gt;0,IF(VLOOKUP(C510,'Boats Data Sheet 2026'!$C$3:$J$57,8,0)="N/A",0,VLOOKUP(C510,'Boats Data Sheet 2026'!$C$3:$J$57,8,0)),"N/A")</f>
        <v>N/A</v>
      </c>
      <c r="D529" t="str" s="431" cm="1">
        <f t="array" ref="D529">IF(B529&gt;7,2,IF(B529=0,"N/A",1))</f>
        <v>N/A</v>
      </c>
      <c r="E529" t="str" s="431" cm="1">
        <f t="array" ref="E529">_xlfn.IFERROR(SUM('Direct Costs 2026'!$C$4:$C$5)*D529,"N/A")</f>
        <v>N/A</v>
      </c>
      <c r="F529" s="423" cm="1">
        <f t="array" ref="F529">_xlfn.IFERROR('Direct Costs 2026'!$C$43*B529,"N/A")</f>
        <v>0</v>
      </c>
      <c r="G529" t="str" s="431" cm="1">
        <f t="array" ref="G529">IF(B529&gt;0,'Direct Costs 2026'!$C$25,"N/A")</f>
        <v>N/A</v>
      </c>
      <c r="H529" t="str" s="431" cm="1">
        <f t="array" ref="H529">IF(B529&gt;0,'Direct Costs 2026'!$C$22,"N/A")</f>
        <v>N/A</v>
      </c>
      <c r="I529" s="423">
        <v>0</v>
      </c>
      <c r="J529" s="423">
        <v>0</v>
      </c>
      <c r="K529" t="str" s="431" cm="1">
        <f t="array" ref="K529">IF(B529&gt;0,'Direct Costs 2026'!$C$26,"N/A")</f>
        <v>N/A</v>
      </c>
      <c r="L529" t="str" s="431" cm="1">
        <f t="array" ref="L529">IF(B529&gt;0,'Direct Costs 2026'!$C$23,"N/A")</f>
        <v>N/A</v>
      </c>
      <c r="M529" t="str" s="431" cm="1">
        <f t="array" ref="M529">IF(B529&gt;0,'Direct Costs 2026'!$C$45*B529,"N/A")</f>
        <v>N/A</v>
      </c>
      <c r="N529" t="str" s="431" cm="1">
        <f t="array" ref="N529">IF(B529&gt;0,_xlfn.IFERROR(VLOOKUP(C510,'Boats Data Sheet 2026'!$C$3:$I$57,7,0)*'Direct Costs 2026'!$C$36,"N/A"),"N/A")</f>
        <v>N/A</v>
      </c>
      <c r="O529" t="str" s="431" cm="1">
        <f t="array" ref="O529">IF(B529&gt;0,IF(OR(VLOOKUP(C510,'Boats Data Sheet 2026'!$C$3:$F$57,4,0)="Own",VLOOKUP(C510,'Boats Data Sheet 2026'!$C$3:$F$57,4,0)="Management"),('Direct Costs 2026'!$C$37+'Direct Costs 2026'!$C$39),"N/A"),"N/A")</f>
        <v>N/A</v>
      </c>
      <c r="P529" t="str" s="431" cm="1">
        <f t="array" ref="P529">_xlfn.IFERROR('Direct Costs 2026'!$C$27*C529,"N/A")</f>
        <v>N/A</v>
      </c>
      <c r="Q529" t="str" s="431" cm="1">
        <f t="array" ref="Q529">_xlfn.IFERROR(C529+SUM(E529:P529),"N/A")</f>
        <v>N/A</v>
      </c>
      <c r="R529" s="424"/>
      <c r="S529" t="str" s="431" cm="1">
        <f t="array" ref="S529">IF(B529&gt;0,'Allocation OH and Target 2026'!$E$31,"N/A")</f>
        <v>N/A</v>
      </c>
      <c r="T529" t="str" s="431" cm="1">
        <f t="array" ref="T529">IF(B529&gt;0,VLOOKUP(C510,'Allocation OH and Target 2026'!$C$35:$S$87,16,0),"N/A")</f>
        <v>N/A</v>
      </c>
      <c r="U529" t="str" s="431" cm="1">
        <f t="array" ref="U529">_xlfn.IFERROR((S529+T529),"N/A")</f>
        <v>N/A</v>
      </c>
      <c r="V529" s="424"/>
      <c r="W529" t="str" s="431" cm="1">
        <f t="array" ref="W529">_xlfn.IFERROR(U529+Q529,"N/A")</f>
        <v>N/A</v>
      </c>
      <c r="X529" t="str" s="431" cm="1">
        <f t="array" ref="X529">_xlfn.IFERROR(W529*0.5%,"N/A")</f>
        <v>N/A</v>
      </c>
      <c r="Y529" t="str" s="431" cm="1">
        <f t="array" ref="Y529">_xlfn.IFERROR(W529*25%,"N/A")</f>
        <v>N/A</v>
      </c>
      <c r="Z529" t="str" s="426" cm="1">
        <f t="array" ref="Z529">IF(B529&gt;0,SUM(W529:Y529),"N/A")</f>
        <v>N/A</v>
      </c>
      <c r="AA529" t="str" s="426" cm="1">
        <f t="array" ref="AA529">_xlfn.IFERROR((Z529-Z528),"N/A")</f>
        <v>N/A</v>
      </c>
      <c r="AB529" s="424"/>
      <c r="AC529" t="str" s="426" cm="1">
        <f t="array" ref="AC529">IF(B529=6,AVERAGE(Z513:Z518),"N/A")</f>
        <v>N/A</v>
      </c>
      <c r="AD529" s="424"/>
      <c r="AE529" s="423"/>
      <c r="AF529" s="423"/>
      <c r="AG529" s="423"/>
      <c r="AH529" s="423"/>
      <c r="AI529" s="423"/>
      <c r="AJ529" s="423"/>
      <c r="AK529" s="423"/>
      <c r="AL529" s="423"/>
      <c r="AM529" s="423"/>
      <c r="AN529" s="427"/>
    </row>
    <row r="530" ht="15.5" customHeight="1">
      <c r="A530" s="12"/>
      <c r="B530" s="432" cm="1">
        <f t="array" ref="B530">IF(B529=0,0,IF(B529&lt;VLOOKUP(C510,'Boats Data Sheet 2026'!$C$3:$H$57,6,0),B529+1,0))</f>
        <v>0</v>
      </c>
      <c r="C530" t="str" s="433" cm="1">
        <f t="array" ref="C530">IF(B530&gt;0,IF(VLOOKUP(C510,'Boats Data Sheet 2026'!$C$3:$J$57,8,0)="N/A",0,VLOOKUP(C510,'Boats Data Sheet 2026'!$C$3:$J$57,8,0)),"N/A")</f>
        <v>N/A</v>
      </c>
      <c r="D530" t="str" s="433" cm="1">
        <f t="array" ref="D530">IF(B530&gt;7,2,IF(B530=0,"N/A",1))</f>
        <v>N/A</v>
      </c>
      <c r="E530" t="str" s="433" cm="1">
        <f t="array" ref="E530">_xlfn.IFERROR(SUM('Direct Costs 2026'!$C$4:$C$5)*D530,"N/A")</f>
        <v>N/A</v>
      </c>
      <c r="F530" s="434" cm="1">
        <f t="array" ref="F530">_xlfn.IFERROR('Direct Costs 2026'!$C$43*B530,"N/A")</f>
        <v>0</v>
      </c>
      <c r="G530" t="str" s="433" cm="1">
        <f t="array" ref="G530">IF(B530&gt;0,'Direct Costs 2026'!$C$25,"N/A")</f>
        <v>N/A</v>
      </c>
      <c r="H530" t="str" s="433" cm="1">
        <f t="array" ref="H530">IF(B530&gt;0,'Direct Costs 2026'!$C$22,"N/A")</f>
        <v>N/A</v>
      </c>
      <c r="I530" s="434">
        <v>0</v>
      </c>
      <c r="J530" s="434">
        <v>0</v>
      </c>
      <c r="K530" t="str" s="433" cm="1">
        <f t="array" ref="K530">IF(B530&gt;0,'Direct Costs 2026'!$C$26,"N/A")</f>
        <v>N/A</v>
      </c>
      <c r="L530" t="str" s="433" cm="1">
        <f t="array" ref="L530">IF(B530&gt;0,'Direct Costs 2026'!$C$23,"N/A")</f>
        <v>N/A</v>
      </c>
      <c r="M530" t="str" s="433" cm="1">
        <f t="array" ref="M530">IF(B530&gt;0,'Direct Costs 2026'!$C$45*B530,"N/A")</f>
        <v>N/A</v>
      </c>
      <c r="N530" t="str" s="433" cm="1">
        <f t="array" ref="N530">IF(B530&gt;0,_xlfn.IFERROR(VLOOKUP(C510,'Boats Data Sheet 2026'!$C$3:$I$57,7,0)*'Direct Costs 2026'!$C$36,"N/A"),"N/A")</f>
        <v>N/A</v>
      </c>
      <c r="O530" t="str" s="433" cm="1">
        <f t="array" ref="O530">IF(B530&gt;0,IF(OR(VLOOKUP(C510,'Boats Data Sheet 2026'!$C$3:$F$57,4,0)="Own",VLOOKUP(C510,'Boats Data Sheet 2026'!$C$3:$F$57,4,0)="Management"),('Direct Costs 2026'!$C$37+'Direct Costs 2026'!$C$39),"N/A"),"N/A")</f>
        <v>N/A</v>
      </c>
      <c r="P530" t="str" s="433" cm="1">
        <f t="array" ref="P530">_xlfn.IFERROR('Direct Costs 2026'!$C$27*C530,"N/A")</f>
        <v>N/A</v>
      </c>
      <c r="Q530" t="str" s="433" cm="1">
        <f t="array" ref="Q530">_xlfn.IFERROR(C530+SUM(E530:P530),"N/A")</f>
        <v>N/A</v>
      </c>
      <c r="R530" s="435"/>
      <c r="S530" t="str" s="433" cm="1">
        <f t="array" ref="S530">IF(B530&gt;0,'Allocation OH and Target 2026'!$E$31,"N/A")</f>
        <v>N/A</v>
      </c>
      <c r="T530" t="str" s="433" cm="1">
        <f t="array" ref="T530">IF(B530&gt;0,VLOOKUP(C510,'Allocation OH and Target 2026'!$C$35:$S$87,16,0),"N/A")</f>
        <v>N/A</v>
      </c>
      <c r="U530" t="str" s="433" cm="1">
        <f t="array" ref="U530">_xlfn.IFERROR((S530+T530),"N/A")</f>
        <v>N/A</v>
      </c>
      <c r="V530" s="435"/>
      <c r="W530" t="str" s="433" cm="1">
        <f t="array" ref="W530">_xlfn.IFERROR(U530+Q530,"N/A")</f>
        <v>N/A</v>
      </c>
      <c r="X530" t="str" s="433" cm="1">
        <f t="array" ref="X530">_xlfn.IFERROR(W530*0.5%,"N/A")</f>
        <v>N/A</v>
      </c>
      <c r="Y530" t="str" s="433" cm="1">
        <f t="array" ref="Y530">_xlfn.IFERROR(W530*25%,"N/A")</f>
        <v>N/A</v>
      </c>
      <c r="Z530" t="str" s="436" cm="1">
        <f t="array" ref="Z530">IF(B530&gt;0,SUM(W530:Y530),"N/A")</f>
        <v>N/A</v>
      </c>
      <c r="AA530" t="str" s="436" cm="1">
        <f t="array" ref="AA530">_xlfn.IFERROR((Z530-Z529),"N/A")</f>
        <v>N/A</v>
      </c>
      <c r="AB530" s="435"/>
      <c r="AC530" t="str" s="436" cm="1">
        <f t="array" ref="AC530">IF(B530=6,AVERAGE(Z513:Z518),"N/A")</f>
        <v>N/A</v>
      </c>
      <c r="AD530" s="435"/>
      <c r="AE530" s="434"/>
      <c r="AF530" s="434"/>
      <c r="AG530" s="434"/>
      <c r="AH530" s="434"/>
      <c r="AI530" s="434"/>
      <c r="AJ530" s="434"/>
      <c r="AK530" s="434"/>
      <c r="AL530" s="434"/>
      <c r="AM530" s="434"/>
      <c r="AN530" s="437"/>
    </row>
    <row r="531" ht="15" customHeight="1">
      <c r="A531" s="32"/>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124"/>
      <c r="AL531" s="124"/>
      <c r="AM531" s="124"/>
      <c r="AN531" s="313"/>
    </row>
    <row r="532" ht="15" customHeight="1">
      <c r="A532" s="32"/>
      <c r="B532" s="35"/>
      <c r="C532" s="494"/>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c r="AI532" s="35"/>
      <c r="AJ532" s="35"/>
      <c r="AK532" s="35"/>
      <c r="AL532" s="35"/>
      <c r="AM532" s="35"/>
      <c r="AN532" s="442"/>
    </row>
    <row r="533" ht="15.5" customHeight="1">
      <c r="A533" s="395">
        <v>26</v>
      </c>
      <c r="B533" t="s" s="396">
        <v>506</v>
      </c>
      <c r="C533" t="s" s="397">
        <v>208</v>
      </c>
      <c r="D533" s="398"/>
      <c r="E533" t="s" s="397">
        <v>557</v>
      </c>
      <c r="F533" s="398"/>
      <c r="G533" s="398"/>
      <c r="H533" s="398"/>
      <c r="I533" s="398"/>
      <c r="J533" s="398"/>
      <c r="K533" s="398"/>
      <c r="L533" s="398"/>
      <c r="M533" s="398"/>
      <c r="N533" s="398"/>
      <c r="O533" s="398"/>
      <c r="P533" s="398"/>
      <c r="Q533" s="398"/>
      <c r="R533" s="399"/>
      <c r="S533" s="398"/>
      <c r="T533" s="398"/>
      <c r="U533" s="398"/>
      <c r="V533" s="399"/>
      <c r="W533" s="398"/>
      <c r="X533" s="398"/>
      <c r="Y533" s="398"/>
      <c r="Z533" s="398"/>
      <c r="AA533" s="398"/>
      <c r="AB533" s="399"/>
      <c r="AC533" s="398"/>
      <c r="AD533" s="399"/>
      <c r="AE533" t="s" s="397">
        <v>508</v>
      </c>
      <c r="AF533" s="401" cm="1">
        <f t="array" ref="AF533">AVERAGE(Q536:Q541)</f>
        <v>35311500</v>
      </c>
      <c r="AG533" t="s" s="400">
        <v>509</v>
      </c>
      <c r="AH533" s="401" cm="1">
        <f t="array" ref="AH533">AVERAGE(Q542:Q549)-AF533</f>
        <v>1858062.5</v>
      </c>
      <c r="AI533" t="s" s="400">
        <v>510</v>
      </c>
      <c r="AJ533" s="401" cm="1">
        <f t="array" ref="AJ533">AVERAGE(Y536:Y543)</f>
        <v>9669346.164424529</v>
      </c>
      <c r="AK533" t="s" s="397">
        <v>511</v>
      </c>
      <c r="AL533" s="401" cm="1">
        <f t="array" ref="AL533">AVERAGE(W536:W541)</f>
        <v>38411947.1576981</v>
      </c>
      <c r="AM533" t="s" s="400">
        <v>512</v>
      </c>
      <c r="AN533" s="402" cm="1">
        <f t="array" ref="AN533">W536</f>
        <v>38021947.1576981</v>
      </c>
    </row>
    <row r="534" ht="15" customHeight="1">
      <c r="A534" s="12"/>
      <c r="B534" s="403"/>
      <c r="C534" t="s" s="404">
        <v>513</v>
      </c>
      <c r="D534" s="405"/>
      <c r="E534" s="405"/>
      <c r="F534" s="405"/>
      <c r="G534" s="405"/>
      <c r="H534" s="405"/>
      <c r="I534" s="405"/>
      <c r="J534" s="405"/>
      <c r="K534" s="405"/>
      <c r="L534" s="405"/>
      <c r="M534" s="405"/>
      <c r="N534" s="405"/>
      <c r="O534" s="405"/>
      <c r="P534" s="405"/>
      <c r="Q534" s="406"/>
      <c r="R534" s="407"/>
      <c r="S534" t="s" s="404">
        <v>514</v>
      </c>
      <c r="T534" s="405"/>
      <c r="U534" s="406"/>
      <c r="V534" s="407"/>
      <c r="W534" t="s" s="404">
        <v>515</v>
      </c>
      <c r="X534" s="405"/>
      <c r="Y534" s="405"/>
      <c r="Z534" s="405"/>
      <c r="AA534" s="405"/>
      <c r="AB534" s="408"/>
      <c r="AC534" s="443"/>
      <c r="AD534" s="410"/>
      <c r="AE534" s="443"/>
      <c r="AF534" s="443"/>
      <c r="AG534" s="443"/>
      <c r="AH534" s="443"/>
      <c r="AI534" s="443"/>
      <c r="AJ534" s="443"/>
      <c r="AK534" s="443"/>
      <c r="AL534" s="414"/>
      <c r="AM534" s="415"/>
      <c r="AN534" s="414"/>
    </row>
    <row r="535" ht="46.25" customHeight="1">
      <c r="A535" s="187"/>
      <c r="B535" t="s" s="416">
        <v>517</v>
      </c>
      <c r="C535" t="s" s="417">
        <v>518</v>
      </c>
      <c r="D535" t="s" s="417">
        <v>519</v>
      </c>
      <c r="E535" t="s" s="417">
        <v>520</v>
      </c>
      <c r="F535" t="s" s="159">
        <v>521</v>
      </c>
      <c r="G535" t="s" s="159">
        <v>522</v>
      </c>
      <c r="H535" t="s" s="159">
        <v>553</v>
      </c>
      <c r="I535" t="s" s="159">
        <v>524</v>
      </c>
      <c r="J535" t="s" s="159">
        <v>525</v>
      </c>
      <c r="K535" t="s" s="159">
        <v>526</v>
      </c>
      <c r="L535" t="s" s="159">
        <v>527</v>
      </c>
      <c r="M535" t="s" s="159">
        <v>528</v>
      </c>
      <c r="N535" t="s" s="159">
        <v>529</v>
      </c>
      <c r="O535" t="s" s="159">
        <v>530</v>
      </c>
      <c r="P535" t="s" s="159">
        <v>531</v>
      </c>
      <c r="Q535" t="s" s="159">
        <v>532</v>
      </c>
      <c r="R535" s="418"/>
      <c r="S535" t="s" s="159">
        <v>533</v>
      </c>
      <c r="T535" t="s" s="159">
        <v>534</v>
      </c>
      <c r="U535" t="s" s="159">
        <v>535</v>
      </c>
      <c r="V535" s="418"/>
      <c r="W535" t="s" s="159">
        <v>536</v>
      </c>
      <c r="X535" t="s" s="159">
        <v>537</v>
      </c>
      <c r="Y535" t="s" s="159">
        <v>538</v>
      </c>
      <c r="Z535" t="s" s="159">
        <v>539</v>
      </c>
      <c r="AA535" t="s" s="159">
        <v>121</v>
      </c>
      <c r="AB535" s="419"/>
      <c r="AC535" t="s" s="159">
        <v>39</v>
      </c>
      <c r="AD535" s="419"/>
      <c r="AE535" s="77"/>
      <c r="AF535" s="77"/>
      <c r="AG535" s="77"/>
      <c r="AH535" s="77"/>
      <c r="AI535" s="77"/>
      <c r="AJ535" s="77"/>
      <c r="AK535" s="77"/>
      <c r="AL535" s="77"/>
      <c r="AM535" s="77"/>
      <c r="AN535" s="78"/>
    </row>
    <row r="536" ht="15" customHeight="1">
      <c r="A536" s="12"/>
      <c r="B536" s="420">
        <v>1</v>
      </c>
      <c r="C536" s="421" cm="1">
        <f t="array" ref="C536">IF(B536&gt;0,IF(VLOOKUP($C$533,'Boats Data Sheet 2026'!$C$3:$J$57,8,0)="N/A",0,VLOOKUP($C$533,'Boats Data Sheet 2026'!$C$3:$J$57,8,0)),"N/A")*85%</f>
        <v>33660000</v>
      </c>
      <c r="D536" s="422" cm="1">
        <f t="array" ref="D536">IF(B536&gt;7,2,IF(B536=0,"N/A",1))</f>
        <v>1</v>
      </c>
      <c r="E536" s="421" cm="1">
        <f t="array" ref="E536">_xlfn.IFERROR(SUM('Direct Costs 2026'!$C$4:$C$5)*D536,"N/A")</f>
        <v>875500</v>
      </c>
      <c r="F536" s="423" cm="1">
        <f t="array" ref="F536">_xlfn.IFERROR('Direct Costs 2026'!$C$43*B536,"N/A")</f>
        <v>6000</v>
      </c>
      <c r="G536" s="423" cm="1">
        <f t="array" ref="G536">IF(B536&gt;0,'Direct Costs 2026'!$C$25,"N/A")</f>
        <v>90000</v>
      </c>
      <c r="H536" s="423">
        <v>0</v>
      </c>
      <c r="I536" s="423">
        <v>0</v>
      </c>
      <c r="J536" s="423">
        <v>0</v>
      </c>
      <c r="K536" s="423">
        <v>0</v>
      </c>
      <c r="L536" s="423" cm="1">
        <f t="array" ref="L536">IF(B536&gt;0,'Direct Costs 2026'!$C$23,"N/A")</f>
        <v>140000</v>
      </c>
      <c r="M536" s="423" cm="1">
        <f t="array" ref="M536">IF(B536&gt;0,'Direct Costs 2026'!$C$45*B536,"N/A")</f>
        <v>150000</v>
      </c>
      <c r="N536" t="str" s="431" cm="1">
        <f t="array" ref="N536">IF(B536&gt;0,_xlfn.IFERROR(VLOOKUP(C533,'Boats Data Sheet 2026'!$C$3:$I$57,7,0)*'Direct Costs 2026'!$C$36,"N/A"),"N/A")</f>
        <v>N/A</v>
      </c>
      <c r="O536" t="str" s="431" cm="1">
        <f t="array" ref="O536">IF(B536&gt;0,IF(OR(VLOOKUP(C533,'Boats Data Sheet 2026'!$C$3:$F$57,4,0)="Own",VLOOKUP(C533,'Boats Data Sheet 2026'!$C$3:$F$57,4,0)="Management"),('Direct Costs 2026'!$C$37+'Direct Costs 2026'!$C$39),"N/A"),"N/A")</f>
        <v>N/A</v>
      </c>
      <c r="P536" s="423">
        <v>0</v>
      </c>
      <c r="Q536" s="423" cm="1">
        <f t="array" ref="Q536">_xlfn.IFERROR(C536+SUM(E536:P536),"N/A")</f>
        <v>34921500</v>
      </c>
      <c r="R536" s="424"/>
      <c r="S536" s="423" cm="1">
        <f t="array" ref="S536">IF(B536&gt;0,'Allocation OH and Target 2026'!$E$31,"N/A")</f>
        <v>3100447.15769812</v>
      </c>
      <c r="T536" s="423" cm="1">
        <f t="array" ref="T536">IF(B536&gt;0,VLOOKUP(C533,'Allocation OH and Target 2026'!$C$35:$S$87,16,0),"N/A")</f>
        <v>0</v>
      </c>
      <c r="U536" s="423" cm="1">
        <f t="array" ref="U536">_xlfn.IFERROR((S536+T536),"N/A")</f>
        <v>3100447.15769812</v>
      </c>
      <c r="V536" s="424"/>
      <c r="W536" s="423" cm="1">
        <f t="array" ref="W536">_xlfn.IFERROR(U536+Q536,"N/A")</f>
        <v>38021947.1576981</v>
      </c>
      <c r="X536" s="423" cm="1">
        <f t="array" ref="X536">_xlfn.IFERROR(W536*0.5%,"N/A")</f>
        <v>190109.735788491</v>
      </c>
      <c r="Y536" s="423" cm="1">
        <f t="array" ref="Y536">_xlfn.IFERROR(W536*25%,"N/A")</f>
        <v>9505486.789424529</v>
      </c>
      <c r="Z536" s="425" cm="1">
        <f t="array" ref="Z536">IF(B536&gt;0,(SUM(W536:Y536)-(C536/0.9-C536)),"N/A")</f>
        <v>43977543.6829111</v>
      </c>
      <c r="AA536" s="425">
        <v>0</v>
      </c>
      <c r="AB536" s="424"/>
      <c r="AC536" t="str" s="426" cm="1">
        <f t="array" ref="AC536">IF(B536=6,AVERAGE(Z536:Z541),"N/A")</f>
        <v>N/A</v>
      </c>
      <c r="AD536" s="424"/>
      <c r="AE536" s="423"/>
      <c r="AF536" s="423"/>
      <c r="AG536" s="423"/>
      <c r="AH536" s="423"/>
      <c r="AI536" s="423"/>
      <c r="AJ536" s="423"/>
      <c r="AK536" s="423"/>
      <c r="AL536" s="423"/>
      <c r="AM536" s="423"/>
      <c r="AN536" s="427"/>
    </row>
    <row r="537" ht="15" customHeight="1">
      <c r="A537" s="12"/>
      <c r="B537" s="428" cm="1">
        <f t="array" ref="B537">IF(B536=0,0,IF(B536&lt;VLOOKUP(C533,'Boats Data Sheet 2026'!$C$3:$H$57,6,0),B536+1,0))</f>
        <v>2</v>
      </c>
      <c r="C537" s="423" cm="1">
        <f t="array" ref="C537">IF(B537&gt;0,IF(VLOOKUP($C$533,'Boats Data Sheet 2026'!$C$3:$J$57,8,0)="N/A",0,VLOOKUP($C$533,'Boats Data Sheet 2026'!$C$3:$J$57,8,0)),"N/A")*85%</f>
        <v>33660000</v>
      </c>
      <c r="D537" s="429" cm="1">
        <f t="array" ref="D537">IF(B537&gt;7,2,IF(B537=0,"N/A",1))</f>
        <v>1</v>
      </c>
      <c r="E537" s="423" cm="1">
        <f t="array" ref="E537">_xlfn.IFERROR(SUM('Direct Costs 2026'!$C$4:$C$5)*D537,"N/A")</f>
        <v>875500</v>
      </c>
      <c r="F537" s="423" cm="1">
        <f t="array" ref="F537">_xlfn.IFERROR('Direct Costs 2026'!$C$43*B537,"N/A")</f>
        <v>12000</v>
      </c>
      <c r="G537" s="423" cm="1">
        <f t="array" ref="G537">IF(B537&gt;0,'Direct Costs 2026'!$C$25,"N/A")</f>
        <v>90000</v>
      </c>
      <c r="H537" s="423">
        <v>0</v>
      </c>
      <c r="I537" s="423">
        <v>0</v>
      </c>
      <c r="J537" s="423">
        <v>0</v>
      </c>
      <c r="K537" s="423">
        <v>0</v>
      </c>
      <c r="L537" s="423" cm="1">
        <f t="array" ref="L537">IF(B537&gt;0,'Direct Costs 2026'!$C$23,"N/A")</f>
        <v>140000</v>
      </c>
      <c r="M537" s="423" cm="1">
        <f t="array" ref="M537">IF(B537&gt;0,'Direct Costs 2026'!$C$45*B537,"N/A")</f>
        <v>300000</v>
      </c>
      <c r="N537" t="str" s="431" cm="1">
        <f t="array" ref="N537">IF(B537&gt;0,_xlfn.IFERROR(VLOOKUP(C533,'Boats Data Sheet 2026'!$C$3:$I$57,7,0)*'Direct Costs 2026'!$C$36,"N/A"),"N/A")</f>
        <v>N/A</v>
      </c>
      <c r="O537" t="str" s="431" cm="1">
        <f t="array" ref="O537">IF(B537&gt;0,IF(OR(VLOOKUP(C533,'Boats Data Sheet 2026'!$C$3:$F$57,4,0)="Own",VLOOKUP(C533,'Boats Data Sheet 2026'!$C$3:$F$57,4,0)="Management"),('Direct Costs 2026'!$C$37+'Direct Costs 2026'!$C$39),"N/A"),"N/A")</f>
        <v>N/A</v>
      </c>
      <c r="P537" s="423">
        <v>0</v>
      </c>
      <c r="Q537" s="423" cm="1">
        <f t="array" ref="Q537">_xlfn.IFERROR(C537+SUM(E537:P537),"N/A")</f>
        <v>35077500</v>
      </c>
      <c r="R537" s="424"/>
      <c r="S537" s="423" cm="1">
        <f t="array" ref="S537">IF(B537&gt;0,'Allocation OH and Target 2026'!$E$31,"N/A")</f>
        <v>3100447.15769812</v>
      </c>
      <c r="T537" s="423" cm="1">
        <f t="array" ref="T537">IF(B537&gt;0,VLOOKUP(C533,'Allocation OH and Target 2026'!$C$35:$S$87,16,0),"N/A")</f>
        <v>0</v>
      </c>
      <c r="U537" s="423" cm="1">
        <f t="array" ref="U537">_xlfn.IFERROR((S537+T537),"N/A")</f>
        <v>3100447.15769812</v>
      </c>
      <c r="V537" s="424"/>
      <c r="W537" s="423" cm="1">
        <f t="array" ref="W537">_xlfn.IFERROR(U537+Q537,"N/A")</f>
        <v>38177947.1576981</v>
      </c>
      <c r="X537" s="423" cm="1">
        <f t="array" ref="X537">_xlfn.IFERROR(W537*0.5%,"N/A")</f>
        <v>190889.735788491</v>
      </c>
      <c r="Y537" s="423" cm="1">
        <f t="array" ref="Y537">_xlfn.IFERROR(W537*25%,"N/A")</f>
        <v>9544486.789424529</v>
      </c>
      <c r="Z537" s="425" cm="1">
        <f t="array" ref="Z537">IF(B537&gt;0,(SUM(W537:Y537)-(C537/0.9-C537)),"N/A")</f>
        <v>44173323.6829111</v>
      </c>
      <c r="AA537" s="425" cm="1">
        <f t="array" ref="AA537">_xlfn.IFERROR((Z537-Z536),"N/A")</f>
        <v>195780</v>
      </c>
      <c r="AB537" s="424"/>
      <c r="AC537" t="str" s="426" cm="1">
        <f t="array" ref="AC537">IF(B537=6,AVERAGE(Z536:Z541),"N/A")</f>
        <v>N/A</v>
      </c>
      <c r="AD537" s="424"/>
      <c r="AE537" s="423"/>
      <c r="AF537" s="423"/>
      <c r="AG537" s="423"/>
      <c r="AH537" s="423"/>
      <c r="AI537" s="423"/>
      <c r="AJ537" s="423"/>
      <c r="AK537" s="423"/>
      <c r="AL537" s="423"/>
      <c r="AM537" s="423"/>
      <c r="AN537" s="427"/>
    </row>
    <row r="538" ht="15" customHeight="1">
      <c r="A538" s="12"/>
      <c r="B538" s="428" cm="1">
        <f t="array" ref="B538">IF(B537=0,0,IF(B537&lt;VLOOKUP(C533,'Boats Data Sheet 2026'!$C$3:$H$57,6,0),B537+1,0))</f>
        <v>3</v>
      </c>
      <c r="C538" s="423" cm="1">
        <f t="array" ref="C538">IF(B538&gt;0,IF(VLOOKUP($C$533,'Boats Data Sheet 2026'!$C$3:$J$57,8,0)="N/A",0,VLOOKUP($C$533,'Boats Data Sheet 2026'!$C$3:$J$57,8,0)),"N/A")*85%</f>
        <v>33660000</v>
      </c>
      <c r="D538" s="429" cm="1">
        <f t="array" ref="D538">IF(B538&gt;7,2,IF(B538=0,"N/A",1))</f>
        <v>1</v>
      </c>
      <c r="E538" s="423" cm="1">
        <f t="array" ref="E538">_xlfn.IFERROR(SUM('Direct Costs 2026'!$C$4:$C$5)*D538,"N/A")</f>
        <v>875500</v>
      </c>
      <c r="F538" s="423" cm="1">
        <f t="array" ref="F538">_xlfn.IFERROR('Direct Costs 2026'!$C$43*B538,"N/A")</f>
        <v>18000</v>
      </c>
      <c r="G538" s="423" cm="1">
        <f t="array" ref="G538">IF(B538&gt;0,'Direct Costs 2026'!$C$25,"N/A")</f>
        <v>90000</v>
      </c>
      <c r="H538" s="423">
        <v>0</v>
      </c>
      <c r="I538" s="423">
        <v>0</v>
      </c>
      <c r="J538" s="423">
        <v>0</v>
      </c>
      <c r="K538" s="423">
        <v>0</v>
      </c>
      <c r="L538" s="423" cm="1">
        <f t="array" ref="L538">IF(B538&gt;0,'Direct Costs 2026'!$C$23,"N/A")</f>
        <v>140000</v>
      </c>
      <c r="M538" s="423" cm="1">
        <f t="array" ref="M538">IF(B538&gt;0,'Direct Costs 2026'!$C$45*B538,"N/A")</f>
        <v>450000</v>
      </c>
      <c r="N538" t="str" s="431" cm="1">
        <f t="array" ref="N538">IF(B538&gt;0,_xlfn.IFERROR(VLOOKUP(C533,'Boats Data Sheet 2026'!$C$3:$I$57,7,0)*'Direct Costs 2026'!$C$36,"N/A"),"N/A")</f>
        <v>N/A</v>
      </c>
      <c r="O538" t="str" s="431" cm="1">
        <f t="array" ref="O538">IF(B538&gt;0,IF(OR(VLOOKUP(C533,'Boats Data Sheet 2026'!$C$3:$F$57,4,0)="Own",VLOOKUP(C533,'Boats Data Sheet 2026'!$C$3:$F$57,4,0)="Management"),('Direct Costs 2026'!$C$37+'Direct Costs 2026'!$C$39),"N/A"),"N/A")</f>
        <v>N/A</v>
      </c>
      <c r="P538" s="423">
        <v>0</v>
      </c>
      <c r="Q538" s="423" cm="1">
        <f t="array" ref="Q538">_xlfn.IFERROR(C538+SUM(E538:P538),"N/A")</f>
        <v>35233500</v>
      </c>
      <c r="R538" s="424"/>
      <c r="S538" s="423" cm="1">
        <f t="array" ref="S538">IF(B538&gt;0,'Allocation OH and Target 2026'!$E$31,"N/A")</f>
        <v>3100447.15769812</v>
      </c>
      <c r="T538" s="423" cm="1">
        <f t="array" ref="T538">IF(B538&gt;0,VLOOKUP(C533,'Allocation OH and Target 2026'!$C$35:$S$87,16,0),"N/A")</f>
        <v>0</v>
      </c>
      <c r="U538" s="423" cm="1">
        <f t="array" ref="U538">_xlfn.IFERROR((S538+T538),"N/A")</f>
        <v>3100447.15769812</v>
      </c>
      <c r="V538" s="424"/>
      <c r="W538" s="423" cm="1">
        <f t="array" ref="W538">_xlfn.IFERROR(U538+Q538,"N/A")</f>
        <v>38333947.1576981</v>
      </c>
      <c r="X538" s="423" cm="1">
        <f t="array" ref="X538">_xlfn.IFERROR(W538*0.5%,"N/A")</f>
        <v>191669.735788491</v>
      </c>
      <c r="Y538" s="423" cm="1">
        <f t="array" ref="Y538">_xlfn.IFERROR(W538*25%,"N/A")</f>
        <v>9583486.789424529</v>
      </c>
      <c r="Z538" s="425" cm="1">
        <f t="array" ref="Z538">IF(B538&gt;0,(SUM(W538:Y538)-(C538/0.9-C538)),"N/A")</f>
        <v>44369103.6829111</v>
      </c>
      <c r="AA538" s="425" cm="1">
        <f t="array" ref="AA538">_xlfn.IFERROR((Z538-Z537),"N/A")</f>
        <v>195780</v>
      </c>
      <c r="AB538" s="424"/>
      <c r="AC538" t="str" s="426" cm="1">
        <f t="array" ref="AC538">IF(B538=6,AVERAGE(Z536:Z541),"N/A")</f>
        <v>N/A</v>
      </c>
      <c r="AD538" s="424"/>
      <c r="AE538" s="423"/>
      <c r="AF538" s="423"/>
      <c r="AG538" s="423"/>
      <c r="AH538" s="423"/>
      <c r="AI538" s="423"/>
      <c r="AJ538" s="423"/>
      <c r="AK538" s="423"/>
      <c r="AL538" s="423"/>
      <c r="AM538" s="423"/>
      <c r="AN538" s="427"/>
    </row>
    <row r="539" ht="15" customHeight="1">
      <c r="A539" s="12"/>
      <c r="B539" s="428" cm="1">
        <f t="array" ref="B539">IF(B538=0,0,IF(B538&lt;VLOOKUP(C533,'Boats Data Sheet 2026'!$C$3:$H$57,6,0),B538+1,0))</f>
        <v>4</v>
      </c>
      <c r="C539" s="423" cm="1">
        <f t="array" ref="C539">IF(B539&gt;0,IF(VLOOKUP($C$533,'Boats Data Sheet 2026'!$C$3:$J$57,8,0)="N/A",0,VLOOKUP($C$533,'Boats Data Sheet 2026'!$C$3:$J$57,8,0)),"N/A")*85%</f>
        <v>33660000</v>
      </c>
      <c r="D539" s="429" cm="1">
        <f t="array" ref="D539">IF(B539&gt;7,2,IF(B539=0,"N/A",1))</f>
        <v>1</v>
      </c>
      <c r="E539" s="423" cm="1">
        <f t="array" ref="E539">_xlfn.IFERROR(SUM('Direct Costs 2026'!$C$4:$C$5)*D539,"N/A")</f>
        <v>875500</v>
      </c>
      <c r="F539" s="423" cm="1">
        <f t="array" ref="F539">_xlfn.IFERROR('Direct Costs 2026'!$C$43*B539,"N/A")</f>
        <v>24000</v>
      </c>
      <c r="G539" s="423" cm="1">
        <f t="array" ref="G539">IF(B539&gt;0,'Direct Costs 2026'!$C$25,"N/A")</f>
        <v>90000</v>
      </c>
      <c r="H539" s="423">
        <v>0</v>
      </c>
      <c r="I539" s="423">
        <v>0</v>
      </c>
      <c r="J539" s="423">
        <v>0</v>
      </c>
      <c r="K539" s="423">
        <v>0</v>
      </c>
      <c r="L539" s="423" cm="1">
        <f t="array" ref="L539">IF(B539&gt;0,'Direct Costs 2026'!$C$23,"N/A")</f>
        <v>140000</v>
      </c>
      <c r="M539" s="423" cm="1">
        <f t="array" ref="M539">IF(B539&gt;0,'Direct Costs 2026'!$C$45*B539,"N/A")</f>
        <v>600000</v>
      </c>
      <c r="N539" t="str" s="431" cm="1">
        <f t="array" ref="N539">IF(B539&gt;0,_xlfn.IFERROR(VLOOKUP(C533,'Boats Data Sheet 2026'!$C$3:$I$57,7,0)*'Direct Costs 2026'!$C$36,"N/A"),"N/A")</f>
        <v>N/A</v>
      </c>
      <c r="O539" t="str" s="431" cm="1">
        <f t="array" ref="O539">IF(B539&gt;0,IF(OR(VLOOKUP(C533,'Boats Data Sheet 2026'!$C$3:$F$57,4,0)="Own",VLOOKUP(C533,'Boats Data Sheet 2026'!$C$3:$F$57,4,0)="Management"),('Direct Costs 2026'!$C$37+'Direct Costs 2026'!$C$39),"N/A"),"N/A")</f>
        <v>N/A</v>
      </c>
      <c r="P539" s="423">
        <v>0</v>
      </c>
      <c r="Q539" s="423" cm="1">
        <f t="array" ref="Q539">_xlfn.IFERROR(C539+SUM(E539:P539),"N/A")</f>
        <v>35389500</v>
      </c>
      <c r="R539" s="424"/>
      <c r="S539" s="423" cm="1">
        <f t="array" ref="S539">IF(B539&gt;0,'Allocation OH and Target 2026'!$E$31,"N/A")</f>
        <v>3100447.15769812</v>
      </c>
      <c r="T539" s="423" cm="1">
        <f t="array" ref="T539">IF(B539&gt;0,VLOOKUP(C533,'Allocation OH and Target 2026'!$C$35:$S$87,16,0),"N/A")</f>
        <v>0</v>
      </c>
      <c r="U539" s="423" cm="1">
        <f t="array" ref="U539">_xlfn.IFERROR((S539+T539),"N/A")</f>
        <v>3100447.15769812</v>
      </c>
      <c r="V539" s="424"/>
      <c r="W539" s="423" cm="1">
        <f t="array" ref="W539">_xlfn.IFERROR(U539+Q539,"N/A")</f>
        <v>38489947.1576981</v>
      </c>
      <c r="X539" s="423" cm="1">
        <f t="array" ref="X539">_xlfn.IFERROR(W539*0.5%,"N/A")</f>
        <v>192449.735788491</v>
      </c>
      <c r="Y539" s="423" cm="1">
        <f t="array" ref="Y539">_xlfn.IFERROR(W539*25%,"N/A")</f>
        <v>9622486.789424529</v>
      </c>
      <c r="Z539" s="425" cm="1">
        <f t="array" ref="Z539">IF(B539&gt;0,(SUM(W539:Y539)-(C539/0.9-C539)),"N/A")</f>
        <v>44564883.6829111</v>
      </c>
      <c r="AA539" s="425" cm="1">
        <f t="array" ref="AA539">_xlfn.IFERROR((Z539-Z538),"N/A")</f>
        <v>195780</v>
      </c>
      <c r="AB539" s="424"/>
      <c r="AC539" t="str" s="426" cm="1">
        <f t="array" ref="AC539">IF(B539=6,AVERAGE(Z536:Z541),"N/A")</f>
        <v>N/A</v>
      </c>
      <c r="AD539" s="424"/>
      <c r="AE539" s="423"/>
      <c r="AF539" s="423"/>
      <c r="AG539" s="423"/>
      <c r="AH539" s="423"/>
      <c r="AI539" s="423"/>
      <c r="AJ539" s="423"/>
      <c r="AK539" s="423"/>
      <c r="AL539" s="423"/>
      <c r="AM539" s="423"/>
      <c r="AN539" s="427"/>
    </row>
    <row r="540" ht="15" customHeight="1">
      <c r="A540" s="12"/>
      <c r="B540" s="428" cm="1">
        <f t="array" ref="B540">IF(B539=0,0,IF(B539&lt;VLOOKUP(C533,'Boats Data Sheet 2026'!$C$3:$H$57,6,0),B539+1,0))</f>
        <v>5</v>
      </c>
      <c r="C540" s="423" cm="1">
        <f t="array" ref="C540">IF(B540&gt;0,IF(VLOOKUP($C$533,'Boats Data Sheet 2026'!$C$3:$J$57,8,0)="N/A",0,VLOOKUP($C$533,'Boats Data Sheet 2026'!$C$3:$J$57,8,0)),"N/A")*85%</f>
        <v>33660000</v>
      </c>
      <c r="D540" s="429" cm="1">
        <f t="array" ref="D540">IF(B540&gt;7,2,IF(B540=0,"N/A",1))</f>
        <v>1</v>
      </c>
      <c r="E540" s="423" cm="1">
        <f t="array" ref="E540">_xlfn.IFERROR(SUM('Direct Costs 2026'!$C$4:$C$5)*D540,"N/A")</f>
        <v>875500</v>
      </c>
      <c r="F540" s="423" cm="1">
        <f t="array" ref="F540">_xlfn.IFERROR('Direct Costs 2026'!$C$43*B540,"N/A")</f>
        <v>30000</v>
      </c>
      <c r="G540" s="423" cm="1">
        <f t="array" ref="G540">IF(B540&gt;0,'Direct Costs 2026'!$C$25,"N/A")</f>
        <v>90000</v>
      </c>
      <c r="H540" s="423">
        <v>0</v>
      </c>
      <c r="I540" s="423">
        <v>0</v>
      </c>
      <c r="J540" s="423">
        <v>0</v>
      </c>
      <c r="K540" s="423">
        <v>0</v>
      </c>
      <c r="L540" s="423" cm="1">
        <f t="array" ref="L540">IF(B540&gt;0,'Direct Costs 2026'!$C$23,"N/A")</f>
        <v>140000</v>
      </c>
      <c r="M540" s="423" cm="1">
        <f t="array" ref="M540">IF(B540&gt;0,'Direct Costs 2026'!$C$45*B540,"N/A")</f>
        <v>750000</v>
      </c>
      <c r="N540" t="str" s="431" cm="1">
        <f t="array" ref="N540">IF(B540&gt;0,_xlfn.IFERROR(VLOOKUP(C533,'Boats Data Sheet 2026'!$C$3:$I$57,7,0)*'Direct Costs 2026'!$C$36,"N/A"),"N/A")</f>
        <v>N/A</v>
      </c>
      <c r="O540" t="str" s="431" cm="1">
        <f t="array" ref="O540">IF(B540&gt;0,IF(OR(VLOOKUP(C533,'Boats Data Sheet 2026'!$C$3:$F$57,4,0)="Own",VLOOKUP(C533,'Boats Data Sheet 2026'!$C$3:$F$57,4,0)="Management"),('Direct Costs 2026'!$C$37+'Direct Costs 2026'!$C$39),"N/A"),"N/A")</f>
        <v>N/A</v>
      </c>
      <c r="P540" s="423">
        <v>0</v>
      </c>
      <c r="Q540" s="423" cm="1">
        <f t="array" ref="Q540">_xlfn.IFERROR(C540+SUM(E540:P540),"N/A")</f>
        <v>35545500</v>
      </c>
      <c r="R540" s="424"/>
      <c r="S540" s="423" cm="1">
        <f t="array" ref="S540">IF(B540&gt;0,'Allocation OH and Target 2026'!$E$31,"N/A")</f>
        <v>3100447.15769812</v>
      </c>
      <c r="T540" s="423" cm="1">
        <f t="array" ref="T540">IF(B540&gt;0,VLOOKUP(C533,'Allocation OH and Target 2026'!$C$35:$S$87,16,0),"N/A")</f>
        <v>0</v>
      </c>
      <c r="U540" s="423" cm="1">
        <f t="array" ref="U540">_xlfn.IFERROR((S540+T540),"N/A")</f>
        <v>3100447.15769812</v>
      </c>
      <c r="V540" s="424"/>
      <c r="W540" s="423" cm="1">
        <f t="array" ref="W540">_xlfn.IFERROR(U540+Q540,"N/A")</f>
        <v>38645947.1576981</v>
      </c>
      <c r="X540" s="423" cm="1">
        <f t="array" ref="X540">_xlfn.IFERROR(W540*0.5%,"N/A")</f>
        <v>193229.735788491</v>
      </c>
      <c r="Y540" s="423" cm="1">
        <f t="array" ref="Y540">_xlfn.IFERROR(W540*25%,"N/A")</f>
        <v>9661486.789424529</v>
      </c>
      <c r="Z540" s="425" cm="1">
        <f t="array" ref="Z540">IF(B540&gt;0,(SUM(W540:Y540)-(C540/0.9-C540)),"N/A")</f>
        <v>44760663.6829111</v>
      </c>
      <c r="AA540" s="425" cm="1">
        <f t="array" ref="AA540">_xlfn.IFERROR((Z540-Z539),"N/A")</f>
        <v>195780</v>
      </c>
      <c r="AB540" s="424"/>
      <c r="AC540" t="str" s="426" cm="1">
        <f t="array" ref="AC540">IF(B540=6,AVERAGE(Z536:Z541),"N/A")</f>
        <v>N/A</v>
      </c>
      <c r="AD540" s="424"/>
      <c r="AE540" s="423"/>
      <c r="AF540" s="423"/>
      <c r="AG540" s="423"/>
      <c r="AH540" s="423"/>
      <c r="AI540" s="423"/>
      <c r="AJ540" s="423"/>
      <c r="AK540" s="423"/>
      <c r="AL540" s="423"/>
      <c r="AM540" s="423"/>
      <c r="AN540" s="427"/>
    </row>
    <row r="541" ht="15" customHeight="1">
      <c r="A541" s="12"/>
      <c r="B541" s="428" cm="1">
        <f t="array" ref="B541">IF(B540=0,0,IF(B540&lt;VLOOKUP(C533,'Boats Data Sheet 2026'!$C$3:$H$57,6,0),B540+1,0))</f>
        <v>6</v>
      </c>
      <c r="C541" s="423" cm="1">
        <f t="array" ref="C541">IF(B541&gt;0,IF(VLOOKUP($C$533,'Boats Data Sheet 2026'!$C$3:$J$57,8,0)="N/A",0,VLOOKUP($C$533,'Boats Data Sheet 2026'!$C$3:$J$57,8,0)),"N/A")*85%</f>
        <v>33660000</v>
      </c>
      <c r="D541" s="429" cm="1">
        <f t="array" ref="D541">IF(B541&gt;7,2,IF(B541=0,"N/A",1))</f>
        <v>1</v>
      </c>
      <c r="E541" s="423" cm="1">
        <f t="array" ref="E541">_xlfn.IFERROR(SUM('Direct Costs 2026'!$C$4:$C$5)*D541,"N/A")</f>
        <v>875500</v>
      </c>
      <c r="F541" s="423" cm="1">
        <f t="array" ref="F541">_xlfn.IFERROR('Direct Costs 2026'!$C$43*B541,"N/A")</f>
        <v>36000</v>
      </c>
      <c r="G541" s="423" cm="1">
        <f t="array" ref="G541">IF(B541&gt;0,'Direct Costs 2026'!$C$25,"N/A")</f>
        <v>90000</v>
      </c>
      <c r="H541" s="423">
        <v>0</v>
      </c>
      <c r="I541" s="423">
        <v>0</v>
      </c>
      <c r="J541" s="423">
        <v>0</v>
      </c>
      <c r="K541" s="423">
        <v>0</v>
      </c>
      <c r="L541" s="423" cm="1">
        <f t="array" ref="L541">IF(B541&gt;0,'Direct Costs 2026'!$C$23,"N/A")</f>
        <v>140000</v>
      </c>
      <c r="M541" s="423" cm="1">
        <f t="array" ref="M541">IF(B541&gt;0,'Direct Costs 2026'!$C$45*B541,"N/A")</f>
        <v>900000</v>
      </c>
      <c r="N541" t="str" s="431" cm="1">
        <f t="array" ref="N541">IF(B541&gt;0,_xlfn.IFERROR(VLOOKUP(C533,'Boats Data Sheet 2026'!$C$3:$I$57,7,0)*'Direct Costs 2026'!$C$36,"N/A"),"N/A")</f>
        <v>N/A</v>
      </c>
      <c r="O541" t="str" s="431" cm="1">
        <f t="array" ref="O541">IF(B541&gt;0,IF(OR(VLOOKUP(C533,'Boats Data Sheet 2026'!$C$3:$F$57,4,0)="Own",VLOOKUP(C533,'Boats Data Sheet 2026'!$C$3:$F$57,4,0)="Management"),('Direct Costs 2026'!$C$37+'Direct Costs 2026'!$C$39),"N/A"),"N/A")</f>
        <v>N/A</v>
      </c>
      <c r="P541" s="423">
        <v>0</v>
      </c>
      <c r="Q541" s="423" cm="1">
        <f t="array" ref="Q541">_xlfn.IFERROR(C541+SUM(E541:P541),"N/A")</f>
        <v>35701500</v>
      </c>
      <c r="R541" s="424"/>
      <c r="S541" s="423" cm="1">
        <f t="array" ref="S541">IF(B541&gt;0,'Allocation OH and Target 2026'!$E$31,"N/A")</f>
        <v>3100447.15769812</v>
      </c>
      <c r="T541" s="423" cm="1">
        <f t="array" ref="T541">IF(B541&gt;0,VLOOKUP(C533,'Allocation OH and Target 2026'!$C$35:$S$87,16,0),"N/A")</f>
        <v>0</v>
      </c>
      <c r="U541" s="423" cm="1">
        <f t="array" ref="U541">_xlfn.IFERROR((S541+T541),"N/A")</f>
        <v>3100447.15769812</v>
      </c>
      <c r="V541" s="424"/>
      <c r="W541" s="423" cm="1">
        <f t="array" ref="W541">_xlfn.IFERROR(U541+Q541,"N/A")</f>
        <v>38801947.1576981</v>
      </c>
      <c r="X541" s="423" cm="1">
        <f t="array" ref="X541">_xlfn.IFERROR(W541*0.5%,"N/A")</f>
        <v>194009.735788491</v>
      </c>
      <c r="Y541" s="423" cm="1">
        <f t="array" ref="Y541">_xlfn.IFERROR(W541*25%,"N/A")</f>
        <v>9700486.789424529</v>
      </c>
      <c r="Z541" s="425" cm="1">
        <f t="array" ref="Z541">IF(B541&gt;0,(SUM(W541:Y541)-(C541/0.9-C541)),"N/A")</f>
        <v>44956443.6829111</v>
      </c>
      <c r="AA541" s="425" cm="1">
        <f t="array" ref="AA541">_xlfn.IFERROR((Z541-Z540),"N/A")</f>
        <v>195780</v>
      </c>
      <c r="AB541" s="424"/>
      <c r="AC541" s="425" cm="1">
        <f t="array" ref="AC541">IF(B541=6,AVERAGE(Z536:Z541),"N/A")</f>
        <v>44466993.6829111</v>
      </c>
      <c r="AD541" s="424"/>
      <c r="AE541" s="423"/>
      <c r="AF541" s="423"/>
      <c r="AG541" s="423"/>
      <c r="AH541" s="423"/>
      <c r="AI541" s="423"/>
      <c r="AJ541" s="423"/>
      <c r="AK541" s="423"/>
      <c r="AL541" s="423"/>
      <c r="AM541" s="423"/>
      <c r="AN541" s="427"/>
    </row>
    <row r="542" ht="15" customHeight="1">
      <c r="A542" s="12"/>
      <c r="B542" s="428" cm="1">
        <f t="array" ref="B542">IF(B541=0,0,IF(B541&lt;VLOOKUP(C533,'Boats Data Sheet 2026'!$C$3:$H$57,6,0),B541+1,0))</f>
        <v>7</v>
      </c>
      <c r="C542" s="423" cm="1">
        <f t="array" ref="C542">IF(B542&gt;0,IF(VLOOKUP($C$533,'Boats Data Sheet 2026'!$C$3:$J$57,8,0)="N/A",0,VLOOKUP($C$533,'Boats Data Sheet 2026'!$C$3:$J$57,8,0)),"N/A")*85%</f>
        <v>33660000</v>
      </c>
      <c r="D542" s="429" cm="1">
        <f t="array" ref="D542">IF(B542&gt;7,2,IF(B542=0,"N/A",1))</f>
        <v>1</v>
      </c>
      <c r="E542" s="423" cm="1">
        <f t="array" ref="E542">_xlfn.IFERROR(SUM('Direct Costs 2026'!$C$4:$C$5)*D542,"N/A")</f>
        <v>875500</v>
      </c>
      <c r="F542" s="423" cm="1">
        <f t="array" ref="F542">_xlfn.IFERROR('Direct Costs 2026'!$C$43*B542,"N/A")</f>
        <v>42000</v>
      </c>
      <c r="G542" s="423" cm="1">
        <f t="array" ref="G542">IF(B542&gt;0,'Direct Costs 2026'!$C$25,"N/A")</f>
        <v>90000</v>
      </c>
      <c r="H542" s="423">
        <v>0</v>
      </c>
      <c r="I542" s="423">
        <v>0</v>
      </c>
      <c r="J542" s="423">
        <v>0</v>
      </c>
      <c r="K542" s="423">
        <v>0</v>
      </c>
      <c r="L542" s="423" cm="1">
        <f t="array" ref="L542">IF(B542&gt;0,'Direct Costs 2026'!$C$23,"N/A")</f>
        <v>140000</v>
      </c>
      <c r="M542" s="423" cm="1">
        <f t="array" ref="M542">IF(B542&gt;0,'Direct Costs 2026'!$C$45*B542,"N/A")</f>
        <v>1050000</v>
      </c>
      <c r="N542" t="str" s="431" cm="1">
        <f t="array" ref="N542">IF(B542&gt;0,_xlfn.IFERROR(VLOOKUP(C533,'Boats Data Sheet 2026'!$C$3:$I$57,7,0)*'Direct Costs 2026'!$C$36,"N/A"),"N/A")</f>
        <v>N/A</v>
      </c>
      <c r="O542" t="str" s="431" cm="1">
        <f t="array" ref="O542">IF(B542&gt;0,IF(OR(VLOOKUP(C533,'Boats Data Sheet 2026'!$C$3:$F$57,4,0)="Own",VLOOKUP(C533,'Boats Data Sheet 2026'!$C$3:$F$57,4,0)="Management"),('Direct Costs 2026'!$C$37+'Direct Costs 2026'!$C$39),"N/A"),"N/A")</f>
        <v>N/A</v>
      </c>
      <c r="P542" s="423">
        <v>0</v>
      </c>
      <c r="Q542" s="423" cm="1">
        <f t="array" ref="Q542">_xlfn.IFERROR(C542+SUM(E542:P542),"N/A")</f>
        <v>35857500</v>
      </c>
      <c r="R542" s="424"/>
      <c r="S542" s="423" cm="1">
        <f t="array" ref="S542">IF(B542&gt;0,'Allocation OH and Target 2026'!$E$31,"N/A")</f>
        <v>3100447.15769812</v>
      </c>
      <c r="T542" s="423" cm="1">
        <f t="array" ref="T542">IF(B542&gt;0,VLOOKUP(C533,'Allocation OH and Target 2026'!$C$35:$S$87,16,0),"N/A")</f>
        <v>0</v>
      </c>
      <c r="U542" s="423" cm="1">
        <f t="array" ref="U542">_xlfn.IFERROR((S542+T542),"N/A")</f>
        <v>3100447.15769812</v>
      </c>
      <c r="V542" s="424"/>
      <c r="W542" s="423" cm="1">
        <f t="array" ref="W542">_xlfn.IFERROR(U542+Q542,"N/A")</f>
        <v>38957947.1576981</v>
      </c>
      <c r="X542" s="423" cm="1">
        <f t="array" ref="X542">_xlfn.IFERROR(W542*0.5%,"N/A")</f>
        <v>194789.735788491</v>
      </c>
      <c r="Y542" s="423" cm="1">
        <f t="array" ref="Y542">_xlfn.IFERROR(W542*25%,"N/A")</f>
        <v>9739486.789424529</v>
      </c>
      <c r="Z542" s="425" cm="1">
        <f t="array" ref="Z542">IF(B542&gt;0,(SUM(W542:Y542)-(C542/0.9-C542)),"N/A")</f>
        <v>45152223.6829111</v>
      </c>
      <c r="AA542" s="425" cm="1">
        <f t="array" ref="AA542">_xlfn.IFERROR((Z542-Z541),"N/A")</f>
        <v>195780</v>
      </c>
      <c r="AB542" s="424"/>
      <c r="AC542" t="str" s="426" cm="1">
        <f t="array" ref="AC542">IF(B542=6,AVERAGE(Z536:Z541),"N/A")</f>
        <v>N/A</v>
      </c>
      <c r="AD542" s="424"/>
      <c r="AE542" s="423"/>
      <c r="AF542" s="423"/>
      <c r="AG542" s="423"/>
      <c r="AH542" s="423"/>
      <c r="AI542" s="423"/>
      <c r="AJ542" s="423"/>
      <c r="AK542" s="423"/>
      <c r="AL542" s="423"/>
      <c r="AM542" s="423"/>
      <c r="AN542" s="427"/>
    </row>
    <row r="543" ht="15" customHeight="1">
      <c r="A543" s="12"/>
      <c r="B543" s="428" cm="1">
        <f t="array" ref="B543">IF(B542=0,0,IF(B542&lt;VLOOKUP(C533,'Boats Data Sheet 2026'!$C$3:$H$57,6,0),B542+1,0))</f>
        <v>8</v>
      </c>
      <c r="C543" s="423" cm="1">
        <f t="array" ref="C543">IF(B543&gt;0,IF(VLOOKUP($C$533,'Boats Data Sheet 2026'!$C$3:$J$57,8,0)="N/A",0,VLOOKUP($C$533,'Boats Data Sheet 2026'!$C$3:$J$57,8,0)),"N/A")*85%</f>
        <v>33660000</v>
      </c>
      <c r="D543" s="429" cm="1">
        <f t="array" ref="D543">IF(B543&gt;7,2,IF(B543=0,"N/A",1))</f>
        <v>2</v>
      </c>
      <c r="E543" s="423" cm="1">
        <f t="array" ref="E543">_xlfn.IFERROR(SUM('Direct Costs 2026'!$C$4:$C$5)*D543,"N/A")</f>
        <v>1751000</v>
      </c>
      <c r="F543" s="423" cm="1">
        <f t="array" ref="F543">_xlfn.IFERROR('Direct Costs 2026'!$C$43*B543,"N/A")</f>
        <v>48000</v>
      </c>
      <c r="G543" s="423" cm="1">
        <f t="array" ref="G543">IF(B543&gt;0,'Direct Costs 2026'!$C$25,"N/A")</f>
        <v>90000</v>
      </c>
      <c r="H543" s="423">
        <v>0</v>
      </c>
      <c r="I543" s="423">
        <v>0</v>
      </c>
      <c r="J543" s="423">
        <v>0</v>
      </c>
      <c r="K543" s="423">
        <v>0</v>
      </c>
      <c r="L543" s="423" cm="1">
        <f t="array" ref="L543">IF(B543&gt;0,'Direct Costs 2026'!$C$23,"N/A")</f>
        <v>140000</v>
      </c>
      <c r="M543" s="423" cm="1">
        <f t="array" ref="M543">IF(B543&gt;0,'Direct Costs 2026'!$C$45*B543,"N/A")</f>
        <v>1200000</v>
      </c>
      <c r="N543" t="str" s="431" cm="1">
        <f t="array" ref="N543">IF(B543&gt;0,_xlfn.IFERROR(VLOOKUP(C533,'Boats Data Sheet 2026'!$C$3:$I$57,7,0)*'Direct Costs 2026'!$C$36,"N/A"),"N/A")</f>
        <v>N/A</v>
      </c>
      <c r="O543" t="str" s="431" cm="1">
        <f t="array" ref="O543">IF(B543&gt;0,IF(OR(VLOOKUP(C533,'Boats Data Sheet 2026'!$C$3:$F$57,4,0)="Own",VLOOKUP(C533,'Boats Data Sheet 2026'!$C$3:$F$57,4,0)="Management"),('Direct Costs 2026'!$C$37+'Direct Costs 2026'!$C$39),"N/A"),"N/A")</f>
        <v>N/A</v>
      </c>
      <c r="P543" s="423">
        <v>0</v>
      </c>
      <c r="Q543" s="423" cm="1">
        <f t="array" ref="Q543">_xlfn.IFERROR(C543+SUM(E543:P543),"N/A")</f>
        <v>36889000</v>
      </c>
      <c r="R543" s="424"/>
      <c r="S543" s="423" cm="1">
        <f t="array" ref="S543">IF(B543&gt;0,'Allocation OH and Target 2026'!$E$31,"N/A")</f>
        <v>3100447.15769812</v>
      </c>
      <c r="T543" s="423" cm="1">
        <f t="array" ref="T543">IF(B543&gt;0,VLOOKUP(C533,'Allocation OH and Target 2026'!$C$35:$S$87,16,0),"N/A")</f>
        <v>0</v>
      </c>
      <c r="U543" s="423" cm="1">
        <f t="array" ref="U543">_xlfn.IFERROR((S543+T543),"N/A")</f>
        <v>3100447.15769812</v>
      </c>
      <c r="V543" s="424"/>
      <c r="W543" s="423" cm="1">
        <f t="array" ref="W543">_xlfn.IFERROR(U543+Q543,"N/A")</f>
        <v>39989447.1576981</v>
      </c>
      <c r="X543" s="423" cm="1">
        <f t="array" ref="X543">_xlfn.IFERROR(W543*0.5%,"N/A")</f>
        <v>199947.235788491</v>
      </c>
      <c r="Y543" s="423" cm="1">
        <f t="array" ref="Y543">_xlfn.IFERROR(W543*25%,"N/A")</f>
        <v>9997361.789424529</v>
      </c>
      <c r="Z543" s="425" cm="1">
        <f t="array" ref="Z543">IF(B543&gt;0,(SUM(W543:Y543)-(C543/0.9-C543)),"N/A")</f>
        <v>46446756.1829111</v>
      </c>
      <c r="AA543" s="425" cm="1">
        <f t="array" ref="AA543">_xlfn.IFERROR((Z543-Z542),"N/A")</f>
        <v>1294532.5</v>
      </c>
      <c r="AB543" s="424"/>
      <c r="AC543" t="str" s="426" cm="1">
        <f t="array" ref="AC543">IF(B543=6,AVERAGE(Z536:Z541),"N/A")</f>
        <v>N/A</v>
      </c>
      <c r="AD543" s="424"/>
      <c r="AE543" s="495"/>
      <c r="AF543" s="423"/>
      <c r="AG543" s="423"/>
      <c r="AH543" s="423"/>
      <c r="AI543" s="423"/>
      <c r="AJ543" s="423"/>
      <c r="AK543" s="423"/>
      <c r="AL543" s="423"/>
      <c r="AM543" s="423"/>
      <c r="AN543" s="427"/>
    </row>
    <row r="544" ht="15" customHeight="1">
      <c r="A544" s="12"/>
      <c r="B544" s="428" cm="1">
        <f t="array" ref="B544">IF(B543=0,0,IF(B543&lt;VLOOKUP(C533,'Boats Data Sheet 2026'!$C$3:$H$57,6,0),B543+1,0))</f>
        <v>9</v>
      </c>
      <c r="C544" s="423" cm="1">
        <f t="array" ref="C544">IF(B544&gt;0,IF(VLOOKUP($C$533,'Boats Data Sheet 2026'!$C$3:$J$57,8,0)="N/A",0,VLOOKUP($C$533,'Boats Data Sheet 2026'!$C$3:$J$57,8,0)),"N/A")*85%</f>
        <v>33660000</v>
      </c>
      <c r="D544" s="430" cm="1">
        <f t="array" ref="D544">IF(B544&gt;7,2,IF(B544=0,"N/A",1))</f>
        <v>2</v>
      </c>
      <c r="E544" s="423" cm="1">
        <f t="array" ref="E544">_xlfn.IFERROR(SUM('Direct Costs 2026'!$C$4:$C$5)*D544,"N/A")</f>
        <v>1751000</v>
      </c>
      <c r="F544" s="423" cm="1">
        <f t="array" ref="F544">_xlfn.IFERROR('Direct Costs 2026'!$C$43*B544,"N/A")</f>
        <v>54000</v>
      </c>
      <c r="G544" s="423" cm="1">
        <f t="array" ref="G544">IF(B544&gt;0,'Direct Costs 2026'!$C$25,"N/A")</f>
        <v>90000</v>
      </c>
      <c r="H544" s="423">
        <v>0</v>
      </c>
      <c r="I544" s="423">
        <v>0</v>
      </c>
      <c r="J544" s="423">
        <v>0</v>
      </c>
      <c r="K544" s="423">
        <v>0</v>
      </c>
      <c r="L544" s="423" cm="1">
        <f t="array" ref="L544">IF(B544&gt;0,'Direct Costs 2026'!$C$23,"N/A")</f>
        <v>140000</v>
      </c>
      <c r="M544" s="423" cm="1">
        <f t="array" ref="M544">IF(B544&gt;0,'Direct Costs 2026'!$C$45*B544,"N/A")</f>
        <v>1350000</v>
      </c>
      <c r="N544" t="str" s="431" cm="1">
        <f t="array" ref="N544">IF(B544&gt;0,_xlfn.IFERROR(VLOOKUP(C533,'Boats Data Sheet 2026'!$C$3:$I$57,7,0)*'Direct Costs 2026'!$C$36,"N/A"),"N/A")</f>
        <v>N/A</v>
      </c>
      <c r="O544" t="str" s="431" cm="1">
        <f t="array" ref="O544">IF(B544&gt;0,IF(OR(VLOOKUP(C533,'Boats Data Sheet 2026'!$C$3:$F$57,4,0)="Own",VLOOKUP(C533,'Boats Data Sheet 2026'!$C$3:$F$57,4,0)="Management"),('Direct Costs 2026'!$C$37+'Direct Costs 2026'!$C$39),"N/A"),"N/A")</f>
        <v>N/A</v>
      </c>
      <c r="P544" s="423">
        <v>0</v>
      </c>
      <c r="Q544" s="423" cm="1">
        <f t="array" ref="Q544">_xlfn.IFERROR(C544+SUM(E544:P544),"N/A")</f>
        <v>37045000</v>
      </c>
      <c r="R544" s="424"/>
      <c r="S544" s="423" cm="1">
        <f t="array" ref="S544">IF(B544&gt;0,'Allocation OH and Target 2026'!$E$31,"N/A")</f>
        <v>3100447.15769812</v>
      </c>
      <c r="T544" s="423" cm="1">
        <f t="array" ref="T544">IF(B544&gt;0,VLOOKUP(C533,'Allocation OH and Target 2026'!$C$35:$S$87,16,0),"N/A")</f>
        <v>0</v>
      </c>
      <c r="U544" s="423" cm="1">
        <f t="array" ref="U544">_xlfn.IFERROR((S544+T544),"N/A")</f>
        <v>3100447.15769812</v>
      </c>
      <c r="V544" s="424"/>
      <c r="W544" s="423" cm="1">
        <f t="array" ref="W544">_xlfn.IFERROR(U544+Q544,"N/A")</f>
        <v>40145447.1576981</v>
      </c>
      <c r="X544" s="423" cm="1">
        <f t="array" ref="X544">_xlfn.IFERROR(W544*0.5%,"N/A")</f>
        <v>200727.235788491</v>
      </c>
      <c r="Y544" s="423" cm="1">
        <f t="array" ref="Y544">_xlfn.IFERROR(W544*25%,"N/A")</f>
        <v>10036361.7894245</v>
      </c>
      <c r="Z544" s="425" cm="1">
        <f t="array" ref="Z544">IF(B544&gt;0,(SUM(W544:Y544)-(C544/0.9-C544)),"N/A")</f>
        <v>46642536.1829111</v>
      </c>
      <c r="AA544" s="425" cm="1">
        <f t="array" ref="AA544">_xlfn.IFERROR((Z544-Z543),"N/A")</f>
        <v>195780</v>
      </c>
      <c r="AB544" s="424"/>
      <c r="AC544" t="str" s="426" cm="1">
        <f t="array" ref="AC544">IF(B544=6,AVERAGE(Z536:Z541),"N/A")</f>
        <v>N/A</v>
      </c>
      <c r="AD544" s="424"/>
      <c r="AE544" s="423"/>
      <c r="AF544" s="423"/>
      <c r="AG544" s="423"/>
      <c r="AH544" s="423"/>
      <c r="AI544" s="423"/>
      <c r="AJ544" s="423"/>
      <c r="AK544" s="423"/>
      <c r="AL544" s="423"/>
      <c r="AM544" s="423"/>
      <c r="AN544" s="427"/>
    </row>
    <row r="545" ht="15" customHeight="1">
      <c r="A545" s="12"/>
      <c r="B545" s="428" cm="1">
        <f t="array" ref="B545">IF(B544=0,0,IF(B544&lt;VLOOKUP(C533,'Boats Data Sheet 2026'!$C$3:$H$57,6,0),B544+1,0))</f>
        <v>10</v>
      </c>
      <c r="C545" s="423" cm="1">
        <f t="array" ref="C545">IF(B545&gt;0,IF(VLOOKUP($C$533,'Boats Data Sheet 2026'!$C$3:$J$57,8,0)="N/A",0,VLOOKUP($C$533,'Boats Data Sheet 2026'!$C$3:$J$57,8,0)),"N/A")*85%</f>
        <v>33660000</v>
      </c>
      <c r="D545" s="430" cm="1">
        <f t="array" ref="D545">IF(B545&gt;7,2,IF(B545=0,"N/A",1))</f>
        <v>2</v>
      </c>
      <c r="E545" s="423" cm="1">
        <f t="array" ref="E545">_xlfn.IFERROR(SUM('Direct Costs 2026'!$C$4:$C$5)*D545,"N/A")</f>
        <v>1751000</v>
      </c>
      <c r="F545" s="423" cm="1">
        <f t="array" ref="F545">_xlfn.IFERROR('Direct Costs 2026'!$C$43*B545,"N/A")</f>
        <v>60000</v>
      </c>
      <c r="G545" s="423" cm="1">
        <f t="array" ref="G545">IF(B545&gt;0,'Direct Costs 2026'!$C$25,"N/A")</f>
        <v>90000</v>
      </c>
      <c r="H545" s="423">
        <v>0</v>
      </c>
      <c r="I545" s="423">
        <v>0</v>
      </c>
      <c r="J545" s="423">
        <v>0</v>
      </c>
      <c r="K545" s="423">
        <v>0</v>
      </c>
      <c r="L545" s="423" cm="1">
        <f t="array" ref="L545">IF(B545&gt;0,'Direct Costs 2026'!$C$23,"N/A")</f>
        <v>140000</v>
      </c>
      <c r="M545" s="423" cm="1">
        <f t="array" ref="M545">IF(B545&gt;0,'Direct Costs 2026'!$C$45*B545,"N/A")</f>
        <v>1500000</v>
      </c>
      <c r="N545" t="str" s="431" cm="1">
        <f t="array" ref="N545">IF(B545&gt;0,_xlfn.IFERROR(VLOOKUP(C533,'Boats Data Sheet 2026'!$C$3:$I$57,7,0)*'Direct Costs 2026'!$C$36,"N/A"),"N/A")</f>
        <v>N/A</v>
      </c>
      <c r="O545" t="str" s="431" cm="1">
        <f t="array" ref="O545">IF(B545&gt;0,IF(OR(VLOOKUP(C533,'Boats Data Sheet 2026'!$C$3:$F$57,4,0)="Own",VLOOKUP(C533,'Boats Data Sheet 2026'!$C$3:$F$57,4,0)="Management"),('Direct Costs 2026'!$C$37+'Direct Costs 2026'!$C$39),"N/A"),"N/A")</f>
        <v>N/A</v>
      </c>
      <c r="P545" s="423">
        <v>0</v>
      </c>
      <c r="Q545" s="423" cm="1">
        <f t="array" ref="Q545">_xlfn.IFERROR(C545+SUM(E545:P545),"N/A")</f>
        <v>37201000</v>
      </c>
      <c r="R545" s="424"/>
      <c r="S545" s="423" cm="1">
        <f t="array" ref="S545">IF(B545&gt;0,'Allocation OH and Target 2026'!$E$31,"N/A")</f>
        <v>3100447.15769812</v>
      </c>
      <c r="T545" s="423" cm="1">
        <f t="array" ref="T545">IF(B545&gt;0,VLOOKUP(C533,'Allocation OH and Target 2026'!$C$35:$S$87,16,0),"N/A")</f>
        <v>0</v>
      </c>
      <c r="U545" s="423" cm="1">
        <f t="array" ref="U545">_xlfn.IFERROR((S545+T545),"N/A")</f>
        <v>3100447.15769812</v>
      </c>
      <c r="V545" s="424"/>
      <c r="W545" s="423" cm="1">
        <f t="array" ref="W545">_xlfn.IFERROR(U545+Q545,"N/A")</f>
        <v>40301447.1576981</v>
      </c>
      <c r="X545" s="423" cm="1">
        <f t="array" ref="X545">_xlfn.IFERROR(W545*0.5%,"N/A")</f>
        <v>201507.235788491</v>
      </c>
      <c r="Y545" s="423" cm="1">
        <f t="array" ref="Y545">_xlfn.IFERROR(W545*25%,"N/A")</f>
        <v>10075361.7894245</v>
      </c>
      <c r="Z545" s="425" cm="1">
        <f t="array" ref="Z545">IF(B545&gt;0,(SUM(W545:Y545)-(C545/0.9-C545)),"N/A")</f>
        <v>46838316.1829111</v>
      </c>
      <c r="AA545" s="425" cm="1">
        <f t="array" ref="AA545">_xlfn.IFERROR((Z545-Z544),"N/A")</f>
        <v>195780</v>
      </c>
      <c r="AB545" s="424"/>
      <c r="AC545" t="str" s="426" cm="1">
        <f t="array" ref="AC545">IF(B545=6,AVERAGE(Z536:Z541),"N/A")</f>
        <v>N/A</v>
      </c>
      <c r="AD545" s="424"/>
      <c r="AE545" s="423"/>
      <c r="AF545" s="423"/>
      <c r="AG545" s="423"/>
      <c r="AH545" s="423"/>
      <c r="AI545" s="423"/>
      <c r="AJ545" s="423"/>
      <c r="AK545" s="423"/>
      <c r="AL545" s="423"/>
      <c r="AM545" s="423"/>
      <c r="AN545" s="427"/>
    </row>
    <row r="546" ht="15" customHeight="1">
      <c r="A546" s="12"/>
      <c r="B546" s="428" cm="1">
        <f t="array" ref="B546">IF(B545=0,0,IF(B545&lt;VLOOKUP(C533,'Boats Data Sheet 2026'!$C$3:$H$57,6,0),B545+1,0))</f>
        <v>11</v>
      </c>
      <c r="C546" s="423" cm="1">
        <f t="array" ref="C546">IF(B546&gt;0,IF(VLOOKUP($C$533,'Boats Data Sheet 2026'!$C$3:$J$57,8,0)="N/A",0,VLOOKUP($C$533,'Boats Data Sheet 2026'!$C$3:$J$57,8,0)),"N/A")*85%</f>
        <v>33660000</v>
      </c>
      <c r="D546" s="430" cm="1">
        <f t="array" ref="D546">IF(B546&gt;7,2,IF(B546=0,"N/A",1))</f>
        <v>2</v>
      </c>
      <c r="E546" s="423" cm="1">
        <f t="array" ref="E546">_xlfn.IFERROR(SUM('Direct Costs 2026'!$C$4:$C$5)*D546,"N/A")</f>
        <v>1751000</v>
      </c>
      <c r="F546" s="423" cm="1">
        <f t="array" ref="F546">_xlfn.IFERROR('Direct Costs 2026'!$C$43*B546,"N/A")</f>
        <v>66000</v>
      </c>
      <c r="G546" s="423" cm="1">
        <f t="array" ref="G546">IF(B546&gt;0,'Direct Costs 2026'!$C$25,"N/A")</f>
        <v>90000</v>
      </c>
      <c r="H546" s="423">
        <v>0</v>
      </c>
      <c r="I546" s="423">
        <v>0</v>
      </c>
      <c r="J546" s="423">
        <v>0</v>
      </c>
      <c r="K546" s="423">
        <v>0</v>
      </c>
      <c r="L546" s="423" cm="1">
        <f t="array" ref="L546">IF(B546&gt;0,'Direct Costs 2026'!$C$23,"N/A")</f>
        <v>140000</v>
      </c>
      <c r="M546" s="423" cm="1">
        <f t="array" ref="M546">IF(B546&gt;0,'Direct Costs 2026'!$C$45*B546,"N/A")</f>
        <v>1650000</v>
      </c>
      <c r="N546" t="str" s="431" cm="1">
        <f t="array" ref="N546">IF(B546&gt;0,_xlfn.IFERROR(VLOOKUP(C533,'Boats Data Sheet 2026'!$C$3:$I$57,7,0)*'Direct Costs 2026'!$C$36,"N/A"),"N/A")</f>
        <v>N/A</v>
      </c>
      <c r="O546" t="str" s="431" cm="1">
        <f t="array" ref="O546">IF(B546&gt;0,IF(OR(VLOOKUP(C533,'Boats Data Sheet 2026'!$C$3:$F$57,4,0)="Own",VLOOKUP(C533,'Boats Data Sheet 2026'!$C$3:$F$57,4,0)="Management"),('Direct Costs 2026'!$C$37+'Direct Costs 2026'!$C$39),"N/A"),"N/A")</f>
        <v>N/A</v>
      </c>
      <c r="P546" s="423">
        <v>0</v>
      </c>
      <c r="Q546" s="423" cm="1">
        <f t="array" ref="Q546">_xlfn.IFERROR(C546+SUM(E546:P546),"N/A")</f>
        <v>37357000</v>
      </c>
      <c r="R546" s="424"/>
      <c r="S546" s="423" cm="1">
        <f t="array" ref="S546">IF(B546&gt;0,'Allocation OH and Target 2026'!$E$31,"N/A")</f>
        <v>3100447.15769812</v>
      </c>
      <c r="T546" s="423" cm="1">
        <f t="array" ref="T546">IF(B546&gt;0,VLOOKUP(C533,'Allocation OH and Target 2026'!$C$35:$S$87,16,0),"N/A")</f>
        <v>0</v>
      </c>
      <c r="U546" s="423" cm="1">
        <f t="array" ref="U546">_xlfn.IFERROR((S546+T546),"N/A")</f>
        <v>3100447.15769812</v>
      </c>
      <c r="V546" s="424"/>
      <c r="W546" s="423" cm="1">
        <f t="array" ref="W546">_xlfn.IFERROR(U546+Q546,"N/A")</f>
        <v>40457447.1576981</v>
      </c>
      <c r="X546" s="423" cm="1">
        <f t="array" ref="X546">_xlfn.IFERROR(W546*0.5%,"N/A")</f>
        <v>202287.235788491</v>
      </c>
      <c r="Y546" s="423" cm="1">
        <f t="array" ref="Y546">_xlfn.IFERROR(W546*25%,"N/A")</f>
        <v>10114361.7894245</v>
      </c>
      <c r="Z546" s="425" cm="1">
        <f t="array" ref="Z546">IF(B546&gt;0,(SUM(W546:Y546)-(C546/0.9-C546)),"N/A")</f>
        <v>47034096.1829111</v>
      </c>
      <c r="AA546" s="425" cm="1">
        <f t="array" ref="AA546">_xlfn.IFERROR((Z546-Z545),"N/A")</f>
        <v>195780</v>
      </c>
      <c r="AB546" s="424"/>
      <c r="AC546" t="str" s="426" cm="1">
        <f t="array" ref="AC546">IF(B546=6,AVERAGE(Z536:Z541),"N/A")</f>
        <v>N/A</v>
      </c>
      <c r="AD546" s="424"/>
      <c r="AE546" s="423"/>
      <c r="AF546" s="423"/>
      <c r="AG546" s="423"/>
      <c r="AH546" s="423"/>
      <c r="AI546" s="423"/>
      <c r="AJ546" s="423"/>
      <c r="AK546" s="423"/>
      <c r="AL546" s="423"/>
      <c r="AM546" s="423"/>
      <c r="AN546" s="427"/>
    </row>
    <row r="547" ht="15" customHeight="1">
      <c r="A547" s="12"/>
      <c r="B547" s="428" cm="1">
        <f t="array" ref="B547">IF(B546=0,0,IF(B546&lt;VLOOKUP(C533,'Boats Data Sheet 2026'!$C$3:$H$57,6,0),B546+1,0))</f>
        <v>12</v>
      </c>
      <c r="C547" s="423" cm="1">
        <f t="array" ref="C547">IF(B547&gt;0,IF(VLOOKUP($C$533,'Boats Data Sheet 2026'!$C$3:$J$57,8,0)="N/A",0,VLOOKUP($C$533,'Boats Data Sheet 2026'!$C$3:$J$57,8,0)),"N/A")*85%</f>
        <v>33660000</v>
      </c>
      <c r="D547" s="430" cm="1">
        <f t="array" ref="D547">IF(B547&gt;7,2,IF(B547=0,"N/A",1))</f>
        <v>2</v>
      </c>
      <c r="E547" s="423" cm="1">
        <f t="array" ref="E547">_xlfn.IFERROR(SUM('Direct Costs 2026'!$C$4:$C$5)*D547,"N/A")</f>
        <v>1751000</v>
      </c>
      <c r="F547" s="423" cm="1">
        <f t="array" ref="F547">_xlfn.IFERROR('Direct Costs 2026'!$C$43*B547,"N/A")</f>
        <v>72000</v>
      </c>
      <c r="G547" s="423" cm="1">
        <f t="array" ref="G547">IF(B547&gt;0,'Direct Costs 2026'!$C$25,"N/A")</f>
        <v>90000</v>
      </c>
      <c r="H547" s="423">
        <v>0</v>
      </c>
      <c r="I547" s="423">
        <v>0</v>
      </c>
      <c r="J547" s="423">
        <v>0</v>
      </c>
      <c r="K547" s="423">
        <v>0</v>
      </c>
      <c r="L547" s="423" cm="1">
        <f t="array" ref="L547">IF(B547&gt;0,'Direct Costs 2026'!$C$23,"N/A")</f>
        <v>140000</v>
      </c>
      <c r="M547" s="423" cm="1">
        <f t="array" ref="M547">IF(B547&gt;0,'Direct Costs 2026'!$C$45*B547,"N/A")</f>
        <v>1800000</v>
      </c>
      <c r="N547" t="str" s="431" cm="1">
        <f t="array" ref="N547">IF(B547&gt;0,_xlfn.IFERROR(VLOOKUP(C533,'Boats Data Sheet 2026'!$C$3:$I$57,7,0)*'Direct Costs 2026'!$C$36,"N/A"),"N/A")</f>
        <v>N/A</v>
      </c>
      <c r="O547" t="str" s="431" cm="1">
        <f t="array" ref="O547">IF(B547&gt;0,IF(OR(VLOOKUP(C533,'Boats Data Sheet 2026'!$C$3:$F$57,4,0)="Own",VLOOKUP(C533,'Boats Data Sheet 2026'!$C$3:$F$57,4,0)="Management"),('Direct Costs 2026'!$C$37+'Direct Costs 2026'!$C$39),"N/A"),"N/A")</f>
        <v>N/A</v>
      </c>
      <c r="P547" s="423">
        <v>0</v>
      </c>
      <c r="Q547" s="423" cm="1">
        <f t="array" ref="Q547">_xlfn.IFERROR(C547+SUM(E547:P547),"N/A")</f>
        <v>37513000</v>
      </c>
      <c r="R547" s="424"/>
      <c r="S547" s="423" cm="1">
        <f t="array" ref="S547">IF(B547&gt;0,'Allocation OH and Target 2026'!$E$31,"N/A")</f>
        <v>3100447.15769812</v>
      </c>
      <c r="T547" s="423" cm="1">
        <f t="array" ref="T547">IF(B547&gt;0,VLOOKUP(C533,'Allocation OH and Target 2026'!$C$35:$S$87,16,0),"N/A")</f>
        <v>0</v>
      </c>
      <c r="U547" s="423" cm="1">
        <f t="array" ref="U547">_xlfn.IFERROR((S547+T547),"N/A")</f>
        <v>3100447.15769812</v>
      </c>
      <c r="V547" s="424"/>
      <c r="W547" s="423" cm="1">
        <f t="array" ref="W547">_xlfn.IFERROR(U547+Q547,"N/A")</f>
        <v>40613447.1576981</v>
      </c>
      <c r="X547" s="423" cm="1">
        <f t="array" ref="X547">_xlfn.IFERROR(W547*0.5%,"N/A")</f>
        <v>203067.235788491</v>
      </c>
      <c r="Y547" s="423" cm="1">
        <f t="array" ref="Y547">_xlfn.IFERROR(W547*25%,"N/A")</f>
        <v>10153361.7894245</v>
      </c>
      <c r="Z547" s="425" cm="1">
        <f t="array" ref="Z547">IF(B547&gt;0,(SUM(W547:Y547)-(C547/0.9-C547)),"N/A")</f>
        <v>47229876.1829111</v>
      </c>
      <c r="AA547" s="425" cm="1">
        <f t="array" ref="AA547">_xlfn.IFERROR((Z547-Z546),"N/A")</f>
        <v>195780</v>
      </c>
      <c r="AB547" s="424"/>
      <c r="AC547" t="str" s="426" cm="1">
        <f t="array" ref="AC547">IF(B547=6,AVERAGE(Z536:Z541),"N/A")</f>
        <v>N/A</v>
      </c>
      <c r="AD547" s="424"/>
      <c r="AE547" s="423"/>
      <c r="AF547" s="423"/>
      <c r="AG547" s="423"/>
      <c r="AH547" s="423"/>
      <c r="AI547" s="423"/>
      <c r="AJ547" s="423"/>
      <c r="AK547" s="423"/>
      <c r="AL547" s="423"/>
      <c r="AM547" s="423"/>
      <c r="AN547" s="427"/>
    </row>
    <row r="548" ht="15" customHeight="1">
      <c r="A548" s="12"/>
      <c r="B548" s="428" cm="1">
        <f t="array" ref="B548">IF(B547=0,0,IF(B547&lt;VLOOKUP(C533,'Boats Data Sheet 2026'!$C$3:$H$57,6,0),B547+1,0))</f>
        <v>13</v>
      </c>
      <c r="C548" s="423" cm="1">
        <f t="array" ref="C548">IF(B548&gt;0,IF(VLOOKUP($C$533,'Boats Data Sheet 2026'!$C$3:$J$57,8,0)="N/A",0,VLOOKUP($C$533,'Boats Data Sheet 2026'!$C$3:$J$57,8,0)),"N/A")*85%</f>
        <v>33660000</v>
      </c>
      <c r="D548" s="430" cm="1">
        <f t="array" ref="D548">IF(B548&gt;7,2,IF(B548=0,"N/A",1))</f>
        <v>2</v>
      </c>
      <c r="E548" s="423" cm="1">
        <f t="array" ref="E548">_xlfn.IFERROR(SUM('Direct Costs 2026'!$C$4:$C$5)*D548,"N/A")</f>
        <v>1751000</v>
      </c>
      <c r="F548" s="423" cm="1">
        <f t="array" ref="F548">_xlfn.IFERROR('Direct Costs 2026'!$C$43*B548,"N/A")</f>
        <v>78000</v>
      </c>
      <c r="G548" s="423" cm="1">
        <f t="array" ref="G548">IF(B548&gt;0,'Direct Costs 2026'!$C$25,"N/A")</f>
        <v>90000</v>
      </c>
      <c r="H548" s="423">
        <v>0</v>
      </c>
      <c r="I548" s="423">
        <v>0</v>
      </c>
      <c r="J548" s="423">
        <v>0</v>
      </c>
      <c r="K548" s="423">
        <v>0</v>
      </c>
      <c r="L548" s="423" cm="1">
        <f t="array" ref="L548">IF(B548&gt;0,'Direct Costs 2026'!$C$23,"N/A")</f>
        <v>140000</v>
      </c>
      <c r="M548" s="423" cm="1">
        <f t="array" ref="M548">IF(B548&gt;0,'Direct Costs 2026'!$C$45*B548,"N/A")</f>
        <v>1950000</v>
      </c>
      <c r="N548" t="str" s="431" cm="1">
        <f t="array" ref="N548">IF(B548&gt;0,_xlfn.IFERROR(VLOOKUP(C533,'Boats Data Sheet 2026'!$C$3:$I$57,7,0)*'Direct Costs 2026'!$C$36,"N/A"),"N/A")</f>
        <v>N/A</v>
      </c>
      <c r="O548" t="str" s="431" cm="1">
        <f t="array" ref="O548">IF(B548&gt;0,IF(OR(VLOOKUP(C533,'Boats Data Sheet 2026'!$C$3:$F$57,4,0)="Own",VLOOKUP(C533,'Boats Data Sheet 2026'!$C$3:$F$57,4,0)="Management"),('Direct Costs 2026'!$C$37+'Direct Costs 2026'!$C$39),"N/A"),"N/A")</f>
        <v>N/A</v>
      </c>
      <c r="P548" s="423">
        <v>0</v>
      </c>
      <c r="Q548" s="423" cm="1">
        <f t="array" ref="Q548">_xlfn.IFERROR(C548+SUM(E548:P548),"N/A")</f>
        <v>37669000</v>
      </c>
      <c r="R548" s="424"/>
      <c r="S548" s="423" cm="1">
        <f t="array" ref="S548">IF(B548&gt;0,'Allocation OH and Target 2026'!$E$31,"N/A")</f>
        <v>3100447.15769812</v>
      </c>
      <c r="T548" s="423" cm="1">
        <f t="array" ref="T548">IF(B548&gt;0,VLOOKUP(C533,'Allocation OH and Target 2026'!$C$35:$S$87,16,0),"N/A")</f>
        <v>0</v>
      </c>
      <c r="U548" s="423" cm="1">
        <f t="array" ref="U548">_xlfn.IFERROR((S548+T548),"N/A")</f>
        <v>3100447.15769812</v>
      </c>
      <c r="V548" s="424"/>
      <c r="W548" s="423" cm="1">
        <f t="array" ref="W548">_xlfn.IFERROR(U548+Q548,"N/A")</f>
        <v>40769447.1576981</v>
      </c>
      <c r="X548" s="423" cm="1">
        <f t="array" ref="X548">_xlfn.IFERROR(W548*0.5%,"N/A")</f>
        <v>203847.235788491</v>
      </c>
      <c r="Y548" s="423" cm="1">
        <f t="array" ref="Y548">_xlfn.IFERROR(W548*25%,"N/A")</f>
        <v>10192361.7894245</v>
      </c>
      <c r="Z548" s="425" cm="1">
        <f t="array" ref="Z548">IF(B548&gt;0,(SUM(W548:Y548)-(C548/0.9-C548)),"N/A")</f>
        <v>47425656.1829111</v>
      </c>
      <c r="AA548" s="425" cm="1">
        <f t="array" ref="AA548">_xlfn.IFERROR((Z548-Z547),"N/A")</f>
        <v>195780</v>
      </c>
      <c r="AB548" s="424"/>
      <c r="AC548" t="str" s="426" cm="1">
        <f t="array" ref="AC548">IF(B548=6,AVERAGE(Z536:Z541),"N/A")</f>
        <v>N/A</v>
      </c>
      <c r="AD548" s="424"/>
      <c r="AE548" s="423"/>
      <c r="AF548" s="423"/>
      <c r="AG548" s="423"/>
      <c r="AH548" s="423"/>
      <c r="AI548" s="423"/>
      <c r="AJ548" s="423"/>
      <c r="AK548" s="423"/>
      <c r="AL548" s="423"/>
      <c r="AM548" s="423"/>
      <c r="AN548" s="427"/>
    </row>
    <row r="549" ht="15" customHeight="1">
      <c r="A549" s="12"/>
      <c r="B549" s="428" cm="1">
        <f t="array" ref="B549">IF(B548=0,0,IF(B548&lt;VLOOKUP(C533,'Boats Data Sheet 2026'!$C$3:$H$57,6,0),B548+1,0))</f>
        <v>14</v>
      </c>
      <c r="C549" s="423" cm="1">
        <f t="array" ref="C549">IF(B549&gt;0,IF(VLOOKUP($C$533,'Boats Data Sheet 2026'!$C$3:$J$57,8,0)="N/A",0,VLOOKUP($C$533,'Boats Data Sheet 2026'!$C$3:$J$57,8,0)),"N/A")*85%</f>
        <v>33660000</v>
      </c>
      <c r="D549" s="430" cm="1">
        <f t="array" ref="D549">IF(B549&gt;7,2,IF(B549=0,"N/A",1))</f>
        <v>2</v>
      </c>
      <c r="E549" s="423" cm="1">
        <f t="array" ref="E549">_xlfn.IFERROR(SUM('Direct Costs 2026'!$C$4:$C$5)*D549,"N/A")</f>
        <v>1751000</v>
      </c>
      <c r="F549" s="423" cm="1">
        <f t="array" ref="F549">_xlfn.IFERROR('Direct Costs 2026'!$C$43*B549,"N/A")</f>
        <v>84000</v>
      </c>
      <c r="G549" s="423" cm="1">
        <f t="array" ref="G549">IF(B549&gt;0,'Direct Costs 2026'!$C$25,"N/A")</f>
        <v>90000</v>
      </c>
      <c r="H549" s="423">
        <v>0</v>
      </c>
      <c r="I549" s="423">
        <v>0</v>
      </c>
      <c r="J549" s="423">
        <v>0</v>
      </c>
      <c r="K549" s="423">
        <v>0</v>
      </c>
      <c r="L549" s="423" cm="1">
        <f t="array" ref="L549">IF(B549&gt;0,'Direct Costs 2026'!$C$23,"N/A")</f>
        <v>140000</v>
      </c>
      <c r="M549" s="423" cm="1">
        <f t="array" ref="M549">IF(B549&gt;0,'Direct Costs 2026'!$C$45*B549,"N/A")</f>
        <v>2100000</v>
      </c>
      <c r="N549" t="str" s="431" cm="1">
        <f t="array" ref="N549">IF(B549&gt;0,_xlfn.IFERROR(VLOOKUP(C533,'Boats Data Sheet 2026'!$C$3:$I$57,7,0)*'Direct Costs 2026'!$C$36,"N/A"),"N/A")</f>
        <v>N/A</v>
      </c>
      <c r="O549" t="str" s="431" cm="1">
        <f t="array" ref="O549">IF(B549&gt;0,IF(OR(VLOOKUP(C533,'Boats Data Sheet 2026'!$C$3:$F$57,4,0)="Own",VLOOKUP(C533,'Boats Data Sheet 2026'!$C$3:$F$57,4,0)="Management"),('Direct Costs 2026'!$C$37+'Direct Costs 2026'!$C$39),"N/A"),"N/A")</f>
        <v>N/A</v>
      </c>
      <c r="P549" s="423">
        <v>0</v>
      </c>
      <c r="Q549" s="423" cm="1">
        <f t="array" ref="Q549">_xlfn.IFERROR(C549+SUM(E549:P549),"N/A")</f>
        <v>37825000</v>
      </c>
      <c r="R549" s="424"/>
      <c r="S549" s="423" cm="1">
        <f t="array" ref="S549">IF(B549&gt;0,'Allocation OH and Target 2026'!$E$31,"N/A")</f>
        <v>3100447.15769812</v>
      </c>
      <c r="T549" s="423" cm="1">
        <f t="array" ref="T549">IF(B549&gt;0,VLOOKUP(C533,'Allocation OH and Target 2026'!$C$35:$S$87,16,0),"N/A")</f>
        <v>0</v>
      </c>
      <c r="U549" s="423" cm="1">
        <f t="array" ref="U549">_xlfn.IFERROR((S549+T549),"N/A")</f>
        <v>3100447.15769812</v>
      </c>
      <c r="V549" s="424"/>
      <c r="W549" s="423" cm="1">
        <f t="array" ref="W549">_xlfn.IFERROR(U549+Q549,"N/A")</f>
        <v>40925447.1576981</v>
      </c>
      <c r="X549" s="423" cm="1">
        <f t="array" ref="X549">_xlfn.IFERROR(W549*0.5%,"N/A")</f>
        <v>204627.235788491</v>
      </c>
      <c r="Y549" s="423" cm="1">
        <f t="array" ref="Y549">_xlfn.IFERROR(W549*25%,"N/A")</f>
        <v>10231361.7894245</v>
      </c>
      <c r="Z549" s="425" cm="1">
        <f t="array" ref="Z549">IF(B549&gt;0,(SUM(W549:Y549)-(C549/0.9-C549)),"N/A")</f>
        <v>47621436.1829111</v>
      </c>
      <c r="AA549" s="425" cm="1">
        <f t="array" ref="AA549">_xlfn.IFERROR((Z549-Z548),"N/A")</f>
        <v>195780</v>
      </c>
      <c r="AB549" s="424"/>
      <c r="AC549" t="str" s="426" cm="1">
        <f t="array" ref="AC549">IF(B549=6,AVERAGE(Z536:Z541),"N/A")</f>
        <v>N/A</v>
      </c>
      <c r="AD549" s="424"/>
      <c r="AE549" s="423"/>
      <c r="AF549" s="423"/>
      <c r="AG549" s="423"/>
      <c r="AH549" s="423"/>
      <c r="AI549" s="423"/>
      <c r="AJ549" s="423"/>
      <c r="AK549" s="423"/>
      <c r="AL549" s="423"/>
      <c r="AM549" s="423"/>
      <c r="AN549" s="427"/>
    </row>
    <row r="550" ht="15" customHeight="1">
      <c r="A550" s="12"/>
      <c r="B550" s="428" cm="1">
        <f t="array" ref="B550">IF(B549=0,0,IF(B549&lt;VLOOKUP(C533,'Boats Data Sheet 2026'!$C$3:$H$57,6,0),B549+1,0))</f>
        <v>15</v>
      </c>
      <c r="C550" s="423" cm="1">
        <f t="array" ref="C550">IF(B550&gt;0,IF(VLOOKUP($C$533,'Boats Data Sheet 2026'!$C$3:$J$57,8,0)="N/A",0,VLOOKUP($C$533,'Boats Data Sheet 2026'!$C$3:$J$57,8,0)),"N/A")*85%</f>
        <v>33660000</v>
      </c>
      <c r="D550" s="430" cm="1">
        <f t="array" ref="D550">IF(B550&gt;7,2,IF(B550=0,"N/A",1))</f>
        <v>2</v>
      </c>
      <c r="E550" s="423" cm="1">
        <f t="array" ref="E550">_xlfn.IFERROR(SUM('Direct Costs 2026'!$C$4:$C$5)*D550,"N/A")</f>
        <v>1751000</v>
      </c>
      <c r="F550" s="423" cm="1">
        <f t="array" ref="F550">_xlfn.IFERROR('Direct Costs 2026'!$C$43*B550,"N/A")</f>
        <v>90000</v>
      </c>
      <c r="G550" s="423" cm="1">
        <f t="array" ref="G550">IF(B550&gt;0,'Direct Costs 2026'!$C$25,"N/A")</f>
        <v>90000</v>
      </c>
      <c r="H550" s="423">
        <v>0</v>
      </c>
      <c r="I550" s="423">
        <v>0</v>
      </c>
      <c r="J550" s="423">
        <v>0</v>
      </c>
      <c r="K550" s="423">
        <v>0</v>
      </c>
      <c r="L550" s="423" cm="1">
        <f t="array" ref="L550">IF(B550&gt;0,'Direct Costs 2026'!$C$23,"N/A")</f>
        <v>140000</v>
      </c>
      <c r="M550" s="423" cm="1">
        <f t="array" ref="M550">IF(B550&gt;0,'Direct Costs 2026'!$C$45*B550,"N/A")</f>
        <v>2250000</v>
      </c>
      <c r="N550" t="str" s="431" cm="1">
        <f t="array" ref="N550">IF(B550&gt;0,_xlfn.IFERROR(VLOOKUP(C533,'Boats Data Sheet 2026'!$C$3:$I$57,7,0)*'Direct Costs 2026'!$C$36,"N/A"),"N/A")</f>
        <v>N/A</v>
      </c>
      <c r="O550" t="str" s="431" cm="1">
        <f t="array" ref="O550">IF(B550&gt;0,IF(OR(VLOOKUP(C533,'Boats Data Sheet 2026'!$C$3:$F$57,4,0)="Own",VLOOKUP(C533,'Boats Data Sheet 2026'!$C$3:$F$57,4,0)="Management"),('Direct Costs 2026'!$C$37+'Direct Costs 2026'!$C$39),"N/A"),"N/A")</f>
        <v>N/A</v>
      </c>
      <c r="P550" s="423">
        <v>0</v>
      </c>
      <c r="Q550" s="423" cm="1">
        <f t="array" ref="Q550">_xlfn.IFERROR(C550+SUM(E550:P550),"N/A")</f>
        <v>37981000</v>
      </c>
      <c r="R550" s="424"/>
      <c r="S550" s="423" cm="1">
        <f t="array" ref="S550">IF(B550&gt;0,'Allocation OH and Target 2026'!$E$31,"N/A")</f>
        <v>3100447.15769812</v>
      </c>
      <c r="T550" s="423" cm="1">
        <f t="array" ref="T550">IF(B550&gt;0,VLOOKUP(C533,'Allocation OH and Target 2026'!$C$35:$S$87,16,0),"N/A")</f>
        <v>0</v>
      </c>
      <c r="U550" s="423" cm="1">
        <f t="array" ref="U550">_xlfn.IFERROR((S550+T550),"N/A")</f>
        <v>3100447.15769812</v>
      </c>
      <c r="V550" s="424"/>
      <c r="W550" s="423" cm="1">
        <f t="array" ref="W550">_xlfn.IFERROR(U550+Q550,"N/A")</f>
        <v>41081447.1576981</v>
      </c>
      <c r="X550" s="423" cm="1">
        <f t="array" ref="X550">_xlfn.IFERROR(W550*0.5%,"N/A")</f>
        <v>205407.235788491</v>
      </c>
      <c r="Y550" s="423" cm="1">
        <f t="array" ref="Y550">_xlfn.IFERROR(W550*25%,"N/A")</f>
        <v>10270361.7894245</v>
      </c>
      <c r="Z550" s="425" cm="1">
        <f t="array" ref="Z550">IF(B550&gt;0,(SUM(W550:Y550)-(C550/0.9-C550)),"N/A")</f>
        <v>47817216.1829111</v>
      </c>
      <c r="AA550" s="425" cm="1">
        <f t="array" ref="AA550">_xlfn.IFERROR((Z550-Z549),"N/A")</f>
        <v>195780</v>
      </c>
      <c r="AB550" s="424"/>
      <c r="AC550" t="str" s="426" cm="1">
        <f t="array" ref="AC550">IF(B550=6,AVERAGE(Z536:Z541),"N/A")</f>
        <v>N/A</v>
      </c>
      <c r="AD550" s="424"/>
      <c r="AE550" s="423"/>
      <c r="AF550" s="423"/>
      <c r="AG550" s="423"/>
      <c r="AH550" s="423"/>
      <c r="AI550" s="423"/>
      <c r="AJ550" s="423"/>
      <c r="AK550" s="423"/>
      <c r="AL550" s="423"/>
      <c r="AM550" s="423"/>
      <c r="AN550" s="427"/>
    </row>
    <row r="551" ht="15" customHeight="1">
      <c r="A551" s="12"/>
      <c r="B551" s="428" cm="1">
        <f t="array" ref="B551">IF(B550=0,0,IF(B550&lt;VLOOKUP(C533,'Boats Data Sheet 2026'!$C$3:$H$57,6,0),B550+1,0))</f>
        <v>16</v>
      </c>
      <c r="C551" s="423" cm="1">
        <f t="array" ref="C551">IF(B551&gt;0,IF(VLOOKUP($C$533,'Boats Data Sheet 2026'!$C$3:$J$57,8,0)="N/A",0,VLOOKUP($C$533,'Boats Data Sheet 2026'!$C$3:$J$57,8,0)),"N/A")*85%</f>
        <v>33660000</v>
      </c>
      <c r="D551" s="430" cm="1">
        <f t="array" ref="D551">IF(B551&gt;7,2,IF(B551=0,"N/A",1))</f>
        <v>2</v>
      </c>
      <c r="E551" s="423" cm="1">
        <f t="array" ref="E551">_xlfn.IFERROR(SUM('Direct Costs 2026'!$C$4:$C$5)*D551,"N/A")</f>
        <v>1751000</v>
      </c>
      <c r="F551" s="423" cm="1">
        <f t="array" ref="F551">_xlfn.IFERROR('Direct Costs 2026'!$C$43*B551,"N/A")</f>
        <v>96000</v>
      </c>
      <c r="G551" s="423" cm="1">
        <f t="array" ref="G551">IF(B551&gt;0,'Direct Costs 2026'!$C$25,"N/A")</f>
        <v>90000</v>
      </c>
      <c r="H551" s="423">
        <v>0</v>
      </c>
      <c r="I551" s="423">
        <v>0</v>
      </c>
      <c r="J551" s="423">
        <v>0</v>
      </c>
      <c r="K551" s="423">
        <v>0</v>
      </c>
      <c r="L551" s="423" cm="1">
        <f t="array" ref="L551">IF(B551&gt;0,'Direct Costs 2026'!$C$23,"N/A")</f>
        <v>140000</v>
      </c>
      <c r="M551" s="423" cm="1">
        <f t="array" ref="M551">IF(B551&gt;0,'Direct Costs 2026'!$C$45*B551,"N/A")</f>
        <v>2400000</v>
      </c>
      <c r="N551" t="str" s="431" cm="1">
        <f t="array" ref="N551">IF(B551&gt;0,_xlfn.IFERROR(VLOOKUP(C533,'Boats Data Sheet 2026'!$C$3:$I$57,7,0)*'Direct Costs 2026'!$C$36,"N/A"),"N/A")</f>
        <v>N/A</v>
      </c>
      <c r="O551" t="str" s="431" cm="1">
        <f t="array" ref="O551">IF(B551&gt;0,IF(OR(VLOOKUP(C533,'Boats Data Sheet 2026'!$C$3:$F$57,4,0)="Own",VLOOKUP(C533,'Boats Data Sheet 2026'!$C$3:$F$57,4,0)="Management"),('Direct Costs 2026'!$C$37+'Direct Costs 2026'!$C$39),"N/A"),"N/A")</f>
        <v>N/A</v>
      </c>
      <c r="P551" s="423">
        <v>0</v>
      </c>
      <c r="Q551" s="423" cm="1">
        <f t="array" ref="Q551">_xlfn.IFERROR(C551+SUM(E551:P551),"N/A")</f>
        <v>38137000</v>
      </c>
      <c r="R551" s="424"/>
      <c r="S551" s="423" cm="1">
        <f t="array" ref="S551">IF(B551&gt;0,'Allocation OH and Target 2026'!$E$31,"N/A")</f>
        <v>3100447.15769812</v>
      </c>
      <c r="T551" s="423" cm="1">
        <f t="array" ref="T551">IF(B551&gt;0,VLOOKUP(C533,'Allocation OH and Target 2026'!$C$35:$S$87,16,0),"N/A")</f>
        <v>0</v>
      </c>
      <c r="U551" s="423" cm="1">
        <f t="array" ref="U551">_xlfn.IFERROR((S551+T551),"N/A")</f>
        <v>3100447.15769812</v>
      </c>
      <c r="V551" s="424"/>
      <c r="W551" s="423" cm="1">
        <f t="array" ref="W551">_xlfn.IFERROR(U551+Q551,"N/A")</f>
        <v>41237447.1576981</v>
      </c>
      <c r="X551" s="423" cm="1">
        <f t="array" ref="X551">_xlfn.IFERROR(W551*0.5%,"N/A")</f>
        <v>206187.235788491</v>
      </c>
      <c r="Y551" s="423" cm="1">
        <f t="array" ref="Y551">_xlfn.IFERROR(W551*25%,"N/A")</f>
        <v>10309361.7894245</v>
      </c>
      <c r="Z551" s="425" cm="1">
        <f t="array" ref="Z551">IF(B551&gt;0,(SUM(W551:Y551)-(C551/0.9-C551)),"N/A")</f>
        <v>48012996.1829111</v>
      </c>
      <c r="AA551" s="425" cm="1">
        <f t="array" ref="AA551">_xlfn.IFERROR((Z551-Z550),"N/A")</f>
        <v>195780</v>
      </c>
      <c r="AB551" s="424"/>
      <c r="AC551" t="str" s="426" cm="1">
        <f t="array" ref="AC551">IF(B551=6,AVERAGE(Z536:Z541),"N/A")</f>
        <v>N/A</v>
      </c>
      <c r="AD551" s="424"/>
      <c r="AE551" s="423"/>
      <c r="AF551" s="423"/>
      <c r="AG551" s="423"/>
      <c r="AH551" s="423"/>
      <c r="AI551" s="423"/>
      <c r="AJ551" s="423"/>
      <c r="AK551" s="423"/>
      <c r="AL551" s="423"/>
      <c r="AM551" s="423"/>
      <c r="AN551" s="427"/>
    </row>
    <row r="552" ht="15" customHeight="1">
      <c r="A552" s="12"/>
      <c r="B552" s="428" cm="1">
        <f t="array" ref="B552">IF(B551=0,0,IF(B551&lt;VLOOKUP(C533,'Boats Data Sheet 2026'!$C$3:$H$57,6,0),B551+1,0))</f>
        <v>17</v>
      </c>
      <c r="C552" s="423" cm="1">
        <f t="array" ref="C552">IF(B552&gt;0,IF(VLOOKUP($C$533,'Boats Data Sheet 2026'!$C$3:$J$57,8,0)="N/A",0,VLOOKUP($C$533,'Boats Data Sheet 2026'!$C$3:$J$57,8,0)),"N/A")*85%</f>
        <v>33660000</v>
      </c>
      <c r="D552" s="430" cm="1">
        <f t="array" ref="D552">IF(B552&gt;7,2,IF(B552=0,"N/A",1))</f>
        <v>2</v>
      </c>
      <c r="E552" s="423" cm="1">
        <f t="array" ref="E552">_xlfn.IFERROR(SUM('Direct Costs 2026'!$C$4:$C$5)*D552,"N/A")</f>
        <v>1751000</v>
      </c>
      <c r="F552" s="423" cm="1">
        <f t="array" ref="F552">_xlfn.IFERROR('Direct Costs 2026'!$C$43*B552,"N/A")</f>
        <v>102000</v>
      </c>
      <c r="G552" s="423" cm="1">
        <f t="array" ref="G552">IF(B552&gt;0,'Direct Costs 2026'!$C$25,"N/A")</f>
        <v>90000</v>
      </c>
      <c r="H552" s="423">
        <v>0</v>
      </c>
      <c r="I552" s="423">
        <v>0</v>
      </c>
      <c r="J552" s="423">
        <v>0</v>
      </c>
      <c r="K552" s="423">
        <v>0</v>
      </c>
      <c r="L552" s="423" cm="1">
        <f t="array" ref="L552">IF(B552&gt;0,'Direct Costs 2026'!$C$23,"N/A")</f>
        <v>140000</v>
      </c>
      <c r="M552" s="423" cm="1">
        <f t="array" ref="M552">IF(B552&gt;0,'Direct Costs 2026'!$C$45*B552,"N/A")</f>
        <v>2550000</v>
      </c>
      <c r="N552" t="str" s="431" cm="1">
        <f t="array" ref="N552">IF(B552&gt;0,_xlfn.IFERROR(VLOOKUP(C533,'Boats Data Sheet 2026'!$C$3:$I$57,7,0)*'Direct Costs 2026'!$C$36,"N/A"),"N/A")</f>
        <v>N/A</v>
      </c>
      <c r="O552" t="str" s="431" cm="1">
        <f t="array" ref="O552">IF(B552&gt;0,IF(OR(VLOOKUP(C533,'Boats Data Sheet 2026'!$C$3:$F$57,4,0)="Own",VLOOKUP(C533,'Boats Data Sheet 2026'!$C$3:$F$57,4,0)="Management"),('Direct Costs 2026'!$C$37+'Direct Costs 2026'!$C$39),"N/A"),"N/A")</f>
        <v>N/A</v>
      </c>
      <c r="P552" s="423">
        <v>0</v>
      </c>
      <c r="Q552" s="423" cm="1">
        <f t="array" ref="Q552">_xlfn.IFERROR(C552+SUM(E552:P552),"N/A")</f>
        <v>38293000</v>
      </c>
      <c r="R552" s="424"/>
      <c r="S552" s="423" cm="1">
        <f t="array" ref="S552">IF(B552&gt;0,'Allocation OH and Target 2026'!$E$31,"N/A")</f>
        <v>3100447.15769812</v>
      </c>
      <c r="T552" s="423" cm="1">
        <f t="array" ref="T552">IF(B552&gt;0,VLOOKUP(C533,'Allocation OH and Target 2026'!$C$35:$S$87,16,0),"N/A")</f>
        <v>0</v>
      </c>
      <c r="U552" s="423" cm="1">
        <f t="array" ref="U552">_xlfn.IFERROR((S552+T552),"N/A")</f>
        <v>3100447.15769812</v>
      </c>
      <c r="V552" s="424"/>
      <c r="W552" s="423" cm="1">
        <f t="array" ref="W552">_xlfn.IFERROR(U552+Q552,"N/A")</f>
        <v>41393447.1576981</v>
      </c>
      <c r="X552" s="423" cm="1">
        <f t="array" ref="X552">_xlfn.IFERROR(W552*0.5%,"N/A")</f>
        <v>206967.235788491</v>
      </c>
      <c r="Y552" s="423" cm="1">
        <f t="array" ref="Y552">_xlfn.IFERROR(W552*25%,"N/A")</f>
        <v>10348361.7894245</v>
      </c>
      <c r="Z552" s="425" cm="1">
        <f t="array" ref="Z552">IF(B552&gt;0,(SUM(W552:Y552)-(C552/0.9-C552)),"N/A")</f>
        <v>48208776.1829111</v>
      </c>
      <c r="AA552" s="425" cm="1">
        <f t="array" ref="AA552">_xlfn.IFERROR((Z552-Z551),"N/A")</f>
        <v>195780</v>
      </c>
      <c r="AB552" s="424"/>
      <c r="AC552" t="str" s="426" cm="1">
        <f t="array" ref="AC552">IF(B552=6,AVERAGE(Z536:Z541),"N/A")</f>
        <v>N/A</v>
      </c>
      <c r="AD552" s="424"/>
      <c r="AE552" s="423"/>
      <c r="AF552" s="423"/>
      <c r="AG552" s="423"/>
      <c r="AH552" s="423"/>
      <c r="AI552" s="423"/>
      <c r="AJ552" s="423"/>
      <c r="AK552" s="423"/>
      <c r="AL552" s="423"/>
      <c r="AM552" s="423"/>
      <c r="AN552" s="427"/>
    </row>
    <row r="553" ht="15.5" customHeight="1">
      <c r="A553" s="12"/>
      <c r="B553" s="432" cm="1">
        <f t="array" ref="B553">IF(B552=0,0,IF(B552&lt;VLOOKUP(C533,'Boats Data Sheet 2026'!$C$3:$H$57,6,0),B552+1,0))</f>
        <v>18</v>
      </c>
      <c r="C553" s="434" cm="1">
        <f t="array" ref="C553">IF(B553&gt;0,IF(VLOOKUP($C$533,'Boats Data Sheet 2026'!$C$3:$J$57,8,0)="N/A",0,VLOOKUP($C$533,'Boats Data Sheet 2026'!$C$3:$J$57,8,0)),"N/A")*85%</f>
        <v>33660000</v>
      </c>
      <c r="D553" s="496" cm="1">
        <f t="array" ref="D553">IF(B553&gt;7,2,IF(B553=0,"N/A",1))</f>
        <v>2</v>
      </c>
      <c r="E553" s="434" cm="1">
        <f t="array" ref="E553">_xlfn.IFERROR(SUM('Direct Costs 2026'!$C$4:$C$5)*D553,"N/A")</f>
        <v>1751000</v>
      </c>
      <c r="F553" s="434" cm="1">
        <f t="array" ref="F553">_xlfn.IFERROR('Direct Costs 2026'!$C$43*B553,"N/A")</f>
        <v>108000</v>
      </c>
      <c r="G553" s="434" cm="1">
        <f t="array" ref="G553">IF(B553&gt;0,'Direct Costs 2026'!$C$25,"N/A")</f>
        <v>90000</v>
      </c>
      <c r="H553" s="434">
        <v>0</v>
      </c>
      <c r="I553" s="434">
        <v>0</v>
      </c>
      <c r="J553" s="434">
        <v>0</v>
      </c>
      <c r="K553" s="434">
        <v>0</v>
      </c>
      <c r="L553" s="434" cm="1">
        <f t="array" ref="L553">IF(B553&gt;0,'Direct Costs 2026'!$C$23,"N/A")</f>
        <v>140000</v>
      </c>
      <c r="M553" s="434" cm="1">
        <f t="array" ref="M553">IF(B553&gt;0,'Direct Costs 2026'!$C$45*B553,"N/A")</f>
        <v>2700000</v>
      </c>
      <c r="N553" t="str" s="433" cm="1">
        <f t="array" ref="N553">IF(B553&gt;0,_xlfn.IFERROR(VLOOKUP(C533,'Boats Data Sheet 2026'!$C$3:$I$57,7,0)*'Direct Costs 2026'!$C$36,"N/A"),"N/A")</f>
        <v>N/A</v>
      </c>
      <c r="O553" t="str" s="433" cm="1">
        <f t="array" ref="O553">IF(B553&gt;0,IF(OR(VLOOKUP(C533,'Boats Data Sheet 2026'!$C$3:$F$57,4,0)="Own",VLOOKUP(C533,'Boats Data Sheet 2026'!$C$3:$F$57,4,0)="Management"),('Direct Costs 2026'!$C$37+'Direct Costs 2026'!$C$39),"N/A"),"N/A")</f>
        <v>N/A</v>
      </c>
      <c r="P553" s="434">
        <v>0</v>
      </c>
      <c r="Q553" s="434" cm="1">
        <f t="array" ref="Q553">_xlfn.IFERROR(C553+SUM(E553:P553),"N/A")</f>
        <v>38449000</v>
      </c>
      <c r="R553" s="435"/>
      <c r="S553" s="434" cm="1">
        <f t="array" ref="S553">IF(B553&gt;0,'Allocation OH and Target 2026'!$E$31,"N/A")</f>
        <v>3100447.15769812</v>
      </c>
      <c r="T553" s="434" cm="1">
        <f t="array" ref="T553">IF(B553&gt;0,VLOOKUP(C533,'Allocation OH and Target 2026'!$C$35:$S$87,16,0),"N/A")</f>
        <v>0</v>
      </c>
      <c r="U553" s="434" cm="1">
        <f t="array" ref="U553">_xlfn.IFERROR((S553+T553),"N/A")</f>
        <v>3100447.15769812</v>
      </c>
      <c r="V553" s="435"/>
      <c r="W553" s="434" cm="1">
        <f t="array" ref="W553">_xlfn.IFERROR(U553+Q553,"N/A")</f>
        <v>41549447.1576981</v>
      </c>
      <c r="X553" s="434" cm="1">
        <f t="array" ref="X553">_xlfn.IFERROR(W553*0.5%,"N/A")</f>
        <v>207747.235788491</v>
      </c>
      <c r="Y553" s="434" cm="1">
        <f t="array" ref="Y553">_xlfn.IFERROR(W553*25%,"N/A")</f>
        <v>10387361.7894245</v>
      </c>
      <c r="Z553" s="497" cm="1">
        <f t="array" ref="Z553">IF(B553&gt;0,(SUM(W553:Y553)-(C553/0.9-C553)),"N/A")</f>
        <v>48404556.1829111</v>
      </c>
      <c r="AA553" s="497" cm="1">
        <f t="array" ref="AA553">_xlfn.IFERROR((Z553-Z552),"N/A")</f>
        <v>195780</v>
      </c>
      <c r="AB553" s="435"/>
      <c r="AC553" t="str" s="436" cm="1">
        <f t="array" ref="AC553">IF(B553=6,AVERAGE(Z536:Z541),"N/A")</f>
        <v>N/A</v>
      </c>
      <c r="AD553" s="435"/>
      <c r="AE553" s="434"/>
      <c r="AF553" s="434"/>
      <c r="AG553" s="434"/>
      <c r="AH553" s="434"/>
      <c r="AI553" s="434"/>
      <c r="AJ553" s="434"/>
      <c r="AK553" s="434"/>
      <c r="AL553" s="434"/>
      <c r="AM553" s="434"/>
      <c r="AN553" s="437"/>
    </row>
    <row r="554" ht="15" customHeight="1">
      <c r="A554" s="32"/>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c r="AH554" s="124"/>
      <c r="AI554" s="124"/>
      <c r="AJ554" s="124"/>
      <c r="AK554" s="124"/>
      <c r="AL554" s="124"/>
      <c r="AM554" s="124"/>
      <c r="AN554" s="313"/>
    </row>
    <row r="555" ht="15" customHeight="1">
      <c r="A555" s="32"/>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c r="AK555" s="35"/>
      <c r="AL555" s="35"/>
      <c r="AM555" s="35"/>
      <c r="AN555" s="442"/>
    </row>
    <row r="556" ht="15.5" customHeight="1">
      <c r="A556" s="395">
        <v>27</v>
      </c>
      <c r="B556" t="s" s="396">
        <v>506</v>
      </c>
      <c r="C556" t="s" s="397">
        <v>209</v>
      </c>
      <c r="D556" s="398"/>
      <c r="E556" t="s" s="397">
        <v>557</v>
      </c>
      <c r="F556" s="398"/>
      <c r="G556" s="398"/>
      <c r="H556" s="398"/>
      <c r="I556" s="398"/>
      <c r="J556" s="398"/>
      <c r="K556" s="398"/>
      <c r="L556" s="398"/>
      <c r="M556" s="398"/>
      <c r="N556" s="398"/>
      <c r="O556" s="398"/>
      <c r="P556" s="398"/>
      <c r="Q556" s="398"/>
      <c r="R556" s="399"/>
      <c r="S556" s="398"/>
      <c r="T556" s="398"/>
      <c r="U556" s="398"/>
      <c r="V556" s="399"/>
      <c r="W556" s="398"/>
      <c r="X556" s="398"/>
      <c r="Y556" s="398"/>
      <c r="Z556" s="398"/>
      <c r="AA556" s="398"/>
      <c r="AB556" s="399"/>
      <c r="AC556" s="398"/>
      <c r="AD556" s="399"/>
      <c r="AE556" t="s" s="397">
        <v>508</v>
      </c>
      <c r="AF556" s="401" cm="1">
        <f t="array" ref="AF556">AVERAGE(Q559:Q564)</f>
        <v>21626500</v>
      </c>
      <c r="AG556" s="488"/>
      <c r="AH556" s="401"/>
      <c r="AI556" t="s" s="400">
        <v>510</v>
      </c>
      <c r="AJ556" s="401" cm="1">
        <f t="array" ref="AJ556">AVERAGE(Y559:Y566)</f>
        <v>6248096.16442453</v>
      </c>
      <c r="AK556" t="s" s="397">
        <v>511</v>
      </c>
      <c r="AL556" s="401" cm="1">
        <f t="array" ref="AL556">AVERAGE(W559:W564)</f>
        <v>24726947.1576981</v>
      </c>
      <c r="AM556" t="s" s="400">
        <v>512</v>
      </c>
      <c r="AN556" s="402" cm="1">
        <f t="array" ref="AN556">W559</f>
        <v>24336947.1576981</v>
      </c>
    </row>
    <row r="557" ht="15" customHeight="1">
      <c r="A557" s="12"/>
      <c r="B557" s="403"/>
      <c r="C557" t="s" s="404">
        <v>513</v>
      </c>
      <c r="D557" s="405"/>
      <c r="E557" s="405"/>
      <c r="F557" s="405"/>
      <c r="G557" s="405"/>
      <c r="H557" s="405"/>
      <c r="I557" s="405"/>
      <c r="J557" s="405"/>
      <c r="K557" s="405"/>
      <c r="L557" s="405"/>
      <c r="M557" s="405"/>
      <c r="N557" s="405"/>
      <c r="O557" s="405"/>
      <c r="P557" s="405"/>
      <c r="Q557" s="406"/>
      <c r="R557" s="407"/>
      <c r="S557" t="s" s="404">
        <v>514</v>
      </c>
      <c r="T557" s="405"/>
      <c r="U557" s="406"/>
      <c r="V557" s="407"/>
      <c r="W557" t="s" s="404">
        <v>515</v>
      </c>
      <c r="X557" s="405"/>
      <c r="Y557" s="405"/>
      <c r="Z557" s="405"/>
      <c r="AA557" s="405"/>
      <c r="AB557" s="408"/>
      <c r="AC557" s="443"/>
      <c r="AD557" s="410"/>
      <c r="AE557" s="443"/>
      <c r="AF557" s="443"/>
      <c r="AG557" s="443"/>
      <c r="AH557" s="443"/>
      <c r="AI557" s="443"/>
      <c r="AJ557" s="443"/>
      <c r="AK557" s="443"/>
      <c r="AL557" s="414"/>
      <c r="AM557" s="415"/>
      <c r="AN557" s="414"/>
    </row>
    <row r="558" ht="46.25" customHeight="1">
      <c r="A558" s="187"/>
      <c r="B558" t="s" s="416">
        <v>517</v>
      </c>
      <c r="C558" t="s" s="417">
        <v>518</v>
      </c>
      <c r="D558" t="s" s="417">
        <v>519</v>
      </c>
      <c r="E558" t="s" s="417">
        <v>520</v>
      </c>
      <c r="F558" t="s" s="159">
        <v>521</v>
      </c>
      <c r="G558" t="s" s="159">
        <v>522</v>
      </c>
      <c r="H558" t="s" s="159">
        <v>553</v>
      </c>
      <c r="I558" t="s" s="159">
        <v>524</v>
      </c>
      <c r="J558" t="s" s="159">
        <v>525</v>
      </c>
      <c r="K558" t="s" s="159">
        <v>526</v>
      </c>
      <c r="L558" t="s" s="159">
        <v>527</v>
      </c>
      <c r="M558" t="s" s="159">
        <v>528</v>
      </c>
      <c r="N558" t="s" s="159">
        <v>529</v>
      </c>
      <c r="O558" t="s" s="159">
        <v>530</v>
      </c>
      <c r="P558" t="s" s="159">
        <v>531</v>
      </c>
      <c r="Q558" t="s" s="159">
        <v>532</v>
      </c>
      <c r="R558" s="418"/>
      <c r="S558" t="s" s="159">
        <v>533</v>
      </c>
      <c r="T558" t="s" s="159">
        <v>534</v>
      </c>
      <c r="U558" t="s" s="159">
        <v>535</v>
      </c>
      <c r="V558" s="418"/>
      <c r="W558" t="s" s="159">
        <v>536</v>
      </c>
      <c r="X558" t="s" s="159">
        <v>537</v>
      </c>
      <c r="Y558" t="s" s="159">
        <v>538</v>
      </c>
      <c r="Z558" t="s" s="159">
        <v>539</v>
      </c>
      <c r="AA558" t="s" s="159">
        <v>121</v>
      </c>
      <c r="AB558" s="419"/>
      <c r="AC558" t="s" s="159">
        <v>39</v>
      </c>
      <c r="AD558" s="419"/>
      <c r="AE558" s="77"/>
      <c r="AF558" s="77"/>
      <c r="AG558" s="77"/>
      <c r="AH558" s="77"/>
      <c r="AI558" s="77"/>
      <c r="AJ558" s="77"/>
      <c r="AK558" s="77"/>
      <c r="AL558" s="77"/>
      <c r="AM558" s="77"/>
      <c r="AN558" s="78"/>
    </row>
    <row r="559" ht="15" customHeight="1">
      <c r="A559" s="12"/>
      <c r="B559" s="420">
        <v>1</v>
      </c>
      <c r="C559" s="421" cm="1">
        <f t="array" ref="C559">_xlfn.IFERROR(IF(B559&gt;0,IF(VLOOKUP($C$556,'Boats Data Sheet 2026'!$C$3:$J$57,8,0)="N/A",0,VLOOKUP($C$556,'Boats Data Sheet 2026'!$C$3:$J$57,8,0)),"N/A")*85%,"N/A")</f>
        <v>19975000</v>
      </c>
      <c r="D559" s="422" cm="1">
        <f t="array" ref="D559">IF(B559&gt;7,2,IF(B559=0,"N/A",1))</f>
        <v>1</v>
      </c>
      <c r="E559" s="421" cm="1">
        <f t="array" ref="E559">_xlfn.IFERROR(SUM('Direct Costs 2026'!$C$4:$C$5)*D559,"N/A")</f>
        <v>875500</v>
      </c>
      <c r="F559" s="423" cm="1">
        <f t="array" ref="F559">_xlfn.IFERROR('Direct Costs 2026'!$C$43*B559,"N/A")</f>
        <v>6000</v>
      </c>
      <c r="G559" s="423" cm="1">
        <f t="array" ref="G559">IF(B559&gt;0,'Direct Costs 2026'!$C$25,"N/A")</f>
        <v>90000</v>
      </c>
      <c r="H559" s="423">
        <v>0</v>
      </c>
      <c r="I559" s="423">
        <v>0</v>
      </c>
      <c r="J559" s="423">
        <v>0</v>
      </c>
      <c r="K559" s="423">
        <v>0</v>
      </c>
      <c r="L559" s="423" cm="1">
        <f t="array" ref="L559">IF(B559&gt;0,'Direct Costs 2026'!$C$23,"N/A")</f>
        <v>140000</v>
      </c>
      <c r="M559" s="423" cm="1">
        <f t="array" ref="M559">IF(B559&gt;0,'Direct Costs 2026'!$C$45*B559,"N/A")</f>
        <v>150000</v>
      </c>
      <c r="N559" t="str" s="431" cm="1">
        <f t="array" ref="N559">IF(B559&gt;0,_xlfn.IFERROR(VLOOKUP(C556,'Boats Data Sheet 2026'!$C$3:$I$57,7,0)*'Direct Costs 2026'!$C$36,"N/A"),"N/A")</f>
        <v>N/A</v>
      </c>
      <c r="O559" t="str" s="431" cm="1">
        <f t="array" ref="O559">IF(B559&gt;0,IF(OR(VLOOKUP(C556,'Boats Data Sheet 2026'!$C$3:$F$57,4,0)="Own",VLOOKUP(C556,'Boats Data Sheet 2026'!$C$3:$F$57,4,0)="Management"),('Direct Costs 2026'!$C$37+'Direct Costs 2026'!$C$39),"N/A"),"N/A")</f>
        <v>N/A</v>
      </c>
      <c r="P559" s="423">
        <v>0</v>
      </c>
      <c r="Q559" s="423" cm="1">
        <f t="array" ref="Q559">_xlfn.IFERROR(C559+SUM(E559:P559),"N/A")</f>
        <v>21236500</v>
      </c>
      <c r="R559" s="424"/>
      <c r="S559" s="423" cm="1">
        <f t="array" ref="S559">IF(B559&gt;0,'Allocation OH and Target 2026'!$E$31,"N/A")</f>
        <v>3100447.15769812</v>
      </c>
      <c r="T559" s="423" cm="1">
        <f t="array" ref="T559">IF(B559&gt;0,VLOOKUP(C556,'Allocation OH and Target 2026'!$C$35:$S$87,16,0),"N/A")</f>
        <v>0</v>
      </c>
      <c r="U559" s="423" cm="1">
        <f t="array" ref="U559">_xlfn.IFERROR((S559+T559),"N/A")</f>
        <v>3100447.15769812</v>
      </c>
      <c r="V559" s="424"/>
      <c r="W559" s="423" cm="1">
        <f t="array" ref="W559">_xlfn.IFERROR(U559+Q559,"N/A")</f>
        <v>24336947.1576981</v>
      </c>
      <c r="X559" s="423" cm="1">
        <f t="array" ref="X559">_xlfn.IFERROR(W559*0.5%,"N/A")</f>
        <v>121684.735788491</v>
      </c>
      <c r="Y559" s="423" cm="1">
        <f t="array" ref="Y559">_xlfn.IFERROR(W559*25%,"N/A")</f>
        <v>6084236.78942453</v>
      </c>
      <c r="Z559" s="425" cm="1">
        <f t="array" ref="Z559">IF(B559&gt;0,(SUM(W559:Y559)-(C559/0.9-C559)),"N/A")</f>
        <v>28323424.2384667</v>
      </c>
      <c r="AA559" s="425">
        <v>0</v>
      </c>
      <c r="AB559" s="424"/>
      <c r="AC559" t="str" s="426" cm="1">
        <f t="array" ref="AC559">IF(B559=6,AVERAGE(Z559:Z564),"N/A")</f>
        <v>N/A</v>
      </c>
      <c r="AD559" s="424"/>
      <c r="AE559" s="423"/>
      <c r="AF559" s="423"/>
      <c r="AG559" s="423"/>
      <c r="AH559" s="423"/>
      <c r="AI559" s="423"/>
      <c r="AJ559" s="423"/>
      <c r="AK559" s="423"/>
      <c r="AL559" s="423"/>
      <c r="AM559" s="423"/>
      <c r="AN559" s="427"/>
    </row>
    <row r="560" ht="15" customHeight="1">
      <c r="A560" s="12"/>
      <c r="B560" s="428" cm="1">
        <f t="array" ref="B560">IF(B559=0,0,IF(B559&lt;VLOOKUP(C556,'Boats Data Sheet 2026'!$C$3:$H$57,6,0),B559+1,0))</f>
        <v>2</v>
      </c>
      <c r="C560" s="423" cm="1">
        <f t="array" ref="C560">_xlfn.IFERROR(IF(B560&gt;0,IF(VLOOKUP($C$556,'Boats Data Sheet 2026'!$C$3:$J$57,8,0)="N/A",0,VLOOKUP($C$556,'Boats Data Sheet 2026'!$C$3:$J$57,8,0)),"N/A")*85%,"N/A")</f>
        <v>19975000</v>
      </c>
      <c r="D560" s="429" cm="1">
        <f t="array" ref="D560">IF(B560&gt;7,2,IF(B560=0,"N/A",1))</f>
        <v>1</v>
      </c>
      <c r="E560" s="423" cm="1">
        <f t="array" ref="E560">_xlfn.IFERROR(SUM('Direct Costs 2026'!$C$4:$C$5)*D560,"N/A")</f>
        <v>875500</v>
      </c>
      <c r="F560" s="423" cm="1">
        <f t="array" ref="F560">_xlfn.IFERROR('Direct Costs 2026'!$C$43*B560,"N/A")</f>
        <v>12000</v>
      </c>
      <c r="G560" s="423" cm="1">
        <f t="array" ref="G560">IF(B560&gt;0,'Direct Costs 2026'!$C$25,"N/A")</f>
        <v>90000</v>
      </c>
      <c r="H560" s="423">
        <v>0</v>
      </c>
      <c r="I560" s="423">
        <v>0</v>
      </c>
      <c r="J560" s="423">
        <v>0</v>
      </c>
      <c r="K560" s="423">
        <v>0</v>
      </c>
      <c r="L560" s="423" cm="1">
        <f t="array" ref="L560">IF(B560&gt;0,'Direct Costs 2026'!$C$23,"N/A")</f>
        <v>140000</v>
      </c>
      <c r="M560" s="423" cm="1">
        <f t="array" ref="M560">IF(B560&gt;0,'Direct Costs 2026'!$C$45*B560,"N/A")</f>
        <v>300000</v>
      </c>
      <c r="N560" t="str" s="431" cm="1">
        <f t="array" ref="N560">IF(B560&gt;0,_xlfn.IFERROR(VLOOKUP(C556,'Boats Data Sheet 2026'!$C$3:$I$57,7,0)*'Direct Costs 2026'!$C$36,"N/A"),"N/A")</f>
        <v>N/A</v>
      </c>
      <c r="O560" t="str" s="431" cm="1">
        <f t="array" ref="O560">IF(B560&gt;0,IF(OR(VLOOKUP(C556,'Boats Data Sheet 2026'!$C$3:$F$57,4,0)="Own",VLOOKUP(C556,'Boats Data Sheet 2026'!$C$3:$F$57,4,0)="Management"),('Direct Costs 2026'!$C$37+'Direct Costs 2026'!$C$39),"N/A"),"N/A")</f>
        <v>N/A</v>
      </c>
      <c r="P560" s="423">
        <v>0</v>
      </c>
      <c r="Q560" s="423" cm="1">
        <f t="array" ref="Q560">_xlfn.IFERROR(C560+SUM(E560:P560),"N/A")</f>
        <v>21392500</v>
      </c>
      <c r="R560" s="424"/>
      <c r="S560" s="423" cm="1">
        <f t="array" ref="S560">IF(B560&gt;0,'Allocation OH and Target 2026'!$E$31,"N/A")</f>
        <v>3100447.15769812</v>
      </c>
      <c r="T560" s="423" cm="1">
        <f t="array" ref="T560">IF(B560&gt;0,VLOOKUP(C556,'Allocation OH and Target 2026'!$C$35:$S$87,16,0),"N/A")</f>
        <v>0</v>
      </c>
      <c r="U560" s="423" cm="1">
        <f t="array" ref="U560">_xlfn.IFERROR((S560+T560),"N/A")</f>
        <v>3100447.15769812</v>
      </c>
      <c r="V560" s="424"/>
      <c r="W560" s="423" cm="1">
        <f t="array" ref="W560">_xlfn.IFERROR(U560+Q560,"N/A")</f>
        <v>24492947.1576981</v>
      </c>
      <c r="X560" s="423" cm="1">
        <f t="array" ref="X560">_xlfn.IFERROR(W560*0.5%,"N/A")</f>
        <v>122464.735788491</v>
      </c>
      <c r="Y560" s="423" cm="1">
        <f t="array" ref="Y560">_xlfn.IFERROR(W560*25%,"N/A")</f>
        <v>6123236.78942453</v>
      </c>
      <c r="Z560" s="425" cm="1">
        <f t="array" ref="Z560">IF(B560&gt;0,(SUM(W560:Y560)-(C560/0.9-C560)),"N/A")</f>
        <v>28519204.2384667</v>
      </c>
      <c r="AA560" s="425" cm="1">
        <f t="array" ref="AA560">_xlfn.IFERROR((Z560-Z559),"N/A")</f>
        <v>195780</v>
      </c>
      <c r="AB560" s="424"/>
      <c r="AC560" t="str" s="426" cm="1">
        <f t="array" ref="AC560">IF(B560=6,AVERAGE(Z559:Z564),"N/A")</f>
        <v>N/A</v>
      </c>
      <c r="AD560" s="424"/>
      <c r="AE560" s="423"/>
      <c r="AF560" s="423"/>
      <c r="AG560" s="423"/>
      <c r="AH560" s="423"/>
      <c r="AI560" s="423"/>
      <c r="AJ560" s="423"/>
      <c r="AK560" s="423"/>
      <c r="AL560" s="423"/>
      <c r="AM560" s="423"/>
      <c r="AN560" s="427"/>
    </row>
    <row r="561" ht="15" customHeight="1">
      <c r="A561" s="12"/>
      <c r="B561" s="428" cm="1">
        <f t="array" ref="B561">IF(B560=0,0,IF(B560&lt;VLOOKUP(C556,'Boats Data Sheet 2026'!$C$3:$H$57,6,0),B560+1,0))</f>
        <v>3</v>
      </c>
      <c r="C561" s="423" cm="1">
        <f t="array" ref="C561">_xlfn.IFERROR(IF(B561&gt;0,IF(VLOOKUP($C$556,'Boats Data Sheet 2026'!$C$3:$J$57,8,0)="N/A",0,VLOOKUP($C$556,'Boats Data Sheet 2026'!$C$3:$J$57,8,0)),"N/A")*85%,"N/A")</f>
        <v>19975000</v>
      </c>
      <c r="D561" s="429" cm="1">
        <f t="array" ref="D561">IF(B561&gt;7,2,IF(B561=0,"N/A",1))</f>
        <v>1</v>
      </c>
      <c r="E561" s="423" cm="1">
        <f t="array" ref="E561">_xlfn.IFERROR(SUM('Direct Costs 2026'!$C$4:$C$5)*D561,"N/A")</f>
        <v>875500</v>
      </c>
      <c r="F561" s="423" cm="1">
        <f t="array" ref="F561">_xlfn.IFERROR('Direct Costs 2026'!$C$43*B561,"N/A")</f>
        <v>18000</v>
      </c>
      <c r="G561" s="423" cm="1">
        <f t="array" ref="G561">IF(B561&gt;0,'Direct Costs 2026'!$C$25,"N/A")</f>
        <v>90000</v>
      </c>
      <c r="H561" s="423">
        <v>0</v>
      </c>
      <c r="I561" s="423">
        <v>0</v>
      </c>
      <c r="J561" s="423">
        <v>0</v>
      </c>
      <c r="K561" s="423">
        <v>0</v>
      </c>
      <c r="L561" s="423" cm="1">
        <f t="array" ref="L561">IF(B561&gt;0,'Direct Costs 2026'!$C$23,"N/A")</f>
        <v>140000</v>
      </c>
      <c r="M561" s="423" cm="1">
        <f t="array" ref="M561">IF(B561&gt;0,'Direct Costs 2026'!$C$45*B561,"N/A")</f>
        <v>450000</v>
      </c>
      <c r="N561" t="str" s="431" cm="1">
        <f t="array" ref="N561">IF(B561&gt;0,_xlfn.IFERROR(VLOOKUP(C556,'Boats Data Sheet 2026'!$C$3:$I$57,7,0)*'Direct Costs 2026'!$C$36,"N/A"),"N/A")</f>
        <v>N/A</v>
      </c>
      <c r="O561" t="str" s="431" cm="1">
        <f t="array" ref="O561">IF(B561&gt;0,IF(OR(VLOOKUP(C556,'Boats Data Sheet 2026'!$C$3:$F$57,4,0)="Own",VLOOKUP(C556,'Boats Data Sheet 2026'!$C$3:$F$57,4,0)="Management"),('Direct Costs 2026'!$C$37+'Direct Costs 2026'!$C$39),"N/A"),"N/A")</f>
        <v>N/A</v>
      </c>
      <c r="P561" s="423">
        <v>0</v>
      </c>
      <c r="Q561" s="423" cm="1">
        <f t="array" ref="Q561">_xlfn.IFERROR(C561+SUM(E561:P561),"N/A")</f>
        <v>21548500</v>
      </c>
      <c r="R561" s="424"/>
      <c r="S561" s="423" cm="1">
        <f t="array" ref="S561">IF(B561&gt;0,'Allocation OH and Target 2026'!$E$31,"N/A")</f>
        <v>3100447.15769812</v>
      </c>
      <c r="T561" s="423" cm="1">
        <f t="array" ref="T561">IF(B561&gt;0,VLOOKUP(C556,'Allocation OH and Target 2026'!$C$35:$S$87,16,0),"N/A")</f>
        <v>0</v>
      </c>
      <c r="U561" s="423" cm="1">
        <f t="array" ref="U561">_xlfn.IFERROR((S561+T561),"N/A")</f>
        <v>3100447.15769812</v>
      </c>
      <c r="V561" s="424"/>
      <c r="W561" s="423" cm="1">
        <f t="array" ref="W561">_xlfn.IFERROR(U561+Q561,"N/A")</f>
        <v>24648947.1576981</v>
      </c>
      <c r="X561" s="423" cm="1">
        <f t="array" ref="X561">_xlfn.IFERROR(W561*0.5%,"N/A")</f>
        <v>123244.735788491</v>
      </c>
      <c r="Y561" s="423" cm="1">
        <f t="array" ref="Y561">_xlfn.IFERROR(W561*25%,"N/A")</f>
        <v>6162236.78942453</v>
      </c>
      <c r="Z561" s="425" cm="1">
        <f t="array" ref="Z561">IF(B561&gt;0,(SUM(W561:Y561)-(C561/0.9-C561)),"N/A")</f>
        <v>28714984.2384667</v>
      </c>
      <c r="AA561" s="425" cm="1">
        <f t="array" ref="AA561">_xlfn.IFERROR((Z561-Z560),"N/A")</f>
        <v>195780</v>
      </c>
      <c r="AB561" s="424"/>
      <c r="AC561" t="str" s="426" cm="1">
        <f t="array" ref="AC561">IF(B561=6,AVERAGE(Z559:Z564),"N/A")</f>
        <v>N/A</v>
      </c>
      <c r="AD561" s="424"/>
      <c r="AE561" s="423"/>
      <c r="AF561" s="423"/>
      <c r="AG561" s="423"/>
      <c r="AH561" s="423"/>
      <c r="AI561" s="423"/>
      <c r="AJ561" s="423"/>
      <c r="AK561" s="423"/>
      <c r="AL561" s="423"/>
      <c r="AM561" s="423"/>
      <c r="AN561" s="427"/>
    </row>
    <row r="562" ht="15" customHeight="1">
      <c r="A562" s="12"/>
      <c r="B562" s="428" cm="1">
        <f t="array" ref="B562">IF(B561=0,0,IF(B561&lt;VLOOKUP(C556,'Boats Data Sheet 2026'!$C$3:$H$57,6,0),B561+1,0))</f>
        <v>4</v>
      </c>
      <c r="C562" s="423" cm="1">
        <f t="array" ref="C562">_xlfn.IFERROR(IF(B562&gt;0,IF(VLOOKUP($C$556,'Boats Data Sheet 2026'!$C$3:$J$57,8,0)="N/A",0,VLOOKUP($C$556,'Boats Data Sheet 2026'!$C$3:$J$57,8,0)),"N/A")*85%,"N/A")</f>
        <v>19975000</v>
      </c>
      <c r="D562" s="429" cm="1">
        <f t="array" ref="D562">IF(B562&gt;7,2,IF(B562=0,"N/A",1))</f>
        <v>1</v>
      </c>
      <c r="E562" s="423" cm="1">
        <f t="array" ref="E562">_xlfn.IFERROR(SUM('Direct Costs 2026'!$C$4:$C$5)*D562,"N/A")</f>
        <v>875500</v>
      </c>
      <c r="F562" s="423" cm="1">
        <f t="array" ref="F562">_xlfn.IFERROR('Direct Costs 2026'!$C$43*B562,"N/A")</f>
        <v>24000</v>
      </c>
      <c r="G562" s="423" cm="1">
        <f t="array" ref="G562">IF(B562&gt;0,'Direct Costs 2026'!$C$25,"N/A")</f>
        <v>90000</v>
      </c>
      <c r="H562" s="423">
        <v>0</v>
      </c>
      <c r="I562" s="423">
        <v>0</v>
      </c>
      <c r="J562" s="423">
        <v>0</v>
      </c>
      <c r="K562" s="423">
        <v>0</v>
      </c>
      <c r="L562" s="423" cm="1">
        <f t="array" ref="L562">IF(B562&gt;0,'Direct Costs 2026'!$C$23,"N/A")</f>
        <v>140000</v>
      </c>
      <c r="M562" s="423" cm="1">
        <f t="array" ref="M562">IF(B562&gt;0,'Direct Costs 2026'!$C$45*B562,"N/A")</f>
        <v>600000</v>
      </c>
      <c r="N562" t="str" s="431" cm="1">
        <f t="array" ref="N562">IF(B562&gt;0,_xlfn.IFERROR(VLOOKUP(C556,'Boats Data Sheet 2026'!$C$3:$I$57,7,0)*'Direct Costs 2026'!$C$36,"N/A"),"N/A")</f>
        <v>N/A</v>
      </c>
      <c r="O562" t="str" s="431" cm="1">
        <f t="array" ref="O562">IF(B562&gt;0,IF(OR(VLOOKUP(C556,'Boats Data Sheet 2026'!$C$3:$F$57,4,0)="Own",VLOOKUP(C556,'Boats Data Sheet 2026'!$C$3:$F$57,4,0)="Management"),('Direct Costs 2026'!$C$37+'Direct Costs 2026'!$C$39),"N/A"),"N/A")</f>
        <v>N/A</v>
      </c>
      <c r="P562" s="423">
        <v>0</v>
      </c>
      <c r="Q562" s="423" cm="1">
        <f t="array" ref="Q562">_xlfn.IFERROR(C562+SUM(E562:P562),"N/A")</f>
        <v>21704500</v>
      </c>
      <c r="R562" s="424"/>
      <c r="S562" s="423" cm="1">
        <f t="array" ref="S562">IF(B562&gt;0,'Allocation OH and Target 2026'!$E$31,"N/A")</f>
        <v>3100447.15769812</v>
      </c>
      <c r="T562" s="423" cm="1">
        <f t="array" ref="T562">IF(B562&gt;0,VLOOKUP(C556,'Allocation OH and Target 2026'!$C$35:$S$87,16,0),"N/A")</f>
        <v>0</v>
      </c>
      <c r="U562" s="423" cm="1">
        <f t="array" ref="U562">_xlfn.IFERROR((S562+T562),"N/A")</f>
        <v>3100447.15769812</v>
      </c>
      <c r="V562" s="424"/>
      <c r="W562" s="423" cm="1">
        <f t="array" ref="W562">_xlfn.IFERROR(U562+Q562,"N/A")</f>
        <v>24804947.1576981</v>
      </c>
      <c r="X562" s="423" cm="1">
        <f t="array" ref="X562">_xlfn.IFERROR(W562*0.5%,"N/A")</f>
        <v>124024.735788491</v>
      </c>
      <c r="Y562" s="423" cm="1">
        <f t="array" ref="Y562">_xlfn.IFERROR(W562*25%,"N/A")</f>
        <v>6201236.78942453</v>
      </c>
      <c r="Z562" s="425" cm="1">
        <f t="array" ref="Z562">IF(B562&gt;0,(SUM(W562:Y562)-(C562/0.9-C562)),"N/A")</f>
        <v>28910764.2384667</v>
      </c>
      <c r="AA562" s="425" cm="1">
        <f t="array" ref="AA562">_xlfn.IFERROR((Z562-Z561),"N/A")</f>
        <v>195780</v>
      </c>
      <c r="AB562" s="424"/>
      <c r="AC562" t="str" s="426" cm="1">
        <f t="array" ref="AC562">IF(B562=6,AVERAGE(Z559:Z564),"N/A")</f>
        <v>N/A</v>
      </c>
      <c r="AD562" s="424"/>
      <c r="AE562" s="423"/>
      <c r="AF562" s="423"/>
      <c r="AG562" s="423"/>
      <c r="AH562" s="423"/>
      <c r="AI562" s="423"/>
      <c r="AJ562" s="423"/>
      <c r="AK562" s="423"/>
      <c r="AL562" s="423"/>
      <c r="AM562" s="423"/>
      <c r="AN562" s="427"/>
    </row>
    <row r="563" ht="15" customHeight="1">
      <c r="A563" s="12"/>
      <c r="B563" s="428" cm="1">
        <f t="array" ref="B563">IF(B562=0,0,IF(B562&lt;VLOOKUP(C556,'Boats Data Sheet 2026'!$C$3:$H$57,6,0),B562+1,0))</f>
        <v>5</v>
      </c>
      <c r="C563" s="423" cm="1">
        <f t="array" ref="C563">_xlfn.IFERROR(IF(B563&gt;0,IF(VLOOKUP($C$556,'Boats Data Sheet 2026'!$C$3:$J$57,8,0)="N/A",0,VLOOKUP($C$556,'Boats Data Sheet 2026'!$C$3:$J$57,8,0)),"N/A")*85%,"N/A")</f>
        <v>19975000</v>
      </c>
      <c r="D563" s="429" cm="1">
        <f t="array" ref="D563">IF(B563&gt;7,2,IF(B563=0,"N/A",1))</f>
        <v>1</v>
      </c>
      <c r="E563" s="423" cm="1">
        <f t="array" ref="E563">_xlfn.IFERROR(SUM('Direct Costs 2026'!$C$4:$C$5)*D563,"N/A")</f>
        <v>875500</v>
      </c>
      <c r="F563" s="423" cm="1">
        <f t="array" ref="F563">_xlfn.IFERROR('Direct Costs 2026'!$C$43*B563,"N/A")</f>
        <v>30000</v>
      </c>
      <c r="G563" s="423" cm="1">
        <f t="array" ref="G563">IF(B563&gt;0,'Direct Costs 2026'!$C$25,"N/A")</f>
        <v>90000</v>
      </c>
      <c r="H563" s="423">
        <v>0</v>
      </c>
      <c r="I563" s="423">
        <v>0</v>
      </c>
      <c r="J563" s="423">
        <v>0</v>
      </c>
      <c r="K563" s="423">
        <v>0</v>
      </c>
      <c r="L563" s="423" cm="1">
        <f t="array" ref="L563">IF(B563&gt;0,'Direct Costs 2026'!$C$23,"N/A")</f>
        <v>140000</v>
      </c>
      <c r="M563" s="423" cm="1">
        <f t="array" ref="M563">IF(B563&gt;0,'Direct Costs 2026'!$C$45*B563,"N/A")</f>
        <v>750000</v>
      </c>
      <c r="N563" t="str" s="431" cm="1">
        <f t="array" ref="N563">IF(B563&gt;0,_xlfn.IFERROR(VLOOKUP(C556,'Boats Data Sheet 2026'!$C$3:$I$57,7,0)*'Direct Costs 2026'!$C$36,"N/A"),"N/A")</f>
        <v>N/A</v>
      </c>
      <c r="O563" t="str" s="431" cm="1">
        <f t="array" ref="O563">IF(B563&gt;0,IF(OR(VLOOKUP(C556,'Boats Data Sheet 2026'!$C$3:$F$57,4,0)="Own",VLOOKUP(C556,'Boats Data Sheet 2026'!$C$3:$F$57,4,0)="Management"),('Direct Costs 2026'!$C$37+'Direct Costs 2026'!$C$39),"N/A"),"N/A")</f>
        <v>N/A</v>
      </c>
      <c r="P563" s="423">
        <v>0</v>
      </c>
      <c r="Q563" s="423" cm="1">
        <f t="array" ref="Q563">_xlfn.IFERROR(C563+SUM(E563:P563),"N/A")</f>
        <v>21860500</v>
      </c>
      <c r="R563" s="424"/>
      <c r="S563" s="423" cm="1">
        <f t="array" ref="S563">IF(B563&gt;0,'Allocation OH and Target 2026'!$E$31,"N/A")</f>
        <v>3100447.15769812</v>
      </c>
      <c r="T563" s="423" cm="1">
        <f t="array" ref="T563">IF(B563&gt;0,VLOOKUP(C556,'Allocation OH and Target 2026'!$C$35:$S$87,16,0),"N/A")</f>
        <v>0</v>
      </c>
      <c r="U563" s="423" cm="1">
        <f t="array" ref="U563">_xlfn.IFERROR((S563+T563),"N/A")</f>
        <v>3100447.15769812</v>
      </c>
      <c r="V563" s="424"/>
      <c r="W563" s="423" cm="1">
        <f t="array" ref="W563">_xlfn.IFERROR(U563+Q563,"N/A")</f>
        <v>24960947.1576981</v>
      </c>
      <c r="X563" s="423" cm="1">
        <f t="array" ref="X563">_xlfn.IFERROR(W563*0.5%,"N/A")</f>
        <v>124804.735788491</v>
      </c>
      <c r="Y563" s="423" cm="1">
        <f t="array" ref="Y563">_xlfn.IFERROR(W563*25%,"N/A")</f>
        <v>6240236.78942453</v>
      </c>
      <c r="Z563" s="425" cm="1">
        <f t="array" ref="Z563">IF(B563&gt;0,(SUM(W563:Y563)-(C563/0.9-C563)),"N/A")</f>
        <v>29106544.2384667</v>
      </c>
      <c r="AA563" s="425" cm="1">
        <f t="array" ref="AA563">_xlfn.IFERROR((Z563-Z562),"N/A")</f>
        <v>195780</v>
      </c>
      <c r="AB563" s="424"/>
      <c r="AC563" t="str" s="426" cm="1">
        <f t="array" ref="AC563">IF(B563=6,AVERAGE(Z559:Z564),"N/A")</f>
        <v>N/A</v>
      </c>
      <c r="AD563" s="424"/>
      <c r="AE563" s="423"/>
      <c r="AF563" s="423"/>
      <c r="AG563" s="423"/>
      <c r="AH563" s="423"/>
      <c r="AI563" s="423"/>
      <c r="AJ563" s="423"/>
      <c r="AK563" s="423"/>
      <c r="AL563" s="423"/>
      <c r="AM563" s="423"/>
      <c r="AN563" s="427"/>
    </row>
    <row r="564" ht="15" customHeight="1">
      <c r="A564" s="12"/>
      <c r="B564" s="428" cm="1">
        <f t="array" ref="B564">IF(B563=0,0,IF(B563&lt;VLOOKUP(C556,'Boats Data Sheet 2026'!$C$3:$H$57,6,0),B563+1,0))</f>
        <v>6</v>
      </c>
      <c r="C564" s="423" cm="1">
        <f t="array" ref="C564">_xlfn.IFERROR(IF(B564&gt;0,IF(VLOOKUP($C$556,'Boats Data Sheet 2026'!$C$3:$J$57,8,0)="N/A",0,VLOOKUP($C$556,'Boats Data Sheet 2026'!$C$3:$J$57,8,0)),"N/A")*85%,"N/A")</f>
        <v>19975000</v>
      </c>
      <c r="D564" s="429" cm="1">
        <f t="array" ref="D564">IF(B564&gt;7,2,IF(B564=0,"N/A",1))</f>
        <v>1</v>
      </c>
      <c r="E564" s="423" cm="1">
        <f t="array" ref="E564">_xlfn.IFERROR(SUM('Direct Costs 2026'!$C$4:$C$5)*D564,"N/A")</f>
        <v>875500</v>
      </c>
      <c r="F564" s="423" cm="1">
        <f t="array" ref="F564">_xlfn.IFERROR('Direct Costs 2026'!$C$43*B564,"N/A")</f>
        <v>36000</v>
      </c>
      <c r="G564" s="423" cm="1">
        <f t="array" ref="G564">IF(B564&gt;0,'Direct Costs 2026'!$C$25,"N/A")</f>
        <v>90000</v>
      </c>
      <c r="H564" s="423">
        <v>0</v>
      </c>
      <c r="I564" s="423">
        <v>0</v>
      </c>
      <c r="J564" s="423">
        <v>0</v>
      </c>
      <c r="K564" s="423">
        <v>0</v>
      </c>
      <c r="L564" s="423" cm="1">
        <f t="array" ref="L564">IF(B564&gt;0,'Direct Costs 2026'!$C$23,"N/A")</f>
        <v>140000</v>
      </c>
      <c r="M564" s="423" cm="1">
        <f t="array" ref="M564">IF(B564&gt;0,'Direct Costs 2026'!$C$45*B564,"N/A")</f>
        <v>900000</v>
      </c>
      <c r="N564" t="str" s="431" cm="1">
        <f t="array" ref="N564">IF(B564&gt;0,_xlfn.IFERROR(VLOOKUP(C556,'Boats Data Sheet 2026'!$C$3:$I$57,7,0)*'Direct Costs 2026'!$C$36,"N/A"),"N/A")</f>
        <v>N/A</v>
      </c>
      <c r="O564" t="str" s="431" cm="1">
        <f t="array" ref="O564">IF(B564&gt;0,IF(OR(VLOOKUP(C556,'Boats Data Sheet 2026'!$C$3:$F$57,4,0)="Own",VLOOKUP(C556,'Boats Data Sheet 2026'!$C$3:$F$57,4,0)="Management"),('Direct Costs 2026'!$C$37+'Direct Costs 2026'!$C$39),"N/A"),"N/A")</f>
        <v>N/A</v>
      </c>
      <c r="P564" s="423">
        <v>0</v>
      </c>
      <c r="Q564" s="423" cm="1">
        <f t="array" ref="Q564">_xlfn.IFERROR(C564+SUM(E564:P564),"N/A")</f>
        <v>22016500</v>
      </c>
      <c r="R564" s="424"/>
      <c r="S564" s="423" cm="1">
        <f t="array" ref="S564">IF(B564&gt;0,'Allocation OH and Target 2026'!$E$31,"N/A")</f>
        <v>3100447.15769812</v>
      </c>
      <c r="T564" s="423" cm="1">
        <f t="array" ref="T564">IF(B564&gt;0,VLOOKUP(C556,'Allocation OH and Target 2026'!$C$35:$S$87,16,0),"N/A")</f>
        <v>0</v>
      </c>
      <c r="U564" s="423" cm="1">
        <f t="array" ref="U564">_xlfn.IFERROR((S564+T564),"N/A")</f>
        <v>3100447.15769812</v>
      </c>
      <c r="V564" s="424"/>
      <c r="W564" s="423" cm="1">
        <f t="array" ref="W564">_xlfn.IFERROR(U564+Q564,"N/A")</f>
        <v>25116947.1576981</v>
      </c>
      <c r="X564" s="423" cm="1">
        <f t="array" ref="X564">_xlfn.IFERROR(W564*0.5%,"N/A")</f>
        <v>125584.735788491</v>
      </c>
      <c r="Y564" s="423" cm="1">
        <f t="array" ref="Y564">_xlfn.IFERROR(W564*25%,"N/A")</f>
        <v>6279236.78942453</v>
      </c>
      <c r="Z564" s="425" cm="1">
        <f t="array" ref="Z564">IF(B564&gt;0,(SUM(W564:Y564)-(C564/0.9-C564)),"N/A")</f>
        <v>29302324.2384667</v>
      </c>
      <c r="AA564" s="425" cm="1">
        <f t="array" ref="AA564">_xlfn.IFERROR((Z564-Z563),"N/A")</f>
        <v>195780</v>
      </c>
      <c r="AB564" s="424"/>
      <c r="AC564" s="425" cm="1">
        <f t="array" ref="AC564">IF(B564=6,AVERAGE(Z559:Z564),"N/A")</f>
        <v>28812874.2384667</v>
      </c>
      <c r="AD564" s="424"/>
      <c r="AE564" s="423"/>
      <c r="AF564" s="423"/>
      <c r="AG564" s="423"/>
      <c r="AH564" s="423"/>
      <c r="AI564" s="423"/>
      <c r="AJ564" s="423"/>
      <c r="AK564" s="423"/>
      <c r="AL564" s="423"/>
      <c r="AM564" s="423"/>
      <c r="AN564" s="427"/>
    </row>
    <row r="565" ht="15" customHeight="1">
      <c r="A565" s="12"/>
      <c r="B565" s="428" cm="1">
        <f t="array" ref="B565">IF(B564=0,0,IF(B564&lt;VLOOKUP(C556,'Boats Data Sheet 2026'!$C$3:$H$57,6,0),B564+1,0))</f>
        <v>7</v>
      </c>
      <c r="C565" s="423" cm="1">
        <f t="array" ref="C565">_xlfn.IFERROR(IF(B565&gt;0,IF(VLOOKUP($C$556,'Boats Data Sheet 2026'!$C$3:$J$57,8,0)="N/A",0,VLOOKUP($C$556,'Boats Data Sheet 2026'!$C$3:$J$57,8,0)),"N/A")*85%,"N/A")</f>
        <v>19975000</v>
      </c>
      <c r="D565" s="429" cm="1">
        <f t="array" ref="D565">IF(B565&gt;7,2,IF(B565=0,"N/A",1))</f>
        <v>1</v>
      </c>
      <c r="E565" s="423" cm="1">
        <f t="array" ref="E565">_xlfn.IFERROR(SUM('Direct Costs 2026'!$C$4:$C$5)*D565,"N/A")</f>
        <v>875500</v>
      </c>
      <c r="F565" s="423" cm="1">
        <f t="array" ref="F565">_xlfn.IFERROR('Direct Costs 2026'!$C$43*B565,"N/A")</f>
        <v>42000</v>
      </c>
      <c r="G565" s="423" cm="1">
        <f t="array" ref="G565">IF(B565&gt;0,'Direct Costs 2026'!$C$25,"N/A")</f>
        <v>90000</v>
      </c>
      <c r="H565" s="423">
        <v>0</v>
      </c>
      <c r="I565" s="423">
        <v>0</v>
      </c>
      <c r="J565" s="423">
        <v>0</v>
      </c>
      <c r="K565" s="423">
        <v>0</v>
      </c>
      <c r="L565" s="423" cm="1">
        <f t="array" ref="L565">IF(B565&gt;0,'Direct Costs 2026'!$C$23,"N/A")</f>
        <v>140000</v>
      </c>
      <c r="M565" s="423" cm="1">
        <f t="array" ref="M565">IF(B565&gt;0,'Direct Costs 2026'!$C$45*B565,"N/A")</f>
        <v>1050000</v>
      </c>
      <c r="N565" t="str" s="431" cm="1">
        <f t="array" ref="N565">IF(B565&gt;0,_xlfn.IFERROR(VLOOKUP(C556,'Boats Data Sheet 2026'!$C$3:$I$57,7,0)*'Direct Costs 2026'!$C$36,"N/A"),"N/A")</f>
        <v>N/A</v>
      </c>
      <c r="O565" t="str" s="431" cm="1">
        <f t="array" ref="O565">IF(B565&gt;0,IF(OR(VLOOKUP(C556,'Boats Data Sheet 2026'!$C$3:$F$57,4,0)="Own",VLOOKUP(C556,'Boats Data Sheet 2026'!$C$3:$F$57,4,0)="Management"),('Direct Costs 2026'!$C$37+'Direct Costs 2026'!$C$39),"N/A"),"N/A")</f>
        <v>N/A</v>
      </c>
      <c r="P565" s="423">
        <v>0</v>
      </c>
      <c r="Q565" s="423" cm="1">
        <f t="array" ref="Q565">_xlfn.IFERROR(C565+SUM(E565:P565),"N/A")</f>
        <v>22172500</v>
      </c>
      <c r="R565" s="424"/>
      <c r="S565" s="423" cm="1">
        <f t="array" ref="S565">IF(B565&gt;0,'Allocation OH and Target 2026'!$E$31,"N/A")</f>
        <v>3100447.15769812</v>
      </c>
      <c r="T565" s="423" cm="1">
        <f t="array" ref="T565">IF(B565&gt;0,VLOOKUP(C556,'Allocation OH and Target 2026'!$C$35:$S$87,16,0),"N/A")</f>
        <v>0</v>
      </c>
      <c r="U565" s="423" cm="1">
        <f t="array" ref="U565">_xlfn.IFERROR((S565+T565),"N/A")</f>
        <v>3100447.15769812</v>
      </c>
      <c r="V565" s="424"/>
      <c r="W565" s="423" cm="1">
        <f t="array" ref="W565">_xlfn.IFERROR(U565+Q565,"N/A")</f>
        <v>25272947.1576981</v>
      </c>
      <c r="X565" s="423" cm="1">
        <f t="array" ref="X565">_xlfn.IFERROR(W565*0.5%,"N/A")</f>
        <v>126364.735788491</v>
      </c>
      <c r="Y565" s="423" cm="1">
        <f t="array" ref="Y565">_xlfn.IFERROR(W565*25%,"N/A")</f>
        <v>6318236.78942453</v>
      </c>
      <c r="Z565" s="425" cm="1">
        <f t="array" ref="Z565">IF(B565&gt;0,(SUM(W565:Y565)-(C565/0.9-C565)),"N/A")</f>
        <v>29498104.2384667</v>
      </c>
      <c r="AA565" s="425" cm="1">
        <f t="array" ref="AA565">_xlfn.IFERROR((Z565-Z564),"N/A")</f>
        <v>195780</v>
      </c>
      <c r="AB565" s="424"/>
      <c r="AC565" t="str" s="426" cm="1">
        <f t="array" ref="AC565">IF(B565=6,AVERAGE(Z559:Z564),"N/A")</f>
        <v>N/A</v>
      </c>
      <c r="AD565" s="424"/>
      <c r="AE565" s="423"/>
      <c r="AF565" s="423"/>
      <c r="AG565" s="423"/>
      <c r="AH565" s="423"/>
      <c r="AI565" s="423"/>
      <c r="AJ565" s="423"/>
      <c r="AK565" s="423"/>
      <c r="AL565" s="423"/>
      <c r="AM565" s="423"/>
      <c r="AN565" s="427"/>
    </row>
    <row r="566" ht="15" customHeight="1">
      <c r="A566" s="12"/>
      <c r="B566" s="428" cm="1">
        <f t="array" ref="B566">IF(B565=0,0,IF(B565&lt;VLOOKUP(C556,'Boats Data Sheet 2026'!$C$3:$H$57,6,0),B565+1,0))</f>
        <v>8</v>
      </c>
      <c r="C566" s="423" cm="1">
        <f t="array" ref="C566">_xlfn.IFERROR(IF(B566&gt;0,IF(VLOOKUP($C$556,'Boats Data Sheet 2026'!$C$3:$J$57,8,0)="N/A",0,VLOOKUP($C$556,'Boats Data Sheet 2026'!$C$3:$J$57,8,0)),"N/A")*85%,"N/A")</f>
        <v>19975000</v>
      </c>
      <c r="D566" s="429" cm="1">
        <f t="array" ref="D566">IF(B566&gt;7,2,IF(B566=0,"N/A",1))</f>
        <v>2</v>
      </c>
      <c r="E566" s="423" cm="1">
        <f t="array" ref="E566">_xlfn.IFERROR(SUM('Direct Costs 2026'!$C$4:$C$5)*D566,"N/A")</f>
        <v>1751000</v>
      </c>
      <c r="F566" s="423" cm="1">
        <f t="array" ref="F566">_xlfn.IFERROR('Direct Costs 2026'!$C$43*B566,"N/A")</f>
        <v>48000</v>
      </c>
      <c r="G566" s="423" cm="1">
        <f t="array" ref="G566">IF(B566&gt;0,'Direct Costs 2026'!$C$25,"N/A")</f>
        <v>90000</v>
      </c>
      <c r="H566" s="423">
        <v>0</v>
      </c>
      <c r="I566" s="423">
        <v>0</v>
      </c>
      <c r="J566" s="423">
        <v>0</v>
      </c>
      <c r="K566" s="423">
        <v>0</v>
      </c>
      <c r="L566" s="423" cm="1">
        <f t="array" ref="L566">IF(B566&gt;0,'Direct Costs 2026'!$C$23,"N/A")</f>
        <v>140000</v>
      </c>
      <c r="M566" s="423" cm="1">
        <f t="array" ref="M566">IF(B566&gt;0,'Direct Costs 2026'!$C$45*B566,"N/A")</f>
        <v>1200000</v>
      </c>
      <c r="N566" t="str" s="431" cm="1">
        <f t="array" ref="N566">IF(B566&gt;0,_xlfn.IFERROR(VLOOKUP(C556,'Boats Data Sheet 2026'!$C$3:$I$57,7,0)*'Direct Costs 2026'!$C$36,"N/A"),"N/A")</f>
        <v>N/A</v>
      </c>
      <c r="O566" t="str" s="431" cm="1">
        <f t="array" ref="O566">IF(B566&gt;0,IF(OR(VLOOKUP(C556,'Boats Data Sheet 2026'!$C$3:$F$57,4,0)="Own",VLOOKUP(C556,'Boats Data Sheet 2026'!$C$3:$F$57,4,0)="Management"),('Direct Costs 2026'!$C$37+'Direct Costs 2026'!$C$39),"N/A"),"N/A")</f>
        <v>N/A</v>
      </c>
      <c r="P566" s="423">
        <v>0</v>
      </c>
      <c r="Q566" s="423" cm="1">
        <f t="array" ref="Q566">_xlfn.IFERROR(C566+SUM(E566:P566),"N/A")</f>
        <v>23204000</v>
      </c>
      <c r="R566" s="424"/>
      <c r="S566" s="423" cm="1">
        <f t="array" ref="S566">IF(B566&gt;0,'Allocation OH and Target 2026'!$E$31,"N/A")</f>
        <v>3100447.15769812</v>
      </c>
      <c r="T566" s="423" cm="1">
        <f t="array" ref="T566">IF(B566&gt;0,VLOOKUP(C556,'Allocation OH and Target 2026'!$C$35:$S$87,16,0),"N/A")</f>
        <v>0</v>
      </c>
      <c r="U566" s="423" cm="1">
        <f t="array" ref="U566">_xlfn.IFERROR((S566+T566),"N/A")</f>
        <v>3100447.15769812</v>
      </c>
      <c r="V566" s="424"/>
      <c r="W566" s="423" cm="1">
        <f t="array" ref="W566">_xlfn.IFERROR(U566+Q566,"N/A")</f>
        <v>26304447.1576981</v>
      </c>
      <c r="X566" s="423" cm="1">
        <f t="array" ref="X566">_xlfn.IFERROR(W566*0.5%,"N/A")</f>
        <v>131522.235788491</v>
      </c>
      <c r="Y566" s="423" cm="1">
        <f t="array" ref="Y566">_xlfn.IFERROR(W566*25%,"N/A")</f>
        <v>6576111.78942453</v>
      </c>
      <c r="Z566" s="425" cm="1">
        <f t="array" ref="Z566">IF(B566&gt;0,(SUM(W566:Y566)-(C566/0.9-C566)),"N/A")</f>
        <v>30792636.7384667</v>
      </c>
      <c r="AA566" s="425" cm="1">
        <f t="array" ref="AA566">_xlfn.IFERROR((Z566-Z565),"N/A")</f>
        <v>1294532.5</v>
      </c>
      <c r="AB566" s="424"/>
      <c r="AC566" t="str" s="426" cm="1">
        <f t="array" ref="AC566">IF(B566=6,AVERAGE(Z559:Z564),"N/A")</f>
        <v>N/A</v>
      </c>
      <c r="AD566" s="424"/>
      <c r="AE566" s="423"/>
      <c r="AF566" s="423"/>
      <c r="AG566" s="423"/>
      <c r="AH566" s="423"/>
      <c r="AI566" s="423"/>
      <c r="AJ566" s="423"/>
      <c r="AK566" s="423"/>
      <c r="AL566" s="423"/>
      <c r="AM566" s="423"/>
      <c r="AN566" s="427"/>
    </row>
    <row r="567" ht="15" customHeight="1">
      <c r="A567" s="12"/>
      <c r="B567" s="428" cm="1">
        <f t="array" ref="B567">IF(B566=0,0,IF(B566&lt;VLOOKUP(C556,'Boats Data Sheet 2026'!$C$3:$H$57,6,0),B566+1,0))</f>
        <v>9</v>
      </c>
      <c r="C567" s="423" cm="1">
        <f t="array" ref="C567">_xlfn.IFERROR(IF(B567&gt;0,IF(VLOOKUP($C$556,'Boats Data Sheet 2026'!$C$3:$J$57,8,0)="N/A",0,VLOOKUP($C$556,'Boats Data Sheet 2026'!$C$3:$J$57,8,0)),"N/A")*85%,"N/A")</f>
        <v>19975000</v>
      </c>
      <c r="D567" s="430" cm="1">
        <f t="array" ref="D567">IF(B567&gt;7,2,IF(B567=0,"N/A",1))</f>
        <v>2</v>
      </c>
      <c r="E567" s="423" cm="1">
        <f t="array" ref="E567">_xlfn.IFERROR(SUM('Direct Costs 2026'!$C$4:$C$5)*D567,"N/A")</f>
        <v>1751000</v>
      </c>
      <c r="F567" s="423" cm="1">
        <f t="array" ref="F567">_xlfn.IFERROR('Direct Costs 2026'!$C$43*B567,"N/A")</f>
        <v>54000</v>
      </c>
      <c r="G567" s="423" cm="1">
        <f t="array" ref="G567">IF(B567&gt;0,'Direct Costs 2026'!$C$25,"N/A")</f>
        <v>90000</v>
      </c>
      <c r="H567" s="423">
        <v>0</v>
      </c>
      <c r="I567" s="423">
        <v>0</v>
      </c>
      <c r="J567" s="423">
        <v>0</v>
      </c>
      <c r="K567" s="423">
        <v>0</v>
      </c>
      <c r="L567" s="423" cm="1">
        <f t="array" ref="L567">IF(B567&gt;0,'Direct Costs 2026'!$C$23,"N/A")</f>
        <v>140000</v>
      </c>
      <c r="M567" s="423" cm="1">
        <f t="array" ref="M567">IF(B567&gt;0,'Direct Costs 2026'!$C$45*B567,"N/A")</f>
        <v>1350000</v>
      </c>
      <c r="N567" t="str" s="431" cm="1">
        <f t="array" ref="N567">IF(B567&gt;0,_xlfn.IFERROR(VLOOKUP(C556,'Boats Data Sheet 2026'!$C$3:$I$57,7,0)*'Direct Costs 2026'!$C$36,"N/A"),"N/A")</f>
        <v>N/A</v>
      </c>
      <c r="O567" t="str" s="431" cm="1">
        <f t="array" ref="O567">IF(B567&gt;0,IF(OR(VLOOKUP(C556,'Boats Data Sheet 2026'!$C$3:$F$57,4,0)="Own",VLOOKUP(C556,'Boats Data Sheet 2026'!$C$3:$F$57,4,0)="Management"),('Direct Costs 2026'!$C$37+'Direct Costs 2026'!$C$39),"N/A"),"N/A")</f>
        <v>N/A</v>
      </c>
      <c r="P567" s="423">
        <v>0</v>
      </c>
      <c r="Q567" s="423" cm="1">
        <f t="array" ref="Q567">_xlfn.IFERROR(C567+SUM(E567:P567),"N/A")</f>
        <v>23360000</v>
      </c>
      <c r="R567" s="424"/>
      <c r="S567" s="423" cm="1">
        <f t="array" ref="S567">IF(B567&gt;0,'Allocation OH and Target 2026'!$E$31,"N/A")</f>
        <v>3100447.15769812</v>
      </c>
      <c r="T567" s="423" cm="1">
        <f t="array" ref="T567">IF(B567&gt;0,VLOOKUP(C556,'Allocation OH and Target 2026'!$C$35:$S$87,16,0),"N/A")</f>
        <v>0</v>
      </c>
      <c r="U567" s="423" cm="1">
        <f t="array" ref="U567">_xlfn.IFERROR((S567+T567),"N/A")</f>
        <v>3100447.15769812</v>
      </c>
      <c r="V567" s="424"/>
      <c r="W567" s="423" cm="1">
        <f t="array" ref="W567">_xlfn.IFERROR(U567+Q567,"N/A")</f>
        <v>26460447.1576981</v>
      </c>
      <c r="X567" s="423" cm="1">
        <f t="array" ref="X567">_xlfn.IFERROR(W567*0.5%,"N/A")</f>
        <v>132302.235788491</v>
      </c>
      <c r="Y567" s="423" cm="1">
        <f t="array" ref="Y567">_xlfn.IFERROR(W567*25%,"N/A")</f>
        <v>6615111.78942453</v>
      </c>
      <c r="Z567" s="425" cm="1">
        <f t="array" ref="Z567">IF(B567&gt;0,(SUM(W567:Y567)-(C567/0.9-C567)),"N/A")</f>
        <v>30988416.7384667</v>
      </c>
      <c r="AA567" s="425" cm="1">
        <f t="array" ref="AA567">_xlfn.IFERROR((Z567-Z566),"N/A")</f>
        <v>195780</v>
      </c>
      <c r="AB567" s="424"/>
      <c r="AC567" t="str" s="426" cm="1">
        <f t="array" ref="AC567">IF(B567=6,AVERAGE(Z559:Z564),"N/A")</f>
        <v>N/A</v>
      </c>
      <c r="AD567" s="424"/>
      <c r="AE567" s="423"/>
      <c r="AF567" s="423"/>
      <c r="AG567" s="423"/>
      <c r="AH567" s="423"/>
      <c r="AI567" s="423"/>
      <c r="AJ567" s="423"/>
      <c r="AK567" s="423"/>
      <c r="AL567" s="423"/>
      <c r="AM567" s="423"/>
      <c r="AN567" s="427"/>
    </row>
    <row r="568" ht="15" customHeight="1">
      <c r="A568" s="12"/>
      <c r="B568" s="428" cm="1">
        <f t="array" ref="B568">IF(B567=0,0,IF(B567&lt;VLOOKUP(C556,'Boats Data Sheet 2026'!$C$3:$H$57,6,0),B567+1,0))</f>
        <v>10</v>
      </c>
      <c r="C568" s="423" cm="1">
        <f t="array" ref="C568">_xlfn.IFERROR(IF(B568&gt;0,IF(VLOOKUP($C$556,'Boats Data Sheet 2026'!$C$3:$J$57,8,0)="N/A",0,VLOOKUP($C$556,'Boats Data Sheet 2026'!$C$3:$J$57,8,0)),"N/A")*85%,"N/A")</f>
        <v>19975000</v>
      </c>
      <c r="D568" s="430" cm="1">
        <f t="array" ref="D568">IF(B568&gt;7,2,IF(B568=0,"N/A",1))</f>
        <v>2</v>
      </c>
      <c r="E568" s="423" cm="1">
        <f t="array" ref="E568">_xlfn.IFERROR(SUM('Direct Costs 2026'!$C$4:$C$5)*D568,"N/A")</f>
        <v>1751000</v>
      </c>
      <c r="F568" s="423" cm="1">
        <f t="array" ref="F568">_xlfn.IFERROR('Direct Costs 2026'!$C$43*B568,"N/A")</f>
        <v>60000</v>
      </c>
      <c r="G568" s="423" cm="1">
        <f t="array" ref="G568">IF(B568&gt;0,'Direct Costs 2026'!$C$25,"N/A")</f>
        <v>90000</v>
      </c>
      <c r="H568" s="423">
        <v>0</v>
      </c>
      <c r="I568" s="423">
        <v>0</v>
      </c>
      <c r="J568" s="423">
        <v>0</v>
      </c>
      <c r="K568" s="423">
        <v>0</v>
      </c>
      <c r="L568" s="423" cm="1">
        <f t="array" ref="L568">IF(B568&gt;0,'Direct Costs 2026'!$C$23,"N/A")</f>
        <v>140000</v>
      </c>
      <c r="M568" s="423" cm="1">
        <f t="array" ref="M568">IF(B568&gt;0,'Direct Costs 2026'!$C$45*B568,"N/A")</f>
        <v>1500000</v>
      </c>
      <c r="N568" t="str" s="431" cm="1">
        <f t="array" ref="N568">IF(B568&gt;0,_xlfn.IFERROR(VLOOKUP(C556,'Boats Data Sheet 2026'!$C$3:$I$57,7,0)*'Direct Costs 2026'!$C$36,"N/A"),"N/A")</f>
        <v>N/A</v>
      </c>
      <c r="O568" t="str" s="431" cm="1">
        <f t="array" ref="O568">IF(B568&gt;0,IF(OR(VLOOKUP(C556,'Boats Data Sheet 2026'!$C$3:$F$57,4,0)="Own",VLOOKUP(C556,'Boats Data Sheet 2026'!$C$3:$F$57,4,0)="Management"),('Direct Costs 2026'!$C$37+'Direct Costs 2026'!$C$39),"N/A"),"N/A")</f>
        <v>N/A</v>
      </c>
      <c r="P568" s="423">
        <v>0</v>
      </c>
      <c r="Q568" s="423" cm="1">
        <f t="array" ref="Q568">_xlfn.IFERROR(C568+SUM(E568:P568),"N/A")</f>
        <v>23516000</v>
      </c>
      <c r="R568" s="424"/>
      <c r="S568" s="423" cm="1">
        <f t="array" ref="S568">IF(B568&gt;0,'Allocation OH and Target 2026'!$E$31,"N/A")</f>
        <v>3100447.15769812</v>
      </c>
      <c r="T568" s="423" cm="1">
        <f t="array" ref="T568">IF(B568&gt;0,VLOOKUP(C556,'Allocation OH and Target 2026'!$C$35:$S$87,16,0),"N/A")</f>
        <v>0</v>
      </c>
      <c r="U568" s="423" cm="1">
        <f t="array" ref="U568">_xlfn.IFERROR((S568+T568),"N/A")</f>
        <v>3100447.15769812</v>
      </c>
      <c r="V568" s="424"/>
      <c r="W568" s="423" cm="1">
        <f t="array" ref="W568">_xlfn.IFERROR(U568+Q568,"N/A")</f>
        <v>26616447.1576981</v>
      </c>
      <c r="X568" s="423" cm="1">
        <f t="array" ref="X568">_xlfn.IFERROR(W568*0.5%,"N/A")</f>
        <v>133082.235788491</v>
      </c>
      <c r="Y568" s="423" cm="1">
        <f t="array" ref="Y568">_xlfn.IFERROR(W568*25%,"N/A")</f>
        <v>6654111.78942453</v>
      </c>
      <c r="Z568" s="425" cm="1">
        <f t="array" ref="Z568">IF(B568&gt;0,(SUM(W568:Y568)-(C568/0.9-C568)),"N/A")</f>
        <v>31184196.7384667</v>
      </c>
      <c r="AA568" s="425" cm="1">
        <f t="array" ref="AA568">_xlfn.IFERROR((Z568-Z567),"N/A")</f>
        <v>195780</v>
      </c>
      <c r="AB568" s="424"/>
      <c r="AC568" t="str" s="426" cm="1">
        <f t="array" ref="AC568">IF(B568=6,AVERAGE(Z559:Z564),"N/A")</f>
        <v>N/A</v>
      </c>
      <c r="AD568" s="424"/>
      <c r="AE568" s="423"/>
      <c r="AF568" s="423"/>
      <c r="AG568" s="423"/>
      <c r="AH568" s="423"/>
      <c r="AI568" s="423"/>
      <c r="AJ568" s="423"/>
      <c r="AK568" s="423"/>
      <c r="AL568" s="423"/>
      <c r="AM568" s="423"/>
      <c r="AN568" s="427"/>
    </row>
    <row r="569" ht="15" customHeight="1">
      <c r="A569" s="12"/>
      <c r="B569" s="428" cm="1">
        <f t="array" ref="B569">IF(B568=0,0,IF(B568&lt;VLOOKUP(C556,'Boats Data Sheet 2026'!$C$3:$H$57,6,0),B568+1,0))</f>
        <v>0</v>
      </c>
      <c r="C569" t="str" s="431" cm="1">
        <f t="array" ref="C569">_xlfn.IFERROR(IF(B569&gt;0,IF(VLOOKUP($C$556,'Boats Data Sheet 2026'!$C$3:$J$57,8,0)="N/A",0,VLOOKUP($C$556,'Boats Data Sheet 2026'!$C$3:$J$57,8,0)),"N/A")*85%,"N/A")</f>
        <v>N/A</v>
      </c>
      <c r="D569" t="str" s="431" cm="1">
        <f t="array" ref="D569">IF(B569&gt;7,2,IF(B569=0,"N/A",1))</f>
        <v>N/A</v>
      </c>
      <c r="E569" t="str" s="431" cm="1">
        <f t="array" ref="E569">_xlfn.IFERROR(SUM('Direct Costs 2026'!$C$4:$C$5)*D569,"N/A")</f>
        <v>N/A</v>
      </c>
      <c r="F569" s="423" cm="1">
        <f t="array" ref="F569">_xlfn.IFERROR('Direct Costs 2026'!$C$43*B569,"N/A")</f>
        <v>0</v>
      </c>
      <c r="G569" t="str" s="431" cm="1">
        <f t="array" ref="G569">IF(B569&gt;0,'Direct Costs 2026'!$C$25,"N/A")</f>
        <v>N/A</v>
      </c>
      <c r="H569" s="423">
        <v>0</v>
      </c>
      <c r="I569" s="423">
        <v>0</v>
      </c>
      <c r="J569" s="423">
        <v>0</v>
      </c>
      <c r="K569" s="423">
        <v>0</v>
      </c>
      <c r="L569" t="str" s="431" cm="1">
        <f t="array" ref="L569">IF(B569&gt;0,'Direct Costs 2026'!$C$23,"N/A")</f>
        <v>N/A</v>
      </c>
      <c r="M569" t="str" s="431" cm="1">
        <f t="array" ref="M569">IF(B569&gt;0,'Direct Costs 2026'!$C$45*B569,"N/A")</f>
        <v>N/A</v>
      </c>
      <c r="N569" t="str" s="431" cm="1">
        <f t="array" ref="N569">IF(B569&gt;0,_xlfn.IFERROR(VLOOKUP(C556,'Boats Data Sheet 2026'!$C$3:$I$57,7,0)*'Direct Costs 2026'!$C$36,"N/A"),"N/A")</f>
        <v>N/A</v>
      </c>
      <c r="O569" t="str" s="431" cm="1">
        <f t="array" ref="O569">IF(B569&gt;0,IF(OR(VLOOKUP(C556,'Boats Data Sheet 2026'!$C$3:$F$57,4,0)="Own",VLOOKUP(C556,'Boats Data Sheet 2026'!$C$3:$F$57,4,0)="Management"),('Direct Costs 2026'!$C$37+'Direct Costs 2026'!$C$39),"N/A"),"N/A")</f>
        <v>N/A</v>
      </c>
      <c r="P569" s="423">
        <v>0</v>
      </c>
      <c r="Q569" t="str" s="431" cm="1">
        <f t="array" ref="Q569">_xlfn.IFERROR(C569+SUM(E569:P569),"N/A")</f>
        <v>N/A</v>
      </c>
      <c r="R569" s="424"/>
      <c r="S569" t="str" s="431" cm="1">
        <f t="array" ref="S569">IF(B569&gt;0,'Allocation OH and Target 2026'!$E$31,"N/A")</f>
        <v>N/A</v>
      </c>
      <c r="T569" t="str" s="431" cm="1">
        <f t="array" ref="T569">IF(B569&gt;0,VLOOKUP(C556,'Allocation OH and Target 2026'!$C$35:$S$87,16,0),"N/A")</f>
        <v>N/A</v>
      </c>
      <c r="U569" t="str" s="431" cm="1">
        <f t="array" ref="U569">_xlfn.IFERROR((S569+T569),"N/A")</f>
        <v>N/A</v>
      </c>
      <c r="V569" s="424"/>
      <c r="W569" t="str" s="431" cm="1">
        <f t="array" ref="W569">_xlfn.IFERROR(U569+Q569,"N/A")</f>
        <v>N/A</v>
      </c>
      <c r="X569" t="str" s="431" cm="1">
        <f t="array" ref="X569">_xlfn.IFERROR(W569*0.5%,"N/A")</f>
        <v>N/A</v>
      </c>
      <c r="Y569" t="str" s="431" cm="1">
        <f t="array" ref="Y569">_xlfn.IFERROR(W569*25%,"N/A")</f>
        <v>N/A</v>
      </c>
      <c r="Z569" t="str" s="426" cm="1">
        <f t="array" ref="Z569">IF(B569&gt;0,(SUM(W569:Y569)-(C569/0.9-C569)),"N/A")</f>
        <v>N/A</v>
      </c>
      <c r="AA569" t="str" s="426" cm="1">
        <f t="array" ref="AA569">_xlfn.IFERROR((Z569-Z568),"N/A")</f>
        <v>N/A</v>
      </c>
      <c r="AB569" s="424"/>
      <c r="AC569" t="str" s="426" cm="1">
        <f t="array" ref="AC569">IF(B569=6,AVERAGE(Z559:Z564),"N/A")</f>
        <v>N/A</v>
      </c>
      <c r="AD569" s="424"/>
      <c r="AE569" s="423"/>
      <c r="AF569" s="423"/>
      <c r="AG569" s="423"/>
      <c r="AH569" s="423"/>
      <c r="AI569" s="423"/>
      <c r="AJ569" s="423"/>
      <c r="AK569" s="423"/>
      <c r="AL569" s="423"/>
      <c r="AM569" s="423"/>
      <c r="AN569" s="427"/>
    </row>
    <row r="570" ht="15" customHeight="1">
      <c r="A570" s="12"/>
      <c r="B570" s="428" cm="1">
        <f t="array" ref="B570">IF(B569=0,0,IF(B569&lt;VLOOKUP(C556,'Boats Data Sheet 2026'!$C$3:$H$57,6,0),B569+1,0))</f>
        <v>0</v>
      </c>
      <c r="C570" t="str" s="431" cm="1">
        <f t="array" ref="C570">_xlfn.IFERROR(IF(B570&gt;0,IF(VLOOKUP($C$556,'Boats Data Sheet 2026'!$C$3:$J$57,8,0)="N/A",0,VLOOKUP($C$556,'Boats Data Sheet 2026'!$C$3:$J$57,8,0)),"N/A")*85%,"N/A")</f>
        <v>N/A</v>
      </c>
      <c r="D570" t="str" s="431" cm="1">
        <f t="array" ref="D570">IF(B570&gt;7,2,IF(B570=0,"N/A",1))</f>
        <v>N/A</v>
      </c>
      <c r="E570" t="str" s="431" cm="1">
        <f t="array" ref="E570">_xlfn.IFERROR(SUM('Direct Costs 2026'!$C$4:$C$5)*D570,"N/A")</f>
        <v>N/A</v>
      </c>
      <c r="F570" s="423" cm="1">
        <f t="array" ref="F570">_xlfn.IFERROR('Direct Costs 2026'!$C$43*B570,"N/A")</f>
        <v>0</v>
      </c>
      <c r="G570" t="str" s="431" cm="1">
        <f t="array" ref="G570">IF(B570&gt;0,'Direct Costs 2026'!$C$25,"N/A")</f>
        <v>N/A</v>
      </c>
      <c r="H570" s="423">
        <v>0</v>
      </c>
      <c r="I570" s="423">
        <v>0</v>
      </c>
      <c r="J570" s="423">
        <v>0</v>
      </c>
      <c r="K570" s="423">
        <v>0</v>
      </c>
      <c r="L570" t="str" s="431" cm="1">
        <f t="array" ref="L570">IF(B570&gt;0,'Direct Costs 2026'!$C$23,"N/A")</f>
        <v>N/A</v>
      </c>
      <c r="M570" t="str" s="431" cm="1">
        <f t="array" ref="M570">IF(B570&gt;0,'Direct Costs 2026'!$C$45*B570,"N/A")</f>
        <v>N/A</v>
      </c>
      <c r="N570" t="str" s="431" cm="1">
        <f t="array" ref="N570">IF(B570&gt;0,_xlfn.IFERROR(VLOOKUP(C556,'Boats Data Sheet 2026'!$C$3:$I$57,7,0)*'Direct Costs 2026'!$C$36,"N/A"),"N/A")</f>
        <v>N/A</v>
      </c>
      <c r="O570" t="str" s="431" cm="1">
        <f t="array" ref="O570">IF(B570&gt;0,IF(OR(VLOOKUP(C556,'Boats Data Sheet 2026'!$C$3:$F$57,4,0)="Own",VLOOKUP(C556,'Boats Data Sheet 2026'!$C$3:$F$57,4,0)="Management"),('Direct Costs 2026'!$C$37+'Direct Costs 2026'!$C$39),"N/A"),"N/A")</f>
        <v>N/A</v>
      </c>
      <c r="P570" s="423">
        <v>0</v>
      </c>
      <c r="Q570" t="str" s="431" cm="1">
        <f t="array" ref="Q570">_xlfn.IFERROR(C570+SUM(E570:P570),"N/A")</f>
        <v>N/A</v>
      </c>
      <c r="R570" s="424"/>
      <c r="S570" t="str" s="431" cm="1">
        <f t="array" ref="S570">IF(B570&gt;0,'Allocation OH and Target 2026'!$E$31,"N/A")</f>
        <v>N/A</v>
      </c>
      <c r="T570" t="str" s="431" cm="1">
        <f t="array" ref="T570">IF(B570&gt;0,VLOOKUP(C556,'Allocation OH and Target 2026'!$C$35:$S$87,16,0),"N/A")</f>
        <v>N/A</v>
      </c>
      <c r="U570" t="str" s="431" cm="1">
        <f t="array" ref="U570">_xlfn.IFERROR((S570+T570),"N/A")</f>
        <v>N/A</v>
      </c>
      <c r="V570" s="424"/>
      <c r="W570" t="str" s="431" cm="1">
        <f t="array" ref="W570">_xlfn.IFERROR(U570+Q570,"N/A")</f>
        <v>N/A</v>
      </c>
      <c r="X570" t="str" s="431" cm="1">
        <f t="array" ref="X570">_xlfn.IFERROR(W570*0.5%,"N/A")</f>
        <v>N/A</v>
      </c>
      <c r="Y570" t="str" s="431" cm="1">
        <f t="array" ref="Y570">_xlfn.IFERROR(W570*25%,"N/A")</f>
        <v>N/A</v>
      </c>
      <c r="Z570" t="str" s="426" cm="1">
        <f t="array" ref="Z570">IF(B570&gt;0,(SUM(W570:Y570)-(C570/0.9-C570)),"N/A")</f>
        <v>N/A</v>
      </c>
      <c r="AA570" t="str" s="426" cm="1">
        <f t="array" ref="AA570">_xlfn.IFERROR((Z570-Z569),"N/A")</f>
        <v>N/A</v>
      </c>
      <c r="AB570" s="424"/>
      <c r="AC570" t="str" s="426" cm="1">
        <f t="array" ref="AC570">IF(B570=6,AVERAGE(Z559:Z564),"N/A")</f>
        <v>N/A</v>
      </c>
      <c r="AD570" s="424"/>
      <c r="AE570" s="423"/>
      <c r="AF570" s="423"/>
      <c r="AG570" s="423"/>
      <c r="AH570" s="423"/>
      <c r="AI570" s="423"/>
      <c r="AJ570" s="423"/>
      <c r="AK570" s="423"/>
      <c r="AL570" s="423"/>
      <c r="AM570" s="423"/>
      <c r="AN570" s="427"/>
    </row>
    <row r="571" ht="15" customHeight="1">
      <c r="A571" s="12"/>
      <c r="B571" s="428" cm="1">
        <f t="array" ref="B571">IF(B570=0,0,IF(B570&lt;VLOOKUP(C556,'Boats Data Sheet 2026'!$C$3:$H$57,6,0),B570+1,0))</f>
        <v>0</v>
      </c>
      <c r="C571" t="str" s="431" cm="1">
        <f t="array" ref="C571">_xlfn.IFERROR(IF(B571&gt;0,IF(VLOOKUP($C$556,'Boats Data Sheet 2026'!$C$3:$J$57,8,0)="N/A",0,VLOOKUP($C$556,'Boats Data Sheet 2026'!$C$3:$J$57,8,0)),"N/A")*85%,"N/A")</f>
        <v>N/A</v>
      </c>
      <c r="D571" t="str" s="431" cm="1">
        <f t="array" ref="D571">IF(B571&gt;7,2,IF(B571=0,"N/A",1))</f>
        <v>N/A</v>
      </c>
      <c r="E571" t="str" s="431" cm="1">
        <f t="array" ref="E571">_xlfn.IFERROR(SUM('Direct Costs 2026'!$C$4:$C$5)*D571,"N/A")</f>
        <v>N/A</v>
      </c>
      <c r="F571" s="423" cm="1">
        <f t="array" ref="F571">_xlfn.IFERROR('Direct Costs 2026'!$C$43*B571,"N/A")</f>
        <v>0</v>
      </c>
      <c r="G571" t="str" s="431" cm="1">
        <f t="array" ref="G571">IF(B571&gt;0,'Direct Costs 2026'!$C$25,"N/A")</f>
        <v>N/A</v>
      </c>
      <c r="H571" s="423">
        <v>0</v>
      </c>
      <c r="I571" s="423">
        <v>0</v>
      </c>
      <c r="J571" s="423">
        <v>0</v>
      </c>
      <c r="K571" s="423">
        <v>0</v>
      </c>
      <c r="L571" t="str" s="431" cm="1">
        <f t="array" ref="L571">IF(B571&gt;0,'Direct Costs 2026'!$C$23,"N/A")</f>
        <v>N/A</v>
      </c>
      <c r="M571" t="str" s="431" cm="1">
        <f t="array" ref="M571">IF(B571&gt;0,'Direct Costs 2026'!$C$45*B571,"N/A")</f>
        <v>N/A</v>
      </c>
      <c r="N571" t="str" s="431" cm="1">
        <f t="array" ref="N571">IF(B571&gt;0,_xlfn.IFERROR(VLOOKUP(C556,'Boats Data Sheet 2026'!$C$3:$I$57,7,0)*'Direct Costs 2026'!$C$36,"N/A"),"N/A")</f>
        <v>N/A</v>
      </c>
      <c r="O571" t="str" s="431" cm="1">
        <f t="array" ref="O571">IF(B571&gt;0,IF(OR(VLOOKUP(C556,'Boats Data Sheet 2026'!$C$3:$F$57,4,0)="Own",VLOOKUP(C556,'Boats Data Sheet 2026'!$C$3:$F$57,4,0)="Management"),('Direct Costs 2026'!$C$37+'Direct Costs 2026'!$C$39),"N/A"),"N/A")</f>
        <v>N/A</v>
      </c>
      <c r="P571" s="423">
        <v>0</v>
      </c>
      <c r="Q571" t="str" s="431" cm="1">
        <f t="array" ref="Q571">_xlfn.IFERROR(C571+SUM(E571:P571),"N/A")</f>
        <v>N/A</v>
      </c>
      <c r="R571" s="424"/>
      <c r="S571" t="str" s="431" cm="1">
        <f t="array" ref="S571">IF(B571&gt;0,'Allocation OH and Target 2026'!$E$31,"N/A")</f>
        <v>N/A</v>
      </c>
      <c r="T571" t="str" s="431" cm="1">
        <f t="array" ref="T571">IF(B571&gt;0,VLOOKUP(C556,'Allocation OH and Target 2026'!$C$35:$S$87,16,0),"N/A")</f>
        <v>N/A</v>
      </c>
      <c r="U571" t="str" s="431" cm="1">
        <f t="array" ref="U571">_xlfn.IFERROR((S571+T571),"N/A")</f>
        <v>N/A</v>
      </c>
      <c r="V571" s="424"/>
      <c r="W571" t="str" s="431" cm="1">
        <f t="array" ref="W571">_xlfn.IFERROR(U571+Q571,"N/A")</f>
        <v>N/A</v>
      </c>
      <c r="X571" t="str" s="431" cm="1">
        <f t="array" ref="X571">_xlfn.IFERROR(W571*0.5%,"N/A")</f>
        <v>N/A</v>
      </c>
      <c r="Y571" t="str" s="431" cm="1">
        <f t="array" ref="Y571">_xlfn.IFERROR(W571*25%,"N/A")</f>
        <v>N/A</v>
      </c>
      <c r="Z571" t="str" s="426" cm="1">
        <f t="array" ref="Z571">IF(B571&gt;0,(SUM(W571:Y571)-(C571/0.9-C571)),"N/A")</f>
        <v>N/A</v>
      </c>
      <c r="AA571" t="str" s="426" cm="1">
        <f t="array" ref="AA571">_xlfn.IFERROR((Z571-Z570),"N/A")</f>
        <v>N/A</v>
      </c>
      <c r="AB571" s="424"/>
      <c r="AC571" t="str" s="426" cm="1">
        <f t="array" ref="AC571">IF(B571=6,AVERAGE(Z559:Z564),"N/A")</f>
        <v>N/A</v>
      </c>
      <c r="AD571" s="424"/>
      <c r="AE571" s="423"/>
      <c r="AF571" s="423"/>
      <c r="AG571" s="423"/>
      <c r="AH571" s="423"/>
      <c r="AI571" s="423"/>
      <c r="AJ571" s="423"/>
      <c r="AK571" s="423"/>
      <c r="AL571" s="423"/>
      <c r="AM571" s="423"/>
      <c r="AN571" s="427"/>
    </row>
    <row r="572" ht="15" customHeight="1">
      <c r="A572" s="12"/>
      <c r="B572" s="428" cm="1">
        <f t="array" ref="B572">IF(B571=0,0,IF(B571&lt;VLOOKUP(C556,'Boats Data Sheet 2026'!$C$3:$H$57,6,0),B571+1,0))</f>
        <v>0</v>
      </c>
      <c r="C572" t="str" s="431" cm="1">
        <f t="array" ref="C572">_xlfn.IFERROR(IF(B572&gt;0,IF(VLOOKUP($C$556,'Boats Data Sheet 2026'!$C$3:$J$57,8,0)="N/A",0,VLOOKUP($C$556,'Boats Data Sheet 2026'!$C$3:$J$57,8,0)),"N/A")*85%,"N/A")</f>
        <v>N/A</v>
      </c>
      <c r="D572" t="str" s="431" cm="1">
        <f t="array" ref="D572">IF(B572&gt;7,2,IF(B572=0,"N/A",1))</f>
        <v>N/A</v>
      </c>
      <c r="E572" t="str" s="431" cm="1">
        <f t="array" ref="E572">_xlfn.IFERROR(SUM('Direct Costs 2026'!$C$4:$C$5)*D572,"N/A")</f>
        <v>N/A</v>
      </c>
      <c r="F572" s="423" cm="1">
        <f t="array" ref="F572">_xlfn.IFERROR('Direct Costs 2026'!$C$43*B572,"N/A")</f>
        <v>0</v>
      </c>
      <c r="G572" t="str" s="431" cm="1">
        <f t="array" ref="G572">IF(B572&gt;0,'Direct Costs 2026'!$C$25,"N/A")</f>
        <v>N/A</v>
      </c>
      <c r="H572" s="423">
        <v>0</v>
      </c>
      <c r="I572" s="423">
        <v>0</v>
      </c>
      <c r="J572" s="423">
        <v>0</v>
      </c>
      <c r="K572" s="423">
        <v>0</v>
      </c>
      <c r="L572" t="str" s="431" cm="1">
        <f t="array" ref="L572">IF(B572&gt;0,'Direct Costs 2026'!$C$23,"N/A")</f>
        <v>N/A</v>
      </c>
      <c r="M572" t="str" s="431" cm="1">
        <f t="array" ref="M572">IF(B572&gt;0,'Direct Costs 2026'!$C$45*B572,"N/A")</f>
        <v>N/A</v>
      </c>
      <c r="N572" t="str" s="431" cm="1">
        <f t="array" ref="N572">IF(B572&gt;0,_xlfn.IFERROR(VLOOKUP(C556,'Boats Data Sheet 2026'!$C$3:$I$57,7,0)*'Direct Costs 2026'!$C$36,"N/A"),"N/A")</f>
        <v>N/A</v>
      </c>
      <c r="O572" t="str" s="431" cm="1">
        <f t="array" ref="O572">IF(B572&gt;0,IF(OR(VLOOKUP(C556,'Boats Data Sheet 2026'!$C$3:$F$57,4,0)="Own",VLOOKUP(C556,'Boats Data Sheet 2026'!$C$3:$F$57,4,0)="Management"),('Direct Costs 2026'!$C$37+'Direct Costs 2026'!$C$39),"N/A"),"N/A")</f>
        <v>N/A</v>
      </c>
      <c r="P572" s="423">
        <v>0</v>
      </c>
      <c r="Q572" t="str" s="431" cm="1">
        <f t="array" ref="Q572">_xlfn.IFERROR(C572+SUM(E572:P572),"N/A")</f>
        <v>N/A</v>
      </c>
      <c r="R572" s="424"/>
      <c r="S572" t="str" s="431" cm="1">
        <f t="array" ref="S572">IF(B572&gt;0,'Allocation OH and Target 2026'!$E$31,"N/A")</f>
        <v>N/A</v>
      </c>
      <c r="T572" t="str" s="431" cm="1">
        <f t="array" ref="T572">IF(B572&gt;0,VLOOKUP(C556,'Allocation OH and Target 2026'!$C$35:$S$87,16,0),"N/A")</f>
        <v>N/A</v>
      </c>
      <c r="U572" t="str" s="431" cm="1">
        <f t="array" ref="U572">_xlfn.IFERROR((S572+T572),"N/A")</f>
        <v>N/A</v>
      </c>
      <c r="V572" s="424"/>
      <c r="W572" t="str" s="431" cm="1">
        <f t="array" ref="W572">_xlfn.IFERROR(U572+Q572,"N/A")</f>
        <v>N/A</v>
      </c>
      <c r="X572" t="str" s="431" cm="1">
        <f t="array" ref="X572">_xlfn.IFERROR(W572*0.5%,"N/A")</f>
        <v>N/A</v>
      </c>
      <c r="Y572" t="str" s="431" cm="1">
        <f t="array" ref="Y572">_xlfn.IFERROR(W572*25%,"N/A")</f>
        <v>N/A</v>
      </c>
      <c r="Z572" t="str" s="426" cm="1">
        <f t="array" ref="Z572">IF(B572&gt;0,(SUM(W572:Y572)-(C572/0.9-C572)),"N/A")</f>
        <v>N/A</v>
      </c>
      <c r="AA572" t="str" s="426" cm="1">
        <f t="array" ref="AA572">_xlfn.IFERROR((Z572-Z571),"N/A")</f>
        <v>N/A</v>
      </c>
      <c r="AB572" s="424"/>
      <c r="AC572" t="str" s="426" cm="1">
        <f t="array" ref="AC572">IF(B572=6,AVERAGE(Z559:Z564),"N/A")</f>
        <v>N/A</v>
      </c>
      <c r="AD572" s="424"/>
      <c r="AE572" s="423"/>
      <c r="AF572" s="423"/>
      <c r="AG572" s="423"/>
      <c r="AH572" s="423"/>
      <c r="AI572" s="423"/>
      <c r="AJ572" s="423"/>
      <c r="AK572" s="423"/>
      <c r="AL572" s="423"/>
      <c r="AM572" s="423"/>
      <c r="AN572" s="427"/>
    </row>
    <row r="573" ht="15" customHeight="1">
      <c r="A573" s="12"/>
      <c r="B573" s="428" cm="1">
        <f t="array" ref="B573">IF(B572=0,0,IF(B572&lt;VLOOKUP(C556,'Boats Data Sheet 2026'!$C$3:$H$57,6,0),B572+1,0))</f>
        <v>0</v>
      </c>
      <c r="C573" t="str" s="431" cm="1">
        <f t="array" ref="C573">_xlfn.IFERROR(IF(B573&gt;0,IF(VLOOKUP($C$556,'Boats Data Sheet 2026'!$C$3:$J$57,8,0)="N/A",0,VLOOKUP($C$556,'Boats Data Sheet 2026'!$C$3:$J$57,8,0)),"N/A")*85%,"N/A")</f>
        <v>N/A</v>
      </c>
      <c r="D573" t="str" s="431" cm="1">
        <f t="array" ref="D573">IF(B573&gt;7,2,IF(B573=0,"N/A",1))</f>
        <v>N/A</v>
      </c>
      <c r="E573" t="str" s="431" cm="1">
        <f t="array" ref="E573">_xlfn.IFERROR(SUM('Direct Costs 2026'!$C$4:$C$5)*D573,"N/A")</f>
        <v>N/A</v>
      </c>
      <c r="F573" s="423" cm="1">
        <f t="array" ref="F573">_xlfn.IFERROR('Direct Costs 2026'!$C$43*B573,"N/A")</f>
        <v>0</v>
      </c>
      <c r="G573" t="str" s="431" cm="1">
        <f t="array" ref="G573">IF(B573&gt;0,'Direct Costs 2026'!$C$25,"N/A")</f>
        <v>N/A</v>
      </c>
      <c r="H573" s="423">
        <v>0</v>
      </c>
      <c r="I573" s="423">
        <v>0</v>
      </c>
      <c r="J573" s="423">
        <v>0</v>
      </c>
      <c r="K573" s="423">
        <v>0</v>
      </c>
      <c r="L573" t="str" s="431" cm="1">
        <f t="array" ref="L573">IF(B573&gt;0,'Direct Costs 2026'!$C$23,"N/A")</f>
        <v>N/A</v>
      </c>
      <c r="M573" t="str" s="431" cm="1">
        <f t="array" ref="M573">IF(B573&gt;0,'Direct Costs 2026'!$C$45*B573,"N/A")</f>
        <v>N/A</v>
      </c>
      <c r="N573" t="str" s="431" cm="1">
        <f t="array" ref="N573">IF(B573&gt;0,_xlfn.IFERROR(VLOOKUP(C556,'Boats Data Sheet 2026'!$C$3:$I$57,7,0)*'Direct Costs 2026'!$C$36,"N/A"),"N/A")</f>
        <v>N/A</v>
      </c>
      <c r="O573" t="str" s="431" cm="1">
        <f t="array" ref="O573">IF(B573&gt;0,IF(OR(VLOOKUP(C556,'Boats Data Sheet 2026'!$C$3:$F$57,4,0)="Own",VLOOKUP(C556,'Boats Data Sheet 2026'!$C$3:$F$57,4,0)="Management"),('Direct Costs 2026'!$C$37+'Direct Costs 2026'!$C$39),"N/A"),"N/A")</f>
        <v>N/A</v>
      </c>
      <c r="P573" s="423">
        <v>0</v>
      </c>
      <c r="Q573" t="str" s="431" cm="1">
        <f t="array" ref="Q573">_xlfn.IFERROR(C573+SUM(E573:P573),"N/A")</f>
        <v>N/A</v>
      </c>
      <c r="R573" s="424"/>
      <c r="S573" t="str" s="431" cm="1">
        <f t="array" ref="S573">IF(B573&gt;0,'Allocation OH and Target 2026'!$E$31,"N/A")</f>
        <v>N/A</v>
      </c>
      <c r="T573" t="str" s="431" cm="1">
        <f t="array" ref="T573">IF(B573&gt;0,VLOOKUP(C556,'Allocation OH and Target 2026'!$C$35:$S$87,16,0),"N/A")</f>
        <v>N/A</v>
      </c>
      <c r="U573" t="str" s="431" cm="1">
        <f t="array" ref="U573">_xlfn.IFERROR((S573+T573),"N/A")</f>
        <v>N/A</v>
      </c>
      <c r="V573" s="424"/>
      <c r="W573" t="str" s="431" cm="1">
        <f t="array" ref="W573">_xlfn.IFERROR(U573+Q573,"N/A")</f>
        <v>N/A</v>
      </c>
      <c r="X573" t="str" s="431" cm="1">
        <f t="array" ref="X573">_xlfn.IFERROR(W573*0.5%,"N/A")</f>
        <v>N/A</v>
      </c>
      <c r="Y573" t="str" s="431" cm="1">
        <f t="array" ref="Y573">_xlfn.IFERROR(W573*25%,"N/A")</f>
        <v>N/A</v>
      </c>
      <c r="Z573" t="str" s="426" cm="1">
        <f t="array" ref="Z573">IF(B573&gt;0,(SUM(W573:Y573)-(C573/0.9-C573)),"N/A")</f>
        <v>N/A</v>
      </c>
      <c r="AA573" t="str" s="426" cm="1">
        <f t="array" ref="AA573">_xlfn.IFERROR((Z573-Z572),"N/A")</f>
        <v>N/A</v>
      </c>
      <c r="AB573" s="424"/>
      <c r="AC573" t="str" s="426" cm="1">
        <f t="array" ref="AC573">IF(B573=6,AVERAGE(Z559:Z564),"N/A")</f>
        <v>N/A</v>
      </c>
      <c r="AD573" s="424"/>
      <c r="AE573" s="423"/>
      <c r="AF573" s="423"/>
      <c r="AG573" s="423"/>
      <c r="AH573" s="423"/>
      <c r="AI573" s="423"/>
      <c r="AJ573" s="423"/>
      <c r="AK573" s="423"/>
      <c r="AL573" s="423"/>
      <c r="AM573" s="423"/>
      <c r="AN573" s="427"/>
    </row>
    <row r="574" ht="15" customHeight="1">
      <c r="A574" s="12"/>
      <c r="B574" s="428" cm="1">
        <f t="array" ref="B574">IF(B573=0,0,IF(B573&lt;VLOOKUP(C556,'Boats Data Sheet 2026'!$C$3:$H$57,6,0),B573+1,0))</f>
        <v>0</v>
      </c>
      <c r="C574" t="str" s="431" cm="1">
        <f t="array" ref="C574">_xlfn.IFERROR(IF(B574&gt;0,IF(VLOOKUP($C$556,'Boats Data Sheet 2026'!$C$3:$J$57,8,0)="N/A",0,VLOOKUP($C$556,'Boats Data Sheet 2026'!$C$3:$J$57,8,0)),"N/A")*85%,"N/A")</f>
        <v>N/A</v>
      </c>
      <c r="D574" t="str" s="431" cm="1">
        <f t="array" ref="D574">IF(B574&gt;7,2,IF(B574=0,"N/A",1))</f>
        <v>N/A</v>
      </c>
      <c r="E574" t="str" s="431" cm="1">
        <f t="array" ref="E574">_xlfn.IFERROR(SUM('Direct Costs 2026'!$C$4:$C$5)*D574,"N/A")</f>
        <v>N/A</v>
      </c>
      <c r="F574" s="423" cm="1">
        <f t="array" ref="F574">_xlfn.IFERROR('Direct Costs 2026'!$C$43*B574,"N/A")</f>
        <v>0</v>
      </c>
      <c r="G574" t="str" s="431" cm="1">
        <f t="array" ref="G574">IF(B574&gt;0,'Direct Costs 2026'!$C$25,"N/A")</f>
        <v>N/A</v>
      </c>
      <c r="H574" s="423">
        <v>0</v>
      </c>
      <c r="I574" s="423">
        <v>0</v>
      </c>
      <c r="J574" s="423">
        <v>0</v>
      </c>
      <c r="K574" s="423">
        <v>0</v>
      </c>
      <c r="L574" t="str" s="431" cm="1">
        <f t="array" ref="L574">IF(B574&gt;0,'Direct Costs 2026'!$C$23,"N/A")</f>
        <v>N/A</v>
      </c>
      <c r="M574" t="str" s="431" cm="1">
        <f t="array" ref="M574">IF(B574&gt;0,'Direct Costs 2026'!$C$45*B574,"N/A")</f>
        <v>N/A</v>
      </c>
      <c r="N574" t="str" s="431" cm="1">
        <f t="array" ref="N574">IF(B574&gt;0,_xlfn.IFERROR(VLOOKUP(C556,'Boats Data Sheet 2026'!$C$3:$I$57,7,0)*'Direct Costs 2026'!$C$36,"N/A"),"N/A")</f>
        <v>N/A</v>
      </c>
      <c r="O574" t="str" s="431" cm="1">
        <f t="array" ref="O574">IF(B574&gt;0,IF(OR(VLOOKUP(C556,'Boats Data Sheet 2026'!$C$3:$F$57,4,0)="Own",VLOOKUP(C556,'Boats Data Sheet 2026'!$C$3:$F$57,4,0)="Management"),('Direct Costs 2026'!$C$37+'Direct Costs 2026'!$C$39),"N/A"),"N/A")</f>
        <v>N/A</v>
      </c>
      <c r="P574" s="423">
        <v>0</v>
      </c>
      <c r="Q574" t="str" s="431" cm="1">
        <f t="array" ref="Q574">_xlfn.IFERROR(C574+SUM(E574:P574),"N/A")</f>
        <v>N/A</v>
      </c>
      <c r="R574" s="424"/>
      <c r="S574" t="str" s="431" cm="1">
        <f t="array" ref="S574">IF(B574&gt;0,'Allocation OH and Target 2026'!$E$31,"N/A")</f>
        <v>N/A</v>
      </c>
      <c r="T574" t="str" s="431" cm="1">
        <f t="array" ref="T574">IF(B574&gt;0,VLOOKUP(C556,'Allocation OH and Target 2026'!$C$35:$S$87,16,0),"N/A")</f>
        <v>N/A</v>
      </c>
      <c r="U574" t="str" s="431" cm="1">
        <f t="array" ref="U574">_xlfn.IFERROR((S574+T574),"N/A")</f>
        <v>N/A</v>
      </c>
      <c r="V574" s="424"/>
      <c r="W574" t="str" s="431" cm="1">
        <f t="array" ref="W574">_xlfn.IFERROR(U574+Q574,"N/A")</f>
        <v>N/A</v>
      </c>
      <c r="X574" t="str" s="431" cm="1">
        <f t="array" ref="X574">_xlfn.IFERROR(W574*0.5%,"N/A")</f>
        <v>N/A</v>
      </c>
      <c r="Y574" t="str" s="431" cm="1">
        <f t="array" ref="Y574">_xlfn.IFERROR(W574*25%,"N/A")</f>
        <v>N/A</v>
      </c>
      <c r="Z574" t="str" s="426" cm="1">
        <f t="array" ref="Z574">IF(B574&gt;0,(SUM(W574:Y574)-(C574/0.9-C574)),"N/A")</f>
        <v>N/A</v>
      </c>
      <c r="AA574" t="str" s="426" cm="1">
        <f t="array" ref="AA574">_xlfn.IFERROR((Z574-Z573),"N/A")</f>
        <v>N/A</v>
      </c>
      <c r="AB574" s="424"/>
      <c r="AC574" t="str" s="426" cm="1">
        <f t="array" ref="AC574">IF(B574=6,AVERAGE(Z559:Z564),"N/A")</f>
        <v>N/A</v>
      </c>
      <c r="AD574" s="424"/>
      <c r="AE574" s="423"/>
      <c r="AF574" s="423"/>
      <c r="AG574" s="423"/>
      <c r="AH574" s="423"/>
      <c r="AI574" s="423"/>
      <c r="AJ574" s="423"/>
      <c r="AK574" s="423"/>
      <c r="AL574" s="423"/>
      <c r="AM574" s="423"/>
      <c r="AN574" s="427"/>
    </row>
    <row r="575" ht="15" customHeight="1">
      <c r="A575" s="12"/>
      <c r="B575" s="428" cm="1">
        <f t="array" ref="B575">IF(B574=0,0,IF(B574&lt;VLOOKUP(C556,'Boats Data Sheet 2026'!$C$3:$H$57,6,0),B574+1,0))</f>
        <v>0</v>
      </c>
      <c r="C575" t="str" s="431" cm="1">
        <f t="array" ref="C575">_xlfn.IFERROR(IF(B575&gt;0,IF(VLOOKUP($C$556,'Boats Data Sheet 2026'!$C$3:$J$57,8,0)="N/A",0,VLOOKUP($C$556,'Boats Data Sheet 2026'!$C$3:$J$57,8,0)),"N/A")*85%,"N/A")</f>
        <v>N/A</v>
      </c>
      <c r="D575" t="str" s="431" cm="1">
        <f t="array" ref="D575">IF(B575&gt;7,2,IF(B575=0,"N/A",1))</f>
        <v>N/A</v>
      </c>
      <c r="E575" t="str" s="431" cm="1">
        <f t="array" ref="E575">_xlfn.IFERROR(SUM('Direct Costs 2026'!$C$4:$C$5)*D575,"N/A")</f>
        <v>N/A</v>
      </c>
      <c r="F575" s="423" cm="1">
        <f t="array" ref="F575">_xlfn.IFERROR('Direct Costs 2026'!$C$43*B575,"N/A")</f>
        <v>0</v>
      </c>
      <c r="G575" t="str" s="431" cm="1">
        <f t="array" ref="G575">IF(B575&gt;0,'Direct Costs 2026'!$C$25,"N/A")</f>
        <v>N/A</v>
      </c>
      <c r="H575" s="423">
        <v>0</v>
      </c>
      <c r="I575" s="423">
        <v>0</v>
      </c>
      <c r="J575" s="423">
        <v>0</v>
      </c>
      <c r="K575" s="423">
        <v>0</v>
      </c>
      <c r="L575" t="str" s="431" cm="1">
        <f t="array" ref="L575">IF(B575&gt;0,'Direct Costs 2026'!$C$23,"N/A")</f>
        <v>N/A</v>
      </c>
      <c r="M575" t="str" s="431" cm="1">
        <f t="array" ref="M575">IF(B575&gt;0,'Direct Costs 2026'!$C$45*B575,"N/A")</f>
        <v>N/A</v>
      </c>
      <c r="N575" t="str" s="431" cm="1">
        <f t="array" ref="N575">IF(B575&gt;0,_xlfn.IFERROR(VLOOKUP(C556,'Boats Data Sheet 2026'!$C$3:$I$57,7,0)*'Direct Costs 2026'!$C$36,"N/A"),"N/A")</f>
        <v>N/A</v>
      </c>
      <c r="O575" t="str" s="431" cm="1">
        <f t="array" ref="O575">IF(B575&gt;0,IF(OR(VLOOKUP(C556,'Boats Data Sheet 2026'!$C$3:$F$57,4,0)="Own",VLOOKUP(C556,'Boats Data Sheet 2026'!$C$3:$F$57,4,0)="Management"),('Direct Costs 2026'!$C$37+'Direct Costs 2026'!$C$39),"N/A"),"N/A")</f>
        <v>N/A</v>
      </c>
      <c r="P575" s="423">
        <v>0</v>
      </c>
      <c r="Q575" t="str" s="431" cm="1">
        <f t="array" ref="Q575">_xlfn.IFERROR(C575+SUM(E575:P575),"N/A")</f>
        <v>N/A</v>
      </c>
      <c r="R575" s="424"/>
      <c r="S575" t="str" s="431" cm="1">
        <f t="array" ref="S575">IF(B575&gt;0,'Allocation OH and Target 2026'!$E$31,"N/A")</f>
        <v>N/A</v>
      </c>
      <c r="T575" t="str" s="431" cm="1">
        <f t="array" ref="T575">IF(B575&gt;0,VLOOKUP(C556,'Allocation OH and Target 2026'!$C$35:$S$87,16,0),"N/A")</f>
        <v>N/A</v>
      </c>
      <c r="U575" t="str" s="431" cm="1">
        <f t="array" ref="U575">_xlfn.IFERROR((S575+T575),"N/A")</f>
        <v>N/A</v>
      </c>
      <c r="V575" s="424"/>
      <c r="W575" t="str" s="431" cm="1">
        <f t="array" ref="W575">_xlfn.IFERROR(U575+Q575,"N/A")</f>
        <v>N/A</v>
      </c>
      <c r="X575" t="str" s="431" cm="1">
        <f t="array" ref="X575">_xlfn.IFERROR(W575*0.5%,"N/A")</f>
        <v>N/A</v>
      </c>
      <c r="Y575" t="str" s="431" cm="1">
        <f t="array" ref="Y575">_xlfn.IFERROR(W575*25%,"N/A")</f>
        <v>N/A</v>
      </c>
      <c r="Z575" t="str" s="426" cm="1">
        <f t="array" ref="Z575">IF(B575&gt;0,(SUM(W575:Y575)-(C575/0.9-C575)),"N/A")</f>
        <v>N/A</v>
      </c>
      <c r="AA575" t="str" s="426" cm="1">
        <f t="array" ref="AA575">_xlfn.IFERROR((Z575-Z574),"N/A")</f>
        <v>N/A</v>
      </c>
      <c r="AB575" s="424"/>
      <c r="AC575" t="str" s="426" cm="1">
        <f t="array" ref="AC575">IF(B575=6,AVERAGE(Z559:Z564),"N/A")</f>
        <v>N/A</v>
      </c>
      <c r="AD575" s="424"/>
      <c r="AE575" s="423"/>
      <c r="AF575" s="423"/>
      <c r="AG575" s="423"/>
      <c r="AH575" s="423"/>
      <c r="AI575" s="423"/>
      <c r="AJ575" s="423"/>
      <c r="AK575" s="423"/>
      <c r="AL575" s="423"/>
      <c r="AM575" s="423"/>
      <c r="AN575" s="427"/>
    </row>
    <row r="576" ht="15.5" customHeight="1">
      <c r="A576" s="12"/>
      <c r="B576" s="432" cm="1">
        <f t="array" ref="B576">IF(B575=0,0,IF(B575&lt;VLOOKUP(C556,'Boats Data Sheet 2026'!$C$3:$H$57,6,0),B575+1,0))</f>
        <v>0</v>
      </c>
      <c r="C576" t="str" s="433" cm="1">
        <f t="array" ref="C576">_xlfn.IFERROR(IF(B576&gt;0,IF(VLOOKUP($C$556,'Boats Data Sheet 2026'!$C$3:$J$57,8,0)="N/A",0,VLOOKUP($C$556,'Boats Data Sheet 2026'!$C$3:$J$57,8,0)),"N/A")*85%,"N/A")</f>
        <v>N/A</v>
      </c>
      <c r="D576" t="str" s="433" cm="1">
        <f t="array" ref="D576">IF(B576&gt;7,2,IF(B576=0,"N/A",1))</f>
        <v>N/A</v>
      </c>
      <c r="E576" t="str" s="433" cm="1">
        <f t="array" ref="E576">_xlfn.IFERROR(SUM('Direct Costs 2026'!$C$4:$C$5)*D576,"N/A")</f>
        <v>N/A</v>
      </c>
      <c r="F576" s="434" cm="1">
        <f t="array" ref="F576">_xlfn.IFERROR('Direct Costs 2026'!$C$43*B576,"N/A")</f>
        <v>0</v>
      </c>
      <c r="G576" t="str" s="433" cm="1">
        <f t="array" ref="G576">IF(B576&gt;0,'Direct Costs 2026'!$C$25,"N/A")</f>
        <v>N/A</v>
      </c>
      <c r="H576" s="434">
        <v>0</v>
      </c>
      <c r="I576" s="434">
        <v>0</v>
      </c>
      <c r="J576" s="434">
        <v>0</v>
      </c>
      <c r="K576" s="434">
        <v>0</v>
      </c>
      <c r="L576" t="str" s="433" cm="1">
        <f t="array" ref="L576">IF(B576&gt;0,'Direct Costs 2026'!$C$23,"N/A")</f>
        <v>N/A</v>
      </c>
      <c r="M576" t="str" s="433" cm="1">
        <f t="array" ref="M576">IF(B576&gt;0,'Direct Costs 2026'!$C$45*B576,"N/A")</f>
        <v>N/A</v>
      </c>
      <c r="N576" t="str" s="433" cm="1">
        <f t="array" ref="N576">IF(B576&gt;0,_xlfn.IFERROR(VLOOKUP(C556,'Boats Data Sheet 2026'!$C$3:$I$57,7,0)*'Direct Costs 2026'!$C$36,"N/A"),"N/A")</f>
        <v>N/A</v>
      </c>
      <c r="O576" t="str" s="433" cm="1">
        <f t="array" ref="O576">IF(B576&gt;0,IF(OR(VLOOKUP(C556,'Boats Data Sheet 2026'!$C$3:$F$57,4,0)="Own",VLOOKUP(C556,'Boats Data Sheet 2026'!$C$3:$F$57,4,0)="Management"),('Direct Costs 2026'!$C$37+'Direct Costs 2026'!$C$39),"N/A"),"N/A")</f>
        <v>N/A</v>
      </c>
      <c r="P576" s="434">
        <v>0</v>
      </c>
      <c r="Q576" t="str" s="433" cm="1">
        <f t="array" ref="Q576">_xlfn.IFERROR(C576+SUM(E576:P576),"N/A")</f>
        <v>N/A</v>
      </c>
      <c r="R576" s="435"/>
      <c r="S576" t="str" s="433" cm="1">
        <f t="array" ref="S576">IF(B576&gt;0,'Allocation OH and Target 2026'!$E$31,"N/A")</f>
        <v>N/A</v>
      </c>
      <c r="T576" t="str" s="433" cm="1">
        <f t="array" ref="T576">IF(B576&gt;0,VLOOKUP(C556,'Allocation OH and Target 2026'!$C$35:$S$87,16,0),"N/A")</f>
        <v>N/A</v>
      </c>
      <c r="U576" t="str" s="433" cm="1">
        <f t="array" ref="U576">_xlfn.IFERROR((S576+T576),"N/A")</f>
        <v>N/A</v>
      </c>
      <c r="V576" s="435"/>
      <c r="W576" t="str" s="433" cm="1">
        <f t="array" ref="W576">_xlfn.IFERROR(U576+Q576,"N/A")</f>
        <v>N/A</v>
      </c>
      <c r="X576" t="str" s="433" cm="1">
        <f t="array" ref="X576">_xlfn.IFERROR(W576*0.5%,"N/A")</f>
        <v>N/A</v>
      </c>
      <c r="Y576" t="str" s="433" cm="1">
        <f t="array" ref="Y576">_xlfn.IFERROR(W576*25%,"N/A")</f>
        <v>N/A</v>
      </c>
      <c r="Z576" t="str" s="436" cm="1">
        <f t="array" ref="Z576">IF(B576&gt;0,(SUM(W576:Y576)-(C576/0.9-C576)),"N/A")</f>
        <v>N/A</v>
      </c>
      <c r="AA576" t="str" s="436" cm="1">
        <f t="array" ref="AA576">_xlfn.IFERROR((Z576-Z575),"N/A")</f>
        <v>N/A</v>
      </c>
      <c r="AB576" s="435"/>
      <c r="AC576" t="str" s="436" cm="1">
        <f t="array" ref="AC576">IF(B576=6,AVERAGE(Z559:Z564),"N/A")</f>
        <v>N/A</v>
      </c>
      <c r="AD576" s="435"/>
      <c r="AE576" s="434"/>
      <c r="AF576" s="434"/>
      <c r="AG576" s="434"/>
      <c r="AH576" s="434"/>
      <c r="AI576" s="434"/>
      <c r="AJ576" s="434"/>
      <c r="AK576" s="434"/>
      <c r="AL576" s="434"/>
      <c r="AM576" s="434"/>
      <c r="AN576" s="437"/>
    </row>
    <row r="577" ht="15" customHeight="1">
      <c r="A577" s="32"/>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c r="AH577" s="124"/>
      <c r="AI577" s="124"/>
      <c r="AJ577" s="124"/>
      <c r="AK577" s="124"/>
      <c r="AL577" s="124"/>
      <c r="AM577" s="124"/>
      <c r="AN577" s="313"/>
    </row>
    <row r="578" ht="15" customHeight="1">
      <c r="A578" s="32"/>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c r="AK578" s="35"/>
      <c r="AL578" s="35"/>
      <c r="AM578" s="35"/>
      <c r="AN578" s="442"/>
    </row>
    <row r="579" ht="15.5" customHeight="1">
      <c r="A579" s="395">
        <v>23</v>
      </c>
      <c r="B579" t="s" s="396">
        <v>506</v>
      </c>
      <c r="C579" t="s" s="397">
        <v>205</v>
      </c>
      <c r="D579" s="398"/>
      <c r="E579" t="s" s="397">
        <v>557</v>
      </c>
      <c r="F579" s="398"/>
      <c r="G579" s="398"/>
      <c r="H579" s="398"/>
      <c r="I579" s="398"/>
      <c r="J579" s="398"/>
      <c r="K579" s="398"/>
      <c r="L579" s="398"/>
      <c r="M579" s="398"/>
      <c r="N579" s="398"/>
      <c r="O579" s="398"/>
      <c r="P579" s="398"/>
      <c r="Q579" s="398"/>
      <c r="R579" s="399"/>
      <c r="S579" s="398"/>
      <c r="T579" s="398"/>
      <c r="U579" s="398"/>
      <c r="V579" s="399"/>
      <c r="W579" s="398"/>
      <c r="X579" s="398"/>
      <c r="Y579" s="398"/>
      <c r="Z579" s="398"/>
      <c r="AA579" s="398"/>
      <c r="AB579" s="399"/>
      <c r="AC579" s="398"/>
      <c r="AD579" s="399"/>
      <c r="AE579" t="s" s="397">
        <v>508</v>
      </c>
      <c r="AF579" s="401" cm="1">
        <f t="array" ref="AF579">AVERAGE(Q582:Q587)</f>
        <v>27151500</v>
      </c>
      <c r="AG579" t="s" s="400">
        <v>509</v>
      </c>
      <c r="AH579" s="401" cm="1">
        <f t="array" ref="AH579">AVERAGE(Q588:Q595)-AF579</f>
        <v>1665583.33333333</v>
      </c>
      <c r="AI579" t="s" s="400">
        <v>510</v>
      </c>
      <c r="AJ579" s="401" cm="1">
        <f t="array" ref="AJ579">AVERAGE(Y582:Y589)</f>
        <v>7629346.16442453</v>
      </c>
      <c r="AK579" t="s" s="397">
        <v>511</v>
      </c>
      <c r="AL579" s="401" cm="1">
        <f t="array" ref="AL579">AVERAGE(W582:W587)</f>
        <v>30251947.1576981</v>
      </c>
      <c r="AM579" t="s" s="400">
        <v>512</v>
      </c>
      <c r="AN579" s="402" cm="1">
        <f t="array" ref="AN579">W582</f>
        <v>29861947.1576981</v>
      </c>
    </row>
    <row r="580" ht="15" customHeight="1">
      <c r="A580" s="12"/>
      <c r="B580" s="403"/>
      <c r="C580" t="s" s="404">
        <v>513</v>
      </c>
      <c r="D580" s="405"/>
      <c r="E580" s="405"/>
      <c r="F580" s="405"/>
      <c r="G580" s="405"/>
      <c r="H580" s="405"/>
      <c r="I580" s="405"/>
      <c r="J580" s="405"/>
      <c r="K580" s="405"/>
      <c r="L580" s="405"/>
      <c r="M580" s="405"/>
      <c r="N580" s="405"/>
      <c r="O580" s="405"/>
      <c r="P580" s="405"/>
      <c r="Q580" s="406"/>
      <c r="R580" s="407"/>
      <c r="S580" t="s" s="404">
        <v>514</v>
      </c>
      <c r="T580" s="405"/>
      <c r="U580" s="406"/>
      <c r="V580" s="407"/>
      <c r="W580" t="s" s="404">
        <v>515</v>
      </c>
      <c r="X580" s="405"/>
      <c r="Y580" s="405"/>
      <c r="Z580" s="405"/>
      <c r="AA580" s="405"/>
      <c r="AB580" s="408"/>
      <c r="AC580" s="443"/>
      <c r="AD580" s="410"/>
      <c r="AE580" s="443"/>
      <c r="AF580" s="443"/>
      <c r="AG580" s="443"/>
      <c r="AH580" s="443"/>
      <c r="AI580" s="443"/>
      <c r="AJ580" s="443"/>
      <c r="AK580" s="443"/>
      <c r="AL580" s="414"/>
      <c r="AM580" s="415"/>
      <c r="AN580" s="414"/>
    </row>
    <row r="581" ht="46.25" customHeight="1">
      <c r="A581" s="187"/>
      <c r="B581" t="s" s="416">
        <v>517</v>
      </c>
      <c r="C581" t="s" s="417">
        <v>518</v>
      </c>
      <c r="D581" t="s" s="417">
        <v>519</v>
      </c>
      <c r="E581" t="s" s="417">
        <v>520</v>
      </c>
      <c r="F581" t="s" s="159">
        <v>521</v>
      </c>
      <c r="G581" t="s" s="159">
        <v>522</v>
      </c>
      <c r="H581" t="s" s="159">
        <v>553</v>
      </c>
      <c r="I581" t="s" s="159">
        <v>524</v>
      </c>
      <c r="J581" t="s" s="159">
        <v>525</v>
      </c>
      <c r="K581" t="s" s="159">
        <v>526</v>
      </c>
      <c r="L581" t="s" s="159">
        <v>527</v>
      </c>
      <c r="M581" t="s" s="159">
        <v>528</v>
      </c>
      <c r="N581" t="s" s="159">
        <v>529</v>
      </c>
      <c r="O581" t="s" s="159">
        <v>530</v>
      </c>
      <c r="P581" t="s" s="159">
        <v>531</v>
      </c>
      <c r="Q581" t="s" s="159">
        <v>532</v>
      </c>
      <c r="R581" s="418"/>
      <c r="S581" t="s" s="159">
        <v>533</v>
      </c>
      <c r="T581" t="s" s="159">
        <v>534</v>
      </c>
      <c r="U581" t="s" s="159">
        <v>535</v>
      </c>
      <c r="V581" s="418"/>
      <c r="W581" t="s" s="159">
        <v>536</v>
      </c>
      <c r="X581" t="s" s="159">
        <v>537</v>
      </c>
      <c r="Y581" t="s" s="159">
        <v>538</v>
      </c>
      <c r="Z581" t="s" s="159">
        <v>539</v>
      </c>
      <c r="AA581" t="s" s="159">
        <v>121</v>
      </c>
      <c r="AB581" s="419"/>
      <c r="AC581" t="s" s="159">
        <v>39</v>
      </c>
      <c r="AD581" s="419"/>
      <c r="AE581" s="77"/>
      <c r="AF581" s="77"/>
      <c r="AG581" s="77"/>
      <c r="AH581" s="77"/>
      <c r="AI581" s="77"/>
      <c r="AJ581" s="77"/>
      <c r="AK581" s="77"/>
      <c r="AL581" s="77"/>
      <c r="AM581" s="77"/>
      <c r="AN581" s="78"/>
    </row>
    <row r="582" ht="15" customHeight="1">
      <c r="A582" s="12"/>
      <c r="B582" s="420">
        <v>1</v>
      </c>
      <c r="C582" s="421" cm="1">
        <f t="array" ref="C582">_xlfn.IFERROR(IF(B582&gt;0,IF(VLOOKUP($C$579,'Boats Data Sheet 2026'!$C$3:$J$57,8,0)="N/A",0,VLOOKUP($C$579,'Boats Data Sheet 2026'!$C$3:$J$57,8,0)),"N/A")*85%,"N/A")</f>
        <v>25500000</v>
      </c>
      <c r="D582" s="422" cm="1">
        <f t="array" ref="D582">IF(B582&gt;7,2,IF(B582=0,"N/A",1))</f>
        <v>1</v>
      </c>
      <c r="E582" s="421" cm="1">
        <f t="array" ref="E582">_xlfn.IFERROR(SUM('Direct Costs 2026'!$C$4:$C$5)*D582,"N/A")</f>
        <v>875500</v>
      </c>
      <c r="F582" s="423" cm="1">
        <f t="array" ref="F582">_xlfn.IFERROR('Direct Costs 2026'!$C$43*B582,"N/A")</f>
        <v>6000</v>
      </c>
      <c r="G582" s="423" cm="1">
        <f t="array" ref="G582">IF(B582&gt;0,'Direct Costs 2026'!$C$25,"N/A")</f>
        <v>90000</v>
      </c>
      <c r="H582" s="423">
        <v>0</v>
      </c>
      <c r="I582" s="423">
        <v>0</v>
      </c>
      <c r="J582" s="423">
        <v>0</v>
      </c>
      <c r="K582" s="423">
        <v>0</v>
      </c>
      <c r="L582" s="423" cm="1">
        <f t="array" ref="L582">IF(B582&gt;0,'Direct Costs 2026'!$C$23,"N/A")</f>
        <v>140000</v>
      </c>
      <c r="M582" s="423" cm="1">
        <f t="array" ref="M582">IF(B582&gt;0,'Direct Costs 2026'!$C$45*B582,"N/A")</f>
        <v>150000</v>
      </c>
      <c r="N582" t="str" s="431" cm="1">
        <f t="array" ref="N582">IF(B582&gt;0,_xlfn.IFERROR(VLOOKUP(C579,'Boats Data Sheet 2026'!$C$3:$I$57,7,0)*'Direct Costs 2026'!$C$36,"N/A"),"N/A")</f>
        <v>N/A</v>
      </c>
      <c r="O582" t="str" s="431" cm="1">
        <f t="array" ref="O582">IF(B582&gt;0,IF(OR(VLOOKUP(C579,'Boats Data Sheet 2026'!$C$3:$F$57,4,0)="Own",VLOOKUP(C579,'Boats Data Sheet 2026'!$C$3:$F$57,4,0)="Management"),('Direct Costs 2026'!$C$37+'Direct Costs 2026'!$C$39),"N/A"),"N/A")</f>
        <v>N/A</v>
      </c>
      <c r="P582" s="423">
        <v>0</v>
      </c>
      <c r="Q582" s="423" cm="1">
        <f t="array" ref="Q582">_xlfn.IFERROR(C582+SUM(E582:P582),"N/A")</f>
        <v>26761500</v>
      </c>
      <c r="R582" s="424"/>
      <c r="S582" s="423" cm="1">
        <f t="array" ref="S582">IF(B582&gt;0,'Allocation OH and Target 2026'!$E$31,"N/A")</f>
        <v>3100447.15769812</v>
      </c>
      <c r="T582" s="423" cm="1">
        <f t="array" ref="T582">IF(B582&gt;0,VLOOKUP(C579,'Allocation OH and Target 2026'!$C$35:$S$87,16,0),"N/A")</f>
        <v>0</v>
      </c>
      <c r="U582" s="423" cm="1">
        <f t="array" ref="U582">_xlfn.IFERROR((S582+T582),"N/A")</f>
        <v>3100447.15769812</v>
      </c>
      <c r="V582" s="424"/>
      <c r="W582" s="423" cm="1">
        <f t="array" ref="W582">_xlfn.IFERROR(U582+Q582,"N/A")</f>
        <v>29861947.1576981</v>
      </c>
      <c r="X582" s="423" cm="1">
        <f t="array" ref="X582">_xlfn.IFERROR(W582*0.5%,"N/A")</f>
        <v>149309.735788491</v>
      </c>
      <c r="Y582" s="423" cm="1">
        <f t="array" ref="Y582">_xlfn.IFERROR(W582*25%,"N/A")</f>
        <v>7465486.78942453</v>
      </c>
      <c r="Z582" s="425" cm="1">
        <f t="array" ref="Z582">IF(B582&gt;0,(SUM(W582:Y582)-(C582/0.9-C582)),"N/A")</f>
        <v>34643410.3495778</v>
      </c>
      <c r="AA582" s="425">
        <v>0</v>
      </c>
      <c r="AB582" s="424"/>
      <c r="AC582" t="str" s="426" cm="1">
        <f t="array" ref="AC582">IF(B582=6,AVERAGE(Z582:Z587),"N/A")</f>
        <v>N/A</v>
      </c>
      <c r="AD582" s="424"/>
      <c r="AE582" s="423"/>
      <c r="AF582" s="423"/>
      <c r="AG582" s="423"/>
      <c r="AH582" s="423"/>
      <c r="AI582" s="423"/>
      <c r="AJ582" s="423"/>
      <c r="AK582" s="423"/>
      <c r="AL582" s="423"/>
      <c r="AM582" s="423"/>
      <c r="AN582" s="427"/>
    </row>
    <row r="583" ht="15" customHeight="1">
      <c r="A583" s="12"/>
      <c r="B583" s="428" cm="1">
        <f t="array" ref="B583">IF(B582=0,0,IF(B582&lt;VLOOKUP(C579,'Boats Data Sheet 2026'!$C$3:$H$57,6,0),B582+1,0))</f>
        <v>2</v>
      </c>
      <c r="C583" s="423" cm="1">
        <f t="array" ref="C583">_xlfn.IFERROR(IF(B583&gt;0,IF(VLOOKUP($C$579,'Boats Data Sheet 2026'!$C$3:$J$57,8,0)="N/A",0,VLOOKUP($C$579,'Boats Data Sheet 2026'!$C$3:$J$57,8,0)),"N/A")*85%,"N/A")</f>
        <v>25500000</v>
      </c>
      <c r="D583" s="429" cm="1">
        <f t="array" ref="D583">IF(B583&gt;7,2,IF(B583=0,"N/A",1))</f>
        <v>1</v>
      </c>
      <c r="E583" s="423" cm="1">
        <f t="array" ref="E583">_xlfn.IFERROR(SUM('Direct Costs 2026'!$C$4:$C$5)*D583,"N/A")</f>
        <v>875500</v>
      </c>
      <c r="F583" s="423" cm="1">
        <f t="array" ref="F583">_xlfn.IFERROR('Direct Costs 2026'!$C$43*B583,"N/A")</f>
        <v>12000</v>
      </c>
      <c r="G583" s="423" cm="1">
        <f t="array" ref="G583">IF(B583&gt;0,'Direct Costs 2026'!$C$25,"N/A")</f>
        <v>90000</v>
      </c>
      <c r="H583" s="423">
        <v>0</v>
      </c>
      <c r="I583" s="423">
        <v>0</v>
      </c>
      <c r="J583" s="423">
        <v>0</v>
      </c>
      <c r="K583" s="423">
        <v>0</v>
      </c>
      <c r="L583" s="423" cm="1">
        <f t="array" ref="L583">IF(B583&gt;0,'Direct Costs 2026'!$C$23,"N/A")</f>
        <v>140000</v>
      </c>
      <c r="M583" s="423" cm="1">
        <f t="array" ref="M583">IF(B583&gt;0,'Direct Costs 2026'!$C$45*B583,"N/A")</f>
        <v>300000</v>
      </c>
      <c r="N583" t="str" s="431" cm="1">
        <f t="array" ref="N583">IF(B583&gt;0,_xlfn.IFERROR(VLOOKUP(C579,'Boats Data Sheet 2026'!$C$3:$I$57,7,0)*'Direct Costs 2026'!$C$36,"N/A"),"N/A")</f>
        <v>N/A</v>
      </c>
      <c r="O583" t="str" s="431" cm="1">
        <f t="array" ref="O583">IF(B583&gt;0,IF(OR(VLOOKUP(C579,'Boats Data Sheet 2026'!$C$3:$F$57,4,0)="Own",VLOOKUP(C579,'Boats Data Sheet 2026'!$C$3:$F$57,4,0)="Management"),('Direct Costs 2026'!$C$37+'Direct Costs 2026'!$C$39),"N/A"),"N/A")</f>
        <v>N/A</v>
      </c>
      <c r="P583" s="423">
        <v>0</v>
      </c>
      <c r="Q583" s="423" cm="1">
        <f t="array" ref="Q583">_xlfn.IFERROR(C583+SUM(E583:P583),"N/A")</f>
        <v>26917500</v>
      </c>
      <c r="R583" s="424"/>
      <c r="S583" s="423" cm="1">
        <f t="array" ref="S583">IF(B583&gt;0,'Allocation OH and Target 2026'!$E$31,"N/A")</f>
        <v>3100447.15769812</v>
      </c>
      <c r="T583" s="423" cm="1">
        <f t="array" ref="T583">IF(B583&gt;0,VLOOKUP(C579,'Allocation OH and Target 2026'!$C$35:$S$87,16,0),"N/A")</f>
        <v>0</v>
      </c>
      <c r="U583" s="423" cm="1">
        <f t="array" ref="U583">_xlfn.IFERROR((S583+T583),"N/A")</f>
        <v>3100447.15769812</v>
      </c>
      <c r="V583" s="424"/>
      <c r="W583" s="423" cm="1">
        <f t="array" ref="W583">_xlfn.IFERROR(U583+Q583,"N/A")</f>
        <v>30017947.1576981</v>
      </c>
      <c r="X583" s="423" cm="1">
        <f t="array" ref="X583">_xlfn.IFERROR(W583*0.5%,"N/A")</f>
        <v>150089.735788491</v>
      </c>
      <c r="Y583" s="423" cm="1">
        <f t="array" ref="Y583">_xlfn.IFERROR(W583*25%,"N/A")</f>
        <v>7504486.78942453</v>
      </c>
      <c r="Z583" s="425" cm="1">
        <f t="array" ref="Z583">IF(B583&gt;0,(SUM(W583:Y583)-(C583/0.9-C583)),"N/A")</f>
        <v>34839190.3495778</v>
      </c>
      <c r="AA583" s="425" cm="1">
        <f t="array" ref="AA583">_xlfn.IFERROR((Z583-Z582),"N/A")</f>
        <v>195780</v>
      </c>
      <c r="AB583" s="424"/>
      <c r="AC583" t="str" s="426" cm="1">
        <f t="array" ref="AC583">IF(B583=6,AVERAGE(Z582:Z587),"N/A")</f>
        <v>N/A</v>
      </c>
      <c r="AD583" s="424"/>
      <c r="AE583" s="423"/>
      <c r="AF583" s="423"/>
      <c r="AG583" s="423"/>
      <c r="AH583" s="423"/>
      <c r="AI583" s="423"/>
      <c r="AJ583" s="423"/>
      <c r="AK583" s="423"/>
      <c r="AL583" s="423"/>
      <c r="AM583" s="423"/>
      <c r="AN583" s="427"/>
    </row>
    <row r="584" ht="15" customHeight="1">
      <c r="A584" s="12"/>
      <c r="B584" s="428" cm="1">
        <f t="array" ref="B584">IF(B583=0,0,IF(B583&lt;VLOOKUP(C579,'Boats Data Sheet 2026'!$C$3:$H$57,6,0),B583+1,0))</f>
        <v>3</v>
      </c>
      <c r="C584" s="423" cm="1">
        <f t="array" ref="C584">_xlfn.IFERROR(IF(B584&gt;0,IF(VLOOKUP($C$579,'Boats Data Sheet 2026'!$C$3:$J$57,8,0)="N/A",0,VLOOKUP($C$579,'Boats Data Sheet 2026'!$C$3:$J$57,8,0)),"N/A")*85%,"N/A")</f>
        <v>25500000</v>
      </c>
      <c r="D584" s="429" cm="1">
        <f t="array" ref="D584">IF(B584&gt;7,2,IF(B584=0,"N/A",1))</f>
        <v>1</v>
      </c>
      <c r="E584" s="423" cm="1">
        <f t="array" ref="E584">_xlfn.IFERROR(SUM('Direct Costs 2026'!$C$4:$C$5)*D584,"N/A")</f>
        <v>875500</v>
      </c>
      <c r="F584" s="423" cm="1">
        <f t="array" ref="F584">_xlfn.IFERROR('Direct Costs 2026'!$C$43*B584,"N/A")</f>
        <v>18000</v>
      </c>
      <c r="G584" s="423" cm="1">
        <f t="array" ref="G584">IF(B584&gt;0,'Direct Costs 2026'!$C$25,"N/A")</f>
        <v>90000</v>
      </c>
      <c r="H584" s="423">
        <v>0</v>
      </c>
      <c r="I584" s="423">
        <v>0</v>
      </c>
      <c r="J584" s="423">
        <v>0</v>
      </c>
      <c r="K584" s="423">
        <v>0</v>
      </c>
      <c r="L584" s="423" cm="1">
        <f t="array" ref="L584">IF(B584&gt;0,'Direct Costs 2026'!$C$23,"N/A")</f>
        <v>140000</v>
      </c>
      <c r="M584" s="423" cm="1">
        <f t="array" ref="M584">IF(B584&gt;0,'Direct Costs 2026'!$C$45*B584,"N/A")</f>
        <v>450000</v>
      </c>
      <c r="N584" t="str" s="431" cm="1">
        <f t="array" ref="N584">IF(B584&gt;0,_xlfn.IFERROR(VLOOKUP(C579,'Boats Data Sheet 2026'!$C$3:$I$57,7,0)*'Direct Costs 2026'!$C$36,"N/A"),"N/A")</f>
        <v>N/A</v>
      </c>
      <c r="O584" t="str" s="431" cm="1">
        <f t="array" ref="O584">IF(B584&gt;0,IF(OR(VLOOKUP(C579,'Boats Data Sheet 2026'!$C$3:$F$57,4,0)="Own",VLOOKUP(C579,'Boats Data Sheet 2026'!$C$3:$F$57,4,0)="Management"),('Direct Costs 2026'!$C$37+'Direct Costs 2026'!$C$39),"N/A"),"N/A")</f>
        <v>N/A</v>
      </c>
      <c r="P584" s="423">
        <v>0</v>
      </c>
      <c r="Q584" s="423" cm="1">
        <f t="array" ref="Q584">_xlfn.IFERROR(C584+SUM(E584:P584),"N/A")</f>
        <v>27073500</v>
      </c>
      <c r="R584" s="424"/>
      <c r="S584" s="423" cm="1">
        <f t="array" ref="S584">IF(B584&gt;0,'Allocation OH and Target 2026'!$E$31,"N/A")</f>
        <v>3100447.15769812</v>
      </c>
      <c r="T584" s="423" cm="1">
        <f t="array" ref="T584">IF(B584&gt;0,VLOOKUP(C579,'Allocation OH and Target 2026'!$C$35:$S$87,16,0),"N/A")</f>
        <v>0</v>
      </c>
      <c r="U584" s="423" cm="1">
        <f t="array" ref="U584">_xlfn.IFERROR((S584+T584),"N/A")</f>
        <v>3100447.15769812</v>
      </c>
      <c r="V584" s="424"/>
      <c r="W584" s="423" cm="1">
        <f t="array" ref="W584">_xlfn.IFERROR(U584+Q584,"N/A")</f>
        <v>30173947.1576981</v>
      </c>
      <c r="X584" s="423" cm="1">
        <f t="array" ref="X584">_xlfn.IFERROR(W584*0.5%,"N/A")</f>
        <v>150869.735788491</v>
      </c>
      <c r="Y584" s="423" cm="1">
        <f t="array" ref="Y584">_xlfn.IFERROR(W584*25%,"N/A")</f>
        <v>7543486.78942453</v>
      </c>
      <c r="Z584" s="425" cm="1">
        <f t="array" ref="Z584">IF(B584&gt;0,(SUM(W584:Y584)-(C584/0.9-C584)),"N/A")</f>
        <v>35034970.3495778</v>
      </c>
      <c r="AA584" s="425" cm="1">
        <f t="array" ref="AA584">_xlfn.IFERROR((Z584-Z583),"N/A")</f>
        <v>195780</v>
      </c>
      <c r="AB584" s="424"/>
      <c r="AC584" t="str" s="426" cm="1">
        <f t="array" ref="AC584">IF(B584=6,AVERAGE(Z582:Z587),"N/A")</f>
        <v>N/A</v>
      </c>
      <c r="AD584" s="424"/>
      <c r="AE584" s="423"/>
      <c r="AF584" s="423"/>
      <c r="AG584" s="423"/>
      <c r="AH584" s="423"/>
      <c r="AI584" s="423"/>
      <c r="AJ584" s="423"/>
      <c r="AK584" s="423"/>
      <c r="AL584" s="423"/>
      <c r="AM584" s="423"/>
      <c r="AN584" s="427"/>
    </row>
    <row r="585" ht="15" customHeight="1">
      <c r="A585" s="12"/>
      <c r="B585" s="428" cm="1">
        <f t="array" ref="B585">IF(B584=0,0,IF(B584&lt;VLOOKUP(C579,'Boats Data Sheet 2026'!$C$3:$H$57,6,0),B584+1,0))</f>
        <v>4</v>
      </c>
      <c r="C585" s="423" cm="1">
        <f t="array" ref="C585">_xlfn.IFERROR(IF(B585&gt;0,IF(VLOOKUP($C$579,'Boats Data Sheet 2026'!$C$3:$J$57,8,0)="N/A",0,VLOOKUP($C$579,'Boats Data Sheet 2026'!$C$3:$J$57,8,0)),"N/A")*85%,"N/A")</f>
        <v>25500000</v>
      </c>
      <c r="D585" s="429" cm="1">
        <f t="array" ref="D585">IF(B585&gt;7,2,IF(B585=0,"N/A",1))</f>
        <v>1</v>
      </c>
      <c r="E585" s="423" cm="1">
        <f t="array" ref="E585">_xlfn.IFERROR(SUM('Direct Costs 2026'!$C$4:$C$5)*D585,"N/A")</f>
        <v>875500</v>
      </c>
      <c r="F585" s="423" cm="1">
        <f t="array" ref="F585">_xlfn.IFERROR('Direct Costs 2026'!$C$43*B585,"N/A")</f>
        <v>24000</v>
      </c>
      <c r="G585" s="423" cm="1">
        <f t="array" ref="G585">IF(B585&gt;0,'Direct Costs 2026'!$C$25,"N/A")</f>
        <v>90000</v>
      </c>
      <c r="H585" s="423">
        <v>0</v>
      </c>
      <c r="I585" s="423">
        <v>0</v>
      </c>
      <c r="J585" s="423">
        <v>0</v>
      </c>
      <c r="K585" s="423">
        <v>0</v>
      </c>
      <c r="L585" s="423" cm="1">
        <f t="array" ref="L585">IF(B585&gt;0,'Direct Costs 2026'!$C$23,"N/A")</f>
        <v>140000</v>
      </c>
      <c r="M585" s="423" cm="1">
        <f t="array" ref="M585">IF(B585&gt;0,'Direct Costs 2026'!$C$45*B585,"N/A")</f>
        <v>600000</v>
      </c>
      <c r="N585" t="str" s="431" cm="1">
        <f t="array" ref="N585">IF(B585&gt;0,_xlfn.IFERROR(VLOOKUP(C579,'Boats Data Sheet 2026'!$C$3:$I$57,7,0)*'Direct Costs 2026'!$C$36,"N/A"),"N/A")</f>
        <v>N/A</v>
      </c>
      <c r="O585" t="str" s="431" cm="1">
        <f t="array" ref="O585">IF(B585&gt;0,IF(OR(VLOOKUP(C579,'Boats Data Sheet 2026'!$C$3:$F$57,4,0)="Own",VLOOKUP(C579,'Boats Data Sheet 2026'!$C$3:$F$57,4,0)="Management"),('Direct Costs 2026'!$C$37+'Direct Costs 2026'!$C$39),"N/A"),"N/A")</f>
        <v>N/A</v>
      </c>
      <c r="P585" s="423">
        <v>0</v>
      </c>
      <c r="Q585" s="423" cm="1">
        <f t="array" ref="Q585">_xlfn.IFERROR(C585+SUM(E585:P585),"N/A")</f>
        <v>27229500</v>
      </c>
      <c r="R585" s="424"/>
      <c r="S585" s="423" cm="1">
        <f t="array" ref="S585">IF(B585&gt;0,'Allocation OH and Target 2026'!$E$31,"N/A")</f>
        <v>3100447.15769812</v>
      </c>
      <c r="T585" s="423" cm="1">
        <f t="array" ref="T585">IF(B585&gt;0,VLOOKUP(C579,'Allocation OH and Target 2026'!$C$35:$S$87,16,0),"N/A")</f>
        <v>0</v>
      </c>
      <c r="U585" s="423" cm="1">
        <f t="array" ref="U585">_xlfn.IFERROR((S585+T585),"N/A")</f>
        <v>3100447.15769812</v>
      </c>
      <c r="V585" s="424"/>
      <c r="W585" s="423" cm="1">
        <f t="array" ref="W585">_xlfn.IFERROR(U585+Q585,"N/A")</f>
        <v>30329947.1576981</v>
      </c>
      <c r="X585" s="423" cm="1">
        <f t="array" ref="X585">_xlfn.IFERROR(W585*0.5%,"N/A")</f>
        <v>151649.735788491</v>
      </c>
      <c r="Y585" s="423" cm="1">
        <f t="array" ref="Y585">_xlfn.IFERROR(W585*25%,"N/A")</f>
        <v>7582486.78942453</v>
      </c>
      <c r="Z585" s="425" cm="1">
        <f t="array" ref="Z585">IF(B585&gt;0,(SUM(W585:Y585)-(C585/0.9-C585)),"N/A")</f>
        <v>35230750.3495778</v>
      </c>
      <c r="AA585" s="425" cm="1">
        <f t="array" ref="AA585">_xlfn.IFERROR((Z585-Z584),"N/A")</f>
        <v>195780</v>
      </c>
      <c r="AB585" s="424"/>
      <c r="AC585" t="str" s="426" cm="1">
        <f t="array" ref="AC585">IF(B585=6,AVERAGE(Z582:Z587),"N/A")</f>
        <v>N/A</v>
      </c>
      <c r="AD585" s="424"/>
      <c r="AE585" s="423"/>
      <c r="AF585" s="423"/>
      <c r="AG585" s="423"/>
      <c r="AH585" s="423"/>
      <c r="AI585" s="423"/>
      <c r="AJ585" s="423"/>
      <c r="AK585" s="423"/>
      <c r="AL585" s="423"/>
      <c r="AM585" s="423"/>
      <c r="AN585" s="427"/>
    </row>
    <row r="586" ht="15" customHeight="1">
      <c r="A586" s="12"/>
      <c r="B586" s="428" cm="1">
        <f t="array" ref="B586">IF(B585=0,0,IF(B585&lt;VLOOKUP(C579,'Boats Data Sheet 2026'!$C$3:$H$57,6,0),B585+1,0))</f>
        <v>5</v>
      </c>
      <c r="C586" s="423" cm="1">
        <f t="array" ref="C586">_xlfn.IFERROR(IF(B586&gt;0,IF(VLOOKUP($C$579,'Boats Data Sheet 2026'!$C$3:$J$57,8,0)="N/A",0,VLOOKUP($C$579,'Boats Data Sheet 2026'!$C$3:$J$57,8,0)),"N/A")*85%,"N/A")</f>
        <v>25500000</v>
      </c>
      <c r="D586" s="429" cm="1">
        <f t="array" ref="D586">IF(B586&gt;7,2,IF(B586=0,"N/A",1))</f>
        <v>1</v>
      </c>
      <c r="E586" s="423" cm="1">
        <f t="array" ref="E586">_xlfn.IFERROR(SUM('Direct Costs 2026'!$C$4:$C$5)*D586,"N/A")</f>
        <v>875500</v>
      </c>
      <c r="F586" s="423" cm="1">
        <f t="array" ref="F586">_xlfn.IFERROR('Direct Costs 2026'!$C$43*B586,"N/A")</f>
        <v>30000</v>
      </c>
      <c r="G586" s="423" cm="1">
        <f t="array" ref="G586">IF(B586&gt;0,'Direct Costs 2026'!$C$25,"N/A")</f>
        <v>90000</v>
      </c>
      <c r="H586" s="423">
        <v>0</v>
      </c>
      <c r="I586" s="423">
        <v>0</v>
      </c>
      <c r="J586" s="423">
        <v>0</v>
      </c>
      <c r="K586" s="423">
        <v>0</v>
      </c>
      <c r="L586" s="423" cm="1">
        <f t="array" ref="L586">IF(B586&gt;0,'Direct Costs 2026'!$C$23,"N/A")</f>
        <v>140000</v>
      </c>
      <c r="M586" s="423" cm="1">
        <f t="array" ref="M586">IF(B586&gt;0,'Direct Costs 2026'!$C$45*B586,"N/A")</f>
        <v>750000</v>
      </c>
      <c r="N586" t="str" s="431" cm="1">
        <f t="array" ref="N586">IF(B586&gt;0,_xlfn.IFERROR(VLOOKUP(C579,'Boats Data Sheet 2026'!$C$3:$I$57,7,0)*'Direct Costs 2026'!$C$36,"N/A"),"N/A")</f>
        <v>N/A</v>
      </c>
      <c r="O586" t="str" s="431" cm="1">
        <f t="array" ref="O586">IF(B586&gt;0,IF(OR(VLOOKUP(C579,'Boats Data Sheet 2026'!$C$3:$F$57,4,0)="Own",VLOOKUP(C579,'Boats Data Sheet 2026'!$C$3:$F$57,4,0)="Management"),('Direct Costs 2026'!$C$37+'Direct Costs 2026'!$C$39),"N/A"),"N/A")</f>
        <v>N/A</v>
      </c>
      <c r="P586" s="423">
        <v>0</v>
      </c>
      <c r="Q586" s="423" cm="1">
        <f t="array" ref="Q586">_xlfn.IFERROR(C586+SUM(E586:P586),"N/A")</f>
        <v>27385500</v>
      </c>
      <c r="R586" s="424"/>
      <c r="S586" s="423" cm="1">
        <f t="array" ref="S586">IF(B586&gt;0,'Allocation OH and Target 2026'!$E$31,"N/A")</f>
        <v>3100447.15769812</v>
      </c>
      <c r="T586" s="423" cm="1">
        <f t="array" ref="T586">IF(B586&gt;0,VLOOKUP(C579,'Allocation OH and Target 2026'!$C$35:$S$87,16,0),"N/A")</f>
        <v>0</v>
      </c>
      <c r="U586" s="423" cm="1">
        <f t="array" ref="U586">_xlfn.IFERROR((S586+T586),"N/A")</f>
        <v>3100447.15769812</v>
      </c>
      <c r="V586" s="424"/>
      <c r="W586" s="423" cm="1">
        <f t="array" ref="W586">_xlfn.IFERROR(U586+Q586,"N/A")</f>
        <v>30485947.1576981</v>
      </c>
      <c r="X586" s="423" cm="1">
        <f t="array" ref="X586">_xlfn.IFERROR(W586*0.5%,"N/A")</f>
        <v>152429.735788491</v>
      </c>
      <c r="Y586" s="423" cm="1">
        <f t="array" ref="Y586">_xlfn.IFERROR(W586*25%,"N/A")</f>
        <v>7621486.78942453</v>
      </c>
      <c r="Z586" s="425" cm="1">
        <f t="array" ref="Z586">IF(B586&gt;0,(SUM(W586:Y586)-(C586/0.9-C586)),"N/A")</f>
        <v>35426530.3495778</v>
      </c>
      <c r="AA586" s="425" cm="1">
        <f t="array" ref="AA586">_xlfn.IFERROR((Z586-Z585),"N/A")</f>
        <v>195780</v>
      </c>
      <c r="AB586" s="424"/>
      <c r="AC586" t="str" s="426" cm="1">
        <f t="array" ref="AC586">IF(B586=6,AVERAGE(Z582:Z587),"N/A")</f>
        <v>N/A</v>
      </c>
      <c r="AD586" s="424"/>
      <c r="AE586" s="423"/>
      <c r="AF586" s="423"/>
      <c r="AG586" s="423"/>
      <c r="AH586" s="423"/>
      <c r="AI586" s="423"/>
      <c r="AJ586" s="423"/>
      <c r="AK586" s="423"/>
      <c r="AL586" s="423"/>
      <c r="AM586" s="423"/>
      <c r="AN586" s="427"/>
    </row>
    <row r="587" ht="15" customHeight="1">
      <c r="A587" s="12"/>
      <c r="B587" s="428" cm="1">
        <f t="array" ref="B587">IF(B586=0,0,IF(B586&lt;VLOOKUP(C579,'Boats Data Sheet 2026'!$C$3:$H$57,6,0),B586+1,0))</f>
        <v>6</v>
      </c>
      <c r="C587" s="423" cm="1">
        <f t="array" ref="C587">_xlfn.IFERROR(IF(B587&gt;0,IF(VLOOKUP($C$579,'Boats Data Sheet 2026'!$C$3:$J$57,8,0)="N/A",0,VLOOKUP($C$579,'Boats Data Sheet 2026'!$C$3:$J$57,8,0)),"N/A")*85%,"N/A")</f>
        <v>25500000</v>
      </c>
      <c r="D587" s="429" cm="1">
        <f t="array" ref="D587">IF(B587&gt;7,2,IF(B587=0,"N/A",1))</f>
        <v>1</v>
      </c>
      <c r="E587" s="423" cm="1">
        <f t="array" ref="E587">_xlfn.IFERROR(SUM('Direct Costs 2026'!$C$4:$C$5)*D587,"N/A")</f>
        <v>875500</v>
      </c>
      <c r="F587" s="423" cm="1">
        <f t="array" ref="F587">_xlfn.IFERROR('Direct Costs 2026'!$C$43*B587,"N/A")</f>
        <v>36000</v>
      </c>
      <c r="G587" s="423" cm="1">
        <f t="array" ref="G587">IF(B587&gt;0,'Direct Costs 2026'!$C$25,"N/A")</f>
        <v>90000</v>
      </c>
      <c r="H587" s="423">
        <v>0</v>
      </c>
      <c r="I587" s="423">
        <v>0</v>
      </c>
      <c r="J587" s="423">
        <v>0</v>
      </c>
      <c r="K587" s="423">
        <v>0</v>
      </c>
      <c r="L587" s="423" cm="1">
        <f t="array" ref="L587">IF(B587&gt;0,'Direct Costs 2026'!$C$23,"N/A")</f>
        <v>140000</v>
      </c>
      <c r="M587" s="423" cm="1">
        <f t="array" ref="M587">IF(B587&gt;0,'Direct Costs 2026'!$C$45*B587,"N/A")</f>
        <v>900000</v>
      </c>
      <c r="N587" t="str" s="431" cm="1">
        <f t="array" ref="N587">IF(B587&gt;0,_xlfn.IFERROR(VLOOKUP(C579,'Boats Data Sheet 2026'!$C$3:$I$57,7,0)*'Direct Costs 2026'!$C$36,"N/A"),"N/A")</f>
        <v>N/A</v>
      </c>
      <c r="O587" t="str" s="431" cm="1">
        <f t="array" ref="O587">IF(B587&gt;0,IF(OR(VLOOKUP(C579,'Boats Data Sheet 2026'!$C$3:$F$57,4,0)="Own",VLOOKUP(C579,'Boats Data Sheet 2026'!$C$3:$F$57,4,0)="Management"),('Direct Costs 2026'!$C$37+'Direct Costs 2026'!$C$39),"N/A"),"N/A")</f>
        <v>N/A</v>
      </c>
      <c r="P587" s="423">
        <v>0</v>
      </c>
      <c r="Q587" s="423" cm="1">
        <f t="array" ref="Q587">_xlfn.IFERROR(C587+SUM(E587:P587),"N/A")</f>
        <v>27541500</v>
      </c>
      <c r="R587" s="424"/>
      <c r="S587" s="423" cm="1">
        <f t="array" ref="S587">IF(B587&gt;0,'Allocation OH and Target 2026'!$E$31,"N/A")</f>
        <v>3100447.15769812</v>
      </c>
      <c r="T587" s="423" cm="1">
        <f t="array" ref="T587">IF(B587&gt;0,VLOOKUP(C579,'Allocation OH and Target 2026'!$C$35:$S$87,16,0),"N/A")</f>
        <v>0</v>
      </c>
      <c r="U587" s="423" cm="1">
        <f t="array" ref="U587">_xlfn.IFERROR((S587+T587),"N/A")</f>
        <v>3100447.15769812</v>
      </c>
      <c r="V587" s="424"/>
      <c r="W587" s="423" cm="1">
        <f t="array" ref="W587">_xlfn.IFERROR(U587+Q587,"N/A")</f>
        <v>30641947.1576981</v>
      </c>
      <c r="X587" s="423" cm="1">
        <f t="array" ref="X587">_xlfn.IFERROR(W587*0.5%,"N/A")</f>
        <v>153209.735788491</v>
      </c>
      <c r="Y587" s="423" cm="1">
        <f t="array" ref="Y587">_xlfn.IFERROR(W587*25%,"N/A")</f>
        <v>7660486.78942453</v>
      </c>
      <c r="Z587" s="425" cm="1">
        <f t="array" ref="Z587">IF(B587&gt;0,(SUM(W587:Y587)-(C587/0.9-C587)),"N/A")</f>
        <v>35622310.3495778</v>
      </c>
      <c r="AA587" s="425" cm="1">
        <f t="array" ref="AA587">_xlfn.IFERROR((Z587-Z586),"N/A")</f>
        <v>195780</v>
      </c>
      <c r="AB587" s="424"/>
      <c r="AC587" s="425" cm="1">
        <f t="array" ref="AC587">IF(B587=6,AVERAGE(Z582:Z587),"N/A")</f>
        <v>35132860.3495778</v>
      </c>
      <c r="AD587" s="424"/>
      <c r="AE587" s="423"/>
      <c r="AF587" s="423"/>
      <c r="AG587" s="423"/>
      <c r="AH587" s="423"/>
      <c r="AI587" s="423"/>
      <c r="AJ587" s="423"/>
      <c r="AK587" s="423"/>
      <c r="AL587" s="423"/>
      <c r="AM587" s="423"/>
      <c r="AN587" s="427"/>
    </row>
    <row r="588" ht="15" customHeight="1">
      <c r="A588" s="12"/>
      <c r="B588" s="428" cm="1">
        <f t="array" ref="B588">IF(B587=0,0,IF(B587&lt;VLOOKUP(C579,'Boats Data Sheet 2026'!$C$3:$H$57,6,0),B587+1,0))</f>
        <v>7</v>
      </c>
      <c r="C588" s="423" cm="1">
        <f t="array" ref="C588">_xlfn.IFERROR(IF(B588&gt;0,IF(VLOOKUP($C$579,'Boats Data Sheet 2026'!$C$3:$J$57,8,0)="N/A",0,VLOOKUP($C$579,'Boats Data Sheet 2026'!$C$3:$J$57,8,0)),"N/A")*85%,"N/A")</f>
        <v>25500000</v>
      </c>
      <c r="D588" s="429" cm="1">
        <f t="array" ref="D588">IF(B588&gt;7,2,IF(B588=0,"N/A",1))</f>
        <v>1</v>
      </c>
      <c r="E588" s="423" cm="1">
        <f t="array" ref="E588">_xlfn.IFERROR(SUM('Direct Costs 2026'!$C$4:$C$5)*D588,"N/A")</f>
        <v>875500</v>
      </c>
      <c r="F588" s="423" cm="1">
        <f t="array" ref="F588">_xlfn.IFERROR('Direct Costs 2026'!$C$43*B588,"N/A")</f>
        <v>42000</v>
      </c>
      <c r="G588" s="423" cm="1">
        <f t="array" ref="G588">IF(B588&gt;0,'Direct Costs 2026'!$C$25,"N/A")</f>
        <v>90000</v>
      </c>
      <c r="H588" s="423">
        <v>0</v>
      </c>
      <c r="I588" s="423">
        <v>0</v>
      </c>
      <c r="J588" s="423">
        <v>0</v>
      </c>
      <c r="K588" s="423">
        <v>0</v>
      </c>
      <c r="L588" s="423" cm="1">
        <f t="array" ref="L588">IF(B588&gt;0,'Direct Costs 2026'!$C$23,"N/A")</f>
        <v>140000</v>
      </c>
      <c r="M588" s="423" cm="1">
        <f t="array" ref="M588">IF(B588&gt;0,'Direct Costs 2026'!$C$45*B588,"N/A")</f>
        <v>1050000</v>
      </c>
      <c r="N588" t="str" s="431" cm="1">
        <f t="array" ref="N588">IF(B588&gt;0,_xlfn.IFERROR(VLOOKUP(C579,'Boats Data Sheet 2026'!$C$3:$I$57,7,0)*'Direct Costs 2026'!$C$36,"N/A"),"N/A")</f>
        <v>N/A</v>
      </c>
      <c r="O588" t="str" s="431" cm="1">
        <f t="array" ref="O588">IF(B588&gt;0,IF(OR(VLOOKUP(C579,'Boats Data Sheet 2026'!$C$3:$F$57,4,0)="Own",VLOOKUP(C579,'Boats Data Sheet 2026'!$C$3:$F$57,4,0)="Management"),('Direct Costs 2026'!$C$37+'Direct Costs 2026'!$C$39),"N/A"),"N/A")</f>
        <v>N/A</v>
      </c>
      <c r="P588" s="423">
        <v>0</v>
      </c>
      <c r="Q588" s="423" cm="1">
        <f t="array" ref="Q588">_xlfn.IFERROR(C588+SUM(E588:P588),"N/A")</f>
        <v>27697500</v>
      </c>
      <c r="R588" s="424"/>
      <c r="S588" s="423" cm="1">
        <f t="array" ref="S588">IF(B588&gt;0,'Allocation OH and Target 2026'!$E$31,"N/A")</f>
        <v>3100447.15769812</v>
      </c>
      <c r="T588" s="423" cm="1">
        <f t="array" ref="T588">IF(B588&gt;0,VLOOKUP(C579,'Allocation OH and Target 2026'!$C$35:$S$87,16,0),"N/A")</f>
        <v>0</v>
      </c>
      <c r="U588" s="423" cm="1">
        <f t="array" ref="U588">_xlfn.IFERROR((S588+T588),"N/A")</f>
        <v>3100447.15769812</v>
      </c>
      <c r="V588" s="424"/>
      <c r="W588" s="423" cm="1">
        <f t="array" ref="W588">_xlfn.IFERROR(U588+Q588,"N/A")</f>
        <v>30797947.1576981</v>
      </c>
      <c r="X588" s="423" cm="1">
        <f t="array" ref="X588">_xlfn.IFERROR(W588*0.5%,"N/A")</f>
        <v>153989.735788491</v>
      </c>
      <c r="Y588" s="423" cm="1">
        <f t="array" ref="Y588">_xlfn.IFERROR(W588*25%,"N/A")</f>
        <v>7699486.78942453</v>
      </c>
      <c r="Z588" s="425" cm="1">
        <f t="array" ref="Z588">IF(B588&gt;0,(SUM(W588:Y588)-(C588/0.9-C588)),"N/A")</f>
        <v>35818090.3495778</v>
      </c>
      <c r="AA588" s="425" cm="1">
        <f t="array" ref="AA588">_xlfn.IFERROR((Z588-Z587),"N/A")</f>
        <v>195780</v>
      </c>
      <c r="AB588" s="424"/>
      <c r="AC588" t="str" s="426" cm="1">
        <f t="array" ref="AC588">IF(B588=6,AVERAGE(Z582:Z587),"N/A")</f>
        <v>N/A</v>
      </c>
      <c r="AD588" s="424"/>
      <c r="AE588" s="423"/>
      <c r="AF588" s="423"/>
      <c r="AG588" s="423"/>
      <c r="AH588" s="423"/>
      <c r="AI588" s="423"/>
      <c r="AJ588" s="423"/>
      <c r="AK588" s="423"/>
      <c r="AL588" s="423"/>
      <c r="AM588" s="423"/>
      <c r="AN588" s="427"/>
    </row>
    <row r="589" ht="15" customHeight="1">
      <c r="A589" s="12"/>
      <c r="B589" s="428" cm="1">
        <f t="array" ref="B589">IF(B588=0,0,IF(B588&lt;VLOOKUP(C579,'Boats Data Sheet 2026'!$C$3:$H$57,6,0),B588+1,0))</f>
        <v>8</v>
      </c>
      <c r="C589" s="423" cm="1">
        <f t="array" ref="C589">_xlfn.IFERROR(IF(B589&gt;0,IF(VLOOKUP($C$579,'Boats Data Sheet 2026'!$C$3:$J$57,8,0)="N/A",0,VLOOKUP($C$579,'Boats Data Sheet 2026'!$C$3:$J$57,8,0)),"N/A")*85%,"N/A")</f>
        <v>25500000</v>
      </c>
      <c r="D589" s="429" cm="1">
        <f t="array" ref="D589">IF(B589&gt;7,2,IF(B589=0,"N/A",1))</f>
        <v>2</v>
      </c>
      <c r="E589" s="423" cm="1">
        <f t="array" ref="E589">_xlfn.IFERROR(SUM('Direct Costs 2026'!$C$4:$C$5)*D589,"N/A")</f>
        <v>1751000</v>
      </c>
      <c r="F589" s="423" cm="1">
        <f t="array" ref="F589">_xlfn.IFERROR('Direct Costs 2026'!$C$43*B589,"N/A")</f>
        <v>48000</v>
      </c>
      <c r="G589" s="423" cm="1">
        <f t="array" ref="G589">IF(B589&gt;0,'Direct Costs 2026'!$C$25,"N/A")</f>
        <v>90000</v>
      </c>
      <c r="H589" s="423">
        <v>0</v>
      </c>
      <c r="I589" s="423">
        <v>0</v>
      </c>
      <c r="J589" s="423">
        <v>0</v>
      </c>
      <c r="K589" s="423">
        <v>0</v>
      </c>
      <c r="L589" s="423" cm="1">
        <f t="array" ref="L589">IF(B589&gt;0,'Direct Costs 2026'!$C$23,"N/A")</f>
        <v>140000</v>
      </c>
      <c r="M589" s="423" cm="1">
        <f t="array" ref="M589">IF(B589&gt;0,'Direct Costs 2026'!$C$45*B589,"N/A")</f>
        <v>1200000</v>
      </c>
      <c r="N589" t="str" s="431" cm="1">
        <f t="array" ref="N589">IF(B589&gt;0,_xlfn.IFERROR(VLOOKUP(C579,'Boats Data Sheet 2026'!$C$3:$I$57,7,0)*'Direct Costs 2026'!$C$36,"N/A"),"N/A")</f>
        <v>N/A</v>
      </c>
      <c r="O589" t="str" s="431" cm="1">
        <f t="array" ref="O589">IF(B589&gt;0,IF(OR(VLOOKUP(C579,'Boats Data Sheet 2026'!$C$3:$F$57,4,0)="Own",VLOOKUP(C579,'Boats Data Sheet 2026'!$C$3:$F$57,4,0)="Management"),('Direct Costs 2026'!$C$37+'Direct Costs 2026'!$C$39),"N/A"),"N/A")</f>
        <v>N/A</v>
      </c>
      <c r="P589" s="423">
        <v>0</v>
      </c>
      <c r="Q589" s="423" cm="1">
        <f t="array" ref="Q589">_xlfn.IFERROR(C589+SUM(E589:P589),"N/A")</f>
        <v>28729000</v>
      </c>
      <c r="R589" s="424"/>
      <c r="S589" s="423" cm="1">
        <f t="array" ref="S589">IF(B589&gt;0,'Allocation OH and Target 2026'!$E$31,"N/A")</f>
        <v>3100447.15769812</v>
      </c>
      <c r="T589" s="423" cm="1">
        <f t="array" ref="T589">IF(B589&gt;0,VLOOKUP(C579,'Allocation OH and Target 2026'!$C$35:$S$87,16,0),"N/A")</f>
        <v>0</v>
      </c>
      <c r="U589" s="423" cm="1">
        <f t="array" ref="U589">_xlfn.IFERROR((S589+T589),"N/A")</f>
        <v>3100447.15769812</v>
      </c>
      <c r="V589" s="424"/>
      <c r="W589" s="423" cm="1">
        <f t="array" ref="W589">_xlfn.IFERROR(U589+Q589,"N/A")</f>
        <v>31829447.1576981</v>
      </c>
      <c r="X589" s="423" cm="1">
        <f t="array" ref="X589">_xlfn.IFERROR(W589*0.5%,"N/A")</f>
        <v>159147.235788491</v>
      </c>
      <c r="Y589" s="423" cm="1">
        <f t="array" ref="Y589">_xlfn.IFERROR(W589*25%,"N/A")</f>
        <v>7957361.78942453</v>
      </c>
      <c r="Z589" s="425" cm="1">
        <f t="array" ref="Z589">IF(B589&gt;0,(SUM(W589:Y589)-(C589/0.9-C589)),"N/A")</f>
        <v>37112622.8495778</v>
      </c>
      <c r="AA589" s="425" cm="1">
        <f t="array" ref="AA589">_xlfn.IFERROR((Z589-Z588),"N/A")</f>
        <v>1294532.5</v>
      </c>
      <c r="AB589" s="424"/>
      <c r="AC589" t="str" s="426" cm="1">
        <f t="array" ref="AC589">IF(B589=6,AVERAGE(Z582:Z587),"N/A")</f>
        <v>N/A</v>
      </c>
      <c r="AD589" s="424"/>
      <c r="AE589" s="423"/>
      <c r="AF589" s="423"/>
      <c r="AG589" s="423"/>
      <c r="AH589" s="423"/>
      <c r="AI589" s="423"/>
      <c r="AJ589" s="423"/>
      <c r="AK589" s="423"/>
      <c r="AL589" s="423"/>
      <c r="AM589" s="423"/>
      <c r="AN589" s="427"/>
    </row>
    <row r="590" ht="15" customHeight="1">
      <c r="A590" s="12"/>
      <c r="B590" s="428" cm="1">
        <f t="array" ref="B590">IF(B589=0,0,IF(B589&lt;VLOOKUP(C579,'Boats Data Sheet 2026'!$C$3:$H$57,6,0),B589+1,0))</f>
        <v>9</v>
      </c>
      <c r="C590" s="423" cm="1">
        <f t="array" ref="C590">_xlfn.IFERROR(IF(B590&gt;0,IF(VLOOKUP($C$579,'Boats Data Sheet 2026'!$C$3:$J$57,8,0)="N/A",0,VLOOKUP($C$579,'Boats Data Sheet 2026'!$C$3:$J$57,8,0)),"N/A")*85%,"N/A")</f>
        <v>25500000</v>
      </c>
      <c r="D590" s="430" cm="1">
        <f t="array" ref="D590">IF(B590&gt;7,2,IF(B590=0,"N/A",1))</f>
        <v>2</v>
      </c>
      <c r="E590" s="423" cm="1">
        <f t="array" ref="E590">_xlfn.IFERROR(SUM('Direct Costs 2026'!$C$4:$C$5)*D590,"N/A")</f>
        <v>1751000</v>
      </c>
      <c r="F590" s="423" cm="1">
        <f t="array" ref="F590">_xlfn.IFERROR('Direct Costs 2026'!$C$43*B590,"N/A")</f>
        <v>54000</v>
      </c>
      <c r="G590" s="423" cm="1">
        <f t="array" ref="G590">IF(B590&gt;0,'Direct Costs 2026'!$C$25,"N/A")</f>
        <v>90000</v>
      </c>
      <c r="H590" s="423">
        <v>0</v>
      </c>
      <c r="I590" s="423">
        <v>0</v>
      </c>
      <c r="J590" s="423">
        <v>0</v>
      </c>
      <c r="K590" s="423">
        <v>0</v>
      </c>
      <c r="L590" s="423" cm="1">
        <f t="array" ref="L590">IF(B590&gt;0,'Direct Costs 2026'!$C$23,"N/A")</f>
        <v>140000</v>
      </c>
      <c r="M590" s="423" cm="1">
        <f t="array" ref="M590">IF(B590&gt;0,'Direct Costs 2026'!$C$45*B590,"N/A")</f>
        <v>1350000</v>
      </c>
      <c r="N590" t="str" s="431" cm="1">
        <f t="array" ref="N590">IF(B590&gt;0,_xlfn.IFERROR(VLOOKUP(C579,'Boats Data Sheet 2026'!$C$3:$I$57,7,0)*'Direct Costs 2026'!$C$36,"N/A"),"N/A")</f>
        <v>N/A</v>
      </c>
      <c r="O590" t="str" s="431" cm="1">
        <f t="array" ref="O590">IF(B590&gt;0,IF(OR(VLOOKUP(C579,'Boats Data Sheet 2026'!$C$3:$F$57,4,0)="Own",VLOOKUP(C579,'Boats Data Sheet 2026'!$C$3:$F$57,4,0)="Management"),('Direct Costs 2026'!$C$37+'Direct Costs 2026'!$C$39),"N/A"),"N/A")</f>
        <v>N/A</v>
      </c>
      <c r="P590" s="423">
        <v>0</v>
      </c>
      <c r="Q590" s="423" cm="1">
        <f t="array" ref="Q590">_xlfn.IFERROR(C590+SUM(E590:P590),"N/A")</f>
        <v>28885000</v>
      </c>
      <c r="R590" s="424"/>
      <c r="S590" s="423" cm="1">
        <f t="array" ref="S590">IF(B590&gt;0,'Allocation OH and Target 2026'!$E$31,"N/A")</f>
        <v>3100447.15769812</v>
      </c>
      <c r="T590" s="423" cm="1">
        <f t="array" ref="T590">IF(B590&gt;0,VLOOKUP(C579,'Allocation OH and Target 2026'!$C$35:$S$87,16,0),"N/A")</f>
        <v>0</v>
      </c>
      <c r="U590" s="423" cm="1">
        <f t="array" ref="U590">_xlfn.IFERROR((S590+T590),"N/A")</f>
        <v>3100447.15769812</v>
      </c>
      <c r="V590" s="424"/>
      <c r="W590" s="423" cm="1">
        <f t="array" ref="W590">_xlfn.IFERROR(U590+Q590,"N/A")</f>
        <v>31985447.1576981</v>
      </c>
      <c r="X590" s="423" cm="1">
        <f t="array" ref="X590">_xlfn.IFERROR(W590*0.5%,"N/A")</f>
        <v>159927.235788491</v>
      </c>
      <c r="Y590" s="423" cm="1">
        <f t="array" ref="Y590">_xlfn.IFERROR(W590*25%,"N/A")</f>
        <v>7996361.78942453</v>
      </c>
      <c r="Z590" s="425" cm="1">
        <f t="array" ref="Z590">IF(B590&gt;0,(SUM(W590:Y590)-(C590/0.9-C590)),"N/A")</f>
        <v>37308402.8495778</v>
      </c>
      <c r="AA590" s="425" cm="1">
        <f t="array" ref="AA590">_xlfn.IFERROR((Z590-Z589),"N/A")</f>
        <v>195780</v>
      </c>
      <c r="AB590" s="424"/>
      <c r="AC590" t="str" s="426" cm="1">
        <f t="array" ref="AC590">IF(B590=6,AVERAGE(Z582:Z587),"N/A")</f>
        <v>N/A</v>
      </c>
      <c r="AD590" s="424"/>
      <c r="AE590" s="423"/>
      <c r="AF590" s="423"/>
      <c r="AG590" s="423"/>
      <c r="AH590" s="423"/>
      <c r="AI590" s="423"/>
      <c r="AJ590" s="423"/>
      <c r="AK590" s="423"/>
      <c r="AL590" s="423"/>
      <c r="AM590" s="423"/>
      <c r="AN590" s="427"/>
    </row>
    <row r="591" ht="15" customHeight="1">
      <c r="A591" s="12"/>
      <c r="B591" s="428" cm="1">
        <f t="array" ref="B591">IF(B590=0,0,IF(B590&lt;VLOOKUP(C579,'Boats Data Sheet 2026'!$C$3:$H$57,6,0),B590+1,0))</f>
        <v>10</v>
      </c>
      <c r="C591" s="423" cm="1">
        <f t="array" ref="C591">_xlfn.IFERROR(IF(B591&gt;0,IF(VLOOKUP($C$579,'Boats Data Sheet 2026'!$C$3:$J$57,8,0)="N/A",0,VLOOKUP($C$579,'Boats Data Sheet 2026'!$C$3:$J$57,8,0)),"N/A")*85%,"N/A")</f>
        <v>25500000</v>
      </c>
      <c r="D591" s="430" cm="1">
        <f t="array" ref="D591">IF(B591&gt;7,2,IF(B591=0,"N/A",1))</f>
        <v>2</v>
      </c>
      <c r="E591" s="423" cm="1">
        <f t="array" ref="E591">_xlfn.IFERROR(SUM('Direct Costs 2026'!$C$4:$C$5)*D591,"N/A")</f>
        <v>1751000</v>
      </c>
      <c r="F591" s="423" cm="1">
        <f t="array" ref="F591">_xlfn.IFERROR('Direct Costs 2026'!$C$43*B591,"N/A")</f>
        <v>60000</v>
      </c>
      <c r="G591" s="423" cm="1">
        <f t="array" ref="G591">IF(B591&gt;0,'Direct Costs 2026'!$C$25,"N/A")</f>
        <v>90000</v>
      </c>
      <c r="H591" s="423">
        <v>0</v>
      </c>
      <c r="I591" s="423">
        <v>0</v>
      </c>
      <c r="J591" s="423">
        <v>0</v>
      </c>
      <c r="K591" s="423">
        <v>0</v>
      </c>
      <c r="L591" s="423" cm="1">
        <f t="array" ref="L591">IF(B591&gt;0,'Direct Costs 2026'!$C$23,"N/A")</f>
        <v>140000</v>
      </c>
      <c r="M591" s="423" cm="1">
        <f t="array" ref="M591">IF(B591&gt;0,'Direct Costs 2026'!$C$45*B591,"N/A")</f>
        <v>1500000</v>
      </c>
      <c r="N591" t="str" s="431" cm="1">
        <f t="array" ref="N591">IF(B591&gt;0,_xlfn.IFERROR(VLOOKUP(C579,'Boats Data Sheet 2026'!$C$3:$I$57,7,0)*'Direct Costs 2026'!$C$36,"N/A"),"N/A")</f>
        <v>N/A</v>
      </c>
      <c r="O591" t="str" s="431" cm="1">
        <f t="array" ref="O591">IF(B591&gt;0,IF(OR(VLOOKUP(C579,'Boats Data Sheet 2026'!$C$3:$F$57,4,0)="Own",VLOOKUP(C579,'Boats Data Sheet 2026'!$C$3:$F$57,4,0)="Management"),('Direct Costs 2026'!$C$37+'Direct Costs 2026'!$C$39),"N/A"),"N/A")</f>
        <v>N/A</v>
      </c>
      <c r="P591" s="423">
        <v>0</v>
      </c>
      <c r="Q591" s="423" cm="1">
        <f t="array" ref="Q591">_xlfn.IFERROR(C591+SUM(E591:P591),"N/A")</f>
        <v>29041000</v>
      </c>
      <c r="R591" s="424"/>
      <c r="S591" s="423" cm="1">
        <f t="array" ref="S591">IF(B591&gt;0,'Allocation OH and Target 2026'!$E$31,"N/A")</f>
        <v>3100447.15769812</v>
      </c>
      <c r="T591" s="423" cm="1">
        <f t="array" ref="T591">IF(B591&gt;0,VLOOKUP(C579,'Allocation OH and Target 2026'!$C$35:$S$87,16,0),"N/A")</f>
        <v>0</v>
      </c>
      <c r="U591" s="423" cm="1">
        <f t="array" ref="U591">_xlfn.IFERROR((S591+T591),"N/A")</f>
        <v>3100447.15769812</v>
      </c>
      <c r="V591" s="424"/>
      <c r="W591" s="423" cm="1">
        <f t="array" ref="W591">_xlfn.IFERROR(U591+Q591,"N/A")</f>
        <v>32141447.1576981</v>
      </c>
      <c r="X591" s="423" cm="1">
        <f t="array" ref="X591">_xlfn.IFERROR(W591*0.5%,"N/A")</f>
        <v>160707.235788491</v>
      </c>
      <c r="Y591" s="423" cm="1">
        <f t="array" ref="Y591">_xlfn.IFERROR(W591*25%,"N/A")</f>
        <v>8035361.78942453</v>
      </c>
      <c r="Z591" s="425" cm="1">
        <f t="array" ref="Z591">IF(B591&gt;0,(SUM(W591:Y591)-(C591/0.9-C591)),"N/A")</f>
        <v>37504182.8495778</v>
      </c>
      <c r="AA591" s="425" cm="1">
        <f t="array" ref="AA591">_xlfn.IFERROR((Z591-Z590),"N/A")</f>
        <v>195780</v>
      </c>
      <c r="AB591" s="424"/>
      <c r="AC591" t="str" s="426" cm="1">
        <f t="array" ref="AC591">IF(B591=6,AVERAGE(Z582:Z587),"N/A")</f>
        <v>N/A</v>
      </c>
      <c r="AD591" s="424"/>
      <c r="AE591" s="423"/>
      <c r="AF591" s="423"/>
      <c r="AG591" s="423"/>
      <c r="AH591" s="423"/>
      <c r="AI591" s="423"/>
      <c r="AJ591" s="423"/>
      <c r="AK591" s="423"/>
      <c r="AL591" s="423"/>
      <c r="AM591" s="423"/>
      <c r="AN591" s="427"/>
    </row>
    <row r="592" ht="15" customHeight="1">
      <c r="A592" s="12"/>
      <c r="B592" s="428" cm="1">
        <f t="array" ref="B592">IF(B591=0,0,IF(B591&lt;VLOOKUP(C579,'Boats Data Sheet 2026'!$C$3:$H$57,6,0),B591+1,0))</f>
        <v>11</v>
      </c>
      <c r="C592" s="423" cm="1">
        <f t="array" ref="C592">_xlfn.IFERROR(IF(B592&gt;0,IF(VLOOKUP($C$579,'Boats Data Sheet 2026'!$C$3:$J$57,8,0)="N/A",0,VLOOKUP($C$579,'Boats Data Sheet 2026'!$C$3:$J$57,8,0)),"N/A")*85%,"N/A")</f>
        <v>25500000</v>
      </c>
      <c r="D592" s="430" cm="1">
        <f t="array" ref="D592">IF(B592&gt;7,2,IF(B592=0,"N/A",1))</f>
        <v>2</v>
      </c>
      <c r="E592" s="423" cm="1">
        <f t="array" ref="E592">_xlfn.IFERROR(SUM('Direct Costs 2026'!$C$4:$C$5)*D592,"N/A")</f>
        <v>1751000</v>
      </c>
      <c r="F592" s="423" cm="1">
        <f t="array" ref="F592">_xlfn.IFERROR('Direct Costs 2026'!$C$43*B592,"N/A")</f>
        <v>66000</v>
      </c>
      <c r="G592" s="423" cm="1">
        <f t="array" ref="G592">IF(B592&gt;0,'Direct Costs 2026'!$C$25,"N/A")</f>
        <v>90000</v>
      </c>
      <c r="H592" s="423">
        <v>0</v>
      </c>
      <c r="I592" s="423">
        <v>0</v>
      </c>
      <c r="J592" s="423">
        <v>0</v>
      </c>
      <c r="K592" s="423">
        <v>0</v>
      </c>
      <c r="L592" s="423" cm="1">
        <f t="array" ref="L592">IF(B592&gt;0,'Direct Costs 2026'!$C$23,"N/A")</f>
        <v>140000</v>
      </c>
      <c r="M592" s="423" cm="1">
        <f t="array" ref="M592">IF(B592&gt;0,'Direct Costs 2026'!$C$45*B592,"N/A")</f>
        <v>1650000</v>
      </c>
      <c r="N592" t="str" s="431" cm="1">
        <f t="array" ref="N592">IF(B592&gt;0,_xlfn.IFERROR(VLOOKUP(C579,'Boats Data Sheet 2026'!$C$3:$I$57,7,0)*'Direct Costs 2026'!$C$36,"N/A"),"N/A")</f>
        <v>N/A</v>
      </c>
      <c r="O592" t="str" s="431" cm="1">
        <f t="array" ref="O592">IF(B592&gt;0,IF(OR(VLOOKUP(C579,'Boats Data Sheet 2026'!$C$3:$F$57,4,0)="Own",VLOOKUP(C579,'Boats Data Sheet 2026'!$C$3:$F$57,4,0)="Management"),('Direct Costs 2026'!$C$37+'Direct Costs 2026'!$C$39),"N/A"),"N/A")</f>
        <v>N/A</v>
      </c>
      <c r="P592" s="423">
        <v>0</v>
      </c>
      <c r="Q592" s="423" cm="1">
        <f t="array" ref="Q592">_xlfn.IFERROR(C592+SUM(E592:P592),"N/A")</f>
        <v>29197000</v>
      </c>
      <c r="R592" s="424"/>
      <c r="S592" s="423" cm="1">
        <f t="array" ref="S592">IF(B592&gt;0,'Allocation OH and Target 2026'!$E$31,"N/A")</f>
        <v>3100447.15769812</v>
      </c>
      <c r="T592" s="423" cm="1">
        <f t="array" ref="T592">IF(B592&gt;0,VLOOKUP(C579,'Allocation OH and Target 2026'!$C$35:$S$87,16,0),"N/A")</f>
        <v>0</v>
      </c>
      <c r="U592" s="423" cm="1">
        <f t="array" ref="U592">_xlfn.IFERROR((S592+T592),"N/A")</f>
        <v>3100447.15769812</v>
      </c>
      <c r="V592" s="424"/>
      <c r="W592" s="423" cm="1">
        <f t="array" ref="W592">_xlfn.IFERROR(U592+Q592,"N/A")</f>
        <v>32297447.1576981</v>
      </c>
      <c r="X592" s="423" cm="1">
        <f t="array" ref="X592">_xlfn.IFERROR(W592*0.5%,"N/A")</f>
        <v>161487.235788491</v>
      </c>
      <c r="Y592" s="423" cm="1">
        <f t="array" ref="Y592">_xlfn.IFERROR(W592*25%,"N/A")</f>
        <v>8074361.78942453</v>
      </c>
      <c r="Z592" s="425" cm="1">
        <f t="array" ref="Z592">IF(B592&gt;0,(SUM(W592:Y592)-(C592/0.9-C592)),"N/A")</f>
        <v>37699962.8495778</v>
      </c>
      <c r="AA592" s="425" cm="1">
        <f t="array" ref="AA592">_xlfn.IFERROR((Z592-Z591),"N/A")</f>
        <v>195780</v>
      </c>
      <c r="AB592" s="424"/>
      <c r="AC592" t="str" s="426" cm="1">
        <f t="array" ref="AC592">IF(B592=6,AVERAGE(Z582:Z587),"N/A")</f>
        <v>N/A</v>
      </c>
      <c r="AD592" s="424"/>
      <c r="AE592" s="423"/>
      <c r="AF592" s="423"/>
      <c r="AG592" s="423"/>
      <c r="AH592" s="423"/>
      <c r="AI592" s="423"/>
      <c r="AJ592" s="423"/>
      <c r="AK592" s="423"/>
      <c r="AL592" s="423"/>
      <c r="AM592" s="423"/>
      <c r="AN592" s="427"/>
    </row>
    <row r="593" ht="15" customHeight="1">
      <c r="A593" s="12"/>
      <c r="B593" s="428" cm="1">
        <f t="array" ref="B593">IF(B592=0,0,IF(B592&lt;VLOOKUP(C579,'Boats Data Sheet 2026'!$C$3:$H$57,6,0),B592+1,0))</f>
        <v>12</v>
      </c>
      <c r="C593" s="423" cm="1">
        <f t="array" ref="C593">_xlfn.IFERROR(IF(B593&gt;0,IF(VLOOKUP($C$579,'Boats Data Sheet 2026'!$C$3:$J$57,8,0)="N/A",0,VLOOKUP($C$579,'Boats Data Sheet 2026'!$C$3:$J$57,8,0)),"N/A")*85%,"N/A")</f>
        <v>25500000</v>
      </c>
      <c r="D593" s="430" cm="1">
        <f t="array" ref="D593">IF(B593&gt;7,2,IF(B593=0,"N/A",1))</f>
        <v>2</v>
      </c>
      <c r="E593" s="423" cm="1">
        <f t="array" ref="E593">_xlfn.IFERROR(SUM('Direct Costs 2026'!$C$4:$C$5)*D593,"N/A")</f>
        <v>1751000</v>
      </c>
      <c r="F593" s="423" cm="1">
        <f t="array" ref="F593">_xlfn.IFERROR('Direct Costs 2026'!$C$43*B593,"N/A")</f>
        <v>72000</v>
      </c>
      <c r="G593" s="423" cm="1">
        <f t="array" ref="G593">IF(B593&gt;0,'Direct Costs 2026'!$C$25,"N/A")</f>
        <v>90000</v>
      </c>
      <c r="H593" s="423">
        <v>0</v>
      </c>
      <c r="I593" s="423">
        <v>0</v>
      </c>
      <c r="J593" s="423">
        <v>0</v>
      </c>
      <c r="K593" s="423">
        <v>0</v>
      </c>
      <c r="L593" s="423" cm="1">
        <f t="array" ref="L593">IF(B593&gt;0,'Direct Costs 2026'!$C$23,"N/A")</f>
        <v>140000</v>
      </c>
      <c r="M593" s="423" cm="1">
        <f t="array" ref="M593">IF(B593&gt;0,'Direct Costs 2026'!$C$45*B593,"N/A")</f>
        <v>1800000</v>
      </c>
      <c r="N593" t="str" s="431" cm="1">
        <f t="array" ref="N593">IF(B593&gt;0,_xlfn.IFERROR(VLOOKUP(C579,'Boats Data Sheet 2026'!$C$3:$I$57,7,0)*'Direct Costs 2026'!$C$36,"N/A"),"N/A")</f>
        <v>N/A</v>
      </c>
      <c r="O593" t="str" s="431" cm="1">
        <f t="array" ref="O593">IF(B593&gt;0,IF(OR(VLOOKUP(C579,'Boats Data Sheet 2026'!$C$3:$F$57,4,0)="Own",VLOOKUP(C579,'Boats Data Sheet 2026'!$C$3:$F$57,4,0)="Management"),('Direct Costs 2026'!$C$37+'Direct Costs 2026'!$C$39),"N/A"),"N/A")</f>
        <v>N/A</v>
      </c>
      <c r="P593" s="423">
        <v>0</v>
      </c>
      <c r="Q593" s="423" cm="1">
        <f t="array" ref="Q593">_xlfn.IFERROR(C593+SUM(E593:P593),"N/A")</f>
        <v>29353000</v>
      </c>
      <c r="R593" s="424"/>
      <c r="S593" s="423" cm="1">
        <f t="array" ref="S593">IF(B593&gt;0,'Allocation OH and Target 2026'!$E$31,"N/A")</f>
        <v>3100447.15769812</v>
      </c>
      <c r="T593" s="423" cm="1">
        <f t="array" ref="T593">IF(B593&gt;0,VLOOKUP(C579,'Allocation OH and Target 2026'!$C$35:$S$87,16,0),"N/A")</f>
        <v>0</v>
      </c>
      <c r="U593" s="423" cm="1">
        <f t="array" ref="U593">_xlfn.IFERROR((S593+T593),"N/A")</f>
        <v>3100447.15769812</v>
      </c>
      <c r="V593" s="424"/>
      <c r="W593" s="423" cm="1">
        <f t="array" ref="W593">_xlfn.IFERROR(U593+Q593,"N/A")</f>
        <v>32453447.1576981</v>
      </c>
      <c r="X593" s="423" cm="1">
        <f t="array" ref="X593">_xlfn.IFERROR(W593*0.5%,"N/A")</f>
        <v>162267.235788491</v>
      </c>
      <c r="Y593" s="423" cm="1">
        <f t="array" ref="Y593">_xlfn.IFERROR(W593*25%,"N/A")</f>
        <v>8113361.78942453</v>
      </c>
      <c r="Z593" s="425" cm="1">
        <f t="array" ref="Z593">IF(B593&gt;0,(SUM(W593:Y593)-(C593/0.9-C593)),"N/A")</f>
        <v>37895742.8495778</v>
      </c>
      <c r="AA593" s="425" cm="1">
        <f t="array" ref="AA593">_xlfn.IFERROR((Z593-Z592),"N/A")</f>
        <v>195780</v>
      </c>
      <c r="AB593" s="424"/>
      <c r="AC593" t="str" s="426" cm="1">
        <f t="array" ref="AC593">IF(B593=6,AVERAGE(Z582:Z587),"N/A")</f>
        <v>N/A</v>
      </c>
      <c r="AD593" s="424"/>
      <c r="AE593" s="423"/>
      <c r="AF593" s="423"/>
      <c r="AG593" s="423"/>
      <c r="AH593" s="423"/>
      <c r="AI593" s="423"/>
      <c r="AJ593" s="423"/>
      <c r="AK593" s="423"/>
      <c r="AL593" s="423"/>
      <c r="AM593" s="423"/>
      <c r="AN593" s="427"/>
    </row>
    <row r="594" ht="15" customHeight="1">
      <c r="A594" s="12"/>
      <c r="B594" s="428" cm="1">
        <f t="array" ref="B594">IF(B593=0,0,IF(B593&lt;VLOOKUP(C579,'Boats Data Sheet 2026'!$C$3:$H$57,6,0),B593+1,0))</f>
        <v>0</v>
      </c>
      <c r="C594" t="str" s="431" cm="1">
        <f t="array" ref="C594">_xlfn.IFERROR(IF(B594&gt;0,IF(VLOOKUP($C$579,'Boats Data Sheet 2026'!$C$3:$J$57,8,0)="N/A",0,VLOOKUP($C$579,'Boats Data Sheet 2026'!$C$3:$J$57,8,0)),"N/A")*85%,"N/A")</f>
        <v>N/A</v>
      </c>
      <c r="D594" t="str" s="431" cm="1">
        <f t="array" ref="D594">IF(B594&gt;7,2,IF(B594=0,"N/A",1))</f>
        <v>N/A</v>
      </c>
      <c r="E594" t="str" s="431" cm="1">
        <f t="array" ref="E594">_xlfn.IFERROR(SUM('Direct Costs 2026'!$C$4:$C$5)*D594,"N/A")</f>
        <v>N/A</v>
      </c>
      <c r="F594" s="423" cm="1">
        <f t="array" ref="F594">_xlfn.IFERROR('Direct Costs 2026'!$C$43*B594,"N/A")</f>
        <v>0</v>
      </c>
      <c r="G594" t="str" s="431" cm="1">
        <f t="array" ref="G594">IF(B594&gt;0,'Direct Costs 2026'!$C$25,"N/A")</f>
        <v>N/A</v>
      </c>
      <c r="H594" s="423">
        <v>0</v>
      </c>
      <c r="I594" s="423">
        <v>0</v>
      </c>
      <c r="J594" s="423">
        <v>0</v>
      </c>
      <c r="K594" s="423">
        <v>0</v>
      </c>
      <c r="L594" t="str" s="431" cm="1">
        <f t="array" ref="L594">IF(B594&gt;0,'Direct Costs 2026'!$C$23,"N/A")</f>
        <v>N/A</v>
      </c>
      <c r="M594" t="str" s="431" cm="1">
        <f t="array" ref="M594">IF(B594&gt;0,'Direct Costs 2026'!$C$45*B594,"N/A")</f>
        <v>N/A</v>
      </c>
      <c r="N594" t="str" s="431" cm="1">
        <f t="array" ref="N594">IF(B594&gt;0,_xlfn.IFERROR(VLOOKUP(C579,'Boats Data Sheet 2026'!$C$3:$I$57,7,0)*'Direct Costs 2026'!$C$36,"N/A"),"N/A")</f>
        <v>N/A</v>
      </c>
      <c r="O594" t="str" s="431" cm="1">
        <f t="array" ref="O594">IF(B594&gt;0,IF(OR(VLOOKUP(C579,'Boats Data Sheet 2026'!$C$3:$F$57,4,0)="Own",VLOOKUP(C579,'Boats Data Sheet 2026'!$C$3:$F$57,4,0)="Management"),('Direct Costs 2026'!$C$37+'Direct Costs 2026'!$C$39),"N/A"),"N/A")</f>
        <v>N/A</v>
      </c>
      <c r="P594" s="423">
        <v>0</v>
      </c>
      <c r="Q594" t="str" s="431" cm="1">
        <f t="array" ref="Q594">_xlfn.IFERROR(C594+SUM(E594:P594),"N/A")</f>
        <v>N/A</v>
      </c>
      <c r="R594" s="424"/>
      <c r="S594" t="str" s="431" cm="1">
        <f t="array" ref="S594">IF(B594&gt;0,'Allocation OH and Target 2026'!$E$31,"N/A")</f>
        <v>N/A</v>
      </c>
      <c r="T594" t="str" s="431" cm="1">
        <f t="array" ref="T594">IF(B594&gt;0,VLOOKUP(C579,'Allocation OH and Target 2026'!$C$35:$S$87,16,0),"N/A")</f>
        <v>N/A</v>
      </c>
      <c r="U594" t="str" s="431" cm="1">
        <f t="array" ref="U594">_xlfn.IFERROR((S594+T594),"N/A")</f>
        <v>N/A</v>
      </c>
      <c r="V594" s="424"/>
      <c r="W594" t="str" s="431" cm="1">
        <f t="array" ref="W594">_xlfn.IFERROR(U594+Q594,"N/A")</f>
        <v>N/A</v>
      </c>
      <c r="X594" t="str" s="431" cm="1">
        <f t="array" ref="X594">_xlfn.IFERROR(W594*0.5%,"N/A")</f>
        <v>N/A</v>
      </c>
      <c r="Y594" t="str" s="431" cm="1">
        <f t="array" ref="Y594">_xlfn.IFERROR(W594*25%,"N/A")</f>
        <v>N/A</v>
      </c>
      <c r="Z594" t="str" s="426" cm="1">
        <f t="array" ref="Z594">IF(B594&gt;0,(SUM(W594:Y594)-(C594/0.9-C594)),"N/A")</f>
        <v>N/A</v>
      </c>
      <c r="AA594" t="str" s="426" cm="1">
        <f t="array" ref="AA594">_xlfn.IFERROR((Z594-Z593),"N/A")</f>
        <v>N/A</v>
      </c>
      <c r="AB594" s="424"/>
      <c r="AC594" t="str" s="426" cm="1">
        <f t="array" ref="AC594">IF(B594=6,AVERAGE(Z582:Z587),"N/A")</f>
        <v>N/A</v>
      </c>
      <c r="AD594" s="424"/>
      <c r="AE594" s="423"/>
      <c r="AF594" s="423"/>
      <c r="AG594" s="423"/>
      <c r="AH594" s="423"/>
      <c r="AI594" s="423"/>
      <c r="AJ594" s="423"/>
      <c r="AK594" s="423"/>
      <c r="AL594" s="423"/>
      <c r="AM594" s="423"/>
      <c r="AN594" s="427"/>
    </row>
    <row r="595" ht="15" customHeight="1">
      <c r="A595" s="12"/>
      <c r="B595" s="428" cm="1">
        <f t="array" ref="B595">IF(B594=0,0,IF(B594&lt;VLOOKUP(C579,'Boats Data Sheet 2026'!$C$3:$H$57,6,0),B594+1,0))</f>
        <v>0</v>
      </c>
      <c r="C595" t="str" s="431" cm="1">
        <f t="array" ref="C595">_xlfn.IFERROR(IF(B595&gt;0,IF(VLOOKUP($C$579,'Boats Data Sheet 2026'!$C$3:$J$57,8,0)="N/A",0,VLOOKUP($C$579,'Boats Data Sheet 2026'!$C$3:$J$57,8,0)),"N/A")*85%,"N/A")</f>
        <v>N/A</v>
      </c>
      <c r="D595" t="str" s="431" cm="1">
        <f t="array" ref="D595">IF(B595&gt;7,2,IF(B595=0,"N/A",1))</f>
        <v>N/A</v>
      </c>
      <c r="E595" t="str" s="431" cm="1">
        <f t="array" ref="E595">_xlfn.IFERROR(SUM('Direct Costs 2026'!$C$4:$C$5)*D595,"N/A")</f>
        <v>N/A</v>
      </c>
      <c r="F595" s="423" cm="1">
        <f t="array" ref="F595">_xlfn.IFERROR('Direct Costs 2026'!$C$43*B595,"N/A")</f>
        <v>0</v>
      </c>
      <c r="G595" t="str" s="431" cm="1">
        <f t="array" ref="G595">IF(B595&gt;0,'Direct Costs 2026'!$C$25,"N/A")</f>
        <v>N/A</v>
      </c>
      <c r="H595" s="423">
        <v>0</v>
      </c>
      <c r="I595" s="423">
        <v>0</v>
      </c>
      <c r="J595" s="423">
        <v>0</v>
      </c>
      <c r="K595" s="423">
        <v>0</v>
      </c>
      <c r="L595" t="str" s="431" cm="1">
        <f t="array" ref="L595">IF(B595&gt;0,'Direct Costs 2026'!$C$23,"N/A")</f>
        <v>N/A</v>
      </c>
      <c r="M595" t="str" s="431" cm="1">
        <f t="array" ref="M595">IF(B595&gt;0,'Direct Costs 2026'!$C$45*B595,"N/A")</f>
        <v>N/A</v>
      </c>
      <c r="N595" t="str" s="431" cm="1">
        <f t="array" ref="N595">IF(B595&gt;0,_xlfn.IFERROR(VLOOKUP(C579,'Boats Data Sheet 2026'!$C$3:$I$57,7,0)*'Direct Costs 2026'!$C$36,"N/A"),"N/A")</f>
        <v>N/A</v>
      </c>
      <c r="O595" t="str" s="431" cm="1">
        <f t="array" ref="O595">IF(B595&gt;0,IF(OR(VLOOKUP(C579,'Boats Data Sheet 2026'!$C$3:$F$57,4,0)="Own",VLOOKUP(C579,'Boats Data Sheet 2026'!$C$3:$F$57,4,0)="Management"),('Direct Costs 2026'!$C$37+'Direct Costs 2026'!$C$39),"N/A"),"N/A")</f>
        <v>N/A</v>
      </c>
      <c r="P595" s="423">
        <v>0</v>
      </c>
      <c r="Q595" t="str" s="431" cm="1">
        <f t="array" ref="Q595">_xlfn.IFERROR(C595+SUM(E595:P595),"N/A")</f>
        <v>N/A</v>
      </c>
      <c r="R595" s="424"/>
      <c r="S595" t="str" s="431" cm="1">
        <f t="array" ref="S595">IF(B595&gt;0,'Allocation OH and Target 2026'!$E$31,"N/A")</f>
        <v>N/A</v>
      </c>
      <c r="T595" t="str" s="431" cm="1">
        <f t="array" ref="T595">IF(B595&gt;0,VLOOKUP(C579,'Allocation OH and Target 2026'!$C$35:$S$87,16,0),"N/A")</f>
        <v>N/A</v>
      </c>
      <c r="U595" t="str" s="431" cm="1">
        <f t="array" ref="U595">_xlfn.IFERROR((S595+T595),"N/A")</f>
        <v>N/A</v>
      </c>
      <c r="V595" s="424"/>
      <c r="W595" t="str" s="431" cm="1">
        <f t="array" ref="W595">_xlfn.IFERROR(U595+Q595,"N/A")</f>
        <v>N/A</v>
      </c>
      <c r="X595" t="str" s="431" cm="1">
        <f t="array" ref="X595">_xlfn.IFERROR(W595*0.5%,"N/A")</f>
        <v>N/A</v>
      </c>
      <c r="Y595" t="str" s="431" cm="1">
        <f t="array" ref="Y595">_xlfn.IFERROR(W595*25%,"N/A")</f>
        <v>N/A</v>
      </c>
      <c r="Z595" t="str" s="426" cm="1">
        <f t="array" ref="Z595">IF(B595&gt;0,(SUM(W595:Y595)-(C595/0.9-C595)),"N/A")</f>
        <v>N/A</v>
      </c>
      <c r="AA595" t="str" s="426" cm="1">
        <f t="array" ref="AA595">_xlfn.IFERROR((Z595-Z594),"N/A")</f>
        <v>N/A</v>
      </c>
      <c r="AB595" s="424"/>
      <c r="AC595" t="str" s="426" cm="1">
        <f t="array" ref="AC595">IF(B595=6,AVERAGE(Z582:Z587),"N/A")</f>
        <v>N/A</v>
      </c>
      <c r="AD595" s="424"/>
      <c r="AE595" s="423"/>
      <c r="AF595" s="423"/>
      <c r="AG595" s="423"/>
      <c r="AH595" s="423"/>
      <c r="AI595" s="423"/>
      <c r="AJ595" s="423"/>
      <c r="AK595" s="423"/>
      <c r="AL595" s="423"/>
      <c r="AM595" s="423"/>
      <c r="AN595" s="427"/>
    </row>
    <row r="596" ht="15" customHeight="1">
      <c r="A596" s="12"/>
      <c r="B596" s="428" cm="1">
        <f t="array" ref="B596">IF(B595=0,0,IF(B595&lt;VLOOKUP(C579,'Boats Data Sheet 2026'!$C$3:$H$57,6,0),B595+1,0))</f>
        <v>0</v>
      </c>
      <c r="C596" t="str" s="431" cm="1">
        <f t="array" ref="C596">_xlfn.IFERROR(IF(B596&gt;0,IF(VLOOKUP($C$579,'Boats Data Sheet 2026'!$C$3:$J$57,8,0)="N/A",0,VLOOKUP($C$579,'Boats Data Sheet 2026'!$C$3:$J$57,8,0)),"N/A")*85%,"N/A")</f>
        <v>N/A</v>
      </c>
      <c r="D596" t="str" s="431" cm="1">
        <f t="array" ref="D596">IF(B596&gt;7,2,IF(B596=0,"N/A",1))</f>
        <v>N/A</v>
      </c>
      <c r="E596" t="str" s="431" cm="1">
        <f t="array" ref="E596">_xlfn.IFERROR(SUM('Direct Costs 2026'!$C$4:$C$5)*D596,"N/A")</f>
        <v>N/A</v>
      </c>
      <c r="F596" s="423" cm="1">
        <f t="array" ref="F596">_xlfn.IFERROR('Direct Costs 2026'!$C$43*B596,"N/A")</f>
        <v>0</v>
      </c>
      <c r="G596" t="str" s="431" cm="1">
        <f t="array" ref="G596">IF(B596&gt;0,'Direct Costs 2026'!$C$25,"N/A")</f>
        <v>N/A</v>
      </c>
      <c r="H596" s="423">
        <v>0</v>
      </c>
      <c r="I596" s="423">
        <v>0</v>
      </c>
      <c r="J596" s="423">
        <v>0</v>
      </c>
      <c r="K596" s="423">
        <v>0</v>
      </c>
      <c r="L596" t="str" s="431" cm="1">
        <f t="array" ref="L596">IF(B596&gt;0,'Direct Costs 2026'!$C$23,"N/A")</f>
        <v>N/A</v>
      </c>
      <c r="M596" t="str" s="431" cm="1">
        <f t="array" ref="M596">IF(B596&gt;0,'Direct Costs 2026'!$C$45*B596,"N/A")</f>
        <v>N/A</v>
      </c>
      <c r="N596" t="str" s="431" cm="1">
        <f t="array" ref="N596">IF(B596&gt;0,_xlfn.IFERROR(VLOOKUP(C579,'Boats Data Sheet 2026'!$C$3:$I$57,7,0)*'Direct Costs 2026'!$C$36,"N/A"),"N/A")</f>
        <v>N/A</v>
      </c>
      <c r="O596" t="str" s="431" cm="1">
        <f t="array" ref="O596">IF(B596&gt;0,IF(OR(VLOOKUP(C579,'Boats Data Sheet 2026'!$C$3:$F$57,4,0)="Own",VLOOKUP(C579,'Boats Data Sheet 2026'!$C$3:$F$57,4,0)="Management"),('Direct Costs 2026'!$C$37+'Direct Costs 2026'!$C$39),"N/A"),"N/A")</f>
        <v>N/A</v>
      </c>
      <c r="P596" s="423">
        <v>0</v>
      </c>
      <c r="Q596" t="str" s="431" cm="1">
        <f t="array" ref="Q596">_xlfn.IFERROR(C596+SUM(E596:P596),"N/A")</f>
        <v>N/A</v>
      </c>
      <c r="R596" s="424"/>
      <c r="S596" t="str" s="431" cm="1">
        <f t="array" ref="S596">IF(B596&gt;0,'Allocation OH and Target 2026'!$E$31,"N/A")</f>
        <v>N/A</v>
      </c>
      <c r="T596" t="str" s="431" cm="1">
        <f t="array" ref="T596">IF(B596&gt;0,VLOOKUP(C579,'Allocation OH and Target 2026'!$C$35:$S$87,16,0),"N/A")</f>
        <v>N/A</v>
      </c>
      <c r="U596" t="str" s="431" cm="1">
        <f t="array" ref="U596">_xlfn.IFERROR((S596+T596),"N/A")</f>
        <v>N/A</v>
      </c>
      <c r="V596" s="424"/>
      <c r="W596" t="str" s="431" cm="1">
        <f t="array" ref="W596">_xlfn.IFERROR(U596+Q596,"N/A")</f>
        <v>N/A</v>
      </c>
      <c r="X596" t="str" s="431" cm="1">
        <f t="array" ref="X596">_xlfn.IFERROR(W596*0.5%,"N/A")</f>
        <v>N/A</v>
      </c>
      <c r="Y596" t="str" s="431" cm="1">
        <f t="array" ref="Y596">_xlfn.IFERROR(W596*25%,"N/A")</f>
        <v>N/A</v>
      </c>
      <c r="Z596" t="str" s="426" cm="1">
        <f t="array" ref="Z596">IF(B596&gt;0,(SUM(W596:Y596)-(C596/0.9-C596)),"N/A")</f>
        <v>N/A</v>
      </c>
      <c r="AA596" t="str" s="426" cm="1">
        <f t="array" ref="AA596">_xlfn.IFERROR((Z596-Z595),"N/A")</f>
        <v>N/A</v>
      </c>
      <c r="AB596" s="424"/>
      <c r="AC596" t="str" s="426" cm="1">
        <f t="array" ref="AC596">IF(B596=6,AVERAGE(Z582:Z587),"N/A")</f>
        <v>N/A</v>
      </c>
      <c r="AD596" s="424"/>
      <c r="AE596" s="423"/>
      <c r="AF596" s="423"/>
      <c r="AG596" s="423"/>
      <c r="AH596" s="423"/>
      <c r="AI596" s="423"/>
      <c r="AJ596" s="423"/>
      <c r="AK596" s="423"/>
      <c r="AL596" s="423"/>
      <c r="AM596" s="423"/>
      <c r="AN596" s="427"/>
    </row>
    <row r="597" ht="15" customHeight="1">
      <c r="A597" s="12"/>
      <c r="B597" s="428" cm="1">
        <f t="array" ref="B597">IF(B596=0,0,IF(B596&lt;VLOOKUP(C579,'Boats Data Sheet 2026'!$C$3:$H$57,6,0),B596+1,0))</f>
        <v>0</v>
      </c>
      <c r="C597" t="str" s="431" cm="1">
        <f t="array" ref="C597">_xlfn.IFERROR(IF(B597&gt;0,IF(VLOOKUP($C$579,'Boats Data Sheet 2026'!$C$3:$J$57,8,0)="N/A",0,VLOOKUP($C$579,'Boats Data Sheet 2026'!$C$3:$J$57,8,0)),"N/A")*85%,"N/A")</f>
        <v>N/A</v>
      </c>
      <c r="D597" t="str" s="431" cm="1">
        <f t="array" ref="D597">IF(B597&gt;7,2,IF(B597=0,"N/A",1))</f>
        <v>N/A</v>
      </c>
      <c r="E597" t="str" s="431" cm="1">
        <f t="array" ref="E597">_xlfn.IFERROR(SUM('Direct Costs 2026'!$C$4:$C$5)*D597,"N/A")</f>
        <v>N/A</v>
      </c>
      <c r="F597" s="423" cm="1">
        <f t="array" ref="F597">_xlfn.IFERROR('Direct Costs 2026'!$C$43*B597,"N/A")</f>
        <v>0</v>
      </c>
      <c r="G597" t="str" s="431" cm="1">
        <f t="array" ref="G597">IF(B597&gt;0,'Direct Costs 2026'!$C$25,"N/A")</f>
        <v>N/A</v>
      </c>
      <c r="H597" s="423">
        <v>0</v>
      </c>
      <c r="I597" s="423">
        <v>0</v>
      </c>
      <c r="J597" s="423">
        <v>0</v>
      </c>
      <c r="K597" s="423">
        <v>0</v>
      </c>
      <c r="L597" t="str" s="431" cm="1">
        <f t="array" ref="L597">IF(B597&gt;0,'Direct Costs 2026'!$C$23,"N/A")</f>
        <v>N/A</v>
      </c>
      <c r="M597" t="str" s="431" cm="1">
        <f t="array" ref="M597">IF(B597&gt;0,'Direct Costs 2026'!$C$45*B597,"N/A")</f>
        <v>N/A</v>
      </c>
      <c r="N597" t="str" s="431" cm="1">
        <f t="array" ref="N597">IF(B597&gt;0,_xlfn.IFERROR(VLOOKUP(C579,'Boats Data Sheet 2026'!$C$3:$I$57,7,0)*'Direct Costs 2026'!$C$36,"N/A"),"N/A")</f>
        <v>N/A</v>
      </c>
      <c r="O597" t="str" s="431" cm="1">
        <f t="array" ref="O597">IF(B597&gt;0,IF(OR(VLOOKUP(C579,'Boats Data Sheet 2026'!$C$3:$F$57,4,0)="Own",VLOOKUP(C579,'Boats Data Sheet 2026'!$C$3:$F$57,4,0)="Management"),('Direct Costs 2026'!$C$37+'Direct Costs 2026'!$C$39),"N/A"),"N/A")</f>
        <v>N/A</v>
      </c>
      <c r="P597" s="423">
        <v>0</v>
      </c>
      <c r="Q597" t="str" s="431" cm="1">
        <f t="array" ref="Q597">_xlfn.IFERROR(C597+SUM(E597:P597),"N/A")</f>
        <v>N/A</v>
      </c>
      <c r="R597" s="424"/>
      <c r="S597" t="str" s="431" cm="1">
        <f t="array" ref="S597">IF(B597&gt;0,'Allocation OH and Target 2026'!$E$31,"N/A")</f>
        <v>N/A</v>
      </c>
      <c r="T597" t="str" s="431" cm="1">
        <f t="array" ref="T597">IF(B597&gt;0,VLOOKUP(C579,'Allocation OH and Target 2026'!$C$35:$S$87,16,0),"N/A")</f>
        <v>N/A</v>
      </c>
      <c r="U597" t="str" s="431" cm="1">
        <f t="array" ref="U597">_xlfn.IFERROR((S597+T597),"N/A")</f>
        <v>N/A</v>
      </c>
      <c r="V597" s="424"/>
      <c r="W597" t="str" s="431" cm="1">
        <f t="array" ref="W597">_xlfn.IFERROR(U597+Q597,"N/A")</f>
        <v>N/A</v>
      </c>
      <c r="X597" t="str" s="431" cm="1">
        <f t="array" ref="X597">_xlfn.IFERROR(W597*0.5%,"N/A")</f>
        <v>N/A</v>
      </c>
      <c r="Y597" t="str" s="431" cm="1">
        <f t="array" ref="Y597">_xlfn.IFERROR(W597*25%,"N/A")</f>
        <v>N/A</v>
      </c>
      <c r="Z597" t="str" s="426" cm="1">
        <f t="array" ref="Z597">IF(B597&gt;0,(SUM(W597:Y597)-(C597/0.9-C597)),"N/A")</f>
        <v>N/A</v>
      </c>
      <c r="AA597" t="str" s="426" cm="1">
        <f t="array" ref="AA597">_xlfn.IFERROR((Z597-Z596),"N/A")</f>
        <v>N/A</v>
      </c>
      <c r="AB597" s="424"/>
      <c r="AC597" t="str" s="426" cm="1">
        <f t="array" ref="AC597">IF(B597=6,AVERAGE(Z582:Z587),"N/A")</f>
        <v>N/A</v>
      </c>
      <c r="AD597" s="424"/>
      <c r="AE597" s="423"/>
      <c r="AF597" s="423"/>
      <c r="AG597" s="423"/>
      <c r="AH597" s="423"/>
      <c r="AI597" s="423"/>
      <c r="AJ597" s="423"/>
      <c r="AK597" s="423"/>
      <c r="AL597" s="423"/>
      <c r="AM597" s="423"/>
      <c r="AN597" s="427"/>
    </row>
    <row r="598" ht="15" customHeight="1">
      <c r="A598" s="12"/>
      <c r="B598" s="428" cm="1">
        <f t="array" ref="B598">IF(B597=0,0,IF(B597&lt;VLOOKUP(C579,'Boats Data Sheet 2026'!$C$3:$H$57,6,0),B597+1,0))</f>
        <v>0</v>
      </c>
      <c r="C598" t="str" s="431" cm="1">
        <f t="array" ref="C598">_xlfn.IFERROR(IF(B598&gt;0,IF(VLOOKUP($C$579,'Boats Data Sheet 2026'!$C$3:$J$57,8,0)="N/A",0,VLOOKUP($C$579,'Boats Data Sheet 2026'!$C$3:$J$57,8,0)),"N/A")*85%,"N/A")</f>
        <v>N/A</v>
      </c>
      <c r="D598" t="str" s="431" cm="1">
        <f t="array" ref="D598">IF(B598&gt;7,2,IF(B598=0,"N/A",1))</f>
        <v>N/A</v>
      </c>
      <c r="E598" t="str" s="431" cm="1">
        <f t="array" ref="E598">_xlfn.IFERROR(SUM('Direct Costs 2026'!$C$4:$C$5)*D598,"N/A")</f>
        <v>N/A</v>
      </c>
      <c r="F598" s="423" cm="1">
        <f t="array" ref="F598">_xlfn.IFERROR('Direct Costs 2026'!$C$43*B598,"N/A")</f>
        <v>0</v>
      </c>
      <c r="G598" t="str" s="431" cm="1">
        <f t="array" ref="G598">IF(B598&gt;0,'Direct Costs 2026'!$C$25,"N/A")</f>
        <v>N/A</v>
      </c>
      <c r="H598" s="423">
        <v>0</v>
      </c>
      <c r="I598" s="423">
        <v>0</v>
      </c>
      <c r="J598" s="423">
        <v>0</v>
      </c>
      <c r="K598" s="423">
        <v>0</v>
      </c>
      <c r="L598" t="str" s="431" cm="1">
        <f t="array" ref="L598">IF(B598&gt;0,'Direct Costs 2026'!$C$23,"N/A")</f>
        <v>N/A</v>
      </c>
      <c r="M598" t="str" s="431" cm="1">
        <f t="array" ref="M598">IF(B598&gt;0,'Direct Costs 2026'!$C$45*B598,"N/A")</f>
        <v>N/A</v>
      </c>
      <c r="N598" t="str" s="431" cm="1">
        <f t="array" ref="N598">IF(B598&gt;0,_xlfn.IFERROR(VLOOKUP(C579,'Boats Data Sheet 2026'!$C$3:$I$57,7,0)*'Direct Costs 2026'!$C$36,"N/A"),"N/A")</f>
        <v>N/A</v>
      </c>
      <c r="O598" t="str" s="431" cm="1">
        <f t="array" ref="O598">IF(B598&gt;0,IF(OR(VLOOKUP(C579,'Boats Data Sheet 2026'!$C$3:$F$57,4,0)="Own",VLOOKUP(C579,'Boats Data Sheet 2026'!$C$3:$F$57,4,0)="Management"),('Direct Costs 2026'!$C$37+'Direct Costs 2026'!$C$39),"N/A"),"N/A")</f>
        <v>N/A</v>
      </c>
      <c r="P598" s="423">
        <v>0</v>
      </c>
      <c r="Q598" t="str" s="431" cm="1">
        <f t="array" ref="Q598">_xlfn.IFERROR(C598+SUM(E598:P598),"N/A")</f>
        <v>N/A</v>
      </c>
      <c r="R598" s="424"/>
      <c r="S598" t="str" s="431" cm="1">
        <f t="array" ref="S598">IF(B598&gt;0,'Allocation OH and Target 2026'!$E$31,"N/A")</f>
        <v>N/A</v>
      </c>
      <c r="T598" t="str" s="431" cm="1">
        <f t="array" ref="T598">IF(B598&gt;0,VLOOKUP(C579,'Allocation OH and Target 2026'!$C$35:$S$87,16,0),"N/A")</f>
        <v>N/A</v>
      </c>
      <c r="U598" t="str" s="431" cm="1">
        <f t="array" ref="U598">_xlfn.IFERROR((S598+T598),"N/A")</f>
        <v>N/A</v>
      </c>
      <c r="V598" s="424"/>
      <c r="W598" t="str" s="431" cm="1">
        <f t="array" ref="W598">_xlfn.IFERROR(U598+Q598,"N/A")</f>
        <v>N/A</v>
      </c>
      <c r="X598" t="str" s="431" cm="1">
        <f t="array" ref="X598">_xlfn.IFERROR(W598*0.5%,"N/A")</f>
        <v>N/A</v>
      </c>
      <c r="Y598" t="str" s="431" cm="1">
        <f t="array" ref="Y598">_xlfn.IFERROR(W598*25%,"N/A")</f>
        <v>N/A</v>
      </c>
      <c r="Z598" t="str" s="426" cm="1">
        <f t="array" ref="Z598">IF(B598&gt;0,(SUM(W598:Y598)-(C598/0.9-C598)),"N/A")</f>
        <v>N/A</v>
      </c>
      <c r="AA598" t="str" s="426" cm="1">
        <f t="array" ref="AA598">_xlfn.IFERROR((Z598-Z597),"N/A")</f>
        <v>N/A</v>
      </c>
      <c r="AB598" s="424"/>
      <c r="AC598" t="str" s="426" cm="1">
        <f t="array" ref="AC598">IF(B598=6,AVERAGE(Z582:Z587),"N/A")</f>
        <v>N/A</v>
      </c>
      <c r="AD598" s="424"/>
      <c r="AE598" s="423"/>
      <c r="AF598" s="423"/>
      <c r="AG598" s="423"/>
      <c r="AH598" s="423"/>
      <c r="AI598" s="423"/>
      <c r="AJ598" s="423"/>
      <c r="AK598" s="423"/>
      <c r="AL598" s="423"/>
      <c r="AM598" s="423"/>
      <c r="AN598" s="427"/>
    </row>
    <row r="599" ht="15.5" customHeight="1">
      <c r="A599" s="12"/>
      <c r="B599" s="432" cm="1">
        <f t="array" ref="B599">IF(B598=0,0,IF(B598&lt;VLOOKUP(C579,'Boats Data Sheet 2026'!$C$3:$H$57,6,0),B598+1,0))</f>
        <v>0</v>
      </c>
      <c r="C599" t="str" s="433" cm="1">
        <f t="array" ref="C599">_xlfn.IFERROR(IF(B599&gt;0,IF(VLOOKUP($C$579,'Boats Data Sheet 2026'!$C$3:$J$57,8,0)="N/A",0,VLOOKUP($C$579,'Boats Data Sheet 2026'!$C$3:$J$57,8,0)),"N/A")*85%,"N/A")</f>
        <v>N/A</v>
      </c>
      <c r="D599" t="str" s="433" cm="1">
        <f t="array" ref="D599">IF(B599&gt;7,2,IF(B599=0,"N/A",1))</f>
        <v>N/A</v>
      </c>
      <c r="E599" t="str" s="433" cm="1">
        <f t="array" ref="E599">_xlfn.IFERROR(SUM('Direct Costs 2026'!$C$4:$C$5)*D599,"N/A")</f>
        <v>N/A</v>
      </c>
      <c r="F599" s="434" cm="1">
        <f t="array" ref="F599">_xlfn.IFERROR('Direct Costs 2026'!$C$43*B599,"N/A")</f>
        <v>0</v>
      </c>
      <c r="G599" t="str" s="433" cm="1">
        <f t="array" ref="G599">IF(B599&gt;0,'Direct Costs 2026'!$C$25,"N/A")</f>
        <v>N/A</v>
      </c>
      <c r="H599" s="434">
        <v>0</v>
      </c>
      <c r="I599" s="434">
        <v>0</v>
      </c>
      <c r="J599" s="434">
        <v>0</v>
      </c>
      <c r="K599" s="434">
        <v>0</v>
      </c>
      <c r="L599" t="str" s="433" cm="1">
        <f t="array" ref="L599">IF(B599&gt;0,'Direct Costs 2026'!$C$23,"N/A")</f>
        <v>N/A</v>
      </c>
      <c r="M599" t="str" s="433" cm="1">
        <f t="array" ref="M599">IF(B599&gt;0,'Direct Costs 2026'!$C$45*B599,"N/A")</f>
        <v>N/A</v>
      </c>
      <c r="N599" t="str" s="433" cm="1">
        <f t="array" ref="N599">IF(B599&gt;0,_xlfn.IFERROR(VLOOKUP(C579,'Boats Data Sheet 2026'!$C$3:$I$57,7,0)*'Direct Costs 2026'!$C$36,"N/A"),"N/A")</f>
        <v>N/A</v>
      </c>
      <c r="O599" t="str" s="433" cm="1">
        <f t="array" ref="O599">IF(B599&gt;0,IF(OR(VLOOKUP(C579,'Boats Data Sheet 2026'!$C$3:$F$57,4,0)="Own",VLOOKUP(C579,'Boats Data Sheet 2026'!$C$3:$F$57,4,0)="Management"),('Direct Costs 2026'!$C$37+'Direct Costs 2026'!$C$39),"N/A"),"N/A")</f>
        <v>N/A</v>
      </c>
      <c r="P599" s="434">
        <v>0</v>
      </c>
      <c r="Q599" t="str" s="433" cm="1">
        <f t="array" ref="Q599">_xlfn.IFERROR(C599+SUM(E599:P599),"N/A")</f>
        <v>N/A</v>
      </c>
      <c r="R599" s="435"/>
      <c r="S599" t="str" s="433" cm="1">
        <f t="array" ref="S599">IF(B599&gt;0,'Allocation OH and Target 2026'!$E$31,"N/A")</f>
        <v>N/A</v>
      </c>
      <c r="T599" t="str" s="433" cm="1">
        <f t="array" ref="T599">IF(B599&gt;0,VLOOKUP(C579,'Allocation OH and Target 2026'!$C$35:$S$87,16,0),"N/A")</f>
        <v>N/A</v>
      </c>
      <c r="U599" t="str" s="433" cm="1">
        <f t="array" ref="U599">_xlfn.IFERROR((S599+T599),"N/A")</f>
        <v>N/A</v>
      </c>
      <c r="V599" s="435"/>
      <c r="W599" t="str" s="433" cm="1">
        <f t="array" ref="W599">_xlfn.IFERROR(U599+Q599,"N/A")</f>
        <v>N/A</v>
      </c>
      <c r="X599" t="str" s="433" cm="1">
        <f t="array" ref="X599">_xlfn.IFERROR(W599*0.5%,"N/A")</f>
        <v>N/A</v>
      </c>
      <c r="Y599" t="str" s="433" cm="1">
        <f t="array" ref="Y599">_xlfn.IFERROR(W599*25%,"N/A")</f>
        <v>N/A</v>
      </c>
      <c r="Z599" t="str" s="436" cm="1">
        <f t="array" ref="Z599">IF(B599&gt;0,(SUM(W599:Y599)-(C599/0.9-C599)),"N/A")</f>
        <v>N/A</v>
      </c>
      <c r="AA599" t="str" s="436" cm="1">
        <f t="array" ref="AA599">_xlfn.IFERROR((Z599-Z598),"N/A")</f>
        <v>N/A</v>
      </c>
      <c r="AB599" s="435"/>
      <c r="AC599" t="str" s="436" cm="1">
        <f t="array" ref="AC599">IF(B599=6,AVERAGE(Z582:Z587),"N/A")</f>
        <v>N/A</v>
      </c>
      <c r="AD599" s="435"/>
      <c r="AE599" s="434"/>
      <c r="AF599" s="434"/>
      <c r="AG599" s="434"/>
      <c r="AH599" s="434"/>
      <c r="AI599" s="434"/>
      <c r="AJ599" s="434"/>
      <c r="AK599" s="434"/>
      <c r="AL599" s="434"/>
      <c r="AM599" s="434"/>
      <c r="AN599" s="437"/>
    </row>
    <row r="600" ht="15" customHeight="1">
      <c r="A600" s="32"/>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c r="AH600" s="124"/>
      <c r="AI600" s="124"/>
      <c r="AJ600" s="124"/>
      <c r="AK600" s="124"/>
      <c r="AL600" s="124"/>
      <c r="AM600" s="124"/>
      <c r="AN600" s="313"/>
    </row>
    <row r="601" ht="15" customHeight="1">
      <c r="A601" s="32"/>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c r="AH601" s="35"/>
      <c r="AI601" s="35"/>
      <c r="AJ601" s="35"/>
      <c r="AK601" s="35"/>
      <c r="AL601" s="35"/>
      <c r="AM601" s="35"/>
      <c r="AN601" s="442"/>
    </row>
    <row r="602" ht="15.5" customHeight="1">
      <c r="A602" s="395">
        <v>30</v>
      </c>
      <c r="B602" t="s" s="396">
        <v>506</v>
      </c>
      <c r="C602" t="s" s="397">
        <v>212</v>
      </c>
      <c r="D602" s="398"/>
      <c r="E602" t="s" s="397">
        <v>557</v>
      </c>
      <c r="F602" s="398"/>
      <c r="G602" s="398"/>
      <c r="H602" s="398"/>
      <c r="I602" s="398"/>
      <c r="J602" s="398"/>
      <c r="K602" s="398"/>
      <c r="L602" s="398"/>
      <c r="M602" s="398"/>
      <c r="N602" s="398"/>
      <c r="O602" s="398"/>
      <c r="P602" s="398"/>
      <c r="Q602" s="398"/>
      <c r="R602" s="399"/>
      <c r="S602" s="398"/>
      <c r="T602" s="398"/>
      <c r="U602" s="398"/>
      <c r="V602" s="399"/>
      <c r="W602" s="398"/>
      <c r="X602" s="398"/>
      <c r="Y602" s="398"/>
      <c r="Z602" s="398"/>
      <c r="AA602" s="398"/>
      <c r="AB602" s="399"/>
      <c r="AC602" s="398"/>
      <c r="AD602" s="399"/>
      <c r="AE602" t="s" s="397">
        <v>508</v>
      </c>
      <c r="AF602" s="401" cm="1">
        <f t="array" ref="AF602">AVERAGE(Q605:Q610)</f>
        <v>25451500</v>
      </c>
      <c r="AG602" t="s" s="400">
        <v>509</v>
      </c>
      <c r="AH602" s="401" cm="1">
        <f t="array" ref="AH602">AVERAGE(Q611:Q618)-AF602</f>
        <v>1764428.57142857</v>
      </c>
      <c r="AI602" t="s" s="400">
        <v>510</v>
      </c>
      <c r="AJ602" s="401" cm="1">
        <f t="array" ref="AJ602">AVERAGE(Y605:Y612)</f>
        <v>7204346.16442453</v>
      </c>
      <c r="AK602" t="s" s="397">
        <v>511</v>
      </c>
      <c r="AL602" s="401" cm="1">
        <f t="array" ref="AL602">AVERAGE(W605:W610)</f>
        <v>28551947.1576981</v>
      </c>
      <c r="AM602" t="s" s="400">
        <v>512</v>
      </c>
      <c r="AN602" s="402" cm="1">
        <f t="array" ref="AN602">W605</f>
        <v>28161947.1576981</v>
      </c>
    </row>
    <row r="603" ht="15" customHeight="1">
      <c r="A603" s="12"/>
      <c r="B603" s="403"/>
      <c r="C603" t="s" s="404">
        <v>513</v>
      </c>
      <c r="D603" s="405"/>
      <c r="E603" s="405"/>
      <c r="F603" s="405"/>
      <c r="G603" s="405"/>
      <c r="H603" s="405"/>
      <c r="I603" s="405"/>
      <c r="J603" s="405"/>
      <c r="K603" s="405"/>
      <c r="L603" s="405"/>
      <c r="M603" s="405"/>
      <c r="N603" s="405"/>
      <c r="O603" s="405"/>
      <c r="P603" s="405"/>
      <c r="Q603" s="406"/>
      <c r="R603" s="407"/>
      <c r="S603" t="s" s="404">
        <v>514</v>
      </c>
      <c r="T603" s="405"/>
      <c r="U603" s="406"/>
      <c r="V603" s="407"/>
      <c r="W603" t="s" s="404">
        <v>515</v>
      </c>
      <c r="X603" s="405"/>
      <c r="Y603" s="405"/>
      <c r="Z603" s="405"/>
      <c r="AA603" s="405"/>
      <c r="AB603" s="408"/>
      <c r="AC603" s="443"/>
      <c r="AD603" s="410"/>
      <c r="AE603" s="443"/>
      <c r="AF603" s="443"/>
      <c r="AG603" s="443"/>
      <c r="AH603" s="443"/>
      <c r="AI603" s="443"/>
      <c r="AJ603" s="443"/>
      <c r="AK603" s="443"/>
      <c r="AL603" s="414"/>
      <c r="AM603" s="415"/>
      <c r="AN603" s="414"/>
    </row>
    <row r="604" ht="46.25" customHeight="1">
      <c r="A604" s="187"/>
      <c r="B604" t="s" s="416">
        <v>517</v>
      </c>
      <c r="C604" t="s" s="417">
        <v>518</v>
      </c>
      <c r="D604" t="s" s="417">
        <v>519</v>
      </c>
      <c r="E604" t="s" s="417">
        <v>520</v>
      </c>
      <c r="F604" t="s" s="159">
        <v>521</v>
      </c>
      <c r="G604" t="s" s="159">
        <v>522</v>
      </c>
      <c r="H604" t="s" s="159">
        <v>553</v>
      </c>
      <c r="I604" t="s" s="159">
        <v>524</v>
      </c>
      <c r="J604" t="s" s="159">
        <v>525</v>
      </c>
      <c r="K604" t="s" s="159">
        <v>526</v>
      </c>
      <c r="L604" t="s" s="159">
        <v>527</v>
      </c>
      <c r="M604" t="s" s="159">
        <v>528</v>
      </c>
      <c r="N604" t="s" s="159">
        <v>529</v>
      </c>
      <c r="O604" t="s" s="159">
        <v>530</v>
      </c>
      <c r="P604" t="s" s="159">
        <v>531</v>
      </c>
      <c r="Q604" t="s" s="159">
        <v>532</v>
      </c>
      <c r="R604" s="418"/>
      <c r="S604" t="s" s="159">
        <v>533</v>
      </c>
      <c r="T604" t="s" s="159">
        <v>534</v>
      </c>
      <c r="U604" t="s" s="159">
        <v>535</v>
      </c>
      <c r="V604" s="418"/>
      <c r="W604" t="s" s="159">
        <v>536</v>
      </c>
      <c r="X604" t="s" s="159">
        <v>537</v>
      </c>
      <c r="Y604" t="s" s="159">
        <v>538</v>
      </c>
      <c r="Z604" t="s" s="159">
        <v>539</v>
      </c>
      <c r="AA604" t="s" s="159">
        <v>121</v>
      </c>
      <c r="AB604" s="419"/>
      <c r="AC604" t="s" s="159">
        <v>39</v>
      </c>
      <c r="AD604" s="419"/>
      <c r="AE604" s="77"/>
      <c r="AF604" s="77"/>
      <c r="AG604" s="77"/>
      <c r="AH604" s="77"/>
      <c r="AI604" s="77"/>
      <c r="AJ604" s="77"/>
      <c r="AK604" s="77"/>
      <c r="AL604" s="77"/>
      <c r="AM604" s="77"/>
      <c r="AN604" s="78"/>
    </row>
    <row r="605" ht="15" customHeight="1">
      <c r="A605" s="12"/>
      <c r="B605" s="420">
        <v>1</v>
      </c>
      <c r="C605" s="421" cm="1">
        <f t="array" ref="C605">_xlfn.IFERROR(IF(B605&gt;0,IF(VLOOKUP($C$602,'Boats Data Sheet 2026'!$C$3:$J$57,8,0)="N/A",0,VLOOKUP($C$602,'Boats Data Sheet 2026'!$C$3:$J$57,8,0)),"N/A")*85%,"N/A")</f>
        <v>23800000</v>
      </c>
      <c r="D605" s="422" cm="1">
        <f t="array" ref="D605">IF(B605&gt;7,2,IF(B605=0,"N/A",1))</f>
        <v>1</v>
      </c>
      <c r="E605" s="421" cm="1">
        <f t="array" ref="E605">_xlfn.IFERROR(SUM('Direct Costs 2026'!$C$4:$C$5)*D605,"N/A")</f>
        <v>875500</v>
      </c>
      <c r="F605" s="423" cm="1">
        <f t="array" ref="F605">_xlfn.IFERROR('Direct Costs 2026'!$C$43*B605,"N/A")</f>
        <v>6000</v>
      </c>
      <c r="G605" s="423" cm="1">
        <f t="array" ref="G605">IF(B605&gt;0,'Direct Costs 2026'!$C$25,"N/A")</f>
        <v>90000</v>
      </c>
      <c r="H605" s="423">
        <v>0</v>
      </c>
      <c r="I605" s="423">
        <v>0</v>
      </c>
      <c r="J605" s="423">
        <v>0</v>
      </c>
      <c r="K605" s="423">
        <v>0</v>
      </c>
      <c r="L605" s="423" cm="1">
        <f t="array" ref="L605">IF(B605&gt;0,'Direct Costs 2026'!$C$23,"N/A")</f>
        <v>140000</v>
      </c>
      <c r="M605" s="423" cm="1">
        <f t="array" ref="M605">IF(B605&gt;0,'Direct Costs 2026'!$C$45*B605,"N/A")</f>
        <v>150000</v>
      </c>
      <c r="N605" t="str" s="431" cm="1">
        <f t="array" ref="N605">IF(B605&gt;0,_xlfn.IFERROR(VLOOKUP(C602,'Boats Data Sheet 2026'!$C$3:$I$57,7,0)*'Direct Costs 2026'!$C$36,"N/A"),"N/A")</f>
        <v>N/A</v>
      </c>
      <c r="O605" t="str" s="431" cm="1">
        <f t="array" ref="O605">IF(B605&gt;0,IF(OR(VLOOKUP(C602,'Boats Data Sheet 2026'!$C$3:$F$57,4,0)="Own",VLOOKUP(C602,'Boats Data Sheet 2026'!$C$3:$F$57,4,0)="Management"),('Direct Costs 2026'!$C$37+'Direct Costs 2026'!$C$39),"N/A"),"N/A")</f>
        <v>N/A</v>
      </c>
      <c r="P605" s="423">
        <v>0</v>
      </c>
      <c r="Q605" s="423" cm="1">
        <f t="array" ref="Q605">_xlfn.IFERROR(C605+SUM(E605:P605),"N/A")</f>
        <v>25061500</v>
      </c>
      <c r="R605" s="424"/>
      <c r="S605" s="423" cm="1">
        <f t="array" ref="S605">IF(B605&gt;0,'Allocation OH and Target 2026'!$E$31,"N/A")</f>
        <v>3100447.15769812</v>
      </c>
      <c r="T605" s="423" cm="1">
        <f t="array" ref="T605">IF(B605&gt;0,VLOOKUP(C602,'Allocation OH and Target 2026'!$C$35:$S$87,16,0),"N/A")</f>
        <v>0</v>
      </c>
      <c r="U605" s="423" cm="1">
        <f t="array" ref="U605">_xlfn.IFERROR((S605+T605),"N/A")</f>
        <v>3100447.15769812</v>
      </c>
      <c r="V605" s="424"/>
      <c r="W605" s="423" cm="1">
        <f t="array" ref="W605">_xlfn.IFERROR(U605+Q605,"N/A")</f>
        <v>28161947.1576981</v>
      </c>
      <c r="X605" s="423" cm="1">
        <f t="array" ref="X605">_xlfn.IFERROR(W605*0.5%,"N/A")</f>
        <v>140809.735788491</v>
      </c>
      <c r="Y605" s="423" cm="1">
        <f t="array" ref="Y605">_xlfn.IFERROR(W605*25%,"N/A")</f>
        <v>7040486.78942453</v>
      </c>
      <c r="Z605" s="425" cm="1">
        <f t="array" ref="Z605">IF(B605&gt;0,(SUM(W605:Y605)-(C605/0.9-C605)),"N/A")</f>
        <v>32698799.2384667</v>
      </c>
      <c r="AA605" s="425">
        <v>0</v>
      </c>
      <c r="AB605" s="424"/>
      <c r="AC605" t="str" s="426" cm="1">
        <f t="array" ref="AC605">IF(B605=6,AVERAGE(Z605:Z610),"N/A")</f>
        <v>N/A</v>
      </c>
      <c r="AD605" s="424"/>
      <c r="AE605" s="423"/>
      <c r="AF605" s="423"/>
      <c r="AG605" s="423"/>
      <c r="AH605" s="423"/>
      <c r="AI605" s="423"/>
      <c r="AJ605" s="423"/>
      <c r="AK605" s="423"/>
      <c r="AL605" s="423"/>
      <c r="AM605" s="423"/>
      <c r="AN605" s="427"/>
    </row>
    <row r="606" ht="15" customHeight="1">
      <c r="A606" s="12"/>
      <c r="B606" s="428" cm="1">
        <f t="array" ref="B606">IF(B605=0,0,IF(B605&lt;VLOOKUP(C602,'Boats Data Sheet 2026'!$C$3:$H$57,6,0),B605+1,0))</f>
        <v>2</v>
      </c>
      <c r="C606" s="423" cm="1">
        <f t="array" ref="C606">_xlfn.IFERROR(IF(B606&gt;0,IF(VLOOKUP($C$602,'Boats Data Sheet 2026'!$C$3:$J$57,8,0)="N/A",0,VLOOKUP($C$602,'Boats Data Sheet 2026'!$C$3:$J$57,8,0)),"N/A")*85%,"N/A")</f>
        <v>23800000</v>
      </c>
      <c r="D606" s="429" cm="1">
        <f t="array" ref="D606">IF(B606&gt;7,2,IF(B606=0,"N/A",1))</f>
        <v>1</v>
      </c>
      <c r="E606" s="423" cm="1">
        <f t="array" ref="E606">_xlfn.IFERROR(SUM('Direct Costs 2026'!$C$4:$C$5)*D606,"N/A")</f>
        <v>875500</v>
      </c>
      <c r="F606" s="423" cm="1">
        <f t="array" ref="F606">_xlfn.IFERROR('Direct Costs 2026'!$C$43*B606,"N/A")</f>
        <v>12000</v>
      </c>
      <c r="G606" s="423" cm="1">
        <f t="array" ref="G606">IF(B606&gt;0,'Direct Costs 2026'!$C$25,"N/A")</f>
        <v>90000</v>
      </c>
      <c r="H606" s="423">
        <v>0</v>
      </c>
      <c r="I606" s="423">
        <v>0</v>
      </c>
      <c r="J606" s="423">
        <v>0</v>
      </c>
      <c r="K606" s="423">
        <v>0</v>
      </c>
      <c r="L606" s="423" cm="1">
        <f t="array" ref="L606">IF(B606&gt;0,'Direct Costs 2026'!$C$23,"N/A")</f>
        <v>140000</v>
      </c>
      <c r="M606" s="423" cm="1">
        <f t="array" ref="M606">IF(B606&gt;0,'Direct Costs 2026'!$C$45*B606,"N/A")</f>
        <v>300000</v>
      </c>
      <c r="N606" t="str" s="431" cm="1">
        <f t="array" ref="N606">IF(B606&gt;0,_xlfn.IFERROR(VLOOKUP(C602,'Boats Data Sheet 2026'!$C$3:$I$57,7,0)*'Direct Costs 2026'!$C$36,"N/A"),"N/A")</f>
        <v>N/A</v>
      </c>
      <c r="O606" t="str" s="431" cm="1">
        <f t="array" ref="O606">IF(B606&gt;0,IF(OR(VLOOKUP(C602,'Boats Data Sheet 2026'!$C$3:$F$57,4,0)="Own",VLOOKUP(C602,'Boats Data Sheet 2026'!$C$3:$F$57,4,0)="Management"),('Direct Costs 2026'!$C$37+'Direct Costs 2026'!$C$39),"N/A"),"N/A")</f>
        <v>N/A</v>
      </c>
      <c r="P606" s="423">
        <v>0</v>
      </c>
      <c r="Q606" s="423" cm="1">
        <f t="array" ref="Q606">_xlfn.IFERROR(C606+SUM(E606:P606),"N/A")</f>
        <v>25217500</v>
      </c>
      <c r="R606" s="424"/>
      <c r="S606" s="423" cm="1">
        <f t="array" ref="S606">IF(B606&gt;0,'Allocation OH and Target 2026'!$E$31,"N/A")</f>
        <v>3100447.15769812</v>
      </c>
      <c r="T606" s="423" cm="1">
        <f t="array" ref="T606">IF(B606&gt;0,VLOOKUP(C602,'Allocation OH and Target 2026'!$C$35:$S$87,16,0),"N/A")</f>
        <v>0</v>
      </c>
      <c r="U606" s="423" cm="1">
        <f t="array" ref="U606">_xlfn.IFERROR((S606+T606),"N/A")</f>
        <v>3100447.15769812</v>
      </c>
      <c r="V606" s="424"/>
      <c r="W606" s="423" cm="1">
        <f t="array" ref="W606">_xlfn.IFERROR(U606+Q606,"N/A")</f>
        <v>28317947.1576981</v>
      </c>
      <c r="X606" s="423" cm="1">
        <f t="array" ref="X606">_xlfn.IFERROR(W606*0.5%,"N/A")</f>
        <v>141589.735788491</v>
      </c>
      <c r="Y606" s="423" cm="1">
        <f t="array" ref="Y606">_xlfn.IFERROR(W606*25%,"N/A")</f>
        <v>7079486.78942453</v>
      </c>
      <c r="Z606" s="425" cm="1">
        <f t="array" ref="Z606">IF(B606&gt;0,(SUM(W606:Y606)-(C606/0.9-C606)),"N/A")</f>
        <v>32894579.2384667</v>
      </c>
      <c r="AA606" s="425" cm="1">
        <f t="array" ref="AA606">_xlfn.IFERROR((Z606-Z605),"N/A")</f>
        <v>195780</v>
      </c>
      <c r="AB606" s="424"/>
      <c r="AC606" t="str" s="426" cm="1">
        <f t="array" ref="AC606">IF(B606=6,AVERAGE(Z605:Z610),"N/A")</f>
        <v>N/A</v>
      </c>
      <c r="AD606" s="424"/>
      <c r="AE606" s="423"/>
      <c r="AF606" s="423"/>
      <c r="AG606" s="423"/>
      <c r="AH606" s="423"/>
      <c r="AI606" s="423"/>
      <c r="AJ606" s="423"/>
      <c r="AK606" s="423"/>
      <c r="AL606" s="423"/>
      <c r="AM606" s="423"/>
      <c r="AN606" s="427"/>
    </row>
    <row r="607" ht="15" customHeight="1">
      <c r="A607" s="12"/>
      <c r="B607" s="428" cm="1">
        <f t="array" ref="B607">IF(B606=0,0,IF(B606&lt;VLOOKUP(C602,'Boats Data Sheet 2026'!$C$3:$H$57,6,0),B606+1,0))</f>
        <v>3</v>
      </c>
      <c r="C607" s="423" cm="1">
        <f t="array" ref="C607">_xlfn.IFERROR(IF(B607&gt;0,IF(VLOOKUP($C$602,'Boats Data Sheet 2026'!$C$3:$J$57,8,0)="N/A",0,VLOOKUP($C$602,'Boats Data Sheet 2026'!$C$3:$J$57,8,0)),"N/A")*85%,"N/A")</f>
        <v>23800000</v>
      </c>
      <c r="D607" s="429" cm="1">
        <f t="array" ref="D607">IF(B607&gt;7,2,IF(B607=0,"N/A",1))</f>
        <v>1</v>
      </c>
      <c r="E607" s="423" cm="1">
        <f t="array" ref="E607">_xlfn.IFERROR(SUM('Direct Costs 2026'!$C$4:$C$5)*D607,"N/A")</f>
        <v>875500</v>
      </c>
      <c r="F607" s="423" cm="1">
        <f t="array" ref="F607">_xlfn.IFERROR('Direct Costs 2026'!$C$43*B607,"N/A")</f>
        <v>18000</v>
      </c>
      <c r="G607" s="423" cm="1">
        <f t="array" ref="G607">IF(B607&gt;0,'Direct Costs 2026'!$C$25,"N/A")</f>
        <v>90000</v>
      </c>
      <c r="H607" s="423">
        <v>0</v>
      </c>
      <c r="I607" s="423">
        <v>0</v>
      </c>
      <c r="J607" s="423">
        <v>0</v>
      </c>
      <c r="K607" s="423">
        <v>0</v>
      </c>
      <c r="L607" s="423" cm="1">
        <f t="array" ref="L607">IF(B607&gt;0,'Direct Costs 2026'!$C$23,"N/A")</f>
        <v>140000</v>
      </c>
      <c r="M607" s="423" cm="1">
        <f t="array" ref="M607">IF(B607&gt;0,'Direct Costs 2026'!$C$45*B607,"N/A")</f>
        <v>450000</v>
      </c>
      <c r="N607" t="str" s="431" cm="1">
        <f t="array" ref="N607">IF(B607&gt;0,_xlfn.IFERROR(VLOOKUP(C602,'Boats Data Sheet 2026'!$C$3:$I$57,7,0)*'Direct Costs 2026'!$C$36,"N/A"),"N/A")</f>
        <v>N/A</v>
      </c>
      <c r="O607" t="str" s="431" cm="1">
        <f t="array" ref="O607">IF(B607&gt;0,IF(OR(VLOOKUP(C602,'Boats Data Sheet 2026'!$C$3:$F$57,4,0)="Own",VLOOKUP(C602,'Boats Data Sheet 2026'!$C$3:$F$57,4,0)="Management"),('Direct Costs 2026'!$C$37+'Direct Costs 2026'!$C$39),"N/A"),"N/A")</f>
        <v>N/A</v>
      </c>
      <c r="P607" s="423">
        <v>0</v>
      </c>
      <c r="Q607" s="423" cm="1">
        <f t="array" ref="Q607">_xlfn.IFERROR(C607+SUM(E607:P607),"N/A")</f>
        <v>25373500</v>
      </c>
      <c r="R607" s="424"/>
      <c r="S607" s="423" cm="1">
        <f t="array" ref="S607">IF(B607&gt;0,'Allocation OH and Target 2026'!$E$31,"N/A")</f>
        <v>3100447.15769812</v>
      </c>
      <c r="T607" s="423" cm="1">
        <f t="array" ref="T607">IF(B607&gt;0,VLOOKUP(C602,'Allocation OH and Target 2026'!$C$35:$S$87,16,0),"N/A")</f>
        <v>0</v>
      </c>
      <c r="U607" s="423" cm="1">
        <f t="array" ref="U607">_xlfn.IFERROR((S607+T607),"N/A")</f>
        <v>3100447.15769812</v>
      </c>
      <c r="V607" s="424"/>
      <c r="W607" s="423" cm="1">
        <f t="array" ref="W607">_xlfn.IFERROR(U607+Q607,"N/A")</f>
        <v>28473947.1576981</v>
      </c>
      <c r="X607" s="423" cm="1">
        <f t="array" ref="X607">_xlfn.IFERROR(W607*0.5%,"N/A")</f>
        <v>142369.735788491</v>
      </c>
      <c r="Y607" s="423" cm="1">
        <f t="array" ref="Y607">_xlfn.IFERROR(W607*25%,"N/A")</f>
        <v>7118486.78942453</v>
      </c>
      <c r="Z607" s="425" cm="1">
        <f t="array" ref="Z607">IF(B607&gt;0,(SUM(W607:Y607)-(C607/0.9-C607)),"N/A")</f>
        <v>33090359.2384667</v>
      </c>
      <c r="AA607" s="425" cm="1">
        <f t="array" ref="AA607">_xlfn.IFERROR((Z607-Z606),"N/A")</f>
        <v>195780</v>
      </c>
      <c r="AB607" s="424"/>
      <c r="AC607" t="str" s="426" cm="1">
        <f t="array" ref="AC607">IF(B607=6,AVERAGE(Z605:Z610),"N/A")</f>
        <v>N/A</v>
      </c>
      <c r="AD607" s="424"/>
      <c r="AE607" s="423"/>
      <c r="AF607" s="423"/>
      <c r="AG607" s="423"/>
      <c r="AH607" s="423"/>
      <c r="AI607" s="423"/>
      <c r="AJ607" s="423"/>
      <c r="AK607" s="423"/>
      <c r="AL607" s="423"/>
      <c r="AM607" s="423"/>
      <c r="AN607" s="427"/>
    </row>
    <row r="608" ht="15" customHeight="1">
      <c r="A608" s="12"/>
      <c r="B608" s="428" cm="1">
        <f t="array" ref="B608">IF(B607=0,0,IF(B607&lt;VLOOKUP(C602,'Boats Data Sheet 2026'!$C$3:$H$57,6,0),B607+1,0))</f>
        <v>4</v>
      </c>
      <c r="C608" s="423" cm="1">
        <f t="array" ref="C608">_xlfn.IFERROR(IF(B608&gt;0,IF(VLOOKUP($C$602,'Boats Data Sheet 2026'!$C$3:$J$57,8,0)="N/A",0,VLOOKUP($C$602,'Boats Data Sheet 2026'!$C$3:$J$57,8,0)),"N/A")*85%,"N/A")</f>
        <v>23800000</v>
      </c>
      <c r="D608" s="429" cm="1">
        <f t="array" ref="D608">IF(B608&gt;7,2,IF(B608=0,"N/A",1))</f>
        <v>1</v>
      </c>
      <c r="E608" s="423" cm="1">
        <f t="array" ref="E608">_xlfn.IFERROR(SUM('Direct Costs 2026'!$C$4:$C$5)*D608,"N/A")</f>
        <v>875500</v>
      </c>
      <c r="F608" s="423" cm="1">
        <f t="array" ref="F608">_xlfn.IFERROR('Direct Costs 2026'!$C$43*B608,"N/A")</f>
        <v>24000</v>
      </c>
      <c r="G608" s="423" cm="1">
        <f t="array" ref="G608">IF(B608&gt;0,'Direct Costs 2026'!$C$25,"N/A")</f>
        <v>90000</v>
      </c>
      <c r="H608" s="423">
        <v>0</v>
      </c>
      <c r="I608" s="423">
        <v>0</v>
      </c>
      <c r="J608" s="423">
        <v>0</v>
      </c>
      <c r="K608" s="423">
        <v>0</v>
      </c>
      <c r="L608" s="423" cm="1">
        <f t="array" ref="L608">IF(B608&gt;0,'Direct Costs 2026'!$C$23,"N/A")</f>
        <v>140000</v>
      </c>
      <c r="M608" s="423" cm="1">
        <f t="array" ref="M608">IF(B608&gt;0,'Direct Costs 2026'!$C$45*B608,"N/A")</f>
        <v>600000</v>
      </c>
      <c r="N608" t="str" s="431" cm="1">
        <f t="array" ref="N608">IF(B608&gt;0,_xlfn.IFERROR(VLOOKUP(C602,'Boats Data Sheet 2026'!$C$3:$I$57,7,0)*'Direct Costs 2026'!$C$36,"N/A"),"N/A")</f>
        <v>N/A</v>
      </c>
      <c r="O608" t="str" s="431" cm="1">
        <f t="array" ref="O608">IF(B608&gt;0,IF(OR(VLOOKUP(C602,'Boats Data Sheet 2026'!$C$3:$F$57,4,0)="Own",VLOOKUP(C602,'Boats Data Sheet 2026'!$C$3:$F$57,4,0)="Management"),('Direct Costs 2026'!$C$37+'Direct Costs 2026'!$C$39),"N/A"),"N/A")</f>
        <v>N/A</v>
      </c>
      <c r="P608" s="423">
        <v>0</v>
      </c>
      <c r="Q608" s="423" cm="1">
        <f t="array" ref="Q608">_xlfn.IFERROR(C608+SUM(E608:P608),"N/A")</f>
        <v>25529500</v>
      </c>
      <c r="R608" s="424"/>
      <c r="S608" s="423" cm="1">
        <f t="array" ref="S608">IF(B608&gt;0,'Allocation OH and Target 2026'!$E$31,"N/A")</f>
        <v>3100447.15769812</v>
      </c>
      <c r="T608" s="423" cm="1">
        <f t="array" ref="T608">IF(B608&gt;0,VLOOKUP(C602,'Allocation OH and Target 2026'!$C$35:$S$87,16,0),"N/A")</f>
        <v>0</v>
      </c>
      <c r="U608" s="423" cm="1">
        <f t="array" ref="U608">_xlfn.IFERROR((S608+T608),"N/A")</f>
        <v>3100447.15769812</v>
      </c>
      <c r="V608" s="424"/>
      <c r="W608" s="423" cm="1">
        <f t="array" ref="W608">_xlfn.IFERROR(U608+Q608,"N/A")</f>
        <v>28629947.1576981</v>
      </c>
      <c r="X608" s="423" cm="1">
        <f t="array" ref="X608">_xlfn.IFERROR(W608*0.5%,"N/A")</f>
        <v>143149.735788491</v>
      </c>
      <c r="Y608" s="423" cm="1">
        <f t="array" ref="Y608">_xlfn.IFERROR(W608*25%,"N/A")</f>
        <v>7157486.78942453</v>
      </c>
      <c r="Z608" s="425" cm="1">
        <f t="array" ref="Z608">IF(B608&gt;0,(SUM(W608:Y608)-(C608/0.9-C608)),"N/A")</f>
        <v>33286139.2384667</v>
      </c>
      <c r="AA608" s="425" cm="1">
        <f t="array" ref="AA608">_xlfn.IFERROR((Z608-Z607),"N/A")</f>
        <v>195780</v>
      </c>
      <c r="AB608" s="424"/>
      <c r="AC608" t="str" s="426" cm="1">
        <f t="array" ref="AC608">IF(B608=6,AVERAGE(Z605:Z610),"N/A")</f>
        <v>N/A</v>
      </c>
      <c r="AD608" s="424"/>
      <c r="AE608" s="423"/>
      <c r="AF608" s="423"/>
      <c r="AG608" s="423"/>
      <c r="AH608" s="423"/>
      <c r="AI608" s="423"/>
      <c r="AJ608" s="423"/>
      <c r="AK608" s="423"/>
      <c r="AL608" s="423"/>
      <c r="AM608" s="423"/>
      <c r="AN608" s="427"/>
    </row>
    <row r="609" ht="15" customHeight="1">
      <c r="A609" s="12"/>
      <c r="B609" s="428" cm="1">
        <f t="array" ref="B609">IF(B608=0,0,IF(B608&lt;VLOOKUP(C602,'Boats Data Sheet 2026'!$C$3:$H$57,6,0),B608+1,0))</f>
        <v>5</v>
      </c>
      <c r="C609" s="423" cm="1">
        <f t="array" ref="C609">_xlfn.IFERROR(IF(B609&gt;0,IF(VLOOKUP($C$602,'Boats Data Sheet 2026'!$C$3:$J$57,8,0)="N/A",0,VLOOKUP($C$602,'Boats Data Sheet 2026'!$C$3:$J$57,8,0)),"N/A")*85%,"N/A")</f>
        <v>23800000</v>
      </c>
      <c r="D609" s="429" cm="1">
        <f t="array" ref="D609">IF(B609&gt;7,2,IF(B609=0,"N/A",1))</f>
        <v>1</v>
      </c>
      <c r="E609" s="423" cm="1">
        <f t="array" ref="E609">_xlfn.IFERROR(SUM('Direct Costs 2026'!$C$4:$C$5)*D609,"N/A")</f>
        <v>875500</v>
      </c>
      <c r="F609" s="423" cm="1">
        <f t="array" ref="F609">_xlfn.IFERROR('Direct Costs 2026'!$C$43*B609,"N/A")</f>
        <v>30000</v>
      </c>
      <c r="G609" s="423" cm="1">
        <f t="array" ref="G609">IF(B609&gt;0,'Direct Costs 2026'!$C$25,"N/A")</f>
        <v>90000</v>
      </c>
      <c r="H609" s="423">
        <v>0</v>
      </c>
      <c r="I609" s="423">
        <v>0</v>
      </c>
      <c r="J609" s="423">
        <v>0</v>
      </c>
      <c r="K609" s="423">
        <v>0</v>
      </c>
      <c r="L609" s="423" cm="1">
        <f t="array" ref="L609">IF(B609&gt;0,'Direct Costs 2026'!$C$23,"N/A")</f>
        <v>140000</v>
      </c>
      <c r="M609" s="423" cm="1">
        <f t="array" ref="M609">IF(B609&gt;0,'Direct Costs 2026'!$C$45*B609,"N/A")</f>
        <v>750000</v>
      </c>
      <c r="N609" t="str" s="431" cm="1">
        <f t="array" ref="N609">IF(B609&gt;0,_xlfn.IFERROR(VLOOKUP(C602,'Boats Data Sheet 2026'!$C$3:$I$57,7,0)*'Direct Costs 2026'!$C$36,"N/A"),"N/A")</f>
        <v>N/A</v>
      </c>
      <c r="O609" t="str" s="431" cm="1">
        <f t="array" ref="O609">IF(B609&gt;0,IF(OR(VLOOKUP(C602,'Boats Data Sheet 2026'!$C$3:$F$57,4,0)="Own",VLOOKUP(C602,'Boats Data Sheet 2026'!$C$3:$F$57,4,0)="Management"),('Direct Costs 2026'!$C$37+'Direct Costs 2026'!$C$39),"N/A"),"N/A")</f>
        <v>N/A</v>
      </c>
      <c r="P609" s="423">
        <v>0</v>
      </c>
      <c r="Q609" s="423" cm="1">
        <f t="array" ref="Q609">_xlfn.IFERROR(C609+SUM(E609:P609),"N/A")</f>
        <v>25685500</v>
      </c>
      <c r="R609" s="424"/>
      <c r="S609" s="423" cm="1">
        <f t="array" ref="S609">IF(B609&gt;0,'Allocation OH and Target 2026'!$E$31,"N/A")</f>
        <v>3100447.15769812</v>
      </c>
      <c r="T609" s="423" cm="1">
        <f t="array" ref="T609">IF(B609&gt;0,VLOOKUP(C602,'Allocation OH and Target 2026'!$C$35:$S$87,16,0),"N/A")</f>
        <v>0</v>
      </c>
      <c r="U609" s="423" cm="1">
        <f t="array" ref="U609">_xlfn.IFERROR((S609+T609),"N/A")</f>
        <v>3100447.15769812</v>
      </c>
      <c r="V609" s="424"/>
      <c r="W609" s="423" cm="1">
        <f t="array" ref="W609">_xlfn.IFERROR(U609+Q609,"N/A")</f>
        <v>28785947.1576981</v>
      </c>
      <c r="X609" s="423" cm="1">
        <f t="array" ref="X609">_xlfn.IFERROR(W609*0.5%,"N/A")</f>
        <v>143929.735788491</v>
      </c>
      <c r="Y609" s="423" cm="1">
        <f t="array" ref="Y609">_xlfn.IFERROR(W609*25%,"N/A")</f>
        <v>7196486.78942453</v>
      </c>
      <c r="Z609" s="425" cm="1">
        <f t="array" ref="Z609">IF(B609&gt;0,(SUM(W609:Y609)-(C609/0.9-C609)),"N/A")</f>
        <v>33481919.2384667</v>
      </c>
      <c r="AA609" s="425" cm="1">
        <f t="array" ref="AA609">_xlfn.IFERROR((Z609-Z608),"N/A")</f>
        <v>195780</v>
      </c>
      <c r="AB609" s="424"/>
      <c r="AC609" t="str" s="426" cm="1">
        <f t="array" ref="AC609">IF(B609=6,AVERAGE(Z605:Z610),"N/A")</f>
        <v>N/A</v>
      </c>
      <c r="AD609" s="424"/>
      <c r="AE609" s="423"/>
      <c r="AF609" s="423"/>
      <c r="AG609" s="423"/>
      <c r="AH609" s="423"/>
      <c r="AI609" s="423"/>
      <c r="AJ609" s="423"/>
      <c r="AK609" s="423"/>
      <c r="AL609" s="423"/>
      <c r="AM609" s="423"/>
      <c r="AN609" s="427"/>
    </row>
    <row r="610" ht="15" customHeight="1">
      <c r="A610" s="12"/>
      <c r="B610" s="428" cm="1">
        <f t="array" ref="B610">IF(B609=0,0,IF(B609&lt;VLOOKUP(C602,'Boats Data Sheet 2026'!$C$3:$H$57,6,0),B609+1,0))</f>
        <v>6</v>
      </c>
      <c r="C610" s="423" cm="1">
        <f t="array" ref="C610">_xlfn.IFERROR(IF(B610&gt;0,IF(VLOOKUP($C$602,'Boats Data Sheet 2026'!$C$3:$J$57,8,0)="N/A",0,VLOOKUP($C$602,'Boats Data Sheet 2026'!$C$3:$J$57,8,0)),"N/A")*85%,"N/A")</f>
        <v>23800000</v>
      </c>
      <c r="D610" s="429" cm="1">
        <f t="array" ref="D610">IF(B610&gt;7,2,IF(B610=0,"N/A",1))</f>
        <v>1</v>
      </c>
      <c r="E610" s="423" cm="1">
        <f t="array" ref="E610">_xlfn.IFERROR(SUM('Direct Costs 2026'!$C$4:$C$5)*D610,"N/A")</f>
        <v>875500</v>
      </c>
      <c r="F610" s="423" cm="1">
        <f t="array" ref="F610">_xlfn.IFERROR('Direct Costs 2026'!$C$43*B610,"N/A")</f>
        <v>36000</v>
      </c>
      <c r="G610" s="423" cm="1">
        <f t="array" ref="G610">IF(B610&gt;0,'Direct Costs 2026'!$C$25,"N/A")</f>
        <v>90000</v>
      </c>
      <c r="H610" s="423">
        <v>0</v>
      </c>
      <c r="I610" s="423">
        <v>0</v>
      </c>
      <c r="J610" s="423">
        <v>0</v>
      </c>
      <c r="K610" s="423">
        <v>0</v>
      </c>
      <c r="L610" s="423" cm="1">
        <f t="array" ref="L610">IF(B610&gt;0,'Direct Costs 2026'!$C$23,"N/A")</f>
        <v>140000</v>
      </c>
      <c r="M610" s="423" cm="1">
        <f t="array" ref="M610">IF(B610&gt;0,'Direct Costs 2026'!$C$45*B610,"N/A")</f>
        <v>900000</v>
      </c>
      <c r="N610" t="str" s="431" cm="1">
        <f t="array" ref="N610">IF(B610&gt;0,_xlfn.IFERROR(VLOOKUP(C602,'Boats Data Sheet 2026'!$C$3:$I$57,7,0)*'Direct Costs 2026'!$C$36,"N/A"),"N/A")</f>
        <v>N/A</v>
      </c>
      <c r="O610" t="str" s="431" cm="1">
        <f t="array" ref="O610">IF(B610&gt;0,IF(OR(VLOOKUP(C602,'Boats Data Sheet 2026'!$C$3:$F$57,4,0)="Own",VLOOKUP(C602,'Boats Data Sheet 2026'!$C$3:$F$57,4,0)="Management"),('Direct Costs 2026'!$C$37+'Direct Costs 2026'!$C$39),"N/A"),"N/A")</f>
        <v>N/A</v>
      </c>
      <c r="P610" s="423">
        <v>0</v>
      </c>
      <c r="Q610" s="423" cm="1">
        <f t="array" ref="Q610">_xlfn.IFERROR(C610+SUM(E610:P610),"N/A")</f>
        <v>25841500</v>
      </c>
      <c r="R610" s="424"/>
      <c r="S610" s="423" cm="1">
        <f t="array" ref="S610">IF(B610&gt;0,'Allocation OH and Target 2026'!$E$31,"N/A")</f>
        <v>3100447.15769812</v>
      </c>
      <c r="T610" s="423" cm="1">
        <f t="array" ref="T610">IF(B610&gt;0,VLOOKUP(C602,'Allocation OH and Target 2026'!$C$35:$S$87,16,0),"N/A")</f>
        <v>0</v>
      </c>
      <c r="U610" s="423" cm="1">
        <f t="array" ref="U610">_xlfn.IFERROR((S610+T610),"N/A")</f>
        <v>3100447.15769812</v>
      </c>
      <c r="V610" s="424"/>
      <c r="W610" s="423" cm="1">
        <f t="array" ref="W610">_xlfn.IFERROR(U610+Q610,"N/A")</f>
        <v>28941947.1576981</v>
      </c>
      <c r="X610" s="423" cm="1">
        <f t="array" ref="X610">_xlfn.IFERROR(W610*0.5%,"N/A")</f>
        <v>144709.735788491</v>
      </c>
      <c r="Y610" s="423" cm="1">
        <f t="array" ref="Y610">_xlfn.IFERROR(W610*25%,"N/A")</f>
        <v>7235486.78942453</v>
      </c>
      <c r="Z610" s="425" cm="1">
        <f t="array" ref="Z610">IF(B610&gt;0,(SUM(W610:Y610)-(C610/0.9-C610)),"N/A")</f>
        <v>33677699.2384667</v>
      </c>
      <c r="AA610" s="425" cm="1">
        <f t="array" ref="AA610">_xlfn.IFERROR((Z610-Z609),"N/A")</f>
        <v>195780</v>
      </c>
      <c r="AB610" s="424"/>
      <c r="AC610" s="425" cm="1">
        <f t="array" ref="AC610">IF(B610=6,AVERAGE(Z605:Z610),"N/A")</f>
        <v>33188249.2384667</v>
      </c>
      <c r="AD610" s="424"/>
      <c r="AE610" s="423"/>
      <c r="AF610" s="423"/>
      <c r="AG610" s="423"/>
      <c r="AH610" s="423"/>
      <c r="AI610" s="423"/>
      <c r="AJ610" s="423"/>
      <c r="AK610" s="423"/>
      <c r="AL610" s="423"/>
      <c r="AM610" s="423"/>
      <c r="AN610" s="427"/>
    </row>
    <row r="611" ht="15" customHeight="1">
      <c r="A611" s="12"/>
      <c r="B611" s="428" cm="1">
        <f t="array" ref="B611">IF(B610=0,0,IF(B610&lt;VLOOKUP(C602,'Boats Data Sheet 2026'!$C$3:$H$57,6,0),B610+1,0))</f>
        <v>7</v>
      </c>
      <c r="C611" s="423" cm="1">
        <f t="array" ref="C611">_xlfn.IFERROR(IF(B611&gt;0,IF(VLOOKUP($C$602,'Boats Data Sheet 2026'!$C$3:$J$57,8,0)="N/A",0,VLOOKUP($C$602,'Boats Data Sheet 2026'!$C$3:$J$57,8,0)),"N/A")*85%,"N/A")</f>
        <v>23800000</v>
      </c>
      <c r="D611" s="429" cm="1">
        <f t="array" ref="D611">IF(B611&gt;7,2,IF(B611=0,"N/A",1))</f>
        <v>1</v>
      </c>
      <c r="E611" s="423" cm="1">
        <f t="array" ref="E611">_xlfn.IFERROR(SUM('Direct Costs 2026'!$C$4:$C$5)*D611,"N/A")</f>
        <v>875500</v>
      </c>
      <c r="F611" s="423" cm="1">
        <f t="array" ref="F611">_xlfn.IFERROR('Direct Costs 2026'!$C$43*B611,"N/A")</f>
        <v>42000</v>
      </c>
      <c r="G611" s="423" cm="1">
        <f t="array" ref="G611">IF(B611&gt;0,'Direct Costs 2026'!$C$25,"N/A")</f>
        <v>90000</v>
      </c>
      <c r="H611" s="423">
        <v>0</v>
      </c>
      <c r="I611" s="423">
        <v>0</v>
      </c>
      <c r="J611" s="423">
        <v>0</v>
      </c>
      <c r="K611" s="423">
        <v>0</v>
      </c>
      <c r="L611" s="423" cm="1">
        <f t="array" ref="L611">IF(B611&gt;0,'Direct Costs 2026'!$C$23,"N/A")</f>
        <v>140000</v>
      </c>
      <c r="M611" s="423" cm="1">
        <f t="array" ref="M611">IF(B611&gt;0,'Direct Costs 2026'!$C$45*B611,"N/A")</f>
        <v>1050000</v>
      </c>
      <c r="N611" t="str" s="431" cm="1">
        <f t="array" ref="N611">IF(B611&gt;0,_xlfn.IFERROR(VLOOKUP(C602,'Boats Data Sheet 2026'!$C$3:$I$57,7,0)*'Direct Costs 2026'!$C$36,"N/A"),"N/A")</f>
        <v>N/A</v>
      </c>
      <c r="O611" t="str" s="431" cm="1">
        <f t="array" ref="O611">IF(B611&gt;0,IF(OR(VLOOKUP(C602,'Boats Data Sheet 2026'!$C$3:$F$57,4,0)="Own",VLOOKUP(C602,'Boats Data Sheet 2026'!$C$3:$F$57,4,0)="Management"),('Direct Costs 2026'!$C$37+'Direct Costs 2026'!$C$39),"N/A"),"N/A")</f>
        <v>N/A</v>
      </c>
      <c r="P611" s="423">
        <v>0</v>
      </c>
      <c r="Q611" s="423" cm="1">
        <f t="array" ref="Q611">_xlfn.IFERROR(C611+SUM(E611:P611),"N/A")</f>
        <v>25997500</v>
      </c>
      <c r="R611" s="424"/>
      <c r="S611" s="423" cm="1">
        <f t="array" ref="S611">IF(B611&gt;0,'Allocation OH and Target 2026'!$E$31,"N/A")</f>
        <v>3100447.15769812</v>
      </c>
      <c r="T611" s="423" cm="1">
        <f t="array" ref="T611">IF(B611&gt;0,VLOOKUP(C602,'Allocation OH and Target 2026'!$C$35:$S$87,16,0),"N/A")</f>
        <v>0</v>
      </c>
      <c r="U611" s="423" cm="1">
        <f t="array" ref="U611">_xlfn.IFERROR((S611+T611),"N/A")</f>
        <v>3100447.15769812</v>
      </c>
      <c r="V611" s="424"/>
      <c r="W611" s="423" cm="1">
        <f t="array" ref="W611">_xlfn.IFERROR(U611+Q611,"N/A")</f>
        <v>29097947.1576981</v>
      </c>
      <c r="X611" s="423" cm="1">
        <f t="array" ref="X611">_xlfn.IFERROR(W611*0.5%,"N/A")</f>
        <v>145489.735788491</v>
      </c>
      <c r="Y611" s="423" cm="1">
        <f t="array" ref="Y611">_xlfn.IFERROR(W611*25%,"N/A")</f>
        <v>7274486.78942453</v>
      </c>
      <c r="Z611" s="425" cm="1">
        <f t="array" ref="Z611">IF(B611&gt;0,(SUM(W611:Y611)-(C611/0.9-C611)),"N/A")</f>
        <v>33873479.2384667</v>
      </c>
      <c r="AA611" s="425" cm="1">
        <f t="array" ref="AA611">_xlfn.IFERROR((Z611-Z610),"N/A")</f>
        <v>195780</v>
      </c>
      <c r="AB611" s="424"/>
      <c r="AC611" t="str" s="426" cm="1">
        <f t="array" ref="AC611">IF(B611=6,AVERAGE(Z605:Z610),"N/A")</f>
        <v>N/A</v>
      </c>
      <c r="AD611" s="424"/>
      <c r="AE611" s="423"/>
      <c r="AF611" s="423"/>
      <c r="AG611" s="423"/>
      <c r="AH611" s="423"/>
      <c r="AI611" s="423"/>
      <c r="AJ611" s="423"/>
      <c r="AK611" s="423"/>
      <c r="AL611" s="423"/>
      <c r="AM611" s="423"/>
      <c r="AN611" s="427"/>
    </row>
    <row r="612" ht="15" customHeight="1">
      <c r="A612" s="12"/>
      <c r="B612" s="428" cm="1">
        <f t="array" ref="B612">IF(B611=0,0,IF(B611&lt;VLOOKUP(C602,'Boats Data Sheet 2026'!$C$3:$H$57,6,0),B611+1,0))</f>
        <v>8</v>
      </c>
      <c r="C612" s="423" cm="1">
        <f t="array" ref="C612">_xlfn.IFERROR(IF(B612&gt;0,IF(VLOOKUP($C$602,'Boats Data Sheet 2026'!$C$3:$J$57,8,0)="N/A",0,VLOOKUP($C$602,'Boats Data Sheet 2026'!$C$3:$J$57,8,0)),"N/A")*85%,"N/A")</f>
        <v>23800000</v>
      </c>
      <c r="D612" s="429" cm="1">
        <f t="array" ref="D612">IF(B612&gt;7,2,IF(B612=0,"N/A",1))</f>
        <v>2</v>
      </c>
      <c r="E612" s="423" cm="1">
        <f t="array" ref="E612">_xlfn.IFERROR(SUM('Direct Costs 2026'!$C$4:$C$5)*D612,"N/A")</f>
        <v>1751000</v>
      </c>
      <c r="F612" s="423" cm="1">
        <f t="array" ref="F612">_xlfn.IFERROR('Direct Costs 2026'!$C$43*B612,"N/A")</f>
        <v>48000</v>
      </c>
      <c r="G612" s="423" cm="1">
        <f t="array" ref="G612">IF(B612&gt;0,'Direct Costs 2026'!$C$25,"N/A")</f>
        <v>90000</v>
      </c>
      <c r="H612" s="423">
        <v>0</v>
      </c>
      <c r="I612" s="423">
        <v>0</v>
      </c>
      <c r="J612" s="423">
        <v>0</v>
      </c>
      <c r="K612" s="423">
        <v>0</v>
      </c>
      <c r="L612" s="423" cm="1">
        <f t="array" ref="L612">IF(B612&gt;0,'Direct Costs 2026'!$C$23,"N/A")</f>
        <v>140000</v>
      </c>
      <c r="M612" s="423" cm="1">
        <f t="array" ref="M612">IF(B612&gt;0,'Direct Costs 2026'!$C$45*B612,"N/A")</f>
        <v>1200000</v>
      </c>
      <c r="N612" t="str" s="431" cm="1">
        <f t="array" ref="N612">IF(B612&gt;0,_xlfn.IFERROR(VLOOKUP(C602,'Boats Data Sheet 2026'!$C$3:$I$57,7,0)*'Direct Costs 2026'!$C$36,"N/A"),"N/A")</f>
        <v>N/A</v>
      </c>
      <c r="O612" t="str" s="431" cm="1">
        <f t="array" ref="O612">IF(B612&gt;0,IF(OR(VLOOKUP(C602,'Boats Data Sheet 2026'!$C$3:$F$57,4,0)="Own",VLOOKUP(C602,'Boats Data Sheet 2026'!$C$3:$F$57,4,0)="Management"),('Direct Costs 2026'!$C$37+'Direct Costs 2026'!$C$39),"N/A"),"N/A")</f>
        <v>N/A</v>
      </c>
      <c r="P612" s="423">
        <v>0</v>
      </c>
      <c r="Q612" s="423" cm="1">
        <f t="array" ref="Q612">_xlfn.IFERROR(C612+SUM(E612:P612),"N/A")</f>
        <v>27029000</v>
      </c>
      <c r="R612" s="424"/>
      <c r="S612" s="423" cm="1">
        <f t="array" ref="S612">IF(B612&gt;0,'Allocation OH and Target 2026'!$E$31,"N/A")</f>
        <v>3100447.15769812</v>
      </c>
      <c r="T612" s="423" cm="1">
        <f t="array" ref="T612">IF(B612&gt;0,VLOOKUP(C602,'Allocation OH and Target 2026'!$C$35:$S$87,16,0),"N/A")</f>
        <v>0</v>
      </c>
      <c r="U612" s="423" cm="1">
        <f t="array" ref="U612">_xlfn.IFERROR((S612+T612),"N/A")</f>
        <v>3100447.15769812</v>
      </c>
      <c r="V612" s="424"/>
      <c r="W612" s="423" cm="1">
        <f t="array" ref="W612">_xlfn.IFERROR(U612+Q612,"N/A")</f>
        <v>30129447.1576981</v>
      </c>
      <c r="X612" s="423" cm="1">
        <f t="array" ref="X612">_xlfn.IFERROR(W612*0.5%,"N/A")</f>
        <v>150647.235788491</v>
      </c>
      <c r="Y612" s="423" cm="1">
        <f t="array" ref="Y612">_xlfn.IFERROR(W612*25%,"N/A")</f>
        <v>7532361.78942453</v>
      </c>
      <c r="Z612" s="425" cm="1">
        <f t="array" ref="Z612">IF(B612&gt;0,(SUM(W612:Y612)-(C612/0.9-C612)),"N/A")</f>
        <v>35168011.7384667</v>
      </c>
      <c r="AA612" s="425" cm="1">
        <f t="array" ref="AA612">_xlfn.IFERROR((Z612-Z611),"N/A")</f>
        <v>1294532.5</v>
      </c>
      <c r="AB612" s="424"/>
      <c r="AC612" t="str" s="426" cm="1">
        <f t="array" ref="AC612">IF(B612=6,AVERAGE(Z605:Z610),"N/A")</f>
        <v>N/A</v>
      </c>
      <c r="AD612" s="424"/>
      <c r="AE612" s="423"/>
      <c r="AF612" s="423"/>
      <c r="AG612" s="423"/>
      <c r="AH612" s="423"/>
      <c r="AI612" s="423"/>
      <c r="AJ612" s="423"/>
      <c r="AK612" s="423"/>
      <c r="AL612" s="423"/>
      <c r="AM612" s="423"/>
      <c r="AN612" s="427"/>
    </row>
    <row r="613" ht="15" customHeight="1">
      <c r="A613" s="12"/>
      <c r="B613" s="428" cm="1">
        <f t="array" ref="B613">IF(B612=0,0,IF(B612&lt;VLOOKUP(C602,'Boats Data Sheet 2026'!$C$3:$H$57,6,0),B612+1,0))</f>
        <v>9</v>
      </c>
      <c r="C613" s="423" cm="1">
        <f t="array" ref="C613">_xlfn.IFERROR(IF(B613&gt;0,IF(VLOOKUP($C$602,'Boats Data Sheet 2026'!$C$3:$J$57,8,0)="N/A",0,VLOOKUP($C$602,'Boats Data Sheet 2026'!$C$3:$J$57,8,0)),"N/A")*85%,"N/A")</f>
        <v>23800000</v>
      </c>
      <c r="D613" s="430" cm="1">
        <f t="array" ref="D613">IF(B613&gt;7,2,IF(B613=0,"N/A",1))</f>
        <v>2</v>
      </c>
      <c r="E613" s="423" cm="1">
        <f t="array" ref="E613">_xlfn.IFERROR(SUM('Direct Costs 2026'!$C$4:$C$5)*D613,"N/A")</f>
        <v>1751000</v>
      </c>
      <c r="F613" s="423" cm="1">
        <f t="array" ref="F613">_xlfn.IFERROR('Direct Costs 2026'!$C$43*B613,"N/A")</f>
        <v>54000</v>
      </c>
      <c r="G613" s="423" cm="1">
        <f t="array" ref="G613">IF(B613&gt;0,'Direct Costs 2026'!$C$25,"N/A")</f>
        <v>90000</v>
      </c>
      <c r="H613" s="423">
        <v>0</v>
      </c>
      <c r="I613" s="423">
        <v>0</v>
      </c>
      <c r="J613" s="423">
        <v>0</v>
      </c>
      <c r="K613" s="423">
        <v>0</v>
      </c>
      <c r="L613" s="423" cm="1">
        <f t="array" ref="L613">IF(B613&gt;0,'Direct Costs 2026'!$C$23,"N/A")</f>
        <v>140000</v>
      </c>
      <c r="M613" s="423" cm="1">
        <f t="array" ref="M613">IF(B613&gt;0,'Direct Costs 2026'!$C$45*B613,"N/A")</f>
        <v>1350000</v>
      </c>
      <c r="N613" t="str" s="431" cm="1">
        <f t="array" ref="N613">IF(B613&gt;0,_xlfn.IFERROR(VLOOKUP(C602,'Boats Data Sheet 2026'!$C$3:$I$57,7,0)*'Direct Costs 2026'!$C$36,"N/A"),"N/A")</f>
        <v>N/A</v>
      </c>
      <c r="O613" t="str" s="431" cm="1">
        <f t="array" ref="O613">IF(B613&gt;0,IF(OR(VLOOKUP(C602,'Boats Data Sheet 2026'!$C$3:$F$57,4,0)="Own",VLOOKUP(C602,'Boats Data Sheet 2026'!$C$3:$F$57,4,0)="Management"),('Direct Costs 2026'!$C$37+'Direct Costs 2026'!$C$39),"N/A"),"N/A")</f>
        <v>N/A</v>
      </c>
      <c r="P613" s="423">
        <v>0</v>
      </c>
      <c r="Q613" s="423" cm="1">
        <f t="array" ref="Q613">_xlfn.IFERROR(C613+SUM(E613:P613),"N/A")</f>
        <v>27185000</v>
      </c>
      <c r="R613" s="424"/>
      <c r="S613" s="423" cm="1">
        <f t="array" ref="S613">IF(B613&gt;0,'Allocation OH and Target 2026'!$E$31,"N/A")</f>
        <v>3100447.15769812</v>
      </c>
      <c r="T613" s="423" cm="1">
        <f t="array" ref="T613">IF(B613&gt;0,VLOOKUP(C602,'Allocation OH and Target 2026'!$C$35:$S$87,16,0),"N/A")</f>
        <v>0</v>
      </c>
      <c r="U613" s="423" cm="1">
        <f t="array" ref="U613">_xlfn.IFERROR((S613+T613),"N/A")</f>
        <v>3100447.15769812</v>
      </c>
      <c r="V613" s="424"/>
      <c r="W613" s="423" cm="1">
        <f t="array" ref="W613">_xlfn.IFERROR(U613+Q613,"N/A")</f>
        <v>30285447.1576981</v>
      </c>
      <c r="X613" s="423" cm="1">
        <f t="array" ref="X613">_xlfn.IFERROR(W613*0.5%,"N/A")</f>
        <v>151427.235788491</v>
      </c>
      <c r="Y613" s="423" cm="1">
        <f t="array" ref="Y613">_xlfn.IFERROR(W613*25%,"N/A")</f>
        <v>7571361.78942453</v>
      </c>
      <c r="Z613" s="425" cm="1">
        <f t="array" ref="Z613">IF(B613&gt;0,(SUM(W613:Y613)-(C613/0.9-C613)),"N/A")</f>
        <v>35363791.7384667</v>
      </c>
      <c r="AA613" s="425" cm="1">
        <f t="array" ref="AA613">_xlfn.IFERROR((Z613-Z612),"N/A")</f>
        <v>195780</v>
      </c>
      <c r="AB613" s="424"/>
      <c r="AC613" t="str" s="426" cm="1">
        <f t="array" ref="AC613">IF(B613=6,AVERAGE(Z605:Z610),"N/A")</f>
        <v>N/A</v>
      </c>
      <c r="AD613" s="424"/>
      <c r="AE613" s="423"/>
      <c r="AF613" s="423"/>
      <c r="AG613" s="423"/>
      <c r="AH613" s="423"/>
      <c r="AI613" s="423"/>
      <c r="AJ613" s="423"/>
      <c r="AK613" s="423"/>
      <c r="AL613" s="423"/>
      <c r="AM613" s="423"/>
      <c r="AN613" s="427"/>
    </row>
    <row r="614" ht="15" customHeight="1">
      <c r="A614" s="12"/>
      <c r="B614" s="428" cm="1">
        <f t="array" ref="B614">IF(B613=0,0,IF(B613&lt;VLOOKUP(C602,'Boats Data Sheet 2026'!$C$3:$H$57,6,0),B613+1,0))</f>
        <v>10</v>
      </c>
      <c r="C614" s="423" cm="1">
        <f t="array" ref="C614">_xlfn.IFERROR(IF(B614&gt;0,IF(VLOOKUP($C$602,'Boats Data Sheet 2026'!$C$3:$J$57,8,0)="N/A",0,VLOOKUP($C$602,'Boats Data Sheet 2026'!$C$3:$J$57,8,0)),"N/A")*85%,"N/A")</f>
        <v>23800000</v>
      </c>
      <c r="D614" s="430" cm="1">
        <f t="array" ref="D614">IF(B614&gt;7,2,IF(B614=0,"N/A",1))</f>
        <v>2</v>
      </c>
      <c r="E614" s="423" cm="1">
        <f t="array" ref="E614">_xlfn.IFERROR(SUM('Direct Costs 2026'!$C$4:$C$5)*D614,"N/A")</f>
        <v>1751000</v>
      </c>
      <c r="F614" s="423" cm="1">
        <f t="array" ref="F614">_xlfn.IFERROR('Direct Costs 2026'!$C$43*B614,"N/A")</f>
        <v>60000</v>
      </c>
      <c r="G614" s="423" cm="1">
        <f t="array" ref="G614">IF(B614&gt;0,'Direct Costs 2026'!$C$25,"N/A")</f>
        <v>90000</v>
      </c>
      <c r="H614" s="423">
        <v>0</v>
      </c>
      <c r="I614" s="423">
        <v>0</v>
      </c>
      <c r="J614" s="423">
        <v>0</v>
      </c>
      <c r="K614" s="423">
        <v>0</v>
      </c>
      <c r="L614" s="423" cm="1">
        <f t="array" ref="L614">IF(B614&gt;0,'Direct Costs 2026'!$C$23,"N/A")</f>
        <v>140000</v>
      </c>
      <c r="M614" s="423" cm="1">
        <f t="array" ref="M614">IF(B614&gt;0,'Direct Costs 2026'!$C$45*B614,"N/A")</f>
        <v>1500000</v>
      </c>
      <c r="N614" t="str" s="431" cm="1">
        <f t="array" ref="N614">IF(B614&gt;0,_xlfn.IFERROR(VLOOKUP(C602,'Boats Data Sheet 2026'!$C$3:$I$57,7,0)*'Direct Costs 2026'!$C$36,"N/A"),"N/A")</f>
        <v>N/A</v>
      </c>
      <c r="O614" t="str" s="431" cm="1">
        <f t="array" ref="O614">IF(B614&gt;0,IF(OR(VLOOKUP(C602,'Boats Data Sheet 2026'!$C$3:$F$57,4,0)="Own",VLOOKUP(C602,'Boats Data Sheet 2026'!$C$3:$F$57,4,0)="Management"),('Direct Costs 2026'!$C$37+'Direct Costs 2026'!$C$39),"N/A"),"N/A")</f>
        <v>N/A</v>
      </c>
      <c r="P614" s="423">
        <v>0</v>
      </c>
      <c r="Q614" s="423" cm="1">
        <f t="array" ref="Q614">_xlfn.IFERROR(C614+SUM(E614:P614),"N/A")</f>
        <v>27341000</v>
      </c>
      <c r="R614" s="424"/>
      <c r="S614" s="423" cm="1">
        <f t="array" ref="S614">IF(B614&gt;0,'Allocation OH and Target 2026'!$E$31,"N/A")</f>
        <v>3100447.15769812</v>
      </c>
      <c r="T614" s="423" cm="1">
        <f t="array" ref="T614">IF(B614&gt;0,VLOOKUP(C602,'Allocation OH and Target 2026'!$C$35:$S$87,16,0),"N/A")</f>
        <v>0</v>
      </c>
      <c r="U614" s="423" cm="1">
        <f t="array" ref="U614">_xlfn.IFERROR((S614+T614),"N/A")</f>
        <v>3100447.15769812</v>
      </c>
      <c r="V614" s="424"/>
      <c r="W614" s="423" cm="1">
        <f t="array" ref="W614">_xlfn.IFERROR(U614+Q614,"N/A")</f>
        <v>30441447.1576981</v>
      </c>
      <c r="X614" s="423" cm="1">
        <f t="array" ref="X614">_xlfn.IFERROR(W614*0.5%,"N/A")</f>
        <v>152207.235788491</v>
      </c>
      <c r="Y614" s="423" cm="1">
        <f t="array" ref="Y614">_xlfn.IFERROR(W614*25%,"N/A")</f>
        <v>7610361.78942453</v>
      </c>
      <c r="Z614" s="425" cm="1">
        <f t="array" ref="Z614">IF(B614&gt;0,(SUM(W614:Y614)-(C614/0.9-C614)),"N/A")</f>
        <v>35559571.7384667</v>
      </c>
      <c r="AA614" s="425" cm="1">
        <f t="array" ref="AA614">_xlfn.IFERROR((Z614-Z613),"N/A")</f>
        <v>195780</v>
      </c>
      <c r="AB614" s="424"/>
      <c r="AC614" t="str" s="426" cm="1">
        <f t="array" ref="AC614">IF(B614=6,AVERAGE(Z605:Z610),"N/A")</f>
        <v>N/A</v>
      </c>
      <c r="AD614" s="424"/>
      <c r="AE614" s="423"/>
      <c r="AF614" s="423"/>
      <c r="AG614" s="423"/>
      <c r="AH614" s="423"/>
      <c r="AI614" s="423"/>
      <c r="AJ614" s="423"/>
      <c r="AK614" s="423"/>
      <c r="AL614" s="423"/>
      <c r="AM614" s="423"/>
      <c r="AN614" s="427"/>
    </row>
    <row r="615" ht="15" customHeight="1">
      <c r="A615" s="12"/>
      <c r="B615" s="428" cm="1">
        <f t="array" ref="B615">IF(B614=0,0,IF(B614&lt;VLOOKUP(C602,'Boats Data Sheet 2026'!$C$3:$H$57,6,0),B614+1,0))</f>
        <v>11</v>
      </c>
      <c r="C615" s="423" cm="1">
        <f t="array" ref="C615">_xlfn.IFERROR(IF(B615&gt;0,IF(VLOOKUP($C$602,'Boats Data Sheet 2026'!$C$3:$J$57,8,0)="N/A",0,VLOOKUP($C$602,'Boats Data Sheet 2026'!$C$3:$J$57,8,0)),"N/A")*85%,"N/A")</f>
        <v>23800000</v>
      </c>
      <c r="D615" s="430" cm="1">
        <f t="array" ref="D615">IF(B615&gt;7,2,IF(B615=0,"N/A",1))</f>
        <v>2</v>
      </c>
      <c r="E615" s="423" cm="1">
        <f t="array" ref="E615">_xlfn.IFERROR(SUM('Direct Costs 2026'!$C$4:$C$5)*D615,"N/A")</f>
        <v>1751000</v>
      </c>
      <c r="F615" s="423" cm="1">
        <f t="array" ref="F615">_xlfn.IFERROR('Direct Costs 2026'!$C$43*B615,"N/A")</f>
        <v>66000</v>
      </c>
      <c r="G615" s="423" cm="1">
        <f t="array" ref="G615">IF(B615&gt;0,'Direct Costs 2026'!$C$25,"N/A")</f>
        <v>90000</v>
      </c>
      <c r="H615" s="423">
        <v>0</v>
      </c>
      <c r="I615" s="423">
        <v>0</v>
      </c>
      <c r="J615" s="423">
        <v>0</v>
      </c>
      <c r="K615" s="423">
        <v>0</v>
      </c>
      <c r="L615" s="423" cm="1">
        <f t="array" ref="L615">IF(B615&gt;0,'Direct Costs 2026'!$C$23,"N/A")</f>
        <v>140000</v>
      </c>
      <c r="M615" s="423" cm="1">
        <f t="array" ref="M615">IF(B615&gt;0,'Direct Costs 2026'!$C$45*B615,"N/A")</f>
        <v>1650000</v>
      </c>
      <c r="N615" t="str" s="431" cm="1">
        <f t="array" ref="N615">IF(B615&gt;0,_xlfn.IFERROR(VLOOKUP(C602,'Boats Data Sheet 2026'!$C$3:$I$57,7,0)*'Direct Costs 2026'!$C$36,"N/A"),"N/A")</f>
        <v>N/A</v>
      </c>
      <c r="O615" t="str" s="431" cm="1">
        <f t="array" ref="O615">IF(B615&gt;0,IF(OR(VLOOKUP(C602,'Boats Data Sheet 2026'!$C$3:$F$57,4,0)="Own",VLOOKUP(C602,'Boats Data Sheet 2026'!$C$3:$F$57,4,0)="Management"),('Direct Costs 2026'!$C$37+'Direct Costs 2026'!$C$39),"N/A"),"N/A")</f>
        <v>N/A</v>
      </c>
      <c r="P615" s="423">
        <v>0</v>
      </c>
      <c r="Q615" s="423" cm="1">
        <f t="array" ref="Q615">_xlfn.IFERROR(C615+SUM(E615:P615),"N/A")</f>
        <v>27497000</v>
      </c>
      <c r="R615" s="424"/>
      <c r="S615" s="423" cm="1">
        <f t="array" ref="S615">IF(B615&gt;0,'Allocation OH and Target 2026'!$E$31,"N/A")</f>
        <v>3100447.15769812</v>
      </c>
      <c r="T615" s="423" cm="1">
        <f t="array" ref="T615">IF(B615&gt;0,VLOOKUP(C602,'Allocation OH and Target 2026'!$C$35:$S$87,16,0),"N/A")</f>
        <v>0</v>
      </c>
      <c r="U615" s="423" cm="1">
        <f t="array" ref="U615">_xlfn.IFERROR((S615+T615),"N/A")</f>
        <v>3100447.15769812</v>
      </c>
      <c r="V615" s="424"/>
      <c r="W615" s="423" cm="1">
        <f t="array" ref="W615">_xlfn.IFERROR(U615+Q615,"N/A")</f>
        <v>30597447.1576981</v>
      </c>
      <c r="X615" s="423" cm="1">
        <f t="array" ref="X615">_xlfn.IFERROR(W615*0.5%,"N/A")</f>
        <v>152987.235788491</v>
      </c>
      <c r="Y615" s="423" cm="1">
        <f t="array" ref="Y615">_xlfn.IFERROR(W615*25%,"N/A")</f>
        <v>7649361.78942453</v>
      </c>
      <c r="Z615" s="425" cm="1">
        <f t="array" ref="Z615">IF(B615&gt;0,(SUM(W615:Y615)-(C615/0.9-C615)),"N/A")</f>
        <v>35755351.7384667</v>
      </c>
      <c r="AA615" s="425" cm="1">
        <f t="array" ref="AA615">_xlfn.IFERROR((Z615-Z614),"N/A")</f>
        <v>195780</v>
      </c>
      <c r="AB615" s="424"/>
      <c r="AC615" t="str" s="426" cm="1">
        <f t="array" ref="AC615">IF(B615=6,AVERAGE(Z605:Z610),"N/A")</f>
        <v>N/A</v>
      </c>
      <c r="AD615" s="424"/>
      <c r="AE615" s="423"/>
      <c r="AF615" s="423"/>
      <c r="AG615" s="423"/>
      <c r="AH615" s="423"/>
      <c r="AI615" s="423"/>
      <c r="AJ615" s="423"/>
      <c r="AK615" s="423"/>
      <c r="AL615" s="423"/>
      <c r="AM615" s="423"/>
      <c r="AN615" s="427"/>
    </row>
    <row r="616" ht="15" customHeight="1">
      <c r="A616" s="12"/>
      <c r="B616" s="428" cm="1">
        <f t="array" ref="B616">IF(B615=0,0,IF(B615&lt;VLOOKUP(C602,'Boats Data Sheet 2026'!$C$3:$H$57,6,0),B615+1,0))</f>
        <v>12</v>
      </c>
      <c r="C616" s="423" cm="1">
        <f t="array" ref="C616">_xlfn.IFERROR(IF(B616&gt;0,IF(VLOOKUP($C$602,'Boats Data Sheet 2026'!$C$3:$J$57,8,0)="N/A",0,VLOOKUP($C$602,'Boats Data Sheet 2026'!$C$3:$J$57,8,0)),"N/A")*85%,"N/A")</f>
        <v>23800000</v>
      </c>
      <c r="D616" s="430" cm="1">
        <f t="array" ref="D616">IF(B616&gt;7,2,IF(B616=0,"N/A",1))</f>
        <v>2</v>
      </c>
      <c r="E616" s="423" cm="1">
        <f t="array" ref="E616">_xlfn.IFERROR(SUM('Direct Costs 2026'!$C$4:$C$5)*D616,"N/A")</f>
        <v>1751000</v>
      </c>
      <c r="F616" s="423" cm="1">
        <f t="array" ref="F616">_xlfn.IFERROR('Direct Costs 2026'!$C$43*B616,"N/A")</f>
        <v>72000</v>
      </c>
      <c r="G616" s="423" cm="1">
        <f t="array" ref="G616">IF(B616&gt;0,'Direct Costs 2026'!$C$25,"N/A")</f>
        <v>90000</v>
      </c>
      <c r="H616" s="423">
        <v>0</v>
      </c>
      <c r="I616" s="423">
        <v>0</v>
      </c>
      <c r="J616" s="423">
        <v>0</v>
      </c>
      <c r="K616" s="423">
        <v>0</v>
      </c>
      <c r="L616" s="423" cm="1">
        <f t="array" ref="L616">IF(B616&gt;0,'Direct Costs 2026'!$C$23,"N/A")</f>
        <v>140000</v>
      </c>
      <c r="M616" s="423" cm="1">
        <f t="array" ref="M616">IF(B616&gt;0,'Direct Costs 2026'!$C$45*B616,"N/A")</f>
        <v>1800000</v>
      </c>
      <c r="N616" t="str" s="431" cm="1">
        <f t="array" ref="N616">IF(B616&gt;0,_xlfn.IFERROR(VLOOKUP(C602,'Boats Data Sheet 2026'!$C$3:$I$57,7,0)*'Direct Costs 2026'!$C$36,"N/A"),"N/A")</f>
        <v>N/A</v>
      </c>
      <c r="O616" t="str" s="431" cm="1">
        <f t="array" ref="O616">IF(B616&gt;0,IF(OR(VLOOKUP(C602,'Boats Data Sheet 2026'!$C$3:$F$57,4,0)="Own",VLOOKUP(C602,'Boats Data Sheet 2026'!$C$3:$F$57,4,0)="Management"),('Direct Costs 2026'!$C$37+'Direct Costs 2026'!$C$39),"N/A"),"N/A")</f>
        <v>N/A</v>
      </c>
      <c r="P616" s="423">
        <v>0</v>
      </c>
      <c r="Q616" s="423" cm="1">
        <f t="array" ref="Q616">_xlfn.IFERROR(C616+SUM(E616:P616),"N/A")</f>
        <v>27653000</v>
      </c>
      <c r="R616" s="424"/>
      <c r="S616" s="423" cm="1">
        <f t="array" ref="S616">IF(B616&gt;0,'Allocation OH and Target 2026'!$E$31,"N/A")</f>
        <v>3100447.15769812</v>
      </c>
      <c r="T616" s="423" cm="1">
        <f t="array" ref="T616">IF(B616&gt;0,VLOOKUP(C602,'Allocation OH and Target 2026'!$C$35:$S$87,16,0),"N/A")</f>
        <v>0</v>
      </c>
      <c r="U616" s="423" cm="1">
        <f t="array" ref="U616">_xlfn.IFERROR((S616+T616),"N/A")</f>
        <v>3100447.15769812</v>
      </c>
      <c r="V616" s="424"/>
      <c r="W616" s="423" cm="1">
        <f t="array" ref="W616">_xlfn.IFERROR(U616+Q616,"N/A")</f>
        <v>30753447.1576981</v>
      </c>
      <c r="X616" s="423" cm="1">
        <f t="array" ref="X616">_xlfn.IFERROR(W616*0.5%,"N/A")</f>
        <v>153767.235788491</v>
      </c>
      <c r="Y616" s="423" cm="1">
        <f t="array" ref="Y616">_xlfn.IFERROR(W616*25%,"N/A")</f>
        <v>7688361.78942453</v>
      </c>
      <c r="Z616" s="425" cm="1">
        <f t="array" ref="Z616">IF(B616&gt;0,(SUM(W616:Y616)-(C616/0.9-C616)),"N/A")</f>
        <v>35951131.7384667</v>
      </c>
      <c r="AA616" s="425" cm="1">
        <f t="array" ref="AA616">_xlfn.IFERROR((Z616-Z615),"N/A")</f>
        <v>195780</v>
      </c>
      <c r="AB616" s="424"/>
      <c r="AC616" t="str" s="426" cm="1">
        <f t="array" ref="AC616">IF(B616=6,AVERAGE(Z605:Z610),"N/A")</f>
        <v>N/A</v>
      </c>
      <c r="AD616" s="424"/>
      <c r="AE616" s="423"/>
      <c r="AF616" s="423"/>
      <c r="AG616" s="423"/>
      <c r="AH616" s="423"/>
      <c r="AI616" s="423"/>
      <c r="AJ616" s="423"/>
      <c r="AK616" s="423"/>
      <c r="AL616" s="423"/>
      <c r="AM616" s="423"/>
      <c r="AN616" s="427"/>
    </row>
    <row r="617" ht="15" customHeight="1">
      <c r="A617" s="12"/>
      <c r="B617" s="428" cm="1">
        <f t="array" ref="B617">IF(B616=0,0,IF(B616&lt;VLOOKUP(C602,'Boats Data Sheet 2026'!$C$3:$H$57,6,0),B616+1,0))</f>
        <v>13</v>
      </c>
      <c r="C617" s="423" cm="1">
        <f t="array" ref="C617">_xlfn.IFERROR(IF(B617&gt;0,IF(VLOOKUP($C$602,'Boats Data Sheet 2026'!$C$3:$J$57,8,0)="N/A",0,VLOOKUP($C$602,'Boats Data Sheet 2026'!$C$3:$J$57,8,0)),"N/A")*85%,"N/A")</f>
        <v>23800000</v>
      </c>
      <c r="D617" s="430" cm="1">
        <f t="array" ref="D617">IF(B617&gt;7,2,IF(B617=0,"N/A",1))</f>
        <v>2</v>
      </c>
      <c r="E617" s="423" cm="1">
        <f t="array" ref="E617">_xlfn.IFERROR(SUM('Direct Costs 2026'!$C$4:$C$5)*D617,"N/A")</f>
        <v>1751000</v>
      </c>
      <c r="F617" s="423" cm="1">
        <f t="array" ref="F617">_xlfn.IFERROR('Direct Costs 2026'!$C$43*B617,"N/A")</f>
        <v>78000</v>
      </c>
      <c r="G617" s="423" cm="1">
        <f t="array" ref="G617">IF(B617&gt;0,'Direct Costs 2026'!$C$25,"N/A")</f>
        <v>90000</v>
      </c>
      <c r="H617" s="423">
        <v>0</v>
      </c>
      <c r="I617" s="423">
        <v>0</v>
      </c>
      <c r="J617" s="423">
        <v>0</v>
      </c>
      <c r="K617" s="423">
        <v>0</v>
      </c>
      <c r="L617" s="423" cm="1">
        <f t="array" ref="L617">IF(B617&gt;0,'Direct Costs 2026'!$C$23,"N/A")</f>
        <v>140000</v>
      </c>
      <c r="M617" s="423" cm="1">
        <f t="array" ref="M617">IF(B617&gt;0,'Direct Costs 2026'!$C$45*B617,"N/A")</f>
        <v>1950000</v>
      </c>
      <c r="N617" t="str" s="431" cm="1">
        <f t="array" ref="N617">IF(B617&gt;0,_xlfn.IFERROR(VLOOKUP(C602,'Boats Data Sheet 2026'!$C$3:$I$57,7,0)*'Direct Costs 2026'!$C$36,"N/A"),"N/A")</f>
        <v>N/A</v>
      </c>
      <c r="O617" t="str" s="431" cm="1">
        <f t="array" ref="O617">IF(B617&gt;0,IF(OR(VLOOKUP(C602,'Boats Data Sheet 2026'!$C$3:$F$57,4,0)="Own",VLOOKUP(C602,'Boats Data Sheet 2026'!$C$3:$F$57,4,0)="Management"),('Direct Costs 2026'!$C$37+'Direct Costs 2026'!$C$39),"N/A"),"N/A")</f>
        <v>N/A</v>
      </c>
      <c r="P617" s="423">
        <v>0</v>
      </c>
      <c r="Q617" s="423" cm="1">
        <f t="array" ref="Q617">_xlfn.IFERROR(C617+SUM(E617:P617),"N/A")</f>
        <v>27809000</v>
      </c>
      <c r="R617" s="424"/>
      <c r="S617" s="423" cm="1">
        <f t="array" ref="S617">IF(B617&gt;0,'Allocation OH and Target 2026'!$E$31,"N/A")</f>
        <v>3100447.15769812</v>
      </c>
      <c r="T617" s="423" cm="1">
        <f t="array" ref="T617">IF(B617&gt;0,VLOOKUP(C602,'Allocation OH and Target 2026'!$C$35:$S$87,16,0),"N/A")</f>
        <v>0</v>
      </c>
      <c r="U617" s="423" cm="1">
        <f t="array" ref="U617">_xlfn.IFERROR((S617+T617),"N/A")</f>
        <v>3100447.15769812</v>
      </c>
      <c r="V617" s="424"/>
      <c r="W617" s="423" cm="1">
        <f t="array" ref="W617">_xlfn.IFERROR(U617+Q617,"N/A")</f>
        <v>30909447.1576981</v>
      </c>
      <c r="X617" s="423" cm="1">
        <f t="array" ref="X617">_xlfn.IFERROR(W617*0.5%,"N/A")</f>
        <v>154547.235788491</v>
      </c>
      <c r="Y617" s="423" cm="1">
        <f t="array" ref="Y617">_xlfn.IFERROR(W617*25%,"N/A")</f>
        <v>7727361.78942453</v>
      </c>
      <c r="Z617" s="425" cm="1">
        <f t="array" ref="Z617">IF(B617&gt;0,(SUM(W617:Y617)-(C617/0.9-C617)),"N/A")</f>
        <v>36146911.7384667</v>
      </c>
      <c r="AA617" s="425" cm="1">
        <f t="array" ref="AA617">_xlfn.IFERROR((Z617-Z616),"N/A")</f>
        <v>195780</v>
      </c>
      <c r="AB617" s="424"/>
      <c r="AC617" t="str" s="426" cm="1">
        <f t="array" ref="AC617">IF(B617=6,AVERAGE(Z605:Z610),"N/A")</f>
        <v>N/A</v>
      </c>
      <c r="AD617" s="424"/>
      <c r="AE617" s="423"/>
      <c r="AF617" s="423"/>
      <c r="AG617" s="423"/>
      <c r="AH617" s="423"/>
      <c r="AI617" s="423"/>
      <c r="AJ617" s="423"/>
      <c r="AK617" s="423"/>
      <c r="AL617" s="423"/>
      <c r="AM617" s="423"/>
      <c r="AN617" s="427"/>
    </row>
    <row r="618" ht="15" customHeight="1">
      <c r="A618" s="12"/>
      <c r="B618" s="428" cm="1">
        <f t="array" ref="B618">IF(B617=0,0,IF(B617&lt;VLOOKUP(C602,'Boats Data Sheet 2026'!$C$3:$H$57,6,0),B617+1,0))</f>
        <v>0</v>
      </c>
      <c r="C618" t="str" s="431" cm="1">
        <f t="array" ref="C618">_xlfn.IFERROR(IF(B618&gt;0,IF(VLOOKUP($C$602,'Boats Data Sheet 2026'!$C$3:$J$57,8,0)="N/A",0,VLOOKUP($C$602,'Boats Data Sheet 2026'!$C$3:$J$57,8,0)),"N/A")*85%,"N/A")</f>
        <v>N/A</v>
      </c>
      <c r="D618" t="str" s="431" cm="1">
        <f t="array" ref="D618">IF(B618&gt;7,2,IF(B618=0,"N/A",1))</f>
        <v>N/A</v>
      </c>
      <c r="E618" t="str" s="431" cm="1">
        <f t="array" ref="E618">_xlfn.IFERROR(SUM('Direct Costs 2026'!$C$4:$C$5)*D618,"N/A")</f>
        <v>N/A</v>
      </c>
      <c r="F618" s="423" cm="1">
        <f t="array" ref="F618">_xlfn.IFERROR('Direct Costs 2026'!$C$43*B618,"N/A")</f>
        <v>0</v>
      </c>
      <c r="G618" t="str" s="431" cm="1">
        <f t="array" ref="G618">IF(B618&gt;0,'Direct Costs 2026'!$C$25,"N/A")</f>
        <v>N/A</v>
      </c>
      <c r="H618" s="423">
        <v>0</v>
      </c>
      <c r="I618" s="423">
        <v>0</v>
      </c>
      <c r="J618" s="423">
        <v>0</v>
      </c>
      <c r="K618" s="423">
        <v>0</v>
      </c>
      <c r="L618" t="str" s="431" cm="1">
        <f t="array" ref="L618">IF(B618&gt;0,'Direct Costs 2026'!$C$23,"N/A")</f>
        <v>N/A</v>
      </c>
      <c r="M618" t="str" s="431" cm="1">
        <f t="array" ref="M618">IF(B618&gt;0,'Direct Costs 2026'!$C$45*B618,"N/A")</f>
        <v>N/A</v>
      </c>
      <c r="N618" t="str" s="431" cm="1">
        <f t="array" ref="N618">IF(B618&gt;0,_xlfn.IFERROR(VLOOKUP(C602,'Boats Data Sheet 2026'!$C$3:$I$57,7,0)*'Direct Costs 2026'!$C$36,"N/A"),"N/A")</f>
        <v>N/A</v>
      </c>
      <c r="O618" t="str" s="431" cm="1">
        <f t="array" ref="O618">IF(B618&gt;0,IF(OR(VLOOKUP(C602,'Boats Data Sheet 2026'!$C$3:$F$57,4,0)="Own",VLOOKUP(C602,'Boats Data Sheet 2026'!$C$3:$F$57,4,0)="Management"),('Direct Costs 2026'!$C$37+'Direct Costs 2026'!$C$39),"N/A"),"N/A")</f>
        <v>N/A</v>
      </c>
      <c r="P618" s="423">
        <v>0</v>
      </c>
      <c r="Q618" t="str" s="431" cm="1">
        <f t="array" ref="Q618">_xlfn.IFERROR(C618+SUM(E618:P618),"N/A")</f>
        <v>N/A</v>
      </c>
      <c r="R618" s="424"/>
      <c r="S618" t="str" s="431" cm="1">
        <f t="array" ref="S618">IF(B618&gt;0,'Allocation OH and Target 2026'!$E$31,"N/A")</f>
        <v>N/A</v>
      </c>
      <c r="T618" t="str" s="431" cm="1">
        <f t="array" ref="T618">IF(B618&gt;0,VLOOKUP(C602,'Allocation OH and Target 2026'!$C$35:$S$87,16,0),"N/A")</f>
        <v>N/A</v>
      </c>
      <c r="U618" t="str" s="431" cm="1">
        <f t="array" ref="U618">_xlfn.IFERROR((S618+T618),"N/A")</f>
        <v>N/A</v>
      </c>
      <c r="V618" s="424"/>
      <c r="W618" t="str" s="431" cm="1">
        <f t="array" ref="W618">_xlfn.IFERROR(U618+Q618,"N/A")</f>
        <v>N/A</v>
      </c>
      <c r="X618" t="str" s="431" cm="1">
        <f t="array" ref="X618">_xlfn.IFERROR(W618*0.5%,"N/A")</f>
        <v>N/A</v>
      </c>
      <c r="Y618" t="str" s="431" cm="1">
        <f t="array" ref="Y618">_xlfn.IFERROR(W618*25%,"N/A")</f>
        <v>N/A</v>
      </c>
      <c r="Z618" t="str" s="426" cm="1">
        <f t="array" ref="Z618">IF(B618&gt;0,(SUM(W618:Y618)-(C618/0.9-C618)),"N/A")</f>
        <v>N/A</v>
      </c>
      <c r="AA618" t="str" s="426" cm="1">
        <f t="array" ref="AA618">_xlfn.IFERROR((Z618-Z617),"N/A")</f>
        <v>N/A</v>
      </c>
      <c r="AB618" s="424"/>
      <c r="AC618" t="str" s="426" cm="1">
        <f t="array" ref="AC618">IF(B618=6,AVERAGE(Z605:Z610),"N/A")</f>
        <v>N/A</v>
      </c>
      <c r="AD618" s="424"/>
      <c r="AE618" s="423"/>
      <c r="AF618" s="423"/>
      <c r="AG618" s="423"/>
      <c r="AH618" s="423"/>
      <c r="AI618" s="423"/>
      <c r="AJ618" s="423"/>
      <c r="AK618" s="423"/>
      <c r="AL618" s="423"/>
      <c r="AM618" s="423"/>
      <c r="AN618" s="427"/>
    </row>
    <row r="619" ht="15" customHeight="1">
      <c r="A619" s="12"/>
      <c r="B619" s="428" cm="1">
        <f t="array" ref="B619">IF(B618=0,0,IF(B618&lt;VLOOKUP(C602,'Boats Data Sheet 2026'!$C$3:$H$57,6,0),B618+1,0))</f>
        <v>0</v>
      </c>
      <c r="C619" t="str" s="431" cm="1">
        <f t="array" ref="C619">_xlfn.IFERROR(IF(B619&gt;0,IF(VLOOKUP($C$602,'Boats Data Sheet 2026'!$C$3:$J$57,8,0)="N/A",0,VLOOKUP($C$602,'Boats Data Sheet 2026'!$C$3:$J$57,8,0)),"N/A")*85%,"N/A")</f>
        <v>N/A</v>
      </c>
      <c r="D619" t="str" s="431" cm="1">
        <f t="array" ref="D619">IF(B619&gt;7,2,IF(B619=0,"N/A",1))</f>
        <v>N/A</v>
      </c>
      <c r="E619" t="str" s="431" cm="1">
        <f t="array" ref="E619">_xlfn.IFERROR(SUM('Direct Costs 2026'!$C$4:$C$5)*D619,"N/A")</f>
        <v>N/A</v>
      </c>
      <c r="F619" s="423" cm="1">
        <f t="array" ref="F619">_xlfn.IFERROR('Direct Costs 2026'!$C$43*B619,"N/A")</f>
        <v>0</v>
      </c>
      <c r="G619" t="str" s="431" cm="1">
        <f t="array" ref="G619">IF(B619&gt;0,'Direct Costs 2026'!$C$25,"N/A")</f>
        <v>N/A</v>
      </c>
      <c r="H619" s="423">
        <v>0</v>
      </c>
      <c r="I619" s="423">
        <v>0</v>
      </c>
      <c r="J619" s="423">
        <v>0</v>
      </c>
      <c r="K619" s="423">
        <v>0</v>
      </c>
      <c r="L619" t="str" s="431" cm="1">
        <f t="array" ref="L619">IF(B619&gt;0,'Direct Costs 2026'!$C$23,"N/A")</f>
        <v>N/A</v>
      </c>
      <c r="M619" t="str" s="431" cm="1">
        <f t="array" ref="M619">IF(B619&gt;0,'Direct Costs 2026'!$C$45*B619,"N/A")</f>
        <v>N/A</v>
      </c>
      <c r="N619" t="str" s="431" cm="1">
        <f t="array" ref="N619">IF(B619&gt;0,_xlfn.IFERROR(VLOOKUP(C602,'Boats Data Sheet 2026'!$C$3:$I$57,7,0)*'Direct Costs 2026'!$C$36,"N/A"),"N/A")</f>
        <v>N/A</v>
      </c>
      <c r="O619" t="str" s="431" cm="1">
        <f t="array" ref="O619">IF(B619&gt;0,IF(OR(VLOOKUP(C602,'Boats Data Sheet 2026'!$C$3:$F$57,4,0)="Own",VLOOKUP(C602,'Boats Data Sheet 2026'!$C$3:$F$57,4,0)="Management"),('Direct Costs 2026'!$C$37+'Direct Costs 2026'!$C$39),"N/A"),"N/A")</f>
        <v>N/A</v>
      </c>
      <c r="P619" s="423">
        <v>0</v>
      </c>
      <c r="Q619" t="str" s="431" cm="1">
        <f t="array" ref="Q619">_xlfn.IFERROR(C619+SUM(E619:P619),"N/A")</f>
        <v>N/A</v>
      </c>
      <c r="R619" s="424"/>
      <c r="S619" t="str" s="431" cm="1">
        <f t="array" ref="S619">IF(B619&gt;0,'Allocation OH and Target 2026'!$E$31,"N/A")</f>
        <v>N/A</v>
      </c>
      <c r="T619" t="str" s="431" cm="1">
        <f t="array" ref="T619">IF(B619&gt;0,VLOOKUP(C602,'Allocation OH and Target 2026'!$C$35:$S$87,16,0),"N/A")</f>
        <v>N/A</v>
      </c>
      <c r="U619" t="str" s="431" cm="1">
        <f t="array" ref="U619">_xlfn.IFERROR((S619+T619),"N/A")</f>
        <v>N/A</v>
      </c>
      <c r="V619" s="424"/>
      <c r="W619" t="str" s="431" cm="1">
        <f t="array" ref="W619">_xlfn.IFERROR(U619+Q619,"N/A")</f>
        <v>N/A</v>
      </c>
      <c r="X619" t="str" s="431" cm="1">
        <f t="array" ref="X619">_xlfn.IFERROR(W619*0.5%,"N/A")</f>
        <v>N/A</v>
      </c>
      <c r="Y619" t="str" s="431" cm="1">
        <f t="array" ref="Y619">_xlfn.IFERROR(W619*25%,"N/A")</f>
        <v>N/A</v>
      </c>
      <c r="Z619" t="str" s="426" cm="1">
        <f t="array" ref="Z619">IF(B619&gt;0,(SUM(W619:Y619)-(C619/0.9-C619)),"N/A")</f>
        <v>N/A</v>
      </c>
      <c r="AA619" t="str" s="426" cm="1">
        <f t="array" ref="AA619">_xlfn.IFERROR((Z619-Z618),"N/A")</f>
        <v>N/A</v>
      </c>
      <c r="AB619" s="424"/>
      <c r="AC619" t="str" s="426" cm="1">
        <f t="array" ref="AC619">IF(B619=6,AVERAGE(Z605:Z610),"N/A")</f>
        <v>N/A</v>
      </c>
      <c r="AD619" s="424"/>
      <c r="AE619" s="423"/>
      <c r="AF619" s="423"/>
      <c r="AG619" s="423"/>
      <c r="AH619" s="423"/>
      <c r="AI619" s="423"/>
      <c r="AJ619" s="423"/>
      <c r="AK619" s="423"/>
      <c r="AL619" s="423"/>
      <c r="AM619" s="423"/>
      <c r="AN619" s="427"/>
    </row>
    <row r="620" ht="15" customHeight="1">
      <c r="A620" s="12"/>
      <c r="B620" s="428" cm="1">
        <f t="array" ref="B620">IF(B619=0,0,IF(B619&lt;VLOOKUP(C602,'Boats Data Sheet 2026'!$C$3:$H$57,6,0),B619+1,0))</f>
        <v>0</v>
      </c>
      <c r="C620" t="str" s="431" cm="1">
        <f t="array" ref="C620">_xlfn.IFERROR(IF(B620&gt;0,IF(VLOOKUP($C$602,'Boats Data Sheet 2026'!$C$3:$J$57,8,0)="N/A",0,VLOOKUP($C$602,'Boats Data Sheet 2026'!$C$3:$J$57,8,0)),"N/A")*85%,"N/A")</f>
        <v>N/A</v>
      </c>
      <c r="D620" t="str" s="431" cm="1">
        <f t="array" ref="D620">IF(B620&gt;7,2,IF(B620=0,"N/A",1))</f>
        <v>N/A</v>
      </c>
      <c r="E620" t="str" s="431" cm="1">
        <f t="array" ref="E620">_xlfn.IFERROR(SUM('Direct Costs 2026'!$C$4:$C$5)*D620,"N/A")</f>
        <v>N/A</v>
      </c>
      <c r="F620" s="423" cm="1">
        <f t="array" ref="F620">_xlfn.IFERROR('Direct Costs 2026'!$C$43*B620,"N/A")</f>
        <v>0</v>
      </c>
      <c r="G620" t="str" s="431" cm="1">
        <f t="array" ref="G620">IF(B620&gt;0,'Direct Costs 2026'!$C$25,"N/A")</f>
        <v>N/A</v>
      </c>
      <c r="H620" s="423">
        <v>0</v>
      </c>
      <c r="I620" s="423">
        <v>0</v>
      </c>
      <c r="J620" s="423">
        <v>0</v>
      </c>
      <c r="K620" s="423">
        <v>0</v>
      </c>
      <c r="L620" t="str" s="431" cm="1">
        <f t="array" ref="L620">IF(B620&gt;0,'Direct Costs 2026'!$C$23,"N/A")</f>
        <v>N/A</v>
      </c>
      <c r="M620" t="str" s="431" cm="1">
        <f t="array" ref="M620">IF(B620&gt;0,'Direct Costs 2026'!$C$45*B620,"N/A")</f>
        <v>N/A</v>
      </c>
      <c r="N620" t="str" s="431" cm="1">
        <f t="array" ref="N620">IF(B620&gt;0,_xlfn.IFERROR(VLOOKUP(C602,'Boats Data Sheet 2026'!$C$3:$I$57,7,0)*'Direct Costs 2026'!$C$36,"N/A"),"N/A")</f>
        <v>N/A</v>
      </c>
      <c r="O620" t="str" s="431" cm="1">
        <f t="array" ref="O620">IF(B620&gt;0,IF(OR(VLOOKUP(C602,'Boats Data Sheet 2026'!$C$3:$F$57,4,0)="Own",VLOOKUP(C602,'Boats Data Sheet 2026'!$C$3:$F$57,4,0)="Management"),('Direct Costs 2026'!$C$37+'Direct Costs 2026'!$C$39),"N/A"),"N/A")</f>
        <v>N/A</v>
      </c>
      <c r="P620" s="423">
        <v>0</v>
      </c>
      <c r="Q620" t="str" s="431" cm="1">
        <f t="array" ref="Q620">_xlfn.IFERROR(C620+SUM(E620:P620),"N/A")</f>
        <v>N/A</v>
      </c>
      <c r="R620" s="424"/>
      <c r="S620" t="str" s="431" cm="1">
        <f t="array" ref="S620">IF(B620&gt;0,'Allocation OH and Target 2026'!$E$31,"N/A")</f>
        <v>N/A</v>
      </c>
      <c r="T620" t="str" s="431" cm="1">
        <f t="array" ref="T620">IF(B620&gt;0,VLOOKUP(C602,'Allocation OH and Target 2026'!$C$35:$S$87,16,0),"N/A")</f>
        <v>N/A</v>
      </c>
      <c r="U620" t="str" s="431" cm="1">
        <f t="array" ref="U620">_xlfn.IFERROR((S620+T620),"N/A")</f>
        <v>N/A</v>
      </c>
      <c r="V620" s="424"/>
      <c r="W620" t="str" s="431" cm="1">
        <f t="array" ref="W620">_xlfn.IFERROR(U620+Q620,"N/A")</f>
        <v>N/A</v>
      </c>
      <c r="X620" t="str" s="431" cm="1">
        <f t="array" ref="X620">_xlfn.IFERROR(W620*0.5%,"N/A")</f>
        <v>N/A</v>
      </c>
      <c r="Y620" t="str" s="431" cm="1">
        <f t="array" ref="Y620">_xlfn.IFERROR(W620*25%,"N/A")</f>
        <v>N/A</v>
      </c>
      <c r="Z620" t="str" s="426" cm="1">
        <f t="array" ref="Z620">IF(B620&gt;0,(SUM(W620:Y620)-(C620/0.9-C620)),"N/A")</f>
        <v>N/A</v>
      </c>
      <c r="AA620" t="str" s="426" cm="1">
        <f t="array" ref="AA620">_xlfn.IFERROR((Z620-Z619),"N/A")</f>
        <v>N/A</v>
      </c>
      <c r="AB620" s="424"/>
      <c r="AC620" t="str" s="426" cm="1">
        <f t="array" ref="AC620">IF(B620=6,AVERAGE(Z605:Z610),"N/A")</f>
        <v>N/A</v>
      </c>
      <c r="AD620" s="424"/>
      <c r="AE620" s="423"/>
      <c r="AF620" s="423"/>
      <c r="AG620" s="423"/>
      <c r="AH620" s="423"/>
      <c r="AI620" s="423"/>
      <c r="AJ620" s="423"/>
      <c r="AK620" s="423"/>
      <c r="AL620" s="423"/>
      <c r="AM620" s="423"/>
      <c r="AN620" s="427"/>
    </row>
    <row r="621" ht="15" customHeight="1">
      <c r="A621" s="12"/>
      <c r="B621" s="428" cm="1">
        <f t="array" ref="B621">IF(B620=0,0,IF(B620&lt;VLOOKUP(C602,'Boats Data Sheet 2026'!$C$3:$H$57,6,0),B620+1,0))</f>
        <v>0</v>
      </c>
      <c r="C621" t="str" s="431" cm="1">
        <f t="array" ref="C621">_xlfn.IFERROR(IF(B621&gt;0,IF(VLOOKUP($C$602,'Boats Data Sheet 2026'!$C$3:$J$57,8,0)="N/A",0,VLOOKUP($C$602,'Boats Data Sheet 2026'!$C$3:$J$57,8,0)),"N/A")*85%,"N/A")</f>
        <v>N/A</v>
      </c>
      <c r="D621" t="str" s="431" cm="1">
        <f t="array" ref="D621">IF(B621&gt;7,2,IF(B621=0,"N/A",1))</f>
        <v>N/A</v>
      </c>
      <c r="E621" t="str" s="431" cm="1">
        <f t="array" ref="E621">_xlfn.IFERROR(SUM('Direct Costs 2026'!$C$4:$C$5)*D621,"N/A")</f>
        <v>N/A</v>
      </c>
      <c r="F621" s="423" cm="1">
        <f t="array" ref="F621">_xlfn.IFERROR('Direct Costs 2026'!$C$43*B621,"N/A")</f>
        <v>0</v>
      </c>
      <c r="G621" t="str" s="431" cm="1">
        <f t="array" ref="G621">IF(B621&gt;0,'Direct Costs 2026'!$C$25,"N/A")</f>
        <v>N/A</v>
      </c>
      <c r="H621" s="423">
        <v>0</v>
      </c>
      <c r="I621" s="423">
        <v>0</v>
      </c>
      <c r="J621" s="423">
        <v>0</v>
      </c>
      <c r="K621" s="423">
        <v>0</v>
      </c>
      <c r="L621" t="str" s="431" cm="1">
        <f t="array" ref="L621">IF(B621&gt;0,'Direct Costs 2026'!$C$23,"N/A")</f>
        <v>N/A</v>
      </c>
      <c r="M621" t="str" s="431" cm="1">
        <f t="array" ref="M621">IF(B621&gt;0,'Direct Costs 2026'!$C$45*B621,"N/A")</f>
        <v>N/A</v>
      </c>
      <c r="N621" t="str" s="431" cm="1">
        <f t="array" ref="N621">IF(B621&gt;0,_xlfn.IFERROR(VLOOKUP(C602,'Boats Data Sheet 2026'!$C$3:$I$57,7,0)*'Direct Costs 2026'!$C$36,"N/A"),"N/A")</f>
        <v>N/A</v>
      </c>
      <c r="O621" t="str" s="431" cm="1">
        <f t="array" ref="O621">IF(B621&gt;0,IF(OR(VLOOKUP(C602,'Boats Data Sheet 2026'!$C$3:$F$57,4,0)="Own",VLOOKUP(C602,'Boats Data Sheet 2026'!$C$3:$F$57,4,0)="Management"),('Direct Costs 2026'!$C$37+'Direct Costs 2026'!$C$39),"N/A"),"N/A")</f>
        <v>N/A</v>
      </c>
      <c r="P621" s="423">
        <v>0</v>
      </c>
      <c r="Q621" t="str" s="431" cm="1">
        <f t="array" ref="Q621">_xlfn.IFERROR(C621+SUM(E621:P621),"N/A")</f>
        <v>N/A</v>
      </c>
      <c r="R621" s="424"/>
      <c r="S621" t="str" s="431" cm="1">
        <f t="array" ref="S621">IF(B621&gt;0,'Allocation OH and Target 2026'!$E$31,"N/A")</f>
        <v>N/A</v>
      </c>
      <c r="T621" t="str" s="431" cm="1">
        <f t="array" ref="T621">IF(B621&gt;0,VLOOKUP(C602,'Allocation OH and Target 2026'!$C$35:$S$87,16,0),"N/A")</f>
        <v>N/A</v>
      </c>
      <c r="U621" t="str" s="431" cm="1">
        <f t="array" ref="U621">_xlfn.IFERROR((S621+T621),"N/A")</f>
        <v>N/A</v>
      </c>
      <c r="V621" s="424"/>
      <c r="W621" t="str" s="431" cm="1">
        <f t="array" ref="W621">_xlfn.IFERROR(U621+Q621,"N/A")</f>
        <v>N/A</v>
      </c>
      <c r="X621" t="str" s="431" cm="1">
        <f t="array" ref="X621">_xlfn.IFERROR(W621*0.5%,"N/A")</f>
        <v>N/A</v>
      </c>
      <c r="Y621" t="str" s="431" cm="1">
        <f t="array" ref="Y621">_xlfn.IFERROR(W621*25%,"N/A")</f>
        <v>N/A</v>
      </c>
      <c r="Z621" t="str" s="426" cm="1">
        <f t="array" ref="Z621">IF(B621&gt;0,(SUM(W621:Y621)-(C621/0.9-C621)),"N/A")</f>
        <v>N/A</v>
      </c>
      <c r="AA621" t="str" s="426" cm="1">
        <f t="array" ref="AA621">_xlfn.IFERROR((Z621-Z620),"N/A")</f>
        <v>N/A</v>
      </c>
      <c r="AB621" s="424"/>
      <c r="AC621" t="str" s="426" cm="1">
        <f t="array" ref="AC621">IF(B621=6,AVERAGE(Z605:Z610),"N/A")</f>
        <v>N/A</v>
      </c>
      <c r="AD621" s="424"/>
      <c r="AE621" s="423"/>
      <c r="AF621" s="423"/>
      <c r="AG621" s="423"/>
      <c r="AH621" s="423"/>
      <c r="AI621" s="423"/>
      <c r="AJ621" s="423"/>
      <c r="AK621" s="423"/>
      <c r="AL621" s="423"/>
      <c r="AM621" s="423"/>
      <c r="AN621" s="427"/>
    </row>
    <row r="622" ht="15.5" customHeight="1">
      <c r="A622" s="12"/>
      <c r="B622" s="432" cm="1">
        <f t="array" ref="B622">IF(B621=0,0,IF(B621&lt;VLOOKUP(C602,'Boats Data Sheet 2026'!$C$3:$H$57,6,0),B621+1,0))</f>
        <v>0</v>
      </c>
      <c r="C622" t="str" s="433" cm="1">
        <f t="array" ref="C622">_xlfn.IFERROR(IF(B622&gt;0,IF(VLOOKUP($C$602,'Boats Data Sheet 2026'!$C$3:$J$57,8,0)="N/A",0,VLOOKUP($C$602,'Boats Data Sheet 2026'!$C$3:$J$57,8,0)),"N/A")*85%,"N/A")</f>
        <v>N/A</v>
      </c>
      <c r="D622" t="str" s="433" cm="1">
        <f t="array" ref="D622">IF(B622&gt;7,2,IF(B622=0,"N/A",1))</f>
        <v>N/A</v>
      </c>
      <c r="E622" t="str" s="433" cm="1">
        <f t="array" ref="E622">_xlfn.IFERROR(SUM('Direct Costs 2026'!$C$4:$C$5)*D622,"N/A")</f>
        <v>N/A</v>
      </c>
      <c r="F622" s="434" cm="1">
        <f t="array" ref="F622">_xlfn.IFERROR('Direct Costs 2026'!$C$43*B622,"N/A")</f>
        <v>0</v>
      </c>
      <c r="G622" t="str" s="433" cm="1">
        <f t="array" ref="G622">IF(B622&gt;0,'Direct Costs 2026'!$C$25,"N/A")</f>
        <v>N/A</v>
      </c>
      <c r="H622" s="434">
        <v>0</v>
      </c>
      <c r="I622" s="434">
        <v>0</v>
      </c>
      <c r="J622" s="434">
        <v>0</v>
      </c>
      <c r="K622" s="434">
        <v>0</v>
      </c>
      <c r="L622" t="str" s="433" cm="1">
        <f t="array" ref="L622">IF(B622&gt;0,'Direct Costs 2026'!$C$23,"N/A")</f>
        <v>N/A</v>
      </c>
      <c r="M622" t="str" s="433" cm="1">
        <f t="array" ref="M622">IF(B622&gt;0,'Direct Costs 2026'!$C$45*B622,"N/A")</f>
        <v>N/A</v>
      </c>
      <c r="N622" t="str" s="433" cm="1">
        <f t="array" ref="N622">IF(B622&gt;0,_xlfn.IFERROR(VLOOKUP(C602,'Boats Data Sheet 2026'!$C$3:$I$57,7,0)*'Direct Costs 2026'!$C$36,"N/A"),"N/A")</f>
        <v>N/A</v>
      </c>
      <c r="O622" t="str" s="433" cm="1">
        <f t="array" ref="O622">IF(B622&gt;0,IF(OR(VLOOKUP(C602,'Boats Data Sheet 2026'!$C$3:$F$57,4,0)="Own",VLOOKUP(C602,'Boats Data Sheet 2026'!$C$3:$F$57,4,0)="Management"),('Direct Costs 2026'!$C$37+'Direct Costs 2026'!$C$39),"N/A"),"N/A")</f>
        <v>N/A</v>
      </c>
      <c r="P622" s="434">
        <v>0</v>
      </c>
      <c r="Q622" t="str" s="433" cm="1">
        <f t="array" ref="Q622">_xlfn.IFERROR(C622+SUM(E622:P622),"N/A")</f>
        <v>N/A</v>
      </c>
      <c r="R622" s="435"/>
      <c r="S622" t="str" s="433" cm="1">
        <f t="array" ref="S622">IF(B622&gt;0,'Allocation OH and Target 2026'!$E$31,"N/A")</f>
        <v>N/A</v>
      </c>
      <c r="T622" t="str" s="433" cm="1">
        <f t="array" ref="T622">IF(B622&gt;0,VLOOKUP(C602,'Allocation OH and Target 2026'!$C$35:$S$87,16,0),"N/A")</f>
        <v>N/A</v>
      </c>
      <c r="U622" t="str" s="433" cm="1">
        <f t="array" ref="U622">_xlfn.IFERROR((S622+T622),"N/A")</f>
        <v>N/A</v>
      </c>
      <c r="V622" s="435"/>
      <c r="W622" t="str" s="433" cm="1">
        <f t="array" ref="W622">_xlfn.IFERROR(U622+Q622,"N/A")</f>
        <v>N/A</v>
      </c>
      <c r="X622" t="str" s="433" cm="1">
        <f t="array" ref="X622">_xlfn.IFERROR(W622*0.5%,"N/A")</f>
        <v>N/A</v>
      </c>
      <c r="Y622" t="str" s="433" cm="1">
        <f t="array" ref="Y622">_xlfn.IFERROR(W622*25%,"N/A")</f>
        <v>N/A</v>
      </c>
      <c r="Z622" t="str" s="436" cm="1">
        <f t="array" ref="Z622">IF(B622&gt;0,(SUM(W622:Y622)-(C622/0.9-C622)),"N/A")</f>
        <v>N/A</v>
      </c>
      <c r="AA622" t="str" s="436" cm="1">
        <f t="array" ref="AA622">_xlfn.IFERROR((Z622-Z621),"N/A")</f>
        <v>N/A</v>
      </c>
      <c r="AB622" s="435"/>
      <c r="AC622" t="str" s="436" cm="1">
        <f t="array" ref="AC622">IF(B622=6,AVERAGE(Z605:Z610),"N/A")</f>
        <v>N/A</v>
      </c>
      <c r="AD622" s="435"/>
      <c r="AE622" s="434"/>
      <c r="AF622" s="434"/>
      <c r="AG622" s="434"/>
      <c r="AH622" s="434"/>
      <c r="AI622" s="434"/>
      <c r="AJ622" s="434"/>
      <c r="AK622" s="434"/>
      <c r="AL622" s="434"/>
      <c r="AM622" s="434"/>
      <c r="AN622" s="437"/>
    </row>
    <row r="623" ht="15" customHeight="1">
      <c r="A623" s="32"/>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c r="AH623" s="124"/>
      <c r="AI623" s="124"/>
      <c r="AJ623" s="124"/>
      <c r="AK623" s="124"/>
      <c r="AL623" s="124"/>
      <c r="AM623" s="124"/>
      <c r="AN623" s="313"/>
    </row>
    <row r="624" ht="15" customHeight="1">
      <c r="A624" s="32"/>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c r="AH624" s="35"/>
      <c r="AI624" s="35"/>
      <c r="AJ624" s="35"/>
      <c r="AK624" s="35"/>
      <c r="AL624" s="35"/>
      <c r="AM624" s="35"/>
      <c r="AN624" s="442"/>
    </row>
    <row r="625" ht="15.5" customHeight="1">
      <c r="A625" s="395">
        <v>28</v>
      </c>
      <c r="B625" t="s" s="444">
        <v>506</v>
      </c>
      <c r="C625" t="s" s="445">
        <v>210</v>
      </c>
      <c r="D625" s="446"/>
      <c r="E625" t="s" s="447">
        <v>542</v>
      </c>
      <c r="F625" s="446"/>
      <c r="G625" s="446"/>
      <c r="H625" s="446"/>
      <c r="I625" s="446"/>
      <c r="J625" s="446"/>
      <c r="K625" s="446"/>
      <c r="L625" s="446"/>
      <c r="M625" s="446"/>
      <c r="N625" s="446"/>
      <c r="O625" s="446"/>
      <c r="P625" s="446"/>
      <c r="Q625" s="446"/>
      <c r="R625" s="446"/>
      <c r="S625" s="446"/>
      <c r="T625" s="446"/>
      <c r="U625" s="446"/>
      <c r="V625" s="446"/>
      <c r="W625" s="446"/>
      <c r="X625" s="446"/>
      <c r="Y625" s="446"/>
      <c r="Z625" s="446"/>
      <c r="AA625" s="446"/>
      <c r="AB625" s="446"/>
      <c r="AC625" s="446"/>
      <c r="AD625" s="446"/>
      <c r="AE625" t="s" s="445">
        <v>508</v>
      </c>
      <c r="AF625" s="448" cm="1">
        <f t="array" ref="AF625">AVERAGE(Q628:Q633)</f>
        <v>16028500</v>
      </c>
      <c r="AG625" t="s" s="449">
        <v>509</v>
      </c>
      <c r="AH625" s="448" cm="1">
        <f t="array" ref="AH625">AVERAGE(Q634:Q641)-AF625</f>
        <v>1665583.33333333</v>
      </c>
      <c r="AI625" t="s" s="449">
        <v>510</v>
      </c>
      <c r="AJ625" s="448" cm="1">
        <f t="array" ref="AJ625">AVERAGE(Y628:Y635)</f>
        <v>4848596.16442453</v>
      </c>
      <c r="AK625" t="s" s="445">
        <v>511</v>
      </c>
      <c r="AL625" s="448" cm="1">
        <f t="array" ref="AL625">AVERAGE(W628:W633)</f>
        <v>19128947.1576981</v>
      </c>
      <c r="AM625" t="s" s="449">
        <v>512</v>
      </c>
      <c r="AN625" s="450" cm="1">
        <f t="array" ref="AN625">W628</f>
        <v>18738947.1576981</v>
      </c>
    </row>
    <row r="626" ht="15" customHeight="1">
      <c r="A626" s="12"/>
      <c r="B626" s="451"/>
      <c r="C626" t="s" s="452">
        <v>513</v>
      </c>
      <c r="D626" s="453"/>
      <c r="E626" s="453"/>
      <c r="F626" s="453"/>
      <c r="G626" s="453"/>
      <c r="H626" s="453"/>
      <c r="I626" s="453"/>
      <c r="J626" s="453"/>
      <c r="K626" s="453"/>
      <c r="L626" s="453"/>
      <c r="M626" s="453"/>
      <c r="N626" s="453"/>
      <c r="O626" s="453"/>
      <c r="P626" s="453"/>
      <c r="Q626" s="454"/>
      <c r="R626" s="455"/>
      <c r="S626" t="s" s="452">
        <v>514</v>
      </c>
      <c r="T626" s="453"/>
      <c r="U626" s="454"/>
      <c r="V626" s="455"/>
      <c r="W626" t="s" s="452">
        <v>515</v>
      </c>
      <c r="X626" s="453"/>
      <c r="Y626" s="453"/>
      <c r="Z626" s="453"/>
      <c r="AA626" s="453"/>
      <c r="AB626" s="456"/>
      <c r="AC626" s="457"/>
      <c r="AD626" s="457"/>
      <c r="AE626" s="457"/>
      <c r="AF626" s="457"/>
      <c r="AG626" s="457"/>
      <c r="AH626" s="457"/>
      <c r="AI626" s="457"/>
      <c r="AJ626" s="457"/>
      <c r="AK626" s="457"/>
      <c r="AL626" s="458"/>
      <c r="AM626" s="459"/>
      <c r="AN626" s="458"/>
    </row>
    <row r="627" ht="46.25" customHeight="1">
      <c r="A627" s="187"/>
      <c r="B627" t="s" s="460">
        <v>517</v>
      </c>
      <c r="C627" t="s" s="461">
        <v>518</v>
      </c>
      <c r="D627" t="s" s="461">
        <v>519</v>
      </c>
      <c r="E627" t="s" s="461">
        <v>520</v>
      </c>
      <c r="F627" t="s" s="461">
        <v>521</v>
      </c>
      <c r="G627" t="s" s="461">
        <v>522</v>
      </c>
      <c r="H627" t="s" s="461">
        <v>553</v>
      </c>
      <c r="I627" t="s" s="461">
        <v>524</v>
      </c>
      <c r="J627" t="s" s="461">
        <v>525</v>
      </c>
      <c r="K627" t="s" s="461">
        <v>526</v>
      </c>
      <c r="L627" t="s" s="461">
        <v>527</v>
      </c>
      <c r="M627" t="s" s="461">
        <v>528</v>
      </c>
      <c r="N627" t="s" s="461">
        <v>529</v>
      </c>
      <c r="O627" t="s" s="461">
        <v>530</v>
      </c>
      <c r="P627" t="s" s="461">
        <v>531</v>
      </c>
      <c r="Q627" t="s" s="461">
        <v>532</v>
      </c>
      <c r="R627" s="462"/>
      <c r="S627" t="s" s="461">
        <v>533</v>
      </c>
      <c r="T627" t="s" s="461">
        <v>534</v>
      </c>
      <c r="U627" t="s" s="461">
        <v>535</v>
      </c>
      <c r="V627" s="462"/>
      <c r="W627" t="s" s="461">
        <v>536</v>
      </c>
      <c r="X627" t="s" s="461">
        <v>537</v>
      </c>
      <c r="Y627" t="s" s="461">
        <v>538</v>
      </c>
      <c r="Z627" t="s" s="461">
        <v>539</v>
      </c>
      <c r="AA627" t="s" s="461">
        <v>121</v>
      </c>
      <c r="AB627" s="463"/>
      <c r="AC627" t="s" s="461">
        <v>39</v>
      </c>
      <c r="AD627" s="463"/>
      <c r="AE627" s="463"/>
      <c r="AF627" s="463"/>
      <c r="AG627" s="463"/>
      <c r="AH627" s="463"/>
      <c r="AI627" s="463"/>
      <c r="AJ627" s="463"/>
      <c r="AK627" s="463"/>
      <c r="AL627" s="463"/>
      <c r="AM627" s="463"/>
      <c r="AN627" s="464"/>
    </row>
    <row r="628" ht="15" customHeight="1" hidden="1">
      <c r="A628" s="12"/>
      <c r="B628" s="479">
        <v>1</v>
      </c>
      <c r="C628" s="480" cm="1">
        <f t="array" ref="C628">IF(B628&gt;0,IF(VLOOKUP(C625,'Boats Data Sheet 2026'!$C$3:$J$57,8,0)="N/A",0,VLOOKUP(C625,'Boats Data Sheet 2026'!$C$3:$J$57,8,0)),"N/A")</f>
        <v>13850000</v>
      </c>
      <c r="D628" s="481" cm="1">
        <f t="array" ref="D628">IF(B628&gt;7,2,IF(B628=0,"N/A",1))</f>
        <v>1</v>
      </c>
      <c r="E628" s="480" cm="1">
        <f t="array" ref="E628">_xlfn.IFERROR(SUM('Direct Costs 2026'!$C$4:$C$5)*D628,"N/A")</f>
        <v>875500</v>
      </c>
      <c r="F628" s="480" cm="1">
        <f t="array" ref="F628">_xlfn.IFERROR('Direct Costs 2026'!$C$43*B628,"N/A")</f>
        <v>6000</v>
      </c>
      <c r="G628" s="480" cm="1">
        <f t="array" ref="G628">IF(B628&gt;0,'Direct Costs 2026'!$C$25,"N/A")</f>
        <v>90000</v>
      </c>
      <c r="H628" s="480" cm="1">
        <f t="array" ref="H628">IF(B628&gt;0,'Direct Costs 2026'!$C$15+'Direct Costs 2026'!$C$14,"N/A")</f>
        <v>230000</v>
      </c>
      <c r="I628" s="480">
        <v>0</v>
      </c>
      <c r="J628" s="480">
        <v>0</v>
      </c>
      <c r="K628" s="480" cm="1">
        <f t="array" ref="K628">IF(B628&gt;0,'Direct Costs 2026'!$C$26,"N/A")</f>
        <v>20000</v>
      </c>
      <c r="L628" s="480" cm="1">
        <f t="array" ref="L628">IF(B628&gt;0,'Direct Costs 2026'!$C$23,"N/A")</f>
        <v>140000</v>
      </c>
      <c r="M628" s="480" cm="1">
        <f t="array" ref="M628">IF(B628&gt;0,'Direct Costs 2026'!$C$45*B628,"N/A")</f>
        <v>150000</v>
      </c>
      <c r="N628" t="str" s="482" cm="1">
        <f t="array" ref="N628">IF(B628&gt;0,_xlfn.IFERROR(VLOOKUP(C625,'Boats Data Sheet 2026'!$C$3:$I$57,7,0)*'Direct Costs 2026'!$C$36,"N/A"),"N/A")</f>
        <v>N/A</v>
      </c>
      <c r="O628" t="str" s="482" cm="1">
        <f t="array" ref="O628">IF(B628&gt;0,IF(OR(VLOOKUP(C625,'Boats Data Sheet 2026'!$C$3:$F$57,4,0)="Own",VLOOKUP(C625,'Boats Data Sheet 2026'!$C$3:$F$57,4,0)="Management"),('Direct Costs 2026'!$C$37+'Direct Costs 2026'!$C$39),"N/A"),"N/A")</f>
        <v>N/A</v>
      </c>
      <c r="P628" s="480" cm="1">
        <f t="array" ref="P628">_xlfn.IFERROR('Direct Costs 2026'!$C$27*C628,"N/A")</f>
        <v>277000</v>
      </c>
      <c r="Q628" s="480" cm="1">
        <f t="array" ref="Q628">_xlfn.IFERROR(C628+SUM(E628:P628),"N/A")</f>
        <v>15638500</v>
      </c>
      <c r="R628" s="483"/>
      <c r="S628" s="480" cm="1">
        <f t="array" ref="S628">IF(B628&gt;0,'Allocation OH and Target 2026'!$E$31,"N/A")</f>
        <v>3100447.15769812</v>
      </c>
      <c r="T628" s="480" cm="1">
        <f t="array" ref="T628">IF(B628&gt;0,VLOOKUP(C625,'Allocation OH and Target 2026'!$C$35:$S$87,16,0),"N/A")</f>
        <v>0</v>
      </c>
      <c r="U628" s="480" cm="1">
        <f t="array" ref="U628">_xlfn.IFERROR((S628+T628),"N/A")</f>
        <v>3100447.15769812</v>
      </c>
      <c r="V628" s="483"/>
      <c r="W628" s="480" cm="1">
        <f t="array" ref="W628">_xlfn.IFERROR(U628+Q628,"N/A")</f>
        <v>18738947.1576981</v>
      </c>
      <c r="X628" s="480" cm="1">
        <f t="array" ref="X628">_xlfn.IFERROR(W628*0.5%,"N/A")</f>
        <v>93694.735788490507</v>
      </c>
      <c r="Y628" s="480" cm="1">
        <f t="array" ref="Y628">_xlfn.IFERROR(W628*25%,"N/A")</f>
        <v>4684736.78942453</v>
      </c>
      <c r="Z628" s="484" cm="1">
        <f t="array" ref="Z628">IF(B628&gt;0,SUM(W628:Y628),"N/A")</f>
        <v>23517378.6829111</v>
      </c>
      <c r="AA628" s="484">
        <v>0</v>
      </c>
      <c r="AB628" s="483"/>
      <c r="AC628" t="str" s="485" cm="1">
        <f t="array" ref="AC628">IF(B628=6,AVERAGE(Z628:Z633),"N/A")</f>
        <v>N/A</v>
      </c>
      <c r="AD628" s="483"/>
      <c r="AE628" s="480"/>
      <c r="AF628" s="480"/>
      <c r="AG628" s="480"/>
      <c r="AH628" s="480"/>
      <c r="AI628" s="480"/>
      <c r="AJ628" s="480"/>
      <c r="AK628" s="480"/>
      <c r="AL628" s="480"/>
      <c r="AM628" s="480"/>
      <c r="AN628" s="486"/>
    </row>
    <row r="629" ht="15" customHeight="1" hidden="1">
      <c r="A629" s="12"/>
      <c r="B629" s="479" cm="1">
        <f t="array" ref="B629">IF(B628=0,0,IF(B628&lt;VLOOKUP(C625,'Boats Data Sheet 2026'!$C$3:$H$57,6,0),B628+1,0))</f>
        <v>2</v>
      </c>
      <c r="C629" s="480" cm="1">
        <f t="array" ref="C629">IF(B629&gt;0,IF(VLOOKUP(C625,'Boats Data Sheet 2026'!$C$3:$J$57,8,0)="N/A",0,VLOOKUP(C625,'Boats Data Sheet 2026'!$C$3:$J$57,8,0)),"N/A")</f>
        <v>13850000</v>
      </c>
      <c r="D629" s="481" cm="1">
        <f t="array" ref="D629">IF(B629&gt;7,2,IF(B629=0,"N/A",1))</f>
        <v>1</v>
      </c>
      <c r="E629" s="480" cm="1">
        <f t="array" ref="E629">_xlfn.IFERROR(SUM('Direct Costs 2026'!$C$4:$C$5)*D629,"N/A")</f>
        <v>875500</v>
      </c>
      <c r="F629" s="480" cm="1">
        <f t="array" ref="F629">_xlfn.IFERROR('Direct Costs 2026'!$C$43*B629,"N/A")</f>
        <v>12000</v>
      </c>
      <c r="G629" s="480" cm="1">
        <f t="array" ref="G629">IF(B629&gt;0,'Direct Costs 2026'!$C$25,"N/A")</f>
        <v>90000</v>
      </c>
      <c r="H629" s="480" cm="1">
        <f t="array" ref="H629">IF(B629&gt;0,'Direct Costs 2026'!$C$15+'Direct Costs 2026'!$C$14,"N/A")</f>
        <v>230000</v>
      </c>
      <c r="I629" s="480">
        <v>0</v>
      </c>
      <c r="J629" s="480">
        <v>0</v>
      </c>
      <c r="K629" s="480" cm="1">
        <f t="array" ref="K629">IF(B629&gt;0,'Direct Costs 2026'!$C$26,"N/A")</f>
        <v>20000</v>
      </c>
      <c r="L629" s="480" cm="1">
        <f t="array" ref="L629">IF(B629&gt;0,'Direct Costs 2026'!$C$23,"N/A")</f>
        <v>140000</v>
      </c>
      <c r="M629" s="480" cm="1">
        <f t="array" ref="M629">IF(B629&gt;0,'Direct Costs 2026'!$C$45*B629,"N/A")</f>
        <v>300000</v>
      </c>
      <c r="N629" t="str" s="482" cm="1">
        <f t="array" ref="N629">IF(B629&gt;0,_xlfn.IFERROR(VLOOKUP(C625,'Boats Data Sheet 2026'!$C$3:$I$57,7,0)*'Direct Costs 2026'!$C$36,"N/A"),"N/A")</f>
        <v>N/A</v>
      </c>
      <c r="O629" t="str" s="482" cm="1">
        <f t="array" ref="O629">IF(B629&gt;0,IF(OR(VLOOKUP(C625,'Boats Data Sheet 2026'!$C$3:$F$57,4,0)="Own",VLOOKUP(C625,'Boats Data Sheet 2026'!$C$3:$F$57,4,0)="Management"),('Direct Costs 2026'!$C$37+'Direct Costs 2026'!$C$39),"N/A"),"N/A")</f>
        <v>N/A</v>
      </c>
      <c r="P629" s="480" cm="1">
        <f t="array" ref="P629">_xlfn.IFERROR('Direct Costs 2026'!$C$27*C629,"N/A")</f>
        <v>277000</v>
      </c>
      <c r="Q629" s="480" cm="1">
        <f t="array" ref="Q629">_xlfn.IFERROR(C629+SUM(E629:P629),"N/A")</f>
        <v>15794500</v>
      </c>
      <c r="R629" s="483"/>
      <c r="S629" s="480" cm="1">
        <f t="array" ref="S629">IF(B629&gt;0,'Allocation OH and Target 2026'!$E$31,"N/A")</f>
        <v>3100447.15769812</v>
      </c>
      <c r="T629" s="480" cm="1">
        <f t="array" ref="T629">IF(B629&gt;0,VLOOKUP(C625,'Allocation OH and Target 2026'!$C$35:$S$87,16,0),"N/A")</f>
        <v>0</v>
      </c>
      <c r="U629" s="480" cm="1">
        <f t="array" ref="U629">_xlfn.IFERROR((S629+T629),"N/A")</f>
        <v>3100447.15769812</v>
      </c>
      <c r="V629" s="483"/>
      <c r="W629" s="480" cm="1">
        <f t="array" ref="W629">_xlfn.IFERROR(U629+Q629,"N/A")</f>
        <v>18894947.1576981</v>
      </c>
      <c r="X629" s="480" cm="1">
        <f t="array" ref="X629">_xlfn.IFERROR(W629*0.5%,"N/A")</f>
        <v>94474.735788490507</v>
      </c>
      <c r="Y629" s="480" cm="1">
        <f t="array" ref="Y629">_xlfn.IFERROR(W629*25%,"N/A")</f>
        <v>4723736.78942453</v>
      </c>
      <c r="Z629" s="484" cm="1">
        <f t="array" ref="Z629">IF(B629&gt;0,SUM(W629:Y629),"N/A")</f>
        <v>23713158.6829111</v>
      </c>
      <c r="AA629" s="484">
        <v>0</v>
      </c>
      <c r="AB629" s="483"/>
      <c r="AC629" t="str" s="485" cm="1">
        <f t="array" ref="AC629">IF(B629=6,AVERAGE(Z628:Z633),"N/A")</f>
        <v>N/A</v>
      </c>
      <c r="AD629" s="483"/>
      <c r="AE629" s="480"/>
      <c r="AF629" s="480"/>
      <c r="AG629" s="480"/>
      <c r="AH629" s="480"/>
      <c r="AI629" s="480"/>
      <c r="AJ629" s="480"/>
      <c r="AK629" s="480"/>
      <c r="AL629" s="480"/>
      <c r="AM629" s="480"/>
      <c r="AN629" s="486"/>
    </row>
    <row r="630" ht="15" customHeight="1" hidden="1">
      <c r="A630" s="12"/>
      <c r="B630" s="479" cm="1">
        <f t="array" ref="B630">IF(B629=0,0,IF(B629&lt;VLOOKUP(C625,'Boats Data Sheet 2026'!$C$3:$H$57,6,0),B629+1,0))</f>
        <v>3</v>
      </c>
      <c r="C630" s="480" cm="1">
        <f t="array" ref="C630">IF(B630&gt;0,IF(VLOOKUP(C625,'Boats Data Sheet 2026'!$C$3:$J$57,8,0)="N/A",0,VLOOKUP(C625,'Boats Data Sheet 2026'!$C$3:$J$57,8,0)),"N/A")</f>
        <v>13850000</v>
      </c>
      <c r="D630" s="481" cm="1">
        <f t="array" ref="D630">IF(B630&gt;7,2,IF(B630=0,"N/A",1))</f>
        <v>1</v>
      </c>
      <c r="E630" s="480" cm="1">
        <f t="array" ref="E630">_xlfn.IFERROR(SUM('Direct Costs 2026'!$C$4:$C$5)*D630,"N/A")</f>
        <v>875500</v>
      </c>
      <c r="F630" s="480" cm="1">
        <f t="array" ref="F630">_xlfn.IFERROR('Direct Costs 2026'!$C$43*B630,"N/A")</f>
        <v>18000</v>
      </c>
      <c r="G630" s="480" cm="1">
        <f t="array" ref="G630">IF(B630&gt;0,'Direct Costs 2026'!$C$25,"N/A")</f>
        <v>90000</v>
      </c>
      <c r="H630" s="480" cm="1">
        <f t="array" ref="H630">IF(B630&gt;0,'Direct Costs 2026'!$C$15+'Direct Costs 2026'!$C$14,"N/A")</f>
        <v>230000</v>
      </c>
      <c r="I630" s="480">
        <v>0</v>
      </c>
      <c r="J630" s="480">
        <v>0</v>
      </c>
      <c r="K630" s="480" cm="1">
        <f t="array" ref="K630">IF(B630&gt;0,'Direct Costs 2026'!$C$26,"N/A")</f>
        <v>20000</v>
      </c>
      <c r="L630" s="480" cm="1">
        <f t="array" ref="L630">IF(B630&gt;0,'Direct Costs 2026'!$C$23,"N/A")</f>
        <v>140000</v>
      </c>
      <c r="M630" s="480" cm="1">
        <f t="array" ref="M630">IF(B630&gt;0,'Direct Costs 2026'!$C$45*B630,"N/A")</f>
        <v>450000</v>
      </c>
      <c r="N630" t="str" s="482" cm="1">
        <f t="array" ref="N630">IF(B630&gt;0,_xlfn.IFERROR(VLOOKUP(C625,'Boats Data Sheet 2026'!$C$3:$I$57,7,0)*'Direct Costs 2026'!$C$36,"N/A"),"N/A")</f>
        <v>N/A</v>
      </c>
      <c r="O630" t="str" s="482" cm="1">
        <f t="array" ref="O630">IF(B630&gt;0,IF(OR(VLOOKUP(C625,'Boats Data Sheet 2026'!$C$3:$F$57,4,0)="Own",VLOOKUP(C625,'Boats Data Sheet 2026'!$C$3:$F$57,4,0)="Management"),('Direct Costs 2026'!$C$37+'Direct Costs 2026'!$C$39),"N/A"),"N/A")</f>
        <v>N/A</v>
      </c>
      <c r="P630" s="480" cm="1">
        <f t="array" ref="P630">_xlfn.IFERROR('Direct Costs 2026'!$C$27*C630,"N/A")</f>
        <v>277000</v>
      </c>
      <c r="Q630" s="480" cm="1">
        <f t="array" ref="Q630">_xlfn.IFERROR(C630+SUM(E630:P630),"N/A")</f>
        <v>15950500</v>
      </c>
      <c r="R630" s="483"/>
      <c r="S630" s="480" cm="1">
        <f t="array" ref="S630">IF(B630&gt;0,'Allocation OH and Target 2026'!$E$31,"N/A")</f>
        <v>3100447.15769812</v>
      </c>
      <c r="T630" s="480" cm="1">
        <f t="array" ref="T630">IF(B630&gt;0,VLOOKUP(C625,'Allocation OH and Target 2026'!$C$35:$S$87,16,0),"N/A")</f>
        <v>0</v>
      </c>
      <c r="U630" s="480" cm="1">
        <f t="array" ref="U630">_xlfn.IFERROR((S630+T630),"N/A")</f>
        <v>3100447.15769812</v>
      </c>
      <c r="V630" s="483"/>
      <c r="W630" s="480" cm="1">
        <f t="array" ref="W630">_xlfn.IFERROR(U630+Q630,"N/A")</f>
        <v>19050947.1576981</v>
      </c>
      <c r="X630" s="480" cm="1">
        <f t="array" ref="X630">_xlfn.IFERROR(W630*0.5%,"N/A")</f>
        <v>95254.735788490507</v>
      </c>
      <c r="Y630" s="480" cm="1">
        <f t="array" ref="Y630">_xlfn.IFERROR(W630*25%,"N/A")</f>
        <v>4762736.78942453</v>
      </c>
      <c r="Z630" s="484" cm="1">
        <f t="array" ref="Z630">IF(B630&gt;0,SUM(W630:Y630),"N/A")</f>
        <v>23908938.6829111</v>
      </c>
      <c r="AA630" s="484">
        <v>0</v>
      </c>
      <c r="AB630" s="483"/>
      <c r="AC630" t="str" s="485" cm="1">
        <f t="array" ref="AC630">IF(B630=6,AVERAGE(Z628:Z633),"N/A")</f>
        <v>N/A</v>
      </c>
      <c r="AD630" s="483"/>
      <c r="AE630" s="480"/>
      <c r="AF630" s="480"/>
      <c r="AG630" s="480"/>
      <c r="AH630" s="480"/>
      <c r="AI630" s="480"/>
      <c r="AJ630" s="480"/>
      <c r="AK630" s="480"/>
      <c r="AL630" s="480"/>
      <c r="AM630" s="480"/>
      <c r="AN630" s="486"/>
    </row>
    <row r="631" ht="15" customHeight="1" hidden="1">
      <c r="A631" s="12"/>
      <c r="B631" s="479" cm="1">
        <f t="array" ref="B631">IF(B630=0,0,IF(B630&lt;VLOOKUP(C625,'Boats Data Sheet 2026'!$C$3:$H$57,6,0),B630+1,0))</f>
        <v>4</v>
      </c>
      <c r="C631" s="480" cm="1">
        <f t="array" ref="C631">IF(B631&gt;0,IF(VLOOKUP(C625,'Boats Data Sheet 2026'!$C$3:$J$57,8,0)="N/A",0,VLOOKUP(C625,'Boats Data Sheet 2026'!$C$3:$J$57,8,0)),"N/A")</f>
        <v>13850000</v>
      </c>
      <c r="D631" s="481" cm="1">
        <f t="array" ref="D631">IF(B631&gt;7,2,IF(B631=0,"N/A",1))</f>
        <v>1</v>
      </c>
      <c r="E631" s="480" cm="1">
        <f t="array" ref="E631">_xlfn.IFERROR(SUM('Direct Costs 2026'!$C$4:$C$5)*D631,"N/A")</f>
        <v>875500</v>
      </c>
      <c r="F631" s="480" cm="1">
        <f t="array" ref="F631">_xlfn.IFERROR('Direct Costs 2026'!$C$43*B631,"N/A")</f>
        <v>24000</v>
      </c>
      <c r="G631" s="480" cm="1">
        <f t="array" ref="G631">IF(B631&gt;0,'Direct Costs 2026'!$C$25,"N/A")</f>
        <v>90000</v>
      </c>
      <c r="H631" s="480" cm="1">
        <f t="array" ref="H631">IF(B631&gt;0,'Direct Costs 2026'!$C$15+'Direct Costs 2026'!$C$14,"N/A")</f>
        <v>230000</v>
      </c>
      <c r="I631" s="480">
        <v>0</v>
      </c>
      <c r="J631" s="480">
        <v>0</v>
      </c>
      <c r="K631" s="480" cm="1">
        <f t="array" ref="K631">IF(B631&gt;0,'Direct Costs 2026'!$C$26,"N/A")</f>
        <v>20000</v>
      </c>
      <c r="L631" s="480" cm="1">
        <f t="array" ref="L631">IF(B631&gt;0,'Direct Costs 2026'!$C$23,"N/A")</f>
        <v>140000</v>
      </c>
      <c r="M631" s="480" cm="1">
        <f t="array" ref="M631">IF(B631&gt;0,'Direct Costs 2026'!$C$45*B631,"N/A")</f>
        <v>600000</v>
      </c>
      <c r="N631" t="str" s="482" cm="1">
        <f t="array" ref="N631">IF(B631&gt;0,_xlfn.IFERROR(VLOOKUP(C625,'Boats Data Sheet 2026'!$C$3:$I$57,7,0)*'Direct Costs 2026'!$C$36,"N/A"),"N/A")</f>
        <v>N/A</v>
      </c>
      <c r="O631" t="str" s="482" cm="1">
        <f t="array" ref="O631">IF(B631&gt;0,IF(OR(VLOOKUP(C625,'Boats Data Sheet 2026'!$C$3:$F$57,4,0)="Own",VLOOKUP(C625,'Boats Data Sheet 2026'!$C$3:$F$57,4,0)="Management"),('Direct Costs 2026'!$C$37+'Direct Costs 2026'!$C$39),"N/A"),"N/A")</f>
        <v>N/A</v>
      </c>
      <c r="P631" s="480" cm="1">
        <f t="array" ref="P631">_xlfn.IFERROR('Direct Costs 2026'!$C$27*C631,"N/A")</f>
        <v>277000</v>
      </c>
      <c r="Q631" s="480" cm="1">
        <f t="array" ref="Q631">_xlfn.IFERROR(C631+SUM(E631:P631),"N/A")</f>
        <v>16106500</v>
      </c>
      <c r="R631" s="483"/>
      <c r="S631" s="480" cm="1">
        <f t="array" ref="S631">IF(B631&gt;0,'Allocation OH and Target 2026'!$E$31,"N/A")</f>
        <v>3100447.15769812</v>
      </c>
      <c r="T631" s="480" cm="1">
        <f t="array" ref="T631">IF(B631&gt;0,VLOOKUP(C625,'Allocation OH and Target 2026'!$C$35:$S$87,16,0),"N/A")</f>
        <v>0</v>
      </c>
      <c r="U631" s="480" cm="1">
        <f t="array" ref="U631">_xlfn.IFERROR((S631+T631),"N/A")</f>
        <v>3100447.15769812</v>
      </c>
      <c r="V631" s="483"/>
      <c r="W631" s="480" cm="1">
        <f t="array" ref="W631">_xlfn.IFERROR(U631+Q631,"N/A")</f>
        <v>19206947.1576981</v>
      </c>
      <c r="X631" s="480" cm="1">
        <f t="array" ref="X631">_xlfn.IFERROR(W631*0.5%,"N/A")</f>
        <v>96034.735788490507</v>
      </c>
      <c r="Y631" s="480" cm="1">
        <f t="array" ref="Y631">_xlfn.IFERROR(W631*25%,"N/A")</f>
        <v>4801736.78942453</v>
      </c>
      <c r="Z631" s="484" cm="1">
        <f t="array" ref="Z631">IF(B631&gt;0,SUM(W631:Y631),"N/A")</f>
        <v>24104718.6829111</v>
      </c>
      <c r="AA631" s="484">
        <v>0</v>
      </c>
      <c r="AB631" s="483"/>
      <c r="AC631" t="str" s="485" cm="1">
        <f t="array" ref="AC631">IF(B631=6,AVERAGE(Z628:Z633),"N/A")</f>
        <v>N/A</v>
      </c>
      <c r="AD631" s="483"/>
      <c r="AE631" s="480"/>
      <c r="AF631" s="480"/>
      <c r="AG631" s="480"/>
      <c r="AH631" s="480"/>
      <c r="AI631" s="480"/>
      <c r="AJ631" s="480"/>
      <c r="AK631" s="480"/>
      <c r="AL631" s="480"/>
      <c r="AM631" s="480"/>
      <c r="AN631" s="486"/>
    </row>
    <row r="632" ht="15" customHeight="1" hidden="1">
      <c r="A632" s="12"/>
      <c r="B632" s="479" cm="1">
        <f t="array" ref="B632">IF(B631=0,0,IF(B631&lt;VLOOKUP(C625,'Boats Data Sheet 2026'!$C$3:$H$57,6,0),B631+1,0))</f>
        <v>5</v>
      </c>
      <c r="C632" s="480" cm="1">
        <f t="array" ref="C632">IF(B632&gt;0,IF(VLOOKUP(C625,'Boats Data Sheet 2026'!$C$3:$J$57,8,0)="N/A",0,VLOOKUP(C625,'Boats Data Sheet 2026'!$C$3:$J$57,8,0)),"N/A")</f>
        <v>13850000</v>
      </c>
      <c r="D632" s="481" cm="1">
        <f t="array" ref="D632">IF(B632&gt;7,2,IF(B632=0,"N/A",1))</f>
        <v>1</v>
      </c>
      <c r="E632" s="480" cm="1">
        <f t="array" ref="E632">_xlfn.IFERROR(SUM('Direct Costs 2026'!$C$4:$C$5)*D632,"N/A")</f>
        <v>875500</v>
      </c>
      <c r="F632" s="480" cm="1">
        <f t="array" ref="F632">_xlfn.IFERROR('Direct Costs 2026'!$C$43*B632,"N/A")</f>
        <v>30000</v>
      </c>
      <c r="G632" s="480" cm="1">
        <f t="array" ref="G632">IF(B632&gt;0,'Direct Costs 2026'!$C$25,"N/A")</f>
        <v>90000</v>
      </c>
      <c r="H632" s="480" cm="1">
        <f t="array" ref="H632">IF(B632&gt;0,'Direct Costs 2026'!$C$15+'Direct Costs 2026'!$C$14,"N/A")</f>
        <v>230000</v>
      </c>
      <c r="I632" s="480">
        <v>0</v>
      </c>
      <c r="J632" s="480">
        <v>0</v>
      </c>
      <c r="K632" s="480" cm="1">
        <f t="array" ref="K632">IF(B632&gt;0,'Direct Costs 2026'!$C$26,"N/A")</f>
        <v>20000</v>
      </c>
      <c r="L632" s="480" cm="1">
        <f t="array" ref="L632">IF(B632&gt;0,'Direct Costs 2026'!$C$23,"N/A")</f>
        <v>140000</v>
      </c>
      <c r="M632" s="480" cm="1">
        <f t="array" ref="M632">IF(B632&gt;0,'Direct Costs 2026'!$C$45*B632,"N/A")</f>
        <v>750000</v>
      </c>
      <c r="N632" t="str" s="482" cm="1">
        <f t="array" ref="N632">IF(B632&gt;0,_xlfn.IFERROR(VLOOKUP(C625,'Boats Data Sheet 2026'!$C$3:$I$57,7,0)*'Direct Costs 2026'!$C$36,"N/A"),"N/A")</f>
        <v>N/A</v>
      </c>
      <c r="O632" t="str" s="482" cm="1">
        <f t="array" ref="O632">IF(B632&gt;0,IF(OR(VLOOKUP(C625,'Boats Data Sheet 2026'!$C$3:$F$57,4,0)="Own",VLOOKUP(C625,'Boats Data Sheet 2026'!$C$3:$F$57,4,0)="Management"),('Direct Costs 2026'!$C$37+'Direct Costs 2026'!$C$39),"N/A"),"N/A")</f>
        <v>N/A</v>
      </c>
      <c r="P632" s="480" cm="1">
        <f t="array" ref="P632">_xlfn.IFERROR('Direct Costs 2026'!$C$27*C632,"N/A")</f>
        <v>277000</v>
      </c>
      <c r="Q632" s="480" cm="1">
        <f t="array" ref="Q632">_xlfn.IFERROR(C632+SUM(E632:P632),"N/A")</f>
        <v>16262500</v>
      </c>
      <c r="R632" s="483"/>
      <c r="S632" s="480" cm="1">
        <f t="array" ref="S632">IF(B632&gt;0,'Allocation OH and Target 2026'!$E$31,"N/A")</f>
        <v>3100447.15769812</v>
      </c>
      <c r="T632" s="480" cm="1">
        <f t="array" ref="T632">IF(B632&gt;0,VLOOKUP(C625,'Allocation OH and Target 2026'!$C$35:$S$87,16,0),"N/A")</f>
        <v>0</v>
      </c>
      <c r="U632" s="480" cm="1">
        <f t="array" ref="U632">_xlfn.IFERROR((S632+T632),"N/A")</f>
        <v>3100447.15769812</v>
      </c>
      <c r="V632" s="483"/>
      <c r="W632" s="480" cm="1">
        <f t="array" ref="W632">_xlfn.IFERROR(U632+Q632,"N/A")</f>
        <v>19362947.1576981</v>
      </c>
      <c r="X632" s="480" cm="1">
        <f t="array" ref="X632">_xlfn.IFERROR(W632*0.5%,"N/A")</f>
        <v>96814.735788490507</v>
      </c>
      <c r="Y632" s="480" cm="1">
        <f t="array" ref="Y632">_xlfn.IFERROR(W632*25%,"N/A")</f>
        <v>4840736.78942453</v>
      </c>
      <c r="Z632" s="484" cm="1">
        <f t="array" ref="Z632">IF(B632&gt;0,SUM(W632:Y632),"N/A")</f>
        <v>24300498.6829111</v>
      </c>
      <c r="AA632" s="484">
        <v>0</v>
      </c>
      <c r="AB632" s="483"/>
      <c r="AC632" t="str" s="485" cm="1">
        <f t="array" ref="AC632">IF(B632=6,AVERAGE(Z628:Z633),"N/A")</f>
        <v>N/A</v>
      </c>
      <c r="AD632" s="483"/>
      <c r="AE632" s="480"/>
      <c r="AF632" s="480"/>
      <c r="AG632" s="480"/>
      <c r="AH632" s="480"/>
      <c r="AI632" s="480"/>
      <c r="AJ632" s="480"/>
      <c r="AK632" s="480"/>
      <c r="AL632" s="480"/>
      <c r="AM632" s="480"/>
      <c r="AN632" s="486"/>
    </row>
    <row r="633" ht="15" customHeight="1" hidden="1">
      <c r="A633" s="12"/>
      <c r="B633" s="479" cm="1">
        <f t="array" ref="B633">IF(B632=0,0,IF(B632&lt;VLOOKUP(C625,'Boats Data Sheet 2026'!$C$3:$H$57,6,0),B632+1,0))</f>
        <v>6</v>
      </c>
      <c r="C633" s="480" cm="1">
        <f t="array" ref="C633">IF(B633&gt;0,IF(VLOOKUP(C625,'Boats Data Sheet 2026'!$C$3:$J$57,8,0)="N/A",0,VLOOKUP(C625,'Boats Data Sheet 2026'!$C$3:$J$57,8,0)),"N/A")</f>
        <v>13850000</v>
      </c>
      <c r="D633" s="481" cm="1">
        <f t="array" ref="D633">IF(B633&gt;7,2,IF(B633=0,"N/A",1))</f>
        <v>1</v>
      </c>
      <c r="E633" s="480" cm="1">
        <f t="array" ref="E633">_xlfn.IFERROR(SUM('Direct Costs 2026'!$C$4:$C$5)*D633,"N/A")</f>
        <v>875500</v>
      </c>
      <c r="F633" s="480" cm="1">
        <f t="array" ref="F633">_xlfn.IFERROR('Direct Costs 2026'!$C$43*B633,"N/A")</f>
        <v>36000</v>
      </c>
      <c r="G633" s="480" cm="1">
        <f t="array" ref="G633">IF(B633&gt;0,'Direct Costs 2026'!$C$25,"N/A")</f>
        <v>90000</v>
      </c>
      <c r="H633" s="480" cm="1">
        <f t="array" ref="H633">IF(B633&gt;0,'Direct Costs 2026'!$C$15+'Direct Costs 2026'!$C$14,"N/A")</f>
        <v>230000</v>
      </c>
      <c r="I633" s="480">
        <v>0</v>
      </c>
      <c r="J633" s="480">
        <v>0</v>
      </c>
      <c r="K633" s="480" cm="1">
        <f t="array" ref="K633">IF(B633&gt;0,'Direct Costs 2026'!$C$26,"N/A")</f>
        <v>20000</v>
      </c>
      <c r="L633" s="480" cm="1">
        <f t="array" ref="L633">IF(B633&gt;0,'Direct Costs 2026'!$C$23,"N/A")</f>
        <v>140000</v>
      </c>
      <c r="M633" s="480" cm="1">
        <f t="array" ref="M633">IF(B633&gt;0,'Direct Costs 2026'!$C$45*B633,"N/A")</f>
        <v>900000</v>
      </c>
      <c r="N633" t="str" s="482" cm="1">
        <f t="array" ref="N633">IF(B633&gt;0,_xlfn.IFERROR(VLOOKUP(C625,'Boats Data Sheet 2026'!$C$3:$I$57,7,0)*'Direct Costs 2026'!$C$36,"N/A"),"N/A")</f>
        <v>N/A</v>
      </c>
      <c r="O633" t="str" s="482" cm="1">
        <f t="array" ref="O633">IF(B633&gt;0,IF(OR(VLOOKUP(C625,'Boats Data Sheet 2026'!$C$3:$F$57,4,0)="Own",VLOOKUP(C625,'Boats Data Sheet 2026'!$C$3:$F$57,4,0)="Management"),('Direct Costs 2026'!$C$37+'Direct Costs 2026'!$C$39),"N/A"),"N/A")</f>
        <v>N/A</v>
      </c>
      <c r="P633" s="480" cm="1">
        <f t="array" ref="P633">_xlfn.IFERROR('Direct Costs 2026'!$C$27*C633,"N/A")</f>
        <v>277000</v>
      </c>
      <c r="Q633" s="480" cm="1">
        <f t="array" ref="Q633">_xlfn.IFERROR(C633+SUM(E633:P633),"N/A")</f>
        <v>16418500</v>
      </c>
      <c r="R633" s="483"/>
      <c r="S633" s="480" cm="1">
        <f t="array" ref="S633">IF(B633&gt;0,'Allocation OH and Target 2026'!$E$31,"N/A")</f>
        <v>3100447.15769812</v>
      </c>
      <c r="T633" s="480" cm="1">
        <f t="array" ref="T633">IF(B633&gt;0,VLOOKUP(C625,'Allocation OH and Target 2026'!$C$35:$S$87,16,0),"N/A")</f>
        <v>0</v>
      </c>
      <c r="U633" s="480" cm="1">
        <f t="array" ref="U633">_xlfn.IFERROR((S633+T633),"N/A")</f>
        <v>3100447.15769812</v>
      </c>
      <c r="V633" s="483"/>
      <c r="W633" s="480" cm="1">
        <f t="array" ref="W633">_xlfn.IFERROR(U633+Q633,"N/A")</f>
        <v>19518947.1576981</v>
      </c>
      <c r="X633" s="480" cm="1">
        <f t="array" ref="X633">_xlfn.IFERROR(W633*0.5%,"N/A")</f>
        <v>97594.735788490507</v>
      </c>
      <c r="Y633" s="480" cm="1">
        <f t="array" ref="Y633">_xlfn.IFERROR(W633*25%,"N/A")</f>
        <v>4879736.78942453</v>
      </c>
      <c r="Z633" s="484" cm="1">
        <f t="array" ref="Z633">IF(B633&gt;0,SUM(W633:Y633),"N/A")</f>
        <v>24496278.6829111</v>
      </c>
      <c r="AA633" s="484">
        <v>0</v>
      </c>
      <c r="AB633" s="483"/>
      <c r="AC633" s="484" cm="1">
        <f t="array" ref="AC633">IF(B633=6,AVERAGE(Z628:Z633),"N/A")</f>
        <v>24006828.6829111</v>
      </c>
      <c r="AD633" s="483"/>
      <c r="AE633" s="480"/>
      <c r="AF633" s="480"/>
      <c r="AG633" s="480"/>
      <c r="AH633" s="480"/>
      <c r="AI633" s="480"/>
      <c r="AJ633" s="480"/>
      <c r="AK633" s="480"/>
      <c r="AL633" s="480"/>
      <c r="AM633" s="480"/>
      <c r="AN633" s="486"/>
    </row>
    <row r="634" ht="15" customHeight="1" hidden="1">
      <c r="A634" s="12"/>
      <c r="B634" s="479" cm="1">
        <f t="array" ref="B634">IF(B633=0,0,IF(B633&lt;VLOOKUP(C625,'Boats Data Sheet 2026'!$C$3:$H$57,6,0),B633+1,0))</f>
        <v>7</v>
      </c>
      <c r="C634" s="480" cm="1">
        <f t="array" ref="C634">IF(B634&gt;0,IF(VLOOKUP(C625,'Boats Data Sheet 2026'!$C$3:$J$57,8,0)="N/A",0,VLOOKUP(C625,'Boats Data Sheet 2026'!$C$3:$J$57,8,0)),"N/A")</f>
        <v>13850000</v>
      </c>
      <c r="D634" s="481" cm="1">
        <f t="array" ref="D634">IF(B634&gt;7,2,IF(B634=0,"N/A",1))</f>
        <v>1</v>
      </c>
      <c r="E634" s="480" cm="1">
        <f t="array" ref="E634">_xlfn.IFERROR(SUM('Direct Costs 2026'!$C$4:$C$5)*D634,"N/A")</f>
        <v>875500</v>
      </c>
      <c r="F634" s="480" cm="1">
        <f t="array" ref="F634">_xlfn.IFERROR('Direct Costs 2026'!$C$43*B634,"N/A")</f>
        <v>42000</v>
      </c>
      <c r="G634" s="480" cm="1">
        <f t="array" ref="G634">IF(B634&gt;0,'Direct Costs 2026'!$C$25,"N/A")</f>
        <v>90000</v>
      </c>
      <c r="H634" s="480" cm="1">
        <f t="array" ref="H634">IF(B634&gt;0,'Direct Costs 2026'!$C$15+'Direct Costs 2026'!$C$14,"N/A")</f>
        <v>230000</v>
      </c>
      <c r="I634" s="480">
        <v>0</v>
      </c>
      <c r="J634" s="480">
        <v>0</v>
      </c>
      <c r="K634" s="480" cm="1">
        <f t="array" ref="K634">IF(B634&gt;0,'Direct Costs 2026'!$C$26,"N/A")</f>
        <v>20000</v>
      </c>
      <c r="L634" s="480" cm="1">
        <f t="array" ref="L634">IF(B634&gt;0,'Direct Costs 2026'!$C$23,"N/A")</f>
        <v>140000</v>
      </c>
      <c r="M634" s="480" cm="1">
        <f t="array" ref="M634">IF(B634&gt;0,'Direct Costs 2026'!$C$45*B634,"N/A")</f>
        <v>1050000</v>
      </c>
      <c r="N634" t="str" s="482" cm="1">
        <f t="array" ref="N634">IF(B634&gt;0,_xlfn.IFERROR(VLOOKUP(C625,'Boats Data Sheet 2026'!$C$3:$I$57,7,0)*'Direct Costs 2026'!$C$36,"N/A"),"N/A")</f>
        <v>N/A</v>
      </c>
      <c r="O634" t="str" s="482" cm="1">
        <f t="array" ref="O634">IF(B634&gt;0,IF(OR(VLOOKUP(C625,'Boats Data Sheet 2026'!$C$3:$F$57,4,0)="Own",VLOOKUP(C625,'Boats Data Sheet 2026'!$C$3:$F$57,4,0)="Management"),('Direct Costs 2026'!$C$37+'Direct Costs 2026'!$C$39),"N/A"),"N/A")</f>
        <v>N/A</v>
      </c>
      <c r="P634" s="480" cm="1">
        <f t="array" ref="P634">_xlfn.IFERROR('Direct Costs 2026'!$C$27*C634,"N/A")</f>
        <v>277000</v>
      </c>
      <c r="Q634" s="480" cm="1">
        <f t="array" ref="Q634">_xlfn.IFERROR(C634+SUM(E634:P634),"N/A")</f>
        <v>16574500</v>
      </c>
      <c r="R634" s="483"/>
      <c r="S634" s="480" cm="1">
        <f t="array" ref="S634">IF(B634&gt;0,'Allocation OH and Target 2026'!$E$31,"N/A")</f>
        <v>3100447.15769812</v>
      </c>
      <c r="T634" s="480" cm="1">
        <f t="array" ref="T634">IF(B634&gt;0,VLOOKUP(C625,'Allocation OH and Target 2026'!$C$35:$S$87,16,0),"N/A")</f>
        <v>0</v>
      </c>
      <c r="U634" s="480" cm="1">
        <f t="array" ref="U634">_xlfn.IFERROR((S634+T634),"N/A")</f>
        <v>3100447.15769812</v>
      </c>
      <c r="V634" s="483"/>
      <c r="W634" s="480" cm="1">
        <f t="array" ref="W634">_xlfn.IFERROR(U634+Q634,"N/A")</f>
        <v>19674947.1576981</v>
      </c>
      <c r="X634" s="480" cm="1">
        <f t="array" ref="X634">_xlfn.IFERROR(W634*0.5%,"N/A")</f>
        <v>98374.735788490507</v>
      </c>
      <c r="Y634" s="480" cm="1">
        <f t="array" ref="Y634">_xlfn.IFERROR(W634*25%,"N/A")</f>
        <v>4918736.78942453</v>
      </c>
      <c r="Z634" s="484" cm="1">
        <f t="array" ref="Z634">IF(B634&gt;0,SUM(W634:Y634),"N/A")</f>
        <v>24692058.6829111</v>
      </c>
      <c r="AA634" s="484" cm="1">
        <f t="array" ref="AA634">_xlfn.IFERROR((Z634-AVERAGE(Z628:Z633)),"N/A")</f>
        <v>685230</v>
      </c>
      <c r="AB634" s="483"/>
      <c r="AC634" t="str" s="485" cm="1">
        <f t="array" ref="AC634">IF(B634=6,AVERAGE(Z628:Z633),"N/A")</f>
        <v>N/A</v>
      </c>
      <c r="AD634" s="483"/>
      <c r="AE634" s="480"/>
      <c r="AF634" s="480"/>
      <c r="AG634" s="480"/>
      <c r="AH634" s="480"/>
      <c r="AI634" s="480"/>
      <c r="AJ634" s="480"/>
      <c r="AK634" s="480"/>
      <c r="AL634" s="480"/>
      <c r="AM634" s="480"/>
      <c r="AN634" s="486"/>
    </row>
    <row r="635" ht="15" customHeight="1" hidden="1">
      <c r="A635" s="12"/>
      <c r="B635" s="479" cm="1">
        <f t="array" ref="B635">IF(B634=0,0,IF(B634&lt;VLOOKUP(C625,'Boats Data Sheet 2026'!$C$3:$H$57,6,0),B634+1,0))</f>
        <v>8</v>
      </c>
      <c r="C635" s="480" cm="1">
        <f t="array" ref="C635">IF(B635&gt;0,IF(VLOOKUP(C625,'Boats Data Sheet 2026'!$C$3:$J$57,8,0)="N/A",0,VLOOKUP(C625,'Boats Data Sheet 2026'!$C$3:$J$57,8,0)),"N/A")</f>
        <v>13850000</v>
      </c>
      <c r="D635" s="481" cm="1">
        <f t="array" ref="D635">IF(B635&gt;7,2,IF(B635=0,"N/A",1))</f>
        <v>2</v>
      </c>
      <c r="E635" s="480" cm="1">
        <f t="array" ref="E635">_xlfn.IFERROR(SUM('Direct Costs 2026'!$C$4:$C$5)*D635,"N/A")</f>
        <v>1751000</v>
      </c>
      <c r="F635" s="480" cm="1">
        <f t="array" ref="F635">_xlfn.IFERROR('Direct Costs 2026'!$C$43*B635,"N/A")</f>
        <v>48000</v>
      </c>
      <c r="G635" s="480" cm="1">
        <f t="array" ref="G635">IF(B635&gt;0,'Direct Costs 2026'!$C$25,"N/A")</f>
        <v>90000</v>
      </c>
      <c r="H635" s="480" cm="1">
        <f t="array" ref="H635">IF(B635&gt;0,'Direct Costs 2026'!$C$15+'Direct Costs 2026'!$C$14,"N/A")</f>
        <v>230000</v>
      </c>
      <c r="I635" s="480">
        <v>0</v>
      </c>
      <c r="J635" s="480">
        <v>0</v>
      </c>
      <c r="K635" s="480" cm="1">
        <f t="array" ref="K635">IF(B635&gt;0,'Direct Costs 2026'!$C$26,"N/A")</f>
        <v>20000</v>
      </c>
      <c r="L635" s="480" cm="1">
        <f t="array" ref="L635">IF(B635&gt;0,'Direct Costs 2026'!$C$23,"N/A")</f>
        <v>140000</v>
      </c>
      <c r="M635" s="480" cm="1">
        <f t="array" ref="M635">IF(B635&gt;0,'Direct Costs 2026'!$C$45*B635,"N/A")</f>
        <v>1200000</v>
      </c>
      <c r="N635" t="str" s="482" cm="1">
        <f t="array" ref="N635">IF(B635&gt;0,_xlfn.IFERROR(VLOOKUP(C625,'Boats Data Sheet 2026'!$C$3:$I$57,7,0)*'Direct Costs 2026'!$C$36,"N/A"),"N/A")</f>
        <v>N/A</v>
      </c>
      <c r="O635" t="str" s="482" cm="1">
        <f t="array" ref="O635">IF(B635&gt;0,IF(OR(VLOOKUP(C625,'Boats Data Sheet 2026'!$C$3:$F$57,4,0)="Own",VLOOKUP(C625,'Boats Data Sheet 2026'!$C$3:$F$57,4,0)="Management"),('Direct Costs 2026'!$C$37+'Direct Costs 2026'!$C$39),"N/A"),"N/A")</f>
        <v>N/A</v>
      </c>
      <c r="P635" s="480" cm="1">
        <f t="array" ref="P635">_xlfn.IFERROR('Direct Costs 2026'!$C$27*C635,"N/A")</f>
        <v>277000</v>
      </c>
      <c r="Q635" s="480" cm="1">
        <f t="array" ref="Q635">_xlfn.IFERROR(C635+SUM(E635:P635),"N/A")</f>
        <v>17606000</v>
      </c>
      <c r="R635" s="483"/>
      <c r="S635" s="480" cm="1">
        <f t="array" ref="S635">IF(B635&gt;0,'Allocation OH and Target 2026'!$E$31,"N/A")</f>
        <v>3100447.15769812</v>
      </c>
      <c r="T635" s="480" cm="1">
        <f t="array" ref="T635">IF(B635&gt;0,VLOOKUP(C625,'Allocation OH and Target 2026'!$C$35:$S$87,16,0),"N/A")</f>
        <v>0</v>
      </c>
      <c r="U635" s="480" cm="1">
        <f t="array" ref="U635">_xlfn.IFERROR((S635+T635),"N/A")</f>
        <v>3100447.15769812</v>
      </c>
      <c r="V635" s="483"/>
      <c r="W635" s="480" cm="1">
        <f t="array" ref="W635">_xlfn.IFERROR(U635+Q635,"N/A")</f>
        <v>20706447.1576981</v>
      </c>
      <c r="X635" s="480" cm="1">
        <f t="array" ref="X635">_xlfn.IFERROR(W635*0.5%,"N/A")</f>
        <v>103532.235788491</v>
      </c>
      <c r="Y635" s="480" cm="1">
        <f t="array" ref="Y635">_xlfn.IFERROR(W635*25%,"N/A")</f>
        <v>5176611.78942453</v>
      </c>
      <c r="Z635" s="484" cm="1">
        <f t="array" ref="Z635">IF(B635&gt;0,SUM(W635:Y635),"N/A")</f>
        <v>25986591.1829111</v>
      </c>
      <c r="AA635" s="484" cm="1">
        <f t="array" ref="AA635">_xlfn.IFERROR((Z635-AVERAGE(Z628:Z633)),"N/A")</f>
        <v>1979762.5</v>
      </c>
      <c r="AB635" s="483"/>
      <c r="AC635" t="str" s="485" cm="1">
        <f t="array" ref="AC635">IF(B635=6,AVERAGE(Z628:Z633),"N/A")</f>
        <v>N/A</v>
      </c>
      <c r="AD635" s="483"/>
      <c r="AE635" s="480"/>
      <c r="AF635" s="480"/>
      <c r="AG635" s="480"/>
      <c r="AH635" s="480"/>
      <c r="AI635" s="480"/>
      <c r="AJ635" s="480"/>
      <c r="AK635" s="480"/>
      <c r="AL635" s="480"/>
      <c r="AM635" s="480"/>
      <c r="AN635" s="486"/>
    </row>
    <row r="636" ht="15" customHeight="1" hidden="1">
      <c r="A636" s="12"/>
      <c r="B636" s="479" cm="1">
        <f t="array" ref="B636">IF(B635=0,0,IF(B635&lt;VLOOKUP(C625,'Boats Data Sheet 2026'!$C$3:$H$57,6,0),B635+1,0))</f>
        <v>9</v>
      </c>
      <c r="C636" s="480" cm="1">
        <f t="array" ref="C636">IF(B636&gt;0,IF(VLOOKUP(C625,'Boats Data Sheet 2026'!$C$3:$J$57,8,0)="N/A",0,VLOOKUP(C625,'Boats Data Sheet 2026'!$C$3:$J$57,8,0)),"N/A")</f>
        <v>13850000</v>
      </c>
      <c r="D636" s="490" cm="1">
        <f t="array" ref="D636">IF(B636&gt;7,2,IF(B636=0,"N/A",1))</f>
        <v>2</v>
      </c>
      <c r="E636" s="480" cm="1">
        <f t="array" ref="E636">_xlfn.IFERROR(SUM('Direct Costs 2026'!$C$4:$C$5)*D636,"N/A")</f>
        <v>1751000</v>
      </c>
      <c r="F636" s="480" cm="1">
        <f t="array" ref="F636">_xlfn.IFERROR('Direct Costs 2026'!$C$43*B636,"N/A")</f>
        <v>54000</v>
      </c>
      <c r="G636" s="480" cm="1">
        <f t="array" ref="G636">IF(B636&gt;0,'Direct Costs 2026'!$C$25,"N/A")</f>
        <v>90000</v>
      </c>
      <c r="H636" s="480" cm="1">
        <f t="array" ref="H636">IF(B636&gt;0,'Direct Costs 2026'!$C$15+'Direct Costs 2026'!$C$14,"N/A")</f>
        <v>230000</v>
      </c>
      <c r="I636" s="480">
        <v>0</v>
      </c>
      <c r="J636" s="480">
        <v>0</v>
      </c>
      <c r="K636" s="480" cm="1">
        <f t="array" ref="K636">IF(B636&gt;0,'Direct Costs 2026'!$C$26,"N/A")</f>
        <v>20000</v>
      </c>
      <c r="L636" s="480" cm="1">
        <f t="array" ref="L636">IF(B636&gt;0,'Direct Costs 2026'!$C$23,"N/A")</f>
        <v>140000</v>
      </c>
      <c r="M636" s="480" cm="1">
        <f t="array" ref="M636">IF(B636&gt;0,'Direct Costs 2026'!$C$45*B636,"N/A")</f>
        <v>1350000</v>
      </c>
      <c r="N636" t="str" s="482" cm="1">
        <f t="array" ref="N636">IF(B636&gt;0,_xlfn.IFERROR(VLOOKUP(C625,'Boats Data Sheet 2026'!$C$3:$I$57,7,0)*'Direct Costs 2026'!$C$36,"N/A"),"N/A")</f>
        <v>N/A</v>
      </c>
      <c r="O636" t="str" s="482" cm="1">
        <f t="array" ref="O636">IF(B636&gt;0,IF(OR(VLOOKUP(C625,'Boats Data Sheet 2026'!$C$3:$F$57,4,0)="Own",VLOOKUP(C625,'Boats Data Sheet 2026'!$C$3:$F$57,4,0)="Management"),('Direct Costs 2026'!$C$37+'Direct Costs 2026'!$C$39),"N/A"),"N/A")</f>
        <v>N/A</v>
      </c>
      <c r="P636" s="480" cm="1">
        <f t="array" ref="P636">_xlfn.IFERROR('Direct Costs 2026'!$C$27*C636,"N/A")</f>
        <v>277000</v>
      </c>
      <c r="Q636" s="480" cm="1">
        <f t="array" ref="Q636">_xlfn.IFERROR(C636+SUM(E636:P636),"N/A")</f>
        <v>17762000</v>
      </c>
      <c r="R636" s="483"/>
      <c r="S636" s="480" cm="1">
        <f t="array" ref="S636">IF(B636&gt;0,'Allocation OH and Target 2026'!$E$31,"N/A")</f>
        <v>3100447.15769812</v>
      </c>
      <c r="T636" s="480" cm="1">
        <f t="array" ref="T636">IF(B636&gt;0,VLOOKUP(C625,'Allocation OH and Target 2026'!$C$35:$S$87,16,0),"N/A")</f>
        <v>0</v>
      </c>
      <c r="U636" s="480" cm="1">
        <f t="array" ref="U636">_xlfn.IFERROR((S636+T636),"N/A")</f>
        <v>3100447.15769812</v>
      </c>
      <c r="V636" s="483"/>
      <c r="W636" s="480" cm="1">
        <f t="array" ref="W636">_xlfn.IFERROR(U636+Q636,"N/A")</f>
        <v>20862447.1576981</v>
      </c>
      <c r="X636" s="480" cm="1">
        <f t="array" ref="X636">_xlfn.IFERROR(W636*0.5%,"N/A")</f>
        <v>104312.235788491</v>
      </c>
      <c r="Y636" s="480" cm="1">
        <f t="array" ref="Y636">_xlfn.IFERROR(W636*25%,"N/A")</f>
        <v>5215611.78942453</v>
      </c>
      <c r="Z636" s="484" cm="1">
        <f t="array" ref="Z636">IF(B636&gt;0,SUM(W636:Y636),"N/A")</f>
        <v>26182371.1829111</v>
      </c>
      <c r="AA636" s="484" cm="1">
        <f t="array" ref="AA636">_xlfn.IFERROR((Z636-AVERAGE(Z628:Z633)),"N/A")</f>
        <v>2175542.5</v>
      </c>
      <c r="AB636" s="483"/>
      <c r="AC636" t="str" s="485" cm="1">
        <f t="array" ref="AC636">IF(B636=6,AVERAGE(Z628:Z633),"N/A")</f>
        <v>N/A</v>
      </c>
      <c r="AD636" s="483"/>
      <c r="AE636" s="480"/>
      <c r="AF636" s="480"/>
      <c r="AG636" s="480"/>
      <c r="AH636" s="480"/>
      <c r="AI636" s="480"/>
      <c r="AJ636" s="480"/>
      <c r="AK636" s="480"/>
      <c r="AL636" s="480"/>
      <c r="AM636" s="480"/>
      <c r="AN636" s="486"/>
    </row>
    <row r="637" ht="15" customHeight="1" hidden="1">
      <c r="A637" s="12"/>
      <c r="B637" s="479" cm="1">
        <f t="array" ref="B637">IF(B636=0,0,IF(B636&lt;VLOOKUP(C625,'Boats Data Sheet 2026'!$C$3:$H$57,6,0),B636+1,0))</f>
        <v>10</v>
      </c>
      <c r="C637" s="480" cm="1">
        <f t="array" ref="C637">IF(B637&gt;0,IF(VLOOKUP(C625,'Boats Data Sheet 2026'!$C$3:$J$57,8,0)="N/A",0,VLOOKUP(C625,'Boats Data Sheet 2026'!$C$3:$J$57,8,0)),"N/A")</f>
        <v>13850000</v>
      </c>
      <c r="D637" s="490" cm="1">
        <f t="array" ref="D637">IF(B637&gt;7,2,IF(B637=0,"N/A",1))</f>
        <v>2</v>
      </c>
      <c r="E637" s="480" cm="1">
        <f t="array" ref="E637">_xlfn.IFERROR(SUM('Direct Costs 2026'!$C$4:$C$5)*D637,"N/A")</f>
        <v>1751000</v>
      </c>
      <c r="F637" s="480" cm="1">
        <f t="array" ref="F637">_xlfn.IFERROR('Direct Costs 2026'!$C$43*B637,"N/A")</f>
        <v>60000</v>
      </c>
      <c r="G637" s="480" cm="1">
        <f t="array" ref="G637">IF(B637&gt;0,'Direct Costs 2026'!$C$25,"N/A")</f>
        <v>90000</v>
      </c>
      <c r="H637" s="480" cm="1">
        <f t="array" ref="H637">IF(B637&gt;0,'Direct Costs 2026'!$C$15+'Direct Costs 2026'!$C$14,"N/A")</f>
        <v>230000</v>
      </c>
      <c r="I637" s="480">
        <v>0</v>
      </c>
      <c r="J637" s="480">
        <v>0</v>
      </c>
      <c r="K637" s="480" cm="1">
        <f t="array" ref="K637">IF(B637&gt;0,'Direct Costs 2026'!$C$26,"N/A")</f>
        <v>20000</v>
      </c>
      <c r="L637" s="480" cm="1">
        <f t="array" ref="L637">IF(B637&gt;0,'Direct Costs 2026'!$C$23,"N/A")</f>
        <v>140000</v>
      </c>
      <c r="M637" s="480" cm="1">
        <f t="array" ref="M637">IF(B637&gt;0,'Direct Costs 2026'!$C$45*B637,"N/A")</f>
        <v>1500000</v>
      </c>
      <c r="N637" t="str" s="482" cm="1">
        <f t="array" ref="N637">IF(B637&gt;0,_xlfn.IFERROR(VLOOKUP(C625,'Boats Data Sheet 2026'!$C$3:$I$57,7,0)*'Direct Costs 2026'!$C$36,"N/A"),"N/A")</f>
        <v>N/A</v>
      </c>
      <c r="O637" t="str" s="482" cm="1">
        <f t="array" ref="O637">IF(B637&gt;0,IF(OR(VLOOKUP(C625,'Boats Data Sheet 2026'!$C$3:$F$57,4,0)="Own",VLOOKUP(C625,'Boats Data Sheet 2026'!$C$3:$F$57,4,0)="Management"),('Direct Costs 2026'!$C$37+'Direct Costs 2026'!$C$39),"N/A"),"N/A")</f>
        <v>N/A</v>
      </c>
      <c r="P637" s="480" cm="1">
        <f t="array" ref="P637">_xlfn.IFERROR('Direct Costs 2026'!$C$27*C637,"N/A")</f>
        <v>277000</v>
      </c>
      <c r="Q637" s="480" cm="1">
        <f t="array" ref="Q637">_xlfn.IFERROR(C637+SUM(E637:P637),"N/A")</f>
        <v>17918000</v>
      </c>
      <c r="R637" s="483"/>
      <c r="S637" s="480" cm="1">
        <f t="array" ref="S637">IF(B637&gt;0,'Allocation OH and Target 2026'!$E$31,"N/A")</f>
        <v>3100447.15769812</v>
      </c>
      <c r="T637" s="480" cm="1">
        <f t="array" ref="T637">IF(B637&gt;0,VLOOKUP(C625,'Allocation OH and Target 2026'!$C$35:$S$87,16,0),"N/A")</f>
        <v>0</v>
      </c>
      <c r="U637" s="480" cm="1">
        <f t="array" ref="U637">_xlfn.IFERROR((S637+T637),"N/A")</f>
        <v>3100447.15769812</v>
      </c>
      <c r="V637" s="483"/>
      <c r="W637" s="480" cm="1">
        <f t="array" ref="W637">_xlfn.IFERROR(U637+Q637,"N/A")</f>
        <v>21018447.1576981</v>
      </c>
      <c r="X637" s="480" cm="1">
        <f t="array" ref="X637">_xlfn.IFERROR(W637*0.5%,"N/A")</f>
        <v>105092.235788491</v>
      </c>
      <c r="Y637" s="480" cm="1">
        <f t="array" ref="Y637">_xlfn.IFERROR(W637*25%,"N/A")</f>
        <v>5254611.78942453</v>
      </c>
      <c r="Z637" s="484" cm="1">
        <f t="array" ref="Z637">IF(B637&gt;0,SUM(W637:Y637),"N/A")</f>
        <v>26378151.1829111</v>
      </c>
      <c r="AA637" s="484" cm="1">
        <f t="array" ref="AA637">_xlfn.IFERROR((Z637-AVERAGE(Z628:Z633)),"N/A")</f>
        <v>2371322.5</v>
      </c>
      <c r="AB637" s="483"/>
      <c r="AC637" t="str" s="485" cm="1">
        <f t="array" ref="AC637">IF(B637=6,AVERAGE(Z628:Z633),"N/A")</f>
        <v>N/A</v>
      </c>
      <c r="AD637" s="483"/>
      <c r="AE637" s="480"/>
      <c r="AF637" s="480"/>
      <c r="AG637" s="480"/>
      <c r="AH637" s="480"/>
      <c r="AI637" s="480"/>
      <c r="AJ637" s="480"/>
      <c r="AK637" s="480"/>
      <c r="AL637" s="480"/>
      <c r="AM637" s="480"/>
      <c r="AN637" s="486"/>
    </row>
    <row r="638" ht="15" customHeight="1" hidden="1">
      <c r="A638" s="12"/>
      <c r="B638" s="479" cm="1">
        <f t="array" ref="B638">IF(B637=0,0,IF(B637&lt;VLOOKUP(C625,'Boats Data Sheet 2026'!$C$3:$H$57,6,0),B637+1,0))</f>
        <v>11</v>
      </c>
      <c r="C638" s="480" cm="1">
        <f t="array" ref="C638">IF(B638&gt;0,IF(VLOOKUP(C625,'Boats Data Sheet 2026'!$C$3:$J$57,8,0)="N/A",0,VLOOKUP(C625,'Boats Data Sheet 2026'!$C$3:$J$57,8,0)),"N/A")</f>
        <v>13850000</v>
      </c>
      <c r="D638" s="490" cm="1">
        <f t="array" ref="D638">IF(B638&gt;7,2,IF(B638=0,"N/A",1))</f>
        <v>2</v>
      </c>
      <c r="E638" s="480" cm="1">
        <f t="array" ref="E638">_xlfn.IFERROR(SUM('Direct Costs 2026'!$C$4:$C$5)*D638,"N/A")</f>
        <v>1751000</v>
      </c>
      <c r="F638" s="480" cm="1">
        <f t="array" ref="F638">_xlfn.IFERROR('Direct Costs 2026'!$C$43*B638,"N/A")</f>
        <v>66000</v>
      </c>
      <c r="G638" s="480" cm="1">
        <f t="array" ref="G638">IF(B638&gt;0,'Direct Costs 2026'!$C$25,"N/A")</f>
        <v>90000</v>
      </c>
      <c r="H638" s="480" cm="1">
        <f t="array" ref="H638">IF(B638&gt;0,'Direct Costs 2026'!$C$15+'Direct Costs 2026'!$C$14,"N/A")</f>
        <v>230000</v>
      </c>
      <c r="I638" s="480">
        <v>0</v>
      </c>
      <c r="J638" s="480">
        <v>0</v>
      </c>
      <c r="K638" s="480" cm="1">
        <f t="array" ref="K638">IF(B638&gt;0,'Direct Costs 2026'!$C$26,"N/A")</f>
        <v>20000</v>
      </c>
      <c r="L638" s="480" cm="1">
        <f t="array" ref="L638">IF(B638&gt;0,'Direct Costs 2026'!$C$23,"N/A")</f>
        <v>140000</v>
      </c>
      <c r="M638" s="480" cm="1">
        <f t="array" ref="M638">IF(B638&gt;0,'Direct Costs 2026'!$C$45*B638,"N/A")</f>
        <v>1650000</v>
      </c>
      <c r="N638" t="str" s="482" cm="1">
        <f t="array" ref="N638">IF(B638&gt;0,_xlfn.IFERROR(VLOOKUP(C625,'Boats Data Sheet 2026'!$C$3:$I$57,7,0)*'Direct Costs 2026'!$C$36,"N/A"),"N/A")</f>
        <v>N/A</v>
      </c>
      <c r="O638" t="str" s="482" cm="1">
        <f t="array" ref="O638">IF(B638&gt;0,IF(OR(VLOOKUP(C625,'Boats Data Sheet 2026'!$C$3:$F$57,4,0)="Own",VLOOKUP(C625,'Boats Data Sheet 2026'!$C$3:$F$57,4,0)="Management"),('Direct Costs 2026'!$C$37+'Direct Costs 2026'!$C$39),"N/A"),"N/A")</f>
        <v>N/A</v>
      </c>
      <c r="P638" s="480" cm="1">
        <f t="array" ref="P638">_xlfn.IFERROR('Direct Costs 2026'!$C$27*C638,"N/A")</f>
        <v>277000</v>
      </c>
      <c r="Q638" s="480" cm="1">
        <f t="array" ref="Q638">_xlfn.IFERROR(C638+SUM(E638:P638),"N/A")</f>
        <v>18074000</v>
      </c>
      <c r="R638" s="483"/>
      <c r="S638" s="480" cm="1">
        <f t="array" ref="S638">IF(B638&gt;0,'Allocation OH and Target 2026'!$E$31,"N/A")</f>
        <v>3100447.15769812</v>
      </c>
      <c r="T638" s="480" cm="1">
        <f t="array" ref="T638">IF(B638&gt;0,VLOOKUP(C625,'Allocation OH and Target 2026'!$C$35:$S$87,16,0),"N/A")</f>
        <v>0</v>
      </c>
      <c r="U638" s="480" cm="1">
        <f t="array" ref="U638">_xlfn.IFERROR((S638+T638),"N/A")</f>
        <v>3100447.15769812</v>
      </c>
      <c r="V638" s="483"/>
      <c r="W638" s="480" cm="1">
        <f t="array" ref="W638">_xlfn.IFERROR(U638+Q638,"N/A")</f>
        <v>21174447.1576981</v>
      </c>
      <c r="X638" s="480" cm="1">
        <f t="array" ref="X638">_xlfn.IFERROR(W638*0.5%,"N/A")</f>
        <v>105872.235788491</v>
      </c>
      <c r="Y638" s="480" cm="1">
        <f t="array" ref="Y638">_xlfn.IFERROR(W638*25%,"N/A")</f>
        <v>5293611.78942453</v>
      </c>
      <c r="Z638" s="484" cm="1">
        <f t="array" ref="Z638">IF(B638&gt;0,SUM(W638:Y638),"N/A")</f>
        <v>26573931.1829111</v>
      </c>
      <c r="AA638" s="484" cm="1">
        <f t="array" ref="AA638">_xlfn.IFERROR((Z638-AVERAGE(Z628:Z633)),"N/A")</f>
        <v>2567102.5</v>
      </c>
      <c r="AB638" s="483"/>
      <c r="AC638" t="str" s="485" cm="1">
        <f t="array" ref="AC638">IF(B638=6,AVERAGE(Z628:Z633),"N/A")</f>
        <v>N/A</v>
      </c>
      <c r="AD638" s="483"/>
      <c r="AE638" s="480"/>
      <c r="AF638" s="480"/>
      <c r="AG638" s="480"/>
      <c r="AH638" s="480"/>
      <c r="AI638" s="480"/>
      <c r="AJ638" s="480"/>
      <c r="AK638" s="480"/>
      <c r="AL638" s="480"/>
      <c r="AM638" s="480"/>
      <c r="AN638" s="486"/>
    </row>
    <row r="639" ht="15" customHeight="1" hidden="1">
      <c r="A639" s="12"/>
      <c r="B639" s="479" cm="1">
        <f t="array" ref="B639">IF(B638=0,0,IF(B638&lt;VLOOKUP(C625,'Boats Data Sheet 2026'!$C$3:$H$57,6,0),B638+1,0))</f>
        <v>12</v>
      </c>
      <c r="C639" s="480" cm="1">
        <f t="array" ref="C639">IF(B639&gt;0,IF(VLOOKUP(C625,'Boats Data Sheet 2026'!$C$3:$J$57,8,0)="N/A",0,VLOOKUP(C625,'Boats Data Sheet 2026'!$C$3:$J$57,8,0)),"N/A")</f>
        <v>13850000</v>
      </c>
      <c r="D639" s="490" cm="1">
        <f t="array" ref="D639">IF(B639&gt;7,2,IF(B639=0,"N/A",1))</f>
        <v>2</v>
      </c>
      <c r="E639" s="480" cm="1">
        <f t="array" ref="E639">_xlfn.IFERROR(SUM('Direct Costs 2026'!$C$4:$C$5)*D639,"N/A")</f>
        <v>1751000</v>
      </c>
      <c r="F639" s="480" cm="1">
        <f t="array" ref="F639">_xlfn.IFERROR('Direct Costs 2026'!$C$43*B639,"N/A")</f>
        <v>72000</v>
      </c>
      <c r="G639" s="480" cm="1">
        <f t="array" ref="G639">IF(B639&gt;0,'Direct Costs 2026'!$C$25,"N/A")</f>
        <v>90000</v>
      </c>
      <c r="H639" s="480" cm="1">
        <f t="array" ref="H639">IF(B639&gt;0,'Direct Costs 2026'!$C$15+'Direct Costs 2026'!$C$14,"N/A")</f>
        <v>230000</v>
      </c>
      <c r="I639" s="480">
        <v>0</v>
      </c>
      <c r="J639" s="480">
        <v>0</v>
      </c>
      <c r="K639" s="480" cm="1">
        <f t="array" ref="K639">IF(B639&gt;0,'Direct Costs 2026'!$C$26,"N/A")</f>
        <v>20000</v>
      </c>
      <c r="L639" s="480" cm="1">
        <f t="array" ref="L639">IF(B639&gt;0,'Direct Costs 2026'!$C$23,"N/A")</f>
        <v>140000</v>
      </c>
      <c r="M639" s="480" cm="1">
        <f t="array" ref="M639">IF(B639&gt;0,'Direct Costs 2026'!$C$45*B639,"N/A")</f>
        <v>1800000</v>
      </c>
      <c r="N639" t="str" s="482" cm="1">
        <f t="array" ref="N639">IF(B639&gt;0,_xlfn.IFERROR(VLOOKUP(C625,'Boats Data Sheet 2026'!$C$3:$I$57,7,0)*'Direct Costs 2026'!$C$36,"N/A"),"N/A")</f>
        <v>N/A</v>
      </c>
      <c r="O639" t="str" s="482" cm="1">
        <f t="array" ref="O639">IF(B639&gt;0,IF(OR(VLOOKUP(C625,'Boats Data Sheet 2026'!$C$3:$F$57,4,0)="Own",VLOOKUP(C625,'Boats Data Sheet 2026'!$C$3:$F$57,4,0)="Management"),('Direct Costs 2026'!$C$37+'Direct Costs 2026'!$C$39),"N/A"),"N/A")</f>
        <v>N/A</v>
      </c>
      <c r="P639" s="480" cm="1">
        <f t="array" ref="P639">_xlfn.IFERROR('Direct Costs 2026'!$C$27*C639,"N/A")</f>
        <v>277000</v>
      </c>
      <c r="Q639" s="480" cm="1">
        <f t="array" ref="Q639">_xlfn.IFERROR(C639+SUM(E639:P639),"N/A")</f>
        <v>18230000</v>
      </c>
      <c r="R639" s="483"/>
      <c r="S639" s="480" cm="1">
        <f t="array" ref="S639">IF(B639&gt;0,'Allocation OH and Target 2026'!$E$31,"N/A")</f>
        <v>3100447.15769812</v>
      </c>
      <c r="T639" s="480" cm="1">
        <f t="array" ref="T639">IF(B639&gt;0,VLOOKUP(C625,'Allocation OH and Target 2026'!$C$35:$S$87,16,0),"N/A")</f>
        <v>0</v>
      </c>
      <c r="U639" s="480" cm="1">
        <f t="array" ref="U639">_xlfn.IFERROR((S639+T639),"N/A")</f>
        <v>3100447.15769812</v>
      </c>
      <c r="V639" s="483"/>
      <c r="W639" s="480" cm="1">
        <f t="array" ref="W639">_xlfn.IFERROR(U639+Q639,"N/A")</f>
        <v>21330447.1576981</v>
      </c>
      <c r="X639" s="480" cm="1">
        <f t="array" ref="X639">_xlfn.IFERROR(W639*0.5%,"N/A")</f>
        <v>106652.235788491</v>
      </c>
      <c r="Y639" s="480" cm="1">
        <f t="array" ref="Y639">_xlfn.IFERROR(W639*25%,"N/A")</f>
        <v>5332611.78942453</v>
      </c>
      <c r="Z639" s="484" cm="1">
        <f t="array" ref="Z639">IF(B639&gt;0,SUM(W639:Y639),"N/A")</f>
        <v>26769711.1829111</v>
      </c>
      <c r="AA639" s="484" cm="1">
        <f t="array" ref="AA639">_xlfn.IFERROR((Z639-AVERAGE(Z628:Z633)),"N/A")</f>
        <v>2762882.5</v>
      </c>
      <c r="AB639" s="483"/>
      <c r="AC639" t="str" s="485" cm="1">
        <f t="array" ref="AC639">IF(B639=6,AVERAGE(Z628:Z633),"N/A")</f>
        <v>N/A</v>
      </c>
      <c r="AD639" s="483"/>
      <c r="AE639" s="480"/>
      <c r="AF639" s="480"/>
      <c r="AG639" s="480"/>
      <c r="AH639" s="480"/>
      <c r="AI639" s="480"/>
      <c r="AJ639" s="480"/>
      <c r="AK639" s="480"/>
      <c r="AL639" s="480"/>
      <c r="AM639" s="480"/>
      <c r="AN639" s="486"/>
    </row>
    <row r="640" ht="15" customHeight="1" hidden="1">
      <c r="A640" s="12"/>
      <c r="B640" s="479" cm="1">
        <f t="array" ref="B640">IF(B639=0,0,IF(B639&lt;VLOOKUP(C625,'Boats Data Sheet 2026'!$C$3:$H$57,6,0),B639+1,0))</f>
        <v>0</v>
      </c>
      <c r="C640" t="str" s="482" cm="1">
        <f t="array" ref="C640">IF(B640&gt;0,IF(VLOOKUP(C625,'Boats Data Sheet 2026'!$C$3:$J$57,8,0)="N/A",0,VLOOKUP(C625,'Boats Data Sheet 2026'!$C$3:$J$57,8,0)),"N/A")</f>
        <v>N/A</v>
      </c>
      <c r="D640" t="str" s="482" cm="1">
        <f t="array" ref="D640">IF(B640&gt;7,2,IF(B640=0,"N/A",1))</f>
        <v>N/A</v>
      </c>
      <c r="E640" t="str" s="482" cm="1">
        <f t="array" ref="E640">_xlfn.IFERROR(SUM('Direct Costs 2026'!$C$4:$C$5)*D640,"N/A")</f>
        <v>N/A</v>
      </c>
      <c r="F640" s="480" cm="1">
        <f t="array" ref="F640">_xlfn.IFERROR('Direct Costs 2026'!$C$43*B640,"N/A")</f>
        <v>0</v>
      </c>
      <c r="G640" t="str" s="482" cm="1">
        <f t="array" ref="G640">IF(B640&gt;0,'Direct Costs 2026'!$C$25,"N/A")</f>
        <v>N/A</v>
      </c>
      <c r="H640" t="str" s="482" cm="1">
        <f t="array" ref="H640">IF(B640&gt;0,'Direct Costs 2026'!$C$15+'Direct Costs 2026'!$C$14,"N/A")</f>
        <v>N/A</v>
      </c>
      <c r="I640" s="480">
        <v>0</v>
      </c>
      <c r="J640" s="480">
        <v>0</v>
      </c>
      <c r="K640" t="str" s="482" cm="1">
        <f t="array" ref="K640">IF(B640&gt;0,'Direct Costs 2026'!$C$26,"N/A")</f>
        <v>N/A</v>
      </c>
      <c r="L640" t="str" s="482" cm="1">
        <f t="array" ref="L640">IF(B640&gt;0,'Direct Costs 2026'!$C$23,"N/A")</f>
        <v>N/A</v>
      </c>
      <c r="M640" t="str" s="482" cm="1">
        <f t="array" ref="M640">IF(B640&gt;0,'Direct Costs 2026'!$C$45*B640,"N/A")</f>
        <v>N/A</v>
      </c>
      <c r="N640" t="str" s="482" cm="1">
        <f t="array" ref="N640">IF(B640&gt;0,_xlfn.IFERROR(VLOOKUP(C625,'Boats Data Sheet 2026'!$C$3:$I$57,7,0)*'Direct Costs 2026'!$C$36,"N/A"),"N/A")</f>
        <v>N/A</v>
      </c>
      <c r="O640" t="str" s="482" cm="1">
        <f t="array" ref="O640">IF(B640&gt;0,IF(OR(VLOOKUP(C625,'Boats Data Sheet 2026'!$C$3:$F$57,4,0)="Own",VLOOKUP(C625,'Boats Data Sheet 2026'!$C$3:$F$57,4,0)="Management"),('Direct Costs 2026'!$C$37+'Direct Costs 2026'!$C$39),"N/A"),"N/A")</f>
        <v>N/A</v>
      </c>
      <c r="P640" t="str" s="482" cm="1">
        <f t="array" ref="P640">_xlfn.IFERROR('Direct Costs 2026'!$C$27*C640,"N/A")</f>
        <v>N/A</v>
      </c>
      <c r="Q640" t="str" s="482" cm="1">
        <f t="array" ref="Q640">_xlfn.IFERROR(C640+SUM(E640:P640),"N/A")</f>
        <v>N/A</v>
      </c>
      <c r="R640" s="483"/>
      <c r="S640" t="str" s="482" cm="1">
        <f t="array" ref="S640">IF(B640&gt;0,'Allocation OH and Target 2026'!$E$31,"N/A")</f>
        <v>N/A</v>
      </c>
      <c r="T640" t="str" s="482" cm="1">
        <f t="array" ref="T640">IF(B640&gt;0,VLOOKUP(C625,'Allocation OH and Target 2026'!$C$35:$S$87,16,0),"N/A")</f>
        <v>N/A</v>
      </c>
      <c r="U640" t="str" s="482" cm="1">
        <f t="array" ref="U640">_xlfn.IFERROR((S640+T640),"N/A")</f>
        <v>N/A</v>
      </c>
      <c r="V640" s="483"/>
      <c r="W640" t="str" s="482" cm="1">
        <f t="array" ref="W640">_xlfn.IFERROR(U640+Q640,"N/A")</f>
        <v>N/A</v>
      </c>
      <c r="X640" t="str" s="482" cm="1">
        <f t="array" ref="X640">_xlfn.IFERROR(W640*0.5%,"N/A")</f>
        <v>N/A</v>
      </c>
      <c r="Y640" t="str" s="482" cm="1">
        <f t="array" ref="Y640">_xlfn.IFERROR(W640*25%,"N/A")</f>
        <v>N/A</v>
      </c>
      <c r="Z640" t="str" s="485" cm="1">
        <f t="array" ref="Z640">IF(B640&gt;0,SUM(W640:Y640),"N/A")</f>
        <v>N/A</v>
      </c>
      <c r="AA640" t="str" s="485" cm="1">
        <f t="array" ref="AA640">_xlfn.IFERROR((Z640-AVERAGE(Z628:Z633)),"N/A")</f>
        <v>N/A</v>
      </c>
      <c r="AB640" s="483"/>
      <c r="AC640" t="str" s="485" cm="1">
        <f t="array" ref="AC640">IF(B640=6,AVERAGE(Z628:Z633),"N/A")</f>
        <v>N/A</v>
      </c>
      <c r="AD640" s="483"/>
      <c r="AE640" s="480"/>
      <c r="AF640" s="480"/>
      <c r="AG640" s="480"/>
      <c r="AH640" s="480"/>
      <c r="AI640" s="480"/>
      <c r="AJ640" s="480"/>
      <c r="AK640" s="480"/>
      <c r="AL640" s="480"/>
      <c r="AM640" s="480"/>
      <c r="AN640" s="486"/>
    </row>
    <row r="641" ht="15" customHeight="1" hidden="1">
      <c r="A641" s="12"/>
      <c r="B641" s="479" cm="1">
        <f t="array" ref="B641">IF(B640=0,0,IF(B640&lt;VLOOKUP(C625,'Boats Data Sheet 2026'!$C$3:$H$57,6,0),B640+1,0))</f>
        <v>0</v>
      </c>
      <c r="C641" t="str" s="482" cm="1">
        <f t="array" ref="C641">IF(B641&gt;0,IF(VLOOKUP(C625,'Boats Data Sheet 2026'!$C$3:$J$57,8,0)="N/A",0,VLOOKUP(C625,'Boats Data Sheet 2026'!$C$3:$J$57,8,0)),"N/A")</f>
        <v>N/A</v>
      </c>
      <c r="D641" t="str" s="482" cm="1">
        <f t="array" ref="D641">IF(B641&gt;7,2,IF(B641=0,"N/A",1))</f>
        <v>N/A</v>
      </c>
      <c r="E641" t="str" s="482" cm="1">
        <f t="array" ref="E641">_xlfn.IFERROR(SUM('Direct Costs 2026'!$C$4:$C$5)*D641,"N/A")</f>
        <v>N/A</v>
      </c>
      <c r="F641" s="480" cm="1">
        <f t="array" ref="F641">_xlfn.IFERROR('Direct Costs 2026'!$C$43*B641,"N/A")</f>
        <v>0</v>
      </c>
      <c r="G641" t="str" s="482" cm="1">
        <f t="array" ref="G641">IF(B641&gt;0,'Direct Costs 2026'!$C$25,"N/A")</f>
        <v>N/A</v>
      </c>
      <c r="H641" t="str" s="482" cm="1">
        <f t="array" ref="H641">IF(B641&gt;0,'Direct Costs 2026'!$C$15+'Direct Costs 2026'!$C$14,"N/A")</f>
        <v>N/A</v>
      </c>
      <c r="I641" s="480">
        <v>0</v>
      </c>
      <c r="J641" s="480">
        <v>0</v>
      </c>
      <c r="K641" t="str" s="482" cm="1">
        <f t="array" ref="K641">IF(B641&gt;0,'Direct Costs 2026'!$C$26,"N/A")</f>
        <v>N/A</v>
      </c>
      <c r="L641" t="str" s="482" cm="1">
        <f t="array" ref="L641">IF(B641&gt;0,'Direct Costs 2026'!$C$23,"N/A")</f>
        <v>N/A</v>
      </c>
      <c r="M641" t="str" s="482" cm="1">
        <f t="array" ref="M641">IF(B641&gt;0,'Direct Costs 2026'!$C$45*B641,"N/A")</f>
        <v>N/A</v>
      </c>
      <c r="N641" t="str" s="482" cm="1">
        <f t="array" ref="N641">IF(B641&gt;0,_xlfn.IFERROR(VLOOKUP(C625,'Boats Data Sheet 2026'!$C$3:$I$57,7,0)*'Direct Costs 2026'!$C$36,"N/A"),"N/A")</f>
        <v>N/A</v>
      </c>
      <c r="O641" t="str" s="482" cm="1">
        <f t="array" ref="O641">IF(B641&gt;0,IF(OR(VLOOKUP(C625,'Boats Data Sheet 2026'!$C$3:$F$57,4,0)="Own",VLOOKUP(C625,'Boats Data Sheet 2026'!$C$3:$F$57,4,0)="Management"),('Direct Costs 2026'!$C$37+'Direct Costs 2026'!$C$39),"N/A"),"N/A")</f>
        <v>N/A</v>
      </c>
      <c r="P641" t="str" s="482" cm="1">
        <f t="array" ref="P641">_xlfn.IFERROR('Direct Costs 2026'!$C$27*C641,"N/A")</f>
        <v>N/A</v>
      </c>
      <c r="Q641" t="str" s="482" cm="1">
        <f t="array" ref="Q641">_xlfn.IFERROR(C641+SUM(E641:P641),"N/A")</f>
        <v>N/A</v>
      </c>
      <c r="R641" s="483"/>
      <c r="S641" t="str" s="482" cm="1">
        <f t="array" ref="S641">IF(B641&gt;0,'Allocation OH and Target 2026'!$E$31,"N/A")</f>
        <v>N/A</v>
      </c>
      <c r="T641" t="str" s="482" cm="1">
        <f t="array" ref="T641">IF(B641&gt;0,VLOOKUP(C625,'Allocation OH and Target 2026'!$C$35:$S$87,16,0),"N/A")</f>
        <v>N/A</v>
      </c>
      <c r="U641" t="str" s="482" cm="1">
        <f t="array" ref="U641">_xlfn.IFERROR((S641+T641),"N/A")</f>
        <v>N/A</v>
      </c>
      <c r="V641" s="483"/>
      <c r="W641" t="str" s="482" cm="1">
        <f t="array" ref="W641">_xlfn.IFERROR(U641+Q641,"N/A")</f>
        <v>N/A</v>
      </c>
      <c r="X641" t="str" s="482" cm="1">
        <f t="array" ref="X641">_xlfn.IFERROR(W641*0.5%,"N/A")</f>
        <v>N/A</v>
      </c>
      <c r="Y641" t="str" s="482" cm="1">
        <f t="array" ref="Y641">_xlfn.IFERROR(W641*25%,"N/A")</f>
        <v>N/A</v>
      </c>
      <c r="Z641" t="str" s="485" cm="1">
        <f t="array" ref="Z641">IF(B641&gt;0,SUM(W641:Y641),"N/A")</f>
        <v>N/A</v>
      </c>
      <c r="AA641" t="str" s="485" cm="1">
        <f t="array" ref="AA641">_xlfn.IFERROR((Z641-AVERAGE(Z628:Z633)),"N/A")</f>
        <v>N/A</v>
      </c>
      <c r="AB641" s="483"/>
      <c r="AC641" t="str" s="485" cm="1">
        <f t="array" ref="AC641">IF(B641=6,AVERAGE(Z628:Z633),"N/A")</f>
        <v>N/A</v>
      </c>
      <c r="AD641" s="483"/>
      <c r="AE641" s="480"/>
      <c r="AF641" s="480"/>
      <c r="AG641" s="480"/>
      <c r="AH641" s="480"/>
      <c r="AI641" s="480"/>
      <c r="AJ641" s="480"/>
      <c r="AK641" s="480"/>
      <c r="AL641" s="480"/>
      <c r="AM641" s="480"/>
      <c r="AN641" s="486"/>
    </row>
    <row r="642" ht="15" customHeight="1" hidden="1">
      <c r="A642" s="12"/>
      <c r="B642" s="479" cm="1">
        <f t="array" ref="B642">IF(B641=0,0,IF(B641&lt;VLOOKUP(C625,'Boats Data Sheet 2026'!$C$3:$H$57,6,0),B641+1,0))</f>
        <v>0</v>
      </c>
      <c r="C642" t="str" s="482" cm="1">
        <f t="array" ref="C642">IF(B642&gt;0,IF(VLOOKUP(C625,'Boats Data Sheet 2026'!$C$3:$J$57,8,0)="N/A",0,VLOOKUP(C625,'Boats Data Sheet 2026'!$C$3:$J$57,8,0)),"N/A")</f>
        <v>N/A</v>
      </c>
      <c r="D642" t="str" s="482" cm="1">
        <f t="array" ref="D642">IF(B642&gt;7,2,IF(B642=0,"N/A",1))</f>
        <v>N/A</v>
      </c>
      <c r="E642" t="str" s="482" cm="1">
        <f t="array" ref="E642">_xlfn.IFERROR(SUM('Direct Costs 2026'!$C$4:$C$5)*D642,"N/A")</f>
        <v>N/A</v>
      </c>
      <c r="F642" s="480" cm="1">
        <f t="array" ref="F642">_xlfn.IFERROR('Direct Costs 2026'!$C$43*B642,"N/A")</f>
        <v>0</v>
      </c>
      <c r="G642" t="str" s="482" cm="1">
        <f t="array" ref="G642">IF(B642&gt;0,'Direct Costs 2026'!$C$25,"N/A")</f>
        <v>N/A</v>
      </c>
      <c r="H642" t="str" s="482" cm="1">
        <f t="array" ref="H642">IF(B642&gt;0,'Direct Costs 2026'!$C$15+'Direct Costs 2026'!$C$14,"N/A")</f>
        <v>N/A</v>
      </c>
      <c r="I642" s="480">
        <v>0</v>
      </c>
      <c r="J642" s="480">
        <v>0</v>
      </c>
      <c r="K642" t="str" s="482" cm="1">
        <f t="array" ref="K642">IF(B642&gt;0,'Direct Costs 2026'!$C$26,"N/A")</f>
        <v>N/A</v>
      </c>
      <c r="L642" t="str" s="482" cm="1">
        <f t="array" ref="L642">IF(B642&gt;0,'Direct Costs 2026'!$C$23,"N/A")</f>
        <v>N/A</v>
      </c>
      <c r="M642" t="str" s="482" cm="1">
        <f t="array" ref="M642">IF(B642&gt;0,'Direct Costs 2026'!$C$45*B642,"N/A")</f>
        <v>N/A</v>
      </c>
      <c r="N642" t="str" s="482" cm="1">
        <f t="array" ref="N642">IF(B642&gt;0,_xlfn.IFERROR(VLOOKUP(C625,'Boats Data Sheet 2026'!$C$3:$I$57,7,0)*'Direct Costs 2026'!$C$36,"N/A"),"N/A")</f>
        <v>N/A</v>
      </c>
      <c r="O642" t="str" s="482" cm="1">
        <f t="array" ref="O642">IF(B642&gt;0,IF(OR(VLOOKUP(C625,'Boats Data Sheet 2026'!$C$3:$F$57,4,0)="Own",VLOOKUP(C625,'Boats Data Sheet 2026'!$C$3:$F$57,4,0)="Management"),('Direct Costs 2026'!$C$37+'Direct Costs 2026'!$C$39),"N/A"),"N/A")</f>
        <v>N/A</v>
      </c>
      <c r="P642" t="str" s="482" cm="1">
        <f t="array" ref="P642">_xlfn.IFERROR('Direct Costs 2026'!$C$27*C642,"N/A")</f>
        <v>N/A</v>
      </c>
      <c r="Q642" t="str" s="482" cm="1">
        <f t="array" ref="Q642">_xlfn.IFERROR(C642+SUM(E642:P642),"N/A")</f>
        <v>N/A</v>
      </c>
      <c r="R642" s="483"/>
      <c r="S642" t="str" s="482" cm="1">
        <f t="array" ref="S642">IF(B642&gt;0,'Allocation OH and Target 2026'!$E$31,"N/A")</f>
        <v>N/A</v>
      </c>
      <c r="T642" t="str" s="482" cm="1">
        <f t="array" ref="T642">IF(B642&gt;0,VLOOKUP(C625,'Allocation OH and Target 2026'!$C$35:$S$87,16,0),"N/A")</f>
        <v>N/A</v>
      </c>
      <c r="U642" t="str" s="482" cm="1">
        <f t="array" ref="U642">_xlfn.IFERROR((S642+T642),"N/A")</f>
        <v>N/A</v>
      </c>
      <c r="V642" s="483"/>
      <c r="W642" t="str" s="482" cm="1">
        <f t="array" ref="W642">_xlfn.IFERROR(U642+Q642,"N/A")</f>
        <v>N/A</v>
      </c>
      <c r="X642" t="str" s="482" cm="1">
        <f t="array" ref="X642">_xlfn.IFERROR(W642*0.5%,"N/A")</f>
        <v>N/A</v>
      </c>
      <c r="Y642" t="str" s="482" cm="1">
        <f t="array" ref="Y642">_xlfn.IFERROR(W642*25%,"N/A")</f>
        <v>N/A</v>
      </c>
      <c r="Z642" t="str" s="485" cm="1">
        <f t="array" ref="Z642">IF(B642&gt;0,SUM(W642:Y642),"N/A")</f>
        <v>N/A</v>
      </c>
      <c r="AA642" t="str" s="485" cm="1">
        <f t="array" ref="AA642">_xlfn.IFERROR((Z642-AVERAGE(Z628:Z633)),"N/A")</f>
        <v>N/A</v>
      </c>
      <c r="AB642" s="483"/>
      <c r="AC642" t="str" s="485" cm="1">
        <f t="array" ref="AC642">IF(B642=6,AVERAGE(Z628:Z633),"N/A")</f>
        <v>N/A</v>
      </c>
      <c r="AD642" s="483"/>
      <c r="AE642" s="480"/>
      <c r="AF642" s="480"/>
      <c r="AG642" s="480"/>
      <c r="AH642" s="480"/>
      <c r="AI642" s="480"/>
      <c r="AJ642" s="480"/>
      <c r="AK642" s="480"/>
      <c r="AL642" s="480"/>
      <c r="AM642" s="480"/>
      <c r="AN642" s="486"/>
    </row>
    <row r="643" ht="15" customHeight="1" hidden="1">
      <c r="A643" s="12"/>
      <c r="B643" s="479" cm="1">
        <f t="array" ref="B643">IF(B642=0,0,IF(B642&lt;VLOOKUP(C625,'Boats Data Sheet 2026'!$C$3:$H$57,6,0),B642+1,0))</f>
        <v>0</v>
      </c>
      <c r="C643" t="str" s="482" cm="1">
        <f t="array" ref="C643">IF(B643&gt;0,IF(VLOOKUP(C625,'Boats Data Sheet 2026'!$C$3:$J$57,8,0)="N/A",0,VLOOKUP(C625,'Boats Data Sheet 2026'!$C$3:$J$57,8,0)),"N/A")</f>
        <v>N/A</v>
      </c>
      <c r="D643" t="str" s="482" cm="1">
        <f t="array" ref="D643">IF(B643&gt;7,2,IF(B643=0,"N/A",1))</f>
        <v>N/A</v>
      </c>
      <c r="E643" t="str" s="482" cm="1">
        <f t="array" ref="E643">_xlfn.IFERROR(SUM('Direct Costs 2026'!$C$4:$C$5)*D643,"N/A")</f>
        <v>N/A</v>
      </c>
      <c r="F643" s="480" cm="1">
        <f t="array" ref="F643">_xlfn.IFERROR('Direct Costs 2026'!$C$43*B643,"N/A")</f>
        <v>0</v>
      </c>
      <c r="G643" t="str" s="482" cm="1">
        <f t="array" ref="G643">IF(B643&gt;0,'Direct Costs 2026'!$C$25,"N/A")</f>
        <v>N/A</v>
      </c>
      <c r="H643" t="str" s="482" cm="1">
        <f t="array" ref="H643">IF(B643&gt;0,'Direct Costs 2026'!$C$15+'Direct Costs 2026'!$C$14,"N/A")</f>
        <v>N/A</v>
      </c>
      <c r="I643" s="480">
        <v>0</v>
      </c>
      <c r="J643" s="480">
        <v>0</v>
      </c>
      <c r="K643" t="str" s="482" cm="1">
        <f t="array" ref="K643">IF(B643&gt;0,'Direct Costs 2026'!$C$26,"N/A")</f>
        <v>N/A</v>
      </c>
      <c r="L643" t="str" s="482" cm="1">
        <f t="array" ref="L643">IF(B643&gt;0,'Direct Costs 2026'!$C$23,"N/A")</f>
        <v>N/A</v>
      </c>
      <c r="M643" t="str" s="482" cm="1">
        <f t="array" ref="M643">IF(B643&gt;0,'Direct Costs 2026'!$C$45*B643,"N/A")</f>
        <v>N/A</v>
      </c>
      <c r="N643" t="str" s="482" cm="1">
        <f t="array" ref="N643">IF(B643&gt;0,_xlfn.IFERROR(VLOOKUP(C625,'Boats Data Sheet 2026'!$C$3:$I$57,7,0)*'Direct Costs 2026'!$C$36,"N/A"),"N/A")</f>
        <v>N/A</v>
      </c>
      <c r="O643" t="str" s="482" cm="1">
        <f t="array" ref="O643">IF(B643&gt;0,IF(OR(VLOOKUP(C625,'Boats Data Sheet 2026'!$C$3:$F$57,4,0)="Own",VLOOKUP(C625,'Boats Data Sheet 2026'!$C$3:$F$57,4,0)="Management"),('Direct Costs 2026'!$C$37+'Direct Costs 2026'!$C$39),"N/A"),"N/A")</f>
        <v>N/A</v>
      </c>
      <c r="P643" t="str" s="482" cm="1">
        <f t="array" ref="P643">_xlfn.IFERROR('Direct Costs 2026'!$C$27*C643,"N/A")</f>
        <v>N/A</v>
      </c>
      <c r="Q643" t="str" s="482" cm="1">
        <f t="array" ref="Q643">_xlfn.IFERROR(C643+SUM(E643:P643),"N/A")</f>
        <v>N/A</v>
      </c>
      <c r="R643" s="483"/>
      <c r="S643" t="str" s="482" cm="1">
        <f t="array" ref="S643">IF(B643&gt;0,'Allocation OH and Target 2026'!$E$31,"N/A")</f>
        <v>N/A</v>
      </c>
      <c r="T643" t="str" s="482" cm="1">
        <f t="array" ref="T643">IF(B643&gt;0,VLOOKUP(C625,'Allocation OH and Target 2026'!$C$35:$S$87,16,0),"N/A")</f>
        <v>N/A</v>
      </c>
      <c r="U643" t="str" s="482" cm="1">
        <f t="array" ref="U643">_xlfn.IFERROR((S643+T643),"N/A")</f>
        <v>N/A</v>
      </c>
      <c r="V643" s="483"/>
      <c r="W643" t="str" s="482" cm="1">
        <f t="array" ref="W643">_xlfn.IFERROR(U643+Q643,"N/A")</f>
        <v>N/A</v>
      </c>
      <c r="X643" t="str" s="482" cm="1">
        <f t="array" ref="X643">_xlfn.IFERROR(W643*0.5%,"N/A")</f>
        <v>N/A</v>
      </c>
      <c r="Y643" t="str" s="482" cm="1">
        <f t="array" ref="Y643">_xlfn.IFERROR(W643*25%,"N/A")</f>
        <v>N/A</v>
      </c>
      <c r="Z643" t="str" s="485" cm="1">
        <f t="array" ref="Z643">IF(B643&gt;0,SUM(W643:Y643),"N/A")</f>
        <v>N/A</v>
      </c>
      <c r="AA643" t="str" s="485" cm="1">
        <f t="array" ref="AA643">_xlfn.IFERROR((Z643-AVERAGE(Z628:Z633)),"N/A")</f>
        <v>N/A</v>
      </c>
      <c r="AB643" s="483"/>
      <c r="AC643" t="str" s="485" cm="1">
        <f t="array" ref="AC643">IF(B643=6,AVERAGE(Z628:Z633),"N/A")</f>
        <v>N/A</v>
      </c>
      <c r="AD643" s="483"/>
      <c r="AE643" s="480"/>
      <c r="AF643" s="480"/>
      <c r="AG643" s="480"/>
      <c r="AH643" s="480"/>
      <c r="AI643" s="480"/>
      <c r="AJ643" s="480"/>
      <c r="AK643" s="480"/>
      <c r="AL643" s="480"/>
      <c r="AM643" s="480"/>
      <c r="AN643" s="486"/>
    </row>
    <row r="644" ht="15" customHeight="1" hidden="1">
      <c r="A644" s="12"/>
      <c r="B644" s="479" cm="1">
        <f t="array" ref="B644">IF(B643=0,0,IF(B643&lt;VLOOKUP(C625,'Boats Data Sheet 2026'!$C$3:$H$57,6,0),B643+1,0))</f>
        <v>0</v>
      </c>
      <c r="C644" t="str" s="482" cm="1">
        <f t="array" ref="C644">IF(B644&gt;0,IF(VLOOKUP(C625,'Boats Data Sheet 2026'!$C$3:$J$57,8,0)="N/A",0,VLOOKUP(C625,'Boats Data Sheet 2026'!$C$3:$J$57,8,0)),"N/A")</f>
        <v>N/A</v>
      </c>
      <c r="D644" t="str" s="482" cm="1">
        <f t="array" ref="D644">IF(B644&gt;7,2,IF(B644=0,"N/A",1))</f>
        <v>N/A</v>
      </c>
      <c r="E644" t="str" s="482" cm="1">
        <f t="array" ref="E644">_xlfn.IFERROR(SUM('Direct Costs 2026'!$C$4:$C$5)*D644,"N/A")</f>
        <v>N/A</v>
      </c>
      <c r="F644" s="480" cm="1">
        <f t="array" ref="F644">_xlfn.IFERROR('Direct Costs 2026'!$C$43*B644,"N/A")</f>
        <v>0</v>
      </c>
      <c r="G644" t="str" s="482" cm="1">
        <f t="array" ref="G644">IF(B644&gt;0,'Direct Costs 2026'!$C$25,"N/A")</f>
        <v>N/A</v>
      </c>
      <c r="H644" t="str" s="482" cm="1">
        <f t="array" ref="H644">IF(B644&gt;0,'Direct Costs 2026'!$C$15+'Direct Costs 2026'!$C$14,"N/A")</f>
        <v>N/A</v>
      </c>
      <c r="I644" s="480">
        <v>0</v>
      </c>
      <c r="J644" s="480">
        <v>0</v>
      </c>
      <c r="K644" t="str" s="482" cm="1">
        <f t="array" ref="K644">IF(B644&gt;0,'Direct Costs 2026'!$C$26,"N/A")</f>
        <v>N/A</v>
      </c>
      <c r="L644" t="str" s="482" cm="1">
        <f t="array" ref="L644">IF(B644&gt;0,'Direct Costs 2026'!$C$23,"N/A")</f>
        <v>N/A</v>
      </c>
      <c r="M644" t="str" s="482" cm="1">
        <f t="array" ref="M644">IF(B644&gt;0,'Direct Costs 2026'!$C$45*B644,"N/A")</f>
        <v>N/A</v>
      </c>
      <c r="N644" t="str" s="482" cm="1">
        <f t="array" ref="N644">IF(B644&gt;0,_xlfn.IFERROR(VLOOKUP(C625,'Boats Data Sheet 2026'!$C$3:$I$57,7,0)*'Direct Costs 2026'!$C$36,"N/A"),"N/A")</f>
        <v>N/A</v>
      </c>
      <c r="O644" t="str" s="482" cm="1">
        <f t="array" ref="O644">IF(B644&gt;0,IF(OR(VLOOKUP(C625,'Boats Data Sheet 2026'!$C$3:$F$57,4,0)="Own",VLOOKUP(C625,'Boats Data Sheet 2026'!$C$3:$F$57,4,0)="Management"),('Direct Costs 2026'!$C$37+'Direct Costs 2026'!$C$39),"N/A"),"N/A")</f>
        <v>N/A</v>
      </c>
      <c r="P644" t="str" s="482" cm="1">
        <f t="array" ref="P644">_xlfn.IFERROR('Direct Costs 2026'!$C$27*C644,"N/A")</f>
        <v>N/A</v>
      </c>
      <c r="Q644" t="str" s="482" cm="1">
        <f t="array" ref="Q644">_xlfn.IFERROR(C644+SUM(E644:P644),"N/A")</f>
        <v>N/A</v>
      </c>
      <c r="R644" s="483"/>
      <c r="S644" t="str" s="482" cm="1">
        <f t="array" ref="S644">IF(B644&gt;0,'Allocation OH and Target 2026'!$E$31,"N/A")</f>
        <v>N/A</v>
      </c>
      <c r="T644" t="str" s="482" cm="1">
        <f t="array" ref="T644">IF(B644&gt;0,VLOOKUP(C625,'Allocation OH and Target 2026'!$C$35:$S$87,16,0),"N/A")</f>
        <v>N/A</v>
      </c>
      <c r="U644" t="str" s="482" cm="1">
        <f t="array" ref="U644">_xlfn.IFERROR((S644+T644),"N/A")</f>
        <v>N/A</v>
      </c>
      <c r="V644" s="483"/>
      <c r="W644" t="str" s="482" cm="1">
        <f t="array" ref="W644">_xlfn.IFERROR(U644+Q644,"N/A")</f>
        <v>N/A</v>
      </c>
      <c r="X644" t="str" s="482" cm="1">
        <f t="array" ref="X644">_xlfn.IFERROR(W644*0.5%,"N/A")</f>
        <v>N/A</v>
      </c>
      <c r="Y644" t="str" s="482" cm="1">
        <f t="array" ref="Y644">_xlfn.IFERROR(W644*25%,"N/A")</f>
        <v>N/A</v>
      </c>
      <c r="Z644" t="str" s="485" cm="1">
        <f t="array" ref="Z644">IF(B644&gt;0,SUM(W644:Y644),"N/A")</f>
        <v>N/A</v>
      </c>
      <c r="AA644" t="str" s="485" cm="1">
        <f t="array" ref="AA644">_xlfn.IFERROR((Z644-AVERAGE(Z628:Z633)),"N/A")</f>
        <v>N/A</v>
      </c>
      <c r="AB644" s="483"/>
      <c r="AC644" t="str" s="485" cm="1">
        <f t="array" ref="AC644">IF(B644=6,AVERAGE(Z628:Z633),"N/A")</f>
        <v>N/A</v>
      </c>
      <c r="AD644" s="483"/>
      <c r="AE644" s="480"/>
      <c r="AF644" s="480"/>
      <c r="AG644" s="480"/>
      <c r="AH644" s="480"/>
      <c r="AI644" s="480"/>
      <c r="AJ644" s="480"/>
      <c r="AK644" s="480"/>
      <c r="AL644" s="480"/>
      <c r="AM644" s="480"/>
      <c r="AN644" s="486"/>
    </row>
    <row r="645" ht="15.5" customHeight="1" hidden="1">
      <c r="A645" s="12"/>
      <c r="B645" s="479" cm="1">
        <f t="array" ref="B645">IF(B644=0,0,IF(B644&lt;VLOOKUP(C625,'Boats Data Sheet 2026'!$C$3:$H$57,6,0),B644+1,0))</f>
        <v>0</v>
      </c>
      <c r="C645" t="str" s="482" cm="1">
        <f t="array" ref="C645">IF(B645&gt;0,IF(VLOOKUP(C625,'Boats Data Sheet 2026'!$C$3:$J$57,8,0)="N/A",0,VLOOKUP(C625,'Boats Data Sheet 2026'!$C$3:$J$57,8,0)),"N/A")</f>
        <v>N/A</v>
      </c>
      <c r="D645" t="str" s="482" cm="1">
        <f t="array" ref="D645">IF(B645&gt;7,2,IF(B645=0,"N/A",1))</f>
        <v>N/A</v>
      </c>
      <c r="E645" t="str" s="482" cm="1">
        <f t="array" ref="E645">_xlfn.IFERROR(SUM('Direct Costs 2026'!$C$4:$C$5)*D645,"N/A")</f>
        <v>N/A</v>
      </c>
      <c r="F645" s="480" cm="1">
        <f t="array" ref="F645">_xlfn.IFERROR('Direct Costs 2026'!$C$43*B645,"N/A")</f>
        <v>0</v>
      </c>
      <c r="G645" t="str" s="482" cm="1">
        <f t="array" ref="G645">IF(B645&gt;0,'Direct Costs 2026'!$C$25,"N/A")</f>
        <v>N/A</v>
      </c>
      <c r="H645" t="str" s="482" cm="1">
        <f t="array" ref="H645">IF(B645&gt;0,'Direct Costs 2026'!$C$15+'Direct Costs 2026'!$C$14,"N/A")</f>
        <v>N/A</v>
      </c>
      <c r="I645" s="480">
        <v>0</v>
      </c>
      <c r="J645" s="480">
        <v>0</v>
      </c>
      <c r="K645" t="str" s="482" cm="1">
        <f t="array" ref="K645">IF(B645&gt;0,'Direct Costs 2026'!$C$26,"N/A")</f>
        <v>N/A</v>
      </c>
      <c r="L645" t="str" s="482" cm="1">
        <f t="array" ref="L645">IF(B645&gt;0,'Direct Costs 2026'!$C$23,"N/A")</f>
        <v>N/A</v>
      </c>
      <c r="M645" t="str" s="482" cm="1">
        <f t="array" ref="M645">IF(B645&gt;0,'Direct Costs 2026'!$C$45*B645,"N/A")</f>
        <v>N/A</v>
      </c>
      <c r="N645" t="str" s="482" cm="1">
        <f t="array" ref="N645">IF(B645&gt;0,_xlfn.IFERROR(VLOOKUP(C625,'Boats Data Sheet 2026'!$C$3:$I$57,7,0)*'Direct Costs 2026'!$C$36,"N/A"),"N/A")</f>
        <v>N/A</v>
      </c>
      <c r="O645" t="str" s="482" cm="1">
        <f t="array" ref="O645">IF(B645&gt;0,IF(OR(VLOOKUP(C625,'Boats Data Sheet 2026'!$C$3:$F$57,4,0)="Own",VLOOKUP(C625,'Boats Data Sheet 2026'!$C$3:$F$57,4,0)="Management"),('Direct Costs 2026'!$C$37+'Direct Costs 2026'!$C$39),"N/A"),"N/A")</f>
        <v>N/A</v>
      </c>
      <c r="P645" t="str" s="482" cm="1">
        <f t="array" ref="P645">_xlfn.IFERROR('Direct Costs 2026'!$C$27*C645,"N/A")</f>
        <v>N/A</v>
      </c>
      <c r="Q645" t="str" s="482" cm="1">
        <f t="array" ref="Q645">_xlfn.IFERROR(C645+SUM(E645:P645),"N/A")</f>
        <v>N/A</v>
      </c>
      <c r="R645" s="483"/>
      <c r="S645" t="str" s="482" cm="1">
        <f t="array" ref="S645">IF(B645&gt;0,'Allocation OH and Target 2026'!$E$31,"N/A")</f>
        <v>N/A</v>
      </c>
      <c r="T645" t="str" s="482" cm="1">
        <f t="array" ref="T645">IF(B645&gt;0,VLOOKUP(C625,'Allocation OH and Target 2026'!$C$35:$S$87,16,0),"N/A")</f>
        <v>N/A</v>
      </c>
      <c r="U645" t="str" s="482" cm="1">
        <f t="array" ref="U645">_xlfn.IFERROR((S645+T645),"N/A")</f>
        <v>N/A</v>
      </c>
      <c r="V645" s="483"/>
      <c r="W645" t="str" s="482" cm="1">
        <f t="array" ref="W645">_xlfn.IFERROR(U645+Q645,"N/A")</f>
        <v>N/A</v>
      </c>
      <c r="X645" t="str" s="482" cm="1">
        <f t="array" ref="X645">_xlfn.IFERROR(W645*0.5%,"N/A")</f>
        <v>N/A</v>
      </c>
      <c r="Y645" t="str" s="482" cm="1">
        <f t="array" ref="Y645">_xlfn.IFERROR(W645*25%,"N/A")</f>
        <v>N/A</v>
      </c>
      <c r="Z645" t="str" s="485" cm="1">
        <f t="array" ref="Z645">IF(B645&gt;0,SUM(W645:Y645),"N/A")</f>
        <v>N/A</v>
      </c>
      <c r="AA645" t="str" s="485" cm="1">
        <f t="array" ref="AA645">_xlfn.IFERROR((Z645-AVERAGE(Z628:Z633)),"N/A")</f>
        <v>N/A</v>
      </c>
      <c r="AB645" s="483"/>
      <c r="AC645" t="str" s="485" cm="1">
        <f t="array" ref="AC645">IF(B645=6,AVERAGE(Z628:Z633),"N/A")</f>
        <v>N/A</v>
      </c>
      <c r="AD645" s="483"/>
      <c r="AE645" s="480"/>
      <c r="AF645" s="480"/>
      <c r="AG645" s="480"/>
      <c r="AH645" s="480"/>
      <c r="AI645" s="480"/>
      <c r="AJ645" s="480"/>
      <c r="AK645" s="480"/>
      <c r="AL645" s="480"/>
      <c r="AM645" s="480"/>
      <c r="AN645" s="486"/>
    </row>
    <row r="646" ht="14.05" customHeight="1">
      <c r="A646" s="32"/>
      <c r="B646" s="477"/>
      <c r="C646" s="477"/>
      <c r="D646" s="477"/>
      <c r="E646" s="477"/>
      <c r="F646" s="477"/>
      <c r="G646" s="477"/>
      <c r="H646" s="477"/>
      <c r="I646" s="477"/>
      <c r="J646" s="477"/>
      <c r="K646" s="477"/>
      <c r="L646" s="477"/>
      <c r="M646" s="477"/>
      <c r="N646" s="477"/>
      <c r="O646" s="477"/>
      <c r="P646" s="477"/>
      <c r="Q646" s="477"/>
      <c r="R646" s="477"/>
      <c r="S646" s="477"/>
      <c r="T646" s="477"/>
      <c r="U646" s="477"/>
      <c r="V646" s="477"/>
      <c r="W646" s="477"/>
      <c r="X646" s="477"/>
      <c r="Y646" s="477"/>
      <c r="Z646" s="477"/>
      <c r="AA646" s="477"/>
      <c r="AB646" s="477"/>
      <c r="AC646" s="477"/>
      <c r="AD646" s="477"/>
      <c r="AE646" s="477"/>
      <c r="AF646" s="477"/>
      <c r="AG646" s="477"/>
      <c r="AH646" s="477"/>
      <c r="AI646" s="477"/>
      <c r="AJ646" s="477"/>
      <c r="AK646" s="477"/>
      <c r="AL646" s="477"/>
      <c r="AM646" s="477"/>
      <c r="AN646" s="478"/>
    </row>
    <row r="647" ht="15" customHeight="1">
      <c r="A647" s="32"/>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c r="AH647" s="35"/>
      <c r="AI647" s="35"/>
      <c r="AJ647" s="35"/>
      <c r="AK647" s="35"/>
      <c r="AL647" s="35"/>
      <c r="AM647" s="35"/>
      <c r="AN647" s="442"/>
    </row>
    <row r="648" ht="15.5" customHeight="1">
      <c r="A648" s="395">
        <v>29</v>
      </c>
      <c r="B648" t="s" s="444">
        <v>506</v>
      </c>
      <c r="C648" t="s" s="445">
        <v>211</v>
      </c>
      <c r="D648" s="446"/>
      <c r="E648" t="s" s="447">
        <v>542</v>
      </c>
      <c r="F648" s="446"/>
      <c r="G648" s="446"/>
      <c r="H648" s="446"/>
      <c r="I648" s="446"/>
      <c r="J648" s="446"/>
      <c r="K648" s="446"/>
      <c r="L648" s="446"/>
      <c r="M648" s="446"/>
      <c r="N648" s="446"/>
      <c r="O648" s="446"/>
      <c r="P648" s="446"/>
      <c r="Q648" s="446"/>
      <c r="R648" s="446"/>
      <c r="S648" s="446"/>
      <c r="T648" s="446"/>
      <c r="U648" s="446"/>
      <c r="V648" s="446"/>
      <c r="W648" s="446"/>
      <c r="X648" s="446"/>
      <c r="Y648" s="446"/>
      <c r="Z648" s="446"/>
      <c r="AA648" s="446"/>
      <c r="AB648" s="446"/>
      <c r="AC648" s="446"/>
      <c r="AD648" s="446"/>
      <c r="AE648" t="s" s="445">
        <v>508</v>
      </c>
      <c r="AF648" s="448" cm="1">
        <f t="array" ref="AF648">AVERAGE(Q651:Q656)</f>
        <v>22301500</v>
      </c>
      <c r="AG648" t="s" s="449">
        <v>509</v>
      </c>
      <c r="AH648" s="448" cm="1">
        <f t="array" ref="AH648">AVERAGE(Q657:Q664)-AF648</f>
        <v>1858062.5</v>
      </c>
      <c r="AI648" t="s" s="449">
        <v>510</v>
      </c>
      <c r="AJ648" s="448" cm="1">
        <f t="array" ref="AJ648">AVERAGE(Y651:Y658)</f>
        <v>6416846.16442453</v>
      </c>
      <c r="AK648" t="s" s="445">
        <v>511</v>
      </c>
      <c r="AL648" s="448" cm="1">
        <f t="array" ref="AL648">AVERAGE(W651:W656)</f>
        <v>25401947.1576981</v>
      </c>
      <c r="AM648" t="s" s="449">
        <v>512</v>
      </c>
      <c r="AN648" s="450" cm="1">
        <f t="array" ref="AN648">W651</f>
        <v>25011947.1576981</v>
      </c>
    </row>
    <row r="649" ht="15" customHeight="1">
      <c r="A649" s="12"/>
      <c r="B649" s="451"/>
      <c r="C649" t="s" s="452">
        <v>513</v>
      </c>
      <c r="D649" s="453"/>
      <c r="E649" s="453"/>
      <c r="F649" s="453"/>
      <c r="G649" s="453"/>
      <c r="H649" s="453"/>
      <c r="I649" s="453"/>
      <c r="J649" s="453"/>
      <c r="K649" s="453"/>
      <c r="L649" s="453"/>
      <c r="M649" s="453"/>
      <c r="N649" s="453"/>
      <c r="O649" s="453"/>
      <c r="P649" s="453"/>
      <c r="Q649" s="454"/>
      <c r="R649" s="455"/>
      <c r="S649" t="s" s="452">
        <v>514</v>
      </c>
      <c r="T649" s="453"/>
      <c r="U649" s="454"/>
      <c r="V649" s="455"/>
      <c r="W649" t="s" s="452">
        <v>515</v>
      </c>
      <c r="X649" s="453"/>
      <c r="Y649" s="453"/>
      <c r="Z649" s="453"/>
      <c r="AA649" s="453"/>
      <c r="AB649" s="456"/>
      <c r="AC649" s="457"/>
      <c r="AD649" s="457"/>
      <c r="AE649" s="457"/>
      <c r="AF649" s="457"/>
      <c r="AG649" s="457"/>
      <c r="AH649" s="457"/>
      <c r="AI649" s="457"/>
      <c r="AJ649" s="457"/>
      <c r="AK649" s="457"/>
      <c r="AL649" s="458"/>
      <c r="AM649" s="459"/>
      <c r="AN649" s="458"/>
    </row>
    <row r="650" ht="46.25" customHeight="1">
      <c r="A650" s="187"/>
      <c r="B650" t="s" s="460">
        <v>517</v>
      </c>
      <c r="C650" t="s" s="461">
        <v>518</v>
      </c>
      <c r="D650" t="s" s="461">
        <v>519</v>
      </c>
      <c r="E650" t="s" s="461">
        <v>520</v>
      </c>
      <c r="F650" t="s" s="461">
        <v>521</v>
      </c>
      <c r="G650" t="s" s="461">
        <v>522</v>
      </c>
      <c r="H650" t="s" s="461">
        <v>553</v>
      </c>
      <c r="I650" t="s" s="461">
        <v>524</v>
      </c>
      <c r="J650" t="s" s="461">
        <v>525</v>
      </c>
      <c r="K650" t="s" s="461">
        <v>526</v>
      </c>
      <c r="L650" t="s" s="461">
        <v>527</v>
      </c>
      <c r="M650" t="s" s="461">
        <v>528</v>
      </c>
      <c r="N650" t="s" s="461">
        <v>529</v>
      </c>
      <c r="O650" t="s" s="461">
        <v>530</v>
      </c>
      <c r="P650" t="s" s="461">
        <v>531</v>
      </c>
      <c r="Q650" t="s" s="461">
        <v>532</v>
      </c>
      <c r="R650" s="462"/>
      <c r="S650" t="s" s="461">
        <v>533</v>
      </c>
      <c r="T650" t="s" s="461">
        <v>534</v>
      </c>
      <c r="U650" t="s" s="461">
        <v>535</v>
      </c>
      <c r="V650" s="462"/>
      <c r="W650" t="s" s="461">
        <v>536</v>
      </c>
      <c r="X650" t="s" s="461">
        <v>537</v>
      </c>
      <c r="Y650" t="s" s="461">
        <v>538</v>
      </c>
      <c r="Z650" t="s" s="461">
        <v>539</v>
      </c>
      <c r="AA650" t="s" s="461">
        <v>121</v>
      </c>
      <c r="AB650" s="463"/>
      <c r="AC650" t="s" s="461">
        <v>39</v>
      </c>
      <c r="AD650" s="463"/>
      <c r="AE650" s="463"/>
      <c r="AF650" s="463"/>
      <c r="AG650" s="463"/>
      <c r="AH650" s="463"/>
      <c r="AI650" s="463"/>
      <c r="AJ650" s="463"/>
      <c r="AK650" s="463"/>
      <c r="AL650" s="463"/>
      <c r="AM650" s="463"/>
      <c r="AN650" s="464"/>
    </row>
    <row r="651" ht="15" customHeight="1" hidden="1">
      <c r="A651" s="12"/>
      <c r="B651" s="479">
        <v>1</v>
      </c>
      <c r="C651" s="480" cm="1">
        <f t="array" ref="C651">IF(B651&gt;0,IF(VLOOKUP(C648,'Boats Data Sheet 2026'!$C$3:$J$57,8,0)="N/A",0,VLOOKUP(C648,'Boats Data Sheet 2026'!$C$3:$J$57,8,0)),"N/A")</f>
        <v>20000000</v>
      </c>
      <c r="D651" s="481" cm="1">
        <f t="array" ref="D651">IF(B651&gt;7,2,IF(B651=0,"N/A",1))</f>
        <v>1</v>
      </c>
      <c r="E651" s="480" cm="1">
        <f t="array" ref="E651">_xlfn.IFERROR(SUM('Direct Costs 2026'!$C$4:$C$5)*D651,"N/A")</f>
        <v>875500</v>
      </c>
      <c r="F651" s="480" cm="1">
        <f t="array" ref="F651">_xlfn.IFERROR('Direct Costs 2026'!$C$43*B651,"N/A")</f>
        <v>6000</v>
      </c>
      <c r="G651" s="480" cm="1">
        <f t="array" ref="G651">IF(B651&gt;0,'Direct Costs 2026'!$C$25,"N/A")</f>
        <v>90000</v>
      </c>
      <c r="H651" s="480" cm="1">
        <f t="array" ref="H651">IF(B651&gt;0,'Direct Costs 2026'!$C$15+'Direct Costs 2026'!$C$14,"N/A")</f>
        <v>230000</v>
      </c>
      <c r="I651" s="480">
        <v>0</v>
      </c>
      <c r="J651" s="480">
        <v>0</v>
      </c>
      <c r="K651" s="480" cm="1">
        <f t="array" ref="K651">IF(B651&gt;0,'Direct Costs 2026'!$C$26,"N/A")</f>
        <v>20000</v>
      </c>
      <c r="L651" s="480" cm="1">
        <f t="array" ref="L651">IF(B651&gt;0,'Direct Costs 2026'!$C$23,"N/A")</f>
        <v>140000</v>
      </c>
      <c r="M651" s="480" cm="1">
        <f t="array" ref="M651">IF(B651&gt;0,'Direct Costs 2026'!$C$45*B651,"N/A")</f>
        <v>150000</v>
      </c>
      <c r="N651" t="str" s="482" cm="1">
        <f t="array" ref="N651">IF(B651&gt;0,_xlfn.IFERROR(VLOOKUP(C648,'Boats Data Sheet 2026'!$C$3:$I$57,7,0)*'Direct Costs 2026'!$C$36,"N/A"),"N/A")</f>
        <v>N/A</v>
      </c>
      <c r="O651" t="str" s="482" cm="1">
        <f t="array" ref="O651">IF(B651&gt;0,IF(OR(VLOOKUP(C648,'Boats Data Sheet 2026'!$C$3:$F$57,4,0)="Own",VLOOKUP(C648,'Boats Data Sheet 2026'!$C$3:$F$57,4,0)="Management"),('Direct Costs 2026'!$C$37+'Direct Costs 2026'!$C$39),"N/A"),"N/A")</f>
        <v>N/A</v>
      </c>
      <c r="P651" s="480" cm="1">
        <f t="array" ref="P651">_xlfn.IFERROR('Direct Costs 2026'!$C$27*C651,"N/A")</f>
        <v>400000</v>
      </c>
      <c r="Q651" s="480" cm="1">
        <f t="array" ref="Q651">_xlfn.IFERROR(C651+SUM(E651:P651),"N/A")</f>
        <v>21911500</v>
      </c>
      <c r="R651" s="483"/>
      <c r="S651" s="480" cm="1">
        <f t="array" ref="S651">IF(B651&gt;0,'Allocation OH and Target 2026'!$E$31,"N/A")</f>
        <v>3100447.15769812</v>
      </c>
      <c r="T651" s="480" cm="1">
        <f t="array" ref="T651">IF(B651&gt;0,VLOOKUP(C648,'Allocation OH and Target 2026'!$C$35:$S$87,16,0),"N/A")</f>
        <v>0</v>
      </c>
      <c r="U651" s="480" cm="1">
        <f t="array" ref="U651">_xlfn.IFERROR((S651+T651),"N/A")</f>
        <v>3100447.15769812</v>
      </c>
      <c r="V651" s="483"/>
      <c r="W651" s="480" cm="1">
        <f t="array" ref="W651">_xlfn.IFERROR(U651+Q651,"N/A")</f>
        <v>25011947.1576981</v>
      </c>
      <c r="X651" s="480" cm="1">
        <f t="array" ref="X651">_xlfn.IFERROR(W651*0.5%,"N/A")</f>
        <v>125059.735788491</v>
      </c>
      <c r="Y651" s="480" cm="1">
        <f t="array" ref="Y651">_xlfn.IFERROR(W651*25%,"N/A")</f>
        <v>6252986.78942453</v>
      </c>
      <c r="Z651" s="484" cm="1">
        <f t="array" ref="Z651">IF(B651&gt;0,SUM(W651:Y651),"N/A")</f>
        <v>31389993.6829111</v>
      </c>
      <c r="AA651" s="484">
        <v>0</v>
      </c>
      <c r="AB651" s="483"/>
      <c r="AC651" t="str" s="485" cm="1">
        <f t="array" ref="AC651">IF(B651=6,AVERAGE(Z651:Z656),"N/A")</f>
        <v>N/A</v>
      </c>
      <c r="AD651" s="483"/>
      <c r="AE651" s="480"/>
      <c r="AF651" s="480"/>
      <c r="AG651" s="480"/>
      <c r="AH651" s="480"/>
      <c r="AI651" s="480"/>
      <c r="AJ651" s="480"/>
      <c r="AK651" s="480"/>
      <c r="AL651" s="480"/>
      <c r="AM651" s="480"/>
      <c r="AN651" s="486"/>
    </row>
    <row r="652" ht="15" customHeight="1" hidden="1">
      <c r="A652" s="12"/>
      <c r="B652" s="479" cm="1">
        <f t="array" ref="B652">IF(B651=0,0,IF(B651&lt;VLOOKUP(C648,'Boats Data Sheet 2026'!$C$3:$H$57,6,0),B651+1,0))</f>
        <v>2</v>
      </c>
      <c r="C652" s="480" cm="1">
        <f t="array" ref="C652">IF(B652&gt;0,IF(VLOOKUP(C648,'Boats Data Sheet 2026'!$C$3:$J$57,8,0)="N/A",0,VLOOKUP(C648,'Boats Data Sheet 2026'!$C$3:$J$57,8,0)),"N/A")</f>
        <v>20000000</v>
      </c>
      <c r="D652" s="481" cm="1">
        <f t="array" ref="D652">IF(B652&gt;7,2,IF(B652=0,"N/A",1))</f>
        <v>1</v>
      </c>
      <c r="E652" s="480" cm="1">
        <f t="array" ref="E652">_xlfn.IFERROR(SUM('Direct Costs 2026'!$C$4:$C$5)*D652,"N/A")</f>
        <v>875500</v>
      </c>
      <c r="F652" s="480" cm="1">
        <f t="array" ref="F652">_xlfn.IFERROR('Direct Costs 2026'!$C$43*B652,"N/A")</f>
        <v>12000</v>
      </c>
      <c r="G652" s="480" cm="1">
        <f t="array" ref="G652">IF(B652&gt;0,'Direct Costs 2026'!$C$25,"N/A")</f>
        <v>90000</v>
      </c>
      <c r="H652" s="480" cm="1">
        <f t="array" ref="H652">IF(B652&gt;0,'Direct Costs 2026'!$C$15+'Direct Costs 2026'!$C$14,"N/A")</f>
        <v>230000</v>
      </c>
      <c r="I652" s="480">
        <v>0</v>
      </c>
      <c r="J652" s="480">
        <v>0</v>
      </c>
      <c r="K652" s="480" cm="1">
        <f t="array" ref="K652">IF(B652&gt;0,'Direct Costs 2026'!$C$26,"N/A")</f>
        <v>20000</v>
      </c>
      <c r="L652" s="480" cm="1">
        <f t="array" ref="L652">IF(B652&gt;0,'Direct Costs 2026'!$C$23,"N/A")</f>
        <v>140000</v>
      </c>
      <c r="M652" s="480" cm="1">
        <f t="array" ref="M652">IF(B652&gt;0,'Direct Costs 2026'!$C$45*B652,"N/A")</f>
        <v>300000</v>
      </c>
      <c r="N652" t="str" s="482" cm="1">
        <f t="array" ref="N652">IF(B652&gt;0,_xlfn.IFERROR(VLOOKUP(C648,'Boats Data Sheet 2026'!$C$3:$I$57,7,0)*'Direct Costs 2026'!$C$36,"N/A"),"N/A")</f>
        <v>N/A</v>
      </c>
      <c r="O652" t="str" s="482" cm="1">
        <f t="array" ref="O652">IF(B652&gt;0,IF(OR(VLOOKUP(C648,'Boats Data Sheet 2026'!$C$3:$F$57,4,0)="Own",VLOOKUP(C648,'Boats Data Sheet 2026'!$C$3:$F$57,4,0)="Management"),('Direct Costs 2026'!$C$37+'Direct Costs 2026'!$C$39),"N/A"),"N/A")</f>
        <v>N/A</v>
      </c>
      <c r="P652" s="480" cm="1">
        <f t="array" ref="P652">_xlfn.IFERROR('Direct Costs 2026'!$C$27*C652,"N/A")</f>
        <v>400000</v>
      </c>
      <c r="Q652" s="480" cm="1">
        <f t="array" ref="Q652">_xlfn.IFERROR(C652+SUM(E652:P652),"N/A")</f>
        <v>22067500</v>
      </c>
      <c r="R652" s="483"/>
      <c r="S652" s="480" cm="1">
        <f t="array" ref="S652">IF(B652&gt;0,'Allocation OH and Target 2026'!$E$31,"N/A")</f>
        <v>3100447.15769812</v>
      </c>
      <c r="T652" s="480" cm="1">
        <f t="array" ref="T652">IF(B652&gt;0,VLOOKUP(C648,'Allocation OH and Target 2026'!$C$35:$S$87,16,0),"N/A")</f>
        <v>0</v>
      </c>
      <c r="U652" s="480" cm="1">
        <f t="array" ref="U652">_xlfn.IFERROR((S652+T652),"N/A")</f>
        <v>3100447.15769812</v>
      </c>
      <c r="V652" s="483"/>
      <c r="W652" s="480" cm="1">
        <f t="array" ref="W652">_xlfn.IFERROR(U652+Q652,"N/A")</f>
        <v>25167947.1576981</v>
      </c>
      <c r="X652" s="480" cm="1">
        <f t="array" ref="X652">_xlfn.IFERROR(W652*0.5%,"N/A")</f>
        <v>125839.735788491</v>
      </c>
      <c r="Y652" s="480" cm="1">
        <f t="array" ref="Y652">_xlfn.IFERROR(W652*25%,"N/A")</f>
        <v>6291986.78942453</v>
      </c>
      <c r="Z652" s="484" cm="1">
        <f t="array" ref="Z652">IF(B652&gt;0,SUM(W652:Y652),"N/A")</f>
        <v>31585773.6829111</v>
      </c>
      <c r="AA652" s="484">
        <v>0</v>
      </c>
      <c r="AB652" s="483"/>
      <c r="AC652" t="str" s="485" cm="1">
        <f t="array" ref="AC652">IF(B652=6,AVERAGE(Z651:Z656),"N/A")</f>
        <v>N/A</v>
      </c>
      <c r="AD652" s="483"/>
      <c r="AE652" s="480"/>
      <c r="AF652" s="480"/>
      <c r="AG652" s="480"/>
      <c r="AH652" s="480"/>
      <c r="AI652" s="480"/>
      <c r="AJ652" s="480"/>
      <c r="AK652" s="480"/>
      <c r="AL652" s="480"/>
      <c r="AM652" s="480"/>
      <c r="AN652" s="486"/>
    </row>
    <row r="653" ht="15" customHeight="1" hidden="1">
      <c r="A653" s="12"/>
      <c r="B653" s="479" cm="1">
        <f t="array" ref="B653">IF(B652=0,0,IF(B652&lt;VLOOKUP(C648,'Boats Data Sheet 2026'!$C$3:$H$57,6,0),B652+1,0))</f>
        <v>3</v>
      </c>
      <c r="C653" s="480" cm="1">
        <f t="array" ref="C653">IF(B653&gt;0,IF(VLOOKUP(C648,'Boats Data Sheet 2026'!$C$3:$J$57,8,0)="N/A",0,VLOOKUP(C648,'Boats Data Sheet 2026'!$C$3:$J$57,8,0)),"N/A")</f>
        <v>20000000</v>
      </c>
      <c r="D653" s="481" cm="1">
        <f t="array" ref="D653">IF(B653&gt;7,2,IF(B653=0,"N/A",1))</f>
        <v>1</v>
      </c>
      <c r="E653" s="480" cm="1">
        <f t="array" ref="E653">_xlfn.IFERROR(SUM('Direct Costs 2026'!$C$4:$C$5)*D653,"N/A")</f>
        <v>875500</v>
      </c>
      <c r="F653" s="480" cm="1">
        <f t="array" ref="F653">_xlfn.IFERROR('Direct Costs 2026'!$C$43*B653,"N/A")</f>
        <v>18000</v>
      </c>
      <c r="G653" s="480" cm="1">
        <f t="array" ref="G653">IF(B653&gt;0,'Direct Costs 2026'!$C$25,"N/A")</f>
        <v>90000</v>
      </c>
      <c r="H653" s="480" cm="1">
        <f t="array" ref="H653">IF(B653&gt;0,'Direct Costs 2026'!$C$15+'Direct Costs 2026'!$C$14,"N/A")</f>
        <v>230000</v>
      </c>
      <c r="I653" s="480">
        <v>0</v>
      </c>
      <c r="J653" s="480">
        <v>0</v>
      </c>
      <c r="K653" s="480" cm="1">
        <f t="array" ref="K653">IF(B653&gt;0,'Direct Costs 2026'!$C$26,"N/A")</f>
        <v>20000</v>
      </c>
      <c r="L653" s="480" cm="1">
        <f t="array" ref="L653">IF(B653&gt;0,'Direct Costs 2026'!$C$23,"N/A")</f>
        <v>140000</v>
      </c>
      <c r="M653" s="480" cm="1">
        <f t="array" ref="M653">IF(B653&gt;0,'Direct Costs 2026'!$C$45*B653,"N/A")</f>
        <v>450000</v>
      </c>
      <c r="N653" t="str" s="482" cm="1">
        <f t="array" ref="N653">IF(B653&gt;0,_xlfn.IFERROR(VLOOKUP(C648,'Boats Data Sheet 2026'!$C$3:$I$57,7,0)*'Direct Costs 2026'!$C$36,"N/A"),"N/A")</f>
        <v>N/A</v>
      </c>
      <c r="O653" t="str" s="482" cm="1">
        <f t="array" ref="O653">IF(B653&gt;0,IF(OR(VLOOKUP(C648,'Boats Data Sheet 2026'!$C$3:$F$57,4,0)="Own",VLOOKUP(C648,'Boats Data Sheet 2026'!$C$3:$F$57,4,0)="Management"),('Direct Costs 2026'!$C$37+'Direct Costs 2026'!$C$39),"N/A"),"N/A")</f>
        <v>N/A</v>
      </c>
      <c r="P653" s="480" cm="1">
        <f t="array" ref="P653">_xlfn.IFERROR('Direct Costs 2026'!$C$27*C653,"N/A")</f>
        <v>400000</v>
      </c>
      <c r="Q653" s="480" cm="1">
        <f t="array" ref="Q653">_xlfn.IFERROR(C653+SUM(E653:P653),"N/A")</f>
        <v>22223500</v>
      </c>
      <c r="R653" s="483"/>
      <c r="S653" s="480" cm="1">
        <f t="array" ref="S653">IF(B653&gt;0,'Allocation OH and Target 2026'!$E$31,"N/A")</f>
        <v>3100447.15769812</v>
      </c>
      <c r="T653" s="480" cm="1">
        <f t="array" ref="T653">IF(B653&gt;0,VLOOKUP(C648,'Allocation OH and Target 2026'!$C$35:$S$87,16,0),"N/A")</f>
        <v>0</v>
      </c>
      <c r="U653" s="480" cm="1">
        <f t="array" ref="U653">_xlfn.IFERROR((S653+T653),"N/A")</f>
        <v>3100447.15769812</v>
      </c>
      <c r="V653" s="483"/>
      <c r="W653" s="480" cm="1">
        <f t="array" ref="W653">_xlfn.IFERROR(U653+Q653,"N/A")</f>
        <v>25323947.1576981</v>
      </c>
      <c r="X653" s="480" cm="1">
        <f t="array" ref="X653">_xlfn.IFERROR(W653*0.5%,"N/A")</f>
        <v>126619.735788491</v>
      </c>
      <c r="Y653" s="480" cm="1">
        <f t="array" ref="Y653">_xlfn.IFERROR(W653*25%,"N/A")</f>
        <v>6330986.78942453</v>
      </c>
      <c r="Z653" s="484" cm="1">
        <f t="array" ref="Z653">IF(B653&gt;0,SUM(W653:Y653),"N/A")</f>
        <v>31781553.6829111</v>
      </c>
      <c r="AA653" s="484">
        <v>0</v>
      </c>
      <c r="AB653" s="483"/>
      <c r="AC653" t="str" s="485" cm="1">
        <f t="array" ref="AC653">IF(B653=6,AVERAGE(Z651:Z656),"N/A")</f>
        <v>N/A</v>
      </c>
      <c r="AD653" s="483"/>
      <c r="AE653" s="480"/>
      <c r="AF653" s="480"/>
      <c r="AG653" s="480"/>
      <c r="AH653" s="480"/>
      <c r="AI653" s="480"/>
      <c r="AJ653" s="480"/>
      <c r="AK653" s="480"/>
      <c r="AL653" s="480"/>
      <c r="AM653" s="480"/>
      <c r="AN653" s="486"/>
    </row>
    <row r="654" ht="15" customHeight="1" hidden="1">
      <c r="A654" s="12"/>
      <c r="B654" s="479" cm="1">
        <f t="array" ref="B654">IF(B653=0,0,IF(B653&lt;VLOOKUP(C648,'Boats Data Sheet 2026'!$C$3:$H$57,6,0),B653+1,0))</f>
        <v>4</v>
      </c>
      <c r="C654" s="480" cm="1">
        <f t="array" ref="C654">IF(B654&gt;0,IF(VLOOKUP(C648,'Boats Data Sheet 2026'!$C$3:$J$57,8,0)="N/A",0,VLOOKUP(C648,'Boats Data Sheet 2026'!$C$3:$J$57,8,0)),"N/A")</f>
        <v>20000000</v>
      </c>
      <c r="D654" s="481" cm="1">
        <f t="array" ref="D654">IF(B654&gt;7,2,IF(B654=0,"N/A",1))</f>
        <v>1</v>
      </c>
      <c r="E654" s="480" cm="1">
        <f t="array" ref="E654">_xlfn.IFERROR(SUM('Direct Costs 2026'!$C$4:$C$5)*D654,"N/A")</f>
        <v>875500</v>
      </c>
      <c r="F654" s="480" cm="1">
        <f t="array" ref="F654">_xlfn.IFERROR('Direct Costs 2026'!$C$43*B654,"N/A")</f>
        <v>24000</v>
      </c>
      <c r="G654" s="480" cm="1">
        <f t="array" ref="G654">IF(B654&gt;0,'Direct Costs 2026'!$C$25,"N/A")</f>
        <v>90000</v>
      </c>
      <c r="H654" s="480" cm="1">
        <f t="array" ref="H654">IF(B654&gt;0,'Direct Costs 2026'!$C$15+'Direct Costs 2026'!$C$14,"N/A")</f>
        <v>230000</v>
      </c>
      <c r="I654" s="480">
        <v>0</v>
      </c>
      <c r="J654" s="480">
        <v>0</v>
      </c>
      <c r="K654" s="480" cm="1">
        <f t="array" ref="K654">IF(B654&gt;0,'Direct Costs 2026'!$C$26,"N/A")</f>
        <v>20000</v>
      </c>
      <c r="L654" s="480" cm="1">
        <f t="array" ref="L654">IF(B654&gt;0,'Direct Costs 2026'!$C$23,"N/A")</f>
        <v>140000</v>
      </c>
      <c r="M654" s="480" cm="1">
        <f t="array" ref="M654">IF(B654&gt;0,'Direct Costs 2026'!$C$45*B654,"N/A")</f>
        <v>600000</v>
      </c>
      <c r="N654" t="str" s="482" cm="1">
        <f t="array" ref="N654">IF(B654&gt;0,_xlfn.IFERROR(VLOOKUP(C648,'Boats Data Sheet 2026'!$C$3:$I$57,7,0)*'Direct Costs 2026'!$C$36,"N/A"),"N/A")</f>
        <v>N/A</v>
      </c>
      <c r="O654" t="str" s="482" cm="1">
        <f t="array" ref="O654">IF(B654&gt;0,IF(OR(VLOOKUP(C648,'Boats Data Sheet 2026'!$C$3:$F$57,4,0)="Own",VLOOKUP(C648,'Boats Data Sheet 2026'!$C$3:$F$57,4,0)="Management"),('Direct Costs 2026'!$C$37+'Direct Costs 2026'!$C$39),"N/A"),"N/A")</f>
        <v>N/A</v>
      </c>
      <c r="P654" s="480" cm="1">
        <f t="array" ref="P654">_xlfn.IFERROR('Direct Costs 2026'!$C$27*C654,"N/A")</f>
        <v>400000</v>
      </c>
      <c r="Q654" s="480" cm="1">
        <f t="array" ref="Q654">_xlfn.IFERROR(C654+SUM(E654:P654),"N/A")</f>
        <v>22379500</v>
      </c>
      <c r="R654" s="483"/>
      <c r="S654" s="480" cm="1">
        <f t="array" ref="S654">IF(B654&gt;0,'Allocation OH and Target 2026'!$E$31,"N/A")</f>
        <v>3100447.15769812</v>
      </c>
      <c r="T654" s="480" cm="1">
        <f t="array" ref="T654">IF(B654&gt;0,VLOOKUP(C648,'Allocation OH and Target 2026'!$C$35:$S$87,16,0),"N/A")</f>
        <v>0</v>
      </c>
      <c r="U654" s="480" cm="1">
        <f t="array" ref="U654">_xlfn.IFERROR((S654+T654),"N/A")</f>
        <v>3100447.15769812</v>
      </c>
      <c r="V654" s="483"/>
      <c r="W654" s="480" cm="1">
        <f t="array" ref="W654">_xlfn.IFERROR(U654+Q654,"N/A")</f>
        <v>25479947.1576981</v>
      </c>
      <c r="X654" s="480" cm="1">
        <f t="array" ref="X654">_xlfn.IFERROR(W654*0.5%,"N/A")</f>
        <v>127399.735788491</v>
      </c>
      <c r="Y654" s="480" cm="1">
        <f t="array" ref="Y654">_xlfn.IFERROR(W654*25%,"N/A")</f>
        <v>6369986.78942453</v>
      </c>
      <c r="Z654" s="484" cm="1">
        <f t="array" ref="Z654">IF(B654&gt;0,SUM(W654:Y654),"N/A")</f>
        <v>31977333.6829111</v>
      </c>
      <c r="AA654" s="484">
        <v>0</v>
      </c>
      <c r="AB654" s="483"/>
      <c r="AC654" t="str" s="485" cm="1">
        <f t="array" ref="AC654">IF(B654=6,AVERAGE(Z651:Z656),"N/A")</f>
        <v>N/A</v>
      </c>
      <c r="AD654" s="483"/>
      <c r="AE654" s="480"/>
      <c r="AF654" s="480"/>
      <c r="AG654" s="480"/>
      <c r="AH654" s="480"/>
      <c r="AI654" s="480"/>
      <c r="AJ654" s="480"/>
      <c r="AK654" s="480"/>
      <c r="AL654" s="480"/>
      <c r="AM654" s="480"/>
      <c r="AN654" s="486"/>
    </row>
    <row r="655" ht="15" customHeight="1" hidden="1">
      <c r="A655" s="12"/>
      <c r="B655" s="479" cm="1">
        <f t="array" ref="B655">IF(B654=0,0,IF(B654&lt;VLOOKUP(C648,'Boats Data Sheet 2026'!$C$3:$H$57,6,0),B654+1,0))</f>
        <v>5</v>
      </c>
      <c r="C655" s="480" cm="1">
        <f t="array" ref="C655">IF(B655&gt;0,IF(VLOOKUP(C648,'Boats Data Sheet 2026'!$C$3:$J$57,8,0)="N/A",0,VLOOKUP(C648,'Boats Data Sheet 2026'!$C$3:$J$57,8,0)),"N/A")</f>
        <v>20000000</v>
      </c>
      <c r="D655" s="481" cm="1">
        <f t="array" ref="D655">IF(B655&gt;7,2,IF(B655=0,"N/A",1))</f>
        <v>1</v>
      </c>
      <c r="E655" s="480" cm="1">
        <f t="array" ref="E655">_xlfn.IFERROR(SUM('Direct Costs 2026'!$C$4:$C$5)*D655,"N/A")</f>
        <v>875500</v>
      </c>
      <c r="F655" s="480" cm="1">
        <f t="array" ref="F655">_xlfn.IFERROR('Direct Costs 2026'!$C$43*B655,"N/A")</f>
        <v>30000</v>
      </c>
      <c r="G655" s="480" cm="1">
        <f t="array" ref="G655">IF(B655&gt;0,'Direct Costs 2026'!$C$25,"N/A")</f>
        <v>90000</v>
      </c>
      <c r="H655" s="480" cm="1">
        <f t="array" ref="H655">IF(B655&gt;0,'Direct Costs 2026'!$C$15+'Direct Costs 2026'!$C$14,"N/A")</f>
        <v>230000</v>
      </c>
      <c r="I655" s="480">
        <v>0</v>
      </c>
      <c r="J655" s="480">
        <v>0</v>
      </c>
      <c r="K655" s="480" cm="1">
        <f t="array" ref="K655">IF(B655&gt;0,'Direct Costs 2026'!$C$26,"N/A")</f>
        <v>20000</v>
      </c>
      <c r="L655" s="480" cm="1">
        <f t="array" ref="L655">IF(B655&gt;0,'Direct Costs 2026'!$C$23,"N/A")</f>
        <v>140000</v>
      </c>
      <c r="M655" s="480" cm="1">
        <f t="array" ref="M655">IF(B655&gt;0,'Direct Costs 2026'!$C$45*B655,"N/A")</f>
        <v>750000</v>
      </c>
      <c r="N655" t="str" s="482" cm="1">
        <f t="array" ref="N655">IF(B655&gt;0,_xlfn.IFERROR(VLOOKUP(C648,'Boats Data Sheet 2026'!$C$3:$I$57,7,0)*'Direct Costs 2026'!$C$36,"N/A"),"N/A")</f>
        <v>N/A</v>
      </c>
      <c r="O655" t="str" s="482" cm="1">
        <f t="array" ref="O655">IF(B655&gt;0,IF(OR(VLOOKUP(C648,'Boats Data Sheet 2026'!$C$3:$F$57,4,0)="Own",VLOOKUP(C648,'Boats Data Sheet 2026'!$C$3:$F$57,4,0)="Management"),('Direct Costs 2026'!$C$37+'Direct Costs 2026'!$C$39),"N/A"),"N/A")</f>
        <v>N/A</v>
      </c>
      <c r="P655" s="480" cm="1">
        <f t="array" ref="P655">_xlfn.IFERROR('Direct Costs 2026'!$C$27*C655,"N/A")</f>
        <v>400000</v>
      </c>
      <c r="Q655" s="480" cm="1">
        <f t="array" ref="Q655">_xlfn.IFERROR(C655+SUM(E655:P655),"N/A")</f>
        <v>22535500</v>
      </c>
      <c r="R655" s="483"/>
      <c r="S655" s="480" cm="1">
        <f t="array" ref="S655">IF(B655&gt;0,'Allocation OH and Target 2026'!$E$31,"N/A")</f>
        <v>3100447.15769812</v>
      </c>
      <c r="T655" s="480" cm="1">
        <f t="array" ref="T655">IF(B655&gt;0,VLOOKUP(C648,'Allocation OH and Target 2026'!$C$35:$S$87,16,0),"N/A")</f>
        <v>0</v>
      </c>
      <c r="U655" s="480" cm="1">
        <f t="array" ref="U655">_xlfn.IFERROR((S655+T655),"N/A")</f>
        <v>3100447.15769812</v>
      </c>
      <c r="V655" s="483"/>
      <c r="W655" s="480" cm="1">
        <f t="array" ref="W655">_xlfn.IFERROR(U655+Q655,"N/A")</f>
        <v>25635947.1576981</v>
      </c>
      <c r="X655" s="480" cm="1">
        <f t="array" ref="X655">_xlfn.IFERROR(W655*0.5%,"N/A")</f>
        <v>128179.735788491</v>
      </c>
      <c r="Y655" s="480" cm="1">
        <f t="array" ref="Y655">_xlfn.IFERROR(W655*25%,"N/A")</f>
        <v>6408986.78942453</v>
      </c>
      <c r="Z655" s="484" cm="1">
        <f t="array" ref="Z655">IF(B655&gt;0,SUM(W655:Y655),"N/A")</f>
        <v>32173113.6829111</v>
      </c>
      <c r="AA655" s="484">
        <v>0</v>
      </c>
      <c r="AB655" s="483"/>
      <c r="AC655" t="str" s="485" cm="1">
        <f t="array" ref="AC655">IF(B655=6,AVERAGE(Z651:Z656),"N/A")</f>
        <v>N/A</v>
      </c>
      <c r="AD655" s="483"/>
      <c r="AE655" s="480"/>
      <c r="AF655" s="480"/>
      <c r="AG655" s="480"/>
      <c r="AH655" s="480"/>
      <c r="AI655" s="480"/>
      <c r="AJ655" s="480"/>
      <c r="AK655" s="480"/>
      <c r="AL655" s="480"/>
      <c r="AM655" s="480"/>
      <c r="AN655" s="486"/>
    </row>
    <row r="656" ht="15" customHeight="1" hidden="1">
      <c r="A656" s="12"/>
      <c r="B656" s="479" cm="1">
        <f t="array" ref="B656">IF(B655=0,0,IF(B655&lt;VLOOKUP(C648,'Boats Data Sheet 2026'!$C$3:$H$57,6,0),B655+1,0))</f>
        <v>6</v>
      </c>
      <c r="C656" s="480" cm="1">
        <f t="array" ref="C656">IF(B656&gt;0,IF(VLOOKUP(C648,'Boats Data Sheet 2026'!$C$3:$J$57,8,0)="N/A",0,VLOOKUP(C648,'Boats Data Sheet 2026'!$C$3:$J$57,8,0)),"N/A")</f>
        <v>20000000</v>
      </c>
      <c r="D656" s="481" cm="1">
        <f t="array" ref="D656">IF(B656&gt;7,2,IF(B656=0,"N/A",1))</f>
        <v>1</v>
      </c>
      <c r="E656" s="480" cm="1">
        <f t="array" ref="E656">_xlfn.IFERROR(SUM('Direct Costs 2026'!$C$4:$C$5)*D656,"N/A")</f>
        <v>875500</v>
      </c>
      <c r="F656" s="480" cm="1">
        <f t="array" ref="F656">_xlfn.IFERROR('Direct Costs 2026'!$C$43*B656,"N/A")</f>
        <v>36000</v>
      </c>
      <c r="G656" s="480" cm="1">
        <f t="array" ref="G656">IF(B656&gt;0,'Direct Costs 2026'!$C$25,"N/A")</f>
        <v>90000</v>
      </c>
      <c r="H656" s="480" cm="1">
        <f t="array" ref="H656">IF(B656&gt;0,'Direct Costs 2026'!$C$15+'Direct Costs 2026'!$C$14,"N/A")</f>
        <v>230000</v>
      </c>
      <c r="I656" s="480">
        <v>0</v>
      </c>
      <c r="J656" s="480">
        <v>0</v>
      </c>
      <c r="K656" s="480" cm="1">
        <f t="array" ref="K656">IF(B656&gt;0,'Direct Costs 2026'!$C$26,"N/A")</f>
        <v>20000</v>
      </c>
      <c r="L656" s="480" cm="1">
        <f t="array" ref="L656">IF(B656&gt;0,'Direct Costs 2026'!$C$23,"N/A")</f>
        <v>140000</v>
      </c>
      <c r="M656" s="480" cm="1">
        <f t="array" ref="M656">IF(B656&gt;0,'Direct Costs 2026'!$C$45*B656,"N/A")</f>
        <v>900000</v>
      </c>
      <c r="N656" t="str" s="482" cm="1">
        <f t="array" ref="N656">IF(B656&gt;0,_xlfn.IFERROR(VLOOKUP(C648,'Boats Data Sheet 2026'!$C$3:$I$57,7,0)*'Direct Costs 2026'!$C$36,"N/A"),"N/A")</f>
        <v>N/A</v>
      </c>
      <c r="O656" t="str" s="482" cm="1">
        <f t="array" ref="O656">IF(B656&gt;0,IF(OR(VLOOKUP(C648,'Boats Data Sheet 2026'!$C$3:$F$57,4,0)="Own",VLOOKUP(C648,'Boats Data Sheet 2026'!$C$3:$F$57,4,0)="Management"),('Direct Costs 2026'!$C$37+'Direct Costs 2026'!$C$39),"N/A"),"N/A")</f>
        <v>N/A</v>
      </c>
      <c r="P656" s="480" cm="1">
        <f t="array" ref="P656">_xlfn.IFERROR('Direct Costs 2026'!$C$27*C656,"N/A")</f>
        <v>400000</v>
      </c>
      <c r="Q656" s="480" cm="1">
        <f t="array" ref="Q656">_xlfn.IFERROR(C656+SUM(E656:P656),"N/A")</f>
        <v>22691500</v>
      </c>
      <c r="R656" s="483"/>
      <c r="S656" s="480" cm="1">
        <f t="array" ref="S656">IF(B656&gt;0,'Allocation OH and Target 2026'!$E$31,"N/A")</f>
        <v>3100447.15769812</v>
      </c>
      <c r="T656" s="480" cm="1">
        <f t="array" ref="T656">IF(B656&gt;0,VLOOKUP(C648,'Allocation OH and Target 2026'!$C$35:$S$87,16,0),"N/A")</f>
        <v>0</v>
      </c>
      <c r="U656" s="480" cm="1">
        <f t="array" ref="U656">_xlfn.IFERROR((S656+T656),"N/A")</f>
        <v>3100447.15769812</v>
      </c>
      <c r="V656" s="483"/>
      <c r="W656" s="480" cm="1">
        <f t="array" ref="W656">_xlfn.IFERROR(U656+Q656,"N/A")</f>
        <v>25791947.1576981</v>
      </c>
      <c r="X656" s="480" cm="1">
        <f t="array" ref="X656">_xlfn.IFERROR(W656*0.5%,"N/A")</f>
        <v>128959.735788491</v>
      </c>
      <c r="Y656" s="480" cm="1">
        <f t="array" ref="Y656">_xlfn.IFERROR(W656*25%,"N/A")</f>
        <v>6447986.78942453</v>
      </c>
      <c r="Z656" s="484" cm="1">
        <f t="array" ref="Z656">IF(B656&gt;0,SUM(W656:Y656),"N/A")</f>
        <v>32368893.6829111</v>
      </c>
      <c r="AA656" s="484">
        <v>0</v>
      </c>
      <c r="AB656" s="483"/>
      <c r="AC656" s="484" cm="1">
        <f t="array" ref="AC656">IF(B656=6,AVERAGE(Z651:Z656),"N/A")</f>
        <v>31879443.6829111</v>
      </c>
      <c r="AD656" s="483"/>
      <c r="AE656" s="480"/>
      <c r="AF656" s="480"/>
      <c r="AG656" s="480"/>
      <c r="AH656" s="480"/>
      <c r="AI656" s="480"/>
      <c r="AJ656" s="480"/>
      <c r="AK656" s="480"/>
      <c r="AL656" s="480"/>
      <c r="AM656" s="480"/>
      <c r="AN656" s="486"/>
    </row>
    <row r="657" ht="15" customHeight="1" hidden="1">
      <c r="A657" s="12"/>
      <c r="B657" s="479" cm="1">
        <f t="array" ref="B657">IF(B656=0,0,IF(B656&lt;VLOOKUP(C648,'Boats Data Sheet 2026'!$C$3:$H$57,6,0),B656+1,0))</f>
        <v>7</v>
      </c>
      <c r="C657" s="480" cm="1">
        <f t="array" ref="C657">IF(B657&gt;0,IF(VLOOKUP(C648,'Boats Data Sheet 2026'!$C$3:$J$57,8,0)="N/A",0,VLOOKUP(C648,'Boats Data Sheet 2026'!$C$3:$J$57,8,0)),"N/A")</f>
        <v>20000000</v>
      </c>
      <c r="D657" s="481" cm="1">
        <f t="array" ref="D657">IF(B657&gt;7,2,IF(B657=0,"N/A",1))</f>
        <v>1</v>
      </c>
      <c r="E657" s="480" cm="1">
        <f t="array" ref="E657">_xlfn.IFERROR(SUM('Direct Costs 2026'!$C$4:$C$5)*D657,"N/A")</f>
        <v>875500</v>
      </c>
      <c r="F657" s="480" cm="1">
        <f t="array" ref="F657">_xlfn.IFERROR('Direct Costs 2026'!$C$43*B657,"N/A")</f>
        <v>42000</v>
      </c>
      <c r="G657" s="480" cm="1">
        <f t="array" ref="G657">IF(B657&gt;0,'Direct Costs 2026'!$C$25,"N/A")</f>
        <v>90000</v>
      </c>
      <c r="H657" s="480" cm="1">
        <f t="array" ref="H657">IF(B657&gt;0,'Direct Costs 2026'!$C$15+'Direct Costs 2026'!$C$14,"N/A")</f>
        <v>230000</v>
      </c>
      <c r="I657" s="480">
        <v>0</v>
      </c>
      <c r="J657" s="480">
        <v>0</v>
      </c>
      <c r="K657" s="480" cm="1">
        <f t="array" ref="K657">IF(B657&gt;0,'Direct Costs 2026'!$C$26,"N/A")</f>
        <v>20000</v>
      </c>
      <c r="L657" s="480" cm="1">
        <f t="array" ref="L657">IF(B657&gt;0,'Direct Costs 2026'!$C$23,"N/A")</f>
        <v>140000</v>
      </c>
      <c r="M657" s="480" cm="1">
        <f t="array" ref="M657">IF(B657&gt;0,'Direct Costs 2026'!$C$45*B657,"N/A")</f>
        <v>1050000</v>
      </c>
      <c r="N657" t="str" s="482" cm="1">
        <f t="array" ref="N657">IF(B657&gt;0,_xlfn.IFERROR(VLOOKUP(C648,'Boats Data Sheet 2026'!$C$3:$I$57,7,0)*'Direct Costs 2026'!$C$36,"N/A"),"N/A")</f>
        <v>N/A</v>
      </c>
      <c r="O657" t="str" s="482" cm="1">
        <f t="array" ref="O657">IF(B657&gt;0,IF(OR(VLOOKUP(C648,'Boats Data Sheet 2026'!$C$3:$F$57,4,0)="Own",VLOOKUP(C648,'Boats Data Sheet 2026'!$C$3:$F$57,4,0)="Management"),('Direct Costs 2026'!$C$37+'Direct Costs 2026'!$C$39),"N/A"),"N/A")</f>
        <v>N/A</v>
      </c>
      <c r="P657" s="480" cm="1">
        <f t="array" ref="P657">_xlfn.IFERROR('Direct Costs 2026'!$C$27*C657,"N/A")</f>
        <v>400000</v>
      </c>
      <c r="Q657" s="480" cm="1">
        <f t="array" ref="Q657">_xlfn.IFERROR(C657+SUM(E657:P657),"N/A")</f>
        <v>22847500</v>
      </c>
      <c r="R657" s="483"/>
      <c r="S657" s="480" cm="1">
        <f t="array" ref="S657">IF(B657&gt;0,'Allocation OH and Target 2026'!$E$31,"N/A")</f>
        <v>3100447.15769812</v>
      </c>
      <c r="T657" s="480" cm="1">
        <f t="array" ref="T657">IF(B657&gt;0,VLOOKUP(C648,'Allocation OH and Target 2026'!$C$35:$S$87,16,0),"N/A")</f>
        <v>0</v>
      </c>
      <c r="U657" s="480" cm="1">
        <f t="array" ref="U657">_xlfn.IFERROR((S657+T657),"N/A")</f>
        <v>3100447.15769812</v>
      </c>
      <c r="V657" s="483"/>
      <c r="W657" s="480" cm="1">
        <f t="array" ref="W657">_xlfn.IFERROR(U657+Q657,"N/A")</f>
        <v>25947947.1576981</v>
      </c>
      <c r="X657" s="480" cm="1">
        <f t="array" ref="X657">_xlfn.IFERROR(W657*0.5%,"N/A")</f>
        <v>129739.735788491</v>
      </c>
      <c r="Y657" s="480" cm="1">
        <f t="array" ref="Y657">_xlfn.IFERROR(W657*25%,"N/A")</f>
        <v>6486986.78942453</v>
      </c>
      <c r="Z657" s="484" cm="1">
        <f t="array" ref="Z657">IF(B657&gt;0,SUM(W657:Y657),"N/A")</f>
        <v>32564673.6829111</v>
      </c>
      <c r="AA657" s="484" cm="1">
        <f t="array" ref="AA657">_xlfn.IFERROR((Z657-AVERAGE(Z651:Z656)),"N/A")</f>
        <v>685230</v>
      </c>
      <c r="AB657" s="483"/>
      <c r="AC657" t="str" s="485" cm="1">
        <f t="array" ref="AC657">IF(B657=6,AVERAGE(Z651:Z656),"N/A")</f>
        <v>N/A</v>
      </c>
      <c r="AD657" s="483"/>
      <c r="AE657" s="480"/>
      <c r="AF657" s="480"/>
      <c r="AG657" s="480"/>
      <c r="AH657" s="480"/>
      <c r="AI657" s="480"/>
      <c r="AJ657" s="480"/>
      <c r="AK657" s="480"/>
      <c r="AL657" s="480"/>
      <c r="AM657" s="480"/>
      <c r="AN657" s="486"/>
    </row>
    <row r="658" ht="15" customHeight="1" hidden="1">
      <c r="A658" s="12"/>
      <c r="B658" s="479" cm="1">
        <f t="array" ref="B658">IF(B657=0,0,IF(B657&lt;VLOOKUP(C648,'Boats Data Sheet 2026'!$C$3:$H$57,6,0),B657+1,0))</f>
        <v>8</v>
      </c>
      <c r="C658" s="480" cm="1">
        <f t="array" ref="C658">IF(B658&gt;0,IF(VLOOKUP(C648,'Boats Data Sheet 2026'!$C$3:$J$57,8,0)="N/A",0,VLOOKUP(C648,'Boats Data Sheet 2026'!$C$3:$J$57,8,0)),"N/A")</f>
        <v>20000000</v>
      </c>
      <c r="D658" s="481" cm="1">
        <f t="array" ref="D658">IF(B658&gt;7,2,IF(B658=0,"N/A",1))</f>
        <v>2</v>
      </c>
      <c r="E658" s="480" cm="1">
        <f t="array" ref="E658">_xlfn.IFERROR(SUM('Direct Costs 2026'!$C$4:$C$5)*D658,"N/A")</f>
        <v>1751000</v>
      </c>
      <c r="F658" s="480" cm="1">
        <f t="array" ref="F658">_xlfn.IFERROR('Direct Costs 2026'!$C$43*B658,"N/A")</f>
        <v>48000</v>
      </c>
      <c r="G658" s="480" cm="1">
        <f t="array" ref="G658">IF(B658&gt;0,'Direct Costs 2026'!$C$25,"N/A")</f>
        <v>90000</v>
      </c>
      <c r="H658" s="480" cm="1">
        <f t="array" ref="H658">IF(B658&gt;0,'Direct Costs 2026'!$C$15+'Direct Costs 2026'!$C$14,"N/A")</f>
        <v>230000</v>
      </c>
      <c r="I658" s="480">
        <v>0</v>
      </c>
      <c r="J658" s="480">
        <v>0</v>
      </c>
      <c r="K658" s="480" cm="1">
        <f t="array" ref="K658">IF(B658&gt;0,'Direct Costs 2026'!$C$26,"N/A")</f>
        <v>20000</v>
      </c>
      <c r="L658" s="480" cm="1">
        <f t="array" ref="L658">IF(B658&gt;0,'Direct Costs 2026'!$C$23,"N/A")</f>
        <v>140000</v>
      </c>
      <c r="M658" s="480" cm="1">
        <f t="array" ref="M658">IF(B658&gt;0,'Direct Costs 2026'!$C$45*B658,"N/A")</f>
        <v>1200000</v>
      </c>
      <c r="N658" t="str" s="482" cm="1">
        <f t="array" ref="N658">IF(B658&gt;0,_xlfn.IFERROR(VLOOKUP(C648,'Boats Data Sheet 2026'!$C$3:$I$57,7,0)*'Direct Costs 2026'!$C$36,"N/A"),"N/A")</f>
        <v>N/A</v>
      </c>
      <c r="O658" t="str" s="482" cm="1">
        <f t="array" ref="O658">IF(B658&gt;0,IF(OR(VLOOKUP(C648,'Boats Data Sheet 2026'!$C$3:$F$57,4,0)="Own",VLOOKUP(C648,'Boats Data Sheet 2026'!$C$3:$F$57,4,0)="Management"),('Direct Costs 2026'!$C$37+'Direct Costs 2026'!$C$39),"N/A"),"N/A")</f>
        <v>N/A</v>
      </c>
      <c r="P658" s="480" cm="1">
        <f t="array" ref="P658">_xlfn.IFERROR('Direct Costs 2026'!$C$27*C658,"N/A")</f>
        <v>400000</v>
      </c>
      <c r="Q658" s="480" cm="1">
        <f t="array" ref="Q658">_xlfn.IFERROR(C658+SUM(E658:P658),"N/A")</f>
        <v>23879000</v>
      </c>
      <c r="R658" s="483"/>
      <c r="S658" s="480" cm="1">
        <f t="array" ref="S658">IF(B658&gt;0,'Allocation OH and Target 2026'!$E$31,"N/A")</f>
        <v>3100447.15769812</v>
      </c>
      <c r="T658" s="480" cm="1">
        <f t="array" ref="T658">IF(B658&gt;0,VLOOKUP(C648,'Allocation OH and Target 2026'!$C$35:$S$87,16,0),"N/A")</f>
        <v>0</v>
      </c>
      <c r="U658" s="480" cm="1">
        <f t="array" ref="U658">_xlfn.IFERROR((S658+T658),"N/A")</f>
        <v>3100447.15769812</v>
      </c>
      <c r="V658" s="483"/>
      <c r="W658" s="480" cm="1">
        <f t="array" ref="W658">_xlfn.IFERROR(U658+Q658,"N/A")</f>
        <v>26979447.1576981</v>
      </c>
      <c r="X658" s="480" cm="1">
        <f t="array" ref="X658">_xlfn.IFERROR(W658*0.5%,"N/A")</f>
        <v>134897.235788491</v>
      </c>
      <c r="Y658" s="480" cm="1">
        <f t="array" ref="Y658">_xlfn.IFERROR(W658*25%,"N/A")</f>
        <v>6744861.78942453</v>
      </c>
      <c r="Z658" s="484" cm="1">
        <f t="array" ref="Z658">IF(B658&gt;0,SUM(W658:Y658),"N/A")</f>
        <v>33859206.1829111</v>
      </c>
      <c r="AA658" s="484" cm="1">
        <f t="array" ref="AA658">_xlfn.IFERROR((Z658-AVERAGE(Z651:Z656)),"N/A")</f>
        <v>1979762.5</v>
      </c>
      <c r="AB658" s="483"/>
      <c r="AC658" t="str" s="485" cm="1">
        <f t="array" ref="AC658">IF(B658=6,AVERAGE(Z651:Z656),"N/A")</f>
        <v>N/A</v>
      </c>
      <c r="AD658" s="483"/>
      <c r="AE658" s="480"/>
      <c r="AF658" s="480"/>
      <c r="AG658" s="480"/>
      <c r="AH658" s="480"/>
      <c r="AI658" s="480"/>
      <c r="AJ658" s="480"/>
      <c r="AK658" s="480"/>
      <c r="AL658" s="480"/>
      <c r="AM658" s="480"/>
      <c r="AN658" s="486"/>
    </row>
    <row r="659" ht="15" customHeight="1" hidden="1">
      <c r="A659" s="12"/>
      <c r="B659" s="479" cm="1">
        <f t="array" ref="B659">IF(B658=0,0,IF(B658&lt;VLOOKUP(C648,'Boats Data Sheet 2026'!$C$3:$H$57,6,0),B658+1,0))</f>
        <v>9</v>
      </c>
      <c r="C659" s="480" cm="1">
        <f t="array" ref="C659">IF(B659&gt;0,IF(VLOOKUP(C648,'Boats Data Sheet 2026'!$C$3:$J$57,8,0)="N/A",0,VLOOKUP(C648,'Boats Data Sheet 2026'!$C$3:$J$57,8,0)),"N/A")</f>
        <v>20000000</v>
      </c>
      <c r="D659" s="490" cm="1">
        <f t="array" ref="D659">IF(B659&gt;7,2,IF(B659=0,"N/A",1))</f>
        <v>2</v>
      </c>
      <c r="E659" s="480" cm="1">
        <f t="array" ref="E659">_xlfn.IFERROR(SUM('Direct Costs 2026'!$C$4:$C$5)*D659,"N/A")</f>
        <v>1751000</v>
      </c>
      <c r="F659" s="480" cm="1">
        <f t="array" ref="F659">_xlfn.IFERROR('Direct Costs 2026'!$C$43*B659,"N/A")</f>
        <v>54000</v>
      </c>
      <c r="G659" s="480" cm="1">
        <f t="array" ref="G659">IF(B659&gt;0,'Direct Costs 2026'!$C$25,"N/A")</f>
        <v>90000</v>
      </c>
      <c r="H659" s="480" cm="1">
        <f t="array" ref="H659">IF(B659&gt;0,'Direct Costs 2026'!$C$15+'Direct Costs 2026'!$C$14,"N/A")</f>
        <v>230000</v>
      </c>
      <c r="I659" s="480">
        <v>0</v>
      </c>
      <c r="J659" s="480">
        <v>0</v>
      </c>
      <c r="K659" s="480" cm="1">
        <f t="array" ref="K659">IF(B659&gt;0,'Direct Costs 2026'!$C$26,"N/A")</f>
        <v>20000</v>
      </c>
      <c r="L659" s="480" cm="1">
        <f t="array" ref="L659">IF(B659&gt;0,'Direct Costs 2026'!$C$23,"N/A")</f>
        <v>140000</v>
      </c>
      <c r="M659" s="480" cm="1">
        <f t="array" ref="M659">IF(B659&gt;0,'Direct Costs 2026'!$C$45*B659,"N/A")</f>
        <v>1350000</v>
      </c>
      <c r="N659" t="str" s="482" cm="1">
        <f t="array" ref="N659">IF(B659&gt;0,_xlfn.IFERROR(VLOOKUP(C648,'Boats Data Sheet 2026'!$C$3:$I$57,7,0)*'Direct Costs 2026'!$C$36,"N/A"),"N/A")</f>
        <v>N/A</v>
      </c>
      <c r="O659" t="str" s="482" cm="1">
        <f t="array" ref="O659">IF(B659&gt;0,IF(OR(VLOOKUP(C648,'Boats Data Sheet 2026'!$C$3:$F$57,4,0)="Own",VLOOKUP(C648,'Boats Data Sheet 2026'!$C$3:$F$57,4,0)="Management"),('Direct Costs 2026'!$C$37+'Direct Costs 2026'!$C$39),"N/A"),"N/A")</f>
        <v>N/A</v>
      </c>
      <c r="P659" s="480" cm="1">
        <f t="array" ref="P659">_xlfn.IFERROR('Direct Costs 2026'!$C$27*C659,"N/A")</f>
        <v>400000</v>
      </c>
      <c r="Q659" s="480" cm="1">
        <f t="array" ref="Q659">_xlfn.IFERROR(C659+SUM(E659:P659),"N/A")</f>
        <v>24035000</v>
      </c>
      <c r="R659" s="483"/>
      <c r="S659" s="480" cm="1">
        <f t="array" ref="S659">IF(B659&gt;0,'Allocation OH and Target 2026'!$E$31,"N/A")</f>
        <v>3100447.15769812</v>
      </c>
      <c r="T659" s="480" cm="1">
        <f t="array" ref="T659">IF(B659&gt;0,VLOOKUP(C648,'Allocation OH and Target 2026'!$C$35:$S$87,16,0),"N/A")</f>
        <v>0</v>
      </c>
      <c r="U659" s="480" cm="1">
        <f t="array" ref="U659">_xlfn.IFERROR((S659+T659),"N/A")</f>
        <v>3100447.15769812</v>
      </c>
      <c r="V659" s="483"/>
      <c r="W659" s="480" cm="1">
        <f t="array" ref="W659">_xlfn.IFERROR(U659+Q659,"N/A")</f>
        <v>27135447.1576981</v>
      </c>
      <c r="X659" s="480" cm="1">
        <f t="array" ref="X659">_xlfn.IFERROR(W659*0.5%,"N/A")</f>
        <v>135677.235788491</v>
      </c>
      <c r="Y659" s="480" cm="1">
        <f t="array" ref="Y659">_xlfn.IFERROR(W659*25%,"N/A")</f>
        <v>6783861.78942453</v>
      </c>
      <c r="Z659" s="484" cm="1">
        <f t="array" ref="Z659">IF(B659&gt;0,SUM(W659:Y659),"N/A")</f>
        <v>34054986.1829111</v>
      </c>
      <c r="AA659" s="484" cm="1">
        <f t="array" ref="AA659">_xlfn.IFERROR((Z659-AVERAGE(Z651:Z656)),"N/A")</f>
        <v>2175542.5</v>
      </c>
      <c r="AB659" s="483"/>
      <c r="AC659" t="str" s="485" cm="1">
        <f t="array" ref="AC659">IF(B659=6,AVERAGE(Z651:Z656),"N/A")</f>
        <v>N/A</v>
      </c>
      <c r="AD659" s="483"/>
      <c r="AE659" s="480"/>
      <c r="AF659" s="480"/>
      <c r="AG659" s="480"/>
      <c r="AH659" s="480"/>
      <c r="AI659" s="480"/>
      <c r="AJ659" s="480"/>
      <c r="AK659" s="480"/>
      <c r="AL659" s="480"/>
      <c r="AM659" s="480"/>
      <c r="AN659" s="486"/>
    </row>
    <row r="660" ht="15" customHeight="1" hidden="1">
      <c r="A660" s="12"/>
      <c r="B660" s="479" cm="1">
        <f t="array" ref="B660">IF(B659=0,0,IF(B659&lt;VLOOKUP(C648,'Boats Data Sheet 2026'!$C$3:$H$57,6,0),B659+1,0))</f>
        <v>10</v>
      </c>
      <c r="C660" s="480" cm="1">
        <f t="array" ref="C660">IF(B660&gt;0,IF(VLOOKUP(C648,'Boats Data Sheet 2026'!$C$3:$J$57,8,0)="N/A",0,VLOOKUP(C648,'Boats Data Sheet 2026'!$C$3:$J$57,8,0)),"N/A")</f>
        <v>20000000</v>
      </c>
      <c r="D660" s="490" cm="1">
        <f t="array" ref="D660">IF(B660&gt;7,2,IF(B660=0,"N/A",1))</f>
        <v>2</v>
      </c>
      <c r="E660" s="480" cm="1">
        <f t="array" ref="E660">_xlfn.IFERROR(SUM('Direct Costs 2026'!$C$4:$C$5)*D660,"N/A")</f>
        <v>1751000</v>
      </c>
      <c r="F660" s="480" cm="1">
        <f t="array" ref="F660">_xlfn.IFERROR('Direct Costs 2026'!$C$43*B660,"N/A")</f>
        <v>60000</v>
      </c>
      <c r="G660" s="480" cm="1">
        <f t="array" ref="G660">IF(B660&gt;0,'Direct Costs 2026'!$C$25,"N/A")</f>
        <v>90000</v>
      </c>
      <c r="H660" s="480" cm="1">
        <f t="array" ref="H660">IF(B660&gt;0,'Direct Costs 2026'!$C$15+'Direct Costs 2026'!$C$14,"N/A")</f>
        <v>230000</v>
      </c>
      <c r="I660" s="480">
        <v>0</v>
      </c>
      <c r="J660" s="480">
        <v>0</v>
      </c>
      <c r="K660" s="480" cm="1">
        <f t="array" ref="K660">IF(B660&gt;0,'Direct Costs 2026'!$C$26,"N/A")</f>
        <v>20000</v>
      </c>
      <c r="L660" s="480" cm="1">
        <f t="array" ref="L660">IF(B660&gt;0,'Direct Costs 2026'!$C$23,"N/A")</f>
        <v>140000</v>
      </c>
      <c r="M660" s="480" cm="1">
        <f t="array" ref="M660">IF(B660&gt;0,'Direct Costs 2026'!$C$45*B660,"N/A")</f>
        <v>1500000</v>
      </c>
      <c r="N660" t="str" s="482" cm="1">
        <f t="array" ref="N660">IF(B660&gt;0,_xlfn.IFERROR(VLOOKUP(C648,'Boats Data Sheet 2026'!$C$3:$I$57,7,0)*'Direct Costs 2026'!$C$36,"N/A"),"N/A")</f>
        <v>N/A</v>
      </c>
      <c r="O660" t="str" s="482" cm="1">
        <f t="array" ref="O660">IF(B660&gt;0,IF(OR(VLOOKUP(C648,'Boats Data Sheet 2026'!$C$3:$F$57,4,0)="Own",VLOOKUP(C648,'Boats Data Sheet 2026'!$C$3:$F$57,4,0)="Management"),('Direct Costs 2026'!$C$37+'Direct Costs 2026'!$C$39),"N/A"),"N/A")</f>
        <v>N/A</v>
      </c>
      <c r="P660" s="480" cm="1">
        <f t="array" ref="P660">_xlfn.IFERROR('Direct Costs 2026'!$C$27*C660,"N/A")</f>
        <v>400000</v>
      </c>
      <c r="Q660" s="480" cm="1">
        <f t="array" ref="Q660">_xlfn.IFERROR(C660+SUM(E660:P660),"N/A")</f>
        <v>24191000</v>
      </c>
      <c r="R660" s="483"/>
      <c r="S660" s="480" cm="1">
        <f t="array" ref="S660">IF(B660&gt;0,'Allocation OH and Target 2026'!$E$31,"N/A")</f>
        <v>3100447.15769812</v>
      </c>
      <c r="T660" s="480" cm="1">
        <f t="array" ref="T660">IF(B660&gt;0,VLOOKUP(C648,'Allocation OH and Target 2026'!$C$35:$S$87,16,0),"N/A")</f>
        <v>0</v>
      </c>
      <c r="U660" s="480" cm="1">
        <f t="array" ref="U660">_xlfn.IFERROR((S660+T660),"N/A")</f>
        <v>3100447.15769812</v>
      </c>
      <c r="V660" s="483"/>
      <c r="W660" s="480" cm="1">
        <f t="array" ref="W660">_xlfn.IFERROR(U660+Q660,"N/A")</f>
        <v>27291447.1576981</v>
      </c>
      <c r="X660" s="480" cm="1">
        <f t="array" ref="X660">_xlfn.IFERROR(W660*0.5%,"N/A")</f>
        <v>136457.235788491</v>
      </c>
      <c r="Y660" s="480" cm="1">
        <f t="array" ref="Y660">_xlfn.IFERROR(W660*25%,"N/A")</f>
        <v>6822861.78942453</v>
      </c>
      <c r="Z660" s="484" cm="1">
        <f t="array" ref="Z660">IF(B660&gt;0,SUM(W660:Y660),"N/A")</f>
        <v>34250766.1829111</v>
      </c>
      <c r="AA660" s="484" cm="1">
        <f t="array" ref="AA660">_xlfn.IFERROR((Z660-AVERAGE(Z651:Z656)),"N/A")</f>
        <v>2371322.5</v>
      </c>
      <c r="AB660" s="483"/>
      <c r="AC660" t="str" s="485" cm="1">
        <f t="array" ref="AC660">IF(B660=6,AVERAGE(Z651:Z656),"N/A")</f>
        <v>N/A</v>
      </c>
      <c r="AD660" s="483"/>
      <c r="AE660" s="480"/>
      <c r="AF660" s="480"/>
      <c r="AG660" s="480"/>
      <c r="AH660" s="480"/>
      <c r="AI660" s="480"/>
      <c r="AJ660" s="480"/>
      <c r="AK660" s="480"/>
      <c r="AL660" s="480"/>
      <c r="AM660" s="480"/>
      <c r="AN660" s="486"/>
    </row>
    <row r="661" ht="15" customHeight="1" hidden="1">
      <c r="A661" s="12"/>
      <c r="B661" s="479" cm="1">
        <f t="array" ref="B661">IF(B660=0,0,IF(B660&lt;VLOOKUP(C648,'Boats Data Sheet 2026'!$C$3:$H$57,6,0),B660+1,0))</f>
        <v>11</v>
      </c>
      <c r="C661" s="480" cm="1">
        <f t="array" ref="C661">IF(B661&gt;0,IF(VLOOKUP(C648,'Boats Data Sheet 2026'!$C$3:$J$57,8,0)="N/A",0,VLOOKUP(C648,'Boats Data Sheet 2026'!$C$3:$J$57,8,0)),"N/A")</f>
        <v>20000000</v>
      </c>
      <c r="D661" s="490" cm="1">
        <f t="array" ref="D661">IF(B661&gt;7,2,IF(B661=0,"N/A",1))</f>
        <v>2</v>
      </c>
      <c r="E661" s="480" cm="1">
        <f t="array" ref="E661">_xlfn.IFERROR(SUM('Direct Costs 2026'!$C$4:$C$5)*D661,"N/A")</f>
        <v>1751000</v>
      </c>
      <c r="F661" s="480" cm="1">
        <f t="array" ref="F661">_xlfn.IFERROR('Direct Costs 2026'!$C$43*B661,"N/A")</f>
        <v>66000</v>
      </c>
      <c r="G661" s="480" cm="1">
        <f t="array" ref="G661">IF(B661&gt;0,'Direct Costs 2026'!$C$25,"N/A")</f>
        <v>90000</v>
      </c>
      <c r="H661" s="480" cm="1">
        <f t="array" ref="H661">IF(B661&gt;0,'Direct Costs 2026'!$C$15+'Direct Costs 2026'!$C$14,"N/A")</f>
        <v>230000</v>
      </c>
      <c r="I661" s="480">
        <v>0</v>
      </c>
      <c r="J661" s="480">
        <v>0</v>
      </c>
      <c r="K661" s="480" cm="1">
        <f t="array" ref="K661">IF(B661&gt;0,'Direct Costs 2026'!$C$26,"N/A")</f>
        <v>20000</v>
      </c>
      <c r="L661" s="480" cm="1">
        <f t="array" ref="L661">IF(B661&gt;0,'Direct Costs 2026'!$C$23,"N/A")</f>
        <v>140000</v>
      </c>
      <c r="M661" s="480" cm="1">
        <f t="array" ref="M661">IF(B661&gt;0,'Direct Costs 2026'!$C$45*B661,"N/A")</f>
        <v>1650000</v>
      </c>
      <c r="N661" t="str" s="482" cm="1">
        <f t="array" ref="N661">IF(B661&gt;0,_xlfn.IFERROR(VLOOKUP(C648,'Boats Data Sheet 2026'!$C$3:$I$57,7,0)*'Direct Costs 2026'!$C$36,"N/A"),"N/A")</f>
        <v>N/A</v>
      </c>
      <c r="O661" t="str" s="482" cm="1">
        <f t="array" ref="O661">IF(B661&gt;0,IF(OR(VLOOKUP(C648,'Boats Data Sheet 2026'!$C$3:$F$57,4,0)="Own",VLOOKUP(C648,'Boats Data Sheet 2026'!$C$3:$F$57,4,0)="Management"),('Direct Costs 2026'!$C$37+'Direct Costs 2026'!$C$39),"N/A"),"N/A")</f>
        <v>N/A</v>
      </c>
      <c r="P661" s="480" cm="1">
        <f t="array" ref="P661">_xlfn.IFERROR('Direct Costs 2026'!$C$27*C661,"N/A")</f>
        <v>400000</v>
      </c>
      <c r="Q661" s="480" cm="1">
        <f t="array" ref="Q661">_xlfn.IFERROR(C661+SUM(E661:P661),"N/A")</f>
        <v>24347000</v>
      </c>
      <c r="R661" s="483"/>
      <c r="S661" s="480" cm="1">
        <f t="array" ref="S661">IF(B661&gt;0,'Allocation OH and Target 2026'!$E$31,"N/A")</f>
        <v>3100447.15769812</v>
      </c>
      <c r="T661" s="480" cm="1">
        <f t="array" ref="T661">IF(B661&gt;0,VLOOKUP(C648,'Allocation OH and Target 2026'!$C$35:$S$87,16,0),"N/A")</f>
        <v>0</v>
      </c>
      <c r="U661" s="480" cm="1">
        <f t="array" ref="U661">_xlfn.IFERROR((S661+T661),"N/A")</f>
        <v>3100447.15769812</v>
      </c>
      <c r="V661" s="483"/>
      <c r="W661" s="480" cm="1">
        <f t="array" ref="W661">_xlfn.IFERROR(U661+Q661,"N/A")</f>
        <v>27447447.1576981</v>
      </c>
      <c r="X661" s="480" cm="1">
        <f t="array" ref="X661">_xlfn.IFERROR(W661*0.5%,"N/A")</f>
        <v>137237.235788491</v>
      </c>
      <c r="Y661" s="480" cm="1">
        <f t="array" ref="Y661">_xlfn.IFERROR(W661*25%,"N/A")</f>
        <v>6861861.78942453</v>
      </c>
      <c r="Z661" s="484" cm="1">
        <f t="array" ref="Z661">IF(B661&gt;0,SUM(W661:Y661),"N/A")</f>
        <v>34446546.1829111</v>
      </c>
      <c r="AA661" s="484" cm="1">
        <f t="array" ref="AA661">_xlfn.IFERROR((Z661-AVERAGE(Z651:Z656)),"N/A")</f>
        <v>2567102.5</v>
      </c>
      <c r="AB661" s="483"/>
      <c r="AC661" t="str" s="485" cm="1">
        <f t="array" ref="AC661">IF(B661=6,AVERAGE(Z651:Z656),"N/A")</f>
        <v>N/A</v>
      </c>
      <c r="AD661" s="483"/>
      <c r="AE661" s="480"/>
      <c r="AF661" s="480"/>
      <c r="AG661" s="480"/>
      <c r="AH661" s="480"/>
      <c r="AI661" s="480"/>
      <c r="AJ661" s="480"/>
      <c r="AK661" s="480"/>
      <c r="AL661" s="480"/>
      <c r="AM661" s="480"/>
      <c r="AN661" s="486"/>
    </row>
    <row r="662" ht="15" customHeight="1" hidden="1">
      <c r="A662" s="12"/>
      <c r="B662" s="479" cm="1">
        <f t="array" ref="B662">IF(B661=0,0,IF(B661&lt;VLOOKUP(C648,'Boats Data Sheet 2026'!$C$3:$H$57,6,0),B661+1,0))</f>
        <v>12</v>
      </c>
      <c r="C662" s="480" cm="1">
        <f t="array" ref="C662">IF(B662&gt;0,IF(VLOOKUP(C648,'Boats Data Sheet 2026'!$C$3:$J$57,8,0)="N/A",0,VLOOKUP(C648,'Boats Data Sheet 2026'!$C$3:$J$57,8,0)),"N/A")</f>
        <v>20000000</v>
      </c>
      <c r="D662" s="490" cm="1">
        <f t="array" ref="D662">IF(B662&gt;7,2,IF(B662=0,"N/A",1))</f>
        <v>2</v>
      </c>
      <c r="E662" s="480" cm="1">
        <f t="array" ref="E662">_xlfn.IFERROR(SUM('Direct Costs 2026'!$C$4:$C$5)*D662,"N/A")</f>
        <v>1751000</v>
      </c>
      <c r="F662" s="480" cm="1">
        <f t="array" ref="F662">_xlfn.IFERROR('Direct Costs 2026'!$C$43*B662,"N/A")</f>
        <v>72000</v>
      </c>
      <c r="G662" s="480" cm="1">
        <f t="array" ref="G662">IF(B662&gt;0,'Direct Costs 2026'!$C$25,"N/A")</f>
        <v>90000</v>
      </c>
      <c r="H662" s="480" cm="1">
        <f t="array" ref="H662">IF(B662&gt;0,'Direct Costs 2026'!$C$15+'Direct Costs 2026'!$C$14,"N/A")</f>
        <v>230000</v>
      </c>
      <c r="I662" s="480">
        <v>0</v>
      </c>
      <c r="J662" s="480">
        <v>0</v>
      </c>
      <c r="K662" s="480" cm="1">
        <f t="array" ref="K662">IF(B662&gt;0,'Direct Costs 2026'!$C$26,"N/A")</f>
        <v>20000</v>
      </c>
      <c r="L662" s="480" cm="1">
        <f t="array" ref="L662">IF(B662&gt;0,'Direct Costs 2026'!$C$23,"N/A")</f>
        <v>140000</v>
      </c>
      <c r="M662" s="480" cm="1">
        <f t="array" ref="M662">IF(B662&gt;0,'Direct Costs 2026'!$C$45*B662,"N/A")</f>
        <v>1800000</v>
      </c>
      <c r="N662" t="str" s="482" cm="1">
        <f t="array" ref="N662">IF(B662&gt;0,_xlfn.IFERROR(VLOOKUP(C648,'Boats Data Sheet 2026'!$C$3:$I$57,7,0)*'Direct Costs 2026'!$C$36,"N/A"),"N/A")</f>
        <v>N/A</v>
      </c>
      <c r="O662" t="str" s="482" cm="1">
        <f t="array" ref="O662">IF(B662&gt;0,IF(OR(VLOOKUP(C648,'Boats Data Sheet 2026'!$C$3:$F$57,4,0)="Own",VLOOKUP(C648,'Boats Data Sheet 2026'!$C$3:$F$57,4,0)="Management"),('Direct Costs 2026'!$C$37+'Direct Costs 2026'!$C$39),"N/A"),"N/A")</f>
        <v>N/A</v>
      </c>
      <c r="P662" s="480" cm="1">
        <f t="array" ref="P662">_xlfn.IFERROR('Direct Costs 2026'!$C$27*C662,"N/A")</f>
        <v>400000</v>
      </c>
      <c r="Q662" s="480" cm="1">
        <f t="array" ref="Q662">_xlfn.IFERROR(C662+SUM(E662:P662),"N/A")</f>
        <v>24503000</v>
      </c>
      <c r="R662" s="483"/>
      <c r="S662" s="480" cm="1">
        <f t="array" ref="S662">IF(B662&gt;0,'Allocation OH and Target 2026'!$E$31,"N/A")</f>
        <v>3100447.15769812</v>
      </c>
      <c r="T662" s="480" cm="1">
        <f t="array" ref="T662">IF(B662&gt;0,VLOOKUP(C648,'Allocation OH and Target 2026'!$C$35:$S$87,16,0),"N/A")</f>
        <v>0</v>
      </c>
      <c r="U662" s="480" cm="1">
        <f t="array" ref="U662">_xlfn.IFERROR((S662+T662),"N/A")</f>
        <v>3100447.15769812</v>
      </c>
      <c r="V662" s="483"/>
      <c r="W662" s="480" cm="1">
        <f t="array" ref="W662">_xlfn.IFERROR(U662+Q662,"N/A")</f>
        <v>27603447.1576981</v>
      </c>
      <c r="X662" s="480" cm="1">
        <f t="array" ref="X662">_xlfn.IFERROR(W662*0.5%,"N/A")</f>
        <v>138017.235788491</v>
      </c>
      <c r="Y662" s="480" cm="1">
        <f t="array" ref="Y662">_xlfn.IFERROR(W662*25%,"N/A")</f>
        <v>6900861.78942453</v>
      </c>
      <c r="Z662" s="484" cm="1">
        <f t="array" ref="Z662">IF(B662&gt;0,SUM(W662:Y662),"N/A")</f>
        <v>34642326.1829111</v>
      </c>
      <c r="AA662" s="484" cm="1">
        <f t="array" ref="AA662">_xlfn.IFERROR((Z662-AVERAGE(Z651:Z656)),"N/A")</f>
        <v>2762882.5</v>
      </c>
      <c r="AB662" s="483"/>
      <c r="AC662" t="str" s="485" cm="1">
        <f t="array" ref="AC662">IF(B662=6,AVERAGE(Z651:Z656),"N/A")</f>
        <v>N/A</v>
      </c>
      <c r="AD662" s="483"/>
      <c r="AE662" s="480"/>
      <c r="AF662" s="480"/>
      <c r="AG662" s="480"/>
      <c r="AH662" s="480"/>
      <c r="AI662" s="480"/>
      <c r="AJ662" s="480"/>
      <c r="AK662" s="480"/>
      <c r="AL662" s="480"/>
      <c r="AM662" s="480"/>
      <c r="AN662" s="486"/>
    </row>
    <row r="663" ht="15" customHeight="1" hidden="1">
      <c r="A663" s="12"/>
      <c r="B663" s="479" cm="1">
        <f t="array" ref="B663">IF(B662=0,0,IF(B662&lt;VLOOKUP(C648,'Boats Data Sheet 2026'!$C$3:$H$57,6,0),B662+1,0))</f>
        <v>13</v>
      </c>
      <c r="C663" s="480" cm="1">
        <f t="array" ref="C663">IF(B663&gt;0,IF(VLOOKUP(C648,'Boats Data Sheet 2026'!$C$3:$J$57,8,0)="N/A",0,VLOOKUP(C648,'Boats Data Sheet 2026'!$C$3:$J$57,8,0)),"N/A")</f>
        <v>20000000</v>
      </c>
      <c r="D663" s="490" cm="1">
        <f t="array" ref="D663">IF(B663&gt;7,2,IF(B663=0,"N/A",1))</f>
        <v>2</v>
      </c>
      <c r="E663" s="480" cm="1">
        <f t="array" ref="E663">_xlfn.IFERROR(SUM('Direct Costs 2026'!$C$4:$C$5)*D663,"N/A")</f>
        <v>1751000</v>
      </c>
      <c r="F663" s="480" cm="1">
        <f t="array" ref="F663">_xlfn.IFERROR('Direct Costs 2026'!$C$43*B663,"N/A")</f>
        <v>78000</v>
      </c>
      <c r="G663" s="480" cm="1">
        <f t="array" ref="G663">IF(B663&gt;0,'Direct Costs 2026'!$C$25,"N/A")</f>
        <v>90000</v>
      </c>
      <c r="H663" s="480" cm="1">
        <f t="array" ref="H663">IF(B663&gt;0,'Direct Costs 2026'!$C$15+'Direct Costs 2026'!$C$14,"N/A")</f>
        <v>230000</v>
      </c>
      <c r="I663" s="480">
        <v>0</v>
      </c>
      <c r="J663" s="480">
        <v>0</v>
      </c>
      <c r="K663" s="480" cm="1">
        <f t="array" ref="K663">IF(B663&gt;0,'Direct Costs 2026'!$C$26,"N/A")</f>
        <v>20000</v>
      </c>
      <c r="L663" s="480" cm="1">
        <f t="array" ref="L663">IF(B663&gt;0,'Direct Costs 2026'!$C$23,"N/A")</f>
        <v>140000</v>
      </c>
      <c r="M663" s="480" cm="1">
        <f t="array" ref="M663">IF(B663&gt;0,'Direct Costs 2026'!$C$45*B663,"N/A")</f>
        <v>1950000</v>
      </c>
      <c r="N663" t="str" s="482" cm="1">
        <f t="array" ref="N663">IF(B663&gt;0,_xlfn.IFERROR(VLOOKUP(C648,'Boats Data Sheet 2026'!$C$3:$I$57,7,0)*'Direct Costs 2026'!$C$36,"N/A"),"N/A")</f>
        <v>N/A</v>
      </c>
      <c r="O663" t="str" s="482" cm="1">
        <f t="array" ref="O663">IF(B663&gt;0,IF(OR(VLOOKUP(C648,'Boats Data Sheet 2026'!$C$3:$F$57,4,0)="Own",VLOOKUP(C648,'Boats Data Sheet 2026'!$C$3:$F$57,4,0)="Management"),('Direct Costs 2026'!$C$37+'Direct Costs 2026'!$C$39),"N/A"),"N/A")</f>
        <v>N/A</v>
      </c>
      <c r="P663" s="480" cm="1">
        <f t="array" ref="P663">_xlfn.IFERROR('Direct Costs 2026'!$C$27*C663,"N/A")</f>
        <v>400000</v>
      </c>
      <c r="Q663" s="480" cm="1">
        <f t="array" ref="Q663">_xlfn.IFERROR(C663+SUM(E663:P663),"N/A")</f>
        <v>24659000</v>
      </c>
      <c r="R663" s="483"/>
      <c r="S663" s="480" cm="1">
        <f t="array" ref="S663">IF(B663&gt;0,'Allocation OH and Target 2026'!$E$31,"N/A")</f>
        <v>3100447.15769812</v>
      </c>
      <c r="T663" s="480" cm="1">
        <f t="array" ref="T663">IF(B663&gt;0,VLOOKUP(C648,'Allocation OH and Target 2026'!$C$35:$S$87,16,0),"N/A")</f>
        <v>0</v>
      </c>
      <c r="U663" s="480" cm="1">
        <f t="array" ref="U663">_xlfn.IFERROR((S663+T663),"N/A")</f>
        <v>3100447.15769812</v>
      </c>
      <c r="V663" s="483"/>
      <c r="W663" s="480" cm="1">
        <f t="array" ref="W663">_xlfn.IFERROR(U663+Q663,"N/A")</f>
        <v>27759447.1576981</v>
      </c>
      <c r="X663" s="480" cm="1">
        <f t="array" ref="X663">_xlfn.IFERROR(W663*0.5%,"N/A")</f>
        <v>138797.235788491</v>
      </c>
      <c r="Y663" s="480" cm="1">
        <f t="array" ref="Y663">_xlfn.IFERROR(W663*25%,"N/A")</f>
        <v>6939861.78942453</v>
      </c>
      <c r="Z663" s="484" cm="1">
        <f t="array" ref="Z663">IF(B663&gt;0,SUM(W663:Y663),"N/A")</f>
        <v>34838106.1829111</v>
      </c>
      <c r="AA663" s="484" cm="1">
        <f t="array" ref="AA663">_xlfn.IFERROR((Z663-AVERAGE(Z651:Z656)),"N/A")</f>
        <v>2958662.5</v>
      </c>
      <c r="AB663" s="483"/>
      <c r="AC663" t="str" s="485" cm="1">
        <f t="array" ref="AC663">IF(B663=6,AVERAGE(Z651:Z656),"N/A")</f>
        <v>N/A</v>
      </c>
      <c r="AD663" s="483"/>
      <c r="AE663" s="480"/>
      <c r="AF663" s="480"/>
      <c r="AG663" s="480"/>
      <c r="AH663" s="480"/>
      <c r="AI663" s="480"/>
      <c r="AJ663" s="480"/>
      <c r="AK663" s="480"/>
      <c r="AL663" s="480"/>
      <c r="AM663" s="480"/>
      <c r="AN663" s="486"/>
    </row>
    <row r="664" ht="15" customHeight="1" hidden="1">
      <c r="A664" s="12"/>
      <c r="B664" s="479" cm="1">
        <f t="array" ref="B664">IF(B663=0,0,IF(B663&lt;VLOOKUP(C648,'Boats Data Sheet 2026'!$C$3:$H$57,6,0),B663+1,0))</f>
        <v>14</v>
      </c>
      <c r="C664" s="480" cm="1">
        <f t="array" ref="C664">IF(B664&gt;0,IF(VLOOKUP(C648,'Boats Data Sheet 2026'!$C$3:$J$57,8,0)="N/A",0,VLOOKUP(C648,'Boats Data Sheet 2026'!$C$3:$J$57,8,0)),"N/A")</f>
        <v>20000000</v>
      </c>
      <c r="D664" s="490" cm="1">
        <f t="array" ref="D664">IF(B664&gt;7,2,IF(B664=0,"N/A",1))</f>
        <v>2</v>
      </c>
      <c r="E664" s="480" cm="1">
        <f t="array" ref="E664">_xlfn.IFERROR(SUM('Direct Costs 2026'!$C$4:$C$5)*D664,"N/A")</f>
        <v>1751000</v>
      </c>
      <c r="F664" s="480" cm="1">
        <f t="array" ref="F664">_xlfn.IFERROR('Direct Costs 2026'!$C$43*B664,"N/A")</f>
        <v>84000</v>
      </c>
      <c r="G664" s="480" cm="1">
        <f t="array" ref="G664">IF(B664&gt;0,'Direct Costs 2026'!$C$25,"N/A")</f>
        <v>90000</v>
      </c>
      <c r="H664" s="480" cm="1">
        <f t="array" ref="H664">IF(B664&gt;0,'Direct Costs 2026'!$C$15+'Direct Costs 2026'!$C$14,"N/A")</f>
        <v>230000</v>
      </c>
      <c r="I664" s="480">
        <v>0</v>
      </c>
      <c r="J664" s="480">
        <v>0</v>
      </c>
      <c r="K664" s="480" cm="1">
        <f t="array" ref="K664">IF(B664&gt;0,'Direct Costs 2026'!$C$26,"N/A")</f>
        <v>20000</v>
      </c>
      <c r="L664" s="480" cm="1">
        <f t="array" ref="L664">IF(B664&gt;0,'Direct Costs 2026'!$C$23,"N/A")</f>
        <v>140000</v>
      </c>
      <c r="M664" s="480" cm="1">
        <f t="array" ref="M664">IF(B664&gt;0,'Direct Costs 2026'!$C$45*B664,"N/A")</f>
        <v>2100000</v>
      </c>
      <c r="N664" t="str" s="482" cm="1">
        <f t="array" ref="N664">IF(B664&gt;0,_xlfn.IFERROR(VLOOKUP(C648,'Boats Data Sheet 2026'!$C$3:$I$57,7,0)*'Direct Costs 2026'!$C$36,"N/A"),"N/A")</f>
        <v>N/A</v>
      </c>
      <c r="O664" t="str" s="482" cm="1">
        <f t="array" ref="O664">IF(B664&gt;0,IF(OR(VLOOKUP(C648,'Boats Data Sheet 2026'!$C$3:$F$57,4,0)="Own",VLOOKUP(C648,'Boats Data Sheet 2026'!$C$3:$F$57,4,0)="Management"),('Direct Costs 2026'!$C$37+'Direct Costs 2026'!$C$39),"N/A"),"N/A")</f>
        <v>N/A</v>
      </c>
      <c r="P664" s="480" cm="1">
        <f t="array" ref="P664">_xlfn.IFERROR('Direct Costs 2026'!$C$27*C664,"N/A")</f>
        <v>400000</v>
      </c>
      <c r="Q664" s="480" cm="1">
        <f t="array" ref="Q664">_xlfn.IFERROR(C664+SUM(E664:P664),"N/A")</f>
        <v>24815000</v>
      </c>
      <c r="R664" s="483"/>
      <c r="S664" s="480" cm="1">
        <f t="array" ref="S664">IF(B664&gt;0,'Allocation OH and Target 2026'!$E$31,"N/A")</f>
        <v>3100447.15769812</v>
      </c>
      <c r="T664" s="480" cm="1">
        <f t="array" ref="T664">IF(B664&gt;0,VLOOKUP(C648,'Allocation OH and Target 2026'!$C$35:$S$87,16,0),"N/A")</f>
        <v>0</v>
      </c>
      <c r="U664" s="480" cm="1">
        <f t="array" ref="U664">_xlfn.IFERROR((S664+T664),"N/A")</f>
        <v>3100447.15769812</v>
      </c>
      <c r="V664" s="483"/>
      <c r="W664" s="480" cm="1">
        <f t="array" ref="W664">_xlfn.IFERROR(U664+Q664,"N/A")</f>
        <v>27915447.1576981</v>
      </c>
      <c r="X664" s="480" cm="1">
        <f t="array" ref="X664">_xlfn.IFERROR(W664*0.5%,"N/A")</f>
        <v>139577.235788491</v>
      </c>
      <c r="Y664" s="480" cm="1">
        <f t="array" ref="Y664">_xlfn.IFERROR(W664*25%,"N/A")</f>
        <v>6978861.78942453</v>
      </c>
      <c r="Z664" s="484" cm="1">
        <f t="array" ref="Z664">IF(B664&gt;0,SUM(W664:Y664),"N/A")</f>
        <v>35033886.1829111</v>
      </c>
      <c r="AA664" s="484" cm="1">
        <f t="array" ref="AA664">_xlfn.IFERROR((Z664-AVERAGE(Z651:Z656)),"N/A")</f>
        <v>3154442.5</v>
      </c>
      <c r="AB664" s="483"/>
      <c r="AC664" t="str" s="485" cm="1">
        <f t="array" ref="AC664">IF(B664=6,AVERAGE(Z651:Z656),"N/A")</f>
        <v>N/A</v>
      </c>
      <c r="AD664" s="483"/>
      <c r="AE664" s="480"/>
      <c r="AF664" s="480"/>
      <c r="AG664" s="480"/>
      <c r="AH664" s="480"/>
      <c r="AI664" s="480"/>
      <c r="AJ664" s="480"/>
      <c r="AK664" s="480"/>
      <c r="AL664" s="480"/>
      <c r="AM664" s="480"/>
      <c r="AN664" s="486"/>
    </row>
    <row r="665" ht="15" customHeight="1" hidden="1">
      <c r="A665" s="12"/>
      <c r="B665" s="479" cm="1">
        <f t="array" ref="B665">IF(B664=0,0,IF(B664&lt;VLOOKUP(C648,'Boats Data Sheet 2026'!$C$3:$H$57,6,0),B664+1,0))</f>
        <v>15</v>
      </c>
      <c r="C665" s="480" cm="1">
        <f t="array" ref="C665">IF(B665&gt;0,IF(VLOOKUP(C648,'Boats Data Sheet 2026'!$C$3:$J$57,8,0)="N/A",0,VLOOKUP(C648,'Boats Data Sheet 2026'!$C$3:$J$57,8,0)),"N/A")</f>
        <v>20000000</v>
      </c>
      <c r="D665" s="490" cm="1">
        <f t="array" ref="D665">IF(B665&gt;7,2,IF(B665=0,"N/A",1))</f>
        <v>2</v>
      </c>
      <c r="E665" s="480" cm="1">
        <f t="array" ref="E665">_xlfn.IFERROR(SUM('Direct Costs 2026'!$C$4:$C$5)*D665,"N/A")</f>
        <v>1751000</v>
      </c>
      <c r="F665" s="480" cm="1">
        <f t="array" ref="F665">_xlfn.IFERROR('Direct Costs 2026'!$C$43*B665,"N/A")</f>
        <v>90000</v>
      </c>
      <c r="G665" s="480" cm="1">
        <f t="array" ref="G665">IF(B665&gt;0,'Direct Costs 2026'!$C$25,"N/A")</f>
        <v>90000</v>
      </c>
      <c r="H665" s="480" cm="1">
        <f t="array" ref="H665">IF(B665&gt;0,'Direct Costs 2026'!$C$15+'Direct Costs 2026'!$C$14,"N/A")</f>
        <v>230000</v>
      </c>
      <c r="I665" s="480">
        <v>0</v>
      </c>
      <c r="J665" s="480">
        <v>0</v>
      </c>
      <c r="K665" s="480" cm="1">
        <f t="array" ref="K665">IF(B665&gt;0,'Direct Costs 2026'!$C$26,"N/A")</f>
        <v>20000</v>
      </c>
      <c r="L665" s="480" cm="1">
        <f t="array" ref="L665">IF(B665&gt;0,'Direct Costs 2026'!$C$23,"N/A")</f>
        <v>140000</v>
      </c>
      <c r="M665" s="480" cm="1">
        <f t="array" ref="M665">IF(B665&gt;0,'Direct Costs 2026'!$C$45*B665,"N/A")</f>
        <v>2250000</v>
      </c>
      <c r="N665" t="str" s="482" cm="1">
        <f t="array" ref="N665">IF(B665&gt;0,_xlfn.IFERROR(VLOOKUP(C648,'Boats Data Sheet 2026'!$C$3:$I$57,7,0)*'Direct Costs 2026'!$C$36,"N/A"),"N/A")</f>
        <v>N/A</v>
      </c>
      <c r="O665" t="str" s="482" cm="1">
        <f t="array" ref="O665">IF(B665&gt;0,IF(OR(VLOOKUP(C648,'Boats Data Sheet 2026'!$C$3:$F$57,4,0)="Own",VLOOKUP(C648,'Boats Data Sheet 2026'!$C$3:$F$57,4,0)="Management"),('Direct Costs 2026'!$C$37+'Direct Costs 2026'!$C$39),"N/A"),"N/A")</f>
        <v>N/A</v>
      </c>
      <c r="P665" s="480" cm="1">
        <f t="array" ref="P665">_xlfn.IFERROR('Direct Costs 2026'!$C$27*C665,"N/A")</f>
        <v>400000</v>
      </c>
      <c r="Q665" s="480" cm="1">
        <f t="array" ref="Q665">_xlfn.IFERROR(C665+SUM(E665:P665),"N/A")</f>
        <v>24971000</v>
      </c>
      <c r="R665" s="483"/>
      <c r="S665" s="480" cm="1">
        <f t="array" ref="S665">IF(B665&gt;0,'Allocation OH and Target 2026'!$E$31,"N/A")</f>
        <v>3100447.15769812</v>
      </c>
      <c r="T665" s="480" cm="1">
        <f t="array" ref="T665">IF(B665&gt;0,VLOOKUP(C648,'Allocation OH and Target 2026'!$C$35:$S$87,16,0),"N/A")</f>
        <v>0</v>
      </c>
      <c r="U665" s="480" cm="1">
        <f t="array" ref="U665">_xlfn.IFERROR((S665+T665),"N/A")</f>
        <v>3100447.15769812</v>
      </c>
      <c r="V665" s="483"/>
      <c r="W665" s="480" cm="1">
        <f t="array" ref="W665">_xlfn.IFERROR(U665+Q665,"N/A")</f>
        <v>28071447.1576981</v>
      </c>
      <c r="X665" s="480" cm="1">
        <f t="array" ref="X665">_xlfn.IFERROR(W665*0.5%,"N/A")</f>
        <v>140357.235788491</v>
      </c>
      <c r="Y665" s="480" cm="1">
        <f t="array" ref="Y665">_xlfn.IFERROR(W665*25%,"N/A")</f>
        <v>7017861.78942453</v>
      </c>
      <c r="Z665" s="484" cm="1">
        <f t="array" ref="Z665">IF(B665&gt;0,SUM(W665:Y665),"N/A")</f>
        <v>35229666.1829111</v>
      </c>
      <c r="AA665" s="484" cm="1">
        <f t="array" ref="AA665">_xlfn.IFERROR((Z665-AVERAGE(Z651:Z656)),"N/A")</f>
        <v>3350222.5</v>
      </c>
      <c r="AB665" s="483"/>
      <c r="AC665" t="str" s="485" cm="1">
        <f t="array" ref="AC665">IF(B665=6,AVERAGE(Z651:Z656),"N/A")</f>
        <v>N/A</v>
      </c>
      <c r="AD665" s="483"/>
      <c r="AE665" s="480"/>
      <c r="AF665" s="480"/>
      <c r="AG665" s="480"/>
      <c r="AH665" s="480"/>
      <c r="AI665" s="480"/>
      <c r="AJ665" s="480"/>
      <c r="AK665" s="480"/>
      <c r="AL665" s="480"/>
      <c r="AM665" s="480"/>
      <c r="AN665" s="486"/>
    </row>
    <row r="666" ht="15" customHeight="1" hidden="1">
      <c r="A666" s="12"/>
      <c r="B666" s="479" cm="1">
        <f t="array" ref="B666">IF(B665=0,0,IF(B665&lt;VLOOKUP(C648,'Boats Data Sheet 2026'!$C$3:$H$57,6,0),B665+1,0))</f>
        <v>16</v>
      </c>
      <c r="C666" s="480" cm="1">
        <f t="array" ref="C666">IF(B666&gt;0,IF(VLOOKUP(C648,'Boats Data Sheet 2026'!$C$3:$J$57,8,0)="N/A",0,VLOOKUP(C648,'Boats Data Sheet 2026'!$C$3:$J$57,8,0)),"N/A")</f>
        <v>20000000</v>
      </c>
      <c r="D666" s="490" cm="1">
        <f t="array" ref="D666">IF(B666&gt;7,2,IF(B666=0,"N/A",1))</f>
        <v>2</v>
      </c>
      <c r="E666" s="480" cm="1">
        <f t="array" ref="E666">_xlfn.IFERROR(SUM('Direct Costs 2026'!$C$4:$C$5)*D666,"N/A")</f>
        <v>1751000</v>
      </c>
      <c r="F666" s="480" cm="1">
        <f t="array" ref="F666">_xlfn.IFERROR('Direct Costs 2026'!$C$43*B666,"N/A")</f>
        <v>96000</v>
      </c>
      <c r="G666" s="480" cm="1">
        <f t="array" ref="G666">IF(B666&gt;0,'Direct Costs 2026'!$C$25,"N/A")</f>
        <v>90000</v>
      </c>
      <c r="H666" s="480" cm="1">
        <f t="array" ref="H666">IF(B666&gt;0,'Direct Costs 2026'!$C$15+'Direct Costs 2026'!$C$14,"N/A")</f>
        <v>230000</v>
      </c>
      <c r="I666" s="480">
        <v>0</v>
      </c>
      <c r="J666" s="480">
        <v>0</v>
      </c>
      <c r="K666" s="480" cm="1">
        <f t="array" ref="K666">IF(B666&gt;0,'Direct Costs 2026'!$C$26,"N/A")</f>
        <v>20000</v>
      </c>
      <c r="L666" s="480" cm="1">
        <f t="array" ref="L666">IF(B666&gt;0,'Direct Costs 2026'!$C$23,"N/A")</f>
        <v>140000</v>
      </c>
      <c r="M666" s="480" cm="1">
        <f t="array" ref="M666">IF(B666&gt;0,'Direct Costs 2026'!$C$45*B666,"N/A")</f>
        <v>2400000</v>
      </c>
      <c r="N666" t="str" s="482" cm="1">
        <f t="array" ref="N666">IF(B666&gt;0,_xlfn.IFERROR(VLOOKUP(C648,'Boats Data Sheet 2026'!$C$3:$I$57,7,0)*'Direct Costs 2026'!$C$36,"N/A"),"N/A")</f>
        <v>N/A</v>
      </c>
      <c r="O666" t="str" s="482" cm="1">
        <f t="array" ref="O666">IF(B666&gt;0,IF(OR(VLOOKUP(C648,'Boats Data Sheet 2026'!$C$3:$F$57,4,0)="Own",VLOOKUP(C648,'Boats Data Sheet 2026'!$C$3:$F$57,4,0)="Management"),('Direct Costs 2026'!$C$37+'Direct Costs 2026'!$C$39),"N/A"),"N/A")</f>
        <v>N/A</v>
      </c>
      <c r="P666" s="480" cm="1">
        <f t="array" ref="P666">_xlfn.IFERROR('Direct Costs 2026'!$C$27*C666,"N/A")</f>
        <v>400000</v>
      </c>
      <c r="Q666" s="480" cm="1">
        <f t="array" ref="Q666">_xlfn.IFERROR(C666+SUM(E666:P666),"N/A")</f>
        <v>25127000</v>
      </c>
      <c r="R666" s="483"/>
      <c r="S666" s="480" cm="1">
        <f t="array" ref="S666">IF(B666&gt;0,'Allocation OH and Target 2026'!$E$31,"N/A")</f>
        <v>3100447.15769812</v>
      </c>
      <c r="T666" s="480" cm="1">
        <f t="array" ref="T666">IF(B666&gt;0,VLOOKUP(C648,'Allocation OH and Target 2026'!$C$35:$S$87,16,0),"N/A")</f>
        <v>0</v>
      </c>
      <c r="U666" s="480" cm="1">
        <f t="array" ref="U666">_xlfn.IFERROR((S666+T666),"N/A")</f>
        <v>3100447.15769812</v>
      </c>
      <c r="V666" s="483"/>
      <c r="W666" s="480" cm="1">
        <f t="array" ref="W666">_xlfn.IFERROR(U666+Q666,"N/A")</f>
        <v>28227447.1576981</v>
      </c>
      <c r="X666" s="480" cm="1">
        <f t="array" ref="X666">_xlfn.IFERROR(W666*0.5%,"N/A")</f>
        <v>141137.235788491</v>
      </c>
      <c r="Y666" s="480" cm="1">
        <f t="array" ref="Y666">_xlfn.IFERROR(W666*25%,"N/A")</f>
        <v>7056861.78942453</v>
      </c>
      <c r="Z666" s="484" cm="1">
        <f t="array" ref="Z666">IF(B666&gt;0,SUM(W666:Y666),"N/A")</f>
        <v>35425446.1829111</v>
      </c>
      <c r="AA666" s="484" cm="1">
        <f t="array" ref="AA666">_xlfn.IFERROR((Z666-AVERAGE(Z651:Z656)),"N/A")</f>
        <v>3546002.5</v>
      </c>
      <c r="AB666" s="483"/>
      <c r="AC666" t="str" s="485" cm="1">
        <f t="array" ref="AC666">IF(B666=6,AVERAGE(Z651:Z656),"N/A")</f>
        <v>N/A</v>
      </c>
      <c r="AD666" s="483"/>
      <c r="AE666" s="480"/>
      <c r="AF666" s="480"/>
      <c r="AG666" s="480"/>
      <c r="AH666" s="480"/>
      <c r="AI666" s="480"/>
      <c r="AJ666" s="480"/>
      <c r="AK666" s="480"/>
      <c r="AL666" s="480"/>
      <c r="AM666" s="480"/>
      <c r="AN666" s="486"/>
    </row>
    <row r="667" ht="15" customHeight="1" hidden="1">
      <c r="A667" s="12"/>
      <c r="B667" s="479" cm="1">
        <f t="array" ref="B667">IF(B666=0,0,IF(B666&lt;VLOOKUP(C648,'Boats Data Sheet 2026'!$C$3:$H$57,6,0),B666+1,0))</f>
        <v>17</v>
      </c>
      <c r="C667" s="480" cm="1">
        <f t="array" ref="C667">IF(B667&gt;0,IF(VLOOKUP(C648,'Boats Data Sheet 2026'!$C$3:$J$57,8,0)="N/A",0,VLOOKUP(C648,'Boats Data Sheet 2026'!$C$3:$J$57,8,0)),"N/A")</f>
        <v>20000000</v>
      </c>
      <c r="D667" s="490" cm="1">
        <f t="array" ref="D667">IF(B667&gt;7,2,IF(B667=0,"N/A",1))</f>
        <v>2</v>
      </c>
      <c r="E667" s="480" cm="1">
        <f t="array" ref="E667">_xlfn.IFERROR(SUM('Direct Costs 2026'!$C$4:$C$5)*D667,"N/A")</f>
        <v>1751000</v>
      </c>
      <c r="F667" s="480" cm="1">
        <f t="array" ref="F667">_xlfn.IFERROR('Direct Costs 2026'!$C$43*B667,"N/A")</f>
        <v>102000</v>
      </c>
      <c r="G667" s="480" cm="1">
        <f t="array" ref="G667">IF(B667&gt;0,'Direct Costs 2026'!$C$25,"N/A")</f>
        <v>90000</v>
      </c>
      <c r="H667" s="480" cm="1">
        <f t="array" ref="H667">IF(B667&gt;0,'Direct Costs 2026'!$C$15+'Direct Costs 2026'!$C$14,"N/A")</f>
        <v>230000</v>
      </c>
      <c r="I667" s="480">
        <v>0</v>
      </c>
      <c r="J667" s="480">
        <v>0</v>
      </c>
      <c r="K667" s="480" cm="1">
        <f t="array" ref="K667">IF(B667&gt;0,'Direct Costs 2026'!$C$26,"N/A")</f>
        <v>20000</v>
      </c>
      <c r="L667" s="480" cm="1">
        <f t="array" ref="L667">IF(B667&gt;0,'Direct Costs 2026'!$C$23,"N/A")</f>
        <v>140000</v>
      </c>
      <c r="M667" s="480" cm="1">
        <f t="array" ref="M667">IF(B667&gt;0,'Direct Costs 2026'!$C$45*B667,"N/A")</f>
        <v>2550000</v>
      </c>
      <c r="N667" t="str" s="482" cm="1">
        <f t="array" ref="N667">IF(B667&gt;0,_xlfn.IFERROR(VLOOKUP(C648,'Boats Data Sheet 2026'!$C$3:$I$57,7,0)*'Direct Costs 2026'!$C$36,"N/A"),"N/A")</f>
        <v>N/A</v>
      </c>
      <c r="O667" t="str" s="482" cm="1">
        <f t="array" ref="O667">IF(B667&gt;0,IF(OR(VLOOKUP(C648,'Boats Data Sheet 2026'!$C$3:$F$57,4,0)="Own",VLOOKUP(C648,'Boats Data Sheet 2026'!$C$3:$F$57,4,0)="Management"),('Direct Costs 2026'!$C$37+'Direct Costs 2026'!$C$39),"N/A"),"N/A")</f>
        <v>N/A</v>
      </c>
      <c r="P667" s="480" cm="1">
        <f t="array" ref="P667">_xlfn.IFERROR('Direct Costs 2026'!$C$27*C667,"N/A")</f>
        <v>400000</v>
      </c>
      <c r="Q667" s="480" cm="1">
        <f t="array" ref="Q667">_xlfn.IFERROR(C667+SUM(E667:P667),"N/A")</f>
        <v>25283000</v>
      </c>
      <c r="R667" s="483"/>
      <c r="S667" s="480" cm="1">
        <f t="array" ref="S667">IF(B667&gt;0,'Allocation OH and Target 2026'!$E$31,"N/A")</f>
        <v>3100447.15769812</v>
      </c>
      <c r="T667" s="480" cm="1">
        <f t="array" ref="T667">IF(B667&gt;0,VLOOKUP(C648,'Allocation OH and Target 2026'!$C$35:$S$87,16,0),"N/A")</f>
        <v>0</v>
      </c>
      <c r="U667" s="480" cm="1">
        <f t="array" ref="U667">_xlfn.IFERROR((S667+T667),"N/A")</f>
        <v>3100447.15769812</v>
      </c>
      <c r="V667" s="483"/>
      <c r="W667" s="480" cm="1">
        <f t="array" ref="W667">_xlfn.IFERROR(U667+Q667,"N/A")</f>
        <v>28383447.1576981</v>
      </c>
      <c r="X667" s="480" cm="1">
        <f t="array" ref="X667">_xlfn.IFERROR(W667*0.5%,"N/A")</f>
        <v>141917.235788491</v>
      </c>
      <c r="Y667" s="480" cm="1">
        <f t="array" ref="Y667">_xlfn.IFERROR(W667*25%,"N/A")</f>
        <v>7095861.78942453</v>
      </c>
      <c r="Z667" s="484" cm="1">
        <f t="array" ref="Z667">IF(B667&gt;0,SUM(W667:Y667),"N/A")</f>
        <v>35621226.1829111</v>
      </c>
      <c r="AA667" s="484" cm="1">
        <f t="array" ref="AA667">_xlfn.IFERROR((Z667-AVERAGE(Z651:Z656)),"N/A")</f>
        <v>3741782.5</v>
      </c>
      <c r="AB667" s="483"/>
      <c r="AC667" t="str" s="485" cm="1">
        <f t="array" ref="AC667">IF(B667=6,AVERAGE(Z651:Z656),"N/A")</f>
        <v>N/A</v>
      </c>
      <c r="AD667" s="483"/>
      <c r="AE667" s="480"/>
      <c r="AF667" s="480"/>
      <c r="AG667" s="480"/>
      <c r="AH667" s="480"/>
      <c r="AI667" s="480"/>
      <c r="AJ667" s="480"/>
      <c r="AK667" s="480"/>
      <c r="AL667" s="480"/>
      <c r="AM667" s="480"/>
      <c r="AN667" s="486"/>
    </row>
    <row r="668" ht="15.5" customHeight="1" hidden="1">
      <c r="A668" s="12"/>
      <c r="B668" s="479" cm="1">
        <f t="array" ref="B668">IF(B667=0,0,IF(B667&lt;VLOOKUP(C648,'Boats Data Sheet 2026'!$C$3:$H$57,6,0),B667+1,0))</f>
        <v>18</v>
      </c>
      <c r="C668" s="480" cm="1">
        <f t="array" ref="C668">IF(B668&gt;0,IF(VLOOKUP(C648,'Boats Data Sheet 2026'!$C$3:$J$57,8,0)="N/A",0,VLOOKUP(C648,'Boats Data Sheet 2026'!$C$3:$J$57,8,0)),"N/A")</f>
        <v>20000000</v>
      </c>
      <c r="D668" s="490" cm="1">
        <f t="array" ref="D668">IF(B668&gt;7,2,IF(B668=0,"N/A",1))</f>
        <v>2</v>
      </c>
      <c r="E668" s="480" cm="1">
        <f t="array" ref="E668">_xlfn.IFERROR(SUM('Direct Costs 2026'!$C$4:$C$5)*D668,"N/A")</f>
        <v>1751000</v>
      </c>
      <c r="F668" s="480" cm="1">
        <f t="array" ref="F668">_xlfn.IFERROR('Direct Costs 2026'!$C$43*B668,"N/A")</f>
        <v>108000</v>
      </c>
      <c r="G668" s="480" cm="1">
        <f t="array" ref="G668">IF(B668&gt;0,'Direct Costs 2026'!$C$25,"N/A")</f>
        <v>90000</v>
      </c>
      <c r="H668" s="480" cm="1">
        <f t="array" ref="H668">IF(B668&gt;0,'Direct Costs 2026'!$C$15+'Direct Costs 2026'!$C$14,"N/A")</f>
        <v>230000</v>
      </c>
      <c r="I668" s="480">
        <v>0</v>
      </c>
      <c r="J668" s="480">
        <v>0</v>
      </c>
      <c r="K668" s="480" cm="1">
        <f t="array" ref="K668">IF(B668&gt;0,'Direct Costs 2026'!$C$26,"N/A")</f>
        <v>20000</v>
      </c>
      <c r="L668" s="480" cm="1">
        <f t="array" ref="L668">IF(B668&gt;0,'Direct Costs 2026'!$C$23,"N/A")</f>
        <v>140000</v>
      </c>
      <c r="M668" s="480" cm="1">
        <f t="array" ref="M668">IF(B668&gt;0,'Direct Costs 2026'!$C$45*B668,"N/A")</f>
        <v>2700000</v>
      </c>
      <c r="N668" t="str" s="482" cm="1">
        <f t="array" ref="N668">IF(B668&gt;0,_xlfn.IFERROR(VLOOKUP(C648,'Boats Data Sheet 2026'!$C$3:$I$57,7,0)*'Direct Costs 2026'!$C$36,"N/A"),"N/A")</f>
        <v>N/A</v>
      </c>
      <c r="O668" t="str" s="482" cm="1">
        <f t="array" ref="O668">IF(B668&gt;0,IF(OR(VLOOKUP(C648,'Boats Data Sheet 2026'!$C$3:$F$57,4,0)="Own",VLOOKUP(C648,'Boats Data Sheet 2026'!$C$3:$F$57,4,0)="Management"),('Direct Costs 2026'!$C$37+'Direct Costs 2026'!$C$39),"N/A"),"N/A")</f>
        <v>N/A</v>
      </c>
      <c r="P668" s="480" cm="1">
        <f t="array" ref="P668">_xlfn.IFERROR('Direct Costs 2026'!$C$27*C668,"N/A")</f>
        <v>400000</v>
      </c>
      <c r="Q668" s="480" cm="1">
        <f t="array" ref="Q668">_xlfn.IFERROR(C668+SUM(E668:P668),"N/A")</f>
        <v>25439000</v>
      </c>
      <c r="R668" s="483"/>
      <c r="S668" s="480" cm="1">
        <f t="array" ref="S668">IF(B668&gt;0,'Allocation OH and Target 2026'!$E$31,"N/A")</f>
        <v>3100447.15769812</v>
      </c>
      <c r="T668" s="480" cm="1">
        <f t="array" ref="T668">IF(B668&gt;0,VLOOKUP(C648,'Allocation OH and Target 2026'!$C$35:$S$87,16,0),"N/A")</f>
        <v>0</v>
      </c>
      <c r="U668" s="480" cm="1">
        <f t="array" ref="U668">_xlfn.IFERROR((S668+T668),"N/A")</f>
        <v>3100447.15769812</v>
      </c>
      <c r="V668" s="483"/>
      <c r="W668" s="480" cm="1">
        <f t="array" ref="W668">_xlfn.IFERROR(U668+Q668,"N/A")</f>
        <v>28539447.1576981</v>
      </c>
      <c r="X668" s="480" cm="1">
        <f t="array" ref="X668">_xlfn.IFERROR(W668*0.5%,"N/A")</f>
        <v>142697.235788491</v>
      </c>
      <c r="Y668" s="480" cm="1">
        <f t="array" ref="Y668">_xlfn.IFERROR(W668*25%,"N/A")</f>
        <v>7134861.78942453</v>
      </c>
      <c r="Z668" s="484" cm="1">
        <f t="array" ref="Z668">IF(B668&gt;0,SUM(W668:Y668),"N/A")</f>
        <v>35817006.1829111</v>
      </c>
      <c r="AA668" s="484" cm="1">
        <f t="array" ref="AA668">_xlfn.IFERROR((Z668-AVERAGE(Z651:Z656)),"N/A")</f>
        <v>3937562.5</v>
      </c>
      <c r="AB668" s="483"/>
      <c r="AC668" t="str" s="485" cm="1">
        <f t="array" ref="AC668">IF(B668=6,AVERAGE(Z651:Z656),"N/A")</f>
        <v>N/A</v>
      </c>
      <c r="AD668" s="483"/>
      <c r="AE668" s="480"/>
      <c r="AF668" s="480"/>
      <c r="AG668" s="480"/>
      <c r="AH668" s="480"/>
      <c r="AI668" s="480"/>
      <c r="AJ668" s="480"/>
      <c r="AK668" s="480"/>
      <c r="AL668" s="480"/>
      <c r="AM668" s="480"/>
      <c r="AN668" s="486"/>
    </row>
    <row r="669" ht="14.05" customHeight="1">
      <c r="A669" s="32"/>
      <c r="B669" s="477"/>
      <c r="C669" s="477"/>
      <c r="D669" s="477"/>
      <c r="E669" s="477"/>
      <c r="F669" s="477"/>
      <c r="G669" s="477"/>
      <c r="H669" s="477"/>
      <c r="I669" s="477"/>
      <c r="J669" s="477"/>
      <c r="K669" s="477"/>
      <c r="L669" s="477"/>
      <c r="M669" s="477"/>
      <c r="N669" s="477"/>
      <c r="O669" s="477"/>
      <c r="P669" s="477"/>
      <c r="Q669" s="477"/>
      <c r="R669" s="477"/>
      <c r="S669" s="477"/>
      <c r="T669" s="477"/>
      <c r="U669" s="477"/>
      <c r="V669" s="477"/>
      <c r="W669" s="477"/>
      <c r="X669" s="477"/>
      <c r="Y669" s="477"/>
      <c r="Z669" s="477"/>
      <c r="AA669" s="477"/>
      <c r="AB669" s="477"/>
      <c r="AC669" s="477"/>
      <c r="AD669" s="477"/>
      <c r="AE669" s="477"/>
      <c r="AF669" s="477"/>
      <c r="AG669" s="477"/>
      <c r="AH669" s="477"/>
      <c r="AI669" s="477"/>
      <c r="AJ669" s="477"/>
      <c r="AK669" s="477"/>
      <c r="AL669" s="477"/>
      <c r="AM669" s="477"/>
      <c r="AN669" s="478"/>
    </row>
    <row r="670" ht="15" customHeight="1">
      <c r="A670" s="32"/>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c r="AH670" s="35"/>
      <c r="AI670" s="35"/>
      <c r="AJ670" s="35"/>
      <c r="AK670" s="35"/>
      <c r="AL670" s="35"/>
      <c r="AM670" s="35"/>
      <c r="AN670" s="442"/>
    </row>
    <row r="671" ht="15.5" customHeight="1">
      <c r="A671" s="395">
        <v>31</v>
      </c>
      <c r="B671" t="s" s="396">
        <v>506</v>
      </c>
      <c r="C671" t="s" s="397">
        <v>213</v>
      </c>
      <c r="D671" s="398"/>
      <c r="E671" s="398"/>
      <c r="F671" s="398"/>
      <c r="G671" s="398"/>
      <c r="H671" s="398"/>
      <c r="I671" s="398"/>
      <c r="J671" s="398"/>
      <c r="K671" s="398"/>
      <c r="L671" s="398"/>
      <c r="M671" s="398"/>
      <c r="N671" s="398"/>
      <c r="O671" s="398"/>
      <c r="P671" s="398"/>
      <c r="Q671" s="398"/>
      <c r="R671" s="399"/>
      <c r="S671" s="398"/>
      <c r="T671" s="398"/>
      <c r="U671" s="398"/>
      <c r="V671" s="399"/>
      <c r="W671" s="398"/>
      <c r="X671" s="398"/>
      <c r="Y671" s="398"/>
      <c r="Z671" s="398"/>
      <c r="AA671" s="398"/>
      <c r="AB671" s="399"/>
      <c r="AC671" s="398"/>
      <c r="AD671" s="399"/>
      <c r="AE671" t="s" s="397">
        <v>508</v>
      </c>
      <c r="AF671" s="401" cm="1">
        <f t="array" ref="AF671">AVERAGE(Q674:Q679)</f>
        <v>30980500</v>
      </c>
      <c r="AG671" t="s" s="400">
        <v>509</v>
      </c>
      <c r="AH671" s="401" cm="1">
        <f t="array" ref="AH671">AVERAGE(Q680:Q687)-AF671</f>
        <v>1816062.5</v>
      </c>
      <c r="AI671" t="s" s="400">
        <v>510</v>
      </c>
      <c r="AJ671" s="401" cm="1">
        <f t="array" ref="AJ671">AVERAGE(Y674:Y681)</f>
        <v>8585096.164424529</v>
      </c>
      <c r="AK671" t="s" s="397">
        <v>511</v>
      </c>
      <c r="AL671" s="401" cm="1">
        <f t="array" ref="AL671">AVERAGE(W674:W679)</f>
        <v>34080947.1576981</v>
      </c>
      <c r="AM671" t="s" s="400">
        <v>512</v>
      </c>
      <c r="AN671" s="402" cm="1">
        <f t="array" ref="AN671">W674</f>
        <v>33705947.1576981</v>
      </c>
    </row>
    <row r="672" ht="15" customHeight="1">
      <c r="A672" s="12"/>
      <c r="B672" s="403"/>
      <c r="C672" t="s" s="404">
        <v>513</v>
      </c>
      <c r="D672" s="405"/>
      <c r="E672" s="405"/>
      <c r="F672" s="405"/>
      <c r="G672" s="405"/>
      <c r="H672" s="405"/>
      <c r="I672" s="405"/>
      <c r="J672" s="405"/>
      <c r="K672" s="405"/>
      <c r="L672" s="405"/>
      <c r="M672" s="405"/>
      <c r="N672" s="405"/>
      <c r="O672" s="405"/>
      <c r="P672" s="405"/>
      <c r="Q672" s="406"/>
      <c r="R672" s="407"/>
      <c r="S672" t="s" s="404">
        <v>514</v>
      </c>
      <c r="T672" s="405"/>
      <c r="U672" s="406"/>
      <c r="V672" s="407"/>
      <c r="W672" t="s" s="404">
        <v>515</v>
      </c>
      <c r="X672" s="405"/>
      <c r="Y672" s="405"/>
      <c r="Z672" s="405"/>
      <c r="AA672" s="405"/>
      <c r="AB672" s="408"/>
      <c r="AC672" s="443"/>
      <c r="AD672" s="410"/>
      <c r="AE672" s="443"/>
      <c r="AF672" s="443"/>
      <c r="AG672" s="443"/>
      <c r="AH672" s="443"/>
      <c r="AI672" s="443"/>
      <c r="AJ672" s="443"/>
      <c r="AK672" s="443"/>
      <c r="AL672" s="414"/>
      <c r="AM672" s="415"/>
      <c r="AN672" s="414"/>
    </row>
    <row r="673" ht="46.25" customHeight="1">
      <c r="A673" s="187"/>
      <c r="B673" t="s" s="416">
        <v>517</v>
      </c>
      <c r="C673" t="s" s="417">
        <v>518</v>
      </c>
      <c r="D673" t="s" s="417">
        <v>519</v>
      </c>
      <c r="E673" t="s" s="417">
        <v>520</v>
      </c>
      <c r="F673" t="s" s="159">
        <v>521</v>
      </c>
      <c r="G673" t="s" s="159">
        <v>522</v>
      </c>
      <c r="H673" t="s" s="159">
        <v>553</v>
      </c>
      <c r="I673" t="s" s="159">
        <v>524</v>
      </c>
      <c r="J673" t="s" s="159">
        <v>525</v>
      </c>
      <c r="K673" t="s" s="159">
        <v>526</v>
      </c>
      <c r="L673" t="s" s="159">
        <v>527</v>
      </c>
      <c r="M673" t="s" s="159">
        <v>528</v>
      </c>
      <c r="N673" t="s" s="159">
        <v>529</v>
      </c>
      <c r="O673" t="s" s="159">
        <v>530</v>
      </c>
      <c r="P673" t="s" s="159">
        <v>531</v>
      </c>
      <c r="Q673" t="s" s="159">
        <v>532</v>
      </c>
      <c r="R673" s="418"/>
      <c r="S673" t="s" s="159">
        <v>533</v>
      </c>
      <c r="T673" t="s" s="159">
        <v>534</v>
      </c>
      <c r="U673" t="s" s="159">
        <v>535</v>
      </c>
      <c r="V673" s="418"/>
      <c r="W673" t="s" s="159">
        <v>536</v>
      </c>
      <c r="X673" t="s" s="159">
        <v>537</v>
      </c>
      <c r="Y673" t="s" s="159">
        <v>538</v>
      </c>
      <c r="Z673" t="s" s="159">
        <v>539</v>
      </c>
      <c r="AA673" t="s" s="159">
        <v>121</v>
      </c>
      <c r="AB673" s="419"/>
      <c r="AC673" t="s" s="159">
        <v>39</v>
      </c>
      <c r="AD673" s="419"/>
      <c r="AE673" s="77"/>
      <c r="AF673" s="77"/>
      <c r="AG673" s="77"/>
      <c r="AH673" s="77"/>
      <c r="AI673" s="77"/>
      <c r="AJ673" s="77"/>
      <c r="AK673" s="77"/>
      <c r="AL673" s="77"/>
      <c r="AM673" s="77"/>
      <c r="AN673" s="78"/>
    </row>
    <row r="674" ht="15" customHeight="1">
      <c r="A674" s="12"/>
      <c r="B674" s="420">
        <v>1</v>
      </c>
      <c r="C674" s="421" cm="1">
        <f t="array" ref="C674">IF(B674&gt;0,IF(VLOOKUP(C671,'Boats Data Sheet 2026'!$C$3:$J$57,8,0)="N/A",0,VLOOKUP(C671,'Boats Data Sheet 2026'!$C$3:$J$57,8,0)),"N/A")</f>
        <v>29000000</v>
      </c>
      <c r="D674" s="422" cm="1">
        <f t="array" ref="D674">IF(B674&gt;7,2,IF(B674=0,"N/A",1))</f>
        <v>1</v>
      </c>
      <c r="E674" s="421" cm="1">
        <f t="array" ref="E674">_xlfn.IFERROR(SUM('Direct Costs 2026'!$C$4:$C$5)*D674,"N/A")</f>
        <v>875500</v>
      </c>
      <c r="F674" s="423"/>
      <c r="G674" s="423"/>
      <c r="H674" s="423"/>
      <c r="I674" s="423">
        <v>0</v>
      </c>
      <c r="J674" s="423">
        <v>0</v>
      </c>
      <c r="K674" s="423"/>
      <c r="L674" s="423"/>
      <c r="M674" s="423" cm="1">
        <f t="array" ref="M674">IF(B674&gt;0,'Direct Costs 2026'!$C$45*B674,"N/A")</f>
        <v>150000</v>
      </c>
      <c r="N674" t="str" s="431" cm="1">
        <f t="array" ref="N674">IF(B674&gt;0,_xlfn.IFERROR(VLOOKUP(C671,'Boats Data Sheet 2026'!$C$3:$I$57,7,0)*'Direct Costs 2026'!$C$36,"N/A"),"N/A")</f>
        <v>N/A</v>
      </c>
      <c r="O674" t="str" s="431" cm="1">
        <f t="array" ref="O674">IF(B674&gt;0,IF(OR(VLOOKUP(C671,'Boats Data Sheet 2026'!$C$3:$F$57,4,0)="Own",VLOOKUP(C671,'Boats Data Sheet 2026'!$C$3:$F$57,4,0)="Management"),('Direct Costs 2026'!$C$37+'Direct Costs 2026'!$C$39),"N/A"),"N/A")</f>
        <v>N/A</v>
      </c>
      <c r="P674" s="423" cm="1">
        <f t="array" ref="P674">_xlfn.IFERROR('Direct Costs 2026'!$C$27*C674,"N/A")</f>
        <v>580000</v>
      </c>
      <c r="Q674" s="423" cm="1">
        <f t="array" ref="Q674">_xlfn.IFERROR(C674+SUM(E674:P674),"N/A")</f>
        <v>30605500</v>
      </c>
      <c r="R674" s="424"/>
      <c r="S674" s="423" cm="1">
        <f t="array" ref="S674">IF(B674&gt;0,'Allocation OH and Target 2026'!$E$31,"N/A")</f>
        <v>3100447.15769812</v>
      </c>
      <c r="T674" s="423" cm="1">
        <f t="array" ref="T674">IF(B674&gt;0,VLOOKUP(C671,'Allocation OH and Target 2026'!$C$35:$S$91,16,0),"N/A")</f>
        <v>0</v>
      </c>
      <c r="U674" s="423" cm="1">
        <f t="array" ref="U674">_xlfn.IFERROR((S674+T674),"N/A")</f>
        <v>3100447.15769812</v>
      </c>
      <c r="V674" s="424"/>
      <c r="W674" s="423" cm="1">
        <f t="array" ref="W674">_xlfn.IFERROR(U674+Q674,"N/A")</f>
        <v>33705947.1576981</v>
      </c>
      <c r="X674" s="423" cm="1">
        <f t="array" ref="X674">_xlfn.IFERROR(W674*0.5%,"N/A")</f>
        <v>168529.735788491</v>
      </c>
      <c r="Y674" s="423" cm="1">
        <f t="array" ref="Y674">_xlfn.IFERROR(W674*25%,"N/A")</f>
        <v>8426486.789424529</v>
      </c>
      <c r="Z674" s="425" cm="1">
        <f t="array" ref="Z674">IF(B674&gt;0,SUM(W674:Y674),"N/A")</f>
        <v>42300963.6829111</v>
      </c>
      <c r="AA674" s="425">
        <v>0</v>
      </c>
      <c r="AB674" s="424"/>
      <c r="AC674" t="str" s="426" cm="1">
        <f t="array" ref="AC674">IF(B674=6,AVERAGE(Z674:Z679),"N/A")</f>
        <v>N/A</v>
      </c>
      <c r="AD674" s="424"/>
      <c r="AE674" s="423"/>
      <c r="AF674" s="423"/>
      <c r="AG674" s="423"/>
      <c r="AH674" s="423"/>
      <c r="AI674" s="423"/>
      <c r="AJ674" s="423"/>
      <c r="AK674" s="423"/>
      <c r="AL674" s="423"/>
      <c r="AM674" s="423"/>
      <c r="AN674" s="427"/>
    </row>
    <row r="675" ht="15" customHeight="1">
      <c r="A675" s="12"/>
      <c r="B675" s="428" cm="1">
        <f t="array" ref="B675">IF(B674=0,0,IF(B674&lt;VLOOKUP(C671,'Boats Data Sheet 2026'!$C$3:$H$57,6,0),B674+1,0))</f>
        <v>2</v>
      </c>
      <c r="C675" s="423" cm="1">
        <f t="array" ref="C675">IF(B675&gt;0,IF(VLOOKUP(C671,'Boats Data Sheet 2026'!$C$3:$J$57,8,0)="N/A",0,VLOOKUP(C671,'Boats Data Sheet 2026'!$C$3:$J$57,8,0)),"N/A")</f>
        <v>29000000</v>
      </c>
      <c r="D675" s="429" cm="1">
        <f t="array" ref="D675">IF(B675&gt;7,2,IF(B675=0,"N/A",1))</f>
        <v>1</v>
      </c>
      <c r="E675" s="423" cm="1">
        <f t="array" ref="E675">_xlfn.IFERROR(SUM('Direct Costs 2026'!$C$4:$C$5)*D675,"N/A")</f>
        <v>875500</v>
      </c>
      <c r="F675" s="423"/>
      <c r="G675" s="423"/>
      <c r="H675" s="423"/>
      <c r="I675" s="423">
        <v>0</v>
      </c>
      <c r="J675" s="423">
        <v>0</v>
      </c>
      <c r="K675" s="423"/>
      <c r="L675" s="423"/>
      <c r="M675" s="423" cm="1">
        <f t="array" ref="M675">IF(B675&gt;0,'Direct Costs 2026'!$C$45*B675,"N/A")</f>
        <v>300000</v>
      </c>
      <c r="N675" t="str" s="431" cm="1">
        <f t="array" ref="N675">IF(B675&gt;0,_xlfn.IFERROR(VLOOKUP(C671,'Boats Data Sheet 2026'!$C$3:$I$57,7,0)*'Direct Costs 2026'!$C$36,"N/A"),"N/A")</f>
        <v>N/A</v>
      </c>
      <c r="O675" t="str" s="431" cm="1">
        <f t="array" ref="O675">IF(B675&gt;0,IF(OR(VLOOKUP(C671,'Boats Data Sheet 2026'!$C$3:$F$57,4,0)="Own",VLOOKUP(C671,'Boats Data Sheet 2026'!$C$3:$F$57,4,0)="Management"),('Direct Costs 2026'!$C$37+'Direct Costs 2026'!$C$39),"N/A"),"N/A")</f>
        <v>N/A</v>
      </c>
      <c r="P675" s="423" cm="1">
        <f t="array" ref="P675">_xlfn.IFERROR('Direct Costs 2026'!$C$27*C675,"N/A")</f>
        <v>580000</v>
      </c>
      <c r="Q675" s="423" cm="1">
        <f t="array" ref="Q675">_xlfn.IFERROR(C675+SUM(E675:P675),"N/A")</f>
        <v>30755500</v>
      </c>
      <c r="R675" s="424"/>
      <c r="S675" s="423" cm="1">
        <f t="array" ref="S675">IF(B675&gt;0,'Allocation OH and Target 2026'!$E$31,"N/A")</f>
        <v>3100447.15769812</v>
      </c>
      <c r="T675" s="423" cm="1">
        <f t="array" ref="T675">IF(B675&gt;0,VLOOKUP(C671,'Allocation OH and Target 2026'!$C$35:$S$91,16,0),"N/A")</f>
        <v>0</v>
      </c>
      <c r="U675" s="423" cm="1">
        <f t="array" ref="U675">_xlfn.IFERROR((S675+T675),"N/A")</f>
        <v>3100447.15769812</v>
      </c>
      <c r="V675" s="424"/>
      <c r="W675" s="423" cm="1">
        <f t="array" ref="W675">_xlfn.IFERROR(U675+Q675,"N/A")</f>
        <v>33855947.1576981</v>
      </c>
      <c r="X675" s="423" cm="1">
        <f t="array" ref="X675">_xlfn.IFERROR(W675*0.5%,"N/A")</f>
        <v>169279.735788491</v>
      </c>
      <c r="Y675" s="423" cm="1">
        <f t="array" ref="Y675">_xlfn.IFERROR(W675*25%,"N/A")</f>
        <v>8463986.789424529</v>
      </c>
      <c r="Z675" s="425" cm="1">
        <f t="array" ref="Z675">IF(B675&gt;0,SUM(W675:Y675),"N/A")</f>
        <v>42489213.6829111</v>
      </c>
      <c r="AA675" s="425" cm="1">
        <f t="array" ref="AA675">_xlfn.IFERROR((Z675-Z674),"N/A")</f>
        <v>188250</v>
      </c>
      <c r="AB675" s="424"/>
      <c r="AC675" t="str" s="426" cm="1">
        <f t="array" ref="AC675">IF(B675=6,AVERAGE(Z674:Z679),"N/A")</f>
        <v>N/A</v>
      </c>
      <c r="AD675" s="424"/>
      <c r="AE675" s="423"/>
      <c r="AF675" s="423"/>
      <c r="AG675" s="423"/>
      <c r="AH675" s="423"/>
      <c r="AI675" s="423"/>
      <c r="AJ675" s="423"/>
      <c r="AK675" s="423"/>
      <c r="AL675" s="423"/>
      <c r="AM675" s="423"/>
      <c r="AN675" s="427"/>
    </row>
    <row r="676" ht="15" customHeight="1">
      <c r="A676" s="12"/>
      <c r="B676" s="428" cm="1">
        <f t="array" ref="B676">IF(B675=0,0,IF(B675&lt;VLOOKUP(C671,'Boats Data Sheet 2026'!$C$3:$H$57,6,0),B675+1,0))</f>
        <v>3</v>
      </c>
      <c r="C676" s="423" cm="1">
        <f t="array" ref="C676">IF(B676&gt;0,IF(VLOOKUP(C671,'Boats Data Sheet 2026'!$C$3:$J$57,8,0)="N/A",0,VLOOKUP(C671,'Boats Data Sheet 2026'!$C$3:$J$57,8,0)),"N/A")</f>
        <v>29000000</v>
      </c>
      <c r="D676" s="429" cm="1">
        <f t="array" ref="D676">IF(B676&gt;7,2,IF(B676=0,"N/A",1))</f>
        <v>1</v>
      </c>
      <c r="E676" s="423" cm="1">
        <f t="array" ref="E676">_xlfn.IFERROR(SUM('Direct Costs 2026'!$C$4:$C$5)*D676,"N/A")</f>
        <v>875500</v>
      </c>
      <c r="F676" s="423"/>
      <c r="G676" s="423"/>
      <c r="H676" s="423"/>
      <c r="I676" s="423">
        <v>0</v>
      </c>
      <c r="J676" s="423">
        <v>0</v>
      </c>
      <c r="K676" s="423"/>
      <c r="L676" s="423"/>
      <c r="M676" s="423" cm="1">
        <f t="array" ref="M676">IF(B676&gt;0,'Direct Costs 2026'!$C$45*B676,"N/A")</f>
        <v>450000</v>
      </c>
      <c r="N676" t="str" s="431" cm="1">
        <f t="array" ref="N676">IF(B676&gt;0,_xlfn.IFERROR(VLOOKUP(C671,'Boats Data Sheet 2026'!$C$3:$I$57,7,0)*'Direct Costs 2026'!$C$36,"N/A"),"N/A")</f>
        <v>N/A</v>
      </c>
      <c r="O676" t="str" s="431" cm="1">
        <f t="array" ref="O676">IF(B676&gt;0,IF(OR(VLOOKUP(C671,'Boats Data Sheet 2026'!$C$3:$F$57,4,0)="Own",VLOOKUP(C671,'Boats Data Sheet 2026'!$C$3:$F$57,4,0)="Management"),('Direct Costs 2026'!$C$37+'Direct Costs 2026'!$C$39),"N/A"),"N/A")</f>
        <v>N/A</v>
      </c>
      <c r="P676" s="423" cm="1">
        <f t="array" ref="P676">_xlfn.IFERROR('Direct Costs 2026'!$C$27*C676,"N/A")</f>
        <v>580000</v>
      </c>
      <c r="Q676" s="423" cm="1">
        <f t="array" ref="Q676">_xlfn.IFERROR(C676+SUM(E676:P676),"N/A")</f>
        <v>30905500</v>
      </c>
      <c r="R676" s="424"/>
      <c r="S676" s="423" cm="1">
        <f t="array" ref="S676">IF(B676&gt;0,'Allocation OH and Target 2026'!$E$31,"N/A")</f>
        <v>3100447.15769812</v>
      </c>
      <c r="T676" s="423" cm="1">
        <f t="array" ref="T676">IF(B676&gt;0,VLOOKUP(C671,'Allocation OH and Target 2026'!$C$35:$S$91,16,0),"N/A")</f>
        <v>0</v>
      </c>
      <c r="U676" s="423" cm="1">
        <f t="array" ref="U676">_xlfn.IFERROR((S676+T676),"N/A")</f>
        <v>3100447.15769812</v>
      </c>
      <c r="V676" s="424"/>
      <c r="W676" s="423" cm="1">
        <f t="array" ref="W676">_xlfn.IFERROR(U676+Q676,"N/A")</f>
        <v>34005947.1576981</v>
      </c>
      <c r="X676" s="423" cm="1">
        <f t="array" ref="X676">_xlfn.IFERROR(W676*0.5%,"N/A")</f>
        <v>170029.735788491</v>
      </c>
      <c r="Y676" s="423" cm="1">
        <f t="array" ref="Y676">_xlfn.IFERROR(W676*25%,"N/A")</f>
        <v>8501486.789424529</v>
      </c>
      <c r="Z676" s="425" cm="1">
        <f t="array" ref="Z676">IF(B676&gt;0,SUM(W676:Y676),"N/A")</f>
        <v>42677463.6829111</v>
      </c>
      <c r="AA676" s="425" cm="1">
        <f t="array" ref="AA676">_xlfn.IFERROR((Z676-Z675),"N/A")</f>
        <v>188250</v>
      </c>
      <c r="AB676" s="424"/>
      <c r="AC676" t="str" s="426" cm="1">
        <f t="array" ref="AC676">IF(B676=6,AVERAGE(Z674:Z679),"N/A")</f>
        <v>N/A</v>
      </c>
      <c r="AD676" s="424"/>
      <c r="AE676" s="423"/>
      <c r="AF676" s="423"/>
      <c r="AG676" s="423"/>
      <c r="AH676" s="423"/>
      <c r="AI676" s="423"/>
      <c r="AJ676" s="423"/>
      <c r="AK676" s="423"/>
      <c r="AL676" s="423"/>
      <c r="AM676" s="423"/>
      <c r="AN676" s="427"/>
    </row>
    <row r="677" ht="15" customHeight="1">
      <c r="A677" s="12"/>
      <c r="B677" s="428" cm="1">
        <f t="array" ref="B677">IF(B676=0,0,IF(B676&lt;VLOOKUP(C671,'Boats Data Sheet 2026'!$C$3:$H$57,6,0),B676+1,0))</f>
        <v>4</v>
      </c>
      <c r="C677" s="423" cm="1">
        <f t="array" ref="C677">IF(B677&gt;0,IF(VLOOKUP(C671,'Boats Data Sheet 2026'!$C$3:$J$57,8,0)="N/A",0,VLOOKUP(C671,'Boats Data Sheet 2026'!$C$3:$J$57,8,0)),"N/A")</f>
        <v>29000000</v>
      </c>
      <c r="D677" s="429" cm="1">
        <f t="array" ref="D677">IF(B677&gt;7,2,IF(B677=0,"N/A",1))</f>
        <v>1</v>
      </c>
      <c r="E677" s="423" cm="1">
        <f t="array" ref="E677">_xlfn.IFERROR(SUM('Direct Costs 2026'!$C$4:$C$5)*D677,"N/A")</f>
        <v>875500</v>
      </c>
      <c r="F677" s="423"/>
      <c r="G677" s="423"/>
      <c r="H677" s="423"/>
      <c r="I677" s="423">
        <v>0</v>
      </c>
      <c r="J677" s="423">
        <v>0</v>
      </c>
      <c r="K677" s="423"/>
      <c r="L677" s="423"/>
      <c r="M677" s="423" cm="1">
        <f t="array" ref="M677">IF(B677&gt;0,'Direct Costs 2026'!$C$45*B677,"N/A")</f>
        <v>600000</v>
      </c>
      <c r="N677" t="str" s="431" cm="1">
        <f t="array" ref="N677">IF(B677&gt;0,_xlfn.IFERROR(VLOOKUP(C671,'Boats Data Sheet 2026'!$C$3:$I$57,7,0)*'Direct Costs 2026'!$C$36,"N/A"),"N/A")</f>
        <v>N/A</v>
      </c>
      <c r="O677" t="str" s="431" cm="1">
        <f t="array" ref="O677">IF(B677&gt;0,IF(OR(VLOOKUP(C671,'Boats Data Sheet 2026'!$C$3:$F$57,4,0)="Own",VLOOKUP(C671,'Boats Data Sheet 2026'!$C$3:$F$57,4,0)="Management"),('Direct Costs 2026'!$C$37+'Direct Costs 2026'!$C$39),"N/A"),"N/A")</f>
        <v>N/A</v>
      </c>
      <c r="P677" s="423" cm="1">
        <f t="array" ref="P677">_xlfn.IFERROR('Direct Costs 2026'!$C$27*C677,"N/A")</f>
        <v>580000</v>
      </c>
      <c r="Q677" s="423" cm="1">
        <f t="array" ref="Q677">_xlfn.IFERROR(C677+SUM(E677:P677),"N/A")</f>
        <v>31055500</v>
      </c>
      <c r="R677" s="424"/>
      <c r="S677" s="423" cm="1">
        <f t="array" ref="S677">IF(B677&gt;0,'Allocation OH and Target 2026'!$E$31,"N/A")</f>
        <v>3100447.15769812</v>
      </c>
      <c r="T677" s="423" cm="1">
        <f t="array" ref="T677">IF(B677&gt;0,VLOOKUP(C671,'Allocation OH and Target 2026'!$C$35:$S$91,16,0),"N/A")</f>
        <v>0</v>
      </c>
      <c r="U677" s="423" cm="1">
        <f t="array" ref="U677">_xlfn.IFERROR((S677+T677),"N/A")</f>
        <v>3100447.15769812</v>
      </c>
      <c r="V677" s="424"/>
      <c r="W677" s="423" cm="1">
        <f t="array" ref="W677">_xlfn.IFERROR(U677+Q677,"N/A")</f>
        <v>34155947.1576981</v>
      </c>
      <c r="X677" s="423" cm="1">
        <f t="array" ref="X677">_xlfn.IFERROR(W677*0.5%,"N/A")</f>
        <v>170779.735788491</v>
      </c>
      <c r="Y677" s="423" cm="1">
        <f t="array" ref="Y677">_xlfn.IFERROR(W677*25%,"N/A")</f>
        <v>8538986.789424529</v>
      </c>
      <c r="Z677" s="425" cm="1">
        <f t="array" ref="Z677">IF(B677&gt;0,SUM(W677:Y677),"N/A")</f>
        <v>42865713.6829111</v>
      </c>
      <c r="AA677" s="425" cm="1">
        <f t="array" ref="AA677">_xlfn.IFERROR((Z677-Z676),"N/A")</f>
        <v>188250</v>
      </c>
      <c r="AB677" s="424"/>
      <c r="AC677" t="str" s="426" cm="1">
        <f t="array" ref="AC677">IF(B677=6,AVERAGE(Z674:Z679),"N/A")</f>
        <v>N/A</v>
      </c>
      <c r="AD677" s="424"/>
      <c r="AE677" s="423"/>
      <c r="AF677" s="423"/>
      <c r="AG677" s="423"/>
      <c r="AH677" s="423"/>
      <c r="AI677" s="423"/>
      <c r="AJ677" s="423"/>
      <c r="AK677" s="423"/>
      <c r="AL677" s="423"/>
      <c r="AM677" s="423"/>
      <c r="AN677" s="427"/>
    </row>
    <row r="678" ht="15" customHeight="1">
      <c r="A678" s="12"/>
      <c r="B678" s="428" cm="1">
        <f t="array" ref="B678">IF(B677=0,0,IF(B677&lt;VLOOKUP(C671,'Boats Data Sheet 2026'!$C$3:$H$57,6,0),B677+1,0))</f>
        <v>5</v>
      </c>
      <c r="C678" s="423" cm="1">
        <f t="array" ref="C678">IF(B678&gt;0,IF(VLOOKUP(C671,'Boats Data Sheet 2026'!$C$3:$J$57,8,0)="N/A",0,VLOOKUP(C671,'Boats Data Sheet 2026'!$C$3:$J$57,8,0)),"N/A")</f>
        <v>29000000</v>
      </c>
      <c r="D678" s="429" cm="1">
        <f t="array" ref="D678">IF(B678&gt;7,2,IF(B678=0,"N/A",1))</f>
        <v>1</v>
      </c>
      <c r="E678" s="423" cm="1">
        <f t="array" ref="E678">_xlfn.IFERROR(SUM('Direct Costs 2026'!$C$4:$C$5)*D678,"N/A")</f>
        <v>875500</v>
      </c>
      <c r="F678" s="423"/>
      <c r="G678" s="423"/>
      <c r="H678" s="423"/>
      <c r="I678" s="423">
        <v>0</v>
      </c>
      <c r="J678" s="423">
        <v>0</v>
      </c>
      <c r="K678" s="423"/>
      <c r="L678" s="423"/>
      <c r="M678" s="423" cm="1">
        <f t="array" ref="M678">IF(B678&gt;0,'Direct Costs 2026'!$C$45*B678,"N/A")</f>
        <v>750000</v>
      </c>
      <c r="N678" t="str" s="431" cm="1">
        <f t="array" ref="N678">IF(B678&gt;0,_xlfn.IFERROR(VLOOKUP(C671,'Boats Data Sheet 2026'!$C$3:$I$57,7,0)*'Direct Costs 2026'!$C$36,"N/A"),"N/A")</f>
        <v>N/A</v>
      </c>
      <c r="O678" t="str" s="431" cm="1">
        <f t="array" ref="O678">IF(B678&gt;0,IF(OR(VLOOKUP(C671,'Boats Data Sheet 2026'!$C$3:$F$57,4,0)="Own",VLOOKUP(C671,'Boats Data Sheet 2026'!$C$3:$F$57,4,0)="Management"),('Direct Costs 2026'!$C$37+'Direct Costs 2026'!$C$39),"N/A"),"N/A")</f>
        <v>N/A</v>
      </c>
      <c r="P678" s="423" cm="1">
        <f t="array" ref="P678">_xlfn.IFERROR('Direct Costs 2026'!$C$27*C678,"N/A")</f>
        <v>580000</v>
      </c>
      <c r="Q678" s="423" cm="1">
        <f t="array" ref="Q678">_xlfn.IFERROR(C678+SUM(E678:P678),"N/A")</f>
        <v>31205500</v>
      </c>
      <c r="R678" s="424"/>
      <c r="S678" s="423" cm="1">
        <f t="array" ref="S678">IF(B678&gt;0,'Allocation OH and Target 2026'!$E$31,"N/A")</f>
        <v>3100447.15769812</v>
      </c>
      <c r="T678" s="423" cm="1">
        <f t="array" ref="T678">IF(B678&gt;0,VLOOKUP(C671,'Allocation OH and Target 2026'!$C$35:$S$91,16,0),"N/A")</f>
        <v>0</v>
      </c>
      <c r="U678" s="423" cm="1">
        <f t="array" ref="U678">_xlfn.IFERROR((S678+T678),"N/A")</f>
        <v>3100447.15769812</v>
      </c>
      <c r="V678" s="424"/>
      <c r="W678" s="423" cm="1">
        <f t="array" ref="W678">_xlfn.IFERROR(U678+Q678,"N/A")</f>
        <v>34305947.1576981</v>
      </c>
      <c r="X678" s="423" cm="1">
        <f t="array" ref="X678">_xlfn.IFERROR(W678*0.5%,"N/A")</f>
        <v>171529.735788491</v>
      </c>
      <c r="Y678" s="423" cm="1">
        <f t="array" ref="Y678">_xlfn.IFERROR(W678*25%,"N/A")</f>
        <v>8576486.789424529</v>
      </c>
      <c r="Z678" s="425" cm="1">
        <f t="array" ref="Z678">IF(B678&gt;0,SUM(W678:Y678),"N/A")</f>
        <v>43053963.6829111</v>
      </c>
      <c r="AA678" s="425" cm="1">
        <f t="array" ref="AA678">_xlfn.IFERROR((Z678-Z677),"N/A")</f>
        <v>188250</v>
      </c>
      <c r="AB678" s="424"/>
      <c r="AC678" t="str" s="426" cm="1">
        <f t="array" ref="AC678">IF(B678=6,AVERAGE(Z674:Z679),"N/A")</f>
        <v>N/A</v>
      </c>
      <c r="AD678" s="424"/>
      <c r="AE678" s="423"/>
      <c r="AF678" s="423"/>
      <c r="AG678" s="423"/>
      <c r="AH678" s="423"/>
      <c r="AI678" s="423"/>
      <c r="AJ678" s="423"/>
      <c r="AK678" s="423"/>
      <c r="AL678" s="423"/>
      <c r="AM678" s="423"/>
      <c r="AN678" s="427"/>
    </row>
    <row r="679" ht="15" customHeight="1">
      <c r="A679" s="12"/>
      <c r="B679" s="428" cm="1">
        <f t="array" ref="B679">IF(B678=0,0,IF(B678&lt;VLOOKUP(C671,'Boats Data Sheet 2026'!$C$3:$H$57,6,0),B678+1,0))</f>
        <v>6</v>
      </c>
      <c r="C679" s="423" cm="1">
        <f t="array" ref="C679">IF(B679&gt;0,IF(VLOOKUP(C671,'Boats Data Sheet 2026'!$C$3:$J$57,8,0)="N/A",0,VLOOKUP(C671,'Boats Data Sheet 2026'!$C$3:$J$57,8,0)),"N/A")</f>
        <v>29000000</v>
      </c>
      <c r="D679" s="429" cm="1">
        <f t="array" ref="D679">IF(B679&gt;7,2,IF(B679=0,"N/A",1))</f>
        <v>1</v>
      </c>
      <c r="E679" s="423" cm="1">
        <f t="array" ref="E679">_xlfn.IFERROR(SUM('Direct Costs 2026'!$C$4:$C$5)*D679,"N/A")</f>
        <v>875500</v>
      </c>
      <c r="F679" s="423"/>
      <c r="G679" s="423"/>
      <c r="H679" s="423"/>
      <c r="I679" s="423">
        <v>0</v>
      </c>
      <c r="J679" s="423">
        <v>0</v>
      </c>
      <c r="K679" s="423"/>
      <c r="L679" s="423"/>
      <c r="M679" s="423" cm="1">
        <f t="array" ref="M679">IF(B679&gt;0,'Direct Costs 2026'!$C$45*B679,"N/A")</f>
        <v>900000</v>
      </c>
      <c r="N679" t="str" s="431" cm="1">
        <f t="array" ref="N679">IF(B679&gt;0,_xlfn.IFERROR(VLOOKUP(C671,'Boats Data Sheet 2026'!$C$3:$I$57,7,0)*'Direct Costs 2026'!$C$36,"N/A"),"N/A")</f>
        <v>N/A</v>
      </c>
      <c r="O679" t="str" s="431" cm="1">
        <f t="array" ref="O679">IF(B679&gt;0,IF(OR(VLOOKUP(C671,'Boats Data Sheet 2026'!$C$3:$F$57,4,0)="Own",VLOOKUP(C671,'Boats Data Sheet 2026'!$C$3:$F$57,4,0)="Management"),('Direct Costs 2026'!$C$37+'Direct Costs 2026'!$C$39),"N/A"),"N/A")</f>
        <v>N/A</v>
      </c>
      <c r="P679" s="423" cm="1">
        <f t="array" ref="P679">_xlfn.IFERROR('Direct Costs 2026'!$C$27*C679,"N/A")</f>
        <v>580000</v>
      </c>
      <c r="Q679" s="423" cm="1">
        <f t="array" ref="Q679">_xlfn.IFERROR(C679+SUM(E679:P679),"N/A")</f>
        <v>31355500</v>
      </c>
      <c r="R679" s="424"/>
      <c r="S679" s="423" cm="1">
        <f t="array" ref="S679">IF(B679&gt;0,'Allocation OH and Target 2026'!$E$31,"N/A")</f>
        <v>3100447.15769812</v>
      </c>
      <c r="T679" s="423" cm="1">
        <f t="array" ref="T679">IF(B679&gt;0,VLOOKUP(C671,'Allocation OH and Target 2026'!$C$35:$S$91,16,0),"N/A")</f>
        <v>0</v>
      </c>
      <c r="U679" s="423" cm="1">
        <f t="array" ref="U679">_xlfn.IFERROR((S679+T679),"N/A")</f>
        <v>3100447.15769812</v>
      </c>
      <c r="V679" s="424"/>
      <c r="W679" s="423" cm="1">
        <f t="array" ref="W679">_xlfn.IFERROR(U679+Q679,"N/A")</f>
        <v>34455947.1576981</v>
      </c>
      <c r="X679" s="423" cm="1">
        <f t="array" ref="X679">_xlfn.IFERROR(W679*0.5%,"N/A")</f>
        <v>172279.735788491</v>
      </c>
      <c r="Y679" s="423" cm="1">
        <f t="array" ref="Y679">_xlfn.IFERROR(W679*25%,"N/A")</f>
        <v>8613986.789424529</v>
      </c>
      <c r="Z679" s="425" cm="1">
        <f t="array" ref="Z679">IF(B679&gt;0,SUM(W679:Y679),"N/A")</f>
        <v>43242213.6829111</v>
      </c>
      <c r="AA679" s="425" cm="1">
        <f t="array" ref="AA679">_xlfn.IFERROR((Z679-Z678),"N/A")</f>
        <v>188250</v>
      </c>
      <c r="AB679" s="424"/>
      <c r="AC679" s="425" cm="1">
        <f t="array" ref="AC679">IF(B679=6,AVERAGE(Z674:Z679),"N/A")</f>
        <v>42771588.6829111</v>
      </c>
      <c r="AD679" s="424"/>
      <c r="AE679" s="423"/>
      <c r="AF679" s="423"/>
      <c r="AG679" s="423"/>
      <c r="AH679" s="423"/>
      <c r="AI679" s="423"/>
      <c r="AJ679" s="423"/>
      <c r="AK679" s="423"/>
      <c r="AL679" s="423"/>
      <c r="AM679" s="423"/>
      <c r="AN679" s="427"/>
    </row>
    <row r="680" ht="15" customHeight="1">
      <c r="A680" s="12"/>
      <c r="B680" s="428" cm="1">
        <f t="array" ref="B680">IF(B679=0,0,IF(B679&lt;VLOOKUP(C671,'Boats Data Sheet 2026'!$C$3:$H$57,6,0),B679+1,0))</f>
        <v>7</v>
      </c>
      <c r="C680" s="423" cm="1">
        <f t="array" ref="C680">IF(B680&gt;0,IF(VLOOKUP(C671,'Boats Data Sheet 2026'!$C$3:$J$57,8,0)="N/A",0,VLOOKUP(C671,'Boats Data Sheet 2026'!$C$3:$J$57,8,0)),"N/A")</f>
        <v>29000000</v>
      </c>
      <c r="D680" s="429" cm="1">
        <f t="array" ref="D680">IF(B680&gt;7,2,IF(B680=0,"N/A",1))</f>
        <v>1</v>
      </c>
      <c r="E680" s="423" cm="1">
        <f t="array" ref="E680">_xlfn.IFERROR(SUM('Direct Costs 2026'!$C$4:$C$5)*D680,"N/A")</f>
        <v>875500</v>
      </c>
      <c r="F680" s="423"/>
      <c r="G680" s="423"/>
      <c r="H680" s="423"/>
      <c r="I680" s="423">
        <v>0</v>
      </c>
      <c r="J680" s="423">
        <v>0</v>
      </c>
      <c r="K680" s="423"/>
      <c r="L680" s="423"/>
      <c r="M680" s="423" cm="1">
        <f t="array" ref="M680">IF(B680&gt;0,'Direct Costs 2026'!$C$45*B680,"N/A")</f>
        <v>1050000</v>
      </c>
      <c r="N680" t="str" s="431" cm="1">
        <f t="array" ref="N680">IF(B680&gt;0,_xlfn.IFERROR(VLOOKUP(C671,'Boats Data Sheet 2026'!$C$3:$I$57,7,0)*'Direct Costs 2026'!$C$36,"N/A"),"N/A")</f>
        <v>N/A</v>
      </c>
      <c r="O680" t="str" s="431" cm="1">
        <f t="array" ref="O680">IF(B680&gt;0,IF(OR(VLOOKUP(C671,'Boats Data Sheet 2026'!$C$3:$F$57,4,0)="Own",VLOOKUP(C671,'Boats Data Sheet 2026'!$C$3:$F$57,4,0)="Management"),('Direct Costs 2026'!$C$37+'Direct Costs 2026'!$C$39),"N/A"),"N/A")</f>
        <v>N/A</v>
      </c>
      <c r="P680" s="423" cm="1">
        <f t="array" ref="P680">_xlfn.IFERROR('Direct Costs 2026'!$C$27*C680,"N/A")</f>
        <v>580000</v>
      </c>
      <c r="Q680" s="423" cm="1">
        <f t="array" ref="Q680">_xlfn.IFERROR(C680+SUM(E680:P680),"N/A")</f>
        <v>31505500</v>
      </c>
      <c r="R680" s="424"/>
      <c r="S680" s="423" cm="1">
        <f t="array" ref="S680">IF(B680&gt;0,'Allocation OH and Target 2026'!$E$31,"N/A")</f>
        <v>3100447.15769812</v>
      </c>
      <c r="T680" s="423" cm="1">
        <f t="array" ref="T680">IF(B680&gt;0,VLOOKUP(C671,'Allocation OH and Target 2026'!$C$35:$S$91,16,0),"N/A")</f>
        <v>0</v>
      </c>
      <c r="U680" s="423" cm="1">
        <f t="array" ref="U680">_xlfn.IFERROR((S680+T680),"N/A")</f>
        <v>3100447.15769812</v>
      </c>
      <c r="V680" s="424"/>
      <c r="W680" s="423" cm="1">
        <f t="array" ref="W680">_xlfn.IFERROR(U680+Q680,"N/A")</f>
        <v>34605947.1576981</v>
      </c>
      <c r="X680" s="423" cm="1">
        <f t="array" ref="X680">_xlfn.IFERROR(W680*0.5%,"N/A")</f>
        <v>173029.735788491</v>
      </c>
      <c r="Y680" s="423" cm="1">
        <f t="array" ref="Y680">_xlfn.IFERROR(W680*25%,"N/A")</f>
        <v>8651486.789424529</v>
      </c>
      <c r="Z680" s="425" cm="1">
        <f t="array" ref="Z680">IF(B680&gt;0,SUM(W680:Y680),"N/A")</f>
        <v>43430463.6829111</v>
      </c>
      <c r="AA680" s="425" cm="1">
        <f t="array" ref="AA680">_xlfn.IFERROR((Z680-Z679),"N/A")</f>
        <v>188250</v>
      </c>
      <c r="AB680" s="424"/>
      <c r="AC680" t="str" s="426" cm="1">
        <f t="array" ref="AC680">IF(B680=6,AVERAGE(Z674:Z679),"N/A")</f>
        <v>N/A</v>
      </c>
      <c r="AD680" s="424"/>
      <c r="AE680" s="423"/>
      <c r="AF680" s="423"/>
      <c r="AG680" s="423"/>
      <c r="AH680" s="423"/>
      <c r="AI680" s="423"/>
      <c r="AJ680" s="423"/>
      <c r="AK680" s="423"/>
      <c r="AL680" s="423"/>
      <c r="AM680" s="423"/>
      <c r="AN680" s="427"/>
    </row>
    <row r="681" ht="15" customHeight="1">
      <c r="A681" s="12"/>
      <c r="B681" s="428" cm="1">
        <f t="array" ref="B681">IF(B680=0,0,IF(B680&lt;VLOOKUP(C671,'Boats Data Sheet 2026'!$C$3:$H$57,6,0),B680+1,0))</f>
        <v>8</v>
      </c>
      <c r="C681" s="423" cm="1">
        <f t="array" ref="C681">IF(B681&gt;0,IF(VLOOKUP(C671,'Boats Data Sheet 2026'!$C$3:$J$57,8,0)="N/A",0,VLOOKUP(C671,'Boats Data Sheet 2026'!$C$3:$J$57,8,0)),"N/A")</f>
        <v>29000000</v>
      </c>
      <c r="D681" s="429" cm="1">
        <f t="array" ref="D681">IF(B681&gt;7,2,IF(B681=0,"N/A",1))</f>
        <v>2</v>
      </c>
      <c r="E681" s="423" cm="1">
        <f t="array" ref="E681">_xlfn.IFERROR(SUM('Direct Costs 2026'!$C$4:$C$5)*D681,"N/A")</f>
        <v>1751000</v>
      </c>
      <c r="F681" s="423"/>
      <c r="G681" s="423"/>
      <c r="H681" s="423"/>
      <c r="I681" s="423">
        <v>0</v>
      </c>
      <c r="J681" s="423">
        <v>0</v>
      </c>
      <c r="K681" s="423"/>
      <c r="L681" s="423"/>
      <c r="M681" s="423" cm="1">
        <f t="array" ref="M681">IF(B681&gt;0,'Direct Costs 2026'!$C$45*B681,"N/A")</f>
        <v>1200000</v>
      </c>
      <c r="N681" t="str" s="431" cm="1">
        <f t="array" ref="N681">IF(B681&gt;0,_xlfn.IFERROR(VLOOKUP(C671,'Boats Data Sheet 2026'!$C$3:$I$57,7,0)*'Direct Costs 2026'!$C$36,"N/A"),"N/A")</f>
        <v>N/A</v>
      </c>
      <c r="O681" t="str" s="431" cm="1">
        <f t="array" ref="O681">IF(B681&gt;0,IF(OR(VLOOKUP(C671,'Boats Data Sheet 2026'!$C$3:$F$57,4,0)="Own",VLOOKUP(C671,'Boats Data Sheet 2026'!$C$3:$F$57,4,0)="Management"),('Direct Costs 2026'!$C$37+'Direct Costs 2026'!$C$39),"N/A"),"N/A")</f>
        <v>N/A</v>
      </c>
      <c r="P681" s="423" cm="1">
        <f t="array" ref="P681">_xlfn.IFERROR('Direct Costs 2026'!$C$27*C681,"N/A")</f>
        <v>580000</v>
      </c>
      <c r="Q681" s="423" cm="1">
        <f t="array" ref="Q681">_xlfn.IFERROR(C681+SUM(E681:P681),"N/A")</f>
        <v>32531000</v>
      </c>
      <c r="R681" s="424"/>
      <c r="S681" s="423" cm="1">
        <f t="array" ref="S681">IF(B681&gt;0,'Allocation OH and Target 2026'!$E$31,"N/A")</f>
        <v>3100447.15769812</v>
      </c>
      <c r="T681" s="423" cm="1">
        <f t="array" ref="T681">IF(B681&gt;0,VLOOKUP(C671,'Allocation OH and Target 2026'!$C$35:$S$91,16,0),"N/A")</f>
        <v>0</v>
      </c>
      <c r="U681" s="423" cm="1">
        <f t="array" ref="U681">_xlfn.IFERROR((S681+T681),"N/A")</f>
        <v>3100447.15769812</v>
      </c>
      <c r="V681" s="424"/>
      <c r="W681" s="423" cm="1">
        <f t="array" ref="W681">_xlfn.IFERROR(U681+Q681,"N/A")</f>
        <v>35631447.1576981</v>
      </c>
      <c r="X681" s="423" cm="1">
        <f t="array" ref="X681">_xlfn.IFERROR(W681*0.5%,"N/A")</f>
        <v>178157.235788491</v>
      </c>
      <c r="Y681" s="423" cm="1">
        <f t="array" ref="Y681">_xlfn.IFERROR(W681*25%,"N/A")</f>
        <v>8907861.789424529</v>
      </c>
      <c r="Z681" s="425" cm="1">
        <f t="array" ref="Z681">IF(B681&gt;0,SUM(W681:Y681),"N/A")</f>
        <v>44717466.1829111</v>
      </c>
      <c r="AA681" s="425" cm="1">
        <f t="array" ref="AA681">_xlfn.IFERROR((Z681-Z680),"N/A")</f>
        <v>1287002.5</v>
      </c>
      <c r="AB681" s="424"/>
      <c r="AC681" t="str" s="426" cm="1">
        <f t="array" ref="AC681">IF(B681=6,AVERAGE(Z674:Z679),"N/A")</f>
        <v>N/A</v>
      </c>
      <c r="AD681" s="424"/>
      <c r="AE681" s="423"/>
      <c r="AF681" s="423"/>
      <c r="AG681" s="423"/>
      <c r="AH681" s="423"/>
      <c r="AI681" s="423"/>
      <c r="AJ681" s="423"/>
      <c r="AK681" s="423"/>
      <c r="AL681" s="423"/>
      <c r="AM681" s="423"/>
      <c r="AN681" s="427"/>
    </row>
    <row r="682" ht="15" customHeight="1">
      <c r="A682" s="12"/>
      <c r="B682" s="428" cm="1">
        <f t="array" ref="B682">IF(B681=0,0,IF(B681&lt;VLOOKUP(C671,'Boats Data Sheet 2026'!$C$3:$H$57,6,0),B681+1,0))</f>
        <v>9</v>
      </c>
      <c r="C682" s="423" cm="1">
        <f t="array" ref="C682">IF(B682&gt;0,IF(VLOOKUP(C671,'Boats Data Sheet 2026'!$C$3:$J$57,8,0)="N/A",0,VLOOKUP(C671,'Boats Data Sheet 2026'!$C$3:$J$57,8,0)),"N/A")</f>
        <v>29000000</v>
      </c>
      <c r="D682" s="430" cm="1">
        <f t="array" ref="D682">IF(B682&gt;7,2,IF(B682=0,"N/A",1))</f>
        <v>2</v>
      </c>
      <c r="E682" s="423" cm="1">
        <f t="array" ref="E682">_xlfn.IFERROR(SUM('Direct Costs 2026'!$C$4:$C$5)*D682,"N/A")</f>
        <v>1751000</v>
      </c>
      <c r="F682" s="423"/>
      <c r="G682" s="423"/>
      <c r="H682" s="423"/>
      <c r="I682" s="423">
        <v>0</v>
      </c>
      <c r="J682" s="423">
        <v>0</v>
      </c>
      <c r="K682" s="423"/>
      <c r="L682" s="423"/>
      <c r="M682" s="423" cm="1">
        <f t="array" ref="M682">IF(B682&gt;0,'Direct Costs 2026'!$C$45*B682,"N/A")</f>
        <v>1350000</v>
      </c>
      <c r="N682" t="str" s="431" cm="1">
        <f t="array" ref="N682">IF(B682&gt;0,_xlfn.IFERROR(VLOOKUP(C671,'Boats Data Sheet 2026'!$C$3:$I$57,7,0)*'Direct Costs 2026'!$C$36,"N/A"),"N/A")</f>
        <v>N/A</v>
      </c>
      <c r="O682" t="str" s="431" cm="1">
        <f t="array" ref="O682">IF(B682&gt;0,IF(OR(VLOOKUP(C671,'Boats Data Sheet 2026'!$C$3:$F$57,4,0)="Own",VLOOKUP(C671,'Boats Data Sheet 2026'!$C$3:$F$57,4,0)="Management"),('Direct Costs 2026'!$C$37+'Direct Costs 2026'!$C$39),"N/A"),"N/A")</f>
        <v>N/A</v>
      </c>
      <c r="P682" s="423" cm="1">
        <f t="array" ref="P682">_xlfn.IFERROR('Direct Costs 2026'!$C$27*C682,"N/A")</f>
        <v>580000</v>
      </c>
      <c r="Q682" s="423" cm="1">
        <f t="array" ref="Q682">_xlfn.IFERROR(C682+SUM(E682:P682),"N/A")</f>
        <v>32681000</v>
      </c>
      <c r="R682" s="424"/>
      <c r="S682" s="423" cm="1">
        <f t="array" ref="S682">IF(B682&gt;0,'Allocation OH and Target 2026'!$E$31,"N/A")</f>
        <v>3100447.15769812</v>
      </c>
      <c r="T682" s="423" cm="1">
        <f t="array" ref="T682">IF(B682&gt;0,VLOOKUP(C671,'Allocation OH and Target 2026'!$C$35:$S$91,16,0),"N/A")</f>
        <v>0</v>
      </c>
      <c r="U682" s="423" cm="1">
        <f t="array" ref="U682">_xlfn.IFERROR((S682+T682),"N/A")</f>
        <v>3100447.15769812</v>
      </c>
      <c r="V682" s="424"/>
      <c r="W682" s="423" cm="1">
        <f t="array" ref="W682">_xlfn.IFERROR(U682+Q682,"N/A")</f>
        <v>35781447.1576981</v>
      </c>
      <c r="X682" s="423" cm="1">
        <f t="array" ref="X682">_xlfn.IFERROR(W682*0.5%,"N/A")</f>
        <v>178907.235788491</v>
      </c>
      <c r="Y682" s="423" cm="1">
        <f t="array" ref="Y682">_xlfn.IFERROR(W682*25%,"N/A")</f>
        <v>8945361.789424529</v>
      </c>
      <c r="Z682" s="425" cm="1">
        <f t="array" ref="Z682">IF(B682&gt;0,SUM(W682:Y682),"N/A")</f>
        <v>44905716.1829111</v>
      </c>
      <c r="AA682" s="425" cm="1">
        <f t="array" ref="AA682">_xlfn.IFERROR((Z682-Z681),"N/A")</f>
        <v>188250</v>
      </c>
      <c r="AB682" s="424"/>
      <c r="AC682" t="str" s="426" cm="1">
        <f t="array" ref="AC682">IF(B682=6,AVERAGE(Z674:Z679),"N/A")</f>
        <v>N/A</v>
      </c>
      <c r="AD682" s="424"/>
      <c r="AE682" s="423"/>
      <c r="AF682" s="423"/>
      <c r="AG682" s="423"/>
      <c r="AH682" s="423"/>
      <c r="AI682" s="423"/>
      <c r="AJ682" s="423"/>
      <c r="AK682" s="423"/>
      <c r="AL682" s="423"/>
      <c r="AM682" s="423"/>
      <c r="AN682" s="427"/>
    </row>
    <row r="683" ht="15" customHeight="1">
      <c r="A683" s="12"/>
      <c r="B683" s="428" cm="1">
        <f t="array" ref="B683">IF(B682=0,0,IF(B682&lt;VLOOKUP(C671,'Boats Data Sheet 2026'!$C$3:$H$57,6,0),B682+1,0))</f>
        <v>10</v>
      </c>
      <c r="C683" s="423" cm="1">
        <f t="array" ref="C683">IF(B683&gt;0,IF(VLOOKUP(C671,'Boats Data Sheet 2026'!$C$3:$J$57,8,0)="N/A",0,VLOOKUP(C671,'Boats Data Sheet 2026'!$C$3:$J$57,8,0)),"N/A")</f>
        <v>29000000</v>
      </c>
      <c r="D683" s="430" cm="1">
        <f t="array" ref="D683">IF(B683&gt;7,2,IF(B683=0,"N/A",1))</f>
        <v>2</v>
      </c>
      <c r="E683" s="423" cm="1">
        <f t="array" ref="E683">_xlfn.IFERROR(SUM('Direct Costs 2026'!$C$4:$C$5)*D683,"N/A")</f>
        <v>1751000</v>
      </c>
      <c r="F683" s="423"/>
      <c r="G683" s="423"/>
      <c r="H683" s="423"/>
      <c r="I683" s="423">
        <v>0</v>
      </c>
      <c r="J683" s="423">
        <v>0</v>
      </c>
      <c r="K683" s="423"/>
      <c r="L683" s="423"/>
      <c r="M683" s="423" cm="1">
        <f t="array" ref="M683">IF(B683&gt;0,'Direct Costs 2026'!$C$45*B683,"N/A")</f>
        <v>1500000</v>
      </c>
      <c r="N683" t="str" s="431" cm="1">
        <f t="array" ref="N683">IF(B683&gt;0,_xlfn.IFERROR(VLOOKUP(C671,'Boats Data Sheet 2026'!$C$3:$I$57,7,0)*'Direct Costs 2026'!$C$36,"N/A"),"N/A")</f>
        <v>N/A</v>
      </c>
      <c r="O683" t="str" s="431" cm="1">
        <f t="array" ref="O683">IF(B683&gt;0,IF(OR(VLOOKUP(C671,'Boats Data Sheet 2026'!$C$3:$F$57,4,0)="Own",VLOOKUP(C671,'Boats Data Sheet 2026'!$C$3:$F$57,4,0)="Management"),('Direct Costs 2026'!$C$37+'Direct Costs 2026'!$C$39),"N/A"),"N/A")</f>
        <v>N/A</v>
      </c>
      <c r="P683" s="423" cm="1">
        <f t="array" ref="P683">_xlfn.IFERROR('Direct Costs 2026'!$C$27*C683,"N/A")</f>
        <v>580000</v>
      </c>
      <c r="Q683" s="423" cm="1">
        <f t="array" ref="Q683">_xlfn.IFERROR(C683+SUM(E683:P683),"N/A")</f>
        <v>32831000</v>
      </c>
      <c r="R683" s="424"/>
      <c r="S683" s="423" cm="1">
        <f t="array" ref="S683">IF(B683&gt;0,'Allocation OH and Target 2026'!$E$31,"N/A")</f>
        <v>3100447.15769812</v>
      </c>
      <c r="T683" s="423" cm="1">
        <f t="array" ref="T683">IF(B683&gt;0,VLOOKUP(C671,'Allocation OH and Target 2026'!$C$35:$S$91,16,0),"N/A")</f>
        <v>0</v>
      </c>
      <c r="U683" s="423" cm="1">
        <f t="array" ref="U683">_xlfn.IFERROR((S683+T683),"N/A")</f>
        <v>3100447.15769812</v>
      </c>
      <c r="V683" s="424"/>
      <c r="W683" s="423" cm="1">
        <f t="array" ref="W683">_xlfn.IFERROR(U683+Q683,"N/A")</f>
        <v>35931447.1576981</v>
      </c>
      <c r="X683" s="423" cm="1">
        <f t="array" ref="X683">_xlfn.IFERROR(W683*0.5%,"N/A")</f>
        <v>179657.235788491</v>
      </c>
      <c r="Y683" s="423" cm="1">
        <f t="array" ref="Y683">_xlfn.IFERROR(W683*25%,"N/A")</f>
        <v>8982861.789424529</v>
      </c>
      <c r="Z683" s="425" cm="1">
        <f t="array" ref="Z683">IF(B683&gt;0,SUM(W683:Y683),"N/A")</f>
        <v>45093966.1829111</v>
      </c>
      <c r="AA683" s="425" cm="1">
        <f t="array" ref="AA683">_xlfn.IFERROR((Z683-Z682),"N/A")</f>
        <v>188250</v>
      </c>
      <c r="AB683" s="424"/>
      <c r="AC683" t="str" s="426" cm="1">
        <f t="array" ref="AC683">IF(B683=6,AVERAGE(Z674:Z679),"N/A")</f>
        <v>N/A</v>
      </c>
      <c r="AD683" s="424"/>
      <c r="AE683" s="423"/>
      <c r="AF683" s="423"/>
      <c r="AG683" s="423"/>
      <c r="AH683" s="423"/>
      <c r="AI683" s="423"/>
      <c r="AJ683" s="423"/>
      <c r="AK683" s="423"/>
      <c r="AL683" s="423"/>
      <c r="AM683" s="423"/>
      <c r="AN683" s="427"/>
    </row>
    <row r="684" ht="15" customHeight="1">
      <c r="A684" s="12"/>
      <c r="B684" s="428" cm="1">
        <f t="array" ref="B684">IF(B683=0,0,IF(B683&lt;VLOOKUP(C671,'Boats Data Sheet 2026'!$C$3:$H$57,6,0),B683+1,0))</f>
        <v>11</v>
      </c>
      <c r="C684" s="423" cm="1">
        <f t="array" ref="C684">IF(B684&gt;0,IF(VLOOKUP(C671,'Boats Data Sheet 2026'!$C$3:$J$57,8,0)="N/A",0,VLOOKUP(C671,'Boats Data Sheet 2026'!$C$3:$J$57,8,0)),"N/A")</f>
        <v>29000000</v>
      </c>
      <c r="D684" s="430" cm="1">
        <f t="array" ref="D684">IF(B684&gt;7,2,IF(B684=0,"N/A",1))</f>
        <v>2</v>
      </c>
      <c r="E684" s="423" cm="1">
        <f t="array" ref="E684">_xlfn.IFERROR(SUM('Direct Costs 2026'!$C$4:$C$5)*D684,"N/A")</f>
        <v>1751000</v>
      </c>
      <c r="F684" s="423"/>
      <c r="G684" s="423"/>
      <c r="H684" s="423"/>
      <c r="I684" s="423">
        <v>0</v>
      </c>
      <c r="J684" s="423">
        <v>0</v>
      </c>
      <c r="K684" s="423"/>
      <c r="L684" s="423"/>
      <c r="M684" s="423" cm="1">
        <f t="array" ref="M684">IF(B684&gt;0,'Direct Costs 2026'!$C$45*B684,"N/A")</f>
        <v>1650000</v>
      </c>
      <c r="N684" t="str" s="431" cm="1">
        <f t="array" ref="N684">IF(B684&gt;0,_xlfn.IFERROR(VLOOKUP(C671,'Boats Data Sheet 2026'!$C$3:$I$57,7,0)*'Direct Costs 2026'!$C$36,"N/A"),"N/A")</f>
        <v>N/A</v>
      </c>
      <c r="O684" t="str" s="431" cm="1">
        <f t="array" ref="O684">IF(B684&gt;0,IF(OR(VLOOKUP(C671,'Boats Data Sheet 2026'!$C$3:$F$57,4,0)="Own",VLOOKUP(C671,'Boats Data Sheet 2026'!$C$3:$F$57,4,0)="Management"),('Direct Costs 2026'!$C$37+'Direct Costs 2026'!$C$39),"N/A"),"N/A")</f>
        <v>N/A</v>
      </c>
      <c r="P684" s="423" cm="1">
        <f t="array" ref="P684">_xlfn.IFERROR('Direct Costs 2026'!$C$27*C684,"N/A")</f>
        <v>580000</v>
      </c>
      <c r="Q684" s="423" cm="1">
        <f t="array" ref="Q684">_xlfn.IFERROR(C684+SUM(E684:P684),"N/A")</f>
        <v>32981000</v>
      </c>
      <c r="R684" s="424"/>
      <c r="S684" s="423" cm="1">
        <f t="array" ref="S684">IF(B684&gt;0,'Allocation OH and Target 2026'!$E$31,"N/A")</f>
        <v>3100447.15769812</v>
      </c>
      <c r="T684" s="423" cm="1">
        <f t="array" ref="T684">IF(B684&gt;0,VLOOKUP(C671,'Allocation OH and Target 2026'!$C$35:$S$91,16,0),"N/A")</f>
        <v>0</v>
      </c>
      <c r="U684" s="423" cm="1">
        <f t="array" ref="U684">_xlfn.IFERROR((S684+T684),"N/A")</f>
        <v>3100447.15769812</v>
      </c>
      <c r="V684" s="424"/>
      <c r="W684" s="423" cm="1">
        <f t="array" ref="W684">_xlfn.IFERROR(U684+Q684,"N/A")</f>
        <v>36081447.1576981</v>
      </c>
      <c r="X684" s="423" cm="1">
        <f t="array" ref="X684">_xlfn.IFERROR(W684*0.5%,"N/A")</f>
        <v>180407.235788491</v>
      </c>
      <c r="Y684" s="423" cm="1">
        <f t="array" ref="Y684">_xlfn.IFERROR(W684*25%,"N/A")</f>
        <v>9020361.789424529</v>
      </c>
      <c r="Z684" s="425" cm="1">
        <f t="array" ref="Z684">IF(B684&gt;0,SUM(W684:Y684),"N/A")</f>
        <v>45282216.1829111</v>
      </c>
      <c r="AA684" s="425" cm="1">
        <f t="array" ref="AA684">_xlfn.IFERROR((Z684-Z683),"N/A")</f>
        <v>188250</v>
      </c>
      <c r="AB684" s="424"/>
      <c r="AC684" t="str" s="426" cm="1">
        <f t="array" ref="AC684">IF(B684=6,AVERAGE(Z674:Z679),"N/A")</f>
        <v>N/A</v>
      </c>
      <c r="AD684" s="424"/>
      <c r="AE684" s="423"/>
      <c r="AF684" s="423"/>
      <c r="AG684" s="423"/>
      <c r="AH684" s="423"/>
      <c r="AI684" s="423"/>
      <c r="AJ684" s="423"/>
      <c r="AK684" s="423"/>
      <c r="AL684" s="423"/>
      <c r="AM684" s="423"/>
      <c r="AN684" s="427"/>
    </row>
    <row r="685" ht="15" customHeight="1">
      <c r="A685" s="12"/>
      <c r="B685" s="428" cm="1">
        <f t="array" ref="B685">IF(B684=0,0,IF(B684&lt;VLOOKUP(C671,'Boats Data Sheet 2026'!$C$3:$H$57,6,0),B684+1,0))</f>
        <v>12</v>
      </c>
      <c r="C685" s="423" cm="1">
        <f t="array" ref="C685">IF(B685&gt;0,IF(VLOOKUP(C671,'Boats Data Sheet 2026'!$C$3:$J$57,8,0)="N/A",0,VLOOKUP(C671,'Boats Data Sheet 2026'!$C$3:$J$57,8,0)),"N/A")</f>
        <v>29000000</v>
      </c>
      <c r="D685" s="430" cm="1">
        <f t="array" ref="D685">IF(B685&gt;7,2,IF(B685=0,"N/A",1))</f>
        <v>2</v>
      </c>
      <c r="E685" s="423" cm="1">
        <f t="array" ref="E685">_xlfn.IFERROR(SUM('Direct Costs 2026'!$C$4:$C$5)*D685,"N/A")</f>
        <v>1751000</v>
      </c>
      <c r="F685" s="423"/>
      <c r="G685" s="423"/>
      <c r="H685" s="423"/>
      <c r="I685" s="423">
        <v>0</v>
      </c>
      <c r="J685" s="423">
        <v>0</v>
      </c>
      <c r="K685" s="423"/>
      <c r="L685" s="423"/>
      <c r="M685" s="423" cm="1">
        <f t="array" ref="M685">IF(B685&gt;0,'Direct Costs 2026'!$C$45*B685,"N/A")</f>
        <v>1800000</v>
      </c>
      <c r="N685" t="str" s="431" cm="1">
        <f t="array" ref="N685">IF(B685&gt;0,_xlfn.IFERROR(VLOOKUP(C671,'Boats Data Sheet 2026'!$C$3:$I$57,7,0)*'Direct Costs 2026'!$C$36,"N/A"),"N/A")</f>
        <v>N/A</v>
      </c>
      <c r="O685" t="str" s="431" cm="1">
        <f t="array" ref="O685">IF(B685&gt;0,IF(OR(VLOOKUP(C671,'Boats Data Sheet 2026'!$C$3:$F$57,4,0)="Own",VLOOKUP(C671,'Boats Data Sheet 2026'!$C$3:$F$57,4,0)="Management"),('Direct Costs 2026'!$C$37+'Direct Costs 2026'!$C$39),"N/A"),"N/A")</f>
        <v>N/A</v>
      </c>
      <c r="P685" s="423" cm="1">
        <f t="array" ref="P685">_xlfn.IFERROR('Direct Costs 2026'!$C$27*C685,"N/A")</f>
        <v>580000</v>
      </c>
      <c r="Q685" s="423" cm="1">
        <f t="array" ref="Q685">_xlfn.IFERROR(C685+SUM(E685:P685),"N/A")</f>
        <v>33131000</v>
      </c>
      <c r="R685" s="424"/>
      <c r="S685" s="423" cm="1">
        <f t="array" ref="S685">IF(B685&gt;0,'Allocation OH and Target 2026'!$E$31,"N/A")</f>
        <v>3100447.15769812</v>
      </c>
      <c r="T685" s="423" cm="1">
        <f t="array" ref="T685">IF(B685&gt;0,VLOOKUP(C671,'Allocation OH and Target 2026'!$C$35:$S$91,16,0),"N/A")</f>
        <v>0</v>
      </c>
      <c r="U685" s="423" cm="1">
        <f t="array" ref="U685">_xlfn.IFERROR((S685+T685),"N/A")</f>
        <v>3100447.15769812</v>
      </c>
      <c r="V685" s="424"/>
      <c r="W685" s="423" cm="1">
        <f t="array" ref="W685">_xlfn.IFERROR(U685+Q685,"N/A")</f>
        <v>36231447.1576981</v>
      </c>
      <c r="X685" s="423" cm="1">
        <f t="array" ref="X685">_xlfn.IFERROR(W685*0.5%,"N/A")</f>
        <v>181157.235788491</v>
      </c>
      <c r="Y685" s="423" cm="1">
        <f t="array" ref="Y685">_xlfn.IFERROR(W685*25%,"N/A")</f>
        <v>9057861.789424529</v>
      </c>
      <c r="Z685" s="425" cm="1">
        <f t="array" ref="Z685">IF(B685&gt;0,SUM(W685:Y685),"N/A")</f>
        <v>45470466.1829111</v>
      </c>
      <c r="AA685" s="425" cm="1">
        <f t="array" ref="AA685">_xlfn.IFERROR((Z685-Z684),"N/A")</f>
        <v>188250</v>
      </c>
      <c r="AB685" s="424"/>
      <c r="AC685" t="str" s="426" cm="1">
        <f t="array" ref="AC685">IF(B685=6,AVERAGE(Z674:Z679),"N/A")</f>
        <v>N/A</v>
      </c>
      <c r="AD685" s="424"/>
      <c r="AE685" s="423"/>
      <c r="AF685" s="423"/>
      <c r="AG685" s="423"/>
      <c r="AH685" s="423"/>
      <c r="AI685" s="423"/>
      <c r="AJ685" s="423"/>
      <c r="AK685" s="423"/>
      <c r="AL685" s="423"/>
      <c r="AM685" s="423"/>
      <c r="AN685" s="427"/>
    </row>
    <row r="686" ht="15" customHeight="1">
      <c r="A686" s="12"/>
      <c r="B686" s="428" cm="1">
        <f t="array" ref="B686">IF(B685=0,0,IF(B685&lt;VLOOKUP(C671,'Boats Data Sheet 2026'!$C$3:$H$57,6,0),B685+1,0))</f>
        <v>13</v>
      </c>
      <c r="C686" s="423" cm="1">
        <f t="array" ref="C686">IF(B686&gt;0,IF(VLOOKUP(C671,'Boats Data Sheet 2026'!$C$3:$J$57,8,0)="N/A",0,VLOOKUP(C671,'Boats Data Sheet 2026'!$C$3:$J$57,8,0)),"N/A")</f>
        <v>29000000</v>
      </c>
      <c r="D686" s="430" cm="1">
        <f t="array" ref="D686">IF(B686&gt;7,2,IF(B686=0,"N/A",1))</f>
        <v>2</v>
      </c>
      <c r="E686" s="423" cm="1">
        <f t="array" ref="E686">_xlfn.IFERROR(SUM('Direct Costs 2026'!$C$4:$C$5)*D686,"N/A")</f>
        <v>1751000</v>
      </c>
      <c r="F686" s="423"/>
      <c r="G686" s="423"/>
      <c r="H686" s="423"/>
      <c r="I686" s="423">
        <v>0</v>
      </c>
      <c r="J686" s="423">
        <v>0</v>
      </c>
      <c r="K686" s="423"/>
      <c r="L686" s="423"/>
      <c r="M686" s="423" cm="1">
        <f t="array" ref="M686">IF(B686&gt;0,'Direct Costs 2026'!$C$45*B686,"N/A")</f>
        <v>1950000</v>
      </c>
      <c r="N686" t="str" s="431" cm="1">
        <f t="array" ref="N686">IF(B686&gt;0,_xlfn.IFERROR(VLOOKUP(C671,'Boats Data Sheet 2026'!$C$3:$I$57,7,0)*'Direct Costs 2026'!$C$36,"N/A"),"N/A")</f>
        <v>N/A</v>
      </c>
      <c r="O686" t="str" s="431" cm="1">
        <f t="array" ref="O686">IF(B686&gt;0,IF(OR(VLOOKUP(C671,'Boats Data Sheet 2026'!$C$3:$F$57,4,0)="Own",VLOOKUP(C671,'Boats Data Sheet 2026'!$C$3:$F$57,4,0)="Management"),('Direct Costs 2026'!$C$37+'Direct Costs 2026'!$C$39),"N/A"),"N/A")</f>
        <v>N/A</v>
      </c>
      <c r="P686" s="423" cm="1">
        <f t="array" ref="P686">_xlfn.IFERROR('Direct Costs 2026'!$C$27*C686,"N/A")</f>
        <v>580000</v>
      </c>
      <c r="Q686" s="423" cm="1">
        <f t="array" ref="Q686">_xlfn.IFERROR(C686+SUM(E686:P686),"N/A")</f>
        <v>33281000</v>
      </c>
      <c r="R686" s="424"/>
      <c r="S686" s="423" cm="1">
        <f t="array" ref="S686">IF(B686&gt;0,'Allocation OH and Target 2026'!$E$31,"N/A")</f>
        <v>3100447.15769812</v>
      </c>
      <c r="T686" s="423" cm="1">
        <f t="array" ref="T686">IF(B686&gt;0,VLOOKUP(C671,'Allocation OH and Target 2026'!$C$35:$S$91,16,0),"N/A")</f>
        <v>0</v>
      </c>
      <c r="U686" s="423" cm="1">
        <f t="array" ref="U686">_xlfn.IFERROR((S686+T686),"N/A")</f>
        <v>3100447.15769812</v>
      </c>
      <c r="V686" s="424"/>
      <c r="W686" s="423" cm="1">
        <f t="array" ref="W686">_xlfn.IFERROR(U686+Q686,"N/A")</f>
        <v>36381447.1576981</v>
      </c>
      <c r="X686" s="423" cm="1">
        <f t="array" ref="X686">_xlfn.IFERROR(W686*0.5%,"N/A")</f>
        <v>181907.235788491</v>
      </c>
      <c r="Y686" s="423" cm="1">
        <f t="array" ref="Y686">_xlfn.IFERROR(W686*25%,"N/A")</f>
        <v>9095361.789424529</v>
      </c>
      <c r="Z686" s="425" cm="1">
        <f t="array" ref="Z686">IF(B686&gt;0,SUM(W686:Y686),"N/A")</f>
        <v>45658716.1829111</v>
      </c>
      <c r="AA686" s="425" cm="1">
        <f t="array" ref="AA686">_xlfn.IFERROR((Z686-Z685),"N/A")</f>
        <v>188250</v>
      </c>
      <c r="AB686" s="424"/>
      <c r="AC686" t="str" s="426" cm="1">
        <f t="array" ref="AC686">IF(B686=6,AVERAGE(Z674:Z679),"N/A")</f>
        <v>N/A</v>
      </c>
      <c r="AD686" s="424"/>
      <c r="AE686" s="423"/>
      <c r="AF686" s="423"/>
      <c r="AG686" s="423"/>
      <c r="AH686" s="423"/>
      <c r="AI686" s="423"/>
      <c r="AJ686" s="423"/>
      <c r="AK686" s="423"/>
      <c r="AL686" s="423"/>
      <c r="AM686" s="423"/>
      <c r="AN686" s="427"/>
    </row>
    <row r="687" ht="15" customHeight="1">
      <c r="A687" s="12"/>
      <c r="B687" s="428" cm="1">
        <f t="array" ref="B687">IF(B686=0,0,IF(B686&lt;VLOOKUP(C671,'Boats Data Sheet 2026'!$C$3:$H$57,6,0),B686+1,0))</f>
        <v>14</v>
      </c>
      <c r="C687" s="423" cm="1">
        <f t="array" ref="C687">IF(B687&gt;0,IF(VLOOKUP(C671,'Boats Data Sheet 2026'!$C$3:$J$57,8,0)="N/A",0,VLOOKUP(C671,'Boats Data Sheet 2026'!$C$3:$J$57,8,0)),"N/A")</f>
        <v>29000000</v>
      </c>
      <c r="D687" s="430" cm="1">
        <f t="array" ref="D687">IF(B687&gt;7,2,IF(B687=0,"N/A",1))</f>
        <v>2</v>
      </c>
      <c r="E687" s="423" cm="1">
        <f t="array" ref="E687">_xlfn.IFERROR(SUM('Direct Costs 2026'!$C$4:$C$5)*D687,"N/A")</f>
        <v>1751000</v>
      </c>
      <c r="F687" s="423"/>
      <c r="G687" s="423"/>
      <c r="H687" s="423"/>
      <c r="I687" s="423">
        <v>0</v>
      </c>
      <c r="J687" s="423">
        <v>0</v>
      </c>
      <c r="K687" s="423"/>
      <c r="L687" s="423"/>
      <c r="M687" s="423" cm="1">
        <f t="array" ref="M687">IF(B687&gt;0,'Direct Costs 2026'!$C$45*B687,"N/A")</f>
        <v>2100000</v>
      </c>
      <c r="N687" t="str" s="431" cm="1">
        <f t="array" ref="N687">IF(B687&gt;0,_xlfn.IFERROR(VLOOKUP(C671,'Boats Data Sheet 2026'!$C$3:$I$57,7,0)*'Direct Costs 2026'!$C$36,"N/A"),"N/A")</f>
        <v>N/A</v>
      </c>
      <c r="O687" t="str" s="431" cm="1">
        <f t="array" ref="O687">IF(B687&gt;0,IF(OR(VLOOKUP(C671,'Boats Data Sheet 2026'!$C$3:$F$57,4,0)="Own",VLOOKUP(C671,'Boats Data Sheet 2026'!$C$3:$F$57,4,0)="Management"),('Direct Costs 2026'!$C$37+'Direct Costs 2026'!$C$39),"N/A"),"N/A")</f>
        <v>N/A</v>
      </c>
      <c r="P687" s="423" cm="1">
        <f t="array" ref="P687">_xlfn.IFERROR('Direct Costs 2026'!$C$27*C687,"N/A")</f>
        <v>580000</v>
      </c>
      <c r="Q687" s="423" cm="1">
        <f t="array" ref="Q687">_xlfn.IFERROR(C687+SUM(E687:P687),"N/A")</f>
        <v>33431000</v>
      </c>
      <c r="R687" s="424"/>
      <c r="S687" s="423" cm="1">
        <f t="array" ref="S687">IF(B687&gt;0,'Allocation OH and Target 2026'!$E$31,"N/A")</f>
        <v>3100447.15769812</v>
      </c>
      <c r="T687" s="423" cm="1">
        <f t="array" ref="T687">IF(B691&gt;0,VLOOKUP(C671,'Allocation OH and Target 2026'!$C$35:$S$91,16,0),"N/A")</f>
        <v>0</v>
      </c>
      <c r="U687" s="423" cm="1">
        <f t="array" ref="U687">_xlfn.IFERROR((S687+T687),"N/A")</f>
        <v>3100447.15769812</v>
      </c>
      <c r="V687" s="424"/>
      <c r="W687" s="423" cm="1">
        <f t="array" ref="W687">_xlfn.IFERROR(U687+Q687,"N/A")</f>
        <v>36531447.1576981</v>
      </c>
      <c r="X687" s="423" cm="1">
        <f t="array" ref="X687">_xlfn.IFERROR(W687*0.5%,"N/A")</f>
        <v>182657.235788491</v>
      </c>
      <c r="Y687" s="423" cm="1">
        <f t="array" ref="Y687">_xlfn.IFERROR(W687*25%,"N/A")</f>
        <v>9132861.789424529</v>
      </c>
      <c r="Z687" s="425" cm="1">
        <f t="array" ref="Z687">IF(B687&gt;0,SUM(W687:Y687),"N/A")</f>
        <v>45846966.1829111</v>
      </c>
      <c r="AA687" s="425" cm="1">
        <f t="array" ref="AA687">_xlfn.IFERROR((Z687-Z686),"N/A")</f>
        <v>188250</v>
      </c>
      <c r="AB687" s="424"/>
      <c r="AC687" t="str" s="426" cm="1">
        <f t="array" ref="AC687">IF(B687=6,AVERAGE(Z674:Z679),"N/A")</f>
        <v>N/A</v>
      </c>
      <c r="AD687" s="424"/>
      <c r="AE687" s="423"/>
      <c r="AF687" s="423"/>
      <c r="AG687" s="423"/>
      <c r="AH687" s="423"/>
      <c r="AI687" s="423"/>
      <c r="AJ687" s="423"/>
      <c r="AK687" s="423"/>
      <c r="AL687" s="423"/>
      <c r="AM687" s="423"/>
      <c r="AN687" s="427"/>
    </row>
    <row r="688" ht="15" customHeight="1">
      <c r="A688" s="12"/>
      <c r="B688" s="428" cm="1">
        <f t="array" ref="B688">IF(B687=0,0,IF(B687&lt;VLOOKUP(C671,'Boats Data Sheet 2026'!$C$3:$H$57,6,0),B687+1,0))</f>
        <v>15</v>
      </c>
      <c r="C688" s="423" cm="1">
        <f t="array" ref="C688">IF(B688&gt;0,IF(VLOOKUP(C671,'Boats Data Sheet 2026'!$C$3:$J$57,8,0)="N/A",0,VLOOKUP(C671,'Boats Data Sheet 2026'!$C$3:$J$57,8,0)),"N/A")</f>
        <v>29000000</v>
      </c>
      <c r="D688" s="430" cm="1">
        <f t="array" ref="D688">IF(B688&gt;7,2,IF(B688=0,"N/A",1))</f>
        <v>2</v>
      </c>
      <c r="E688" s="423" cm="1">
        <f t="array" ref="E688">_xlfn.IFERROR(SUM('Direct Costs 2026'!$C$4:$C$5)*D688,"N/A")</f>
        <v>1751000</v>
      </c>
      <c r="F688" s="423"/>
      <c r="G688" s="423"/>
      <c r="H688" s="423"/>
      <c r="I688" s="423">
        <v>0</v>
      </c>
      <c r="J688" s="423">
        <v>0</v>
      </c>
      <c r="K688" s="423"/>
      <c r="L688" s="423"/>
      <c r="M688" s="423" cm="1">
        <f t="array" ref="M688">IF(B688&gt;0,'Direct Costs 2026'!$C$45*B688,"N/A")</f>
        <v>2250000</v>
      </c>
      <c r="N688" t="str" s="431" cm="1">
        <f t="array" ref="N688">IF(B688&gt;0,_xlfn.IFERROR(VLOOKUP(C671,'Boats Data Sheet 2026'!$C$3:$I$57,7,0)*'Direct Costs 2026'!$C$36,"N/A"),"N/A")</f>
        <v>N/A</v>
      </c>
      <c r="O688" t="str" s="431" cm="1">
        <f t="array" ref="O688">IF(B688&gt;0,IF(OR(VLOOKUP(C671,'Boats Data Sheet 2026'!$C$3:$F$57,4,0)="Own",VLOOKUP(C671,'Boats Data Sheet 2026'!$C$3:$F$57,4,0)="Management"),('Direct Costs 2026'!$C$37+'Direct Costs 2026'!$C$39),"N/A"),"N/A")</f>
        <v>N/A</v>
      </c>
      <c r="P688" s="423" cm="1">
        <f t="array" ref="P688">_xlfn.IFERROR('Direct Costs 2026'!$C$27*C688,"N/A")</f>
        <v>580000</v>
      </c>
      <c r="Q688" s="423" cm="1">
        <f t="array" ref="Q688">_xlfn.IFERROR(C688+SUM(E688:P688),"N/A")</f>
        <v>33581000</v>
      </c>
      <c r="R688" s="424"/>
      <c r="S688" s="423" cm="1">
        <f t="array" ref="S688">IF(B688&gt;0,'Allocation OH and Target 2026'!$E$31,"N/A")</f>
        <v>3100447.15769812</v>
      </c>
      <c r="T688" s="423" cm="1">
        <f t="array" ref="T688">IF(B688&gt;0,VLOOKUP(C671,'Allocation OH and Target 2026'!$C$35:$S$91,16,0),"N/A")</f>
        <v>0</v>
      </c>
      <c r="U688" s="423" cm="1">
        <f t="array" ref="U688">_xlfn.IFERROR((S688+T688),"N/A")</f>
        <v>3100447.15769812</v>
      </c>
      <c r="V688" s="424"/>
      <c r="W688" s="423" cm="1">
        <f t="array" ref="W688">_xlfn.IFERROR(U688+Q688,"N/A")</f>
        <v>36681447.1576981</v>
      </c>
      <c r="X688" s="423" cm="1">
        <f t="array" ref="X688">_xlfn.IFERROR(W688*0.5%,"N/A")</f>
        <v>183407.235788491</v>
      </c>
      <c r="Y688" s="423" cm="1">
        <f t="array" ref="Y688">_xlfn.IFERROR(W688*25%,"N/A")</f>
        <v>9170361.789424529</v>
      </c>
      <c r="Z688" s="425" cm="1">
        <f t="array" ref="Z688">IF(B688&gt;0,SUM(W688:Y688),"N/A")</f>
        <v>46035216.1829111</v>
      </c>
      <c r="AA688" s="425" cm="1">
        <f t="array" ref="AA688">_xlfn.IFERROR((Z688-Z687),"N/A")</f>
        <v>188250</v>
      </c>
      <c r="AB688" s="424"/>
      <c r="AC688" t="str" s="426" cm="1">
        <f t="array" ref="AC688">IF(B688=6,AVERAGE(Z674:Z679),"N/A")</f>
        <v>N/A</v>
      </c>
      <c r="AD688" s="424"/>
      <c r="AE688" s="423"/>
      <c r="AF688" s="423"/>
      <c r="AG688" s="423"/>
      <c r="AH688" s="423"/>
      <c r="AI688" s="423"/>
      <c r="AJ688" s="423"/>
      <c r="AK688" s="423"/>
      <c r="AL688" s="423"/>
      <c r="AM688" s="423"/>
      <c r="AN688" s="427"/>
    </row>
    <row r="689" ht="15" customHeight="1">
      <c r="A689" s="12"/>
      <c r="B689" s="428" cm="1">
        <f t="array" ref="B689">IF(B688=0,0,IF(B688&lt;VLOOKUP(C671,'Boats Data Sheet 2026'!$C$3:$H$57,6,0),B688+1,0))</f>
        <v>16</v>
      </c>
      <c r="C689" s="423" cm="1">
        <f t="array" ref="C689">IF(B689&gt;0,IF(VLOOKUP(C671,'Boats Data Sheet 2026'!$C$3:$J$57,8,0)="N/A",0,VLOOKUP(C671,'Boats Data Sheet 2026'!$C$3:$J$57,8,0)),"N/A")</f>
        <v>29000000</v>
      </c>
      <c r="D689" s="430" cm="1">
        <f t="array" ref="D689">IF(B689&gt;7,2,IF(B689=0,"N/A",1))</f>
        <v>2</v>
      </c>
      <c r="E689" s="423" cm="1">
        <f t="array" ref="E689">_xlfn.IFERROR(SUM('Direct Costs 2026'!$C$4:$C$5)*D689,"N/A")</f>
        <v>1751000</v>
      </c>
      <c r="F689" s="423"/>
      <c r="G689" s="423"/>
      <c r="H689" s="423"/>
      <c r="I689" s="423">
        <v>0</v>
      </c>
      <c r="J689" s="423">
        <v>0</v>
      </c>
      <c r="K689" s="423"/>
      <c r="L689" s="423"/>
      <c r="M689" s="423" cm="1">
        <f t="array" ref="M689">IF(B689&gt;0,'Direct Costs 2026'!$C$45*B689,"N/A")</f>
        <v>2400000</v>
      </c>
      <c r="N689" t="str" s="431" cm="1">
        <f t="array" ref="N689">IF(B689&gt;0,_xlfn.IFERROR(VLOOKUP(C671,'Boats Data Sheet 2026'!$C$3:$I$57,7,0)*'Direct Costs 2026'!$C$36,"N/A"),"N/A")</f>
        <v>N/A</v>
      </c>
      <c r="O689" t="str" s="431" cm="1">
        <f t="array" ref="O689">IF(B689&gt;0,IF(OR(VLOOKUP(C671,'Boats Data Sheet 2026'!$C$3:$F$57,4,0)="Own",VLOOKUP(C671,'Boats Data Sheet 2026'!$C$3:$F$57,4,0)="Management"),('Direct Costs 2026'!$C$37+'Direct Costs 2026'!$C$39),"N/A"),"N/A")</f>
        <v>N/A</v>
      </c>
      <c r="P689" s="423" cm="1">
        <f t="array" ref="P689">_xlfn.IFERROR('Direct Costs 2026'!$C$27*C689,"N/A")</f>
        <v>580000</v>
      </c>
      <c r="Q689" s="423" cm="1">
        <f t="array" ref="Q689">_xlfn.IFERROR(C689+SUM(E689:P689),"N/A")</f>
        <v>33731000</v>
      </c>
      <c r="R689" s="424"/>
      <c r="S689" s="423" cm="1">
        <f t="array" ref="S689">IF(B689&gt;0,'Allocation OH and Target 2026'!$E$31,"N/A")</f>
        <v>3100447.15769812</v>
      </c>
      <c r="T689" s="423" cm="1">
        <f t="array" ref="T689">IF(B689&gt;0,VLOOKUP(C671,'Allocation OH and Target 2026'!$C$35:$S$91,16,0),"N/A")</f>
        <v>0</v>
      </c>
      <c r="U689" s="423" cm="1">
        <f t="array" ref="U689">_xlfn.IFERROR((S689+T689),"N/A")</f>
        <v>3100447.15769812</v>
      </c>
      <c r="V689" s="424"/>
      <c r="W689" s="423" cm="1">
        <f t="array" ref="W689">_xlfn.IFERROR(U689+Q689,"N/A")</f>
        <v>36831447.1576981</v>
      </c>
      <c r="X689" s="423" cm="1">
        <f t="array" ref="X689">_xlfn.IFERROR(W689*0.5%,"N/A")</f>
        <v>184157.235788491</v>
      </c>
      <c r="Y689" s="423" cm="1">
        <f t="array" ref="Y689">_xlfn.IFERROR(W689*25%,"N/A")</f>
        <v>9207861.789424529</v>
      </c>
      <c r="Z689" s="425" cm="1">
        <f t="array" ref="Z689">IF(B689&gt;0,SUM(W689:Y689),"N/A")</f>
        <v>46223466.1829111</v>
      </c>
      <c r="AA689" s="425" cm="1">
        <f t="array" ref="AA689">_xlfn.IFERROR((Z689-Z688),"N/A")</f>
        <v>188250</v>
      </c>
      <c r="AB689" s="424"/>
      <c r="AC689" t="str" s="426" cm="1">
        <f t="array" ref="AC689">IF(B689=6,AVERAGE(Z674:Z679),"N/A")</f>
        <v>N/A</v>
      </c>
      <c r="AD689" s="424"/>
      <c r="AE689" s="423"/>
      <c r="AF689" s="423"/>
      <c r="AG689" s="423"/>
      <c r="AH689" s="423"/>
      <c r="AI689" s="423"/>
      <c r="AJ689" s="423"/>
      <c r="AK689" s="423"/>
      <c r="AL689" s="423"/>
      <c r="AM689" s="423"/>
      <c r="AN689" s="427"/>
    </row>
    <row r="690" ht="15" customHeight="1">
      <c r="A690" s="12"/>
      <c r="B690" s="428" cm="1">
        <f t="array" ref="B690">IF(B689=0,0,IF(B689&lt;VLOOKUP(C671,'Boats Data Sheet 2026'!$C$3:$H$57,6,0),B689+1,0))</f>
        <v>17</v>
      </c>
      <c r="C690" s="423" cm="1">
        <f t="array" ref="C690">IF(B690&gt;0,IF(VLOOKUP(C671,'Boats Data Sheet 2026'!$C$3:$J$57,8,0)="N/A",0,VLOOKUP(C671,'Boats Data Sheet 2026'!$C$3:$J$57,8,0)),"N/A")</f>
        <v>29000000</v>
      </c>
      <c r="D690" s="430" cm="1">
        <f t="array" ref="D690">IF(B690&gt;7,2,IF(B690=0,"N/A",1))</f>
        <v>2</v>
      </c>
      <c r="E690" s="423" cm="1">
        <f t="array" ref="E690">_xlfn.IFERROR(SUM('Direct Costs 2026'!$C$4:$C$5)*D690,"N/A")</f>
        <v>1751000</v>
      </c>
      <c r="F690" s="423"/>
      <c r="G690" s="423"/>
      <c r="H690" s="423"/>
      <c r="I690" s="423">
        <v>0</v>
      </c>
      <c r="J690" s="423">
        <v>0</v>
      </c>
      <c r="K690" s="423"/>
      <c r="L690" s="423"/>
      <c r="M690" s="423" cm="1">
        <f t="array" ref="M690">IF(B690&gt;0,'Direct Costs 2026'!$C$45*B690,"N/A")</f>
        <v>2550000</v>
      </c>
      <c r="N690" t="str" s="431" cm="1">
        <f t="array" ref="N690">IF(B690&gt;0,_xlfn.IFERROR(VLOOKUP(C671,'Boats Data Sheet 2026'!$C$3:$I$57,7,0)*'Direct Costs 2026'!$C$36,"N/A"),"N/A")</f>
        <v>N/A</v>
      </c>
      <c r="O690" t="str" s="431" cm="1">
        <f t="array" ref="O690">IF(B690&gt;0,IF(OR(VLOOKUP(C671,'Boats Data Sheet 2026'!$C$3:$F$57,4,0)="Own",VLOOKUP(C671,'Boats Data Sheet 2026'!$C$3:$F$57,4,0)="Management"),('Direct Costs 2026'!$C$37+'Direct Costs 2026'!$C$39),"N/A"),"N/A")</f>
        <v>N/A</v>
      </c>
      <c r="P690" s="423" cm="1">
        <f t="array" ref="P690">_xlfn.IFERROR('Direct Costs 2026'!$C$27*C690,"N/A")</f>
        <v>580000</v>
      </c>
      <c r="Q690" s="423" cm="1">
        <f t="array" ref="Q690">_xlfn.IFERROR(C690+SUM(E690:P690),"N/A")</f>
        <v>33881000</v>
      </c>
      <c r="R690" s="424"/>
      <c r="S690" s="423" cm="1">
        <f t="array" ref="S690">IF(B690&gt;0,'Allocation OH and Target 2026'!$E$31,"N/A")</f>
        <v>3100447.15769812</v>
      </c>
      <c r="T690" s="423" cm="1">
        <f t="array" ref="T690">IF(B690&gt;0,VLOOKUP(C671,'Allocation OH and Target 2026'!$C$35:$S$91,16,0),"N/A")</f>
        <v>0</v>
      </c>
      <c r="U690" s="423" cm="1">
        <f t="array" ref="U690">_xlfn.IFERROR((S690+T690),"N/A")</f>
        <v>3100447.15769812</v>
      </c>
      <c r="V690" s="424"/>
      <c r="W690" s="423" cm="1">
        <f t="array" ref="W690">_xlfn.IFERROR(U690+Q690,"N/A")</f>
        <v>36981447.1576981</v>
      </c>
      <c r="X690" s="423" cm="1">
        <f t="array" ref="X690">_xlfn.IFERROR(W690*0.5%,"N/A")</f>
        <v>184907.235788491</v>
      </c>
      <c r="Y690" s="423" cm="1">
        <f t="array" ref="Y690">_xlfn.IFERROR(W690*25%,"N/A")</f>
        <v>9245361.789424529</v>
      </c>
      <c r="Z690" s="425" cm="1">
        <f t="array" ref="Z690">IF(B690&gt;0,SUM(W690:Y690),"N/A")</f>
        <v>46411716.1829111</v>
      </c>
      <c r="AA690" s="425" cm="1">
        <f t="array" ref="AA690">_xlfn.IFERROR((Z690-Z689),"N/A")</f>
        <v>188250</v>
      </c>
      <c r="AB690" s="424"/>
      <c r="AC690" t="str" s="426" cm="1">
        <f t="array" ref="AC690">IF(B690=6,AVERAGE(Z674:Z679),"N/A")</f>
        <v>N/A</v>
      </c>
      <c r="AD690" s="424"/>
      <c r="AE690" s="423"/>
      <c r="AF690" s="423"/>
      <c r="AG690" s="423"/>
      <c r="AH690" s="423"/>
      <c r="AI690" s="423"/>
      <c r="AJ690" s="423"/>
      <c r="AK690" s="423"/>
      <c r="AL690" s="423"/>
      <c r="AM690" s="423"/>
      <c r="AN690" s="427"/>
    </row>
    <row r="691" ht="15.5" customHeight="1">
      <c r="A691" s="12"/>
      <c r="B691" s="432" cm="1">
        <f t="array" ref="B691">IF(B690=0,0,IF(B690&lt;VLOOKUP(C671,'Boats Data Sheet 2026'!$C$3:$H$57,6,0),B690+1,0))</f>
        <v>18</v>
      </c>
      <c r="C691" s="434" cm="1">
        <f t="array" ref="C691">IF(B691&gt;0,IF(VLOOKUP(C671,'Boats Data Sheet 2026'!$C$3:$J$57,8,0)="N/A",0,VLOOKUP(C671,'Boats Data Sheet 2026'!$C$3:$J$57,8,0)),"N/A")</f>
        <v>29000000</v>
      </c>
      <c r="D691" s="496" cm="1">
        <f t="array" ref="D691">IF(B691&gt;7,2,IF(B691=0,"N/A",1))</f>
        <v>2</v>
      </c>
      <c r="E691" s="434" cm="1">
        <f t="array" ref="E691">_xlfn.IFERROR(SUM('Direct Costs 2026'!$C$4:$C$5)*D691,"N/A")</f>
        <v>1751000</v>
      </c>
      <c r="F691" s="434"/>
      <c r="G691" s="434"/>
      <c r="H691" s="434"/>
      <c r="I691" s="434">
        <v>0</v>
      </c>
      <c r="J691" s="434">
        <v>0</v>
      </c>
      <c r="K691" s="434"/>
      <c r="L691" s="434"/>
      <c r="M691" s="434" cm="1">
        <f t="array" ref="M691">IF(B691&gt;0,'Direct Costs 2026'!$C$45*B691,"N/A")</f>
        <v>2700000</v>
      </c>
      <c r="N691" t="str" s="433" cm="1">
        <f t="array" ref="N691">IF(B691&gt;0,_xlfn.IFERROR(VLOOKUP(C671,'Boats Data Sheet 2026'!$C$3:$I$57,7,0)*'Direct Costs 2026'!$C$36,"N/A"),"N/A")</f>
        <v>N/A</v>
      </c>
      <c r="O691" t="str" s="433" cm="1">
        <f t="array" ref="O691">IF(B691&gt;0,IF(OR(VLOOKUP(C671,'Boats Data Sheet 2026'!$C$3:$F$57,4,0)="Own",VLOOKUP(C671,'Boats Data Sheet 2026'!$C$3:$F$57,4,0)="Management"),('Direct Costs 2026'!$C$37+'Direct Costs 2026'!$C$39),"N/A"),"N/A")</f>
        <v>N/A</v>
      </c>
      <c r="P691" s="434" cm="1">
        <f t="array" ref="P691">_xlfn.IFERROR('Direct Costs 2026'!$C$27*C691,"N/A")</f>
        <v>580000</v>
      </c>
      <c r="Q691" s="434" cm="1">
        <f t="array" ref="Q691">_xlfn.IFERROR(C691+SUM(E691:P691),"N/A")</f>
        <v>34031000</v>
      </c>
      <c r="R691" s="435"/>
      <c r="S691" s="434" cm="1">
        <f t="array" ref="S691">IF(B691&gt;0,'Allocation OH and Target 2026'!$E$31,"N/A")</f>
        <v>3100447.15769812</v>
      </c>
      <c r="T691" s="434" cm="1">
        <f t="array" ref="T691">IF(B691&gt;0,VLOOKUP(C671,'Allocation OH and Target 2026'!$C$35:$S$91,16,0),"N/A")</f>
        <v>0</v>
      </c>
      <c r="U691" s="434" cm="1">
        <f t="array" ref="U691">_xlfn.IFERROR((S691+T691),"N/A")</f>
        <v>3100447.15769812</v>
      </c>
      <c r="V691" s="435"/>
      <c r="W691" s="434" cm="1">
        <f t="array" ref="W691">_xlfn.IFERROR(U691+Q691,"N/A")</f>
        <v>37131447.1576981</v>
      </c>
      <c r="X691" s="434" cm="1">
        <f t="array" ref="X691">_xlfn.IFERROR(W691*0.5%,"N/A")</f>
        <v>185657.235788491</v>
      </c>
      <c r="Y691" s="434" cm="1">
        <f t="array" ref="Y691">_xlfn.IFERROR(W691*25%,"N/A")</f>
        <v>9282861.789424529</v>
      </c>
      <c r="Z691" s="497" cm="1">
        <f t="array" ref="Z691">IF(B691&gt;0,SUM(W691:Y691),"N/A")</f>
        <v>46599966.1829111</v>
      </c>
      <c r="AA691" s="497" cm="1">
        <f t="array" ref="AA691">_xlfn.IFERROR((Z691-Z690),"N/A")</f>
        <v>188250</v>
      </c>
      <c r="AB691" s="435"/>
      <c r="AC691" t="str" s="436" cm="1">
        <f t="array" ref="AC691">IF(B691=6,AVERAGE(Z674:Z679),"N/A")</f>
        <v>N/A</v>
      </c>
      <c r="AD691" s="435"/>
      <c r="AE691" s="434"/>
      <c r="AF691" s="434"/>
      <c r="AG691" s="434"/>
      <c r="AH691" s="434"/>
      <c r="AI691" s="434"/>
      <c r="AJ691" s="434"/>
      <c r="AK691" s="434"/>
      <c r="AL691" s="434"/>
      <c r="AM691" s="434"/>
      <c r="AN691" s="437"/>
    </row>
    <row r="692" ht="15" customHeight="1">
      <c r="A692" s="32"/>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c r="AH692" s="124"/>
      <c r="AI692" s="124"/>
      <c r="AJ692" s="124"/>
      <c r="AK692" s="124"/>
      <c r="AL692" s="124"/>
      <c r="AM692" s="124"/>
      <c r="AN692" s="313"/>
    </row>
    <row r="693" ht="15" customHeight="1">
      <c r="A693" s="32"/>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c r="AH693" s="35"/>
      <c r="AI693" s="35"/>
      <c r="AJ693" s="35"/>
      <c r="AK693" s="35"/>
      <c r="AL693" s="35"/>
      <c r="AM693" s="35"/>
      <c r="AN693" s="442"/>
    </row>
    <row r="694" ht="15.5" customHeight="1">
      <c r="A694" s="395">
        <v>32</v>
      </c>
      <c r="B694" t="s" s="444">
        <v>506</v>
      </c>
      <c r="C694" t="s" s="445">
        <v>214</v>
      </c>
      <c r="D694" s="446"/>
      <c r="E694" t="s" s="447">
        <v>542</v>
      </c>
      <c r="F694" s="446"/>
      <c r="G694" s="446"/>
      <c r="H694" s="446"/>
      <c r="I694" s="446"/>
      <c r="J694" s="446"/>
      <c r="K694" s="446"/>
      <c r="L694" s="446"/>
      <c r="M694" s="446"/>
      <c r="N694" s="446"/>
      <c r="O694" s="446"/>
      <c r="P694" s="446"/>
      <c r="Q694" s="446"/>
      <c r="R694" s="446"/>
      <c r="S694" s="446"/>
      <c r="T694" s="446"/>
      <c r="U694" s="446"/>
      <c r="V694" s="446"/>
      <c r="W694" s="446"/>
      <c r="X694" s="446"/>
      <c r="Y694" s="446"/>
      <c r="Z694" s="446"/>
      <c r="AA694" s="446"/>
      <c r="AB694" s="446"/>
      <c r="AC694" s="446"/>
      <c r="AD694" s="446"/>
      <c r="AE694" t="s" s="445">
        <v>508</v>
      </c>
      <c r="AF694" s="448" cm="1">
        <f t="array" ref="AF694">AVERAGE(Q697:Q702)</f>
      </c>
      <c r="AG694" t="s" s="449">
        <v>509</v>
      </c>
      <c r="AH694" s="448" cm="1">
        <f t="array" ref="AH694">AVERAGE(Q703:Q710)-AF694</f>
      </c>
      <c r="AI694" t="s" s="449">
        <v>510</v>
      </c>
      <c r="AJ694" s="448" cm="1">
        <f t="array" ref="AJ694">AVERAGE(Y697:Y704)</f>
      </c>
      <c r="AK694" t="s" s="445">
        <v>511</v>
      </c>
      <c r="AL694" s="448" cm="1">
        <f t="array" ref="AL694">AVERAGE(W697:W702)</f>
      </c>
      <c r="AM694" t="s" s="449">
        <v>512</v>
      </c>
      <c r="AN694" t="str" s="498" cm="1">
        <f t="array" ref="AN694">W697</f>
        <v>N/A</v>
      </c>
    </row>
    <row r="695" ht="15" customHeight="1">
      <c r="A695" s="12"/>
      <c r="B695" s="451"/>
      <c r="C695" t="s" s="452">
        <v>513</v>
      </c>
      <c r="D695" s="453"/>
      <c r="E695" s="453"/>
      <c r="F695" s="453"/>
      <c r="G695" s="453"/>
      <c r="H695" s="453"/>
      <c r="I695" s="453"/>
      <c r="J695" s="453"/>
      <c r="K695" s="453"/>
      <c r="L695" s="453"/>
      <c r="M695" s="453"/>
      <c r="N695" s="453"/>
      <c r="O695" s="453"/>
      <c r="P695" s="453"/>
      <c r="Q695" s="454"/>
      <c r="R695" s="455"/>
      <c r="S695" t="s" s="452">
        <v>514</v>
      </c>
      <c r="T695" s="453"/>
      <c r="U695" s="454"/>
      <c r="V695" s="455"/>
      <c r="W695" t="s" s="452">
        <v>515</v>
      </c>
      <c r="X695" s="453"/>
      <c r="Y695" s="453"/>
      <c r="Z695" s="453"/>
      <c r="AA695" s="453"/>
      <c r="AB695" s="456"/>
      <c r="AC695" s="457"/>
      <c r="AD695" s="457"/>
      <c r="AE695" s="457"/>
      <c r="AF695" s="457"/>
      <c r="AG695" s="457"/>
      <c r="AH695" s="457"/>
      <c r="AI695" s="457"/>
      <c r="AJ695" s="457"/>
      <c r="AK695" s="457"/>
      <c r="AL695" s="458"/>
      <c r="AM695" s="459"/>
      <c r="AN695" s="458"/>
    </row>
    <row r="696" ht="46.25" customHeight="1">
      <c r="A696" s="187"/>
      <c r="B696" t="s" s="460">
        <v>517</v>
      </c>
      <c r="C696" t="s" s="461">
        <v>518</v>
      </c>
      <c r="D696" t="s" s="461">
        <v>519</v>
      </c>
      <c r="E696" t="s" s="461">
        <v>520</v>
      </c>
      <c r="F696" t="s" s="461">
        <v>521</v>
      </c>
      <c r="G696" t="s" s="461">
        <v>522</v>
      </c>
      <c r="H696" t="s" s="461">
        <v>553</v>
      </c>
      <c r="I696" t="s" s="461">
        <v>524</v>
      </c>
      <c r="J696" t="s" s="461">
        <v>525</v>
      </c>
      <c r="K696" t="s" s="461">
        <v>526</v>
      </c>
      <c r="L696" t="s" s="461">
        <v>527</v>
      </c>
      <c r="M696" t="s" s="461">
        <v>528</v>
      </c>
      <c r="N696" t="s" s="461">
        <v>529</v>
      </c>
      <c r="O696" t="s" s="461">
        <v>530</v>
      </c>
      <c r="P696" t="s" s="461">
        <v>531</v>
      </c>
      <c r="Q696" t="s" s="461">
        <v>532</v>
      </c>
      <c r="R696" s="462"/>
      <c r="S696" t="s" s="461">
        <v>533</v>
      </c>
      <c r="T696" t="s" s="461">
        <v>534</v>
      </c>
      <c r="U696" t="s" s="461">
        <v>535</v>
      </c>
      <c r="V696" s="462"/>
      <c r="W696" t="s" s="461">
        <v>536</v>
      </c>
      <c r="X696" t="s" s="461">
        <v>537</v>
      </c>
      <c r="Y696" t="s" s="461">
        <v>538</v>
      </c>
      <c r="Z696" t="s" s="461">
        <v>539</v>
      </c>
      <c r="AA696" t="s" s="461">
        <v>121</v>
      </c>
      <c r="AB696" s="463"/>
      <c r="AC696" t="s" s="461">
        <v>39</v>
      </c>
      <c r="AD696" s="463"/>
      <c r="AE696" s="463"/>
      <c r="AF696" s="463"/>
      <c r="AG696" s="463"/>
      <c r="AH696" s="463"/>
      <c r="AI696" s="463"/>
      <c r="AJ696" s="463"/>
      <c r="AK696" s="463"/>
      <c r="AL696" s="463"/>
      <c r="AM696" s="463"/>
      <c r="AN696" s="464"/>
    </row>
    <row r="697" ht="15" customHeight="1" hidden="1">
      <c r="A697" s="12"/>
      <c r="B697" s="479">
        <v>1</v>
      </c>
      <c r="C697" s="480" cm="1">
        <f t="array" ref="C697">IF(B697&gt;0,IF(VLOOKUP(C694,'Boats Data Sheet 2026'!$C$3:$J$57,8,0)="N/A",0,VLOOKUP(C694,'Boats Data Sheet 2026'!$C$3:$J$57,8,0)),"N/A")</f>
      </c>
      <c r="D697" s="481" cm="1">
        <f t="array" ref="D697">IF(B697&gt;7,2,IF(B697=0,"N/A",1))</f>
        <v>1</v>
      </c>
      <c r="E697" s="480" cm="1">
        <f t="array" ref="E697">_xlfn.IFERROR(SUM('Direct Costs 2026'!$C$4:$C$5)*D697,"N/A")</f>
        <v>875500</v>
      </c>
      <c r="F697" s="480" cm="1">
        <f t="array" ref="F697">_xlfn.IFERROR('Direct Costs 2026'!$C$43*B697,"N/A")</f>
        <v>6000</v>
      </c>
      <c r="G697" s="480" cm="1">
        <f t="array" ref="G697">IF(B697&gt;0,'Direct Costs 2026'!$C$25,"N/A")</f>
        <v>90000</v>
      </c>
      <c r="H697" s="480" cm="1">
        <f t="array" ref="H697">IF(B697&gt;0,'Direct Costs 2026'!$C$15+'Direct Costs 2026'!$C$14,"N/A")</f>
        <v>230000</v>
      </c>
      <c r="I697" s="480">
        <v>0</v>
      </c>
      <c r="J697" s="480">
        <v>0</v>
      </c>
      <c r="K697" s="480" cm="1">
        <f t="array" ref="K697">IF(B697&gt;0,'Direct Costs 2026'!$C$26,"N/A")</f>
        <v>20000</v>
      </c>
      <c r="L697" s="480" cm="1">
        <f t="array" ref="L697">IF(B697&gt;0,'Direct Costs 2026'!$C$23,"N/A")</f>
        <v>140000</v>
      </c>
      <c r="M697" s="480" cm="1">
        <f t="array" ref="M697">IF(B697&gt;0,'Direct Costs 2026'!$C$45*B697,"N/A")</f>
        <v>150000</v>
      </c>
      <c r="N697" t="str" s="482" cm="1">
        <f t="array" ref="N697">IF(B697&gt;0,_xlfn.IFERROR(VLOOKUP(C694,'Boats Data Sheet 2026'!$C$3:$I$57,7,0)*'Direct Costs 2026'!$C$36,"N/A"),"N/A")</f>
        <v>N/A</v>
      </c>
      <c r="O697" s="480" cm="1">
        <f t="array" ref="O697">IF(B697&gt;0,IF(OR(VLOOKUP(C694,'Boats Data Sheet 2026'!$C$3:$F$57,4,0)="Own",VLOOKUP(C694,'Boats Data Sheet 2026'!$C$3:$F$57,4,0)="Management"),('Direct Costs 2026'!$C$37+'Direct Costs 2026'!$C$39),"N/A"),"N/A")</f>
      </c>
      <c r="P697" t="str" s="482" cm="1">
        <f t="array" ref="P697">_xlfn.IFERROR('Direct Costs 2026'!$C$27*C697,"N/A")</f>
        <v>N/A</v>
      </c>
      <c r="Q697" t="str" s="482" cm="1">
        <f t="array" ref="Q697">_xlfn.IFERROR(C697+SUM(E697:P697),"N/A")</f>
        <v>N/A</v>
      </c>
      <c r="R697" s="483"/>
      <c r="S697" s="480" cm="1">
        <f t="array" ref="S697">IF(B697&gt;0,'Allocation OH and Target 2026'!$E$31,"N/A")</f>
        <v>3100447.15769812</v>
      </c>
      <c r="T697" s="480" cm="1">
        <f t="array" ref="T697">IF(B697&gt;0,VLOOKUP(C694,'Allocation OH and Target 2026'!$C$35:$S$87,16,0),"N/A")</f>
      </c>
      <c r="U697" t="str" s="482" cm="1">
        <f t="array" ref="U697">_xlfn.IFERROR((S697+T697),"N/A")</f>
        <v>N/A</v>
      </c>
      <c r="V697" s="483"/>
      <c r="W697" t="str" s="482" cm="1">
        <f t="array" ref="W697">_xlfn.IFERROR(U697+Q697,"N/A")</f>
        <v>N/A</v>
      </c>
      <c r="X697" t="str" s="482" cm="1">
        <f t="array" ref="X697">_xlfn.IFERROR(W697*0.5%,"N/A")</f>
        <v>N/A</v>
      </c>
      <c r="Y697" t="str" s="482" cm="1">
        <f t="array" ref="Y697">_xlfn.IFERROR(W697*25%,"N/A")</f>
        <v>N/A</v>
      </c>
      <c r="Z697" s="484" cm="1">
        <f t="array" ref="Z697">IF(B697&gt;0,SUM(W697:Y697),"N/A")</f>
        <v>0</v>
      </c>
      <c r="AA697" s="484">
        <v>0</v>
      </c>
      <c r="AB697" s="483"/>
      <c r="AC697" t="str" s="485" cm="1">
        <f t="array" ref="AC697">IF(B697=6,AVERAGE(Z697:Z702),"N/A")</f>
        <v>N/A</v>
      </c>
      <c r="AD697" s="483"/>
      <c r="AE697" s="480"/>
      <c r="AF697" s="480"/>
      <c r="AG697" s="480"/>
      <c r="AH697" s="480"/>
      <c r="AI697" s="480"/>
      <c r="AJ697" s="480"/>
      <c r="AK697" s="480"/>
      <c r="AL697" s="480"/>
      <c r="AM697" s="480"/>
      <c r="AN697" s="486"/>
    </row>
    <row r="698" ht="15" customHeight="1" hidden="1">
      <c r="A698" s="12"/>
      <c r="B698" s="479" cm="1">
        <f t="array" ref="B698">IF(B697=0,0,IF(B697&lt;VLOOKUP(C694,'Boats Data Sheet 2026'!$C$3:$H$57,6,0),B697+1,0))</f>
      </c>
      <c r="C698" s="480" cm="1">
        <f t="array" ref="C698">IF(B698&gt;0,IF(VLOOKUP(C694,'Boats Data Sheet 2026'!$C$3:$J$57,8,0)="N/A",0,VLOOKUP(C694,'Boats Data Sheet 2026'!$C$3:$J$57,8,0)),"N/A")</f>
      </c>
      <c r="D698" s="487" cm="1">
        <f t="array" ref="D698">IF(B698&gt;7,2,IF(B698=0,"N/A",1))</f>
      </c>
      <c r="E698" t="str" s="482" cm="1">
        <f t="array" ref="E698">_xlfn.IFERROR(SUM('Direct Costs 2026'!$C$4:$C$5)*D698,"N/A")</f>
        <v>N/A</v>
      </c>
      <c r="F698" t="str" s="482" cm="1">
        <f t="array" ref="F698">_xlfn.IFERROR('Direct Costs 2026'!$C$43*B698,"N/A")</f>
        <v>N/A</v>
      </c>
      <c r="G698" s="480" cm="1">
        <f t="array" ref="G698">IF(B698&gt;0,'Direct Costs 2026'!$C$25,"N/A")</f>
      </c>
      <c r="H698" s="480" cm="1">
        <f t="array" ref="H698">IF(B698&gt;0,'Direct Costs 2026'!$C$15+'Direct Costs 2026'!$C$14,"N/A")</f>
      </c>
      <c r="I698" s="480">
        <v>0</v>
      </c>
      <c r="J698" s="480">
        <v>0</v>
      </c>
      <c r="K698" s="480" cm="1">
        <f t="array" ref="K698">IF(B698&gt;0,'Direct Costs 2026'!$C$26,"N/A")</f>
      </c>
      <c r="L698" s="480" cm="1">
        <f t="array" ref="L698">IF(B698&gt;0,'Direct Costs 2026'!$C$23,"N/A")</f>
      </c>
      <c r="M698" s="480" cm="1">
        <f t="array" ref="M698">IF(B698&gt;0,'Direct Costs 2026'!$C$45*B698,"N/A")</f>
      </c>
      <c r="N698" s="480" cm="1">
        <f t="array" ref="N698">IF(B698&gt;0,_xlfn.IFERROR(VLOOKUP(C694,'Boats Data Sheet 2026'!$C$3:$I$57,7,0)*'Direct Costs 2026'!$C$36,"N/A"),"N/A")</f>
      </c>
      <c r="O698" s="480" cm="1">
        <f t="array" ref="O698">IF(B698&gt;0,IF(OR(VLOOKUP(C694,'Boats Data Sheet 2026'!$C$3:$F$57,4,0)="Own",VLOOKUP(C694,'Boats Data Sheet 2026'!$C$3:$F$57,4,0)="Management"),('Direct Costs 2026'!$C$37+'Direct Costs 2026'!$C$39),"N/A"),"N/A")</f>
      </c>
      <c r="P698" t="str" s="482" cm="1">
        <f t="array" ref="P698">_xlfn.IFERROR('Direct Costs 2026'!$C$27*C698,"N/A")</f>
        <v>N/A</v>
      </c>
      <c r="Q698" t="str" s="482" cm="1">
        <f t="array" ref="Q698">_xlfn.IFERROR(C698+SUM(E698:P698),"N/A")</f>
        <v>N/A</v>
      </c>
      <c r="R698" s="483"/>
      <c r="S698" s="480" cm="1">
        <f t="array" ref="S698">IF(B698&gt;0,'Allocation OH and Target 2026'!$E$31,"N/A")</f>
      </c>
      <c r="T698" s="480" cm="1">
        <f t="array" ref="T698">IF(B698&gt;0,VLOOKUP(C694,'Allocation OH and Target 2026'!$C$35:$S$87,16,0),"N/A")</f>
      </c>
      <c r="U698" t="str" s="482" cm="1">
        <f t="array" ref="U698">_xlfn.IFERROR((S698+T698),"N/A")</f>
        <v>N/A</v>
      </c>
      <c r="V698" s="483"/>
      <c r="W698" t="str" s="482" cm="1">
        <f t="array" ref="W698">_xlfn.IFERROR(U698+Q698,"N/A")</f>
        <v>N/A</v>
      </c>
      <c r="X698" t="str" s="482" cm="1">
        <f t="array" ref="X698">_xlfn.IFERROR(W698*0.5%,"N/A")</f>
        <v>N/A</v>
      </c>
      <c r="Y698" t="str" s="482" cm="1">
        <f t="array" ref="Y698">_xlfn.IFERROR(W698*25%,"N/A")</f>
        <v>N/A</v>
      </c>
      <c r="Z698" s="484" cm="1">
        <f t="array" ref="Z698">IF(B698&gt;0,SUM(W698:Y698),"N/A")</f>
      </c>
      <c r="AA698" s="484">
        <v>0</v>
      </c>
      <c r="AB698" s="483"/>
      <c r="AC698" s="484" cm="1">
        <f t="array" ref="AC698">IF(B698=6,AVERAGE(Z697:Z702),"N/A")</f>
      </c>
      <c r="AD698" s="483"/>
      <c r="AE698" s="480"/>
      <c r="AF698" s="480"/>
      <c r="AG698" s="480"/>
      <c r="AH698" s="480"/>
      <c r="AI698" s="480"/>
      <c r="AJ698" s="480"/>
      <c r="AK698" s="480"/>
      <c r="AL698" s="480"/>
      <c r="AM698" s="480"/>
      <c r="AN698" s="486"/>
    </row>
    <row r="699" ht="15" customHeight="1" hidden="1">
      <c r="A699" s="12"/>
      <c r="B699" s="479" cm="1">
        <f t="array" ref="B699">IF(B698=0,0,IF(B698&lt;VLOOKUP(C694,'Boats Data Sheet 2026'!$C$3:$H$57,6,0),B698+1,0))</f>
      </c>
      <c r="C699" s="480" cm="1">
        <f t="array" ref="C699">IF(B699&gt;0,IF(VLOOKUP(C694,'Boats Data Sheet 2026'!$C$3:$J$57,8,0)="N/A",0,VLOOKUP(C694,'Boats Data Sheet 2026'!$C$3:$J$57,8,0)),"N/A")</f>
      </c>
      <c r="D699" s="487" cm="1">
        <f t="array" ref="D699">IF(B699&gt;7,2,IF(B699=0,"N/A",1))</f>
      </c>
      <c r="E699" t="str" s="482" cm="1">
        <f t="array" ref="E699">_xlfn.IFERROR(SUM('Direct Costs 2026'!$C$4:$C$5)*D699,"N/A")</f>
        <v>N/A</v>
      </c>
      <c r="F699" t="str" s="482" cm="1">
        <f t="array" ref="F699">_xlfn.IFERROR('Direct Costs 2026'!$C$43*B699,"N/A")</f>
        <v>N/A</v>
      </c>
      <c r="G699" s="480" cm="1">
        <f t="array" ref="G699">IF(B699&gt;0,'Direct Costs 2026'!$C$25,"N/A")</f>
      </c>
      <c r="H699" s="480" cm="1">
        <f t="array" ref="H699">IF(B699&gt;0,'Direct Costs 2026'!$C$15+'Direct Costs 2026'!$C$14,"N/A")</f>
      </c>
      <c r="I699" s="480">
        <v>0</v>
      </c>
      <c r="J699" s="480">
        <v>0</v>
      </c>
      <c r="K699" s="480" cm="1">
        <f t="array" ref="K699">IF(B699&gt;0,'Direct Costs 2026'!$C$26,"N/A")</f>
      </c>
      <c r="L699" s="480" cm="1">
        <f t="array" ref="L699">IF(B699&gt;0,'Direct Costs 2026'!$C$23,"N/A")</f>
      </c>
      <c r="M699" s="480" cm="1">
        <f t="array" ref="M699">IF(B699&gt;0,'Direct Costs 2026'!$C$45*B699,"N/A")</f>
      </c>
      <c r="N699" s="480" cm="1">
        <f t="array" ref="N699">IF(B699&gt;0,_xlfn.IFERROR(VLOOKUP(C694,'Boats Data Sheet 2026'!$C$3:$I$57,7,0)*'Direct Costs 2026'!$C$36,"N/A"),"N/A")</f>
      </c>
      <c r="O699" s="480" cm="1">
        <f t="array" ref="O699">IF(B699&gt;0,IF(OR(VLOOKUP(C694,'Boats Data Sheet 2026'!$C$3:$F$57,4,0)="Own",VLOOKUP(C694,'Boats Data Sheet 2026'!$C$3:$F$57,4,0)="Management"),('Direct Costs 2026'!$C$37+'Direct Costs 2026'!$C$39),"N/A"),"N/A")</f>
      </c>
      <c r="P699" t="str" s="482" cm="1">
        <f t="array" ref="P699">_xlfn.IFERROR('Direct Costs 2026'!$C$27*C699,"N/A")</f>
        <v>N/A</v>
      </c>
      <c r="Q699" t="str" s="482" cm="1">
        <f t="array" ref="Q699">_xlfn.IFERROR(C699+SUM(E699:P699),"N/A")</f>
        <v>N/A</v>
      </c>
      <c r="R699" s="483"/>
      <c r="S699" s="480" cm="1">
        <f t="array" ref="S699">IF(B699&gt;0,'Allocation OH and Target 2026'!$E$31,"N/A")</f>
      </c>
      <c r="T699" s="480" cm="1">
        <f t="array" ref="T699">IF(B699&gt;0,VLOOKUP(C694,'Allocation OH and Target 2026'!$C$35:$S$87,16,0),"N/A")</f>
      </c>
      <c r="U699" t="str" s="482" cm="1">
        <f t="array" ref="U699">_xlfn.IFERROR((S699+T699),"N/A")</f>
        <v>N/A</v>
      </c>
      <c r="V699" s="483"/>
      <c r="W699" t="str" s="482" cm="1">
        <f t="array" ref="W699">_xlfn.IFERROR(U699+Q699,"N/A")</f>
        <v>N/A</v>
      </c>
      <c r="X699" t="str" s="482" cm="1">
        <f t="array" ref="X699">_xlfn.IFERROR(W699*0.5%,"N/A")</f>
        <v>N/A</v>
      </c>
      <c r="Y699" t="str" s="482" cm="1">
        <f t="array" ref="Y699">_xlfn.IFERROR(W699*25%,"N/A")</f>
        <v>N/A</v>
      </c>
      <c r="Z699" s="484" cm="1">
        <f t="array" ref="Z699">IF(B699&gt;0,SUM(W699:Y699),"N/A")</f>
      </c>
      <c r="AA699" s="484">
        <v>0</v>
      </c>
      <c r="AB699" s="483"/>
      <c r="AC699" s="484" cm="1">
        <f t="array" ref="AC699">IF(B699=6,AVERAGE(Z697:Z702),"N/A")</f>
      </c>
      <c r="AD699" s="483"/>
      <c r="AE699" s="480"/>
      <c r="AF699" s="480"/>
      <c r="AG699" s="480"/>
      <c r="AH699" s="480"/>
      <c r="AI699" s="480"/>
      <c r="AJ699" s="480"/>
      <c r="AK699" s="480"/>
      <c r="AL699" s="480"/>
      <c r="AM699" s="480"/>
      <c r="AN699" s="486"/>
    </row>
    <row r="700" ht="15" customHeight="1" hidden="1">
      <c r="A700" s="12"/>
      <c r="B700" s="479" cm="1">
        <f t="array" ref="B700">IF(B699=0,0,IF(B699&lt;VLOOKUP(C694,'Boats Data Sheet 2026'!$C$3:$H$57,6,0),B699+1,0))</f>
      </c>
      <c r="C700" s="480" cm="1">
        <f t="array" ref="C700">IF(B700&gt;0,IF(VLOOKUP(C694,'Boats Data Sheet 2026'!$C$3:$J$57,8,0)="N/A",0,VLOOKUP(C694,'Boats Data Sheet 2026'!$C$3:$J$57,8,0)),"N/A")</f>
      </c>
      <c r="D700" s="487" cm="1">
        <f t="array" ref="D700">IF(B700&gt;7,2,IF(B700=0,"N/A",1))</f>
      </c>
      <c r="E700" t="str" s="482" cm="1">
        <f t="array" ref="E700">_xlfn.IFERROR(SUM('Direct Costs 2026'!$C$4:$C$5)*D700,"N/A")</f>
        <v>N/A</v>
      </c>
      <c r="F700" t="str" s="482" cm="1">
        <f t="array" ref="F700">_xlfn.IFERROR('Direct Costs 2026'!$C$43*B700,"N/A")</f>
        <v>N/A</v>
      </c>
      <c r="G700" s="480" cm="1">
        <f t="array" ref="G700">IF(B700&gt;0,'Direct Costs 2026'!$C$25,"N/A")</f>
      </c>
      <c r="H700" s="480" cm="1">
        <f t="array" ref="H700">IF(B700&gt;0,'Direct Costs 2026'!$C$15+'Direct Costs 2026'!$C$14,"N/A")</f>
      </c>
      <c r="I700" s="480">
        <v>0</v>
      </c>
      <c r="J700" s="480">
        <v>0</v>
      </c>
      <c r="K700" s="480" cm="1">
        <f t="array" ref="K700">IF(B700&gt;0,'Direct Costs 2026'!$C$26,"N/A")</f>
      </c>
      <c r="L700" s="480" cm="1">
        <f t="array" ref="L700">IF(B700&gt;0,'Direct Costs 2026'!$C$23,"N/A")</f>
      </c>
      <c r="M700" s="480" cm="1">
        <f t="array" ref="M700">IF(B700&gt;0,'Direct Costs 2026'!$C$45*B700,"N/A")</f>
      </c>
      <c r="N700" s="480" cm="1">
        <f t="array" ref="N700">IF(B700&gt;0,_xlfn.IFERROR(VLOOKUP(C694,'Boats Data Sheet 2026'!$C$3:$I$57,7,0)*'Direct Costs 2026'!$C$36,"N/A"),"N/A")</f>
      </c>
      <c r="O700" s="480" cm="1">
        <f t="array" ref="O700">IF(B700&gt;0,IF(OR(VLOOKUP(C694,'Boats Data Sheet 2026'!$C$3:$F$57,4,0)="Own",VLOOKUP(C694,'Boats Data Sheet 2026'!$C$3:$F$57,4,0)="Management"),('Direct Costs 2026'!$C$37+'Direct Costs 2026'!$C$39),"N/A"),"N/A")</f>
      </c>
      <c r="P700" t="str" s="482" cm="1">
        <f t="array" ref="P700">_xlfn.IFERROR('Direct Costs 2026'!$C$27*C700,"N/A")</f>
        <v>N/A</v>
      </c>
      <c r="Q700" t="str" s="482" cm="1">
        <f t="array" ref="Q700">_xlfn.IFERROR(C700+SUM(E700:P700),"N/A")</f>
        <v>N/A</v>
      </c>
      <c r="R700" s="483"/>
      <c r="S700" s="480" cm="1">
        <f t="array" ref="S700">IF(B700&gt;0,'Allocation OH and Target 2026'!$E$31,"N/A")</f>
      </c>
      <c r="T700" s="480" cm="1">
        <f t="array" ref="T700">IF(B700&gt;0,VLOOKUP(C694,'Allocation OH and Target 2026'!$C$35:$S$87,16,0),"N/A")</f>
      </c>
      <c r="U700" t="str" s="482" cm="1">
        <f t="array" ref="U700">_xlfn.IFERROR((S700+T700),"N/A")</f>
        <v>N/A</v>
      </c>
      <c r="V700" s="483"/>
      <c r="W700" t="str" s="482" cm="1">
        <f t="array" ref="W700">_xlfn.IFERROR(U700+Q700,"N/A")</f>
        <v>N/A</v>
      </c>
      <c r="X700" t="str" s="482" cm="1">
        <f t="array" ref="X700">_xlfn.IFERROR(W700*0.5%,"N/A")</f>
        <v>N/A</v>
      </c>
      <c r="Y700" t="str" s="482" cm="1">
        <f t="array" ref="Y700">_xlfn.IFERROR(W700*25%,"N/A")</f>
        <v>N/A</v>
      </c>
      <c r="Z700" s="484" cm="1">
        <f t="array" ref="Z700">IF(B700&gt;0,SUM(W700:Y700),"N/A")</f>
      </c>
      <c r="AA700" s="484">
        <v>0</v>
      </c>
      <c r="AB700" s="483"/>
      <c r="AC700" s="484" cm="1">
        <f t="array" ref="AC700">IF(B700=6,AVERAGE(Z697:Z702),"N/A")</f>
      </c>
      <c r="AD700" s="483"/>
      <c r="AE700" s="480"/>
      <c r="AF700" s="480"/>
      <c r="AG700" s="480"/>
      <c r="AH700" s="480"/>
      <c r="AI700" s="480"/>
      <c r="AJ700" s="480"/>
      <c r="AK700" s="480"/>
      <c r="AL700" s="480"/>
      <c r="AM700" s="480"/>
      <c r="AN700" s="486"/>
    </row>
    <row r="701" ht="15" customHeight="1" hidden="1">
      <c r="A701" s="12"/>
      <c r="B701" s="479" cm="1">
        <f t="array" ref="B701">IF(B700=0,0,IF(B700&lt;VLOOKUP(C694,'Boats Data Sheet 2026'!$C$3:$H$57,6,0),B700+1,0))</f>
      </c>
      <c r="C701" s="480" cm="1">
        <f t="array" ref="C701">IF(B701&gt;0,IF(VLOOKUP(C694,'Boats Data Sheet 2026'!$C$3:$J$57,8,0)="N/A",0,VLOOKUP(C694,'Boats Data Sheet 2026'!$C$3:$J$57,8,0)),"N/A")</f>
      </c>
      <c r="D701" s="487" cm="1">
        <f t="array" ref="D701">IF(B701&gt;7,2,IF(B701=0,"N/A",1))</f>
      </c>
      <c r="E701" t="str" s="482" cm="1">
        <f t="array" ref="E701">_xlfn.IFERROR(SUM('Direct Costs 2026'!$C$4:$C$5)*D701,"N/A")</f>
        <v>N/A</v>
      </c>
      <c r="F701" t="str" s="482" cm="1">
        <f t="array" ref="F701">_xlfn.IFERROR('Direct Costs 2026'!$C$43*B701,"N/A")</f>
        <v>N/A</v>
      </c>
      <c r="G701" s="480" cm="1">
        <f t="array" ref="G701">IF(B701&gt;0,'Direct Costs 2026'!$C$25,"N/A")</f>
      </c>
      <c r="H701" s="480" cm="1">
        <f t="array" ref="H701">IF(B701&gt;0,'Direct Costs 2026'!$C$15+'Direct Costs 2026'!$C$14,"N/A")</f>
      </c>
      <c r="I701" s="480">
        <v>0</v>
      </c>
      <c r="J701" s="480">
        <v>0</v>
      </c>
      <c r="K701" s="480" cm="1">
        <f t="array" ref="K701">IF(B701&gt;0,'Direct Costs 2026'!$C$26,"N/A")</f>
      </c>
      <c r="L701" s="480" cm="1">
        <f t="array" ref="L701">IF(B701&gt;0,'Direct Costs 2026'!$C$23,"N/A")</f>
      </c>
      <c r="M701" s="480" cm="1">
        <f t="array" ref="M701">IF(B701&gt;0,'Direct Costs 2026'!$C$45*B701,"N/A")</f>
      </c>
      <c r="N701" s="480" cm="1">
        <f t="array" ref="N701">IF(B701&gt;0,_xlfn.IFERROR(VLOOKUP(C694,'Boats Data Sheet 2026'!$C$3:$I$57,7,0)*'Direct Costs 2026'!$C$36,"N/A"),"N/A")</f>
      </c>
      <c r="O701" s="480" cm="1">
        <f t="array" ref="O701">IF(B701&gt;0,IF(OR(VLOOKUP(C694,'Boats Data Sheet 2026'!$C$3:$F$57,4,0)="Own",VLOOKUP(C694,'Boats Data Sheet 2026'!$C$3:$F$57,4,0)="Management"),('Direct Costs 2026'!$C$37+'Direct Costs 2026'!$C$39),"N/A"),"N/A")</f>
      </c>
      <c r="P701" t="str" s="482" cm="1">
        <f t="array" ref="P701">_xlfn.IFERROR('Direct Costs 2026'!$C$27*C701,"N/A")</f>
        <v>N/A</v>
      </c>
      <c r="Q701" t="str" s="482" cm="1">
        <f t="array" ref="Q701">_xlfn.IFERROR(C701+SUM(E701:P701),"N/A")</f>
        <v>N/A</v>
      </c>
      <c r="R701" s="483"/>
      <c r="S701" s="480" cm="1">
        <f t="array" ref="S701">IF(B701&gt;0,'Allocation OH and Target 2026'!$E$31,"N/A")</f>
      </c>
      <c r="T701" s="480" cm="1">
        <f t="array" ref="T701">IF(B701&gt;0,VLOOKUP(C694,'Allocation OH and Target 2026'!$C$35:$S$87,16,0),"N/A")</f>
      </c>
      <c r="U701" t="str" s="482" cm="1">
        <f t="array" ref="U701">_xlfn.IFERROR((S701+T701),"N/A")</f>
        <v>N/A</v>
      </c>
      <c r="V701" s="483"/>
      <c r="W701" t="str" s="482" cm="1">
        <f t="array" ref="W701">_xlfn.IFERROR(U701+Q701,"N/A")</f>
        <v>N/A</v>
      </c>
      <c r="X701" t="str" s="482" cm="1">
        <f t="array" ref="X701">_xlfn.IFERROR(W701*0.5%,"N/A")</f>
        <v>N/A</v>
      </c>
      <c r="Y701" t="str" s="482" cm="1">
        <f t="array" ref="Y701">_xlfn.IFERROR(W701*25%,"N/A")</f>
        <v>N/A</v>
      </c>
      <c r="Z701" s="484" cm="1">
        <f t="array" ref="Z701">IF(B701&gt;0,SUM(W701:Y701),"N/A")</f>
      </c>
      <c r="AA701" s="484">
        <v>0</v>
      </c>
      <c r="AB701" s="483"/>
      <c r="AC701" s="484" cm="1">
        <f t="array" ref="AC701">IF(B701=6,AVERAGE(Z697:Z702),"N/A")</f>
      </c>
      <c r="AD701" s="483"/>
      <c r="AE701" s="480"/>
      <c r="AF701" s="480"/>
      <c r="AG701" s="480"/>
      <c r="AH701" s="480"/>
      <c r="AI701" s="480"/>
      <c r="AJ701" s="480"/>
      <c r="AK701" s="480"/>
      <c r="AL701" s="480"/>
      <c r="AM701" s="480"/>
      <c r="AN701" s="486"/>
    </row>
    <row r="702" ht="15" customHeight="1" hidden="1">
      <c r="A702" s="12"/>
      <c r="B702" s="479" cm="1">
        <f t="array" ref="B702">IF(B701=0,0,IF(B701&lt;VLOOKUP(C694,'Boats Data Sheet 2026'!$C$3:$H$57,6,0),B701+1,0))</f>
      </c>
      <c r="C702" s="480" cm="1">
        <f t="array" ref="C702">IF(B702&gt;0,IF(VLOOKUP(C694,'Boats Data Sheet 2026'!$C$3:$J$57,8,0)="N/A",0,VLOOKUP(C694,'Boats Data Sheet 2026'!$C$3:$J$57,8,0)),"N/A")</f>
      </c>
      <c r="D702" s="487" cm="1">
        <f t="array" ref="D702">IF(B702&gt;7,2,IF(B702=0,"N/A",1))</f>
      </c>
      <c r="E702" t="str" s="482" cm="1">
        <f t="array" ref="E702">_xlfn.IFERROR(SUM('Direct Costs 2026'!$C$4:$C$5)*D702,"N/A")</f>
        <v>N/A</v>
      </c>
      <c r="F702" t="str" s="482" cm="1">
        <f t="array" ref="F702">_xlfn.IFERROR('Direct Costs 2026'!$C$43*B702,"N/A")</f>
        <v>N/A</v>
      </c>
      <c r="G702" s="480" cm="1">
        <f t="array" ref="G702">IF(B702&gt;0,'Direct Costs 2026'!$C$25,"N/A")</f>
      </c>
      <c r="H702" s="480" cm="1">
        <f t="array" ref="H702">IF(B702&gt;0,'Direct Costs 2026'!$C$15+'Direct Costs 2026'!$C$14,"N/A")</f>
      </c>
      <c r="I702" s="480">
        <v>0</v>
      </c>
      <c r="J702" s="480">
        <v>0</v>
      </c>
      <c r="K702" s="480" cm="1">
        <f t="array" ref="K702">IF(B702&gt;0,'Direct Costs 2026'!$C$26,"N/A")</f>
      </c>
      <c r="L702" s="480" cm="1">
        <f t="array" ref="L702">IF(B702&gt;0,'Direct Costs 2026'!$C$23,"N/A")</f>
      </c>
      <c r="M702" s="480" cm="1">
        <f t="array" ref="M702">IF(B702&gt;0,'Direct Costs 2026'!$C$45*B702,"N/A")</f>
      </c>
      <c r="N702" s="480" cm="1">
        <f t="array" ref="N702">IF(B702&gt;0,_xlfn.IFERROR(VLOOKUP(C694,'Boats Data Sheet 2026'!$C$3:$I$57,7,0)*'Direct Costs 2026'!$C$36,"N/A"),"N/A")</f>
      </c>
      <c r="O702" s="480" cm="1">
        <f t="array" ref="O702">IF(B702&gt;0,IF(OR(VLOOKUP(C694,'Boats Data Sheet 2026'!$C$3:$F$57,4,0)="Own",VLOOKUP(C694,'Boats Data Sheet 2026'!$C$3:$F$57,4,0)="Management"),('Direct Costs 2026'!$C$37+'Direct Costs 2026'!$C$39),"N/A"),"N/A")</f>
      </c>
      <c r="P702" t="str" s="482" cm="1">
        <f t="array" ref="P702">_xlfn.IFERROR('Direct Costs 2026'!$C$27*C702,"N/A")</f>
        <v>N/A</v>
      </c>
      <c r="Q702" t="str" s="482" cm="1">
        <f t="array" ref="Q702">_xlfn.IFERROR(C702+SUM(E702:P702),"N/A")</f>
        <v>N/A</v>
      </c>
      <c r="R702" s="483"/>
      <c r="S702" s="480" cm="1">
        <f t="array" ref="S702">IF(B702&gt;0,'Allocation OH and Target 2026'!$E$31,"N/A")</f>
      </c>
      <c r="T702" s="480" cm="1">
        <f t="array" ref="T702">IF(B702&gt;0,VLOOKUP(C694,'Allocation OH and Target 2026'!$C$35:$S$87,16,0),"N/A")</f>
      </c>
      <c r="U702" t="str" s="482" cm="1">
        <f t="array" ref="U702">_xlfn.IFERROR((S702+T702),"N/A")</f>
        <v>N/A</v>
      </c>
      <c r="V702" s="483"/>
      <c r="W702" t="str" s="482" cm="1">
        <f t="array" ref="W702">_xlfn.IFERROR(U702+Q702,"N/A")</f>
        <v>N/A</v>
      </c>
      <c r="X702" t="str" s="482" cm="1">
        <f t="array" ref="X702">_xlfn.IFERROR(W702*0.5%,"N/A")</f>
        <v>N/A</v>
      </c>
      <c r="Y702" t="str" s="482" cm="1">
        <f t="array" ref="Y702">_xlfn.IFERROR(W702*25%,"N/A")</f>
        <v>N/A</v>
      </c>
      <c r="Z702" s="484" cm="1">
        <f t="array" ref="Z702">IF(B702&gt;0,SUM(W702:Y702),"N/A")</f>
      </c>
      <c r="AA702" s="484">
        <v>0</v>
      </c>
      <c r="AB702" s="483"/>
      <c r="AC702" s="484" cm="1">
        <f t="array" ref="AC702">IF(B702=6,AVERAGE(Z697:Z702),"N/A")</f>
      </c>
      <c r="AD702" s="483"/>
      <c r="AE702" s="480"/>
      <c r="AF702" s="480"/>
      <c r="AG702" s="480"/>
      <c r="AH702" s="480"/>
      <c r="AI702" s="480"/>
      <c r="AJ702" s="480"/>
      <c r="AK702" s="480"/>
      <c r="AL702" s="480"/>
      <c r="AM702" s="480"/>
      <c r="AN702" s="486"/>
    </row>
    <row r="703" ht="15" customHeight="1" hidden="1">
      <c r="A703" s="12"/>
      <c r="B703" s="479" cm="1">
        <f t="array" ref="B703">IF(B702=0,0,IF(B702&lt;VLOOKUP(C694,'Boats Data Sheet 2026'!$C$3:$H$57,6,0),B702+1,0))</f>
      </c>
      <c r="C703" s="480" cm="1">
        <f t="array" ref="C703">IF(B703&gt;0,IF(VLOOKUP(C694,'Boats Data Sheet 2026'!$C$3:$J$57,8,0)="N/A",0,VLOOKUP(C694,'Boats Data Sheet 2026'!$C$3:$J$57,8,0)),"N/A")</f>
      </c>
      <c r="D703" s="487" cm="1">
        <f t="array" ref="D703">IF(B703&gt;7,2,IF(B703=0,"N/A",1))</f>
      </c>
      <c r="E703" t="str" s="482" cm="1">
        <f t="array" ref="E703">_xlfn.IFERROR(SUM('Direct Costs 2026'!$C$4:$C$5)*D703,"N/A")</f>
        <v>N/A</v>
      </c>
      <c r="F703" t="str" s="482" cm="1">
        <f t="array" ref="F703">_xlfn.IFERROR('Direct Costs 2026'!$C$43*B703,"N/A")</f>
        <v>N/A</v>
      </c>
      <c r="G703" s="480" cm="1">
        <f t="array" ref="G703">IF(B703&gt;0,'Direct Costs 2026'!$C$25,"N/A")</f>
      </c>
      <c r="H703" s="480" cm="1">
        <f t="array" ref="H703">IF(B703&gt;0,'Direct Costs 2026'!$C$15+'Direct Costs 2026'!$C$14,"N/A")</f>
      </c>
      <c r="I703" s="480">
        <v>0</v>
      </c>
      <c r="J703" s="480">
        <v>0</v>
      </c>
      <c r="K703" s="480" cm="1">
        <f t="array" ref="K703">IF(B703&gt;0,'Direct Costs 2026'!$C$26,"N/A")</f>
      </c>
      <c r="L703" s="480" cm="1">
        <f t="array" ref="L703">IF(B703&gt;0,'Direct Costs 2026'!$C$23,"N/A")</f>
      </c>
      <c r="M703" s="480" cm="1">
        <f t="array" ref="M703">IF(B703&gt;0,'Direct Costs 2026'!$C$45*B703,"N/A")</f>
      </c>
      <c r="N703" s="480" cm="1">
        <f t="array" ref="N703">IF(B703&gt;0,_xlfn.IFERROR(VLOOKUP(C694,'Boats Data Sheet 2026'!$C$3:$I$57,7,0)*'Direct Costs 2026'!$C$36,"N/A"),"N/A")</f>
      </c>
      <c r="O703" s="480" cm="1">
        <f t="array" ref="O703">IF(B703&gt;0,IF(OR(VLOOKUP(C694,'Boats Data Sheet 2026'!$C$3:$F$57,4,0)="Own",VLOOKUP(C694,'Boats Data Sheet 2026'!$C$3:$F$57,4,0)="Management"),('Direct Costs 2026'!$C$37+'Direct Costs 2026'!$C$39),"N/A"),"N/A")</f>
      </c>
      <c r="P703" t="str" s="482" cm="1">
        <f t="array" ref="P703">_xlfn.IFERROR('Direct Costs 2026'!$C$27*C703,"N/A")</f>
        <v>N/A</v>
      </c>
      <c r="Q703" t="str" s="482" cm="1">
        <f t="array" ref="Q703">_xlfn.IFERROR(C703+SUM(E703:P703),"N/A")</f>
        <v>N/A</v>
      </c>
      <c r="R703" s="483"/>
      <c r="S703" s="480" cm="1">
        <f t="array" ref="S703">IF(B703&gt;0,'Allocation OH and Target 2026'!$E$31,"N/A")</f>
      </c>
      <c r="T703" s="480" cm="1">
        <f t="array" ref="T703">IF(B703&gt;0,VLOOKUP(C694,'Allocation OH and Target 2026'!$C$35:$S$87,16,0),"N/A")</f>
      </c>
      <c r="U703" t="str" s="482" cm="1">
        <f t="array" ref="U703">_xlfn.IFERROR((S703+T703),"N/A")</f>
        <v>N/A</v>
      </c>
      <c r="V703" s="483"/>
      <c r="W703" t="str" s="482" cm="1">
        <f t="array" ref="W703">_xlfn.IFERROR(U703+Q703,"N/A")</f>
        <v>N/A</v>
      </c>
      <c r="X703" t="str" s="482" cm="1">
        <f t="array" ref="X703">_xlfn.IFERROR(W703*0.5%,"N/A")</f>
        <v>N/A</v>
      </c>
      <c r="Y703" t="str" s="482" cm="1">
        <f t="array" ref="Y703">_xlfn.IFERROR(W703*25%,"N/A")</f>
        <v>N/A</v>
      </c>
      <c r="Z703" s="484" cm="1">
        <f t="array" ref="Z703">IF(B703&gt;0,SUM(W703:Y703),"N/A")</f>
      </c>
      <c r="AA703" t="str" s="485" cm="1">
        <f t="array" ref="AA703">_xlfn.IFERROR((Z703-AVERAGE(Z697:Z702)),"N/A")</f>
        <v>N/A</v>
      </c>
      <c r="AB703" s="483"/>
      <c r="AC703" s="484" cm="1">
        <f t="array" ref="AC703">IF(B703=6,AVERAGE(Z697:Z702),"N/A")</f>
      </c>
      <c r="AD703" s="483"/>
      <c r="AE703" s="480"/>
      <c r="AF703" s="480"/>
      <c r="AG703" s="480"/>
      <c r="AH703" s="480"/>
      <c r="AI703" s="480"/>
      <c r="AJ703" s="480"/>
      <c r="AK703" s="480"/>
      <c r="AL703" s="480"/>
      <c r="AM703" s="480"/>
      <c r="AN703" s="486"/>
    </row>
    <row r="704" ht="15" customHeight="1" hidden="1">
      <c r="A704" s="12"/>
      <c r="B704" s="479" cm="1">
        <f t="array" ref="B704">IF(B703=0,0,IF(B703&lt;VLOOKUP(C694,'Boats Data Sheet 2026'!$C$3:$H$57,6,0),B703+1,0))</f>
      </c>
      <c r="C704" s="480" cm="1">
        <f t="array" ref="C704">IF(B704&gt;0,IF(VLOOKUP(C694,'Boats Data Sheet 2026'!$C$3:$J$57,8,0)="N/A",0,VLOOKUP(C694,'Boats Data Sheet 2026'!$C$3:$J$57,8,0)),"N/A")</f>
      </c>
      <c r="D704" s="487" cm="1">
        <f t="array" ref="D704">IF(B704&gt;7,2,IF(B704=0,"N/A",1))</f>
      </c>
      <c r="E704" t="str" s="482" cm="1">
        <f t="array" ref="E704">_xlfn.IFERROR(SUM('Direct Costs 2026'!$C$4:$C$5)*D704,"N/A")</f>
        <v>N/A</v>
      </c>
      <c r="F704" t="str" s="482" cm="1">
        <f t="array" ref="F704">_xlfn.IFERROR('Direct Costs 2026'!$C$43*B704,"N/A")</f>
        <v>N/A</v>
      </c>
      <c r="G704" s="480" cm="1">
        <f t="array" ref="G704">IF(B704&gt;0,'Direct Costs 2026'!$C$25,"N/A")</f>
      </c>
      <c r="H704" s="480" cm="1">
        <f t="array" ref="H704">IF(B704&gt;0,'Direct Costs 2026'!$C$15+'Direct Costs 2026'!$C$14,"N/A")</f>
      </c>
      <c r="I704" s="480">
        <v>0</v>
      </c>
      <c r="J704" s="480">
        <v>0</v>
      </c>
      <c r="K704" s="480" cm="1">
        <f t="array" ref="K704">IF(B704&gt;0,'Direct Costs 2026'!$C$26,"N/A")</f>
      </c>
      <c r="L704" s="480" cm="1">
        <f t="array" ref="L704">IF(B704&gt;0,'Direct Costs 2026'!$C$23,"N/A")</f>
      </c>
      <c r="M704" s="480" cm="1">
        <f t="array" ref="M704">IF(B704&gt;0,'Direct Costs 2026'!$C$45*B704,"N/A")</f>
      </c>
      <c r="N704" s="480" cm="1">
        <f t="array" ref="N704">IF(B704&gt;0,_xlfn.IFERROR(VLOOKUP(C694,'Boats Data Sheet 2026'!$C$3:$I$57,7,0)*'Direct Costs 2026'!$C$36,"N/A"),"N/A")</f>
      </c>
      <c r="O704" s="480" cm="1">
        <f t="array" ref="O704">IF(B704&gt;0,IF(OR(VLOOKUP(C694,'Boats Data Sheet 2026'!$C$3:$F$57,4,0)="Own",VLOOKUP(C694,'Boats Data Sheet 2026'!$C$3:$F$57,4,0)="Management"),('Direct Costs 2026'!$C$37+'Direct Costs 2026'!$C$39),"N/A"),"N/A")</f>
      </c>
      <c r="P704" t="str" s="482" cm="1">
        <f t="array" ref="P704">_xlfn.IFERROR('Direct Costs 2026'!$C$27*C704,"N/A")</f>
        <v>N/A</v>
      </c>
      <c r="Q704" t="str" s="482" cm="1">
        <f t="array" ref="Q704">_xlfn.IFERROR(C704+SUM(E704:P704),"N/A")</f>
        <v>N/A</v>
      </c>
      <c r="R704" s="483"/>
      <c r="S704" s="480" cm="1">
        <f t="array" ref="S704">IF(B704&gt;0,'Allocation OH and Target 2026'!$E$31,"N/A")</f>
      </c>
      <c r="T704" s="480" cm="1">
        <f t="array" ref="T704">IF(B704&gt;0,VLOOKUP(C694,'Allocation OH and Target 2026'!$C$35:$S$87,16,0),"N/A")</f>
      </c>
      <c r="U704" t="str" s="482" cm="1">
        <f t="array" ref="U704">_xlfn.IFERROR((S704+T704),"N/A")</f>
        <v>N/A</v>
      </c>
      <c r="V704" s="483"/>
      <c r="W704" t="str" s="482" cm="1">
        <f t="array" ref="W704">_xlfn.IFERROR(U704+Q704,"N/A")</f>
        <v>N/A</v>
      </c>
      <c r="X704" t="str" s="482" cm="1">
        <f t="array" ref="X704">_xlfn.IFERROR(W704*0.5%,"N/A")</f>
        <v>N/A</v>
      </c>
      <c r="Y704" t="str" s="482" cm="1">
        <f t="array" ref="Y704">_xlfn.IFERROR(W704*25%,"N/A")</f>
        <v>N/A</v>
      </c>
      <c r="Z704" s="484" cm="1">
        <f t="array" ref="Z704">IF(B704&gt;0,SUM(W704:Y704),"N/A")</f>
      </c>
      <c r="AA704" t="str" s="485" cm="1">
        <f t="array" ref="AA704">_xlfn.IFERROR((Z704-AVERAGE(Z697:Z702)),"N/A")</f>
        <v>N/A</v>
      </c>
      <c r="AB704" s="483"/>
      <c r="AC704" s="484" cm="1">
        <f t="array" ref="AC704">IF(B704=6,AVERAGE(Z697:Z702),"N/A")</f>
      </c>
      <c r="AD704" s="483"/>
      <c r="AE704" s="480"/>
      <c r="AF704" s="480"/>
      <c r="AG704" s="480"/>
      <c r="AH704" s="480"/>
      <c r="AI704" s="480"/>
      <c r="AJ704" s="480"/>
      <c r="AK704" s="480"/>
      <c r="AL704" s="480"/>
      <c r="AM704" s="480"/>
      <c r="AN704" s="486"/>
    </row>
    <row r="705" ht="15" customHeight="1" hidden="1">
      <c r="A705" s="12"/>
      <c r="B705" s="479" cm="1">
        <f t="array" ref="B705">IF(B704=0,0,IF(B704&lt;VLOOKUP(C694,'Boats Data Sheet 2026'!$C$3:$H$57,6,0),B704+1,0))</f>
      </c>
      <c r="C705" s="480" cm="1">
        <f t="array" ref="C705">IF(B705&gt;0,IF(VLOOKUP(C694,'Boats Data Sheet 2026'!$C$3:$J$57,8,0)="N/A",0,VLOOKUP(C694,'Boats Data Sheet 2026'!$C$3:$J$57,8,0)),"N/A")</f>
      </c>
      <c r="D705" s="482" cm="1">
        <f t="array" ref="D705">IF(B705&gt;7,2,IF(B705=0,"N/A",1))</f>
      </c>
      <c r="E705" t="str" s="482" cm="1">
        <f t="array" ref="E705">_xlfn.IFERROR(SUM('Direct Costs 2026'!$C$4:$C$5)*D705,"N/A")</f>
        <v>N/A</v>
      </c>
      <c r="F705" t="str" s="482" cm="1">
        <f t="array" ref="F705">_xlfn.IFERROR('Direct Costs 2026'!$C$43*B705,"N/A")</f>
        <v>N/A</v>
      </c>
      <c r="G705" s="480" cm="1">
        <f t="array" ref="G705">IF(B705&gt;0,'Direct Costs 2026'!$C$25,"N/A")</f>
      </c>
      <c r="H705" s="480" cm="1">
        <f t="array" ref="H705">IF(B705&gt;0,'Direct Costs 2026'!$C$15+'Direct Costs 2026'!$C$14,"N/A")</f>
      </c>
      <c r="I705" s="480">
        <v>0</v>
      </c>
      <c r="J705" s="480">
        <v>0</v>
      </c>
      <c r="K705" s="480" cm="1">
        <f t="array" ref="K705">IF(B705&gt;0,'Direct Costs 2026'!$C$26,"N/A")</f>
      </c>
      <c r="L705" s="480" cm="1">
        <f t="array" ref="L705">IF(B705&gt;0,'Direct Costs 2026'!$C$23,"N/A")</f>
      </c>
      <c r="M705" s="480" cm="1">
        <f t="array" ref="M705">IF(B705&gt;0,'Direct Costs 2026'!$C$45*B705,"N/A")</f>
      </c>
      <c r="N705" s="480" cm="1">
        <f t="array" ref="N705">IF(B705&gt;0,_xlfn.IFERROR(VLOOKUP(C694,'Boats Data Sheet 2026'!$C$3:$I$57,7,0)*'Direct Costs 2026'!$C$36,"N/A"),"N/A")</f>
      </c>
      <c r="O705" s="480" cm="1">
        <f t="array" ref="O705">IF(B705&gt;0,IF(OR(VLOOKUP(C694,'Boats Data Sheet 2026'!$C$3:$F$57,4,0)="Own",VLOOKUP(C694,'Boats Data Sheet 2026'!$C$3:$F$57,4,0)="Management"),('Direct Costs 2026'!$C$37+'Direct Costs 2026'!$C$39),"N/A"),"N/A")</f>
      </c>
      <c r="P705" t="str" s="482" cm="1">
        <f t="array" ref="P705">_xlfn.IFERROR('Direct Costs 2026'!$C$27*C705,"N/A")</f>
        <v>N/A</v>
      </c>
      <c r="Q705" t="str" s="482" cm="1">
        <f t="array" ref="Q705">_xlfn.IFERROR(C705+SUM(E705:P705),"N/A")</f>
        <v>N/A</v>
      </c>
      <c r="R705" s="483"/>
      <c r="S705" s="480" cm="1">
        <f t="array" ref="S705">IF(B705&gt;0,'Allocation OH and Target 2026'!$E$31,"N/A")</f>
      </c>
      <c r="T705" s="480" cm="1">
        <f t="array" ref="T705">IF(B705&gt;0,VLOOKUP(C694,'Allocation OH and Target 2026'!$C$35:$S$87,16,0),"N/A")</f>
      </c>
      <c r="U705" t="str" s="482" cm="1">
        <f t="array" ref="U705">_xlfn.IFERROR((S705+T705),"N/A")</f>
        <v>N/A</v>
      </c>
      <c r="V705" s="483"/>
      <c r="W705" t="str" s="482" cm="1">
        <f t="array" ref="W705">_xlfn.IFERROR(U705+Q705,"N/A")</f>
        <v>N/A</v>
      </c>
      <c r="X705" t="str" s="482" cm="1">
        <f t="array" ref="X705">_xlfn.IFERROR(W705*0.5%,"N/A")</f>
        <v>N/A</v>
      </c>
      <c r="Y705" t="str" s="482" cm="1">
        <f t="array" ref="Y705">_xlfn.IFERROR(W705*25%,"N/A")</f>
        <v>N/A</v>
      </c>
      <c r="Z705" s="484" cm="1">
        <f t="array" ref="Z705">IF(B705&gt;0,SUM(W705:Y705),"N/A")</f>
      </c>
      <c r="AA705" t="str" s="485" cm="1">
        <f t="array" ref="AA705">_xlfn.IFERROR((Z705-AVERAGE(Z697:Z702)),"N/A")</f>
        <v>N/A</v>
      </c>
      <c r="AB705" s="483"/>
      <c r="AC705" s="484" cm="1">
        <f t="array" ref="AC705">IF(B705=6,AVERAGE(Z697:Z702),"N/A")</f>
      </c>
      <c r="AD705" s="483"/>
      <c r="AE705" s="480"/>
      <c r="AF705" s="480"/>
      <c r="AG705" s="480"/>
      <c r="AH705" s="480"/>
      <c r="AI705" s="480"/>
      <c r="AJ705" s="480"/>
      <c r="AK705" s="480"/>
      <c r="AL705" s="480"/>
      <c r="AM705" s="480"/>
      <c r="AN705" s="486"/>
    </row>
    <row r="706" ht="15" customHeight="1" hidden="1">
      <c r="A706" s="12"/>
      <c r="B706" s="479" cm="1">
        <f t="array" ref="B706">IF(B705=0,0,IF(B705&lt;VLOOKUP(C694,'Boats Data Sheet 2026'!$C$3:$H$57,6,0),B705+1,0))</f>
      </c>
      <c r="C706" s="480" cm="1">
        <f t="array" ref="C706">IF(B706&gt;0,IF(VLOOKUP(C694,'Boats Data Sheet 2026'!$C$3:$J$57,8,0)="N/A",0,VLOOKUP(C694,'Boats Data Sheet 2026'!$C$3:$J$57,8,0)),"N/A")</f>
      </c>
      <c r="D706" s="482" cm="1">
        <f t="array" ref="D706">IF(B706&gt;7,2,IF(B706=0,"N/A",1))</f>
      </c>
      <c r="E706" t="str" s="482" cm="1">
        <f t="array" ref="E706">_xlfn.IFERROR(SUM('Direct Costs 2026'!$C$4:$C$5)*D706,"N/A")</f>
        <v>N/A</v>
      </c>
      <c r="F706" t="str" s="482" cm="1">
        <f t="array" ref="F706">_xlfn.IFERROR('Direct Costs 2026'!$C$43*B706,"N/A")</f>
        <v>N/A</v>
      </c>
      <c r="G706" s="480" cm="1">
        <f t="array" ref="G706">IF(B706&gt;0,'Direct Costs 2026'!$C$25,"N/A")</f>
      </c>
      <c r="H706" s="480" cm="1">
        <f t="array" ref="H706">IF(B706&gt;0,'Direct Costs 2026'!$C$15+'Direct Costs 2026'!$C$14,"N/A")</f>
      </c>
      <c r="I706" s="480">
        <v>0</v>
      </c>
      <c r="J706" s="480">
        <v>0</v>
      </c>
      <c r="K706" s="480" cm="1">
        <f t="array" ref="K706">IF(B706&gt;0,'Direct Costs 2026'!$C$26,"N/A")</f>
      </c>
      <c r="L706" s="480" cm="1">
        <f t="array" ref="L706">IF(B706&gt;0,'Direct Costs 2026'!$C$23,"N/A")</f>
      </c>
      <c r="M706" s="480" cm="1">
        <f t="array" ref="M706">IF(B706&gt;0,'Direct Costs 2026'!$C$45*B706,"N/A")</f>
      </c>
      <c r="N706" s="480" cm="1">
        <f t="array" ref="N706">IF(B706&gt;0,_xlfn.IFERROR(VLOOKUP(C694,'Boats Data Sheet 2026'!$C$3:$I$57,7,0)*'Direct Costs 2026'!$C$36,"N/A"),"N/A")</f>
      </c>
      <c r="O706" s="480" cm="1">
        <f t="array" ref="O706">IF(B706&gt;0,IF(OR(VLOOKUP(C694,'Boats Data Sheet 2026'!$C$3:$F$57,4,0)="Own",VLOOKUP(C694,'Boats Data Sheet 2026'!$C$3:$F$57,4,0)="Management"),('Direct Costs 2026'!$C$37+'Direct Costs 2026'!$C$39),"N/A"),"N/A")</f>
      </c>
      <c r="P706" t="str" s="482" cm="1">
        <f t="array" ref="P706">_xlfn.IFERROR('Direct Costs 2026'!$C$27*C706,"N/A")</f>
        <v>N/A</v>
      </c>
      <c r="Q706" t="str" s="482" cm="1">
        <f t="array" ref="Q706">_xlfn.IFERROR(C706+SUM(E706:P706),"N/A")</f>
        <v>N/A</v>
      </c>
      <c r="R706" s="483"/>
      <c r="S706" s="480" cm="1">
        <f t="array" ref="S706">IF(B706&gt;0,'Allocation OH and Target 2026'!$E$31,"N/A")</f>
      </c>
      <c r="T706" s="480" cm="1">
        <f t="array" ref="T706">IF(B706&gt;0,VLOOKUP(C694,'Allocation OH and Target 2026'!$C$35:$S$87,16,0),"N/A")</f>
      </c>
      <c r="U706" t="str" s="482" cm="1">
        <f t="array" ref="U706">_xlfn.IFERROR((S706+T706),"N/A")</f>
        <v>N/A</v>
      </c>
      <c r="V706" s="483"/>
      <c r="W706" t="str" s="482" cm="1">
        <f t="array" ref="W706">_xlfn.IFERROR(U706+Q706,"N/A")</f>
        <v>N/A</v>
      </c>
      <c r="X706" t="str" s="482" cm="1">
        <f t="array" ref="X706">_xlfn.IFERROR(W706*0.5%,"N/A")</f>
        <v>N/A</v>
      </c>
      <c r="Y706" t="str" s="482" cm="1">
        <f t="array" ref="Y706">_xlfn.IFERROR(W706*25%,"N/A")</f>
        <v>N/A</v>
      </c>
      <c r="Z706" s="484" cm="1">
        <f t="array" ref="Z706">IF(B706&gt;0,SUM(W706:Y706),"N/A")</f>
      </c>
      <c r="AA706" t="str" s="485" cm="1">
        <f t="array" ref="AA706">_xlfn.IFERROR((Z706-AVERAGE(Z697:Z702)),"N/A")</f>
        <v>N/A</v>
      </c>
      <c r="AB706" s="483"/>
      <c r="AC706" s="484" cm="1">
        <f t="array" ref="AC706">IF(B706=6,AVERAGE(Z697:Z702),"N/A")</f>
      </c>
      <c r="AD706" s="483"/>
      <c r="AE706" s="480"/>
      <c r="AF706" s="480"/>
      <c r="AG706" s="480"/>
      <c r="AH706" s="480"/>
      <c r="AI706" s="480"/>
      <c r="AJ706" s="480"/>
      <c r="AK706" s="480"/>
      <c r="AL706" s="480"/>
      <c r="AM706" s="480"/>
      <c r="AN706" s="486"/>
    </row>
    <row r="707" ht="15" customHeight="1" hidden="1">
      <c r="A707" s="12"/>
      <c r="B707" s="479" cm="1">
        <f t="array" ref="B707">IF(B706=0,0,IF(B706&lt;VLOOKUP(C694,'Boats Data Sheet 2026'!$C$3:$H$57,6,0),B706+1,0))</f>
      </c>
      <c r="C707" s="480" cm="1">
        <f t="array" ref="C707">IF(B707&gt;0,IF(VLOOKUP(C694,'Boats Data Sheet 2026'!$C$3:$J$57,8,0)="N/A",0,VLOOKUP(C694,'Boats Data Sheet 2026'!$C$3:$J$57,8,0)),"N/A")</f>
      </c>
      <c r="D707" s="482" cm="1">
        <f t="array" ref="D707">IF(B707&gt;7,2,IF(B707=0,"N/A",1))</f>
      </c>
      <c r="E707" t="str" s="482" cm="1">
        <f t="array" ref="E707">_xlfn.IFERROR(SUM('Direct Costs 2026'!$C$4:$C$5)*D707,"N/A")</f>
        <v>N/A</v>
      </c>
      <c r="F707" t="str" s="482" cm="1">
        <f t="array" ref="F707">_xlfn.IFERROR('Direct Costs 2026'!$C$43*B707,"N/A")</f>
        <v>N/A</v>
      </c>
      <c r="G707" s="480" cm="1">
        <f t="array" ref="G707">IF(B707&gt;0,'Direct Costs 2026'!$C$25,"N/A")</f>
      </c>
      <c r="H707" s="480" cm="1">
        <f t="array" ref="H707">IF(B707&gt;0,'Direct Costs 2026'!$C$15+'Direct Costs 2026'!$C$14,"N/A")</f>
      </c>
      <c r="I707" s="480">
        <v>0</v>
      </c>
      <c r="J707" s="480">
        <v>0</v>
      </c>
      <c r="K707" s="480" cm="1">
        <f t="array" ref="K707">IF(B707&gt;0,'Direct Costs 2026'!$C$26,"N/A")</f>
      </c>
      <c r="L707" s="480" cm="1">
        <f t="array" ref="L707">IF(B707&gt;0,'Direct Costs 2026'!$C$23,"N/A")</f>
      </c>
      <c r="M707" s="480" cm="1">
        <f t="array" ref="M707">IF(B707&gt;0,'Direct Costs 2026'!$C$45*B707,"N/A")</f>
      </c>
      <c r="N707" s="480" cm="1">
        <f t="array" ref="N707">IF(B707&gt;0,_xlfn.IFERROR(VLOOKUP(C694,'Boats Data Sheet 2026'!$C$3:$I$57,7,0)*'Direct Costs 2026'!$C$36,"N/A"),"N/A")</f>
      </c>
      <c r="O707" s="480" cm="1">
        <f t="array" ref="O707">IF(B707&gt;0,IF(OR(VLOOKUP(C694,'Boats Data Sheet 2026'!$C$3:$F$57,4,0)="Own",VLOOKUP(C694,'Boats Data Sheet 2026'!$C$3:$F$57,4,0)="Management"),('Direct Costs 2026'!$C$37+'Direct Costs 2026'!$C$39),"N/A"),"N/A")</f>
      </c>
      <c r="P707" t="str" s="482" cm="1">
        <f t="array" ref="P707">_xlfn.IFERROR('Direct Costs 2026'!$C$27*C707,"N/A")</f>
        <v>N/A</v>
      </c>
      <c r="Q707" t="str" s="482" cm="1">
        <f t="array" ref="Q707">_xlfn.IFERROR(C707+SUM(E707:P707),"N/A")</f>
        <v>N/A</v>
      </c>
      <c r="R707" s="483"/>
      <c r="S707" s="480" cm="1">
        <f t="array" ref="S707">IF(B707&gt;0,'Allocation OH and Target 2026'!$E$31,"N/A")</f>
      </c>
      <c r="T707" s="480" cm="1">
        <f t="array" ref="T707">IF(B707&gt;0,VLOOKUP(C694,'Allocation OH and Target 2026'!$C$35:$S$87,16,0),"N/A")</f>
      </c>
      <c r="U707" t="str" s="482" cm="1">
        <f t="array" ref="U707">_xlfn.IFERROR((S707+T707),"N/A")</f>
        <v>N/A</v>
      </c>
      <c r="V707" s="483"/>
      <c r="W707" t="str" s="482" cm="1">
        <f t="array" ref="W707">_xlfn.IFERROR(U707+Q707,"N/A")</f>
        <v>N/A</v>
      </c>
      <c r="X707" t="str" s="482" cm="1">
        <f t="array" ref="X707">_xlfn.IFERROR(W707*0.5%,"N/A")</f>
        <v>N/A</v>
      </c>
      <c r="Y707" t="str" s="482" cm="1">
        <f t="array" ref="Y707">_xlfn.IFERROR(W707*25%,"N/A")</f>
        <v>N/A</v>
      </c>
      <c r="Z707" s="484" cm="1">
        <f t="array" ref="Z707">IF(B707&gt;0,SUM(W707:Y707),"N/A")</f>
      </c>
      <c r="AA707" t="str" s="485" cm="1">
        <f t="array" ref="AA707">_xlfn.IFERROR((Z707-AVERAGE(Z697:Z702)),"N/A")</f>
        <v>N/A</v>
      </c>
      <c r="AB707" s="483"/>
      <c r="AC707" s="484" cm="1">
        <f t="array" ref="AC707">IF(B707=6,AVERAGE(Z697:Z702),"N/A")</f>
      </c>
      <c r="AD707" s="483"/>
      <c r="AE707" s="480"/>
      <c r="AF707" s="480"/>
      <c r="AG707" s="480"/>
      <c r="AH707" s="480"/>
      <c r="AI707" s="480"/>
      <c r="AJ707" s="480"/>
      <c r="AK707" s="480"/>
      <c r="AL707" s="480"/>
      <c r="AM707" s="480"/>
      <c r="AN707" s="486"/>
    </row>
    <row r="708" ht="15" customHeight="1" hidden="1">
      <c r="A708" s="12"/>
      <c r="B708" s="479" cm="1">
        <f t="array" ref="B708">IF(B707=0,0,IF(B707&lt;VLOOKUP(C694,'Boats Data Sheet 2026'!$C$3:$H$57,6,0),B707+1,0))</f>
      </c>
      <c r="C708" s="480" cm="1">
        <f t="array" ref="C708">IF(B708&gt;0,IF(VLOOKUP(C694,'Boats Data Sheet 2026'!$C$3:$J$57,8,0)="N/A",0,VLOOKUP(C694,'Boats Data Sheet 2026'!$C$3:$J$57,8,0)),"N/A")</f>
      </c>
      <c r="D708" s="482" cm="1">
        <f t="array" ref="D708">IF(B708&gt;7,2,IF(B708=0,"N/A",1))</f>
      </c>
      <c r="E708" t="str" s="482" cm="1">
        <f t="array" ref="E708">_xlfn.IFERROR(SUM('Direct Costs 2026'!$C$4:$C$5)*D708,"N/A")</f>
        <v>N/A</v>
      </c>
      <c r="F708" t="str" s="482" cm="1">
        <f t="array" ref="F708">_xlfn.IFERROR('Direct Costs 2026'!$C$43*B708,"N/A")</f>
        <v>N/A</v>
      </c>
      <c r="G708" s="480" cm="1">
        <f t="array" ref="G708">IF(B708&gt;0,'Direct Costs 2026'!$C$25,"N/A")</f>
      </c>
      <c r="H708" s="480" cm="1">
        <f t="array" ref="H708">IF(B708&gt;0,'Direct Costs 2026'!$C$15+'Direct Costs 2026'!$C$14,"N/A")</f>
      </c>
      <c r="I708" s="480">
        <v>0</v>
      </c>
      <c r="J708" s="480">
        <v>0</v>
      </c>
      <c r="K708" s="480" cm="1">
        <f t="array" ref="K708">IF(B708&gt;0,'Direct Costs 2026'!$C$26,"N/A")</f>
      </c>
      <c r="L708" s="480" cm="1">
        <f t="array" ref="L708">IF(B708&gt;0,'Direct Costs 2026'!$C$23,"N/A")</f>
      </c>
      <c r="M708" s="480" cm="1">
        <f t="array" ref="M708">IF(B708&gt;0,'Direct Costs 2026'!$C$45*B708,"N/A")</f>
      </c>
      <c r="N708" s="480" cm="1">
        <f t="array" ref="N708">IF(B708&gt;0,_xlfn.IFERROR(VLOOKUP(C694,'Boats Data Sheet 2026'!$C$3:$I$57,7,0)*'Direct Costs 2026'!$C$36,"N/A"),"N/A")</f>
      </c>
      <c r="O708" s="480" cm="1">
        <f t="array" ref="O708">IF(B708&gt;0,IF(OR(VLOOKUP(C694,'Boats Data Sheet 2026'!$C$3:$F$57,4,0)="Own",VLOOKUP(C694,'Boats Data Sheet 2026'!$C$3:$F$57,4,0)="Management"),('Direct Costs 2026'!$C$37+'Direct Costs 2026'!$C$39),"N/A"),"N/A")</f>
      </c>
      <c r="P708" t="str" s="482" cm="1">
        <f t="array" ref="P708">_xlfn.IFERROR('Direct Costs 2026'!$C$27*C708,"N/A")</f>
        <v>N/A</v>
      </c>
      <c r="Q708" t="str" s="482" cm="1">
        <f t="array" ref="Q708">_xlfn.IFERROR(C708+SUM(E708:P708),"N/A")</f>
        <v>N/A</v>
      </c>
      <c r="R708" s="483"/>
      <c r="S708" s="480" cm="1">
        <f t="array" ref="S708">IF(B708&gt;0,'Allocation OH and Target 2026'!$E$31,"N/A")</f>
      </c>
      <c r="T708" s="480" cm="1">
        <f t="array" ref="T708">IF(B708&gt;0,VLOOKUP(C694,'Allocation OH and Target 2026'!$C$35:$S$87,16,0),"N/A")</f>
      </c>
      <c r="U708" t="str" s="482" cm="1">
        <f t="array" ref="U708">_xlfn.IFERROR((S708+T708),"N/A")</f>
        <v>N/A</v>
      </c>
      <c r="V708" s="483"/>
      <c r="W708" t="str" s="482" cm="1">
        <f t="array" ref="W708">_xlfn.IFERROR(U708+Q708,"N/A")</f>
        <v>N/A</v>
      </c>
      <c r="X708" t="str" s="482" cm="1">
        <f t="array" ref="X708">_xlfn.IFERROR(W708*0.5%,"N/A")</f>
        <v>N/A</v>
      </c>
      <c r="Y708" t="str" s="482" cm="1">
        <f t="array" ref="Y708">_xlfn.IFERROR(W708*25%,"N/A")</f>
        <v>N/A</v>
      </c>
      <c r="Z708" s="484" cm="1">
        <f t="array" ref="Z708">IF(B708&gt;0,SUM(W708:Y708),"N/A")</f>
      </c>
      <c r="AA708" t="str" s="485" cm="1">
        <f t="array" ref="AA708">_xlfn.IFERROR((Z708-AVERAGE(Z697:Z702)),"N/A")</f>
        <v>N/A</v>
      </c>
      <c r="AB708" s="483"/>
      <c r="AC708" s="484" cm="1">
        <f t="array" ref="AC708">IF(B708=6,AVERAGE(Z697:Z702),"N/A")</f>
      </c>
      <c r="AD708" s="483"/>
      <c r="AE708" s="480"/>
      <c r="AF708" s="480"/>
      <c r="AG708" s="480"/>
      <c r="AH708" s="480"/>
      <c r="AI708" s="480"/>
      <c r="AJ708" s="480"/>
      <c r="AK708" s="480"/>
      <c r="AL708" s="480"/>
      <c r="AM708" s="480"/>
      <c r="AN708" s="486"/>
    </row>
    <row r="709" ht="15" customHeight="1" hidden="1">
      <c r="A709" s="12"/>
      <c r="B709" s="479" cm="1">
        <f t="array" ref="B709">IF(B708=0,0,IF(B708&lt;VLOOKUP(C694,'Boats Data Sheet 2026'!$C$3:$H$57,6,0),B708+1,0))</f>
      </c>
      <c r="C709" s="480" cm="1">
        <f t="array" ref="C709">IF(B709&gt;0,IF(VLOOKUP(C694,'Boats Data Sheet 2026'!$C$3:$J$57,8,0)="N/A",0,VLOOKUP(C694,'Boats Data Sheet 2026'!$C$3:$J$57,8,0)),"N/A")</f>
      </c>
      <c r="D709" s="482" cm="1">
        <f t="array" ref="D709">IF(B709&gt;7,2,IF(B709=0,"N/A",1))</f>
      </c>
      <c r="E709" t="str" s="482" cm="1">
        <f t="array" ref="E709">_xlfn.IFERROR(SUM('Direct Costs 2026'!$C$4:$C$5)*D709,"N/A")</f>
        <v>N/A</v>
      </c>
      <c r="F709" t="str" s="482" cm="1">
        <f t="array" ref="F709">_xlfn.IFERROR('Direct Costs 2026'!$C$43*B709,"N/A")</f>
        <v>N/A</v>
      </c>
      <c r="G709" s="480" cm="1">
        <f t="array" ref="G709">IF(B709&gt;0,'Direct Costs 2026'!$C$25,"N/A")</f>
      </c>
      <c r="H709" s="480" cm="1">
        <f t="array" ref="H709">IF(B709&gt;0,'Direct Costs 2026'!$C$15+'Direct Costs 2026'!$C$14,"N/A")</f>
      </c>
      <c r="I709" s="480">
        <v>0</v>
      </c>
      <c r="J709" s="480">
        <v>0</v>
      </c>
      <c r="K709" s="480" cm="1">
        <f t="array" ref="K709">IF(B709&gt;0,'Direct Costs 2026'!$C$26,"N/A")</f>
      </c>
      <c r="L709" s="480" cm="1">
        <f t="array" ref="L709">IF(B709&gt;0,'Direct Costs 2026'!$C$23,"N/A")</f>
      </c>
      <c r="M709" s="480" cm="1">
        <f t="array" ref="M709">IF(B709&gt;0,'Direct Costs 2026'!$C$45*B709,"N/A")</f>
      </c>
      <c r="N709" s="480" cm="1">
        <f t="array" ref="N709">IF(B709&gt;0,_xlfn.IFERROR(VLOOKUP(C694,'Boats Data Sheet 2026'!$C$3:$I$57,7,0)*'Direct Costs 2026'!$C$36,"N/A"),"N/A")</f>
      </c>
      <c r="O709" s="480" cm="1">
        <f t="array" ref="O709">IF(B709&gt;0,IF(OR(VLOOKUP(C694,'Boats Data Sheet 2026'!$C$3:$F$57,4,0)="Own",VLOOKUP(C694,'Boats Data Sheet 2026'!$C$3:$F$57,4,0)="Management"),('Direct Costs 2026'!$C$37+'Direct Costs 2026'!$C$39),"N/A"),"N/A")</f>
      </c>
      <c r="P709" t="str" s="482" cm="1">
        <f t="array" ref="P709">_xlfn.IFERROR('Direct Costs 2026'!$C$27*C709,"N/A")</f>
        <v>N/A</v>
      </c>
      <c r="Q709" t="str" s="482" cm="1">
        <f t="array" ref="Q709">_xlfn.IFERROR(C709+SUM(E709:P709),"N/A")</f>
        <v>N/A</v>
      </c>
      <c r="R709" s="483"/>
      <c r="S709" s="480" cm="1">
        <f t="array" ref="S709">IF(B709&gt;0,'Allocation OH and Target 2026'!$E$31,"N/A")</f>
      </c>
      <c r="T709" s="480" cm="1">
        <f t="array" ref="T709">IF(B709&gt;0,VLOOKUP(C694,'Allocation OH and Target 2026'!$C$35:$S$87,16,0),"N/A")</f>
      </c>
      <c r="U709" t="str" s="482" cm="1">
        <f t="array" ref="U709">_xlfn.IFERROR((S709+T709),"N/A")</f>
        <v>N/A</v>
      </c>
      <c r="V709" s="483"/>
      <c r="W709" t="str" s="482" cm="1">
        <f t="array" ref="W709">_xlfn.IFERROR(U709+Q709,"N/A")</f>
        <v>N/A</v>
      </c>
      <c r="X709" t="str" s="482" cm="1">
        <f t="array" ref="X709">_xlfn.IFERROR(W709*0.5%,"N/A")</f>
        <v>N/A</v>
      </c>
      <c r="Y709" t="str" s="482" cm="1">
        <f t="array" ref="Y709">_xlfn.IFERROR(W709*25%,"N/A")</f>
        <v>N/A</v>
      </c>
      <c r="Z709" s="484" cm="1">
        <f t="array" ref="Z709">IF(B709&gt;0,SUM(W709:Y709),"N/A")</f>
      </c>
      <c r="AA709" t="str" s="485" cm="1">
        <f t="array" ref="AA709">_xlfn.IFERROR((Z709-AVERAGE(Z697:Z702)),"N/A")</f>
        <v>N/A</v>
      </c>
      <c r="AB709" s="483"/>
      <c r="AC709" s="484" cm="1">
        <f t="array" ref="AC709">IF(B709=6,AVERAGE(Z697:Z702),"N/A")</f>
      </c>
      <c r="AD709" s="483"/>
      <c r="AE709" s="480"/>
      <c r="AF709" s="480"/>
      <c r="AG709" s="480"/>
      <c r="AH709" s="480"/>
      <c r="AI709" s="480"/>
      <c r="AJ709" s="480"/>
      <c r="AK709" s="480"/>
      <c r="AL709" s="480"/>
      <c r="AM709" s="480"/>
      <c r="AN709" s="486"/>
    </row>
    <row r="710" ht="15" customHeight="1" hidden="1">
      <c r="A710" s="12"/>
      <c r="B710" s="479" cm="1">
        <f t="array" ref="B710">IF(B709=0,0,IF(B709&lt;VLOOKUP(C694,'Boats Data Sheet 2026'!$C$3:$H$57,6,0),B709+1,0))</f>
      </c>
      <c r="C710" s="480" cm="1">
        <f t="array" ref="C710">IF(B710&gt;0,IF(VLOOKUP(C694,'Boats Data Sheet 2026'!$C$3:$J$57,8,0)="N/A",0,VLOOKUP(C694,'Boats Data Sheet 2026'!$C$3:$J$57,8,0)),"N/A")</f>
      </c>
      <c r="D710" s="482" cm="1">
        <f t="array" ref="D710">IF(B710&gt;7,2,IF(B710=0,"N/A",1))</f>
      </c>
      <c r="E710" t="str" s="482" cm="1">
        <f t="array" ref="E710">_xlfn.IFERROR(SUM('Direct Costs 2026'!$C$4:$C$5)*D710,"N/A")</f>
        <v>N/A</v>
      </c>
      <c r="F710" t="str" s="482" cm="1">
        <f t="array" ref="F710">_xlfn.IFERROR('Direct Costs 2026'!$C$43*B710,"N/A")</f>
        <v>N/A</v>
      </c>
      <c r="G710" s="480" cm="1">
        <f t="array" ref="G710">IF(B710&gt;0,'Direct Costs 2026'!$C$25,"N/A")</f>
      </c>
      <c r="H710" s="480" cm="1">
        <f t="array" ref="H710">IF(B710&gt;0,'Direct Costs 2026'!$C$15+'Direct Costs 2026'!$C$14,"N/A")</f>
      </c>
      <c r="I710" s="480">
        <v>0</v>
      </c>
      <c r="J710" s="480">
        <v>0</v>
      </c>
      <c r="K710" s="480" cm="1">
        <f t="array" ref="K710">IF(B710&gt;0,'Direct Costs 2026'!$C$26,"N/A")</f>
      </c>
      <c r="L710" s="480" cm="1">
        <f t="array" ref="L710">IF(B710&gt;0,'Direct Costs 2026'!$C$23,"N/A")</f>
      </c>
      <c r="M710" s="480" cm="1">
        <f t="array" ref="M710">IF(B710&gt;0,'Direct Costs 2026'!$C$45*B710,"N/A")</f>
      </c>
      <c r="N710" s="480" cm="1">
        <f t="array" ref="N710">IF(B710&gt;0,_xlfn.IFERROR(VLOOKUP(C694,'Boats Data Sheet 2026'!$C$3:$I$57,7,0)*'Direct Costs 2026'!$C$36,"N/A"),"N/A")</f>
      </c>
      <c r="O710" s="480" cm="1">
        <f t="array" ref="O710">IF(B710&gt;0,IF(OR(VLOOKUP(C694,'Boats Data Sheet 2026'!$C$3:$F$57,4,0)="Own",VLOOKUP(C694,'Boats Data Sheet 2026'!$C$3:$F$57,4,0)="Management"),('Direct Costs 2026'!$C$37+'Direct Costs 2026'!$C$39),"N/A"),"N/A")</f>
      </c>
      <c r="P710" t="str" s="482" cm="1">
        <f t="array" ref="P710">_xlfn.IFERROR('Direct Costs 2026'!$C$27*C710,"N/A")</f>
        <v>N/A</v>
      </c>
      <c r="Q710" t="str" s="482" cm="1">
        <f t="array" ref="Q710">_xlfn.IFERROR(C710+SUM(E710:P710),"N/A")</f>
        <v>N/A</v>
      </c>
      <c r="R710" s="483"/>
      <c r="S710" s="480" cm="1">
        <f t="array" ref="S710">IF(B710&gt;0,'Allocation OH and Target 2026'!$E$31,"N/A")</f>
      </c>
      <c r="T710" s="480" cm="1">
        <f t="array" ref="T710">IF(B710&gt;0,VLOOKUP(C694,'Allocation OH and Target 2026'!$C$35:$S$87,16,0),"N/A")</f>
      </c>
      <c r="U710" t="str" s="482" cm="1">
        <f t="array" ref="U710">_xlfn.IFERROR((S710+T710),"N/A")</f>
        <v>N/A</v>
      </c>
      <c r="V710" s="483"/>
      <c r="W710" t="str" s="482" cm="1">
        <f t="array" ref="W710">_xlfn.IFERROR(U710+Q710,"N/A")</f>
        <v>N/A</v>
      </c>
      <c r="X710" t="str" s="482" cm="1">
        <f t="array" ref="X710">_xlfn.IFERROR(W710*0.5%,"N/A")</f>
        <v>N/A</v>
      </c>
      <c r="Y710" t="str" s="482" cm="1">
        <f t="array" ref="Y710">_xlfn.IFERROR(W710*25%,"N/A")</f>
        <v>N/A</v>
      </c>
      <c r="Z710" s="484" cm="1">
        <f t="array" ref="Z710">IF(B710&gt;0,SUM(W710:Y710),"N/A")</f>
      </c>
      <c r="AA710" t="str" s="485" cm="1">
        <f t="array" ref="AA710">_xlfn.IFERROR((Z710-AVERAGE(Z697:Z702)),"N/A")</f>
        <v>N/A</v>
      </c>
      <c r="AB710" s="483"/>
      <c r="AC710" s="484" cm="1">
        <f t="array" ref="AC710">IF(B710=6,AVERAGE(Z697:Z702),"N/A")</f>
      </c>
      <c r="AD710" s="483"/>
      <c r="AE710" s="480"/>
      <c r="AF710" s="480"/>
      <c r="AG710" s="480"/>
      <c r="AH710" s="480"/>
      <c r="AI710" s="480"/>
      <c r="AJ710" s="480"/>
      <c r="AK710" s="480"/>
      <c r="AL710" s="480"/>
      <c r="AM710" s="480"/>
      <c r="AN710" s="486"/>
    </row>
    <row r="711" ht="15" customHeight="1" hidden="1">
      <c r="A711" s="12"/>
      <c r="B711" s="479" cm="1">
        <f t="array" ref="B711">IF(B710=0,0,IF(B710&lt;VLOOKUP(C694,'Boats Data Sheet 2026'!$C$3:$H$57,6,0),B710+1,0))</f>
      </c>
      <c r="C711" s="480" cm="1">
        <f t="array" ref="C711">IF(B711&gt;0,IF(VLOOKUP(C694,'Boats Data Sheet 2026'!$C$3:$J$57,8,0)="N/A",0,VLOOKUP(C694,'Boats Data Sheet 2026'!$C$3:$J$57,8,0)),"N/A")</f>
      </c>
      <c r="D711" s="482" cm="1">
        <f t="array" ref="D711">IF(B711&gt;7,2,IF(B711=0,"N/A",1))</f>
      </c>
      <c r="E711" t="str" s="482" cm="1">
        <f t="array" ref="E711">_xlfn.IFERROR(SUM('Direct Costs 2026'!$C$4:$C$5)*D711,"N/A")</f>
        <v>N/A</v>
      </c>
      <c r="F711" t="str" s="482" cm="1">
        <f t="array" ref="F711">_xlfn.IFERROR('Direct Costs 2026'!$C$43*B711,"N/A")</f>
        <v>N/A</v>
      </c>
      <c r="G711" s="480" cm="1">
        <f t="array" ref="G711">IF(B711&gt;0,'Direct Costs 2026'!$C$25,"N/A")</f>
      </c>
      <c r="H711" s="480" cm="1">
        <f t="array" ref="H711">IF(B711&gt;0,'Direct Costs 2026'!$C$15+'Direct Costs 2026'!$C$14,"N/A")</f>
      </c>
      <c r="I711" s="480">
        <v>0</v>
      </c>
      <c r="J711" s="480">
        <v>0</v>
      </c>
      <c r="K711" s="480" cm="1">
        <f t="array" ref="K711">IF(B711&gt;0,'Direct Costs 2026'!$C$26,"N/A")</f>
      </c>
      <c r="L711" s="480" cm="1">
        <f t="array" ref="L711">IF(B711&gt;0,'Direct Costs 2026'!$C$23,"N/A")</f>
      </c>
      <c r="M711" s="480" cm="1">
        <f t="array" ref="M711">IF(B711&gt;0,'Direct Costs 2026'!$C$45*B711,"N/A")</f>
      </c>
      <c r="N711" s="480" cm="1">
        <f t="array" ref="N711">IF(B711&gt;0,_xlfn.IFERROR(VLOOKUP(C694,'Boats Data Sheet 2026'!$C$3:$I$57,7,0)*'Direct Costs 2026'!$C$36,"N/A"),"N/A")</f>
      </c>
      <c r="O711" s="480" cm="1">
        <f t="array" ref="O711">IF(B711&gt;0,IF(OR(VLOOKUP(C694,'Boats Data Sheet 2026'!$C$3:$F$57,4,0)="Own",VLOOKUP(C694,'Boats Data Sheet 2026'!$C$3:$F$57,4,0)="Management"),('Direct Costs 2026'!$C$37+'Direct Costs 2026'!$C$39),"N/A"),"N/A")</f>
      </c>
      <c r="P711" t="str" s="482" cm="1">
        <f t="array" ref="P711">_xlfn.IFERROR('Direct Costs 2026'!$C$27*C711,"N/A")</f>
        <v>N/A</v>
      </c>
      <c r="Q711" t="str" s="482" cm="1">
        <f t="array" ref="Q711">_xlfn.IFERROR(C711+SUM(E711:P711),"N/A")</f>
        <v>N/A</v>
      </c>
      <c r="R711" s="483"/>
      <c r="S711" s="480" cm="1">
        <f t="array" ref="S711">IF(B711&gt;0,'Allocation OH and Target 2026'!$E$31,"N/A")</f>
      </c>
      <c r="T711" s="480" cm="1">
        <f t="array" ref="T711">IF(B711&gt;0,VLOOKUP(C694,'Allocation OH and Target 2026'!$C$35:$S$87,16,0),"N/A")</f>
      </c>
      <c r="U711" t="str" s="482" cm="1">
        <f t="array" ref="U711">_xlfn.IFERROR((S711+T711),"N/A")</f>
        <v>N/A</v>
      </c>
      <c r="V711" s="483"/>
      <c r="W711" t="str" s="482" cm="1">
        <f t="array" ref="W711">_xlfn.IFERROR(U711+Q711,"N/A")</f>
        <v>N/A</v>
      </c>
      <c r="X711" t="str" s="482" cm="1">
        <f t="array" ref="X711">_xlfn.IFERROR(W711*0.5%,"N/A")</f>
        <v>N/A</v>
      </c>
      <c r="Y711" t="str" s="482" cm="1">
        <f t="array" ref="Y711">_xlfn.IFERROR(W711*25%,"N/A")</f>
        <v>N/A</v>
      </c>
      <c r="Z711" s="484" cm="1">
        <f t="array" ref="Z711">IF(B711&gt;0,SUM(W711:Y711),"N/A")</f>
      </c>
      <c r="AA711" t="str" s="485" cm="1">
        <f t="array" ref="AA711">_xlfn.IFERROR((Z711-AVERAGE(Z697:Z702)),"N/A")</f>
        <v>N/A</v>
      </c>
      <c r="AB711" s="483"/>
      <c r="AC711" s="484" cm="1">
        <f t="array" ref="AC711">IF(B711=6,AVERAGE(Z697:Z702),"N/A")</f>
      </c>
      <c r="AD711" s="483"/>
      <c r="AE711" s="480"/>
      <c r="AF711" s="480"/>
      <c r="AG711" s="480"/>
      <c r="AH711" s="480"/>
      <c r="AI711" s="480"/>
      <c r="AJ711" s="480"/>
      <c r="AK711" s="480"/>
      <c r="AL711" s="480"/>
      <c r="AM711" s="480"/>
      <c r="AN711" s="486"/>
    </row>
    <row r="712" ht="15" customHeight="1" hidden="1">
      <c r="A712" s="12"/>
      <c r="B712" s="479" cm="1">
        <f t="array" ref="B712">IF(B711=0,0,IF(B711&lt;VLOOKUP(C694,'Boats Data Sheet 2026'!$C$3:$H$57,6,0),B711+1,0))</f>
      </c>
      <c r="C712" s="480" cm="1">
        <f t="array" ref="C712">IF(B712&gt;0,IF(VLOOKUP(C694,'Boats Data Sheet 2026'!$C$3:$J$57,8,0)="N/A",0,VLOOKUP(C694,'Boats Data Sheet 2026'!$C$3:$J$57,8,0)),"N/A")</f>
      </c>
      <c r="D712" s="482" cm="1">
        <f t="array" ref="D712">IF(B712&gt;7,2,IF(B712=0,"N/A",1))</f>
      </c>
      <c r="E712" t="str" s="482" cm="1">
        <f t="array" ref="E712">_xlfn.IFERROR(SUM('Direct Costs 2026'!$C$4:$C$5)*D712,"N/A")</f>
        <v>N/A</v>
      </c>
      <c r="F712" t="str" s="482" cm="1">
        <f t="array" ref="F712">_xlfn.IFERROR('Direct Costs 2026'!$C$43*B712,"N/A")</f>
        <v>N/A</v>
      </c>
      <c r="G712" s="480" cm="1">
        <f t="array" ref="G712">IF(B712&gt;0,'Direct Costs 2026'!$C$25,"N/A")</f>
      </c>
      <c r="H712" s="480" cm="1">
        <f t="array" ref="H712">IF(B712&gt;0,'Direct Costs 2026'!$C$15+'Direct Costs 2026'!$C$14,"N/A")</f>
      </c>
      <c r="I712" s="480">
        <v>0</v>
      </c>
      <c r="J712" s="480">
        <v>0</v>
      </c>
      <c r="K712" s="480" cm="1">
        <f t="array" ref="K712">IF(B712&gt;0,'Direct Costs 2026'!$C$26,"N/A")</f>
      </c>
      <c r="L712" s="480" cm="1">
        <f t="array" ref="L712">IF(B712&gt;0,'Direct Costs 2026'!$C$23,"N/A")</f>
      </c>
      <c r="M712" s="480" cm="1">
        <f t="array" ref="M712">IF(B712&gt;0,'Direct Costs 2026'!$C$45*B712,"N/A")</f>
      </c>
      <c r="N712" s="480" cm="1">
        <f t="array" ref="N712">IF(B712&gt;0,_xlfn.IFERROR(VLOOKUP(C694,'Boats Data Sheet 2026'!$C$3:$I$57,7,0)*'Direct Costs 2026'!$C$36,"N/A"),"N/A")</f>
      </c>
      <c r="O712" s="480" cm="1">
        <f t="array" ref="O712">IF(B712&gt;0,IF(OR(VLOOKUP(C694,'Boats Data Sheet 2026'!$C$3:$F$57,4,0)="Own",VLOOKUP(C694,'Boats Data Sheet 2026'!$C$3:$F$57,4,0)="Management"),('Direct Costs 2026'!$C$37+'Direct Costs 2026'!$C$39),"N/A"),"N/A")</f>
      </c>
      <c r="P712" t="str" s="482" cm="1">
        <f t="array" ref="P712">_xlfn.IFERROR('Direct Costs 2026'!$C$27*C712,"N/A")</f>
        <v>N/A</v>
      </c>
      <c r="Q712" t="str" s="482" cm="1">
        <f t="array" ref="Q712">_xlfn.IFERROR(C712+SUM(E712:P712),"N/A")</f>
        <v>N/A</v>
      </c>
      <c r="R712" s="483"/>
      <c r="S712" s="480" cm="1">
        <f t="array" ref="S712">IF(B712&gt;0,'Allocation OH and Target 2026'!$E$31,"N/A")</f>
      </c>
      <c r="T712" s="480" cm="1">
        <f t="array" ref="T712">IF(B712&gt;0,VLOOKUP(C694,'Allocation OH and Target 2026'!$C$35:$S$87,16,0),"N/A")</f>
      </c>
      <c r="U712" t="str" s="482" cm="1">
        <f t="array" ref="U712">_xlfn.IFERROR((S712+T712),"N/A")</f>
        <v>N/A</v>
      </c>
      <c r="V712" s="483"/>
      <c r="W712" t="str" s="482" cm="1">
        <f t="array" ref="W712">_xlfn.IFERROR(U712+Q712,"N/A")</f>
        <v>N/A</v>
      </c>
      <c r="X712" t="str" s="482" cm="1">
        <f t="array" ref="X712">_xlfn.IFERROR(W712*0.5%,"N/A")</f>
        <v>N/A</v>
      </c>
      <c r="Y712" t="str" s="482" cm="1">
        <f t="array" ref="Y712">_xlfn.IFERROR(W712*25%,"N/A")</f>
        <v>N/A</v>
      </c>
      <c r="Z712" s="484" cm="1">
        <f t="array" ref="Z712">IF(B712&gt;0,SUM(W712:Y712),"N/A")</f>
      </c>
      <c r="AA712" t="str" s="485" cm="1">
        <f t="array" ref="AA712">_xlfn.IFERROR((Z712-AVERAGE(Z697:Z702)),"N/A")</f>
        <v>N/A</v>
      </c>
      <c r="AB712" s="483"/>
      <c r="AC712" s="484" cm="1">
        <f t="array" ref="AC712">IF(B712=6,AVERAGE(Z697:Z702),"N/A")</f>
      </c>
      <c r="AD712" s="483"/>
      <c r="AE712" s="480"/>
      <c r="AF712" s="480"/>
      <c r="AG712" s="480"/>
      <c r="AH712" s="480"/>
      <c r="AI712" s="480"/>
      <c r="AJ712" s="480"/>
      <c r="AK712" s="480"/>
      <c r="AL712" s="480"/>
      <c r="AM712" s="480"/>
      <c r="AN712" s="486"/>
    </row>
    <row r="713" ht="15" customHeight="1" hidden="1">
      <c r="A713" s="12"/>
      <c r="B713" s="479" cm="1">
        <f t="array" ref="B713">IF(B712=0,0,IF(B712&lt;VLOOKUP(C694,'Boats Data Sheet 2026'!$C$3:$H$57,6,0),B712+1,0))</f>
      </c>
      <c r="C713" s="480" cm="1">
        <f t="array" ref="C713">IF(B713&gt;0,IF(VLOOKUP(C694,'Boats Data Sheet 2026'!$C$3:$J$57,8,0)="N/A",0,VLOOKUP(C694,'Boats Data Sheet 2026'!$C$3:$J$57,8,0)),"N/A")</f>
      </c>
      <c r="D713" s="482" cm="1">
        <f t="array" ref="D713">IF(B713&gt;7,2,IF(B713=0,"N/A",1))</f>
      </c>
      <c r="E713" t="str" s="482" cm="1">
        <f t="array" ref="E713">_xlfn.IFERROR(SUM('Direct Costs 2026'!$C$4:$C$5)*D713,"N/A")</f>
        <v>N/A</v>
      </c>
      <c r="F713" t="str" s="482" cm="1">
        <f t="array" ref="F713">_xlfn.IFERROR('Direct Costs 2026'!$C$43*B713,"N/A")</f>
        <v>N/A</v>
      </c>
      <c r="G713" s="480" cm="1">
        <f t="array" ref="G713">IF(B713&gt;0,'Direct Costs 2026'!$C$25,"N/A")</f>
      </c>
      <c r="H713" s="480" cm="1">
        <f t="array" ref="H713">IF(B713&gt;0,'Direct Costs 2026'!$C$15+'Direct Costs 2026'!$C$14,"N/A")</f>
      </c>
      <c r="I713" s="480">
        <v>0</v>
      </c>
      <c r="J713" s="480">
        <v>0</v>
      </c>
      <c r="K713" s="480" cm="1">
        <f t="array" ref="K713">IF(B713&gt;0,'Direct Costs 2026'!$C$26,"N/A")</f>
      </c>
      <c r="L713" s="480" cm="1">
        <f t="array" ref="L713">IF(B713&gt;0,'Direct Costs 2026'!$C$23,"N/A")</f>
      </c>
      <c r="M713" s="480" cm="1">
        <f t="array" ref="M713">IF(B713&gt;0,'Direct Costs 2026'!$C$45*B713,"N/A")</f>
      </c>
      <c r="N713" s="480" cm="1">
        <f t="array" ref="N713">IF(B713&gt;0,_xlfn.IFERROR(VLOOKUP(C694,'Boats Data Sheet 2026'!$C$3:$I$57,7,0)*'Direct Costs 2026'!$C$36,"N/A"),"N/A")</f>
      </c>
      <c r="O713" s="480" cm="1">
        <f t="array" ref="O713">IF(B713&gt;0,IF(OR(VLOOKUP(C694,'Boats Data Sheet 2026'!$C$3:$F$57,4,0)="Own",VLOOKUP(C694,'Boats Data Sheet 2026'!$C$3:$F$57,4,0)="Management"),('Direct Costs 2026'!$C$37+'Direct Costs 2026'!$C$39),"N/A"),"N/A")</f>
      </c>
      <c r="P713" t="str" s="482" cm="1">
        <f t="array" ref="P713">_xlfn.IFERROR('Direct Costs 2026'!$C$27*C713,"N/A")</f>
        <v>N/A</v>
      </c>
      <c r="Q713" t="str" s="482" cm="1">
        <f t="array" ref="Q713">_xlfn.IFERROR(C713+SUM(E713:P713),"N/A")</f>
        <v>N/A</v>
      </c>
      <c r="R713" s="483"/>
      <c r="S713" s="480" cm="1">
        <f t="array" ref="S713">IF(B713&gt;0,'Allocation OH and Target 2026'!$E$31,"N/A")</f>
      </c>
      <c r="T713" s="480" cm="1">
        <f t="array" ref="T713">IF(B713&gt;0,VLOOKUP(C694,'Allocation OH and Target 2026'!$C$35:$S$87,16,0),"N/A")</f>
      </c>
      <c r="U713" t="str" s="482" cm="1">
        <f t="array" ref="U713">_xlfn.IFERROR((S713+T713),"N/A")</f>
        <v>N/A</v>
      </c>
      <c r="V713" s="483"/>
      <c r="W713" t="str" s="482" cm="1">
        <f t="array" ref="W713">_xlfn.IFERROR(U713+Q713,"N/A")</f>
        <v>N/A</v>
      </c>
      <c r="X713" t="str" s="482" cm="1">
        <f t="array" ref="X713">_xlfn.IFERROR(W713*0.5%,"N/A")</f>
        <v>N/A</v>
      </c>
      <c r="Y713" t="str" s="482" cm="1">
        <f t="array" ref="Y713">_xlfn.IFERROR(W713*25%,"N/A")</f>
        <v>N/A</v>
      </c>
      <c r="Z713" s="484" cm="1">
        <f t="array" ref="Z713">IF(B713&gt;0,SUM(W713:Y713),"N/A")</f>
      </c>
      <c r="AA713" t="str" s="485" cm="1">
        <f t="array" ref="AA713">_xlfn.IFERROR((Z713-AVERAGE(Z697:Z702)),"N/A")</f>
        <v>N/A</v>
      </c>
      <c r="AB713" s="483"/>
      <c r="AC713" s="484" cm="1">
        <f t="array" ref="AC713">IF(B713=6,AVERAGE(Z697:Z702),"N/A")</f>
      </c>
      <c r="AD713" s="483"/>
      <c r="AE713" s="480"/>
      <c r="AF713" s="480"/>
      <c r="AG713" s="480"/>
      <c r="AH713" s="480"/>
      <c r="AI713" s="480"/>
      <c r="AJ713" s="480"/>
      <c r="AK713" s="480"/>
      <c r="AL713" s="480"/>
      <c r="AM713" s="480"/>
      <c r="AN713" s="486"/>
    </row>
    <row r="714" ht="15.5" customHeight="1" hidden="1">
      <c r="A714" s="12"/>
      <c r="B714" s="479" cm="1">
        <f t="array" ref="B714">IF(B713=0,0,IF(B713&lt;VLOOKUP(C694,'Boats Data Sheet 2026'!$C$3:$H$57,6,0),B713+1,0))</f>
      </c>
      <c r="C714" s="480" cm="1">
        <f t="array" ref="C714">IF(B714&gt;0,IF(VLOOKUP(C694,'Boats Data Sheet 2026'!$C$3:$J$57,8,0)="N/A",0,VLOOKUP(C694,'Boats Data Sheet 2026'!$C$3:$J$57,8,0)),"N/A")</f>
      </c>
      <c r="D714" s="482" cm="1">
        <f t="array" ref="D714">IF(B714&gt;7,2,IF(B714=0,"N/A",1))</f>
      </c>
      <c r="E714" t="str" s="482" cm="1">
        <f t="array" ref="E714">_xlfn.IFERROR(SUM('Direct Costs 2026'!$C$4:$C$5)*D714,"N/A")</f>
        <v>N/A</v>
      </c>
      <c r="F714" t="str" s="482" cm="1">
        <f t="array" ref="F714">_xlfn.IFERROR('Direct Costs 2026'!$C$43*B714,"N/A")</f>
        <v>N/A</v>
      </c>
      <c r="G714" s="480" cm="1">
        <f t="array" ref="G714">IF(B714&gt;0,'Direct Costs 2026'!$C$25,"N/A")</f>
      </c>
      <c r="H714" s="480" cm="1">
        <f t="array" ref="H714">IF(B714&gt;0,'Direct Costs 2026'!$C$15+'Direct Costs 2026'!$C$14,"N/A")</f>
      </c>
      <c r="I714" s="480">
        <v>0</v>
      </c>
      <c r="J714" s="480">
        <v>0</v>
      </c>
      <c r="K714" s="480" cm="1">
        <f t="array" ref="K714">IF(B714&gt;0,'Direct Costs 2026'!$C$26,"N/A")</f>
      </c>
      <c r="L714" s="480" cm="1">
        <f t="array" ref="L714">IF(B714&gt;0,'Direct Costs 2026'!$C$23,"N/A")</f>
      </c>
      <c r="M714" s="480" cm="1">
        <f t="array" ref="M714">IF(B714&gt;0,'Direct Costs 2026'!$C$45*B714,"N/A")</f>
      </c>
      <c r="N714" s="480" cm="1">
        <f t="array" ref="N714">IF(B714&gt;0,_xlfn.IFERROR(VLOOKUP(C694,'Boats Data Sheet 2026'!$C$3:$I$57,7,0)*'Direct Costs 2026'!$C$36,"N/A"),"N/A")</f>
      </c>
      <c r="O714" s="480" cm="1">
        <f t="array" ref="O714">IF(B714&gt;0,IF(OR(VLOOKUP(C694,'Boats Data Sheet 2026'!$C$3:$F$57,4,0)="Own",VLOOKUP(C694,'Boats Data Sheet 2026'!$C$3:$F$57,4,0)="Management"),('Direct Costs 2026'!$C$37+'Direct Costs 2026'!$C$39),"N/A"),"N/A")</f>
      </c>
      <c r="P714" t="str" s="482" cm="1">
        <f t="array" ref="P714">_xlfn.IFERROR('Direct Costs 2026'!$C$27*C714,"N/A")</f>
        <v>N/A</v>
      </c>
      <c r="Q714" t="str" s="482" cm="1">
        <f t="array" ref="Q714">_xlfn.IFERROR(C714+SUM(E714:P714),"N/A")</f>
        <v>N/A</v>
      </c>
      <c r="R714" s="483"/>
      <c r="S714" s="480" cm="1">
        <f t="array" ref="S714">IF(B714&gt;0,'Allocation OH and Target 2026'!$E$31,"N/A")</f>
      </c>
      <c r="T714" s="480" cm="1">
        <f t="array" ref="T714">IF(B714&gt;0,VLOOKUP(C694,'Allocation OH and Target 2026'!$C$35:$S$87,16,0),"N/A")</f>
      </c>
      <c r="U714" t="str" s="482" cm="1">
        <f t="array" ref="U714">_xlfn.IFERROR((S714+T714),"N/A")</f>
        <v>N/A</v>
      </c>
      <c r="V714" s="483"/>
      <c r="W714" t="str" s="482" cm="1">
        <f t="array" ref="W714">_xlfn.IFERROR(U714+Q714,"N/A")</f>
        <v>N/A</v>
      </c>
      <c r="X714" t="str" s="482" cm="1">
        <f t="array" ref="X714">_xlfn.IFERROR(W714*0.5%,"N/A")</f>
        <v>N/A</v>
      </c>
      <c r="Y714" t="str" s="482" cm="1">
        <f t="array" ref="Y714">_xlfn.IFERROR(W714*25%,"N/A")</f>
        <v>N/A</v>
      </c>
      <c r="Z714" s="484" cm="1">
        <f t="array" ref="Z714">IF(B714&gt;0,SUM(W714:Y714),"N/A")</f>
      </c>
      <c r="AA714" t="str" s="485" cm="1">
        <f t="array" ref="AA714">_xlfn.IFERROR((Z714-AVERAGE(Z697:Z702)),"N/A")</f>
        <v>N/A</v>
      </c>
      <c r="AB714" s="483"/>
      <c r="AC714" s="484" cm="1">
        <f t="array" ref="AC714">IF(B714=6,AVERAGE(Z697:Z702),"N/A")</f>
      </c>
      <c r="AD714" s="483"/>
      <c r="AE714" s="480"/>
      <c r="AF714" s="480"/>
      <c r="AG714" s="480"/>
      <c r="AH714" s="480"/>
      <c r="AI714" s="480"/>
      <c r="AJ714" s="480"/>
      <c r="AK714" s="480"/>
      <c r="AL714" s="480"/>
      <c r="AM714" s="480"/>
      <c r="AN714" s="486"/>
    </row>
    <row r="715" ht="14.05" customHeight="1">
      <c r="A715" s="32"/>
      <c r="B715" s="477"/>
      <c r="C715" s="477"/>
      <c r="D715" s="477"/>
      <c r="E715" s="477"/>
      <c r="F715" s="477"/>
      <c r="G715" s="477"/>
      <c r="H715" s="477"/>
      <c r="I715" s="477"/>
      <c r="J715" s="477"/>
      <c r="K715" s="477"/>
      <c r="L715" s="477"/>
      <c r="M715" s="477"/>
      <c r="N715" s="477"/>
      <c r="O715" s="477"/>
      <c r="P715" s="477"/>
      <c r="Q715" s="477"/>
      <c r="R715" s="477"/>
      <c r="S715" s="477"/>
      <c r="T715" s="477"/>
      <c r="U715" s="477"/>
      <c r="V715" s="477"/>
      <c r="W715" s="477"/>
      <c r="X715" s="477"/>
      <c r="Y715" s="477"/>
      <c r="Z715" s="477"/>
      <c r="AA715" s="477"/>
      <c r="AB715" s="477"/>
      <c r="AC715" s="477"/>
      <c r="AD715" s="477"/>
      <c r="AE715" s="477"/>
      <c r="AF715" s="477"/>
      <c r="AG715" s="477"/>
      <c r="AH715" s="477"/>
      <c r="AI715" s="477"/>
      <c r="AJ715" s="477"/>
      <c r="AK715" s="477"/>
      <c r="AL715" s="477"/>
      <c r="AM715" s="477"/>
      <c r="AN715" s="478"/>
    </row>
    <row r="716" ht="15" customHeight="1">
      <c r="A716" s="32"/>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c r="AH716" s="35"/>
      <c r="AI716" s="35"/>
      <c r="AJ716" s="35"/>
      <c r="AK716" s="35"/>
      <c r="AL716" s="35"/>
      <c r="AM716" s="35"/>
      <c r="AN716" s="442"/>
    </row>
    <row r="717" ht="15.5" customHeight="1">
      <c r="A717" s="395">
        <v>30</v>
      </c>
      <c r="B717" t="s" s="444">
        <v>506</v>
      </c>
      <c r="C717" t="s" s="445">
        <v>99</v>
      </c>
      <c r="D717" s="446"/>
      <c r="E717" t="s" s="445">
        <v>557</v>
      </c>
      <c r="F717" s="446"/>
      <c r="G717" t="s" s="447">
        <v>542</v>
      </c>
      <c r="H717" s="446"/>
      <c r="I717" s="446"/>
      <c r="J717" s="446"/>
      <c r="K717" s="446"/>
      <c r="L717" s="446"/>
      <c r="M717" s="446"/>
      <c r="N717" s="446"/>
      <c r="O717" s="446"/>
      <c r="P717" s="446"/>
      <c r="Q717" s="446"/>
      <c r="R717" s="446"/>
      <c r="S717" s="446"/>
      <c r="T717" s="446"/>
      <c r="U717" s="446"/>
      <c r="V717" s="446"/>
      <c r="W717" s="446"/>
      <c r="X717" s="446"/>
      <c r="Y717" s="446"/>
      <c r="Z717" s="446"/>
      <c r="AA717" s="446"/>
      <c r="AB717" s="446"/>
      <c r="AC717" s="446"/>
      <c r="AD717" s="446"/>
      <c r="AE717" t="s" s="445">
        <v>508</v>
      </c>
      <c r="AF717" s="448" cm="1">
        <f t="array" ref="AF717">AVERAGE(Q720:Q725)</f>
        <v>20351500</v>
      </c>
      <c r="AG717" t="s" s="449">
        <v>509</v>
      </c>
      <c r="AH717" s="448" cm="1">
        <f t="array" ref="AH717">AVERAGE(Q726:Q733)-AF717</f>
        <v>1858062.5</v>
      </c>
      <c r="AI717" t="s" s="449">
        <v>510</v>
      </c>
      <c r="AJ717" s="448" cm="1">
        <f t="array" ref="AJ717">AVERAGE(Y720:Y727)</f>
        <v>5929346.16442453</v>
      </c>
      <c r="AK717" t="s" s="445">
        <v>511</v>
      </c>
      <c r="AL717" s="448" cm="1">
        <f t="array" ref="AL717">AVERAGE(W720:W725)</f>
        <v>23451947.1576981</v>
      </c>
      <c r="AM717" t="s" s="449">
        <v>512</v>
      </c>
      <c r="AN717" s="450" cm="1">
        <f t="array" ref="AN717">W720</f>
        <v>23061947.1576981</v>
      </c>
    </row>
    <row r="718" ht="15" customHeight="1">
      <c r="A718" s="12"/>
      <c r="B718" s="451"/>
      <c r="C718" t="s" s="452">
        <v>513</v>
      </c>
      <c r="D718" s="453"/>
      <c r="E718" s="453"/>
      <c r="F718" s="453"/>
      <c r="G718" s="453"/>
      <c r="H718" s="453"/>
      <c r="I718" s="453"/>
      <c r="J718" s="453"/>
      <c r="K718" s="453"/>
      <c r="L718" s="453"/>
      <c r="M718" s="453"/>
      <c r="N718" s="453"/>
      <c r="O718" s="453"/>
      <c r="P718" s="453"/>
      <c r="Q718" s="454"/>
      <c r="R718" s="455"/>
      <c r="S718" t="s" s="452">
        <v>514</v>
      </c>
      <c r="T718" s="453"/>
      <c r="U718" s="454"/>
      <c r="V718" s="455"/>
      <c r="W718" t="s" s="452">
        <v>515</v>
      </c>
      <c r="X718" s="453"/>
      <c r="Y718" s="453"/>
      <c r="Z718" s="453"/>
      <c r="AA718" s="453"/>
      <c r="AB718" s="456"/>
      <c r="AC718" s="457"/>
      <c r="AD718" s="457"/>
      <c r="AE718" s="457"/>
      <c r="AF718" s="457"/>
      <c r="AG718" s="457"/>
      <c r="AH718" s="457"/>
      <c r="AI718" s="457"/>
      <c r="AJ718" s="457"/>
      <c r="AK718" s="457"/>
      <c r="AL718" s="458"/>
      <c r="AM718" s="459"/>
      <c r="AN718" s="458"/>
    </row>
    <row r="719" ht="46.25" customHeight="1">
      <c r="A719" s="187"/>
      <c r="B719" t="s" s="460">
        <v>517</v>
      </c>
      <c r="C719" t="s" s="461">
        <v>518</v>
      </c>
      <c r="D719" t="s" s="461">
        <v>519</v>
      </c>
      <c r="E719" t="s" s="461">
        <v>520</v>
      </c>
      <c r="F719" t="s" s="461">
        <v>521</v>
      </c>
      <c r="G719" t="s" s="461">
        <v>522</v>
      </c>
      <c r="H719" t="s" s="461">
        <v>553</v>
      </c>
      <c r="I719" t="s" s="461">
        <v>524</v>
      </c>
      <c r="J719" t="s" s="461">
        <v>525</v>
      </c>
      <c r="K719" t="s" s="461">
        <v>526</v>
      </c>
      <c r="L719" t="s" s="461">
        <v>527</v>
      </c>
      <c r="M719" t="s" s="461">
        <v>528</v>
      </c>
      <c r="N719" t="s" s="461">
        <v>529</v>
      </c>
      <c r="O719" t="s" s="461">
        <v>530</v>
      </c>
      <c r="P719" t="s" s="461">
        <v>531</v>
      </c>
      <c r="Q719" t="s" s="461">
        <v>532</v>
      </c>
      <c r="R719" s="462"/>
      <c r="S719" t="s" s="461">
        <v>533</v>
      </c>
      <c r="T719" t="s" s="461">
        <v>534</v>
      </c>
      <c r="U719" t="s" s="461">
        <v>535</v>
      </c>
      <c r="V719" s="462"/>
      <c r="W719" t="s" s="461">
        <v>536</v>
      </c>
      <c r="X719" t="s" s="461">
        <v>537</v>
      </c>
      <c r="Y719" t="s" s="461">
        <v>538</v>
      </c>
      <c r="Z719" t="s" s="461">
        <v>539</v>
      </c>
      <c r="AA719" t="s" s="461">
        <v>121</v>
      </c>
      <c r="AB719" s="463"/>
      <c r="AC719" t="s" s="461">
        <v>39</v>
      </c>
      <c r="AD719" s="463"/>
      <c r="AE719" s="463"/>
      <c r="AF719" s="463"/>
      <c r="AG719" s="463"/>
      <c r="AH719" s="463"/>
      <c r="AI719" s="463"/>
      <c r="AJ719" s="463"/>
      <c r="AK719" s="463"/>
      <c r="AL719" s="463"/>
      <c r="AM719" s="463"/>
      <c r="AN719" s="464"/>
    </row>
    <row r="720" ht="15" customHeight="1" hidden="1">
      <c r="A720" s="12"/>
      <c r="B720" s="479">
        <v>1</v>
      </c>
      <c r="C720" s="480" cm="1">
        <f t="array" ref="C720">_xlfn.IFERROR(IF(B720&gt;0,IF(VLOOKUP($C$717,'Boats Data Sheet 2026'!$C$3:$J$57,8,0)="N/A",0,VLOOKUP($C$717,'Boats Data Sheet 2026'!$C$3:$J$57,8,0)),"N/A")*85%,"N/A")</f>
        <v>18700000</v>
      </c>
      <c r="D720" s="481" cm="1">
        <f t="array" ref="D720">IF(B720&gt;7,2,IF(B720=0,"N/A",1))</f>
        <v>1</v>
      </c>
      <c r="E720" s="480" cm="1">
        <f t="array" ref="E720">_xlfn.IFERROR(SUM('Direct Costs 2026'!$C$4:$C$5)*D720,"N/A")</f>
        <v>875500</v>
      </c>
      <c r="F720" s="480" cm="1">
        <f t="array" ref="F720">_xlfn.IFERROR('Direct Costs 2026'!$C$43*B720,"N/A")</f>
        <v>6000</v>
      </c>
      <c r="G720" s="480" cm="1">
        <f t="array" ref="G720">IF(B720&gt;0,'Direct Costs 2026'!$C$25,"N/A")</f>
        <v>90000</v>
      </c>
      <c r="H720" s="480">
        <v>0</v>
      </c>
      <c r="I720" s="480">
        <v>0</v>
      </c>
      <c r="J720" s="480">
        <v>0</v>
      </c>
      <c r="K720" s="480">
        <v>0</v>
      </c>
      <c r="L720" s="480" cm="1">
        <f t="array" ref="L720">IF(B720&gt;0,'Direct Costs 2026'!$C$23,"N/A")</f>
        <v>140000</v>
      </c>
      <c r="M720" s="480" cm="1">
        <f t="array" ref="M720">IF(B720&gt;0,'Direct Costs 2026'!$C$45*B720,"N/A")</f>
        <v>150000</v>
      </c>
      <c r="N720" t="str" s="482" cm="1">
        <f t="array" ref="N720">IF(B720&gt;0,_xlfn.IFERROR(VLOOKUP(C717,'Boats Data Sheet 2026'!$C$3:$I$57,7,0)*'Direct Costs 2026'!$C$36,"N/A"),"N/A")</f>
        <v>N/A</v>
      </c>
      <c r="O720" t="str" s="482" cm="1">
        <f t="array" ref="O720">IF(B720&gt;0,IF(OR(VLOOKUP(C717,'Boats Data Sheet 2026'!$C$3:$F$57,4,0)="Own",VLOOKUP(C717,'Boats Data Sheet 2026'!$C$3:$F$57,4,0)="Management"),('Direct Costs 2026'!$C$37+'Direct Costs 2026'!$C$39),"N/A"),"N/A")</f>
        <v>N/A</v>
      </c>
      <c r="P720" s="480">
        <v>0</v>
      </c>
      <c r="Q720" s="480" cm="1">
        <f t="array" ref="Q720">_xlfn.IFERROR(C720+SUM(E720:P720),"N/A")</f>
        <v>19961500</v>
      </c>
      <c r="R720" s="483"/>
      <c r="S720" s="480" cm="1">
        <f t="array" ref="S720">IF(B720&gt;0,'Allocation OH and Target 2026'!$E$31,"N/A")</f>
        <v>3100447.15769812</v>
      </c>
      <c r="T720" s="480" cm="1">
        <f t="array" ref="T720">IF(B720&gt;0,VLOOKUP(C717,'Allocation OH and Target 2026'!$C$35:$S$87,16,0),"N/A")</f>
        <v>0</v>
      </c>
      <c r="U720" s="480" cm="1">
        <f t="array" ref="U720">_xlfn.IFERROR((S720+T720),"N/A")</f>
        <v>3100447.15769812</v>
      </c>
      <c r="V720" s="483"/>
      <c r="W720" s="480" cm="1">
        <f t="array" ref="W720">_xlfn.IFERROR(U720+Q720,"N/A")</f>
        <v>23061947.1576981</v>
      </c>
      <c r="X720" s="480" cm="1">
        <f t="array" ref="X720">_xlfn.IFERROR(W720*0.5%,"N/A")</f>
        <v>115309.735788491</v>
      </c>
      <c r="Y720" s="480" cm="1">
        <f t="array" ref="Y720">_xlfn.IFERROR(W720*25%,"N/A")</f>
        <v>5765486.78942453</v>
      </c>
      <c r="Z720" s="484" cm="1">
        <f t="array" ref="Z720">IF(B720&gt;0,(SUM(W720:Y720)),"N/A")</f>
        <v>28942743.6829111</v>
      </c>
      <c r="AA720" s="484">
        <v>0</v>
      </c>
      <c r="AB720" s="483"/>
      <c r="AC720" t="str" s="485" cm="1">
        <f t="array" ref="AC720">IF(B720=6,AVERAGE(Z720:Z725),"N/A")</f>
        <v>N/A</v>
      </c>
      <c r="AD720" s="483"/>
      <c r="AE720" s="480"/>
      <c r="AF720" s="480"/>
      <c r="AG720" s="480"/>
      <c r="AH720" s="480"/>
      <c r="AI720" s="480"/>
      <c r="AJ720" s="480"/>
      <c r="AK720" s="480"/>
      <c r="AL720" s="480"/>
      <c r="AM720" s="480"/>
      <c r="AN720" s="486"/>
    </row>
    <row r="721" ht="15" customHeight="1" hidden="1">
      <c r="A721" s="12"/>
      <c r="B721" s="479" cm="1">
        <f t="array" ref="B721">IF(B720=0,0,IF(B720&lt;VLOOKUP(C717,'Boats Data Sheet 2026'!$C$3:$H$57,6,0),B720+1,0))</f>
        <v>2</v>
      </c>
      <c r="C721" s="480" cm="1">
        <f t="array" ref="C721">_xlfn.IFERROR(IF(B721&gt;0,IF(VLOOKUP($C$717,'Boats Data Sheet 2026'!$C$3:$J$57,8,0)="N/A",0,VLOOKUP($C$717,'Boats Data Sheet 2026'!$C$3:$J$57,8,0)),"N/A")*85%,"N/A")</f>
        <v>18700000</v>
      </c>
      <c r="D721" s="481" cm="1">
        <f t="array" ref="D721">IF(B721&gt;7,2,IF(B721=0,"N/A",1))</f>
        <v>1</v>
      </c>
      <c r="E721" s="480" cm="1">
        <f t="array" ref="E721">_xlfn.IFERROR(SUM('Direct Costs 2026'!$C$4:$C$5)*D721,"N/A")</f>
        <v>875500</v>
      </c>
      <c r="F721" s="480" cm="1">
        <f t="array" ref="F721">_xlfn.IFERROR('Direct Costs 2026'!$C$43*B721,"N/A")</f>
        <v>12000</v>
      </c>
      <c r="G721" s="480" cm="1">
        <f t="array" ref="G721">IF(B721&gt;0,'Direct Costs 2026'!$C$25,"N/A")</f>
        <v>90000</v>
      </c>
      <c r="H721" s="480">
        <v>0</v>
      </c>
      <c r="I721" s="480">
        <v>0</v>
      </c>
      <c r="J721" s="480">
        <v>0</v>
      </c>
      <c r="K721" s="480">
        <v>0</v>
      </c>
      <c r="L721" s="480" cm="1">
        <f t="array" ref="L721">IF(B721&gt;0,'Direct Costs 2026'!$C$23,"N/A")</f>
        <v>140000</v>
      </c>
      <c r="M721" s="480" cm="1">
        <f t="array" ref="M721">IF(B721&gt;0,'Direct Costs 2026'!$C$45*B721,"N/A")</f>
        <v>300000</v>
      </c>
      <c r="N721" t="str" s="482" cm="1">
        <f t="array" ref="N721">IF(B721&gt;0,_xlfn.IFERROR(VLOOKUP(C717,'Boats Data Sheet 2026'!$C$3:$I$57,7,0)*'Direct Costs 2026'!$C$36,"N/A"),"N/A")</f>
        <v>N/A</v>
      </c>
      <c r="O721" t="str" s="482" cm="1">
        <f t="array" ref="O721">IF(B721&gt;0,IF(OR(VLOOKUP(C717,'Boats Data Sheet 2026'!$C$3:$F$57,4,0)="Own",VLOOKUP(C717,'Boats Data Sheet 2026'!$C$3:$F$57,4,0)="Management"),('Direct Costs 2026'!$C$37+'Direct Costs 2026'!$C$39),"N/A"),"N/A")</f>
        <v>N/A</v>
      </c>
      <c r="P721" s="480">
        <v>0</v>
      </c>
      <c r="Q721" s="480" cm="1">
        <f t="array" ref="Q721">_xlfn.IFERROR(C721+SUM(E721:P721),"N/A")</f>
        <v>20117500</v>
      </c>
      <c r="R721" s="483"/>
      <c r="S721" s="480" cm="1">
        <f t="array" ref="S721">IF(B721&gt;0,'Allocation OH and Target 2026'!$E$31,"N/A")</f>
        <v>3100447.15769812</v>
      </c>
      <c r="T721" s="480" cm="1">
        <f t="array" ref="T721">IF(B721&gt;0,VLOOKUP(C717,'Allocation OH and Target 2026'!$C$35:$S$87,16,0),"N/A")</f>
        <v>0</v>
      </c>
      <c r="U721" s="480" cm="1">
        <f t="array" ref="U721">_xlfn.IFERROR((S721+T721),"N/A")</f>
        <v>3100447.15769812</v>
      </c>
      <c r="V721" s="483"/>
      <c r="W721" s="480" cm="1">
        <f t="array" ref="W721">_xlfn.IFERROR(U721+Q721,"N/A")</f>
        <v>23217947.1576981</v>
      </c>
      <c r="X721" s="480" cm="1">
        <f t="array" ref="X721">_xlfn.IFERROR(W721*0.5%,"N/A")</f>
        <v>116089.735788491</v>
      </c>
      <c r="Y721" s="480" cm="1">
        <f t="array" ref="Y721">_xlfn.IFERROR(W721*25%,"N/A")</f>
        <v>5804486.78942453</v>
      </c>
      <c r="Z721" s="484" cm="1">
        <f t="array" ref="Z721">IF(B721&gt;0,(SUM(W721:Y721)),"N/A")</f>
        <v>29138523.6829111</v>
      </c>
      <c r="AA721" s="484">
        <v>0</v>
      </c>
      <c r="AB721" s="483"/>
      <c r="AC721" t="str" s="485" cm="1">
        <f t="array" ref="AC721">IF(B721=6,AVERAGE(Z720:Z725),"N/A")</f>
        <v>N/A</v>
      </c>
      <c r="AD721" s="483"/>
      <c r="AE721" s="480"/>
      <c r="AF721" s="480"/>
      <c r="AG721" s="480"/>
      <c r="AH721" s="480"/>
      <c r="AI721" s="480"/>
      <c r="AJ721" s="480"/>
      <c r="AK721" s="480"/>
      <c r="AL721" s="480"/>
      <c r="AM721" s="480"/>
      <c r="AN721" s="486"/>
    </row>
    <row r="722" ht="15" customHeight="1" hidden="1">
      <c r="A722" s="12"/>
      <c r="B722" s="479" cm="1">
        <f t="array" ref="B722">IF(B721=0,0,IF(B721&lt;VLOOKUP(C717,'Boats Data Sheet 2026'!$C$3:$H$57,6,0),B721+1,0))</f>
        <v>3</v>
      </c>
      <c r="C722" s="480" cm="1">
        <f t="array" ref="C722">_xlfn.IFERROR(IF(B722&gt;0,IF(VLOOKUP($C$717,'Boats Data Sheet 2026'!$C$3:$J$57,8,0)="N/A",0,VLOOKUP($C$717,'Boats Data Sheet 2026'!$C$3:$J$57,8,0)),"N/A")*85%,"N/A")</f>
        <v>18700000</v>
      </c>
      <c r="D722" s="481" cm="1">
        <f t="array" ref="D722">IF(B722&gt;7,2,IF(B722=0,"N/A",1))</f>
        <v>1</v>
      </c>
      <c r="E722" s="480" cm="1">
        <f t="array" ref="E722">_xlfn.IFERROR(SUM('Direct Costs 2026'!$C$4:$C$5)*D722,"N/A")</f>
        <v>875500</v>
      </c>
      <c r="F722" s="480" cm="1">
        <f t="array" ref="F722">_xlfn.IFERROR('Direct Costs 2026'!$C$43*B722,"N/A")</f>
        <v>18000</v>
      </c>
      <c r="G722" s="480" cm="1">
        <f t="array" ref="G722">IF(B722&gt;0,'Direct Costs 2026'!$C$25,"N/A")</f>
        <v>90000</v>
      </c>
      <c r="H722" s="480">
        <v>0</v>
      </c>
      <c r="I722" s="480">
        <v>0</v>
      </c>
      <c r="J722" s="480">
        <v>0</v>
      </c>
      <c r="K722" s="480">
        <v>0</v>
      </c>
      <c r="L722" s="480" cm="1">
        <f t="array" ref="L722">IF(B722&gt;0,'Direct Costs 2026'!$C$23,"N/A")</f>
        <v>140000</v>
      </c>
      <c r="M722" s="480" cm="1">
        <f t="array" ref="M722">IF(B722&gt;0,'Direct Costs 2026'!$C$45*B722,"N/A")</f>
        <v>450000</v>
      </c>
      <c r="N722" t="str" s="482" cm="1">
        <f t="array" ref="N722">IF(B722&gt;0,_xlfn.IFERROR(VLOOKUP(C717,'Boats Data Sheet 2026'!$C$3:$I$57,7,0)*'Direct Costs 2026'!$C$36,"N/A"),"N/A")</f>
        <v>N/A</v>
      </c>
      <c r="O722" t="str" s="482" cm="1">
        <f t="array" ref="O722">IF(B722&gt;0,IF(OR(VLOOKUP(C717,'Boats Data Sheet 2026'!$C$3:$F$57,4,0)="Own",VLOOKUP(C717,'Boats Data Sheet 2026'!$C$3:$F$57,4,0)="Management"),('Direct Costs 2026'!$C$37+'Direct Costs 2026'!$C$39),"N/A"),"N/A")</f>
        <v>N/A</v>
      </c>
      <c r="P722" s="480">
        <v>0</v>
      </c>
      <c r="Q722" s="480" cm="1">
        <f t="array" ref="Q722">_xlfn.IFERROR(C722+SUM(E722:P722),"N/A")</f>
        <v>20273500</v>
      </c>
      <c r="R722" s="483"/>
      <c r="S722" s="480" cm="1">
        <f t="array" ref="S722">IF(B722&gt;0,'Allocation OH and Target 2026'!$E$31,"N/A")</f>
        <v>3100447.15769812</v>
      </c>
      <c r="T722" s="480" cm="1">
        <f t="array" ref="T722">IF(B722&gt;0,VLOOKUP(C717,'Allocation OH and Target 2026'!$C$35:$S$87,16,0),"N/A")</f>
        <v>0</v>
      </c>
      <c r="U722" s="480" cm="1">
        <f t="array" ref="U722">_xlfn.IFERROR((S722+T722),"N/A")</f>
        <v>3100447.15769812</v>
      </c>
      <c r="V722" s="483"/>
      <c r="W722" s="480" cm="1">
        <f t="array" ref="W722">_xlfn.IFERROR(U722+Q722,"N/A")</f>
        <v>23373947.1576981</v>
      </c>
      <c r="X722" s="480" cm="1">
        <f t="array" ref="X722">_xlfn.IFERROR(W722*0.5%,"N/A")</f>
        <v>116869.735788491</v>
      </c>
      <c r="Y722" s="480" cm="1">
        <f t="array" ref="Y722">_xlfn.IFERROR(W722*25%,"N/A")</f>
        <v>5843486.78942453</v>
      </c>
      <c r="Z722" s="484" cm="1">
        <f t="array" ref="Z722">IF(B722&gt;0,(SUM(W722:Y722)),"N/A")</f>
        <v>29334303.6829111</v>
      </c>
      <c r="AA722" s="484">
        <v>0</v>
      </c>
      <c r="AB722" s="483"/>
      <c r="AC722" t="str" s="485" cm="1">
        <f t="array" ref="AC722">IF(B722=6,AVERAGE(Z720:Z725),"N/A")</f>
        <v>N/A</v>
      </c>
      <c r="AD722" s="483"/>
      <c r="AE722" s="480"/>
      <c r="AF722" s="480"/>
      <c r="AG722" s="480"/>
      <c r="AH722" s="480"/>
      <c r="AI722" s="480"/>
      <c r="AJ722" s="480"/>
      <c r="AK722" s="480"/>
      <c r="AL722" s="480"/>
      <c r="AM722" s="480"/>
      <c r="AN722" s="486"/>
    </row>
    <row r="723" ht="15" customHeight="1" hidden="1">
      <c r="A723" s="12"/>
      <c r="B723" s="479" cm="1">
        <f t="array" ref="B723">IF(B722=0,0,IF(B722&lt;VLOOKUP(C717,'Boats Data Sheet 2026'!$C$3:$H$57,6,0),B722+1,0))</f>
        <v>4</v>
      </c>
      <c r="C723" s="480" cm="1">
        <f t="array" ref="C723">_xlfn.IFERROR(IF(B723&gt;0,IF(VLOOKUP($C$717,'Boats Data Sheet 2026'!$C$3:$J$57,8,0)="N/A",0,VLOOKUP($C$717,'Boats Data Sheet 2026'!$C$3:$J$57,8,0)),"N/A")*85%,"N/A")</f>
        <v>18700000</v>
      </c>
      <c r="D723" s="481" cm="1">
        <f t="array" ref="D723">IF(B723&gt;7,2,IF(B723=0,"N/A",1))</f>
        <v>1</v>
      </c>
      <c r="E723" s="480" cm="1">
        <f t="array" ref="E723">_xlfn.IFERROR(SUM('Direct Costs 2026'!$C$4:$C$5)*D723,"N/A")</f>
        <v>875500</v>
      </c>
      <c r="F723" s="480" cm="1">
        <f t="array" ref="F723">_xlfn.IFERROR('Direct Costs 2026'!$C$43*B723,"N/A")</f>
        <v>24000</v>
      </c>
      <c r="G723" s="480" cm="1">
        <f t="array" ref="G723">IF(B723&gt;0,'Direct Costs 2026'!$C$25,"N/A")</f>
        <v>90000</v>
      </c>
      <c r="H723" s="480">
        <v>0</v>
      </c>
      <c r="I723" s="480">
        <v>0</v>
      </c>
      <c r="J723" s="480">
        <v>0</v>
      </c>
      <c r="K723" s="480">
        <v>0</v>
      </c>
      <c r="L723" s="480" cm="1">
        <f t="array" ref="L723">IF(B723&gt;0,'Direct Costs 2026'!$C$23,"N/A")</f>
        <v>140000</v>
      </c>
      <c r="M723" s="480" cm="1">
        <f t="array" ref="M723">IF(B723&gt;0,'Direct Costs 2026'!$C$45*B723,"N/A")</f>
        <v>600000</v>
      </c>
      <c r="N723" t="str" s="482" cm="1">
        <f t="array" ref="N723">IF(B723&gt;0,_xlfn.IFERROR(VLOOKUP(C717,'Boats Data Sheet 2026'!$C$3:$I$57,7,0)*'Direct Costs 2026'!$C$36,"N/A"),"N/A")</f>
        <v>N/A</v>
      </c>
      <c r="O723" t="str" s="482" cm="1">
        <f t="array" ref="O723">IF(B723&gt;0,IF(OR(VLOOKUP(C717,'Boats Data Sheet 2026'!$C$3:$F$57,4,0)="Own",VLOOKUP(C717,'Boats Data Sheet 2026'!$C$3:$F$57,4,0)="Management"),('Direct Costs 2026'!$C$37+'Direct Costs 2026'!$C$39),"N/A"),"N/A")</f>
        <v>N/A</v>
      </c>
      <c r="P723" s="480">
        <v>0</v>
      </c>
      <c r="Q723" s="480" cm="1">
        <f t="array" ref="Q723">_xlfn.IFERROR(C723+SUM(E723:P723),"N/A")</f>
        <v>20429500</v>
      </c>
      <c r="R723" s="483"/>
      <c r="S723" s="480" cm="1">
        <f t="array" ref="S723">IF(B723&gt;0,'Allocation OH and Target 2026'!$E$31,"N/A")</f>
        <v>3100447.15769812</v>
      </c>
      <c r="T723" s="480" cm="1">
        <f t="array" ref="T723">IF(B723&gt;0,VLOOKUP(C717,'Allocation OH and Target 2026'!$C$35:$S$87,16,0),"N/A")</f>
        <v>0</v>
      </c>
      <c r="U723" s="480" cm="1">
        <f t="array" ref="U723">_xlfn.IFERROR((S723+T723),"N/A")</f>
        <v>3100447.15769812</v>
      </c>
      <c r="V723" s="483"/>
      <c r="W723" s="480" cm="1">
        <f t="array" ref="W723">_xlfn.IFERROR(U723+Q723,"N/A")</f>
        <v>23529947.1576981</v>
      </c>
      <c r="X723" s="480" cm="1">
        <f t="array" ref="X723">_xlfn.IFERROR(W723*0.5%,"N/A")</f>
        <v>117649.735788491</v>
      </c>
      <c r="Y723" s="480" cm="1">
        <f t="array" ref="Y723">_xlfn.IFERROR(W723*25%,"N/A")</f>
        <v>5882486.78942453</v>
      </c>
      <c r="Z723" s="484" cm="1">
        <f t="array" ref="Z723">IF(B723&gt;0,(SUM(W723:Y723)),"N/A")</f>
        <v>29530083.6829111</v>
      </c>
      <c r="AA723" s="484">
        <v>0</v>
      </c>
      <c r="AB723" s="483"/>
      <c r="AC723" t="str" s="485" cm="1">
        <f t="array" ref="AC723">IF(B723=6,AVERAGE(Z720:Z725),"N/A")</f>
        <v>N/A</v>
      </c>
      <c r="AD723" s="483"/>
      <c r="AE723" s="480"/>
      <c r="AF723" s="480"/>
      <c r="AG723" s="480"/>
      <c r="AH723" s="480"/>
      <c r="AI723" s="480"/>
      <c r="AJ723" s="480"/>
      <c r="AK723" s="480"/>
      <c r="AL723" s="480"/>
      <c r="AM723" s="480"/>
      <c r="AN723" s="486"/>
    </row>
    <row r="724" ht="15" customHeight="1" hidden="1">
      <c r="A724" s="12"/>
      <c r="B724" s="479" cm="1">
        <f t="array" ref="B724">IF(B723=0,0,IF(B723&lt;VLOOKUP(C717,'Boats Data Sheet 2026'!$C$3:$H$57,6,0),B723+1,0))</f>
        <v>5</v>
      </c>
      <c r="C724" s="480" cm="1">
        <f t="array" ref="C724">_xlfn.IFERROR(IF(B724&gt;0,IF(VLOOKUP($C$717,'Boats Data Sheet 2026'!$C$3:$J$57,8,0)="N/A",0,VLOOKUP($C$717,'Boats Data Sheet 2026'!$C$3:$J$57,8,0)),"N/A")*85%,"N/A")</f>
        <v>18700000</v>
      </c>
      <c r="D724" s="481" cm="1">
        <f t="array" ref="D724">IF(B724&gt;7,2,IF(B724=0,"N/A",1))</f>
        <v>1</v>
      </c>
      <c r="E724" s="480" cm="1">
        <f t="array" ref="E724">_xlfn.IFERROR(SUM('Direct Costs 2026'!$C$4:$C$5)*D724,"N/A")</f>
        <v>875500</v>
      </c>
      <c r="F724" s="480" cm="1">
        <f t="array" ref="F724">_xlfn.IFERROR('Direct Costs 2026'!$C$43*B724,"N/A")</f>
        <v>30000</v>
      </c>
      <c r="G724" s="480" cm="1">
        <f t="array" ref="G724">IF(B724&gt;0,'Direct Costs 2026'!$C$25,"N/A")</f>
        <v>90000</v>
      </c>
      <c r="H724" s="480">
        <v>0</v>
      </c>
      <c r="I724" s="480">
        <v>0</v>
      </c>
      <c r="J724" s="480">
        <v>0</v>
      </c>
      <c r="K724" s="480">
        <v>0</v>
      </c>
      <c r="L724" s="480" cm="1">
        <f t="array" ref="L724">IF(B724&gt;0,'Direct Costs 2026'!$C$23,"N/A")</f>
        <v>140000</v>
      </c>
      <c r="M724" s="480" cm="1">
        <f t="array" ref="M724">IF(B724&gt;0,'Direct Costs 2026'!$C$45*B724,"N/A")</f>
        <v>750000</v>
      </c>
      <c r="N724" t="str" s="482" cm="1">
        <f t="array" ref="N724">IF(B724&gt;0,_xlfn.IFERROR(VLOOKUP(C717,'Boats Data Sheet 2026'!$C$3:$I$57,7,0)*'Direct Costs 2026'!$C$36,"N/A"),"N/A")</f>
        <v>N/A</v>
      </c>
      <c r="O724" t="str" s="482" cm="1">
        <f t="array" ref="O724">IF(B724&gt;0,IF(OR(VLOOKUP(C717,'Boats Data Sheet 2026'!$C$3:$F$57,4,0)="Own",VLOOKUP(C717,'Boats Data Sheet 2026'!$C$3:$F$57,4,0)="Management"),('Direct Costs 2026'!$C$37+'Direct Costs 2026'!$C$39),"N/A"),"N/A")</f>
        <v>N/A</v>
      </c>
      <c r="P724" s="480">
        <v>0</v>
      </c>
      <c r="Q724" s="480" cm="1">
        <f t="array" ref="Q724">_xlfn.IFERROR(C724+SUM(E724:P724),"N/A")</f>
        <v>20585500</v>
      </c>
      <c r="R724" s="483"/>
      <c r="S724" s="480" cm="1">
        <f t="array" ref="S724">IF(B724&gt;0,'Allocation OH and Target 2026'!$E$31,"N/A")</f>
        <v>3100447.15769812</v>
      </c>
      <c r="T724" s="480" cm="1">
        <f t="array" ref="T724">IF(B724&gt;0,VLOOKUP(C717,'Allocation OH and Target 2026'!$C$35:$S$87,16,0),"N/A")</f>
        <v>0</v>
      </c>
      <c r="U724" s="480" cm="1">
        <f t="array" ref="U724">_xlfn.IFERROR((S724+T724),"N/A")</f>
        <v>3100447.15769812</v>
      </c>
      <c r="V724" s="483"/>
      <c r="W724" s="480" cm="1">
        <f t="array" ref="W724">_xlfn.IFERROR(U724+Q724,"N/A")</f>
        <v>23685947.1576981</v>
      </c>
      <c r="X724" s="480" cm="1">
        <f t="array" ref="X724">_xlfn.IFERROR(W724*0.5%,"N/A")</f>
        <v>118429.735788491</v>
      </c>
      <c r="Y724" s="480" cm="1">
        <f t="array" ref="Y724">_xlfn.IFERROR(W724*25%,"N/A")</f>
        <v>5921486.78942453</v>
      </c>
      <c r="Z724" s="484" cm="1">
        <f t="array" ref="Z724">IF(B724&gt;0,(SUM(W724:Y724)),"N/A")</f>
        <v>29725863.6829111</v>
      </c>
      <c r="AA724" s="484">
        <v>0</v>
      </c>
      <c r="AB724" s="483"/>
      <c r="AC724" t="str" s="485" cm="1">
        <f t="array" ref="AC724">IF(B724=6,AVERAGE(Z720:Z725),"N/A")</f>
        <v>N/A</v>
      </c>
      <c r="AD724" s="483"/>
      <c r="AE724" s="480"/>
      <c r="AF724" s="480"/>
      <c r="AG724" s="480"/>
      <c r="AH724" s="480"/>
      <c r="AI724" s="480"/>
      <c r="AJ724" s="480"/>
      <c r="AK724" s="480"/>
      <c r="AL724" s="480"/>
      <c r="AM724" s="480"/>
      <c r="AN724" s="486"/>
    </row>
    <row r="725" ht="15" customHeight="1" hidden="1">
      <c r="A725" s="12"/>
      <c r="B725" s="479" cm="1">
        <f t="array" ref="B725">IF(B724=0,0,IF(B724&lt;VLOOKUP(C717,'Boats Data Sheet 2026'!$C$3:$H$57,6,0),B724+1,0))</f>
        <v>6</v>
      </c>
      <c r="C725" s="480" cm="1">
        <f t="array" ref="C725">_xlfn.IFERROR(IF(B725&gt;0,IF(VLOOKUP($C$717,'Boats Data Sheet 2026'!$C$3:$J$57,8,0)="N/A",0,VLOOKUP($C$717,'Boats Data Sheet 2026'!$C$3:$J$57,8,0)),"N/A")*85%,"N/A")</f>
        <v>18700000</v>
      </c>
      <c r="D725" s="481" cm="1">
        <f t="array" ref="D725">IF(B725&gt;7,2,IF(B725=0,"N/A",1))</f>
        <v>1</v>
      </c>
      <c r="E725" s="480" cm="1">
        <f t="array" ref="E725">_xlfn.IFERROR(SUM('Direct Costs 2026'!$C$4:$C$5)*D725,"N/A")</f>
        <v>875500</v>
      </c>
      <c r="F725" s="480" cm="1">
        <f t="array" ref="F725">_xlfn.IFERROR('Direct Costs 2026'!$C$43*B725,"N/A")</f>
        <v>36000</v>
      </c>
      <c r="G725" s="480" cm="1">
        <f t="array" ref="G725">IF(B725&gt;0,'Direct Costs 2026'!$C$25,"N/A")</f>
        <v>90000</v>
      </c>
      <c r="H725" s="480">
        <v>0</v>
      </c>
      <c r="I725" s="480">
        <v>0</v>
      </c>
      <c r="J725" s="480">
        <v>0</v>
      </c>
      <c r="K725" s="480">
        <v>0</v>
      </c>
      <c r="L725" s="480" cm="1">
        <f t="array" ref="L725">IF(B725&gt;0,'Direct Costs 2026'!$C$23,"N/A")</f>
        <v>140000</v>
      </c>
      <c r="M725" s="480" cm="1">
        <f t="array" ref="M725">IF(B725&gt;0,'Direct Costs 2026'!$C$45*B725,"N/A")</f>
        <v>900000</v>
      </c>
      <c r="N725" t="str" s="482" cm="1">
        <f t="array" ref="N725">IF(B725&gt;0,_xlfn.IFERROR(VLOOKUP(C717,'Boats Data Sheet 2026'!$C$3:$I$57,7,0)*'Direct Costs 2026'!$C$36,"N/A"),"N/A")</f>
        <v>N/A</v>
      </c>
      <c r="O725" t="str" s="482" cm="1">
        <f t="array" ref="O725">IF(B725&gt;0,IF(OR(VLOOKUP(C717,'Boats Data Sheet 2026'!$C$3:$F$57,4,0)="Own",VLOOKUP(C717,'Boats Data Sheet 2026'!$C$3:$F$57,4,0)="Management"),('Direct Costs 2026'!$C$37+'Direct Costs 2026'!$C$39),"N/A"),"N/A")</f>
        <v>N/A</v>
      </c>
      <c r="P725" s="480">
        <v>0</v>
      </c>
      <c r="Q725" s="480" cm="1">
        <f t="array" ref="Q725">_xlfn.IFERROR(C725+SUM(E725:P725),"N/A")</f>
        <v>20741500</v>
      </c>
      <c r="R725" s="483"/>
      <c r="S725" s="480" cm="1">
        <f t="array" ref="S725">IF(B725&gt;0,'Allocation OH and Target 2026'!$E$31,"N/A")</f>
        <v>3100447.15769812</v>
      </c>
      <c r="T725" s="480" cm="1">
        <f t="array" ref="T725">IF(B725&gt;0,VLOOKUP(C717,'Allocation OH and Target 2026'!$C$35:$S$87,16,0),"N/A")</f>
        <v>0</v>
      </c>
      <c r="U725" s="480" cm="1">
        <f t="array" ref="U725">_xlfn.IFERROR((S725+T725),"N/A")</f>
        <v>3100447.15769812</v>
      </c>
      <c r="V725" s="483"/>
      <c r="W725" s="480" cm="1">
        <f t="array" ref="W725">_xlfn.IFERROR(U725+Q725,"N/A")</f>
        <v>23841947.1576981</v>
      </c>
      <c r="X725" s="480" cm="1">
        <f t="array" ref="X725">_xlfn.IFERROR(W725*0.5%,"N/A")</f>
        <v>119209.735788491</v>
      </c>
      <c r="Y725" s="480" cm="1">
        <f t="array" ref="Y725">_xlfn.IFERROR(W725*25%,"N/A")</f>
        <v>5960486.78942453</v>
      </c>
      <c r="Z725" s="484" cm="1">
        <f t="array" ref="Z725">IF(B725&gt;0,(SUM(W725:Y725)),"N/A")</f>
        <v>29921643.6829111</v>
      </c>
      <c r="AA725" s="484">
        <v>0</v>
      </c>
      <c r="AB725" s="483"/>
      <c r="AC725" s="484" cm="1">
        <f t="array" ref="AC725">IF(B725=6,AVERAGE(Z720:Z725),"N/A")</f>
        <v>29432193.6829111</v>
      </c>
      <c r="AD725" s="483"/>
      <c r="AE725" s="480"/>
      <c r="AF725" s="480"/>
      <c r="AG725" s="480"/>
      <c r="AH725" s="480"/>
      <c r="AI725" s="480"/>
      <c r="AJ725" s="480"/>
      <c r="AK725" s="480"/>
      <c r="AL725" s="480"/>
      <c r="AM725" s="480"/>
      <c r="AN725" s="486"/>
    </row>
    <row r="726" ht="15" customHeight="1" hidden="1">
      <c r="A726" s="12"/>
      <c r="B726" s="479" cm="1">
        <f t="array" ref="B726">IF(B725=0,0,IF(B725&lt;VLOOKUP(C717,'Boats Data Sheet 2026'!$C$3:$H$57,6,0),B725+1,0))</f>
        <v>7</v>
      </c>
      <c r="C726" s="480" cm="1">
        <f t="array" ref="C726">_xlfn.IFERROR(IF(B726&gt;0,IF(VLOOKUP($C$717,'Boats Data Sheet 2026'!$C$3:$J$57,8,0)="N/A",0,VLOOKUP($C$717,'Boats Data Sheet 2026'!$C$3:$J$57,8,0)),"N/A")*85%,"N/A")</f>
        <v>18700000</v>
      </c>
      <c r="D726" s="481" cm="1">
        <f t="array" ref="D726">IF(B726&gt;7,2,IF(B726=0,"N/A",1))</f>
        <v>1</v>
      </c>
      <c r="E726" s="480" cm="1">
        <f t="array" ref="E726">_xlfn.IFERROR(SUM('Direct Costs 2026'!$C$4:$C$5)*D726,"N/A")</f>
        <v>875500</v>
      </c>
      <c r="F726" s="480" cm="1">
        <f t="array" ref="F726">_xlfn.IFERROR('Direct Costs 2026'!$C$43*B726,"N/A")</f>
        <v>42000</v>
      </c>
      <c r="G726" s="480" cm="1">
        <f t="array" ref="G726">IF(B726&gt;0,'Direct Costs 2026'!$C$25,"N/A")</f>
        <v>90000</v>
      </c>
      <c r="H726" s="480">
        <v>0</v>
      </c>
      <c r="I726" s="480">
        <v>0</v>
      </c>
      <c r="J726" s="480">
        <v>0</v>
      </c>
      <c r="K726" s="480">
        <v>0</v>
      </c>
      <c r="L726" s="480" cm="1">
        <f t="array" ref="L726">IF(B726&gt;0,'Direct Costs 2026'!$C$23,"N/A")</f>
        <v>140000</v>
      </c>
      <c r="M726" s="480" cm="1">
        <f t="array" ref="M726">IF(B726&gt;0,'Direct Costs 2026'!$C$45*B726,"N/A")</f>
        <v>1050000</v>
      </c>
      <c r="N726" t="str" s="482" cm="1">
        <f t="array" ref="N726">IF(B726&gt;0,_xlfn.IFERROR(VLOOKUP(C717,'Boats Data Sheet 2026'!$C$3:$I$57,7,0)*'Direct Costs 2026'!$C$36,"N/A"),"N/A")</f>
        <v>N/A</v>
      </c>
      <c r="O726" t="str" s="482" cm="1">
        <f t="array" ref="O726">IF(B726&gt;0,IF(OR(VLOOKUP(C717,'Boats Data Sheet 2026'!$C$3:$F$57,4,0)="Own",VLOOKUP(C717,'Boats Data Sheet 2026'!$C$3:$F$57,4,0)="Management"),('Direct Costs 2026'!$C$37+'Direct Costs 2026'!$C$39),"N/A"),"N/A")</f>
        <v>N/A</v>
      </c>
      <c r="P726" s="480">
        <v>0</v>
      </c>
      <c r="Q726" s="480" cm="1">
        <f t="array" ref="Q726">_xlfn.IFERROR(C726+SUM(E726:P726),"N/A")</f>
        <v>20897500</v>
      </c>
      <c r="R726" s="483"/>
      <c r="S726" s="480" cm="1">
        <f t="array" ref="S726">IF(B726&gt;0,'Allocation OH and Target 2026'!$E$31,"N/A")</f>
        <v>3100447.15769812</v>
      </c>
      <c r="T726" s="480" cm="1">
        <f t="array" ref="T726">IF(B726&gt;0,VLOOKUP(C717,'Allocation OH and Target 2026'!$C$35:$S$87,16,0),"N/A")</f>
        <v>0</v>
      </c>
      <c r="U726" s="480" cm="1">
        <f t="array" ref="U726">_xlfn.IFERROR((S726+T726),"N/A")</f>
        <v>3100447.15769812</v>
      </c>
      <c r="V726" s="483"/>
      <c r="W726" s="480" cm="1">
        <f t="array" ref="W726">_xlfn.IFERROR(U726+Q726,"N/A")</f>
        <v>23997947.1576981</v>
      </c>
      <c r="X726" s="480" cm="1">
        <f t="array" ref="X726">_xlfn.IFERROR(W726*0.5%,"N/A")</f>
        <v>119989.735788491</v>
      </c>
      <c r="Y726" s="480" cm="1">
        <f t="array" ref="Y726">_xlfn.IFERROR(W726*25%,"N/A")</f>
        <v>5999486.78942453</v>
      </c>
      <c r="Z726" s="484" cm="1">
        <f t="array" ref="Z726">IF(B726&gt;0,(SUM(W726:Y726)),"N/A")</f>
        <v>30117423.6829111</v>
      </c>
      <c r="AA726" s="484" cm="1">
        <f t="array" ref="AA726">_xlfn.IFERROR((Z726-AVERAGE(Z720:Z725)),"N/A")</f>
        <v>685230</v>
      </c>
      <c r="AB726" s="483"/>
      <c r="AC726" t="str" s="485" cm="1">
        <f t="array" ref="AC726">IF(B726=6,AVERAGE(Z720:Z725),"N/A")</f>
        <v>N/A</v>
      </c>
      <c r="AD726" s="483"/>
      <c r="AE726" s="480"/>
      <c r="AF726" s="480"/>
      <c r="AG726" s="480"/>
      <c r="AH726" s="480"/>
      <c r="AI726" s="480"/>
      <c r="AJ726" s="480"/>
      <c r="AK726" s="480"/>
      <c r="AL726" s="480"/>
      <c r="AM726" s="480"/>
      <c r="AN726" s="486"/>
    </row>
    <row r="727" ht="15" customHeight="1" hidden="1">
      <c r="A727" s="12"/>
      <c r="B727" s="479" cm="1">
        <f t="array" ref="B727">IF(B726=0,0,IF(B726&lt;VLOOKUP(C717,'Boats Data Sheet 2026'!$C$3:$H$57,6,0),B726+1,0))</f>
        <v>8</v>
      </c>
      <c r="C727" s="480" cm="1">
        <f t="array" ref="C727">_xlfn.IFERROR(IF(B727&gt;0,IF(VLOOKUP($C$717,'Boats Data Sheet 2026'!$C$3:$J$57,8,0)="N/A",0,VLOOKUP($C$717,'Boats Data Sheet 2026'!$C$3:$J$57,8,0)),"N/A")*85%,"N/A")</f>
        <v>18700000</v>
      </c>
      <c r="D727" s="481" cm="1">
        <f t="array" ref="D727">IF(B727&gt;7,2,IF(B727=0,"N/A",1))</f>
        <v>2</v>
      </c>
      <c r="E727" s="480" cm="1">
        <f t="array" ref="E727">_xlfn.IFERROR(SUM('Direct Costs 2026'!$C$4:$C$5)*D727,"N/A")</f>
        <v>1751000</v>
      </c>
      <c r="F727" s="480" cm="1">
        <f t="array" ref="F727">_xlfn.IFERROR('Direct Costs 2026'!$C$43*B727,"N/A")</f>
        <v>48000</v>
      </c>
      <c r="G727" s="480" cm="1">
        <f t="array" ref="G727">IF(B727&gt;0,'Direct Costs 2026'!$C$25,"N/A")</f>
        <v>90000</v>
      </c>
      <c r="H727" s="480">
        <v>0</v>
      </c>
      <c r="I727" s="480">
        <v>0</v>
      </c>
      <c r="J727" s="480">
        <v>0</v>
      </c>
      <c r="K727" s="480">
        <v>0</v>
      </c>
      <c r="L727" s="480" cm="1">
        <f t="array" ref="L727">IF(B727&gt;0,'Direct Costs 2026'!$C$23,"N/A")</f>
        <v>140000</v>
      </c>
      <c r="M727" s="480" cm="1">
        <f t="array" ref="M727">IF(B727&gt;0,'Direct Costs 2026'!$C$45*B727,"N/A")</f>
        <v>1200000</v>
      </c>
      <c r="N727" t="str" s="482" cm="1">
        <f t="array" ref="N727">IF(B727&gt;0,_xlfn.IFERROR(VLOOKUP(C717,'Boats Data Sheet 2026'!$C$3:$I$57,7,0)*'Direct Costs 2026'!$C$36,"N/A"),"N/A")</f>
        <v>N/A</v>
      </c>
      <c r="O727" t="str" s="482" cm="1">
        <f t="array" ref="O727">IF(B727&gt;0,IF(OR(VLOOKUP(C717,'Boats Data Sheet 2026'!$C$3:$F$57,4,0)="Own",VLOOKUP(C717,'Boats Data Sheet 2026'!$C$3:$F$57,4,0)="Management"),('Direct Costs 2026'!$C$37+'Direct Costs 2026'!$C$39),"N/A"),"N/A")</f>
        <v>N/A</v>
      </c>
      <c r="P727" s="480">
        <v>0</v>
      </c>
      <c r="Q727" s="480" cm="1">
        <f t="array" ref="Q727">_xlfn.IFERROR(C727+SUM(E727:P727),"N/A")</f>
        <v>21929000</v>
      </c>
      <c r="R727" s="483"/>
      <c r="S727" s="480" cm="1">
        <f t="array" ref="S727">IF(B727&gt;0,'Allocation OH and Target 2026'!$E$31,"N/A")</f>
        <v>3100447.15769812</v>
      </c>
      <c r="T727" s="480" cm="1">
        <f t="array" ref="T727">IF(B727&gt;0,VLOOKUP(C717,'Allocation OH and Target 2026'!$C$35:$S$87,16,0),"N/A")</f>
        <v>0</v>
      </c>
      <c r="U727" s="480" cm="1">
        <f t="array" ref="U727">_xlfn.IFERROR((S727+T727),"N/A")</f>
        <v>3100447.15769812</v>
      </c>
      <c r="V727" s="483"/>
      <c r="W727" s="480" cm="1">
        <f t="array" ref="W727">_xlfn.IFERROR(U727+Q727,"N/A")</f>
        <v>25029447.1576981</v>
      </c>
      <c r="X727" s="480" cm="1">
        <f t="array" ref="X727">_xlfn.IFERROR(W727*0.5%,"N/A")</f>
        <v>125147.235788491</v>
      </c>
      <c r="Y727" s="480" cm="1">
        <f t="array" ref="Y727">_xlfn.IFERROR(W727*25%,"N/A")</f>
        <v>6257361.78942453</v>
      </c>
      <c r="Z727" s="484" cm="1">
        <f t="array" ref="Z727">IF(B727&gt;0,(SUM(W727:Y727)),"N/A")</f>
        <v>31411956.1829111</v>
      </c>
      <c r="AA727" s="484" cm="1">
        <f t="array" ref="AA727">_xlfn.IFERROR((Z727-AVERAGE(Z720:Z725)),"N/A")</f>
        <v>1979762.5</v>
      </c>
      <c r="AB727" s="483"/>
      <c r="AC727" t="str" s="485" cm="1">
        <f t="array" ref="AC727">IF(B727=6,AVERAGE(Z720:Z725),"N/A")</f>
        <v>N/A</v>
      </c>
      <c r="AD727" s="483"/>
      <c r="AE727" s="480"/>
      <c r="AF727" s="480"/>
      <c r="AG727" s="480"/>
      <c r="AH727" s="480"/>
      <c r="AI727" s="480"/>
      <c r="AJ727" s="480"/>
      <c r="AK727" s="480"/>
      <c r="AL727" s="480"/>
      <c r="AM727" s="480"/>
      <c r="AN727" s="486"/>
    </row>
    <row r="728" ht="15" customHeight="1" hidden="1">
      <c r="A728" s="12"/>
      <c r="B728" s="479" cm="1">
        <f t="array" ref="B728">IF(B727=0,0,IF(B727&lt;VLOOKUP(C717,'Boats Data Sheet 2026'!$C$3:$H$57,6,0),B727+1,0))</f>
        <v>9</v>
      </c>
      <c r="C728" s="480" cm="1">
        <f t="array" ref="C728">_xlfn.IFERROR(IF(B728&gt;0,IF(VLOOKUP($C$717,'Boats Data Sheet 2026'!$C$3:$J$57,8,0)="N/A",0,VLOOKUP($C$717,'Boats Data Sheet 2026'!$C$3:$J$57,8,0)),"N/A")*85%,"N/A")</f>
        <v>18700000</v>
      </c>
      <c r="D728" s="490" cm="1">
        <f t="array" ref="D728">IF(B728&gt;7,2,IF(B728=0,"N/A",1))</f>
        <v>2</v>
      </c>
      <c r="E728" s="480" cm="1">
        <f t="array" ref="E728">_xlfn.IFERROR(SUM('Direct Costs 2026'!$C$4:$C$5)*D728,"N/A")</f>
        <v>1751000</v>
      </c>
      <c r="F728" s="480" cm="1">
        <f t="array" ref="F728">_xlfn.IFERROR('Direct Costs 2026'!$C$43*B728,"N/A")</f>
        <v>54000</v>
      </c>
      <c r="G728" s="480" cm="1">
        <f t="array" ref="G728">IF(B728&gt;0,'Direct Costs 2026'!$C$25,"N/A")</f>
        <v>90000</v>
      </c>
      <c r="H728" s="480">
        <v>0</v>
      </c>
      <c r="I728" s="480">
        <v>0</v>
      </c>
      <c r="J728" s="480">
        <v>0</v>
      </c>
      <c r="K728" s="480">
        <v>0</v>
      </c>
      <c r="L728" s="480" cm="1">
        <f t="array" ref="L728">IF(B728&gt;0,'Direct Costs 2026'!$C$23,"N/A")</f>
        <v>140000</v>
      </c>
      <c r="M728" s="480" cm="1">
        <f t="array" ref="M728">IF(B728&gt;0,'Direct Costs 2026'!$C$45*B728,"N/A")</f>
        <v>1350000</v>
      </c>
      <c r="N728" t="str" s="482" cm="1">
        <f t="array" ref="N728">IF(B728&gt;0,_xlfn.IFERROR(VLOOKUP(C717,'Boats Data Sheet 2026'!$C$3:$I$57,7,0)*'Direct Costs 2026'!$C$36,"N/A"),"N/A")</f>
        <v>N/A</v>
      </c>
      <c r="O728" t="str" s="482" cm="1">
        <f t="array" ref="O728">IF(B728&gt;0,IF(OR(VLOOKUP(C717,'Boats Data Sheet 2026'!$C$3:$F$57,4,0)="Own",VLOOKUP(C717,'Boats Data Sheet 2026'!$C$3:$F$57,4,0)="Management"),('Direct Costs 2026'!$C$37+'Direct Costs 2026'!$C$39),"N/A"),"N/A")</f>
        <v>N/A</v>
      </c>
      <c r="P728" s="480">
        <v>0</v>
      </c>
      <c r="Q728" s="480" cm="1">
        <f t="array" ref="Q728">_xlfn.IFERROR(C728+SUM(E728:P728),"N/A")</f>
        <v>22085000</v>
      </c>
      <c r="R728" s="483"/>
      <c r="S728" s="480" cm="1">
        <f t="array" ref="S728">IF(B728&gt;0,'Allocation OH and Target 2026'!$E$31,"N/A")</f>
        <v>3100447.15769812</v>
      </c>
      <c r="T728" s="480" cm="1">
        <f t="array" ref="T728">IF(B728&gt;0,VLOOKUP(C717,'Allocation OH and Target 2026'!$C$35:$S$87,16,0),"N/A")</f>
        <v>0</v>
      </c>
      <c r="U728" s="480" cm="1">
        <f t="array" ref="U728">_xlfn.IFERROR((S728+T728),"N/A")</f>
        <v>3100447.15769812</v>
      </c>
      <c r="V728" s="483"/>
      <c r="W728" s="480" cm="1">
        <f t="array" ref="W728">_xlfn.IFERROR(U728+Q728,"N/A")</f>
        <v>25185447.1576981</v>
      </c>
      <c r="X728" s="480" cm="1">
        <f t="array" ref="X728">_xlfn.IFERROR(W728*0.5%,"N/A")</f>
        <v>125927.235788491</v>
      </c>
      <c r="Y728" s="480" cm="1">
        <f t="array" ref="Y728">_xlfn.IFERROR(W728*25%,"N/A")</f>
        <v>6296361.78942453</v>
      </c>
      <c r="Z728" s="484" cm="1">
        <f t="array" ref="Z728">IF(B728&gt;0,(SUM(W728:Y728)),"N/A")</f>
        <v>31607736.1829111</v>
      </c>
      <c r="AA728" s="484" cm="1">
        <f t="array" ref="AA728">_xlfn.IFERROR((Z728-AVERAGE(Z720:Z725)),"N/A")</f>
        <v>2175542.5</v>
      </c>
      <c r="AB728" s="483"/>
      <c r="AC728" t="str" s="485" cm="1">
        <f t="array" ref="AC728">IF(B728=6,AVERAGE(Z720:Z725),"N/A")</f>
        <v>N/A</v>
      </c>
      <c r="AD728" s="483"/>
      <c r="AE728" s="480"/>
      <c r="AF728" s="480"/>
      <c r="AG728" s="480"/>
      <c r="AH728" s="480"/>
      <c r="AI728" s="480"/>
      <c r="AJ728" s="480"/>
      <c r="AK728" s="480"/>
      <c r="AL728" s="480"/>
      <c r="AM728" s="480"/>
      <c r="AN728" s="486"/>
    </row>
    <row r="729" ht="15" customHeight="1" hidden="1">
      <c r="A729" s="12"/>
      <c r="B729" s="479" cm="1">
        <f t="array" ref="B729">IF(B728=0,0,IF(B728&lt;VLOOKUP(C717,'Boats Data Sheet 2026'!$C$3:$H$57,6,0),B728+1,0))</f>
        <v>10</v>
      </c>
      <c r="C729" s="480" cm="1">
        <f t="array" ref="C729">_xlfn.IFERROR(IF(B729&gt;0,IF(VLOOKUP($C$717,'Boats Data Sheet 2026'!$C$3:$J$57,8,0)="N/A",0,VLOOKUP($C$717,'Boats Data Sheet 2026'!$C$3:$J$57,8,0)),"N/A")*85%,"N/A")</f>
        <v>18700000</v>
      </c>
      <c r="D729" s="490" cm="1">
        <f t="array" ref="D729">IF(B729&gt;7,2,IF(B729=0,"N/A",1))</f>
        <v>2</v>
      </c>
      <c r="E729" s="480" cm="1">
        <f t="array" ref="E729">_xlfn.IFERROR(SUM('Direct Costs 2026'!$C$4:$C$5)*D729,"N/A")</f>
        <v>1751000</v>
      </c>
      <c r="F729" s="480" cm="1">
        <f t="array" ref="F729">_xlfn.IFERROR('Direct Costs 2026'!$C$43*B729,"N/A")</f>
        <v>60000</v>
      </c>
      <c r="G729" s="480" cm="1">
        <f t="array" ref="G729">IF(B729&gt;0,'Direct Costs 2026'!$C$25,"N/A")</f>
        <v>90000</v>
      </c>
      <c r="H729" s="480">
        <v>0</v>
      </c>
      <c r="I729" s="480">
        <v>0</v>
      </c>
      <c r="J729" s="480">
        <v>0</v>
      </c>
      <c r="K729" s="480">
        <v>0</v>
      </c>
      <c r="L729" s="480" cm="1">
        <f t="array" ref="L729">IF(B729&gt;0,'Direct Costs 2026'!$C$23,"N/A")</f>
        <v>140000</v>
      </c>
      <c r="M729" s="480" cm="1">
        <f t="array" ref="M729">IF(B729&gt;0,'Direct Costs 2026'!$C$45*B729,"N/A")</f>
        <v>1500000</v>
      </c>
      <c r="N729" t="str" s="482" cm="1">
        <f t="array" ref="N729">IF(B729&gt;0,_xlfn.IFERROR(VLOOKUP(C717,'Boats Data Sheet 2026'!$C$3:$I$57,7,0)*'Direct Costs 2026'!$C$36,"N/A"),"N/A")</f>
        <v>N/A</v>
      </c>
      <c r="O729" t="str" s="482" cm="1">
        <f t="array" ref="O729">IF(B729&gt;0,IF(OR(VLOOKUP(C717,'Boats Data Sheet 2026'!$C$3:$F$57,4,0)="Own",VLOOKUP(C717,'Boats Data Sheet 2026'!$C$3:$F$57,4,0)="Management"),('Direct Costs 2026'!$C$37+'Direct Costs 2026'!$C$39),"N/A"),"N/A")</f>
        <v>N/A</v>
      </c>
      <c r="P729" s="480">
        <v>0</v>
      </c>
      <c r="Q729" s="480" cm="1">
        <f t="array" ref="Q729">_xlfn.IFERROR(C729+SUM(E729:P729),"N/A")</f>
        <v>22241000</v>
      </c>
      <c r="R729" s="483"/>
      <c r="S729" s="480" cm="1">
        <f t="array" ref="S729">IF(B729&gt;0,'Allocation OH and Target 2026'!$E$31,"N/A")</f>
        <v>3100447.15769812</v>
      </c>
      <c r="T729" s="480" cm="1">
        <f t="array" ref="T729">IF(B729&gt;0,VLOOKUP(C717,'Allocation OH and Target 2026'!$C$35:$S$87,16,0),"N/A")</f>
        <v>0</v>
      </c>
      <c r="U729" s="480" cm="1">
        <f t="array" ref="U729">_xlfn.IFERROR((S729+T729),"N/A")</f>
        <v>3100447.15769812</v>
      </c>
      <c r="V729" s="483"/>
      <c r="W729" s="480" cm="1">
        <f t="array" ref="W729">_xlfn.IFERROR(U729+Q729,"N/A")</f>
        <v>25341447.1576981</v>
      </c>
      <c r="X729" s="480" cm="1">
        <f t="array" ref="X729">_xlfn.IFERROR(W729*0.5%,"N/A")</f>
        <v>126707.235788491</v>
      </c>
      <c r="Y729" s="480" cm="1">
        <f t="array" ref="Y729">_xlfn.IFERROR(W729*25%,"N/A")</f>
        <v>6335361.78942453</v>
      </c>
      <c r="Z729" s="484" cm="1">
        <f t="array" ref="Z729">IF(B729&gt;0,(SUM(W729:Y729)),"N/A")</f>
        <v>31803516.1829111</v>
      </c>
      <c r="AA729" s="484" cm="1">
        <f t="array" ref="AA729">_xlfn.IFERROR((Z729-AVERAGE(Z720:Z725)),"N/A")</f>
        <v>2371322.5</v>
      </c>
      <c r="AB729" s="483"/>
      <c r="AC729" t="str" s="485" cm="1">
        <f t="array" ref="AC729">IF(B729=6,AVERAGE(Z720:Z725),"N/A")</f>
        <v>N/A</v>
      </c>
      <c r="AD729" s="483"/>
      <c r="AE729" s="480"/>
      <c r="AF729" s="480"/>
      <c r="AG729" s="480"/>
      <c r="AH729" s="480"/>
      <c r="AI729" s="480"/>
      <c r="AJ729" s="480"/>
      <c r="AK729" s="480"/>
      <c r="AL729" s="480"/>
      <c r="AM729" s="480"/>
      <c r="AN729" s="486"/>
    </row>
    <row r="730" ht="15" customHeight="1" hidden="1">
      <c r="A730" s="12"/>
      <c r="B730" s="479" cm="1">
        <f t="array" ref="B730">IF(B729=0,0,IF(B729&lt;VLOOKUP(C717,'Boats Data Sheet 2026'!$C$3:$H$57,6,0),B729+1,0))</f>
        <v>11</v>
      </c>
      <c r="C730" s="480" cm="1">
        <f t="array" ref="C730">_xlfn.IFERROR(IF(B730&gt;0,IF(VLOOKUP($C$717,'Boats Data Sheet 2026'!$C$3:$J$57,8,0)="N/A",0,VLOOKUP($C$717,'Boats Data Sheet 2026'!$C$3:$J$57,8,0)),"N/A")*85%,"N/A")</f>
        <v>18700000</v>
      </c>
      <c r="D730" s="490" cm="1">
        <f t="array" ref="D730">IF(B730&gt;7,2,IF(B730=0,"N/A",1))</f>
        <v>2</v>
      </c>
      <c r="E730" s="480" cm="1">
        <f t="array" ref="E730">_xlfn.IFERROR(SUM('Direct Costs 2026'!$C$4:$C$5)*D730,"N/A")</f>
        <v>1751000</v>
      </c>
      <c r="F730" s="480" cm="1">
        <f t="array" ref="F730">_xlfn.IFERROR('Direct Costs 2026'!$C$43*B730,"N/A")</f>
        <v>66000</v>
      </c>
      <c r="G730" s="480" cm="1">
        <f t="array" ref="G730">IF(B730&gt;0,'Direct Costs 2026'!$C$25,"N/A")</f>
        <v>90000</v>
      </c>
      <c r="H730" s="480">
        <v>0</v>
      </c>
      <c r="I730" s="480">
        <v>0</v>
      </c>
      <c r="J730" s="480">
        <v>0</v>
      </c>
      <c r="K730" s="480">
        <v>0</v>
      </c>
      <c r="L730" s="480" cm="1">
        <f t="array" ref="L730">IF(B730&gt;0,'Direct Costs 2026'!$C$23,"N/A")</f>
        <v>140000</v>
      </c>
      <c r="M730" s="480" cm="1">
        <f t="array" ref="M730">IF(B730&gt;0,'Direct Costs 2026'!$C$45*B730,"N/A")</f>
        <v>1650000</v>
      </c>
      <c r="N730" t="str" s="482" cm="1">
        <f t="array" ref="N730">IF(B730&gt;0,_xlfn.IFERROR(VLOOKUP(C717,'Boats Data Sheet 2026'!$C$3:$I$57,7,0)*'Direct Costs 2026'!$C$36,"N/A"),"N/A")</f>
        <v>N/A</v>
      </c>
      <c r="O730" t="str" s="482" cm="1">
        <f t="array" ref="O730">IF(B730&gt;0,IF(OR(VLOOKUP(C717,'Boats Data Sheet 2026'!$C$3:$F$57,4,0)="Own",VLOOKUP(C717,'Boats Data Sheet 2026'!$C$3:$F$57,4,0)="Management"),('Direct Costs 2026'!$C$37+'Direct Costs 2026'!$C$39),"N/A"),"N/A")</f>
        <v>N/A</v>
      </c>
      <c r="P730" s="480">
        <v>0</v>
      </c>
      <c r="Q730" s="480" cm="1">
        <f t="array" ref="Q730">_xlfn.IFERROR(C730+SUM(E730:P730),"N/A")</f>
        <v>22397000</v>
      </c>
      <c r="R730" s="483"/>
      <c r="S730" s="480" cm="1">
        <f t="array" ref="S730">IF(B730&gt;0,'Allocation OH and Target 2026'!$E$31,"N/A")</f>
        <v>3100447.15769812</v>
      </c>
      <c r="T730" s="480" cm="1">
        <f t="array" ref="T730">IF(B730&gt;0,VLOOKUP(C717,'Allocation OH and Target 2026'!$C$35:$S$87,16,0),"N/A")</f>
        <v>0</v>
      </c>
      <c r="U730" s="480" cm="1">
        <f t="array" ref="U730">_xlfn.IFERROR((S730+T730),"N/A")</f>
        <v>3100447.15769812</v>
      </c>
      <c r="V730" s="483"/>
      <c r="W730" s="480" cm="1">
        <f t="array" ref="W730">_xlfn.IFERROR(U730+Q730,"N/A")</f>
        <v>25497447.1576981</v>
      </c>
      <c r="X730" s="480" cm="1">
        <f t="array" ref="X730">_xlfn.IFERROR(W730*0.5%,"N/A")</f>
        <v>127487.235788491</v>
      </c>
      <c r="Y730" s="480" cm="1">
        <f t="array" ref="Y730">_xlfn.IFERROR(W730*25%,"N/A")</f>
        <v>6374361.78942453</v>
      </c>
      <c r="Z730" s="484" cm="1">
        <f t="array" ref="Z730">IF(B730&gt;0,(SUM(W730:Y730)),"N/A")</f>
        <v>31999296.1829111</v>
      </c>
      <c r="AA730" s="484" cm="1">
        <f t="array" ref="AA730">_xlfn.IFERROR((Z730-AVERAGE(Z720:Z725)),"N/A")</f>
        <v>2567102.5</v>
      </c>
      <c r="AB730" s="483"/>
      <c r="AC730" t="str" s="485" cm="1">
        <f t="array" ref="AC730">IF(B730=6,AVERAGE(Z720:Z725),"N/A")</f>
        <v>N/A</v>
      </c>
      <c r="AD730" s="483"/>
      <c r="AE730" s="480"/>
      <c r="AF730" s="480"/>
      <c r="AG730" s="480"/>
      <c r="AH730" s="480"/>
      <c r="AI730" s="480"/>
      <c r="AJ730" s="480"/>
      <c r="AK730" s="480"/>
      <c r="AL730" s="480"/>
      <c r="AM730" s="480"/>
      <c r="AN730" s="486"/>
    </row>
    <row r="731" ht="15" customHeight="1" hidden="1">
      <c r="A731" s="12"/>
      <c r="B731" s="479" cm="1">
        <f t="array" ref="B731">IF(B730=0,0,IF(B730&lt;VLOOKUP(C717,'Boats Data Sheet 2026'!$C$3:$H$57,6,0),B730+1,0))</f>
        <v>12</v>
      </c>
      <c r="C731" s="480" cm="1">
        <f t="array" ref="C731">_xlfn.IFERROR(IF(B731&gt;0,IF(VLOOKUP($C$717,'Boats Data Sheet 2026'!$C$3:$J$57,8,0)="N/A",0,VLOOKUP($C$717,'Boats Data Sheet 2026'!$C$3:$J$57,8,0)),"N/A")*85%,"N/A")</f>
        <v>18700000</v>
      </c>
      <c r="D731" s="490" cm="1">
        <f t="array" ref="D731">IF(B731&gt;7,2,IF(B731=0,"N/A",1))</f>
        <v>2</v>
      </c>
      <c r="E731" s="480" cm="1">
        <f t="array" ref="E731">_xlfn.IFERROR(SUM('Direct Costs 2026'!$C$4:$C$5)*D731,"N/A")</f>
        <v>1751000</v>
      </c>
      <c r="F731" s="480" cm="1">
        <f t="array" ref="F731">_xlfn.IFERROR('Direct Costs 2026'!$C$43*B731,"N/A")</f>
        <v>72000</v>
      </c>
      <c r="G731" s="480" cm="1">
        <f t="array" ref="G731">IF(B731&gt;0,'Direct Costs 2026'!$C$25,"N/A")</f>
        <v>90000</v>
      </c>
      <c r="H731" s="480">
        <v>0</v>
      </c>
      <c r="I731" s="480">
        <v>0</v>
      </c>
      <c r="J731" s="480">
        <v>0</v>
      </c>
      <c r="K731" s="480">
        <v>0</v>
      </c>
      <c r="L731" s="480" cm="1">
        <f t="array" ref="L731">IF(B731&gt;0,'Direct Costs 2026'!$C$23,"N/A")</f>
        <v>140000</v>
      </c>
      <c r="M731" s="480" cm="1">
        <f t="array" ref="M731">IF(B731&gt;0,'Direct Costs 2026'!$C$45*B731,"N/A")</f>
        <v>1800000</v>
      </c>
      <c r="N731" t="str" s="482" cm="1">
        <f t="array" ref="N731">IF(B731&gt;0,_xlfn.IFERROR(VLOOKUP(C717,'Boats Data Sheet 2026'!$C$3:$I$57,7,0)*'Direct Costs 2026'!$C$36,"N/A"),"N/A")</f>
        <v>N/A</v>
      </c>
      <c r="O731" t="str" s="482" cm="1">
        <f t="array" ref="O731">IF(B731&gt;0,IF(OR(VLOOKUP(C717,'Boats Data Sheet 2026'!$C$3:$F$57,4,0)="Own",VLOOKUP(C717,'Boats Data Sheet 2026'!$C$3:$F$57,4,0)="Management"),('Direct Costs 2026'!$C$37+'Direct Costs 2026'!$C$39),"N/A"),"N/A")</f>
        <v>N/A</v>
      </c>
      <c r="P731" s="480">
        <v>0</v>
      </c>
      <c r="Q731" s="480" cm="1">
        <f t="array" ref="Q731">_xlfn.IFERROR(C731+SUM(E731:P731),"N/A")</f>
        <v>22553000</v>
      </c>
      <c r="R731" s="483"/>
      <c r="S731" s="480" cm="1">
        <f t="array" ref="S731">IF(B731&gt;0,'Allocation OH and Target 2026'!$E$31,"N/A")</f>
        <v>3100447.15769812</v>
      </c>
      <c r="T731" s="480" cm="1">
        <f t="array" ref="T731">IF(B731&gt;0,VLOOKUP(C717,'Allocation OH and Target 2026'!$C$35:$S$87,16,0),"N/A")</f>
        <v>0</v>
      </c>
      <c r="U731" s="480" cm="1">
        <f t="array" ref="U731">_xlfn.IFERROR((S731+T731),"N/A")</f>
        <v>3100447.15769812</v>
      </c>
      <c r="V731" s="483"/>
      <c r="W731" s="480" cm="1">
        <f t="array" ref="W731">_xlfn.IFERROR(U731+Q731,"N/A")</f>
        <v>25653447.1576981</v>
      </c>
      <c r="X731" s="480" cm="1">
        <f t="array" ref="X731">_xlfn.IFERROR(W731*0.5%,"N/A")</f>
        <v>128267.235788491</v>
      </c>
      <c r="Y731" s="480" cm="1">
        <f t="array" ref="Y731">_xlfn.IFERROR(W731*25%,"N/A")</f>
        <v>6413361.78942453</v>
      </c>
      <c r="Z731" s="484" cm="1">
        <f t="array" ref="Z731">IF(B731&gt;0,(SUM(W731:Y731)),"N/A")</f>
        <v>32195076.1829111</v>
      </c>
      <c r="AA731" s="484" cm="1">
        <f t="array" ref="AA731">_xlfn.IFERROR((Z731-AVERAGE(Z720:Z725)),"N/A")</f>
        <v>2762882.5</v>
      </c>
      <c r="AB731" s="483"/>
      <c r="AC731" t="str" s="485" cm="1">
        <f t="array" ref="AC731">IF(B731=6,AVERAGE(Z720:Z725),"N/A")</f>
        <v>N/A</v>
      </c>
      <c r="AD731" s="483"/>
      <c r="AE731" s="480"/>
      <c r="AF731" s="480"/>
      <c r="AG731" s="480"/>
      <c r="AH731" s="480"/>
      <c r="AI731" s="480"/>
      <c r="AJ731" s="480"/>
      <c r="AK731" s="480"/>
      <c r="AL731" s="480"/>
      <c r="AM731" s="480"/>
      <c r="AN731" s="486"/>
    </row>
    <row r="732" ht="15" customHeight="1" hidden="1">
      <c r="A732" s="12"/>
      <c r="B732" s="479" cm="1">
        <f t="array" ref="B732">IF(B731=0,0,IF(B731&lt;VLOOKUP(C717,'Boats Data Sheet 2026'!$C$3:$H$57,6,0),B731+1,0))</f>
        <v>13</v>
      </c>
      <c r="C732" s="480" cm="1">
        <f t="array" ref="C732">_xlfn.IFERROR(IF(B732&gt;0,IF(VLOOKUP($C$717,'Boats Data Sheet 2026'!$C$3:$J$57,8,0)="N/A",0,VLOOKUP($C$717,'Boats Data Sheet 2026'!$C$3:$J$57,8,0)),"N/A")*85%,"N/A")</f>
        <v>18700000</v>
      </c>
      <c r="D732" s="490" cm="1">
        <f t="array" ref="D732">IF(B732&gt;7,2,IF(B732=0,"N/A",1))</f>
        <v>2</v>
      </c>
      <c r="E732" s="480" cm="1">
        <f t="array" ref="E732">_xlfn.IFERROR(SUM('Direct Costs 2026'!$C$4:$C$5)*D732,"N/A")</f>
        <v>1751000</v>
      </c>
      <c r="F732" s="480" cm="1">
        <f t="array" ref="F732">_xlfn.IFERROR('Direct Costs 2026'!$C$43*B732,"N/A")</f>
        <v>78000</v>
      </c>
      <c r="G732" s="480" cm="1">
        <f t="array" ref="G732">IF(B732&gt;0,'Direct Costs 2026'!$C$25,"N/A")</f>
        <v>90000</v>
      </c>
      <c r="H732" s="480">
        <v>0</v>
      </c>
      <c r="I732" s="480">
        <v>0</v>
      </c>
      <c r="J732" s="480">
        <v>0</v>
      </c>
      <c r="K732" s="480">
        <v>0</v>
      </c>
      <c r="L732" s="480" cm="1">
        <f t="array" ref="L732">IF(B732&gt;0,'Direct Costs 2026'!$C$23,"N/A")</f>
        <v>140000</v>
      </c>
      <c r="M732" s="480" cm="1">
        <f t="array" ref="M732">IF(B732&gt;0,'Direct Costs 2026'!$C$45*B732,"N/A")</f>
        <v>1950000</v>
      </c>
      <c r="N732" t="str" s="482" cm="1">
        <f t="array" ref="N732">IF(B732&gt;0,_xlfn.IFERROR(VLOOKUP(C717,'Boats Data Sheet 2026'!$C$3:$I$57,7,0)*'Direct Costs 2026'!$C$36,"N/A"),"N/A")</f>
        <v>N/A</v>
      </c>
      <c r="O732" t="str" s="482" cm="1">
        <f t="array" ref="O732">IF(B732&gt;0,IF(OR(VLOOKUP(C717,'Boats Data Sheet 2026'!$C$3:$F$57,4,0)="Own",VLOOKUP(C717,'Boats Data Sheet 2026'!$C$3:$F$57,4,0)="Management"),('Direct Costs 2026'!$C$37+'Direct Costs 2026'!$C$39),"N/A"),"N/A")</f>
        <v>N/A</v>
      </c>
      <c r="P732" s="480">
        <v>0</v>
      </c>
      <c r="Q732" s="480" cm="1">
        <f t="array" ref="Q732">_xlfn.IFERROR(C732+SUM(E732:P732),"N/A")</f>
        <v>22709000</v>
      </c>
      <c r="R732" s="483"/>
      <c r="S732" s="480" cm="1">
        <f t="array" ref="S732">IF(B732&gt;0,'Allocation OH and Target 2026'!$E$31,"N/A")</f>
        <v>3100447.15769812</v>
      </c>
      <c r="T732" s="480" cm="1">
        <f t="array" ref="T732">IF(B732&gt;0,VLOOKUP(C717,'Allocation OH and Target 2026'!$C$35:$S$87,16,0),"N/A")</f>
        <v>0</v>
      </c>
      <c r="U732" s="480" cm="1">
        <f t="array" ref="U732">_xlfn.IFERROR((S732+T732),"N/A")</f>
        <v>3100447.15769812</v>
      </c>
      <c r="V732" s="483"/>
      <c r="W732" s="480" cm="1">
        <f t="array" ref="W732">_xlfn.IFERROR(U732+Q732,"N/A")</f>
        <v>25809447.1576981</v>
      </c>
      <c r="X732" s="480" cm="1">
        <f t="array" ref="X732">_xlfn.IFERROR(W732*0.5%,"N/A")</f>
        <v>129047.235788491</v>
      </c>
      <c r="Y732" s="480" cm="1">
        <f t="array" ref="Y732">_xlfn.IFERROR(W732*25%,"N/A")</f>
        <v>6452361.78942453</v>
      </c>
      <c r="Z732" s="484" cm="1">
        <f t="array" ref="Z732">IF(B732&gt;0,(SUM(W732:Y732)),"N/A")</f>
        <v>32390856.1829111</v>
      </c>
      <c r="AA732" s="484" cm="1">
        <f t="array" ref="AA732">_xlfn.IFERROR((Z732-AVERAGE(Z720:Z725)),"N/A")</f>
        <v>2958662.5</v>
      </c>
      <c r="AB732" s="483"/>
      <c r="AC732" t="str" s="485" cm="1">
        <f t="array" ref="AC732">IF(B732=6,AVERAGE(Z720:Z725),"N/A")</f>
        <v>N/A</v>
      </c>
      <c r="AD732" s="483"/>
      <c r="AE732" s="480"/>
      <c r="AF732" s="480"/>
      <c r="AG732" s="480"/>
      <c r="AH732" s="480"/>
      <c r="AI732" s="480"/>
      <c r="AJ732" s="480"/>
      <c r="AK732" s="480"/>
      <c r="AL732" s="480"/>
      <c r="AM732" s="480"/>
      <c r="AN732" s="486"/>
    </row>
    <row r="733" ht="15" customHeight="1" hidden="1">
      <c r="A733" s="12"/>
      <c r="B733" s="479" cm="1">
        <f t="array" ref="B733">IF(B732=0,0,IF(B732&lt;VLOOKUP(C717,'Boats Data Sheet 2026'!$C$3:$H$57,6,0),B732+1,0))</f>
        <v>14</v>
      </c>
      <c r="C733" s="480" cm="1">
        <f t="array" ref="C733">_xlfn.IFERROR(IF(B733&gt;0,IF(VLOOKUP($C$717,'Boats Data Sheet 2026'!$C$3:$J$57,8,0)="N/A",0,VLOOKUP($C$717,'Boats Data Sheet 2026'!$C$3:$J$57,8,0)),"N/A")*85%,"N/A")</f>
        <v>18700000</v>
      </c>
      <c r="D733" s="490" cm="1">
        <f t="array" ref="D733">IF(B733&gt;7,2,IF(B733=0,"N/A",1))</f>
        <v>2</v>
      </c>
      <c r="E733" s="480" cm="1">
        <f t="array" ref="E733">_xlfn.IFERROR(SUM('Direct Costs 2026'!$C$4:$C$5)*D733,"N/A")</f>
        <v>1751000</v>
      </c>
      <c r="F733" s="480" cm="1">
        <f t="array" ref="F733">_xlfn.IFERROR('Direct Costs 2026'!$C$43*B733,"N/A")</f>
        <v>84000</v>
      </c>
      <c r="G733" s="480" cm="1">
        <f t="array" ref="G733">IF(B733&gt;0,'Direct Costs 2026'!$C$25,"N/A")</f>
        <v>90000</v>
      </c>
      <c r="H733" s="480">
        <v>0</v>
      </c>
      <c r="I733" s="480">
        <v>0</v>
      </c>
      <c r="J733" s="480">
        <v>0</v>
      </c>
      <c r="K733" s="480">
        <v>0</v>
      </c>
      <c r="L733" s="480" cm="1">
        <f t="array" ref="L733">IF(B733&gt;0,'Direct Costs 2026'!$C$23,"N/A")</f>
        <v>140000</v>
      </c>
      <c r="M733" s="480" cm="1">
        <f t="array" ref="M733">IF(B733&gt;0,'Direct Costs 2026'!$C$45*B733,"N/A")</f>
        <v>2100000</v>
      </c>
      <c r="N733" t="str" s="482" cm="1">
        <f t="array" ref="N733">IF(B733&gt;0,_xlfn.IFERROR(VLOOKUP(C717,'Boats Data Sheet 2026'!$C$3:$I$57,7,0)*'Direct Costs 2026'!$C$36,"N/A"),"N/A")</f>
        <v>N/A</v>
      </c>
      <c r="O733" t="str" s="482" cm="1">
        <f t="array" ref="O733">IF(B733&gt;0,IF(OR(VLOOKUP(C717,'Boats Data Sheet 2026'!$C$3:$F$57,4,0)="Own",VLOOKUP(C717,'Boats Data Sheet 2026'!$C$3:$F$57,4,0)="Management"),('Direct Costs 2026'!$C$37+'Direct Costs 2026'!$C$39),"N/A"),"N/A")</f>
        <v>N/A</v>
      </c>
      <c r="P733" s="480">
        <v>0</v>
      </c>
      <c r="Q733" s="480" cm="1">
        <f t="array" ref="Q733">_xlfn.IFERROR(C733+SUM(E733:P733),"N/A")</f>
        <v>22865000</v>
      </c>
      <c r="R733" s="483"/>
      <c r="S733" s="480" cm="1">
        <f t="array" ref="S733">IF(B733&gt;0,'Allocation OH and Target 2026'!$E$31,"N/A")</f>
        <v>3100447.15769812</v>
      </c>
      <c r="T733" s="480" cm="1">
        <f t="array" ref="T733">IF(B733&gt;0,VLOOKUP(C717,'Allocation OH and Target 2026'!$C$35:$S$87,16,0),"N/A")</f>
        <v>0</v>
      </c>
      <c r="U733" s="480" cm="1">
        <f t="array" ref="U733">_xlfn.IFERROR((S733+T733),"N/A")</f>
        <v>3100447.15769812</v>
      </c>
      <c r="V733" s="483"/>
      <c r="W733" s="480" cm="1">
        <f t="array" ref="W733">_xlfn.IFERROR(U733+Q733,"N/A")</f>
        <v>25965447.1576981</v>
      </c>
      <c r="X733" s="480" cm="1">
        <f t="array" ref="X733">_xlfn.IFERROR(W733*0.5%,"N/A")</f>
        <v>129827.235788491</v>
      </c>
      <c r="Y733" s="480" cm="1">
        <f t="array" ref="Y733">_xlfn.IFERROR(W733*25%,"N/A")</f>
        <v>6491361.78942453</v>
      </c>
      <c r="Z733" s="484" cm="1">
        <f t="array" ref="Z733">IF(B733&gt;0,(SUM(W733:Y733)),"N/A")</f>
        <v>32586636.1829111</v>
      </c>
      <c r="AA733" s="484" cm="1">
        <f t="array" ref="AA733">_xlfn.IFERROR((Z733-AVERAGE(Z720:Z725)),"N/A")</f>
        <v>3154442.5</v>
      </c>
      <c r="AB733" s="483"/>
      <c r="AC733" t="str" s="485" cm="1">
        <f t="array" ref="AC733">IF(B733=6,AVERAGE(Z720:Z725),"N/A")</f>
        <v>N/A</v>
      </c>
      <c r="AD733" s="483"/>
      <c r="AE733" s="480"/>
      <c r="AF733" s="480"/>
      <c r="AG733" s="480"/>
      <c r="AH733" s="480"/>
      <c r="AI733" s="480"/>
      <c r="AJ733" s="480"/>
      <c r="AK733" s="480"/>
      <c r="AL733" s="480"/>
      <c r="AM733" s="480"/>
      <c r="AN733" s="486"/>
    </row>
    <row r="734" ht="15" customHeight="1" hidden="1">
      <c r="A734" s="12"/>
      <c r="B734" s="479" cm="1">
        <f t="array" ref="B734">IF(B733=0,0,IF(B733&lt;VLOOKUP(C717,'Boats Data Sheet 2026'!$C$3:$H$57,6,0),B733+1,0))</f>
        <v>15</v>
      </c>
      <c r="C734" s="480" cm="1">
        <f t="array" ref="C734">_xlfn.IFERROR(IF(B734&gt;0,IF(VLOOKUP($C$717,'Boats Data Sheet 2026'!$C$3:$J$57,8,0)="N/A",0,VLOOKUP($C$717,'Boats Data Sheet 2026'!$C$3:$J$57,8,0)),"N/A")*85%,"N/A")</f>
        <v>18700000</v>
      </c>
      <c r="D734" s="490" cm="1">
        <f t="array" ref="D734">IF(B734&gt;7,2,IF(B734=0,"N/A",1))</f>
        <v>2</v>
      </c>
      <c r="E734" s="480" cm="1">
        <f t="array" ref="E734">_xlfn.IFERROR(SUM('Direct Costs 2026'!$C$4:$C$5)*D734,"N/A")</f>
        <v>1751000</v>
      </c>
      <c r="F734" s="480" cm="1">
        <f t="array" ref="F734">_xlfn.IFERROR('Direct Costs 2026'!$C$43*B734,"N/A")</f>
        <v>90000</v>
      </c>
      <c r="G734" s="480" cm="1">
        <f t="array" ref="G734">IF(B734&gt;0,'Direct Costs 2026'!$C$25,"N/A")</f>
        <v>90000</v>
      </c>
      <c r="H734" s="480">
        <v>0</v>
      </c>
      <c r="I734" s="480">
        <v>0</v>
      </c>
      <c r="J734" s="480">
        <v>0</v>
      </c>
      <c r="K734" s="480">
        <v>0</v>
      </c>
      <c r="L734" s="480" cm="1">
        <f t="array" ref="L734">IF(B734&gt;0,'Direct Costs 2026'!$C$23,"N/A")</f>
        <v>140000</v>
      </c>
      <c r="M734" s="480" cm="1">
        <f t="array" ref="M734">IF(B734&gt;0,'Direct Costs 2026'!$C$45*B734,"N/A")</f>
        <v>2250000</v>
      </c>
      <c r="N734" t="str" s="482" cm="1">
        <f t="array" ref="N734">IF(B734&gt;0,_xlfn.IFERROR(VLOOKUP(C717,'Boats Data Sheet 2026'!$C$3:$I$57,7,0)*'Direct Costs 2026'!$C$36,"N/A"),"N/A")</f>
        <v>N/A</v>
      </c>
      <c r="O734" t="str" s="482" cm="1">
        <f t="array" ref="O734">IF(B734&gt;0,IF(OR(VLOOKUP(C717,'Boats Data Sheet 2026'!$C$3:$F$57,4,0)="Own",VLOOKUP(C717,'Boats Data Sheet 2026'!$C$3:$F$57,4,0)="Management"),('Direct Costs 2026'!$C$37+'Direct Costs 2026'!$C$39),"N/A"),"N/A")</f>
        <v>N/A</v>
      </c>
      <c r="P734" s="480">
        <v>0</v>
      </c>
      <c r="Q734" s="480" cm="1">
        <f t="array" ref="Q734">_xlfn.IFERROR(C734+SUM(E734:P734),"N/A")</f>
        <v>23021000</v>
      </c>
      <c r="R734" s="483"/>
      <c r="S734" s="480" cm="1">
        <f t="array" ref="S734">IF(B734&gt;0,'Allocation OH and Target 2026'!$E$31,"N/A")</f>
        <v>3100447.15769812</v>
      </c>
      <c r="T734" s="480" cm="1">
        <f t="array" ref="T734">IF(B734&gt;0,VLOOKUP(C717,'Allocation OH and Target 2026'!$C$35:$S$87,16,0),"N/A")</f>
        <v>0</v>
      </c>
      <c r="U734" s="480" cm="1">
        <f t="array" ref="U734">_xlfn.IFERROR((S734+T734),"N/A")</f>
        <v>3100447.15769812</v>
      </c>
      <c r="V734" s="483"/>
      <c r="W734" s="480" cm="1">
        <f t="array" ref="W734">_xlfn.IFERROR(U734+Q734,"N/A")</f>
        <v>26121447.1576981</v>
      </c>
      <c r="X734" s="480" cm="1">
        <f t="array" ref="X734">_xlfn.IFERROR(W734*0.5%,"N/A")</f>
        <v>130607.235788491</v>
      </c>
      <c r="Y734" s="480" cm="1">
        <f t="array" ref="Y734">_xlfn.IFERROR(W734*25%,"N/A")</f>
        <v>6530361.78942453</v>
      </c>
      <c r="Z734" s="484" cm="1">
        <f t="array" ref="Z734">IF(B734&gt;0,(SUM(W734:Y734)),"N/A")</f>
        <v>32782416.1829111</v>
      </c>
      <c r="AA734" s="484" cm="1">
        <f t="array" ref="AA734">_xlfn.IFERROR((Z734-AVERAGE(Z720:Z725)),"N/A")</f>
        <v>3350222.5</v>
      </c>
      <c r="AB734" s="483"/>
      <c r="AC734" t="str" s="485" cm="1">
        <f t="array" ref="AC734">IF(B734=6,AVERAGE(Z720:Z725),"N/A")</f>
        <v>N/A</v>
      </c>
      <c r="AD734" s="483"/>
      <c r="AE734" s="480"/>
      <c r="AF734" s="480"/>
      <c r="AG734" s="480"/>
      <c r="AH734" s="480"/>
      <c r="AI734" s="480"/>
      <c r="AJ734" s="480"/>
      <c r="AK734" s="480"/>
      <c r="AL734" s="480"/>
      <c r="AM734" s="480"/>
      <c r="AN734" s="486"/>
    </row>
    <row r="735" ht="15" customHeight="1" hidden="1">
      <c r="A735" s="12"/>
      <c r="B735" s="479" cm="1">
        <f t="array" ref="B735">IF(B734=0,0,IF(B734&lt;VLOOKUP(C717,'Boats Data Sheet 2026'!$C$3:$H$57,6,0),B734+1,0))</f>
        <v>0</v>
      </c>
      <c r="C735" t="str" s="482" cm="1">
        <f t="array" ref="C735">_xlfn.IFERROR(IF(B735&gt;0,IF(VLOOKUP($C$717,'Boats Data Sheet 2026'!$C$3:$J$57,8,0)="N/A",0,VLOOKUP($C$717,'Boats Data Sheet 2026'!$C$3:$J$57,8,0)),"N/A")*85%,"N/A")</f>
        <v>N/A</v>
      </c>
      <c r="D735" t="str" s="482" cm="1">
        <f t="array" ref="D735">IF(B735&gt;7,2,IF(B735=0,"N/A",1))</f>
        <v>N/A</v>
      </c>
      <c r="E735" t="str" s="482" cm="1">
        <f t="array" ref="E735">_xlfn.IFERROR(SUM('Direct Costs 2026'!$C$4:$C$5)*D735,"N/A")</f>
        <v>N/A</v>
      </c>
      <c r="F735" s="480" cm="1">
        <f t="array" ref="F735">_xlfn.IFERROR('Direct Costs 2026'!$C$43*B735,"N/A")</f>
        <v>0</v>
      </c>
      <c r="G735" t="str" s="482" cm="1">
        <f t="array" ref="G735">IF(B735&gt;0,'Direct Costs 2026'!$C$25,"N/A")</f>
        <v>N/A</v>
      </c>
      <c r="H735" s="480">
        <v>0</v>
      </c>
      <c r="I735" s="480">
        <v>0</v>
      </c>
      <c r="J735" s="480">
        <v>0</v>
      </c>
      <c r="K735" s="480">
        <v>0</v>
      </c>
      <c r="L735" t="str" s="482" cm="1">
        <f t="array" ref="L735">IF(B735&gt;0,'Direct Costs 2026'!$C$23,"N/A")</f>
        <v>N/A</v>
      </c>
      <c r="M735" t="str" s="482" cm="1">
        <f t="array" ref="M735">IF(B735&gt;0,'Direct Costs 2026'!$C$45*B735,"N/A")</f>
        <v>N/A</v>
      </c>
      <c r="N735" t="str" s="482" cm="1">
        <f t="array" ref="N735">IF(B735&gt;0,_xlfn.IFERROR(VLOOKUP(C717,'Boats Data Sheet 2026'!$C$3:$I$57,7,0)*'Direct Costs 2026'!$C$36,"N/A"),"N/A")</f>
        <v>N/A</v>
      </c>
      <c r="O735" t="str" s="482" cm="1">
        <f t="array" ref="O735">IF(B735&gt;0,IF(OR(VLOOKUP(C717,'Boats Data Sheet 2026'!$C$3:$F$57,4,0)="Own",VLOOKUP(C717,'Boats Data Sheet 2026'!$C$3:$F$57,4,0)="Management"),('Direct Costs 2026'!$C$37+'Direct Costs 2026'!$C$39),"N/A"),"N/A")</f>
        <v>N/A</v>
      </c>
      <c r="P735" s="480">
        <v>0</v>
      </c>
      <c r="Q735" t="str" s="482" cm="1">
        <f t="array" ref="Q735">_xlfn.IFERROR(C735+SUM(E735:P735),"N/A")</f>
        <v>N/A</v>
      </c>
      <c r="R735" s="483"/>
      <c r="S735" t="str" s="482" cm="1">
        <f t="array" ref="S735">IF(B735&gt;0,'Allocation OH and Target 2026'!$E$31,"N/A")</f>
        <v>N/A</v>
      </c>
      <c r="T735" t="str" s="482" cm="1">
        <f t="array" ref="T735">IF(B735&gt;0,VLOOKUP(C717,'Allocation OH and Target 2026'!$C$35:$S$87,16,0),"N/A")</f>
        <v>N/A</v>
      </c>
      <c r="U735" t="str" s="482" cm="1">
        <f t="array" ref="U735">_xlfn.IFERROR((S735+T735),"N/A")</f>
        <v>N/A</v>
      </c>
      <c r="V735" s="483"/>
      <c r="W735" t="str" s="482" cm="1">
        <f t="array" ref="W735">_xlfn.IFERROR(U735+Q735,"N/A")</f>
        <v>N/A</v>
      </c>
      <c r="X735" t="str" s="482" cm="1">
        <f t="array" ref="X735">_xlfn.IFERROR(W735*0.5%,"N/A")</f>
        <v>N/A</v>
      </c>
      <c r="Y735" t="str" s="482" cm="1">
        <f t="array" ref="Y735">_xlfn.IFERROR(W735*25%,"N/A")</f>
        <v>N/A</v>
      </c>
      <c r="Z735" t="str" s="485" cm="1">
        <f t="array" ref="Z735">IF(B735&gt;0,(SUM(W735:Y735)),"N/A")</f>
        <v>N/A</v>
      </c>
      <c r="AA735" t="str" s="485" cm="1">
        <f t="array" ref="AA735">_xlfn.IFERROR((Z735-AVERAGE(Z720:Z725)),"N/A")</f>
        <v>N/A</v>
      </c>
      <c r="AB735" s="483"/>
      <c r="AC735" t="str" s="485" cm="1">
        <f t="array" ref="AC735">IF(B735=6,AVERAGE(Z720:Z725),"N/A")</f>
        <v>N/A</v>
      </c>
      <c r="AD735" s="483"/>
      <c r="AE735" s="480"/>
      <c r="AF735" s="480"/>
      <c r="AG735" s="480"/>
      <c r="AH735" s="480"/>
      <c r="AI735" s="480"/>
      <c r="AJ735" s="480"/>
      <c r="AK735" s="480"/>
      <c r="AL735" s="480"/>
      <c r="AM735" s="480"/>
      <c r="AN735" s="486"/>
    </row>
    <row r="736" ht="15" customHeight="1" hidden="1">
      <c r="A736" s="12"/>
      <c r="B736" s="479" cm="1">
        <f t="array" ref="B736">IF(B735=0,0,IF(B735&lt;VLOOKUP(C717,'Boats Data Sheet 2026'!$C$3:$H$57,6,0),B735+1,0))</f>
        <v>0</v>
      </c>
      <c r="C736" t="str" s="482" cm="1">
        <f t="array" ref="C736">_xlfn.IFERROR(IF(B736&gt;0,IF(VLOOKUP($C$717,'Boats Data Sheet 2026'!$C$3:$J$57,8,0)="N/A",0,VLOOKUP($C$717,'Boats Data Sheet 2026'!$C$3:$J$57,8,0)),"N/A")*85%,"N/A")</f>
        <v>N/A</v>
      </c>
      <c r="D736" t="str" s="482" cm="1">
        <f t="array" ref="D736">IF(B736&gt;7,2,IF(B736=0,"N/A",1))</f>
        <v>N/A</v>
      </c>
      <c r="E736" t="str" s="482" cm="1">
        <f t="array" ref="E736">_xlfn.IFERROR(SUM('Direct Costs 2026'!$C$4:$C$5)*D736,"N/A")</f>
        <v>N/A</v>
      </c>
      <c r="F736" s="480" cm="1">
        <f t="array" ref="F736">_xlfn.IFERROR('Direct Costs 2026'!$C$43*B736,"N/A")</f>
        <v>0</v>
      </c>
      <c r="G736" t="str" s="482" cm="1">
        <f t="array" ref="G736">IF(B736&gt;0,'Direct Costs 2026'!$C$25,"N/A")</f>
        <v>N/A</v>
      </c>
      <c r="H736" s="480">
        <v>0</v>
      </c>
      <c r="I736" s="480">
        <v>0</v>
      </c>
      <c r="J736" s="480">
        <v>0</v>
      </c>
      <c r="K736" s="480">
        <v>0</v>
      </c>
      <c r="L736" t="str" s="482" cm="1">
        <f t="array" ref="L736">IF(B736&gt;0,'Direct Costs 2026'!$C$23,"N/A")</f>
        <v>N/A</v>
      </c>
      <c r="M736" t="str" s="482" cm="1">
        <f t="array" ref="M736">IF(B736&gt;0,'Direct Costs 2026'!$C$45*B736,"N/A")</f>
        <v>N/A</v>
      </c>
      <c r="N736" t="str" s="482" cm="1">
        <f t="array" ref="N736">IF(B736&gt;0,_xlfn.IFERROR(VLOOKUP(C717,'Boats Data Sheet 2026'!$C$3:$I$57,7,0)*'Direct Costs 2026'!$C$36,"N/A"),"N/A")</f>
        <v>N/A</v>
      </c>
      <c r="O736" t="str" s="482" cm="1">
        <f t="array" ref="O736">IF(B736&gt;0,IF(OR(VLOOKUP(C717,'Boats Data Sheet 2026'!$C$3:$F$57,4,0)="Own",VLOOKUP(C717,'Boats Data Sheet 2026'!$C$3:$F$57,4,0)="Management"),('Direct Costs 2026'!$C$37+'Direct Costs 2026'!$C$39),"N/A"),"N/A")</f>
        <v>N/A</v>
      </c>
      <c r="P736" s="480">
        <v>0</v>
      </c>
      <c r="Q736" t="str" s="482" cm="1">
        <f t="array" ref="Q736">_xlfn.IFERROR(C736+SUM(E736:P736),"N/A")</f>
        <v>N/A</v>
      </c>
      <c r="R736" s="483"/>
      <c r="S736" t="str" s="482" cm="1">
        <f t="array" ref="S736">IF(B736&gt;0,'Allocation OH and Target 2026'!$E$31,"N/A")</f>
        <v>N/A</v>
      </c>
      <c r="T736" t="str" s="482" cm="1">
        <f t="array" ref="T736">IF(B736&gt;0,VLOOKUP(C717,'Allocation OH and Target 2026'!$C$35:$S$87,16,0),"N/A")</f>
        <v>N/A</v>
      </c>
      <c r="U736" t="str" s="482" cm="1">
        <f t="array" ref="U736">_xlfn.IFERROR((S736+T736),"N/A")</f>
        <v>N/A</v>
      </c>
      <c r="V736" s="483"/>
      <c r="W736" t="str" s="482" cm="1">
        <f t="array" ref="W736">_xlfn.IFERROR(U736+Q736,"N/A")</f>
        <v>N/A</v>
      </c>
      <c r="X736" t="str" s="482" cm="1">
        <f t="array" ref="X736">_xlfn.IFERROR(W736*0.5%,"N/A")</f>
        <v>N/A</v>
      </c>
      <c r="Y736" t="str" s="482" cm="1">
        <f t="array" ref="Y736">_xlfn.IFERROR(W736*25%,"N/A")</f>
        <v>N/A</v>
      </c>
      <c r="Z736" t="str" s="485" cm="1">
        <f t="array" ref="Z736">IF(B736&gt;0,(SUM(W736:Y736)),"N/A")</f>
        <v>N/A</v>
      </c>
      <c r="AA736" t="str" s="485" cm="1">
        <f t="array" ref="AA736">_xlfn.IFERROR((Z736-AVERAGE(Z720:Z725)),"N/A")</f>
        <v>N/A</v>
      </c>
      <c r="AB736" s="483"/>
      <c r="AC736" t="str" s="485" cm="1">
        <f t="array" ref="AC736">IF(B736=6,AVERAGE(Z720:Z725),"N/A")</f>
        <v>N/A</v>
      </c>
      <c r="AD736" s="483"/>
      <c r="AE736" s="480"/>
      <c r="AF736" s="480"/>
      <c r="AG736" s="480"/>
      <c r="AH736" s="480"/>
      <c r="AI736" s="480"/>
      <c r="AJ736" s="480"/>
      <c r="AK736" s="480"/>
      <c r="AL736" s="480"/>
      <c r="AM736" s="480"/>
      <c r="AN736" s="486"/>
    </row>
    <row r="737" ht="15.5" customHeight="1" hidden="1">
      <c r="A737" s="12"/>
      <c r="B737" s="479" cm="1">
        <f t="array" ref="B737">IF(B736=0,0,IF(B736&lt;VLOOKUP(C717,'Boats Data Sheet 2026'!$C$3:$H$57,6,0),B736+1,0))</f>
        <v>0</v>
      </c>
      <c r="C737" t="str" s="482" cm="1">
        <f t="array" ref="C737">_xlfn.IFERROR(IF(B737&gt;0,IF(VLOOKUP($C$717,'Boats Data Sheet 2026'!$C$3:$J$57,8,0)="N/A",0,VLOOKUP($C$717,'Boats Data Sheet 2026'!$C$3:$J$57,8,0)),"N/A")*85%,"N/A")</f>
        <v>N/A</v>
      </c>
      <c r="D737" t="str" s="482" cm="1">
        <f t="array" ref="D737">IF(B737&gt;7,2,IF(B737=0,"N/A",1))</f>
        <v>N/A</v>
      </c>
      <c r="E737" t="str" s="482" cm="1">
        <f t="array" ref="E737">_xlfn.IFERROR(SUM('Direct Costs 2026'!$C$4:$C$5)*D737,"N/A")</f>
        <v>N/A</v>
      </c>
      <c r="F737" s="480" cm="1">
        <f t="array" ref="F737">_xlfn.IFERROR('Direct Costs 2026'!$C$43*B737,"N/A")</f>
        <v>0</v>
      </c>
      <c r="G737" t="str" s="482" cm="1">
        <f t="array" ref="G737">IF(B737&gt;0,'Direct Costs 2026'!$C$25,"N/A")</f>
        <v>N/A</v>
      </c>
      <c r="H737" s="480">
        <v>0</v>
      </c>
      <c r="I737" s="480">
        <v>0</v>
      </c>
      <c r="J737" s="480">
        <v>0</v>
      </c>
      <c r="K737" s="480">
        <v>0</v>
      </c>
      <c r="L737" t="str" s="482" cm="1">
        <f t="array" ref="L737">IF(B737&gt;0,'Direct Costs 2026'!$C$23,"N/A")</f>
        <v>N/A</v>
      </c>
      <c r="M737" t="str" s="482" cm="1">
        <f t="array" ref="M737">IF(B737&gt;0,'Direct Costs 2026'!$C$45*B737,"N/A")</f>
        <v>N/A</v>
      </c>
      <c r="N737" t="str" s="482" cm="1">
        <f t="array" ref="N737">IF(B737&gt;0,_xlfn.IFERROR(VLOOKUP(C717,'Boats Data Sheet 2026'!$C$3:$I$57,7,0)*'Direct Costs 2026'!$C$36,"N/A"),"N/A")</f>
        <v>N/A</v>
      </c>
      <c r="O737" t="str" s="482" cm="1">
        <f t="array" ref="O737">IF(B737&gt;0,IF(OR(VLOOKUP(C717,'Boats Data Sheet 2026'!$C$3:$F$57,4,0)="Own",VLOOKUP(C717,'Boats Data Sheet 2026'!$C$3:$F$57,4,0)="Management"),('Direct Costs 2026'!$C$37+'Direct Costs 2026'!$C$39),"N/A"),"N/A")</f>
        <v>N/A</v>
      </c>
      <c r="P737" s="480">
        <v>0</v>
      </c>
      <c r="Q737" t="str" s="482" cm="1">
        <f t="array" ref="Q737">_xlfn.IFERROR(C737+SUM(E737:P737),"N/A")</f>
        <v>N/A</v>
      </c>
      <c r="R737" s="483"/>
      <c r="S737" t="str" s="482" cm="1">
        <f t="array" ref="S737">IF(B737&gt;0,'Allocation OH and Target 2026'!$E$31,"N/A")</f>
        <v>N/A</v>
      </c>
      <c r="T737" t="str" s="482" cm="1">
        <f t="array" ref="T737">IF(B737&gt;0,VLOOKUP(C717,'Allocation OH and Target 2026'!$C$35:$S$87,16,0),"N/A")</f>
        <v>N/A</v>
      </c>
      <c r="U737" t="str" s="482" cm="1">
        <f t="array" ref="U737">_xlfn.IFERROR((S737+T737),"N/A")</f>
        <v>N/A</v>
      </c>
      <c r="V737" s="483"/>
      <c r="W737" t="str" s="482" cm="1">
        <f t="array" ref="W737">_xlfn.IFERROR(U737+Q737,"N/A")</f>
        <v>N/A</v>
      </c>
      <c r="X737" t="str" s="482" cm="1">
        <f t="array" ref="X737">_xlfn.IFERROR(W737*0.5%,"N/A")</f>
        <v>N/A</v>
      </c>
      <c r="Y737" t="str" s="482" cm="1">
        <f t="array" ref="Y737">_xlfn.IFERROR(W737*25%,"N/A")</f>
        <v>N/A</v>
      </c>
      <c r="Z737" t="str" s="485" cm="1">
        <f t="array" ref="Z737">IF(B737&gt;0,(SUM(W737:Y737)),"N/A")</f>
        <v>N/A</v>
      </c>
      <c r="AA737" t="str" s="485" cm="1">
        <f t="array" ref="AA737">_xlfn.IFERROR((Z737-AVERAGE(Z720:Z725)),"N/A")</f>
        <v>N/A</v>
      </c>
      <c r="AB737" s="483"/>
      <c r="AC737" t="str" s="485" cm="1">
        <f t="array" ref="AC737">IF(B737=6,AVERAGE(Z720:Z725),"N/A")</f>
        <v>N/A</v>
      </c>
      <c r="AD737" s="483"/>
      <c r="AE737" s="480"/>
      <c r="AF737" s="480"/>
      <c r="AG737" s="480"/>
      <c r="AH737" s="480"/>
      <c r="AI737" s="480"/>
      <c r="AJ737" s="480"/>
      <c r="AK737" s="480"/>
      <c r="AL737" s="480"/>
      <c r="AM737" s="480"/>
      <c r="AN737" s="486"/>
    </row>
    <row r="738" ht="14.05" customHeight="1">
      <c r="A738" s="32"/>
      <c r="B738" s="477"/>
      <c r="C738" s="477"/>
      <c r="D738" s="477"/>
      <c r="E738" s="477"/>
      <c r="F738" s="477"/>
      <c r="G738" s="477"/>
      <c r="H738" s="477"/>
      <c r="I738" s="477"/>
      <c r="J738" s="477"/>
      <c r="K738" s="477"/>
      <c r="L738" s="477"/>
      <c r="M738" s="477"/>
      <c r="N738" s="477"/>
      <c r="O738" s="477"/>
      <c r="P738" s="477"/>
      <c r="Q738" s="477"/>
      <c r="R738" s="477"/>
      <c r="S738" s="477"/>
      <c r="T738" s="477"/>
      <c r="U738" s="477"/>
      <c r="V738" s="477"/>
      <c r="W738" s="477"/>
      <c r="X738" s="477"/>
      <c r="Y738" s="477"/>
      <c r="Z738" s="477"/>
      <c r="AA738" s="477"/>
      <c r="AB738" s="477"/>
      <c r="AC738" s="477"/>
      <c r="AD738" s="477"/>
      <c r="AE738" s="477"/>
      <c r="AF738" s="477"/>
      <c r="AG738" s="477"/>
      <c r="AH738" s="477"/>
      <c r="AI738" s="477"/>
      <c r="AJ738" s="477"/>
      <c r="AK738" s="477"/>
      <c r="AL738" s="477"/>
      <c r="AM738" s="477"/>
      <c r="AN738" s="478"/>
    </row>
    <row r="739" ht="15" customHeight="1">
      <c r="A739" s="32"/>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c r="AH739" s="35"/>
      <c r="AI739" s="35"/>
      <c r="AJ739" s="35"/>
      <c r="AK739" s="35"/>
      <c r="AL739" s="35"/>
      <c r="AM739" s="35"/>
      <c r="AN739" s="442"/>
    </row>
    <row r="740" ht="15.5" customHeight="1">
      <c r="A740" s="395">
        <v>31</v>
      </c>
      <c r="B740" t="s" s="444">
        <v>506</v>
      </c>
      <c r="C740" t="s" s="445">
        <v>102</v>
      </c>
      <c r="D740" s="446"/>
      <c r="E740" t="s" s="447">
        <v>542</v>
      </c>
      <c r="F740" s="446"/>
      <c r="G740" s="446"/>
      <c r="H740" s="446"/>
      <c r="I740" s="446"/>
      <c r="J740" s="446"/>
      <c r="K740" s="446"/>
      <c r="L740" s="446"/>
      <c r="M740" s="446"/>
      <c r="N740" s="446"/>
      <c r="O740" s="446"/>
      <c r="P740" s="446"/>
      <c r="Q740" s="446"/>
      <c r="R740" s="446"/>
      <c r="S740" s="446"/>
      <c r="T740" s="446"/>
      <c r="U740" s="446"/>
      <c r="V740" s="446"/>
      <c r="W740" s="446"/>
      <c r="X740" s="446"/>
      <c r="Y740" s="446"/>
      <c r="Z740" s="446"/>
      <c r="AA740" s="446"/>
      <c r="AB740" s="446"/>
      <c r="AC740" s="446"/>
      <c r="AD740" s="446"/>
      <c r="AE740" t="s" s="445">
        <v>508</v>
      </c>
      <c r="AF740" s="448" cm="1">
        <f t="array" ref="AF740">AVERAGE(Q743:Q748)</f>
        <v>20351500</v>
      </c>
      <c r="AG740" t="s" s="449">
        <v>509</v>
      </c>
      <c r="AH740" s="448" cm="1">
        <f t="array" ref="AH740">AVERAGE(Q749:Q756)-AF740</f>
        <v>1748625</v>
      </c>
      <c r="AI740" t="s" s="449">
        <v>510</v>
      </c>
      <c r="AJ740" s="448" cm="1">
        <f t="array" ref="AJ740">AVERAGE(Y743:Y750)</f>
        <v>5901986.78942453</v>
      </c>
      <c r="AK740" t="s" s="445">
        <v>511</v>
      </c>
      <c r="AL740" s="448" cm="1">
        <f t="array" ref="AL740">AVERAGE(W743:W748)</f>
        <v>23451947.1576981</v>
      </c>
      <c r="AM740" t="s" s="449">
        <v>512</v>
      </c>
      <c r="AN740" s="450" cm="1">
        <f t="array" ref="AN740">W743</f>
        <v>23061947.1576981</v>
      </c>
    </row>
    <row r="741" ht="15" customHeight="1">
      <c r="A741" s="12"/>
      <c r="B741" s="451"/>
      <c r="C741" t="s" s="452">
        <v>513</v>
      </c>
      <c r="D741" s="453"/>
      <c r="E741" s="453"/>
      <c r="F741" s="453"/>
      <c r="G741" s="453"/>
      <c r="H741" s="453"/>
      <c r="I741" s="453"/>
      <c r="J741" s="453"/>
      <c r="K741" s="453"/>
      <c r="L741" s="453"/>
      <c r="M741" s="453"/>
      <c r="N741" s="453"/>
      <c r="O741" s="453"/>
      <c r="P741" s="453"/>
      <c r="Q741" s="454"/>
      <c r="R741" s="455"/>
      <c r="S741" t="s" s="452">
        <v>514</v>
      </c>
      <c r="T741" s="453"/>
      <c r="U741" s="454"/>
      <c r="V741" s="455"/>
      <c r="W741" t="s" s="452">
        <v>515</v>
      </c>
      <c r="X741" s="453"/>
      <c r="Y741" s="453"/>
      <c r="Z741" s="453"/>
      <c r="AA741" s="453"/>
      <c r="AB741" s="456"/>
      <c r="AC741" s="457"/>
      <c r="AD741" s="457"/>
      <c r="AE741" s="457"/>
      <c r="AF741" s="457"/>
      <c r="AG741" s="457"/>
      <c r="AH741" s="457"/>
      <c r="AI741" s="457"/>
      <c r="AJ741" s="457"/>
      <c r="AK741" s="457"/>
      <c r="AL741" s="458"/>
      <c r="AM741" s="459"/>
      <c r="AN741" s="458"/>
    </row>
    <row r="742" ht="46.25" customHeight="1">
      <c r="A742" s="187"/>
      <c r="B742" t="s" s="460">
        <v>517</v>
      </c>
      <c r="C742" t="s" s="461">
        <v>518</v>
      </c>
      <c r="D742" t="s" s="461">
        <v>519</v>
      </c>
      <c r="E742" t="s" s="461">
        <v>520</v>
      </c>
      <c r="F742" t="s" s="461">
        <v>521</v>
      </c>
      <c r="G742" t="s" s="461">
        <v>522</v>
      </c>
      <c r="H742" t="s" s="461">
        <v>553</v>
      </c>
      <c r="I742" t="s" s="461">
        <v>524</v>
      </c>
      <c r="J742" t="s" s="461">
        <v>525</v>
      </c>
      <c r="K742" t="s" s="461">
        <v>526</v>
      </c>
      <c r="L742" t="s" s="461">
        <v>527</v>
      </c>
      <c r="M742" t="s" s="461">
        <v>528</v>
      </c>
      <c r="N742" t="s" s="461">
        <v>529</v>
      </c>
      <c r="O742" t="s" s="461">
        <v>530</v>
      </c>
      <c r="P742" t="s" s="461">
        <v>531</v>
      </c>
      <c r="Q742" t="s" s="461">
        <v>532</v>
      </c>
      <c r="R742" s="462"/>
      <c r="S742" t="s" s="461">
        <v>533</v>
      </c>
      <c r="T742" t="s" s="461">
        <v>534</v>
      </c>
      <c r="U742" t="s" s="461">
        <v>535</v>
      </c>
      <c r="V742" s="462"/>
      <c r="W742" t="s" s="461">
        <v>536</v>
      </c>
      <c r="X742" t="s" s="461">
        <v>537</v>
      </c>
      <c r="Y742" t="s" s="461">
        <v>538</v>
      </c>
      <c r="Z742" t="s" s="461">
        <v>539</v>
      </c>
      <c r="AA742" t="s" s="461">
        <v>121</v>
      </c>
      <c r="AB742" s="463"/>
      <c r="AC742" t="s" s="461">
        <v>39</v>
      </c>
      <c r="AD742" s="463"/>
      <c r="AE742" s="463"/>
      <c r="AF742" s="463"/>
      <c r="AG742" s="463"/>
      <c r="AH742" s="463"/>
      <c r="AI742" s="463"/>
      <c r="AJ742" s="463"/>
      <c r="AK742" s="463"/>
      <c r="AL742" s="463"/>
      <c r="AM742" s="463"/>
      <c r="AN742" s="464"/>
    </row>
    <row r="743" ht="15" customHeight="1" hidden="1">
      <c r="A743" s="12"/>
      <c r="B743" s="479">
        <v>1</v>
      </c>
      <c r="C743" s="480" cm="1">
        <f t="array" ref="C743">_xlfn.IFERROR(IF(B743&gt;0,IF(VLOOKUP($C$740,'Boats Data Sheet 2026'!$C$3:$J$57,8,0)="N/A",0,VLOOKUP($C$740,'Boats Data Sheet 2026'!$C$3:$J$57,8,0)),"N/A"),"N/A")</f>
        <v>18700000</v>
      </c>
      <c r="D743" s="481" cm="1">
        <f t="array" ref="D743">IF(B743&gt;8,2,IF(B743=0,"N/A",1))</f>
        <v>1</v>
      </c>
      <c r="E743" s="480" cm="1">
        <f t="array" ref="E743">_xlfn.IFERROR(SUM('Direct Costs 2026'!$C$4:$C$5)*D743,"N/A")</f>
        <v>875500</v>
      </c>
      <c r="F743" s="480" cm="1">
        <f t="array" ref="F743">_xlfn.IFERROR('Direct Costs 2026'!$C$43*B743,"N/A")</f>
        <v>6000</v>
      </c>
      <c r="G743" s="480" cm="1">
        <f t="array" ref="G743">IF(B743&gt;0,'Direct Costs 2026'!$C$25,"N/A")</f>
        <v>90000</v>
      </c>
      <c r="H743" s="480">
        <v>0</v>
      </c>
      <c r="I743" s="480">
        <v>0</v>
      </c>
      <c r="J743" s="480">
        <v>0</v>
      </c>
      <c r="K743" s="480">
        <v>0</v>
      </c>
      <c r="L743" s="480" cm="1">
        <f t="array" ref="L743">IF(B743&gt;0,'Direct Costs 2026'!$C$23,"N/A")</f>
        <v>140000</v>
      </c>
      <c r="M743" s="480" cm="1">
        <f t="array" ref="M743">IF(B743&gt;0,'Direct Costs 2026'!$C$45*B743,"N/A")</f>
        <v>150000</v>
      </c>
      <c r="N743" t="str" s="482" cm="1">
        <f t="array" ref="N743">IF(B743&gt;0,_xlfn.IFERROR(VLOOKUP(C740,'Boats Data Sheet 2026'!$C$3:$I$57,7,0)*'Direct Costs 2026'!$C$36,"N/A"),"N/A")</f>
        <v>N/A</v>
      </c>
      <c r="O743" t="str" s="482" cm="1">
        <f t="array" ref="O743">IF(B743&gt;0,IF(OR(VLOOKUP(C740,'Boats Data Sheet 2026'!$C$3:$F$57,4,0)="Own",VLOOKUP(C740,'Boats Data Sheet 2026'!$C$3:$F$57,4,0)="Management"),('Direct Costs 2026'!$C$37+'Direct Costs 2026'!$C$39),"N/A"),"N/A")</f>
        <v>N/A</v>
      </c>
      <c r="P743" s="480">
        <v>0</v>
      </c>
      <c r="Q743" s="480" cm="1">
        <f t="array" ref="Q743">_xlfn.IFERROR(C743+SUM(E743:P743),"N/A")</f>
        <v>19961500</v>
      </c>
      <c r="R743" s="483"/>
      <c r="S743" s="480" cm="1">
        <f t="array" ref="S743">IF(B743&gt;0,'Allocation OH and Target 2026'!$E$31,"N/A")</f>
        <v>3100447.15769812</v>
      </c>
      <c r="T743" s="480">
        <v>0</v>
      </c>
      <c r="U743" s="480" cm="1">
        <f t="array" ref="U743">_xlfn.IFERROR((S743+T743),"N/A")</f>
        <v>3100447.15769812</v>
      </c>
      <c r="V743" s="483"/>
      <c r="W743" s="480" cm="1">
        <f t="array" ref="W743">_xlfn.IFERROR(U743+Q743,"N/A")</f>
        <v>23061947.1576981</v>
      </c>
      <c r="X743" s="480" cm="1">
        <f t="array" ref="X743">_xlfn.IFERROR(W743*0.5%,"N/A")</f>
        <v>115309.735788491</v>
      </c>
      <c r="Y743" s="480" cm="1">
        <f t="array" ref="Y743">_xlfn.IFERROR(W743*25%,"N/A")</f>
        <v>5765486.78942453</v>
      </c>
      <c r="Z743" s="484" cm="1">
        <f t="array" ref="Z743">IF(B743&gt;0,(SUM(W743:Y743)),"N/A")</f>
        <v>28942743.6829111</v>
      </c>
      <c r="AA743" s="484">
        <v>0</v>
      </c>
      <c r="AB743" s="483"/>
      <c r="AC743" t="str" s="485" cm="1">
        <f t="array" ref="AC743">IF(B743=6,AVERAGE(Z743:Z748),"N/A")</f>
        <v>N/A</v>
      </c>
      <c r="AD743" s="483"/>
      <c r="AE743" s="480"/>
      <c r="AF743" s="499"/>
      <c r="AG743" s="480"/>
      <c r="AH743" s="480"/>
      <c r="AI743" s="480"/>
      <c r="AJ743" s="480"/>
      <c r="AK743" s="480"/>
      <c r="AL743" s="480"/>
      <c r="AM743" s="480"/>
      <c r="AN743" s="486"/>
    </row>
    <row r="744" ht="15" customHeight="1" hidden="1">
      <c r="A744" s="12"/>
      <c r="B744" s="479" cm="1">
        <f t="array" ref="B744">IF(B743=0,0,IF(B743&lt;VLOOKUP(C740,'Boats Data Sheet 2026'!$C$3:$H$57,6,0),B743+1,0))</f>
        <v>2</v>
      </c>
      <c r="C744" s="480" cm="1">
        <f t="array" ref="C744">_xlfn.IFERROR(IF(B744&gt;0,IF(VLOOKUP($C$740,'Boats Data Sheet 2026'!$C$3:$J$57,8,0)="N/A",0,VLOOKUP($C$740,'Boats Data Sheet 2026'!$C$3:$J$57,8,0)),"N/A"),"N/A")</f>
        <v>18700000</v>
      </c>
      <c r="D744" s="481" cm="1">
        <f t="array" ref="D744">IF(B744&gt;8,2,IF(B744=0,"N/A",1))</f>
        <v>1</v>
      </c>
      <c r="E744" s="480" cm="1">
        <f t="array" ref="E744">_xlfn.IFERROR(SUM('Direct Costs 2026'!$C$4:$C$5)*D744,"N/A")</f>
        <v>875500</v>
      </c>
      <c r="F744" s="480" cm="1">
        <f t="array" ref="F744">_xlfn.IFERROR('Direct Costs 2026'!$C$43*B744,"N/A")</f>
        <v>12000</v>
      </c>
      <c r="G744" s="480" cm="1">
        <f t="array" ref="G744">IF(B744&gt;0,'Direct Costs 2026'!$C$25,"N/A")</f>
        <v>90000</v>
      </c>
      <c r="H744" s="480">
        <v>0</v>
      </c>
      <c r="I744" s="480">
        <v>0</v>
      </c>
      <c r="J744" s="480">
        <v>0</v>
      </c>
      <c r="K744" s="480">
        <v>0</v>
      </c>
      <c r="L744" s="480" cm="1">
        <f t="array" ref="L744">IF(B744&gt;0,'Direct Costs 2026'!$C$23,"N/A")</f>
        <v>140000</v>
      </c>
      <c r="M744" s="480" cm="1">
        <f t="array" ref="M744">IF(B744&gt;0,'Direct Costs 2026'!$C$45*B744,"N/A")</f>
        <v>300000</v>
      </c>
      <c r="N744" t="str" s="482" cm="1">
        <f t="array" ref="N744">IF(B744&gt;0,_xlfn.IFERROR(VLOOKUP(C740,'Boats Data Sheet 2026'!$C$3:$I$57,7,0)*'Direct Costs 2026'!$C$36,"N/A"),"N/A")</f>
        <v>N/A</v>
      </c>
      <c r="O744" t="str" s="482" cm="1">
        <f t="array" ref="O744">IF(B744&gt;0,IF(OR(VLOOKUP(C740,'Boats Data Sheet 2026'!$C$3:$F$57,4,0)="Own",VLOOKUP(C740,'Boats Data Sheet 2026'!$C$3:$F$57,4,0)="Management"),('Direct Costs 2026'!$C$37+'Direct Costs 2026'!$C$39),"N/A"),"N/A")</f>
        <v>N/A</v>
      </c>
      <c r="P744" s="480">
        <v>0</v>
      </c>
      <c r="Q744" s="480" cm="1">
        <f t="array" ref="Q744">_xlfn.IFERROR(C744+SUM(E744:P744),"N/A")</f>
        <v>20117500</v>
      </c>
      <c r="R744" s="483"/>
      <c r="S744" s="480" cm="1">
        <f t="array" ref="S744">IF(B744&gt;0,'Allocation OH and Target 2026'!$E$31,"N/A")</f>
        <v>3100447.15769812</v>
      </c>
      <c r="T744" s="480">
        <v>0</v>
      </c>
      <c r="U744" s="480" cm="1">
        <f t="array" ref="U744">_xlfn.IFERROR((S744+T744),"N/A")</f>
        <v>3100447.15769812</v>
      </c>
      <c r="V744" s="483"/>
      <c r="W744" s="480" cm="1">
        <f t="array" ref="W744">_xlfn.IFERROR(U744+Q744,"N/A")</f>
        <v>23217947.1576981</v>
      </c>
      <c r="X744" s="480" cm="1">
        <f t="array" ref="X744">_xlfn.IFERROR(W744*0.5%,"N/A")</f>
        <v>116089.735788491</v>
      </c>
      <c r="Y744" s="480" cm="1">
        <f t="array" ref="Y744">_xlfn.IFERROR(W744*25%,"N/A")</f>
        <v>5804486.78942453</v>
      </c>
      <c r="Z744" s="484" cm="1">
        <f t="array" ref="Z744">IF(B744&gt;0,(SUM(W744:Y744)),"N/A")</f>
        <v>29138523.6829111</v>
      </c>
      <c r="AA744" s="484">
        <v>0</v>
      </c>
      <c r="AB744" s="483"/>
      <c r="AC744" t="str" s="485" cm="1">
        <f t="array" ref="AC744">IF(B744=6,AVERAGE(Z743:Z748),"N/A")</f>
        <v>N/A</v>
      </c>
      <c r="AD744" s="483"/>
      <c r="AE744" s="500"/>
      <c r="AF744" s="480"/>
      <c r="AG744" s="480"/>
      <c r="AH744" s="480"/>
      <c r="AI744" s="480"/>
      <c r="AJ744" s="480"/>
      <c r="AK744" s="480"/>
      <c r="AL744" s="480"/>
      <c r="AM744" s="480"/>
      <c r="AN744" s="486"/>
    </row>
    <row r="745" ht="15" customHeight="1" hidden="1">
      <c r="A745" s="12"/>
      <c r="B745" s="479" cm="1">
        <f t="array" ref="B745">IF(B744=0,0,IF(B744&lt;VLOOKUP(C740,'Boats Data Sheet 2026'!$C$3:$H$57,6,0),B744+1,0))</f>
        <v>3</v>
      </c>
      <c r="C745" s="480" cm="1">
        <f t="array" ref="C745">_xlfn.IFERROR(IF(B745&gt;0,IF(VLOOKUP($C$740,'Boats Data Sheet 2026'!$C$3:$J$57,8,0)="N/A",0,VLOOKUP($C$740,'Boats Data Sheet 2026'!$C$3:$J$57,8,0)),"N/A"),"N/A")</f>
        <v>18700000</v>
      </c>
      <c r="D745" s="481" cm="1">
        <f t="array" ref="D745">IF(B745&gt;8,2,IF(B745=0,"N/A",1))</f>
        <v>1</v>
      </c>
      <c r="E745" s="480" cm="1">
        <f t="array" ref="E745">_xlfn.IFERROR(SUM('Direct Costs 2026'!$C$4:$C$5)*D745,"N/A")</f>
        <v>875500</v>
      </c>
      <c r="F745" s="480" cm="1">
        <f t="array" ref="F745">_xlfn.IFERROR('Direct Costs 2026'!$C$43*B745,"N/A")</f>
        <v>18000</v>
      </c>
      <c r="G745" s="480" cm="1">
        <f t="array" ref="G745">IF(B745&gt;0,'Direct Costs 2026'!$C$25,"N/A")</f>
        <v>90000</v>
      </c>
      <c r="H745" s="480">
        <v>0</v>
      </c>
      <c r="I745" s="480">
        <v>0</v>
      </c>
      <c r="J745" s="480">
        <v>0</v>
      </c>
      <c r="K745" s="480">
        <v>0</v>
      </c>
      <c r="L745" s="480" cm="1">
        <f t="array" ref="L745">IF(B745&gt;0,'Direct Costs 2026'!$C$23,"N/A")</f>
        <v>140000</v>
      </c>
      <c r="M745" s="480" cm="1">
        <f t="array" ref="M745">IF(B745&gt;0,'Direct Costs 2026'!$C$45*B745,"N/A")</f>
        <v>450000</v>
      </c>
      <c r="N745" t="str" s="482" cm="1">
        <f t="array" ref="N745">IF(B745&gt;0,_xlfn.IFERROR(VLOOKUP(C740,'Boats Data Sheet 2026'!$C$3:$I$57,7,0)*'Direct Costs 2026'!$C$36,"N/A"),"N/A")</f>
        <v>N/A</v>
      </c>
      <c r="O745" t="str" s="482" cm="1">
        <f t="array" ref="O745">IF(B745&gt;0,IF(OR(VLOOKUP(C740,'Boats Data Sheet 2026'!$C$3:$F$57,4,0)="Own",VLOOKUP(C740,'Boats Data Sheet 2026'!$C$3:$F$57,4,0)="Management"),('Direct Costs 2026'!$C$37+'Direct Costs 2026'!$C$39),"N/A"),"N/A")</f>
        <v>N/A</v>
      </c>
      <c r="P745" s="480">
        <v>0</v>
      </c>
      <c r="Q745" s="480" cm="1">
        <f t="array" ref="Q745">_xlfn.IFERROR(C745+SUM(E745:P745),"N/A")</f>
        <v>20273500</v>
      </c>
      <c r="R745" s="483"/>
      <c r="S745" s="480" cm="1">
        <f t="array" ref="S745">IF(B745&gt;0,'Allocation OH and Target 2026'!$E$31,"N/A")</f>
        <v>3100447.15769812</v>
      </c>
      <c r="T745" s="480">
        <v>0</v>
      </c>
      <c r="U745" s="480" cm="1">
        <f t="array" ref="U745">_xlfn.IFERROR((S745+T745),"N/A")</f>
        <v>3100447.15769812</v>
      </c>
      <c r="V745" s="483"/>
      <c r="W745" s="480" cm="1">
        <f t="array" ref="W745">_xlfn.IFERROR(U745+Q745,"N/A")</f>
        <v>23373947.1576981</v>
      </c>
      <c r="X745" s="480" cm="1">
        <f t="array" ref="X745">_xlfn.IFERROR(W745*0.5%,"N/A")</f>
        <v>116869.735788491</v>
      </c>
      <c r="Y745" s="480" cm="1">
        <f t="array" ref="Y745">_xlfn.IFERROR(W745*25%,"N/A")</f>
        <v>5843486.78942453</v>
      </c>
      <c r="Z745" s="484" cm="1">
        <f t="array" ref="Z745">IF(B745&gt;0,(SUM(W745:Y745)),"N/A")</f>
        <v>29334303.6829111</v>
      </c>
      <c r="AA745" s="484">
        <v>0</v>
      </c>
      <c r="AB745" s="483"/>
      <c r="AC745" t="str" s="485" cm="1">
        <f t="array" ref="AC745">IF(B745=6,AVERAGE(Z743:Z748),"N/A")</f>
        <v>N/A</v>
      </c>
      <c r="AD745" s="483"/>
      <c r="AE745" s="480"/>
      <c r="AF745" s="480"/>
      <c r="AG745" s="480"/>
      <c r="AH745" s="480"/>
      <c r="AI745" s="480"/>
      <c r="AJ745" s="480"/>
      <c r="AK745" s="480"/>
      <c r="AL745" s="480"/>
      <c r="AM745" s="480"/>
      <c r="AN745" s="486"/>
    </row>
    <row r="746" ht="15" customHeight="1" hidden="1">
      <c r="A746" s="12"/>
      <c r="B746" s="479" cm="1">
        <f t="array" ref="B746">IF(B745=0,0,IF(B745&lt;VLOOKUP(C740,'Boats Data Sheet 2026'!$C$3:$H$57,6,0),B745+1,0))</f>
        <v>4</v>
      </c>
      <c r="C746" s="480" cm="1">
        <f t="array" ref="C746">_xlfn.IFERROR(IF(B746&gt;0,IF(VLOOKUP($C$740,'Boats Data Sheet 2026'!$C$3:$J$57,8,0)="N/A",0,VLOOKUP($C$740,'Boats Data Sheet 2026'!$C$3:$J$57,8,0)),"N/A"),"N/A")</f>
        <v>18700000</v>
      </c>
      <c r="D746" s="481" cm="1">
        <f t="array" ref="D746">IF(B746&gt;8,2,IF(B746=0,"N/A",1))</f>
        <v>1</v>
      </c>
      <c r="E746" s="480" cm="1">
        <f t="array" ref="E746">_xlfn.IFERROR(SUM('Direct Costs 2026'!$C$4:$C$5)*D746,"N/A")</f>
        <v>875500</v>
      </c>
      <c r="F746" s="480" cm="1">
        <f t="array" ref="F746">_xlfn.IFERROR('Direct Costs 2026'!$C$43*B746,"N/A")</f>
        <v>24000</v>
      </c>
      <c r="G746" s="480" cm="1">
        <f t="array" ref="G746">IF(B746&gt;0,'Direct Costs 2026'!$C$25,"N/A")</f>
        <v>90000</v>
      </c>
      <c r="H746" s="480">
        <v>0</v>
      </c>
      <c r="I746" s="480">
        <v>0</v>
      </c>
      <c r="J746" s="480">
        <v>0</v>
      </c>
      <c r="K746" s="480">
        <v>0</v>
      </c>
      <c r="L746" s="480" cm="1">
        <f t="array" ref="L746">IF(B746&gt;0,'Direct Costs 2026'!$C$23,"N/A")</f>
        <v>140000</v>
      </c>
      <c r="M746" s="480" cm="1">
        <f t="array" ref="M746">IF(B746&gt;0,'Direct Costs 2026'!$C$45*B746,"N/A")</f>
        <v>600000</v>
      </c>
      <c r="N746" t="str" s="482" cm="1">
        <f t="array" ref="N746">IF(B746&gt;0,_xlfn.IFERROR(VLOOKUP(C740,'Boats Data Sheet 2026'!$C$3:$I$57,7,0)*'Direct Costs 2026'!$C$36,"N/A"),"N/A")</f>
        <v>N/A</v>
      </c>
      <c r="O746" t="str" s="482" cm="1">
        <f t="array" ref="O746">IF(B746&gt;0,IF(OR(VLOOKUP(C740,'Boats Data Sheet 2026'!$C$3:$F$57,4,0)="Own",VLOOKUP(C740,'Boats Data Sheet 2026'!$C$3:$F$57,4,0)="Management"),('Direct Costs 2026'!$C$37+'Direct Costs 2026'!$C$39),"N/A"),"N/A")</f>
        <v>N/A</v>
      </c>
      <c r="P746" s="480">
        <v>0</v>
      </c>
      <c r="Q746" s="480" cm="1">
        <f t="array" ref="Q746">_xlfn.IFERROR(C746+SUM(E746:P746),"N/A")</f>
        <v>20429500</v>
      </c>
      <c r="R746" s="483"/>
      <c r="S746" s="480" cm="1">
        <f t="array" ref="S746">IF(B746&gt;0,'Allocation OH and Target 2026'!$E$31,"N/A")</f>
        <v>3100447.15769812</v>
      </c>
      <c r="T746" s="480">
        <v>0</v>
      </c>
      <c r="U746" s="480" cm="1">
        <f t="array" ref="U746">_xlfn.IFERROR((S746+T746),"N/A")</f>
        <v>3100447.15769812</v>
      </c>
      <c r="V746" s="483"/>
      <c r="W746" s="480" cm="1">
        <f t="array" ref="W746">_xlfn.IFERROR(U746+Q746,"N/A")</f>
        <v>23529947.1576981</v>
      </c>
      <c r="X746" s="480" cm="1">
        <f t="array" ref="X746">_xlfn.IFERROR(W746*0.5%,"N/A")</f>
        <v>117649.735788491</v>
      </c>
      <c r="Y746" s="480" cm="1">
        <f t="array" ref="Y746">_xlfn.IFERROR(W746*25%,"N/A")</f>
        <v>5882486.78942453</v>
      </c>
      <c r="Z746" s="484" cm="1">
        <f t="array" ref="Z746">IF(B746&gt;0,(SUM(W746:Y746)),"N/A")</f>
        <v>29530083.6829111</v>
      </c>
      <c r="AA746" s="484">
        <v>0</v>
      </c>
      <c r="AB746" s="483"/>
      <c r="AC746" t="str" s="485" cm="1">
        <f t="array" ref="AC746">IF(B746=6,AVERAGE(Z743:Z748),"N/A")</f>
        <v>N/A</v>
      </c>
      <c r="AD746" s="483"/>
      <c r="AE746" s="480"/>
      <c r="AF746" s="480"/>
      <c r="AG746" s="480"/>
      <c r="AH746" s="480"/>
      <c r="AI746" s="480"/>
      <c r="AJ746" s="480"/>
      <c r="AK746" s="480"/>
      <c r="AL746" s="480"/>
      <c r="AM746" s="480"/>
      <c r="AN746" s="486"/>
    </row>
    <row r="747" ht="15" customHeight="1" hidden="1">
      <c r="A747" s="12"/>
      <c r="B747" s="479" cm="1">
        <f t="array" ref="B747">IF(B746=0,0,IF(B746&lt;VLOOKUP(C740,'Boats Data Sheet 2026'!$C$3:$H$57,6,0),B746+1,0))</f>
        <v>5</v>
      </c>
      <c r="C747" s="480" cm="1">
        <f t="array" ref="C747">_xlfn.IFERROR(IF(B747&gt;0,IF(VLOOKUP($C$740,'Boats Data Sheet 2026'!$C$3:$J$57,8,0)="N/A",0,VLOOKUP($C$740,'Boats Data Sheet 2026'!$C$3:$J$57,8,0)),"N/A"),"N/A")</f>
        <v>18700000</v>
      </c>
      <c r="D747" s="481" cm="1">
        <f t="array" ref="D747">IF(B747&gt;8,2,IF(B747=0,"N/A",1))</f>
        <v>1</v>
      </c>
      <c r="E747" s="480" cm="1">
        <f t="array" ref="E747">_xlfn.IFERROR(SUM('Direct Costs 2026'!$C$4:$C$5)*D747,"N/A")</f>
        <v>875500</v>
      </c>
      <c r="F747" s="480" cm="1">
        <f t="array" ref="F747">_xlfn.IFERROR('Direct Costs 2026'!$C$43*B747,"N/A")</f>
        <v>30000</v>
      </c>
      <c r="G747" s="480" cm="1">
        <f t="array" ref="G747">IF(B747&gt;0,'Direct Costs 2026'!$C$25,"N/A")</f>
        <v>90000</v>
      </c>
      <c r="H747" s="480">
        <v>0</v>
      </c>
      <c r="I747" s="480">
        <v>0</v>
      </c>
      <c r="J747" s="480">
        <v>0</v>
      </c>
      <c r="K747" s="480">
        <v>0</v>
      </c>
      <c r="L747" s="480" cm="1">
        <f t="array" ref="L747">IF(B747&gt;0,'Direct Costs 2026'!$C$23,"N/A")</f>
        <v>140000</v>
      </c>
      <c r="M747" s="480" cm="1">
        <f t="array" ref="M747">IF(B747&gt;0,'Direct Costs 2026'!$C$45*B747,"N/A")</f>
        <v>750000</v>
      </c>
      <c r="N747" t="str" s="482" cm="1">
        <f t="array" ref="N747">IF(B747&gt;0,_xlfn.IFERROR(VLOOKUP(C740,'Boats Data Sheet 2026'!$C$3:$I$57,7,0)*'Direct Costs 2026'!$C$36,"N/A"),"N/A")</f>
        <v>N/A</v>
      </c>
      <c r="O747" t="str" s="482" cm="1">
        <f t="array" ref="O747">IF(B747&gt;0,IF(OR(VLOOKUP(C740,'Boats Data Sheet 2026'!$C$3:$F$57,4,0)="Own",VLOOKUP(C740,'Boats Data Sheet 2026'!$C$3:$F$57,4,0)="Management"),('Direct Costs 2026'!$C$37+'Direct Costs 2026'!$C$39),"N/A"),"N/A")</f>
        <v>N/A</v>
      </c>
      <c r="P747" s="480">
        <v>0</v>
      </c>
      <c r="Q747" s="480" cm="1">
        <f t="array" ref="Q747">_xlfn.IFERROR(C747+SUM(E747:P747),"N/A")</f>
        <v>20585500</v>
      </c>
      <c r="R747" s="483"/>
      <c r="S747" s="480" cm="1">
        <f t="array" ref="S747">IF(B747&gt;0,'Allocation OH and Target 2026'!$E$31,"N/A")</f>
        <v>3100447.15769812</v>
      </c>
      <c r="T747" s="480">
        <v>0</v>
      </c>
      <c r="U747" s="480" cm="1">
        <f t="array" ref="U747">_xlfn.IFERROR((S747+T747),"N/A")</f>
        <v>3100447.15769812</v>
      </c>
      <c r="V747" s="483"/>
      <c r="W747" s="480" cm="1">
        <f t="array" ref="W747">_xlfn.IFERROR(U747+Q747,"N/A")</f>
        <v>23685947.1576981</v>
      </c>
      <c r="X747" s="480" cm="1">
        <f t="array" ref="X747">_xlfn.IFERROR(W747*0.5%,"N/A")</f>
        <v>118429.735788491</v>
      </c>
      <c r="Y747" s="480" cm="1">
        <f t="array" ref="Y747">_xlfn.IFERROR(W747*25%,"N/A")</f>
        <v>5921486.78942453</v>
      </c>
      <c r="Z747" s="484" cm="1">
        <f t="array" ref="Z747">IF(B747&gt;0,(SUM(W747:Y747)),"N/A")</f>
        <v>29725863.6829111</v>
      </c>
      <c r="AA747" s="484">
        <v>0</v>
      </c>
      <c r="AB747" s="483"/>
      <c r="AC747" t="str" s="485" cm="1">
        <f t="array" ref="AC747">IF(B747=6,AVERAGE(Z743:Z748),"N/A")</f>
        <v>N/A</v>
      </c>
      <c r="AD747" s="483"/>
      <c r="AE747" s="480"/>
      <c r="AF747" s="480"/>
      <c r="AG747" s="480"/>
      <c r="AH747" s="480"/>
      <c r="AI747" s="484"/>
      <c r="AJ747" s="480"/>
      <c r="AK747" s="480"/>
      <c r="AL747" s="480"/>
      <c r="AM747" s="480"/>
      <c r="AN747" s="486"/>
    </row>
    <row r="748" ht="15" customHeight="1" hidden="1">
      <c r="A748" s="12"/>
      <c r="B748" s="479" cm="1">
        <f t="array" ref="B748">IF(B747=0,0,IF(B747&lt;VLOOKUP(C740,'Boats Data Sheet 2026'!$C$3:$H$57,6,0),B747+1,0))</f>
        <v>6</v>
      </c>
      <c r="C748" s="480" cm="1">
        <f t="array" ref="C748">_xlfn.IFERROR(IF(B748&gt;0,IF(VLOOKUP($C$740,'Boats Data Sheet 2026'!$C$3:$J$57,8,0)="N/A",0,VLOOKUP($C$740,'Boats Data Sheet 2026'!$C$3:$J$57,8,0)),"N/A"),"N/A")</f>
        <v>18700000</v>
      </c>
      <c r="D748" s="481" cm="1">
        <f t="array" ref="D748">IF(B748&gt;8,2,IF(B748=0,"N/A",1))</f>
        <v>1</v>
      </c>
      <c r="E748" s="480" cm="1">
        <f t="array" ref="E748">_xlfn.IFERROR(SUM('Direct Costs 2026'!$C$4:$C$5)*D748,"N/A")</f>
        <v>875500</v>
      </c>
      <c r="F748" s="480" cm="1">
        <f t="array" ref="F748">_xlfn.IFERROR('Direct Costs 2026'!$C$43*B748,"N/A")</f>
        <v>36000</v>
      </c>
      <c r="G748" s="480" cm="1">
        <f t="array" ref="G748">IF(B748&gt;0,'Direct Costs 2026'!$C$25,"N/A")</f>
        <v>90000</v>
      </c>
      <c r="H748" s="480">
        <v>0</v>
      </c>
      <c r="I748" s="480">
        <v>0</v>
      </c>
      <c r="J748" s="480">
        <v>0</v>
      </c>
      <c r="K748" s="480">
        <v>0</v>
      </c>
      <c r="L748" s="480" cm="1">
        <f t="array" ref="L748">IF(B748&gt;0,'Direct Costs 2026'!$C$23,"N/A")</f>
        <v>140000</v>
      </c>
      <c r="M748" s="480" cm="1">
        <f t="array" ref="M748">IF(B748&gt;0,'Direct Costs 2026'!$C$45*B748,"N/A")</f>
        <v>900000</v>
      </c>
      <c r="N748" t="str" s="482" cm="1">
        <f t="array" ref="N748">IF(B748&gt;0,_xlfn.IFERROR(VLOOKUP(C740,'Boats Data Sheet 2026'!$C$3:$I$57,7,0)*'Direct Costs 2026'!$C$36,"N/A"),"N/A")</f>
        <v>N/A</v>
      </c>
      <c r="O748" t="str" s="482" cm="1">
        <f t="array" ref="O748">IF(B748&gt;0,IF(OR(VLOOKUP(C740,'Boats Data Sheet 2026'!$C$3:$F$57,4,0)="Own",VLOOKUP(C740,'Boats Data Sheet 2026'!$C$3:$F$57,4,0)="Management"),('Direct Costs 2026'!$C$37+'Direct Costs 2026'!$C$39),"N/A"),"N/A")</f>
        <v>N/A</v>
      </c>
      <c r="P748" s="480">
        <v>0</v>
      </c>
      <c r="Q748" s="480" cm="1">
        <f t="array" ref="Q748">_xlfn.IFERROR(C748+SUM(E748:P748),"N/A")</f>
        <v>20741500</v>
      </c>
      <c r="R748" s="483"/>
      <c r="S748" s="480" cm="1">
        <f t="array" ref="S748">IF(B748&gt;0,'Allocation OH and Target 2026'!$E$31,"N/A")</f>
        <v>3100447.15769812</v>
      </c>
      <c r="T748" s="480">
        <v>0</v>
      </c>
      <c r="U748" s="480" cm="1">
        <f t="array" ref="U748">_xlfn.IFERROR((S748+T748),"N/A")</f>
        <v>3100447.15769812</v>
      </c>
      <c r="V748" s="483"/>
      <c r="W748" s="480" cm="1">
        <f t="array" ref="W748">_xlfn.IFERROR(U748+Q748,"N/A")</f>
        <v>23841947.1576981</v>
      </c>
      <c r="X748" s="480" cm="1">
        <f t="array" ref="X748">_xlfn.IFERROR(W748*0.5%,"N/A")</f>
        <v>119209.735788491</v>
      </c>
      <c r="Y748" s="480" cm="1">
        <f t="array" ref="Y748">_xlfn.IFERROR(W748*25%,"N/A")</f>
        <v>5960486.78942453</v>
      </c>
      <c r="Z748" s="484" cm="1">
        <f t="array" ref="Z748">IF(B748&gt;0,(SUM(W748:Y748)),"N/A")</f>
        <v>29921643.6829111</v>
      </c>
      <c r="AA748" s="484">
        <v>0</v>
      </c>
      <c r="AB748" s="483"/>
      <c r="AC748" s="484" cm="1">
        <f t="array" ref="AC748">IF(B748=6,AVERAGE(Z743:Z748),"N/A")</f>
        <v>29432193.6829111</v>
      </c>
      <c r="AD748" s="483"/>
      <c r="AE748" s="500"/>
      <c r="AF748" s="480"/>
      <c r="AG748" s="480"/>
      <c r="AH748" s="480"/>
      <c r="AI748" s="480"/>
      <c r="AJ748" s="480"/>
      <c r="AK748" s="480"/>
      <c r="AL748" s="480"/>
      <c r="AM748" s="480"/>
      <c r="AN748" s="486"/>
    </row>
    <row r="749" ht="15" customHeight="1" hidden="1">
      <c r="A749" s="12"/>
      <c r="B749" s="479" cm="1">
        <f t="array" ref="B749">IF(B748=0,0,IF(B748&lt;VLOOKUP(C740,'Boats Data Sheet 2026'!$C$3:$H$57,6,0),B748+1,0))</f>
        <v>7</v>
      </c>
      <c r="C749" s="480" cm="1">
        <f t="array" ref="C749">_xlfn.IFERROR(IF(B749&gt;0,IF(VLOOKUP($C$740,'Boats Data Sheet 2026'!$C$3:$J$57,8,0)="N/A",0,VLOOKUP($C$740,'Boats Data Sheet 2026'!$C$3:$J$57,8,0)),"N/A"),"N/A")</f>
        <v>18700000</v>
      </c>
      <c r="D749" s="481" cm="1">
        <f t="array" ref="D749">IF(B749&gt;8,2,IF(B749=0,"N/A",1))</f>
        <v>1</v>
      </c>
      <c r="E749" s="480" cm="1">
        <f t="array" ref="E749">_xlfn.IFERROR(SUM('Direct Costs 2026'!$C$4:$C$5)*D749,"N/A")</f>
        <v>875500</v>
      </c>
      <c r="F749" s="480" cm="1">
        <f t="array" ref="F749">_xlfn.IFERROR('Direct Costs 2026'!$C$43*B749,"N/A")</f>
        <v>42000</v>
      </c>
      <c r="G749" s="480" cm="1">
        <f t="array" ref="G749">IF(B749&gt;0,'Direct Costs 2026'!$C$25,"N/A")</f>
        <v>90000</v>
      </c>
      <c r="H749" s="480">
        <v>0</v>
      </c>
      <c r="I749" s="480">
        <v>0</v>
      </c>
      <c r="J749" s="480">
        <v>0</v>
      </c>
      <c r="K749" s="480">
        <v>0</v>
      </c>
      <c r="L749" s="480" cm="1">
        <f t="array" ref="L749">IF(B749&gt;0,'Direct Costs 2026'!$C$23,"N/A")</f>
        <v>140000</v>
      </c>
      <c r="M749" s="480" cm="1">
        <f t="array" ref="M749">IF(B749&gt;0,'Direct Costs 2026'!$C$45*B749,"N/A")</f>
        <v>1050000</v>
      </c>
      <c r="N749" t="str" s="482" cm="1">
        <f t="array" ref="N749">IF(B749&gt;0,_xlfn.IFERROR(VLOOKUP(C740,'Boats Data Sheet 2026'!$C$3:$I$57,7,0)*'Direct Costs 2026'!$C$36,"N/A"),"N/A")</f>
        <v>N/A</v>
      </c>
      <c r="O749" t="str" s="482" cm="1">
        <f t="array" ref="O749">IF(B749&gt;0,IF(OR(VLOOKUP(C740,'Boats Data Sheet 2026'!$C$3:$F$57,4,0)="Own",VLOOKUP(C740,'Boats Data Sheet 2026'!$C$3:$F$57,4,0)="Management"),('Direct Costs 2026'!$C$37+'Direct Costs 2026'!$C$39),"N/A"),"N/A")</f>
        <v>N/A</v>
      </c>
      <c r="P749" s="480">
        <v>0</v>
      </c>
      <c r="Q749" s="480" cm="1">
        <f t="array" ref="Q749">_xlfn.IFERROR(C749+SUM(E749:P749),"N/A")</f>
        <v>20897500</v>
      </c>
      <c r="R749" s="483"/>
      <c r="S749" s="480" cm="1">
        <f t="array" ref="S749">IF(B749&gt;0,'Allocation OH and Target 2026'!$E$31,"N/A")</f>
        <v>3100447.15769812</v>
      </c>
      <c r="T749" s="480">
        <v>0</v>
      </c>
      <c r="U749" s="480" cm="1">
        <f t="array" ref="U749">_xlfn.IFERROR((S749+T749),"N/A")</f>
        <v>3100447.15769812</v>
      </c>
      <c r="V749" s="483"/>
      <c r="W749" s="480" cm="1">
        <f t="array" ref="W749">_xlfn.IFERROR(U749+Q749,"N/A")</f>
        <v>23997947.1576981</v>
      </c>
      <c r="X749" s="480" cm="1">
        <f t="array" ref="X749">_xlfn.IFERROR(W749*0.5%,"N/A")</f>
        <v>119989.735788491</v>
      </c>
      <c r="Y749" s="480" cm="1">
        <f t="array" ref="Y749">_xlfn.IFERROR(W749*25%,"N/A")</f>
        <v>5999486.78942453</v>
      </c>
      <c r="Z749" s="484" cm="1">
        <f t="array" ref="Z749">IF(B749&gt;0,(SUM(W749:Y749)),"N/A")</f>
        <v>30117423.6829111</v>
      </c>
      <c r="AA749" s="484" cm="1">
        <f t="array" ref="AA749">_xlfn.IFERROR((Z749-AVERAGE(Z743:Z748)),"N/A")</f>
        <v>685230</v>
      </c>
      <c r="AB749" s="483"/>
      <c r="AC749" t="str" s="485" cm="1">
        <f t="array" ref="AC749">IF(B749=6,AVERAGE(Z743:Z748),"N/A")</f>
        <v>N/A</v>
      </c>
      <c r="AD749" s="483"/>
      <c r="AE749" s="480"/>
      <c r="AF749" s="480"/>
      <c r="AG749" s="480"/>
      <c r="AH749" s="480"/>
      <c r="AI749" s="480"/>
      <c r="AJ749" s="480"/>
      <c r="AK749" s="480"/>
      <c r="AL749" s="480"/>
      <c r="AM749" s="480"/>
      <c r="AN749" s="486"/>
    </row>
    <row r="750" ht="15" customHeight="1" hidden="1">
      <c r="A750" s="12"/>
      <c r="B750" s="479" cm="1">
        <f t="array" ref="B750">IF(B749=0,0,IF(B749&lt;VLOOKUP(C740,'Boats Data Sheet 2026'!$C$3:$H$57,6,0),B749+1,0))</f>
        <v>8</v>
      </c>
      <c r="C750" s="480" cm="1">
        <f t="array" ref="C750">_xlfn.IFERROR(IF(B750&gt;0,IF(VLOOKUP($C$740,'Boats Data Sheet 2026'!$C$3:$J$57,8,0)="N/A",0,VLOOKUP($C$740,'Boats Data Sheet 2026'!$C$3:$J$57,8,0)),"N/A"),"N/A")</f>
        <v>18700000</v>
      </c>
      <c r="D750" s="481" cm="1">
        <f t="array" ref="D750">IF(B750&gt;8,2,IF(B750=0,"N/A",1))</f>
        <v>1</v>
      </c>
      <c r="E750" s="480" cm="1">
        <f t="array" ref="E750">_xlfn.IFERROR(SUM('Direct Costs 2026'!$C$4:$C$5)*D750,"N/A")</f>
        <v>875500</v>
      </c>
      <c r="F750" s="480" cm="1">
        <f t="array" ref="F750">_xlfn.IFERROR('Direct Costs 2026'!$C$43*B750,"N/A")</f>
        <v>48000</v>
      </c>
      <c r="G750" s="480" cm="1">
        <f t="array" ref="G750">IF(B750&gt;0,'Direct Costs 2026'!$C$25,"N/A")</f>
        <v>90000</v>
      </c>
      <c r="H750" s="480">
        <v>0</v>
      </c>
      <c r="I750" s="480">
        <v>0</v>
      </c>
      <c r="J750" s="480">
        <v>0</v>
      </c>
      <c r="K750" s="480">
        <v>0</v>
      </c>
      <c r="L750" s="480" cm="1">
        <f t="array" ref="L750">IF(B750&gt;0,'Direct Costs 2026'!$C$23,"N/A")</f>
        <v>140000</v>
      </c>
      <c r="M750" s="480" cm="1">
        <f t="array" ref="M750">IF(B750&gt;0,'Direct Costs 2026'!$C$45*B750,"N/A")</f>
        <v>1200000</v>
      </c>
      <c r="N750" t="str" s="482" cm="1">
        <f t="array" ref="N750">IF(B750&gt;0,_xlfn.IFERROR(VLOOKUP(C740,'Boats Data Sheet 2026'!$C$3:$I$57,7,0)*'Direct Costs 2026'!$C$36,"N/A"),"N/A")</f>
        <v>N/A</v>
      </c>
      <c r="O750" t="str" s="482" cm="1">
        <f t="array" ref="O750">IF(B750&gt;0,IF(OR(VLOOKUP(C740,'Boats Data Sheet 2026'!$C$3:$F$57,4,0)="Own",VLOOKUP(C740,'Boats Data Sheet 2026'!$C$3:$F$57,4,0)="Management"),('Direct Costs 2026'!$C$37+'Direct Costs 2026'!$C$39),"N/A"),"N/A")</f>
        <v>N/A</v>
      </c>
      <c r="P750" s="480">
        <v>0</v>
      </c>
      <c r="Q750" s="480" cm="1">
        <f t="array" ref="Q750">_xlfn.IFERROR(C750+SUM(E750:P750),"N/A")</f>
        <v>21053500</v>
      </c>
      <c r="R750" s="483"/>
      <c r="S750" s="480" cm="1">
        <f t="array" ref="S750">IF(B750&gt;0,'Allocation OH and Target 2026'!$E$31,"N/A")</f>
        <v>3100447.15769812</v>
      </c>
      <c r="T750" s="480">
        <v>0</v>
      </c>
      <c r="U750" s="480" cm="1">
        <f t="array" ref="U750">_xlfn.IFERROR((S750+T750),"N/A")</f>
        <v>3100447.15769812</v>
      </c>
      <c r="V750" s="483"/>
      <c r="W750" s="480" cm="1">
        <f t="array" ref="W750">_xlfn.IFERROR(U750+Q750,"N/A")</f>
        <v>24153947.1576981</v>
      </c>
      <c r="X750" s="480" cm="1">
        <f t="array" ref="X750">_xlfn.IFERROR(W750*0.5%,"N/A")</f>
        <v>120769.735788491</v>
      </c>
      <c r="Y750" s="480" cm="1">
        <f t="array" ref="Y750">_xlfn.IFERROR(W750*25%,"N/A")</f>
        <v>6038486.78942453</v>
      </c>
      <c r="Z750" s="484" cm="1">
        <f t="array" ref="Z750">IF(B750&gt;0,(SUM(W750:Y750)),"N/A")</f>
        <v>30313203.6829111</v>
      </c>
      <c r="AA750" s="484" cm="1">
        <f t="array" ref="AA750">_xlfn.IFERROR((Z750-AVERAGE(Z743:Z748)),"N/A")</f>
        <v>881010</v>
      </c>
      <c r="AB750" s="483"/>
      <c r="AC750" t="str" s="485" cm="1">
        <f t="array" ref="AC750">IF(B750=6,AVERAGE(Z743:Z748),"N/A")</f>
        <v>N/A</v>
      </c>
      <c r="AD750" s="483"/>
      <c r="AE750" s="480"/>
      <c r="AF750" s="480"/>
      <c r="AG750" s="480"/>
      <c r="AH750" s="480"/>
      <c r="AI750" s="480"/>
      <c r="AJ750" s="480"/>
      <c r="AK750" s="480"/>
      <c r="AL750" s="480"/>
      <c r="AM750" s="480"/>
      <c r="AN750" s="486"/>
    </row>
    <row r="751" ht="15" customHeight="1" hidden="1">
      <c r="A751" s="12"/>
      <c r="B751" s="479" cm="1">
        <f t="array" ref="B751">IF(B750=0,0,IF(B750&lt;VLOOKUP(C740,'Boats Data Sheet 2026'!$C$3:$H$57,6,0),B750+1,0))</f>
        <v>9</v>
      </c>
      <c r="C751" s="480" cm="1">
        <f t="array" ref="C751">_xlfn.IFERROR(IF(B751&gt;0,IF(VLOOKUP($C$740,'Boats Data Sheet 2026'!$C$3:$J$57,8,0)="N/A",0,VLOOKUP($C$740,'Boats Data Sheet 2026'!$C$3:$J$57,8,0)),"N/A"),"N/A")</f>
        <v>18700000</v>
      </c>
      <c r="D751" s="490" cm="1">
        <f t="array" ref="D751">IF(B751&gt;8,2,IF(B751=0,"N/A",1))</f>
        <v>2</v>
      </c>
      <c r="E751" s="480" cm="1">
        <f t="array" ref="E751">_xlfn.IFERROR(SUM('Direct Costs 2026'!$C$4:$C$5)*D751,"N/A")</f>
        <v>1751000</v>
      </c>
      <c r="F751" s="480" cm="1">
        <f t="array" ref="F751">_xlfn.IFERROR('Direct Costs 2026'!$C$43*B751,"N/A")</f>
        <v>54000</v>
      </c>
      <c r="G751" s="480" cm="1">
        <f t="array" ref="G751">IF(B751&gt;0,'Direct Costs 2026'!$C$25,"N/A")</f>
        <v>90000</v>
      </c>
      <c r="H751" s="480">
        <v>0</v>
      </c>
      <c r="I751" s="480">
        <v>0</v>
      </c>
      <c r="J751" s="480">
        <v>0</v>
      </c>
      <c r="K751" s="480">
        <v>0</v>
      </c>
      <c r="L751" s="480" cm="1">
        <f t="array" ref="L751">IF(B751&gt;0,'Direct Costs 2026'!$C$23,"N/A")</f>
        <v>140000</v>
      </c>
      <c r="M751" s="480" cm="1">
        <f t="array" ref="M751">IF(B751&gt;0,'Direct Costs 2026'!$C$45*B751,"N/A")</f>
        <v>1350000</v>
      </c>
      <c r="N751" t="str" s="482" cm="1">
        <f t="array" ref="N751">IF(B751&gt;0,_xlfn.IFERROR(VLOOKUP(C740,'Boats Data Sheet 2026'!$C$3:$I$57,7,0)*'Direct Costs 2026'!$C$36,"N/A"),"N/A")</f>
        <v>N/A</v>
      </c>
      <c r="O751" t="str" s="482" cm="1">
        <f t="array" ref="O751">IF(B751&gt;0,IF(OR(VLOOKUP(C740,'Boats Data Sheet 2026'!$C$3:$F$57,4,0)="Own",VLOOKUP(C740,'Boats Data Sheet 2026'!$C$3:$F$57,4,0)="Management"),('Direct Costs 2026'!$C$37+'Direct Costs 2026'!$C$39),"N/A"),"N/A")</f>
        <v>N/A</v>
      </c>
      <c r="P751" s="480">
        <v>0</v>
      </c>
      <c r="Q751" s="480" cm="1">
        <f t="array" ref="Q751">_xlfn.IFERROR(C751+SUM(E751:P751),"N/A")</f>
        <v>22085000</v>
      </c>
      <c r="R751" s="483"/>
      <c r="S751" s="480" cm="1">
        <f t="array" ref="S751">IF(B751&gt;0,'Allocation OH and Target 2026'!$E$31,"N/A")</f>
        <v>3100447.15769812</v>
      </c>
      <c r="T751" s="480">
        <v>0</v>
      </c>
      <c r="U751" s="480" cm="1">
        <f t="array" ref="U751">_xlfn.IFERROR((S751+T751),"N/A")</f>
        <v>3100447.15769812</v>
      </c>
      <c r="V751" s="483"/>
      <c r="W751" s="480" cm="1">
        <f t="array" ref="W751">_xlfn.IFERROR(U751+Q751,"N/A")</f>
        <v>25185447.1576981</v>
      </c>
      <c r="X751" s="480" cm="1">
        <f t="array" ref="X751">_xlfn.IFERROR(W751*0.5%,"N/A")</f>
        <v>125927.235788491</v>
      </c>
      <c r="Y751" s="480" cm="1">
        <f t="array" ref="Y751">_xlfn.IFERROR(W751*25%,"N/A")</f>
        <v>6296361.78942453</v>
      </c>
      <c r="Z751" s="484" cm="1">
        <f t="array" ref="Z751">IF(B751&gt;0,(SUM(W751:Y751)),"N/A")</f>
        <v>31607736.1829111</v>
      </c>
      <c r="AA751" s="484" cm="1">
        <f t="array" ref="AA751">_xlfn.IFERROR((Z751-AVERAGE(Z743:Z748)),"N/A")</f>
        <v>2175542.5</v>
      </c>
      <c r="AB751" s="483"/>
      <c r="AC751" t="str" s="485" cm="1">
        <f t="array" ref="AC751">IF(B751=6,AVERAGE(Z743:Z748),"N/A")</f>
        <v>N/A</v>
      </c>
      <c r="AD751" s="483"/>
      <c r="AE751" s="500"/>
      <c r="AF751" s="480"/>
      <c r="AG751" s="480"/>
      <c r="AH751" s="480"/>
      <c r="AI751" s="480"/>
      <c r="AJ751" s="480"/>
      <c r="AK751" s="480"/>
      <c r="AL751" s="480"/>
      <c r="AM751" s="480"/>
      <c r="AN751" s="486"/>
    </row>
    <row r="752" ht="15" customHeight="1" hidden="1">
      <c r="A752" s="12"/>
      <c r="B752" s="479" cm="1">
        <f t="array" ref="B752">IF(B751=0,0,IF(B751&lt;VLOOKUP(C740,'Boats Data Sheet 2026'!$C$3:$H$57,6,0),B751+1,0))</f>
        <v>10</v>
      </c>
      <c r="C752" s="480" cm="1">
        <f t="array" ref="C752">_xlfn.IFERROR(IF(B752&gt;0,IF(VLOOKUP($C$740,'Boats Data Sheet 2026'!$C$3:$J$57,8,0)="N/A",0,VLOOKUP($C$740,'Boats Data Sheet 2026'!$C$3:$J$57,8,0)),"N/A"),"N/A")</f>
        <v>18700000</v>
      </c>
      <c r="D752" s="490" cm="1">
        <f t="array" ref="D752">IF(B752&gt;8,2,IF(B752=0,"N/A",1))</f>
        <v>2</v>
      </c>
      <c r="E752" s="480" cm="1">
        <f t="array" ref="E752">_xlfn.IFERROR(SUM('Direct Costs 2026'!$C$4:$C$5)*D752,"N/A")</f>
        <v>1751000</v>
      </c>
      <c r="F752" s="480" cm="1">
        <f t="array" ref="F752">_xlfn.IFERROR('Direct Costs 2026'!$C$43*B752,"N/A")</f>
        <v>60000</v>
      </c>
      <c r="G752" s="480" cm="1">
        <f t="array" ref="G752">IF(B752&gt;0,'Direct Costs 2026'!$C$25,"N/A")</f>
        <v>90000</v>
      </c>
      <c r="H752" s="480">
        <v>0</v>
      </c>
      <c r="I752" s="480">
        <v>0</v>
      </c>
      <c r="J752" s="480">
        <v>0</v>
      </c>
      <c r="K752" s="480">
        <v>0</v>
      </c>
      <c r="L752" s="480" cm="1">
        <f t="array" ref="L752">IF(B752&gt;0,'Direct Costs 2026'!$C$23,"N/A")</f>
        <v>140000</v>
      </c>
      <c r="M752" s="480" cm="1">
        <f t="array" ref="M752">IF(B752&gt;0,'Direct Costs 2026'!$C$45*B752,"N/A")</f>
        <v>1500000</v>
      </c>
      <c r="N752" t="str" s="482" cm="1">
        <f t="array" ref="N752">IF(B752&gt;0,_xlfn.IFERROR(VLOOKUP(C740,'Boats Data Sheet 2026'!$C$3:$I$57,7,0)*'Direct Costs 2026'!$C$36,"N/A"),"N/A")</f>
        <v>N/A</v>
      </c>
      <c r="O752" t="str" s="482" cm="1">
        <f t="array" ref="O752">IF(B752&gt;0,IF(OR(VLOOKUP(C740,'Boats Data Sheet 2026'!$C$3:$F$57,4,0)="Own",VLOOKUP(C740,'Boats Data Sheet 2026'!$C$3:$F$57,4,0)="Management"),('Direct Costs 2026'!$C$37+'Direct Costs 2026'!$C$39),"N/A"),"N/A")</f>
        <v>N/A</v>
      </c>
      <c r="P752" s="480">
        <v>0</v>
      </c>
      <c r="Q752" s="480" cm="1">
        <f t="array" ref="Q752">_xlfn.IFERROR(C752+SUM(E752:P752),"N/A")</f>
        <v>22241000</v>
      </c>
      <c r="R752" s="483"/>
      <c r="S752" s="480" cm="1">
        <f t="array" ref="S752">IF(B752&gt;0,'Allocation OH and Target 2026'!$E$31,"N/A")</f>
        <v>3100447.15769812</v>
      </c>
      <c r="T752" s="480">
        <v>0</v>
      </c>
      <c r="U752" s="480" cm="1">
        <f t="array" ref="U752">_xlfn.IFERROR((S752+T752),"N/A")</f>
        <v>3100447.15769812</v>
      </c>
      <c r="V752" s="483"/>
      <c r="W752" s="480" cm="1">
        <f t="array" ref="W752">_xlfn.IFERROR(U752+Q752,"N/A")</f>
        <v>25341447.1576981</v>
      </c>
      <c r="X752" s="480" cm="1">
        <f t="array" ref="X752">_xlfn.IFERROR(W752*0.5%,"N/A")</f>
        <v>126707.235788491</v>
      </c>
      <c r="Y752" s="480" cm="1">
        <f t="array" ref="Y752">_xlfn.IFERROR(W752*25%,"N/A")</f>
        <v>6335361.78942453</v>
      </c>
      <c r="Z752" s="484" cm="1">
        <f t="array" ref="Z752">IF(B752&gt;0,(SUM(W752:Y752)),"N/A")</f>
        <v>31803516.1829111</v>
      </c>
      <c r="AA752" s="484" cm="1">
        <f t="array" ref="AA752">_xlfn.IFERROR((Z752-AVERAGE(Z743:Z748)),"N/A")</f>
        <v>2371322.5</v>
      </c>
      <c r="AB752" s="483"/>
      <c r="AC752" t="str" s="485" cm="1">
        <f t="array" ref="AC752">IF(B752=6,AVERAGE(Z743:Z748),"N/A")</f>
        <v>N/A</v>
      </c>
      <c r="AD752" s="483"/>
      <c r="AE752" s="501"/>
      <c r="AF752" s="480"/>
      <c r="AG752" s="480"/>
      <c r="AH752" s="480"/>
      <c r="AI752" s="480"/>
      <c r="AJ752" s="480"/>
      <c r="AK752" s="480"/>
      <c r="AL752" s="480"/>
      <c r="AM752" s="480"/>
      <c r="AN752" s="486"/>
    </row>
    <row r="753" ht="15" customHeight="1" hidden="1">
      <c r="A753" s="12"/>
      <c r="B753" s="479" cm="1">
        <f t="array" ref="B753">IF(B752=0,0,IF(B752&lt;VLOOKUP(C740,'Boats Data Sheet 2026'!$C$3:$H$57,6,0),B752+1,0))</f>
        <v>11</v>
      </c>
      <c r="C753" s="480" cm="1">
        <f t="array" ref="C753">_xlfn.IFERROR(IF(B753&gt;0,IF(VLOOKUP($C$740,'Boats Data Sheet 2026'!$C$3:$J$57,8,0)="N/A",0,VLOOKUP($C$740,'Boats Data Sheet 2026'!$C$3:$J$57,8,0)),"N/A"),"N/A")</f>
        <v>18700000</v>
      </c>
      <c r="D753" s="490" cm="1">
        <f t="array" ref="D753">IF(B753&gt;8,2,IF(B753=0,"N/A",1))</f>
        <v>2</v>
      </c>
      <c r="E753" s="480" cm="1">
        <f t="array" ref="E753">_xlfn.IFERROR(SUM('Direct Costs 2026'!$C$4:$C$5)*D753,"N/A")</f>
        <v>1751000</v>
      </c>
      <c r="F753" s="480" cm="1">
        <f t="array" ref="F753">_xlfn.IFERROR('Direct Costs 2026'!$C$43*B753,"N/A")</f>
        <v>66000</v>
      </c>
      <c r="G753" s="480" cm="1">
        <f t="array" ref="G753">IF(B753&gt;0,'Direct Costs 2026'!$C$25,"N/A")</f>
        <v>90000</v>
      </c>
      <c r="H753" s="480">
        <v>0</v>
      </c>
      <c r="I753" s="480">
        <v>0</v>
      </c>
      <c r="J753" s="480">
        <v>0</v>
      </c>
      <c r="K753" s="480">
        <v>0</v>
      </c>
      <c r="L753" s="480" cm="1">
        <f t="array" ref="L753">IF(B753&gt;0,'Direct Costs 2026'!$C$23,"N/A")</f>
        <v>140000</v>
      </c>
      <c r="M753" s="480" cm="1">
        <f t="array" ref="M753">IF(B753&gt;0,'Direct Costs 2026'!$C$45*B753,"N/A")</f>
        <v>1650000</v>
      </c>
      <c r="N753" t="str" s="482" cm="1">
        <f t="array" ref="N753">IF(B753&gt;0,_xlfn.IFERROR(VLOOKUP(C740,'Boats Data Sheet 2026'!$C$3:$I$57,7,0)*'Direct Costs 2026'!$C$36,"N/A"),"N/A")</f>
        <v>N/A</v>
      </c>
      <c r="O753" t="str" s="482" cm="1">
        <f t="array" ref="O753">IF(B753&gt;0,IF(OR(VLOOKUP(C740,'Boats Data Sheet 2026'!$C$3:$F$57,4,0)="Own",VLOOKUP(C740,'Boats Data Sheet 2026'!$C$3:$F$57,4,0)="Management"),('Direct Costs 2026'!$C$37+'Direct Costs 2026'!$C$39),"N/A"),"N/A")</f>
        <v>N/A</v>
      </c>
      <c r="P753" s="480">
        <v>0</v>
      </c>
      <c r="Q753" s="480" cm="1">
        <f t="array" ref="Q753">_xlfn.IFERROR(C753+SUM(E753:P753),"N/A")</f>
        <v>22397000</v>
      </c>
      <c r="R753" s="483"/>
      <c r="S753" s="480" cm="1">
        <f t="array" ref="S753">IF(B753&gt;0,'Allocation OH and Target 2026'!$E$31,"N/A")</f>
        <v>3100447.15769812</v>
      </c>
      <c r="T753" s="480">
        <v>0</v>
      </c>
      <c r="U753" s="480" cm="1">
        <f t="array" ref="U753">_xlfn.IFERROR((S753+T753),"N/A")</f>
        <v>3100447.15769812</v>
      </c>
      <c r="V753" s="483"/>
      <c r="W753" s="480" cm="1">
        <f t="array" ref="W753">_xlfn.IFERROR(U753+Q753,"N/A")</f>
        <v>25497447.1576981</v>
      </c>
      <c r="X753" s="480" cm="1">
        <f t="array" ref="X753">_xlfn.IFERROR(W753*0.5%,"N/A")</f>
        <v>127487.235788491</v>
      </c>
      <c r="Y753" s="480" cm="1">
        <f t="array" ref="Y753">_xlfn.IFERROR(W753*25%,"N/A")</f>
        <v>6374361.78942453</v>
      </c>
      <c r="Z753" s="484" cm="1">
        <f t="array" ref="Z753">IF(B753&gt;0,(SUM(W753:Y753)),"N/A")</f>
        <v>31999296.1829111</v>
      </c>
      <c r="AA753" s="484" cm="1">
        <f t="array" ref="AA753">_xlfn.IFERROR((Z753-AVERAGE(Z743:Z748)),"N/A")</f>
        <v>2567102.5</v>
      </c>
      <c r="AB753" s="483"/>
      <c r="AC753" t="str" s="485" cm="1">
        <f t="array" ref="AC753">IF(B753=6,AVERAGE(Z743:Z748),"N/A")</f>
        <v>N/A</v>
      </c>
      <c r="AD753" s="483"/>
      <c r="AE753" s="480"/>
      <c r="AF753" s="480"/>
      <c r="AG753" s="480"/>
      <c r="AH753" s="480"/>
      <c r="AI753" s="480"/>
      <c r="AJ753" s="480"/>
      <c r="AK753" s="480"/>
      <c r="AL753" s="480"/>
      <c r="AM753" s="480"/>
      <c r="AN753" s="486"/>
    </row>
    <row r="754" ht="15" customHeight="1" hidden="1">
      <c r="A754" s="12"/>
      <c r="B754" s="479" cm="1">
        <f t="array" ref="B754">IF(B753=0,0,IF(B753&lt;VLOOKUP(C740,'Boats Data Sheet 2026'!$C$3:$H$57,6,0),B753+1,0))</f>
        <v>12</v>
      </c>
      <c r="C754" s="480" cm="1">
        <f t="array" ref="C754">_xlfn.IFERROR(IF(B754&gt;0,IF(VLOOKUP($C$740,'Boats Data Sheet 2026'!$C$3:$J$57,8,0)="N/A",0,VLOOKUP($C$740,'Boats Data Sheet 2026'!$C$3:$J$57,8,0)),"N/A"),"N/A")</f>
        <v>18700000</v>
      </c>
      <c r="D754" s="490" cm="1">
        <f t="array" ref="D754">IF(B754&gt;8,2,IF(B754=0,"N/A",1))</f>
        <v>2</v>
      </c>
      <c r="E754" s="480" cm="1">
        <f t="array" ref="E754">_xlfn.IFERROR(SUM('Direct Costs 2026'!$C$4:$C$5)*D754,"N/A")</f>
        <v>1751000</v>
      </c>
      <c r="F754" s="480" cm="1">
        <f t="array" ref="F754">_xlfn.IFERROR('Direct Costs 2026'!$C$43*B754,"N/A")</f>
        <v>72000</v>
      </c>
      <c r="G754" s="480" cm="1">
        <f t="array" ref="G754">IF(B754&gt;0,'Direct Costs 2026'!$C$25,"N/A")</f>
        <v>90000</v>
      </c>
      <c r="H754" s="480">
        <v>0</v>
      </c>
      <c r="I754" s="480">
        <v>0</v>
      </c>
      <c r="J754" s="480">
        <v>0</v>
      </c>
      <c r="K754" s="480">
        <v>0</v>
      </c>
      <c r="L754" s="480" cm="1">
        <f t="array" ref="L754">IF(B754&gt;0,'Direct Costs 2026'!$C$23,"N/A")</f>
        <v>140000</v>
      </c>
      <c r="M754" s="480" cm="1">
        <f t="array" ref="M754">IF(B754&gt;0,'Direct Costs 2026'!$C$45*B754,"N/A")</f>
        <v>1800000</v>
      </c>
      <c r="N754" t="str" s="482" cm="1">
        <f t="array" ref="N754">IF(B754&gt;0,_xlfn.IFERROR(VLOOKUP(C740,'Boats Data Sheet 2026'!$C$3:$I$57,7,0)*'Direct Costs 2026'!$C$36,"N/A"),"N/A")</f>
        <v>N/A</v>
      </c>
      <c r="O754" t="str" s="482" cm="1">
        <f t="array" ref="O754">IF(B754&gt;0,IF(OR(VLOOKUP(C740,'Boats Data Sheet 2026'!$C$3:$F$57,4,0)="Own",VLOOKUP(C740,'Boats Data Sheet 2026'!$C$3:$F$57,4,0)="Management"),('Direct Costs 2026'!$C$37+'Direct Costs 2026'!$C$39),"N/A"),"N/A")</f>
        <v>N/A</v>
      </c>
      <c r="P754" s="480">
        <v>0</v>
      </c>
      <c r="Q754" s="480" cm="1">
        <f t="array" ref="Q754">_xlfn.IFERROR(C754+SUM(E754:P754),"N/A")</f>
        <v>22553000</v>
      </c>
      <c r="R754" s="483"/>
      <c r="S754" s="480" cm="1">
        <f t="array" ref="S754">IF(B754&gt;0,'Allocation OH and Target 2026'!$E$31,"N/A")</f>
        <v>3100447.15769812</v>
      </c>
      <c r="T754" s="480">
        <v>0</v>
      </c>
      <c r="U754" s="480" cm="1">
        <f t="array" ref="U754">_xlfn.IFERROR((S754+T754),"N/A")</f>
        <v>3100447.15769812</v>
      </c>
      <c r="V754" s="483"/>
      <c r="W754" s="480" cm="1">
        <f t="array" ref="W754">_xlfn.IFERROR(U754+Q754,"N/A")</f>
        <v>25653447.1576981</v>
      </c>
      <c r="X754" s="480" cm="1">
        <f t="array" ref="X754">_xlfn.IFERROR(W754*0.5%,"N/A")</f>
        <v>128267.235788491</v>
      </c>
      <c r="Y754" s="480" cm="1">
        <f t="array" ref="Y754">_xlfn.IFERROR(W754*25%,"N/A")</f>
        <v>6413361.78942453</v>
      </c>
      <c r="Z754" s="484" cm="1">
        <f t="array" ref="Z754">IF(B754&gt;0,(SUM(W754:Y754)),"N/A")</f>
        <v>32195076.1829111</v>
      </c>
      <c r="AA754" s="484" cm="1">
        <f t="array" ref="AA754">_xlfn.IFERROR((Z754-AVERAGE(Z743:Z748)),"N/A")</f>
        <v>2762882.5</v>
      </c>
      <c r="AB754" s="483"/>
      <c r="AC754" t="str" s="485" cm="1">
        <f t="array" ref="AC754">IF(B754=6,AVERAGE(Z743:Z748),"N/A")</f>
        <v>N/A</v>
      </c>
      <c r="AD754" s="483"/>
      <c r="AE754" s="480"/>
      <c r="AF754" s="480"/>
      <c r="AG754" s="480"/>
      <c r="AH754" s="480"/>
      <c r="AI754" s="480"/>
      <c r="AJ754" s="480"/>
      <c r="AK754" s="480"/>
      <c r="AL754" s="480"/>
      <c r="AM754" s="480"/>
      <c r="AN754" s="486"/>
    </row>
    <row r="755" ht="15" customHeight="1" hidden="1">
      <c r="A755" s="12"/>
      <c r="B755" s="479" cm="1">
        <f t="array" ref="B755">IF(B754=0,0,IF(B754&lt;VLOOKUP(C740,'Boats Data Sheet 2026'!$C$3:$H$57,6,0),B754+1,0))</f>
        <v>13</v>
      </c>
      <c r="C755" s="480" cm="1">
        <f t="array" ref="C755">_xlfn.IFERROR(IF(B755&gt;0,IF(VLOOKUP($C$740,'Boats Data Sheet 2026'!$C$3:$J$57,8,0)="N/A",0,VLOOKUP($C$740,'Boats Data Sheet 2026'!$C$3:$J$57,8,0)),"N/A"),"N/A")</f>
        <v>18700000</v>
      </c>
      <c r="D755" s="490" cm="1">
        <f t="array" ref="D755">IF(B755&gt;8,2,IF(B755=0,"N/A",1))</f>
        <v>2</v>
      </c>
      <c r="E755" s="480" cm="1">
        <f t="array" ref="E755">_xlfn.IFERROR(SUM('Direct Costs 2026'!$C$4:$C$5)*D755,"N/A")</f>
        <v>1751000</v>
      </c>
      <c r="F755" s="480" cm="1">
        <f t="array" ref="F755">_xlfn.IFERROR('Direct Costs 2026'!$C$43*B755,"N/A")</f>
        <v>78000</v>
      </c>
      <c r="G755" s="480" cm="1">
        <f t="array" ref="G755">IF(B755&gt;0,'Direct Costs 2026'!$C$25,"N/A")</f>
        <v>90000</v>
      </c>
      <c r="H755" s="480">
        <v>0</v>
      </c>
      <c r="I755" s="480">
        <v>0</v>
      </c>
      <c r="J755" s="480">
        <v>0</v>
      </c>
      <c r="K755" s="480">
        <v>0</v>
      </c>
      <c r="L755" s="480" cm="1">
        <f t="array" ref="L755">IF(B755&gt;0,'Direct Costs 2026'!$C$23,"N/A")</f>
        <v>140000</v>
      </c>
      <c r="M755" s="480" cm="1">
        <f t="array" ref="M755">IF(B755&gt;0,'Direct Costs 2026'!$C$45*B755,"N/A")</f>
        <v>1950000</v>
      </c>
      <c r="N755" t="str" s="482" cm="1">
        <f t="array" ref="N755">IF(B755&gt;0,_xlfn.IFERROR(VLOOKUP(C740,'Boats Data Sheet 2026'!$C$3:$I$57,7,0)*'Direct Costs 2026'!$C$36,"N/A"),"N/A")</f>
        <v>N/A</v>
      </c>
      <c r="O755" t="str" s="482" cm="1">
        <f t="array" ref="O755">IF(B755&gt;0,IF(OR(VLOOKUP(C740,'Boats Data Sheet 2026'!$C$3:$F$57,4,0)="Own",VLOOKUP(C740,'Boats Data Sheet 2026'!$C$3:$F$57,4,0)="Management"),('Direct Costs 2026'!$C$37+'Direct Costs 2026'!$C$39),"N/A"),"N/A")</f>
        <v>N/A</v>
      </c>
      <c r="P755" s="480">
        <v>0</v>
      </c>
      <c r="Q755" s="480" cm="1">
        <f t="array" ref="Q755">_xlfn.IFERROR(C755+SUM(E755:P755),"N/A")</f>
        <v>22709000</v>
      </c>
      <c r="R755" s="483"/>
      <c r="S755" s="480" cm="1">
        <f t="array" ref="S755">IF(B755&gt;0,'Allocation OH and Target 2026'!$E$31,"N/A")</f>
        <v>3100447.15769812</v>
      </c>
      <c r="T755" s="480">
        <v>0</v>
      </c>
      <c r="U755" s="480" cm="1">
        <f t="array" ref="U755">_xlfn.IFERROR((S755+T755),"N/A")</f>
        <v>3100447.15769812</v>
      </c>
      <c r="V755" s="483"/>
      <c r="W755" s="480" cm="1">
        <f t="array" ref="W755">_xlfn.IFERROR(U755+Q755,"N/A")</f>
        <v>25809447.1576981</v>
      </c>
      <c r="X755" s="480" cm="1">
        <f t="array" ref="X755">_xlfn.IFERROR(W755*0.5%,"N/A")</f>
        <v>129047.235788491</v>
      </c>
      <c r="Y755" s="480" cm="1">
        <f t="array" ref="Y755">_xlfn.IFERROR(W755*25%,"N/A")</f>
        <v>6452361.78942453</v>
      </c>
      <c r="Z755" s="484" cm="1">
        <f t="array" ref="Z755">IF(B755&gt;0,(SUM(W755:Y755)),"N/A")</f>
        <v>32390856.1829111</v>
      </c>
      <c r="AA755" s="484" cm="1">
        <f t="array" ref="AA755">_xlfn.IFERROR((Z755-AVERAGE(Z743:Z748)),"N/A")</f>
        <v>2958662.5</v>
      </c>
      <c r="AB755" s="483"/>
      <c r="AC755" t="str" s="485" cm="1">
        <f t="array" ref="AC755">IF(B755=6,AVERAGE(Z743:Z748),"N/A")</f>
        <v>N/A</v>
      </c>
      <c r="AD755" s="483"/>
      <c r="AE755" s="480"/>
      <c r="AF755" s="480"/>
      <c r="AG755" s="480"/>
      <c r="AH755" s="480"/>
      <c r="AI755" s="480"/>
      <c r="AJ755" s="480"/>
      <c r="AK755" s="480"/>
      <c r="AL755" s="480"/>
      <c r="AM755" s="480"/>
      <c r="AN755" s="486"/>
    </row>
    <row r="756" ht="15" customHeight="1" hidden="1">
      <c r="A756" s="12"/>
      <c r="B756" s="479" cm="1">
        <f t="array" ref="B756">IF(B755=0,0,IF(B755&lt;VLOOKUP(C740,'Boats Data Sheet 2026'!$C$3:$H$57,6,0),B755+1,0))</f>
        <v>14</v>
      </c>
      <c r="C756" s="480" cm="1">
        <f t="array" ref="C756">_xlfn.IFERROR(IF(B756&gt;0,IF(VLOOKUP($C$740,'Boats Data Sheet 2026'!$C$3:$J$57,8,0)="N/A",0,VLOOKUP($C$740,'Boats Data Sheet 2026'!$C$3:$J$57,8,0)),"N/A"),"N/A")</f>
        <v>18700000</v>
      </c>
      <c r="D756" s="490" cm="1">
        <f t="array" ref="D756">IF(B756&gt;8,2,IF(B756=0,"N/A",1))</f>
        <v>2</v>
      </c>
      <c r="E756" s="480" cm="1">
        <f t="array" ref="E756">_xlfn.IFERROR(SUM('Direct Costs 2026'!$C$4:$C$5)*D756,"N/A")</f>
        <v>1751000</v>
      </c>
      <c r="F756" s="480" cm="1">
        <f t="array" ref="F756">_xlfn.IFERROR('Direct Costs 2026'!$C$43*B756,"N/A")</f>
        <v>84000</v>
      </c>
      <c r="G756" s="480" cm="1">
        <f t="array" ref="G756">IF(B756&gt;0,'Direct Costs 2026'!$C$25,"N/A")</f>
        <v>90000</v>
      </c>
      <c r="H756" s="480">
        <v>0</v>
      </c>
      <c r="I756" s="480">
        <v>0</v>
      </c>
      <c r="J756" s="480">
        <v>0</v>
      </c>
      <c r="K756" s="480">
        <v>0</v>
      </c>
      <c r="L756" s="480" cm="1">
        <f t="array" ref="L756">IF(B756&gt;0,'Direct Costs 2026'!$C$23,"N/A")</f>
        <v>140000</v>
      </c>
      <c r="M756" s="480" cm="1">
        <f t="array" ref="M756">IF(B756&gt;0,'Direct Costs 2026'!$C$45*B756,"N/A")</f>
        <v>2100000</v>
      </c>
      <c r="N756" t="str" s="482" cm="1">
        <f t="array" ref="N756">IF(B756&gt;0,_xlfn.IFERROR(VLOOKUP(C740,'Boats Data Sheet 2026'!$C$3:$I$57,7,0)*'Direct Costs 2026'!$C$36,"N/A"),"N/A")</f>
        <v>N/A</v>
      </c>
      <c r="O756" t="str" s="482" cm="1">
        <f t="array" ref="O756">IF(B756&gt;0,IF(OR(VLOOKUP(C740,'Boats Data Sheet 2026'!$C$3:$F$57,4,0)="Own",VLOOKUP(C740,'Boats Data Sheet 2026'!$C$3:$F$57,4,0)="Management"),('Direct Costs 2026'!$C$37+'Direct Costs 2026'!$C$39),"N/A"),"N/A")</f>
        <v>N/A</v>
      </c>
      <c r="P756" s="480">
        <v>0</v>
      </c>
      <c r="Q756" s="480" cm="1">
        <f t="array" ref="Q756">_xlfn.IFERROR(C756+SUM(E756:P756),"N/A")</f>
        <v>22865000</v>
      </c>
      <c r="R756" s="483"/>
      <c r="S756" s="480" cm="1">
        <f t="array" ref="S756">IF(B756&gt;0,'Allocation OH and Target 2026'!$E$31,"N/A")</f>
        <v>3100447.15769812</v>
      </c>
      <c r="T756" s="480">
        <v>0</v>
      </c>
      <c r="U756" s="480" cm="1">
        <f t="array" ref="U756">_xlfn.IFERROR((S756+T756),"N/A")</f>
        <v>3100447.15769812</v>
      </c>
      <c r="V756" s="483"/>
      <c r="W756" s="480" cm="1">
        <f t="array" ref="W756">_xlfn.IFERROR(U756+Q756,"N/A")</f>
        <v>25965447.1576981</v>
      </c>
      <c r="X756" s="480" cm="1">
        <f t="array" ref="X756">_xlfn.IFERROR(W756*0.5%,"N/A")</f>
        <v>129827.235788491</v>
      </c>
      <c r="Y756" s="480" cm="1">
        <f t="array" ref="Y756">_xlfn.IFERROR(W756*25%,"N/A")</f>
        <v>6491361.78942453</v>
      </c>
      <c r="Z756" s="484" cm="1">
        <f t="array" ref="Z756">IF(B756&gt;0,(SUM(W756:Y756)),"N/A")</f>
        <v>32586636.1829111</v>
      </c>
      <c r="AA756" s="484" cm="1">
        <f t="array" ref="AA756">_xlfn.IFERROR((Z756-AVERAGE(Z743:Z748)),"N/A")</f>
        <v>3154442.5</v>
      </c>
      <c r="AB756" s="483"/>
      <c r="AC756" t="str" s="485" cm="1">
        <f t="array" ref="AC756">IF(B756=6,AVERAGE(Z743:Z748),"N/A")</f>
        <v>N/A</v>
      </c>
      <c r="AD756" s="483"/>
      <c r="AE756" s="480"/>
      <c r="AF756" s="480"/>
      <c r="AG756" s="480"/>
      <c r="AH756" s="480"/>
      <c r="AI756" s="480"/>
      <c r="AJ756" s="480"/>
      <c r="AK756" s="480"/>
      <c r="AL756" s="480"/>
      <c r="AM756" s="480"/>
      <c r="AN756" s="486"/>
    </row>
    <row r="757" ht="15" customHeight="1" hidden="1">
      <c r="A757" s="12"/>
      <c r="B757" s="479" cm="1">
        <f t="array" ref="B757">IF(B756=0,0,IF(B756&lt;VLOOKUP(C740,'Boats Data Sheet 2026'!$C$3:$H$57,6,0),B756+1,0))</f>
        <v>15</v>
      </c>
      <c r="C757" s="480" cm="1">
        <f t="array" ref="C757">_xlfn.IFERROR(IF(B757&gt;0,IF(VLOOKUP($C$740,'Boats Data Sheet 2026'!$C$3:$J$57,8,0)="N/A",0,VLOOKUP($C$740,'Boats Data Sheet 2026'!$C$3:$J$57,8,0)),"N/A"),"N/A")</f>
        <v>18700000</v>
      </c>
      <c r="D757" s="490" cm="1">
        <f t="array" ref="D757">IF(B757&gt;8,2,IF(B757=0,"N/A",1))</f>
        <v>2</v>
      </c>
      <c r="E757" s="480" cm="1">
        <f t="array" ref="E757">_xlfn.IFERROR(SUM('Direct Costs 2026'!$C$4:$C$5)*D757,"N/A")</f>
        <v>1751000</v>
      </c>
      <c r="F757" s="480" cm="1">
        <f t="array" ref="F757">_xlfn.IFERROR('Direct Costs 2026'!$C$43*B757,"N/A")</f>
        <v>90000</v>
      </c>
      <c r="G757" s="480" cm="1">
        <f t="array" ref="G757">IF(B757&gt;0,'Direct Costs 2026'!$C$25,"N/A")</f>
        <v>90000</v>
      </c>
      <c r="H757" s="480">
        <v>0</v>
      </c>
      <c r="I757" s="480">
        <v>0</v>
      </c>
      <c r="J757" s="480">
        <v>0</v>
      </c>
      <c r="K757" s="480">
        <v>0</v>
      </c>
      <c r="L757" s="480" cm="1">
        <f t="array" ref="L757">IF(B757&gt;0,'Direct Costs 2026'!$C$23,"N/A")</f>
        <v>140000</v>
      </c>
      <c r="M757" s="480" cm="1">
        <f t="array" ref="M757">IF(B757&gt;0,'Direct Costs 2026'!$C$45*B757,"N/A")</f>
        <v>2250000</v>
      </c>
      <c r="N757" t="str" s="482" cm="1">
        <f t="array" ref="N757">IF(B757&gt;0,_xlfn.IFERROR(VLOOKUP(C740,'Boats Data Sheet 2026'!$C$3:$I$57,7,0)*'Direct Costs 2026'!$C$36,"N/A"),"N/A")</f>
        <v>N/A</v>
      </c>
      <c r="O757" t="str" s="482" cm="1">
        <f t="array" ref="O757">IF(B757&gt;0,IF(OR(VLOOKUP(C740,'Boats Data Sheet 2026'!$C$3:$F$57,4,0)="Own",VLOOKUP(C740,'Boats Data Sheet 2026'!$C$3:$F$57,4,0)="Management"),('Direct Costs 2026'!$C$37+'Direct Costs 2026'!$C$39),"N/A"),"N/A")</f>
        <v>N/A</v>
      </c>
      <c r="P757" s="480">
        <v>0</v>
      </c>
      <c r="Q757" s="480" cm="1">
        <f t="array" ref="Q757">_xlfn.IFERROR(C757+SUM(E757:P757),"N/A")</f>
        <v>23021000</v>
      </c>
      <c r="R757" s="483"/>
      <c r="S757" s="480" cm="1">
        <f t="array" ref="S757">IF(B757&gt;0,'Allocation OH and Target 2026'!$E$31,"N/A")</f>
        <v>3100447.15769812</v>
      </c>
      <c r="T757" s="480">
        <v>0</v>
      </c>
      <c r="U757" s="480" cm="1">
        <f t="array" ref="U757">_xlfn.IFERROR((S757+T757),"N/A")</f>
        <v>3100447.15769812</v>
      </c>
      <c r="V757" s="483"/>
      <c r="W757" s="480" cm="1">
        <f t="array" ref="W757">_xlfn.IFERROR(U757+Q757,"N/A")</f>
        <v>26121447.1576981</v>
      </c>
      <c r="X757" s="480" cm="1">
        <f t="array" ref="X757">_xlfn.IFERROR(W757*0.5%,"N/A")</f>
        <v>130607.235788491</v>
      </c>
      <c r="Y757" s="480" cm="1">
        <f t="array" ref="Y757">_xlfn.IFERROR(W757*25%,"N/A")</f>
        <v>6530361.78942453</v>
      </c>
      <c r="Z757" s="484" cm="1">
        <f t="array" ref="Z757">IF(B757&gt;0,(SUM(W757:Y757)),"N/A")</f>
        <v>32782416.1829111</v>
      </c>
      <c r="AA757" s="484" cm="1">
        <f t="array" ref="AA757">_xlfn.IFERROR((Z757-AVERAGE(Z743:Z748)),"N/A")</f>
        <v>3350222.5</v>
      </c>
      <c r="AB757" s="483"/>
      <c r="AC757" t="str" s="485" cm="1">
        <f t="array" ref="AC757">IF(B757=6,AVERAGE(Z743:Z748),"N/A")</f>
        <v>N/A</v>
      </c>
      <c r="AD757" s="483"/>
      <c r="AE757" s="480"/>
      <c r="AF757" s="480"/>
      <c r="AG757" s="480"/>
      <c r="AH757" s="480"/>
      <c r="AI757" s="480"/>
      <c r="AJ757" s="480"/>
      <c r="AK757" s="480"/>
      <c r="AL757" s="480"/>
      <c r="AM757" s="480"/>
      <c r="AN757" s="486"/>
    </row>
    <row r="758" ht="15" customHeight="1" hidden="1">
      <c r="A758" s="12"/>
      <c r="B758" s="479" cm="1">
        <f t="array" ref="B758">IF(B757=0,0,IF(B757&lt;VLOOKUP(C740,'Boats Data Sheet 2026'!$C$3:$H$57,6,0),B757+1,0))</f>
        <v>16</v>
      </c>
      <c r="C758" s="480" cm="1">
        <f t="array" ref="C758">_xlfn.IFERROR(IF(B758&gt;0,IF(VLOOKUP($C$740,'Boats Data Sheet 2026'!$C$3:$J$57,8,0)="N/A",0,VLOOKUP($C$740,'Boats Data Sheet 2026'!$C$3:$J$57,8,0)),"N/A"),"N/A")</f>
        <v>18700000</v>
      </c>
      <c r="D758" s="490" cm="1">
        <f t="array" ref="D758">IF(B758&gt;8,2,IF(B758=0,"N/A",1))</f>
        <v>2</v>
      </c>
      <c r="E758" s="480" cm="1">
        <f t="array" ref="E758">_xlfn.IFERROR(SUM('Direct Costs 2026'!$C$4:$C$5)*D758,"N/A")</f>
        <v>1751000</v>
      </c>
      <c r="F758" s="480" cm="1">
        <f t="array" ref="F758">_xlfn.IFERROR('Direct Costs 2026'!$C$43*B758,"N/A")</f>
        <v>96000</v>
      </c>
      <c r="G758" s="480" cm="1">
        <f t="array" ref="G758">IF(B758&gt;0,'Direct Costs 2026'!$C$25,"N/A")</f>
        <v>90000</v>
      </c>
      <c r="H758" s="480">
        <v>0</v>
      </c>
      <c r="I758" s="480">
        <v>0</v>
      </c>
      <c r="J758" s="480">
        <v>0</v>
      </c>
      <c r="K758" s="480">
        <v>0</v>
      </c>
      <c r="L758" s="480" cm="1">
        <f t="array" ref="L758">IF(B758&gt;0,'Direct Costs 2026'!$C$23,"N/A")</f>
        <v>140000</v>
      </c>
      <c r="M758" s="480" cm="1">
        <f t="array" ref="M758">IF(B758&gt;0,'Direct Costs 2026'!$C$45*B758,"N/A")</f>
        <v>2400000</v>
      </c>
      <c r="N758" t="str" s="482" cm="1">
        <f t="array" ref="N758">IF(B758&gt;0,_xlfn.IFERROR(VLOOKUP(C740,'Boats Data Sheet 2026'!$C$3:$I$57,7,0)*'Direct Costs 2026'!$C$36,"N/A"),"N/A")</f>
        <v>N/A</v>
      </c>
      <c r="O758" t="str" s="482" cm="1">
        <f t="array" ref="O758">IF(B758&gt;0,IF(OR(VLOOKUP(C740,'Boats Data Sheet 2026'!$C$3:$F$57,4,0)="Own",VLOOKUP(C740,'Boats Data Sheet 2026'!$C$3:$F$57,4,0)="Management"),('Direct Costs 2026'!$C$37+'Direct Costs 2026'!$C$39),"N/A"),"N/A")</f>
        <v>N/A</v>
      </c>
      <c r="P758" s="480">
        <v>0</v>
      </c>
      <c r="Q758" s="480" cm="1">
        <f t="array" ref="Q758">_xlfn.IFERROR(C758+SUM(E758:P758),"N/A")</f>
        <v>23177000</v>
      </c>
      <c r="R758" s="483"/>
      <c r="S758" s="480" cm="1">
        <f t="array" ref="S758">IF(B758&gt;0,'Allocation OH and Target 2026'!$E$31,"N/A")</f>
        <v>3100447.15769812</v>
      </c>
      <c r="T758" s="480">
        <v>0</v>
      </c>
      <c r="U758" s="480" cm="1">
        <f t="array" ref="U758">_xlfn.IFERROR((S758+T758),"N/A")</f>
        <v>3100447.15769812</v>
      </c>
      <c r="V758" s="483"/>
      <c r="W758" s="480" cm="1">
        <f t="array" ref="W758">_xlfn.IFERROR(U758+Q758,"N/A")</f>
        <v>26277447.1576981</v>
      </c>
      <c r="X758" s="480" cm="1">
        <f t="array" ref="X758">_xlfn.IFERROR(W758*0.5%,"N/A")</f>
        <v>131387.235788491</v>
      </c>
      <c r="Y758" s="480" cm="1">
        <f t="array" ref="Y758">_xlfn.IFERROR(W758*25%,"N/A")</f>
        <v>6569361.78942453</v>
      </c>
      <c r="Z758" s="484" cm="1">
        <f t="array" ref="Z758">IF(B758&gt;0,(SUM(W758:Y758)),"N/A")</f>
        <v>32978196.1829111</v>
      </c>
      <c r="AA758" s="484" cm="1">
        <f t="array" ref="AA758">_xlfn.IFERROR((Z758-AVERAGE(Z743:Z748)),"N/A")</f>
        <v>3546002.5</v>
      </c>
      <c r="AB758" s="483"/>
      <c r="AC758" t="str" s="485" cm="1">
        <f t="array" ref="AC758">IF(B758=6,AVERAGE(Z743:Z748),"N/A")</f>
        <v>N/A</v>
      </c>
      <c r="AD758" s="483"/>
      <c r="AE758" s="480"/>
      <c r="AF758" s="480"/>
      <c r="AG758" s="480"/>
      <c r="AH758" s="480"/>
      <c r="AI758" s="480"/>
      <c r="AJ758" s="480"/>
      <c r="AK758" s="480"/>
      <c r="AL758" s="480"/>
      <c r="AM758" s="480"/>
      <c r="AN758" s="486"/>
    </row>
    <row r="759" ht="15" customHeight="1" hidden="1">
      <c r="A759" s="12"/>
      <c r="B759" s="479" cm="1">
        <f t="array" ref="B759">IF(B758=0,0,IF(B758&lt;VLOOKUP(C740,'Boats Data Sheet 2026'!$C$3:$H$57,6,0),B758+1,0))</f>
        <v>0</v>
      </c>
      <c r="C759" t="str" s="482" cm="1">
        <f t="array" ref="C759">_xlfn.IFERROR(IF(B759&gt;0,IF(VLOOKUP($C$740,'Boats Data Sheet 2026'!$C$3:$J$57,8,0)="N/A",0,VLOOKUP($C$740,'Boats Data Sheet 2026'!$C$3:$J$57,8,0)),"N/A"),"N/A")</f>
        <v>N/A</v>
      </c>
      <c r="D759" t="str" s="482" cm="1">
        <f t="array" ref="D759">IF(B759&gt;8,2,IF(B759=0,"N/A",1))</f>
        <v>N/A</v>
      </c>
      <c r="E759" t="str" s="482" cm="1">
        <f t="array" ref="E759">_xlfn.IFERROR(SUM('Direct Costs 2026'!$C$4:$C$5)*D759,"N/A")</f>
        <v>N/A</v>
      </c>
      <c r="F759" s="480" cm="1">
        <f t="array" ref="F759">_xlfn.IFERROR('Direct Costs 2026'!$C$43*B759,"N/A")</f>
        <v>0</v>
      </c>
      <c r="G759" t="str" s="482" cm="1">
        <f t="array" ref="G759">IF(B759&gt;0,'Direct Costs 2026'!$C$25,"N/A")</f>
        <v>N/A</v>
      </c>
      <c r="H759" s="480">
        <v>0</v>
      </c>
      <c r="I759" s="480">
        <v>0</v>
      </c>
      <c r="J759" s="480">
        <v>0</v>
      </c>
      <c r="K759" s="480">
        <v>0</v>
      </c>
      <c r="L759" t="str" s="482" cm="1">
        <f t="array" ref="L759">IF(B759&gt;0,'Direct Costs 2026'!$C$23,"N/A")</f>
        <v>N/A</v>
      </c>
      <c r="M759" t="str" s="482" cm="1">
        <f t="array" ref="M759">IF(B759&gt;0,'Direct Costs 2026'!$C$45*B759,"N/A")</f>
        <v>N/A</v>
      </c>
      <c r="N759" t="str" s="482" cm="1">
        <f t="array" ref="N759">IF(B759&gt;0,_xlfn.IFERROR(VLOOKUP(C740,'Boats Data Sheet 2026'!$C$3:$I$57,7,0)*'Direct Costs 2026'!$C$36,"N/A"),"N/A")</f>
        <v>N/A</v>
      </c>
      <c r="O759" t="str" s="482" cm="1">
        <f t="array" ref="O759">IF(B759&gt;0,IF(OR(VLOOKUP(C740,'Boats Data Sheet 2026'!$C$3:$F$57,4,0)="Own",VLOOKUP(C740,'Boats Data Sheet 2026'!$C$3:$F$57,4,0)="Management"),('Direct Costs 2026'!$C$37+'Direct Costs 2026'!$C$39),"N/A"),"N/A")</f>
        <v>N/A</v>
      </c>
      <c r="P759" s="480">
        <v>0</v>
      </c>
      <c r="Q759" t="str" s="482" cm="1">
        <f t="array" ref="Q759">_xlfn.IFERROR(C759+SUM(E759:P759),"N/A")</f>
        <v>N/A</v>
      </c>
      <c r="R759" s="483"/>
      <c r="S759" t="str" s="482" cm="1">
        <f t="array" ref="S759">IF(B759&gt;0,'Allocation OH and Target 2026'!$E$31,"N/A")</f>
        <v>N/A</v>
      </c>
      <c r="T759" s="480">
        <v>0</v>
      </c>
      <c r="U759" t="str" s="482" cm="1">
        <f t="array" ref="U759">_xlfn.IFERROR((S759+T759),"N/A")</f>
        <v>N/A</v>
      </c>
      <c r="V759" s="483"/>
      <c r="W759" t="str" s="482" cm="1">
        <f t="array" ref="W759">_xlfn.IFERROR(U759+Q759,"N/A")</f>
        <v>N/A</v>
      </c>
      <c r="X759" t="str" s="482" cm="1">
        <f t="array" ref="X759">_xlfn.IFERROR(W759*0.5%,"N/A")</f>
        <v>N/A</v>
      </c>
      <c r="Y759" t="str" s="482" cm="1">
        <f t="array" ref="Y759">_xlfn.IFERROR(W759*25%,"N/A")</f>
        <v>N/A</v>
      </c>
      <c r="Z759" t="str" s="485" cm="1">
        <f t="array" ref="Z759">IF(B759&gt;0,(SUM(W759:Y759)),"N/A")</f>
        <v>N/A</v>
      </c>
      <c r="AA759" t="str" s="485" cm="1">
        <f t="array" ref="AA759">_xlfn.IFERROR((Z759-AVERAGE(Z743:Z748)),"N/A")</f>
        <v>N/A</v>
      </c>
      <c r="AB759" s="483"/>
      <c r="AC759" t="str" s="485" cm="1">
        <f t="array" ref="AC759">IF(B759=6,AVERAGE(Z743:Z748),"N/A")</f>
        <v>N/A</v>
      </c>
      <c r="AD759" s="483"/>
      <c r="AE759" s="480"/>
      <c r="AF759" s="480"/>
      <c r="AG759" s="480"/>
      <c r="AH759" s="480"/>
      <c r="AI759" s="480"/>
      <c r="AJ759" s="480"/>
      <c r="AK759" s="480"/>
      <c r="AL759" s="480"/>
      <c r="AM759" s="480"/>
      <c r="AN759" s="486"/>
    </row>
    <row r="760" ht="15.5" customHeight="1" hidden="1">
      <c r="A760" s="12"/>
      <c r="B760" s="479" cm="1">
        <f t="array" ref="B760">IF(B759=0,0,IF(B759&lt;VLOOKUP(C740,'Boats Data Sheet 2026'!$C$3:$H$57,6,0),B759+1,0))</f>
        <v>0</v>
      </c>
      <c r="C760" t="str" s="482" cm="1">
        <f t="array" ref="C760">_xlfn.IFERROR(IF(B760&gt;0,IF(VLOOKUP($C$740,'Boats Data Sheet 2026'!$C$3:$J$57,8,0)="N/A",0,VLOOKUP($C$740,'Boats Data Sheet 2026'!$C$3:$J$57,8,0)),"N/A"),"N/A")</f>
        <v>N/A</v>
      </c>
      <c r="D760" t="str" s="482" cm="1">
        <f t="array" ref="D760">IF(B760&gt;8,2,IF(B760=0,"N/A",1))</f>
        <v>N/A</v>
      </c>
      <c r="E760" t="str" s="482" cm="1">
        <f t="array" ref="E760">_xlfn.IFERROR(SUM('Direct Costs 2026'!$C$4:$C$5)*D760,"N/A")</f>
        <v>N/A</v>
      </c>
      <c r="F760" s="480" cm="1">
        <f t="array" ref="F760">_xlfn.IFERROR('Direct Costs 2026'!$C$43*B760,"N/A")</f>
        <v>0</v>
      </c>
      <c r="G760" t="str" s="482" cm="1">
        <f t="array" ref="G760">IF(B760&gt;0,'Direct Costs 2026'!$C$25,"N/A")</f>
        <v>N/A</v>
      </c>
      <c r="H760" s="480">
        <v>0</v>
      </c>
      <c r="I760" s="480">
        <v>0</v>
      </c>
      <c r="J760" s="480">
        <v>0</v>
      </c>
      <c r="K760" s="480">
        <v>0</v>
      </c>
      <c r="L760" t="str" s="482" cm="1">
        <f t="array" ref="L760">IF(B760&gt;0,'Direct Costs 2026'!$C$23,"N/A")</f>
        <v>N/A</v>
      </c>
      <c r="M760" t="str" s="482" cm="1">
        <f t="array" ref="M760">IF(B760&gt;0,'Direct Costs 2026'!$C$45*B760,"N/A")</f>
        <v>N/A</v>
      </c>
      <c r="N760" t="str" s="482" cm="1">
        <f t="array" ref="N760">IF(B760&gt;0,_xlfn.IFERROR(VLOOKUP(C740,'Boats Data Sheet 2026'!$C$3:$I$57,7,0)*'Direct Costs 2026'!$C$36,"N/A"),"N/A")</f>
        <v>N/A</v>
      </c>
      <c r="O760" t="str" s="482" cm="1">
        <f t="array" ref="O760">IF(B760&gt;0,IF(OR(VLOOKUP(C740,'Boats Data Sheet 2026'!$C$3:$F$57,4,0)="Own",VLOOKUP(C740,'Boats Data Sheet 2026'!$C$3:$F$57,4,0)="Management"),('Direct Costs 2026'!$C$37+'Direct Costs 2026'!$C$39),"N/A"),"N/A")</f>
        <v>N/A</v>
      </c>
      <c r="P760" s="480">
        <v>0</v>
      </c>
      <c r="Q760" t="str" s="482" cm="1">
        <f t="array" ref="Q760">_xlfn.IFERROR(C760+SUM(E760:P760),"N/A")</f>
        <v>N/A</v>
      </c>
      <c r="R760" s="483"/>
      <c r="S760" t="str" s="482" cm="1">
        <f t="array" ref="S760">IF(B760&gt;0,'Allocation OH and Target 2026'!$E$31,"N/A")</f>
        <v>N/A</v>
      </c>
      <c r="T760" s="480">
        <v>0</v>
      </c>
      <c r="U760" t="str" s="482" cm="1">
        <f t="array" ref="U760">_xlfn.IFERROR((S760+T760),"N/A")</f>
        <v>N/A</v>
      </c>
      <c r="V760" s="483"/>
      <c r="W760" t="str" s="482" cm="1">
        <f t="array" ref="W760">_xlfn.IFERROR(U760+Q760,"N/A")</f>
        <v>N/A</v>
      </c>
      <c r="X760" t="str" s="482" cm="1">
        <f t="array" ref="X760">_xlfn.IFERROR(W760*0.5%,"N/A")</f>
        <v>N/A</v>
      </c>
      <c r="Y760" t="str" s="482" cm="1">
        <f t="array" ref="Y760">_xlfn.IFERROR(W760*25%,"N/A")</f>
        <v>N/A</v>
      </c>
      <c r="Z760" t="str" s="485" cm="1">
        <f t="array" ref="Z760">IF(B760&gt;0,(SUM(W760:Y760)),"N/A")</f>
        <v>N/A</v>
      </c>
      <c r="AA760" t="str" s="485" cm="1">
        <f t="array" ref="AA760">_xlfn.IFERROR((Z760-AVERAGE(Z743:Z748)),"N/A")</f>
        <v>N/A</v>
      </c>
      <c r="AB760" s="483"/>
      <c r="AC760" t="str" s="485" cm="1">
        <f t="array" ref="AC760">IF(B760=6,AVERAGE(Z743:Z748),"N/A")</f>
        <v>N/A</v>
      </c>
      <c r="AD760" s="483"/>
      <c r="AE760" s="484"/>
      <c r="AF760" s="484"/>
      <c r="AG760" s="484"/>
      <c r="AH760" s="484"/>
      <c r="AI760" s="484"/>
      <c r="AJ760" s="484"/>
      <c r="AK760" s="484"/>
      <c r="AL760" s="480"/>
      <c r="AM760" s="484"/>
      <c r="AN760" s="486"/>
    </row>
    <row r="761" ht="14.05" customHeight="1">
      <c r="A761" s="32"/>
      <c r="B761" s="477"/>
      <c r="C761" s="477"/>
      <c r="D761" s="477"/>
      <c r="E761" s="477"/>
      <c r="F761" s="477"/>
      <c r="G761" s="477"/>
      <c r="H761" s="477"/>
      <c r="I761" s="477"/>
      <c r="J761" s="477"/>
      <c r="K761" s="477"/>
      <c r="L761" s="477"/>
      <c r="M761" s="477"/>
      <c r="N761" s="477"/>
      <c r="O761" s="477"/>
      <c r="P761" s="477"/>
      <c r="Q761" s="477"/>
      <c r="R761" s="477"/>
      <c r="S761" s="477"/>
      <c r="T761" s="477"/>
      <c r="U761" s="477"/>
      <c r="V761" s="477"/>
      <c r="W761" s="477"/>
      <c r="X761" s="477"/>
      <c r="Y761" s="477"/>
      <c r="Z761" s="477"/>
      <c r="AA761" s="477"/>
      <c r="AB761" s="477"/>
      <c r="AC761" s="477"/>
      <c r="AD761" s="477"/>
      <c r="AE761" s="477"/>
      <c r="AF761" s="477"/>
      <c r="AG761" s="477"/>
      <c r="AH761" s="477"/>
      <c r="AI761" s="477"/>
      <c r="AJ761" s="477"/>
      <c r="AK761" s="477"/>
      <c r="AL761" s="477"/>
      <c r="AM761" s="477"/>
      <c r="AN761" s="478"/>
    </row>
    <row r="762" ht="15" customHeight="1">
      <c r="A762" s="32"/>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c r="AH762" s="35"/>
      <c r="AI762" s="35"/>
      <c r="AJ762" s="35"/>
      <c r="AK762" s="35"/>
      <c r="AL762" s="35"/>
      <c r="AM762" s="35"/>
      <c r="AN762" s="442"/>
    </row>
    <row r="763" ht="15.5" customHeight="1">
      <c r="A763" s="395">
        <v>32</v>
      </c>
      <c r="B763" t="s" s="396">
        <v>506</v>
      </c>
      <c r="C763" t="s" s="397">
        <v>101</v>
      </c>
      <c r="D763" s="398"/>
      <c r="E763" s="502"/>
      <c r="F763" s="398"/>
      <c r="G763" s="398"/>
      <c r="H763" s="398"/>
      <c r="I763" s="398"/>
      <c r="J763" s="398"/>
      <c r="K763" s="398"/>
      <c r="L763" s="398"/>
      <c r="M763" s="398"/>
      <c r="N763" s="398"/>
      <c r="O763" s="398"/>
      <c r="P763" s="398"/>
      <c r="Q763" s="398"/>
      <c r="R763" s="399"/>
      <c r="S763" s="398"/>
      <c r="T763" s="398"/>
      <c r="U763" s="398"/>
      <c r="V763" s="399"/>
      <c r="W763" s="398"/>
      <c r="X763" s="398"/>
      <c r="Y763" s="398"/>
      <c r="Z763" s="398"/>
      <c r="AA763" s="398"/>
      <c r="AB763" s="399"/>
      <c r="AC763" s="398"/>
      <c r="AD763" s="399"/>
      <c r="AE763" t="s" s="397">
        <v>508</v>
      </c>
      <c r="AF763" s="401" cm="1">
        <f t="array" ref="AF763">AVERAGE(Q766:Q771)</f>
        <v>35651500</v>
      </c>
      <c r="AG763" t="s" s="400">
        <v>509</v>
      </c>
      <c r="AH763" s="401" cm="1">
        <f t="array" ref="AH763">AVERAGE(Q772:Q779)-AF763</f>
        <v>1858062.5</v>
      </c>
      <c r="AI763" t="s" s="400">
        <v>510</v>
      </c>
      <c r="AJ763" s="401" cm="1">
        <f t="array" ref="AJ763">AVERAGE(Y766:Y773)</f>
        <v>9754346.164424529</v>
      </c>
      <c r="AK763" t="s" s="397">
        <v>511</v>
      </c>
      <c r="AL763" s="401" cm="1">
        <f t="array" ref="AL763">AVERAGE(W766:W771)</f>
        <v>38751947.1576981</v>
      </c>
      <c r="AM763" t="s" s="400">
        <v>512</v>
      </c>
      <c r="AN763" s="402" cm="1">
        <f t="array" ref="AN763">W766</f>
        <v>38361947.1576981</v>
      </c>
    </row>
    <row r="764" ht="15" customHeight="1">
      <c r="A764" s="12"/>
      <c r="B764" s="403"/>
      <c r="C764" t="s" s="404">
        <v>513</v>
      </c>
      <c r="D764" s="405"/>
      <c r="E764" s="405"/>
      <c r="F764" s="405"/>
      <c r="G764" s="405"/>
      <c r="H764" s="405"/>
      <c r="I764" s="405"/>
      <c r="J764" s="405"/>
      <c r="K764" s="405"/>
      <c r="L764" s="405"/>
      <c r="M764" s="405"/>
      <c r="N764" s="405"/>
      <c r="O764" s="405"/>
      <c r="P764" s="405"/>
      <c r="Q764" s="406"/>
      <c r="R764" s="407"/>
      <c r="S764" t="s" s="404">
        <v>514</v>
      </c>
      <c r="T764" s="405"/>
      <c r="U764" s="406"/>
      <c r="V764" s="407"/>
      <c r="W764" t="s" s="404">
        <v>515</v>
      </c>
      <c r="X764" s="405"/>
      <c r="Y764" s="405"/>
      <c r="Z764" s="405"/>
      <c r="AA764" s="405"/>
      <c r="AB764" s="408"/>
      <c r="AC764" s="443"/>
      <c r="AD764" s="410"/>
      <c r="AE764" s="443"/>
      <c r="AF764" s="443"/>
      <c r="AG764" s="443"/>
      <c r="AH764" s="443"/>
      <c r="AI764" s="443"/>
      <c r="AJ764" s="443"/>
      <c r="AK764" s="443"/>
      <c r="AL764" s="414"/>
      <c r="AM764" s="415"/>
      <c r="AN764" s="414"/>
    </row>
    <row r="765" ht="46.25" customHeight="1">
      <c r="A765" s="187"/>
      <c r="B765" t="s" s="416">
        <v>517</v>
      </c>
      <c r="C765" t="s" s="417">
        <v>518</v>
      </c>
      <c r="D765" t="s" s="417">
        <v>519</v>
      </c>
      <c r="E765" t="s" s="417">
        <v>520</v>
      </c>
      <c r="F765" t="s" s="159">
        <v>521</v>
      </c>
      <c r="G765" t="s" s="159">
        <v>522</v>
      </c>
      <c r="H765" t="s" s="159">
        <v>553</v>
      </c>
      <c r="I765" t="s" s="159">
        <v>524</v>
      </c>
      <c r="J765" t="s" s="159">
        <v>525</v>
      </c>
      <c r="K765" t="s" s="159">
        <v>526</v>
      </c>
      <c r="L765" t="s" s="159">
        <v>527</v>
      </c>
      <c r="M765" t="s" s="159">
        <v>528</v>
      </c>
      <c r="N765" t="s" s="159">
        <v>529</v>
      </c>
      <c r="O765" t="s" s="159">
        <v>530</v>
      </c>
      <c r="P765" t="s" s="159">
        <v>531</v>
      </c>
      <c r="Q765" t="s" s="159">
        <v>532</v>
      </c>
      <c r="R765" s="418"/>
      <c r="S765" t="s" s="159">
        <v>533</v>
      </c>
      <c r="T765" t="s" s="159">
        <v>559</v>
      </c>
      <c r="U765" t="s" s="159">
        <v>535</v>
      </c>
      <c r="V765" s="418"/>
      <c r="W765" t="s" s="159">
        <v>536</v>
      </c>
      <c r="X765" t="s" s="159">
        <v>537</v>
      </c>
      <c r="Y765" t="s" s="159">
        <v>538</v>
      </c>
      <c r="Z765" t="s" s="159">
        <v>539</v>
      </c>
      <c r="AA765" t="s" s="159">
        <v>121</v>
      </c>
      <c r="AB765" s="419"/>
      <c r="AC765" t="s" s="159">
        <v>39</v>
      </c>
      <c r="AD765" s="419"/>
      <c r="AE765" s="77"/>
      <c r="AF765" s="77"/>
      <c r="AG765" s="77"/>
      <c r="AH765" s="77"/>
      <c r="AI765" s="77"/>
      <c r="AJ765" s="77"/>
      <c r="AK765" s="77"/>
      <c r="AL765" s="77"/>
      <c r="AM765" s="77"/>
      <c r="AN765" s="78"/>
    </row>
    <row r="766" ht="15" customHeight="1">
      <c r="A766" s="12"/>
      <c r="B766" s="420">
        <v>1</v>
      </c>
      <c r="C766" s="421" cm="1">
        <f t="array" ref="C766">_xlfn.IFERROR(IF(B766&gt;0,IF(VLOOKUP($C$763,'Boats Data Sheet 2026'!$C$3:$J$57,8,0)="N/A",0,VLOOKUP($C$763,'Boats Data Sheet 2026'!$C$3:$J$57,8,0)),"N/A")*100%,"N/A")</f>
        <v>34000000</v>
      </c>
      <c r="D766" s="422" cm="1">
        <f t="array" ref="D766">IF(B766&gt;7,2,IF(B766=0,"N/A",1))</f>
        <v>1</v>
      </c>
      <c r="E766" s="421" cm="1">
        <f t="array" ref="E766">_xlfn.IFERROR(SUM('Direct Costs 2026'!$C$4:$C$5)*D766,"N/A")</f>
        <v>875500</v>
      </c>
      <c r="F766" s="423" cm="1">
        <f t="array" ref="F766">_xlfn.IFERROR('Direct Costs 2026'!$C$43*B766,"N/A")</f>
        <v>6000</v>
      </c>
      <c r="G766" s="423" cm="1">
        <f t="array" ref="G766">IF(B766&gt;0,'Direct Costs 2026'!$C$25,"N/A")</f>
        <v>90000</v>
      </c>
      <c r="H766" s="423">
        <v>0</v>
      </c>
      <c r="I766" s="423">
        <v>0</v>
      </c>
      <c r="J766" s="423">
        <v>0</v>
      </c>
      <c r="K766" s="423">
        <v>0</v>
      </c>
      <c r="L766" s="423" cm="1">
        <f t="array" ref="L766">IF(B766&gt;0,'Direct Costs 2026'!$C$23,"N/A")</f>
        <v>140000</v>
      </c>
      <c r="M766" s="423" cm="1">
        <f t="array" ref="M766">IF(B766&gt;0,'Direct Costs 2026'!$C$45*B766,"N/A")</f>
        <v>150000</v>
      </c>
      <c r="N766" t="str" s="431" cm="1">
        <f t="array" ref="N766">IF(B766&gt;0,_xlfn.IFERROR(VLOOKUP(C763,'Boats Data Sheet 2026'!$C$3:$I$57,7,0)*'Direct Costs 2026'!$C$36,"N/A"),"N/A")</f>
        <v>N/A</v>
      </c>
      <c r="O766" s="423">
        <v>0</v>
      </c>
      <c r="P766" s="423">
        <v>0</v>
      </c>
      <c r="Q766" s="423" cm="1">
        <f t="array" ref="Q766">_xlfn.IFERROR(C766+SUM(E766:P766),"N/A")</f>
        <v>35261500</v>
      </c>
      <c r="R766" s="424"/>
      <c r="S766" s="423" cm="1">
        <f t="array" ref="S766">IF(B766&gt;0,'Allocation OH and Target 2026'!$E$31,"N/A")</f>
        <v>3100447.15769812</v>
      </c>
      <c r="T766" s="423">
        <v>0</v>
      </c>
      <c r="U766" s="423" cm="1">
        <f t="array" ref="U766">_xlfn.IFERROR((S766+T766),"N/A")</f>
        <v>3100447.15769812</v>
      </c>
      <c r="V766" s="424"/>
      <c r="W766" s="423" cm="1">
        <f t="array" ref="W766">_xlfn.IFERROR(U766+Q766,"N/A")</f>
        <v>38361947.1576981</v>
      </c>
      <c r="X766" s="423" cm="1">
        <f t="array" ref="X766">_xlfn.IFERROR(W766*0.5%,"N/A")</f>
        <v>191809.735788491</v>
      </c>
      <c r="Y766" s="423" cm="1">
        <f t="array" ref="Y766">_xlfn.IFERROR(W766*25%,"N/A")</f>
        <v>9590486.789424529</v>
      </c>
      <c r="Z766" s="425" cm="1">
        <f t="array" ref="Z766">IF(B766&gt;0,(SUM(W766:Y766)),"N/A")</f>
        <v>48144243.6829111</v>
      </c>
      <c r="AA766" s="425">
        <v>0</v>
      </c>
      <c r="AB766" s="424"/>
      <c r="AC766" t="str" s="426" cm="1">
        <f t="array" ref="AC766">IF(B766=6,AVERAGE(Z766:Z771),"N/A")</f>
        <v>N/A</v>
      </c>
      <c r="AD766" s="424"/>
      <c r="AE766" s="423"/>
      <c r="AF766" s="423"/>
      <c r="AG766" s="423"/>
      <c r="AH766" s="423"/>
      <c r="AI766" s="423"/>
      <c r="AJ766" s="423"/>
      <c r="AK766" s="423"/>
      <c r="AL766" s="423"/>
      <c r="AM766" s="423"/>
      <c r="AN766" s="427"/>
    </row>
    <row r="767" ht="15" customHeight="1">
      <c r="A767" s="12"/>
      <c r="B767" s="428" cm="1">
        <f t="array" ref="B767">IF(B766=0,0,IF(B766&lt;VLOOKUP(C763,'Boats Data Sheet 2026'!$C$3:$H$57,6,0),B766+1,0))</f>
        <v>2</v>
      </c>
      <c r="C767" s="423" cm="1">
        <f t="array" ref="C767">_xlfn.IFERROR(IF(B767&gt;0,IF(VLOOKUP($C$763,'Boats Data Sheet 2026'!$C$3:$J$57,8,0)="N/A",0,VLOOKUP($C$763,'Boats Data Sheet 2026'!$C$3:$J$57,8,0)),"N/A")*100%,"N/A")</f>
        <v>34000000</v>
      </c>
      <c r="D767" s="429" cm="1">
        <f t="array" ref="D767">IF(B767&gt;7,2,IF(B767=0,"N/A",1))</f>
        <v>1</v>
      </c>
      <c r="E767" s="423" cm="1">
        <f t="array" ref="E767">_xlfn.IFERROR(SUM('Direct Costs 2026'!$C$4:$C$5)*D767,"N/A")</f>
        <v>875500</v>
      </c>
      <c r="F767" s="423" cm="1">
        <f t="array" ref="F767">_xlfn.IFERROR('Direct Costs 2026'!$C$43*B767,"N/A")</f>
        <v>12000</v>
      </c>
      <c r="G767" s="423" cm="1">
        <f t="array" ref="G767">IF(B767&gt;0,'Direct Costs 2026'!$C$25,"N/A")</f>
        <v>90000</v>
      </c>
      <c r="H767" s="423">
        <v>0</v>
      </c>
      <c r="I767" s="423">
        <v>0</v>
      </c>
      <c r="J767" s="423">
        <v>0</v>
      </c>
      <c r="K767" s="423">
        <v>0</v>
      </c>
      <c r="L767" s="423" cm="1">
        <f t="array" ref="L767">IF(B767&gt;0,'Direct Costs 2026'!$C$23,"N/A")</f>
        <v>140000</v>
      </c>
      <c r="M767" s="423" cm="1">
        <f t="array" ref="M767">IF(B767&gt;0,'Direct Costs 2026'!$C$45*B767,"N/A")</f>
        <v>300000</v>
      </c>
      <c r="N767" t="str" s="431" cm="1">
        <f t="array" ref="N767">IF(B767&gt;0,_xlfn.IFERROR(VLOOKUP(C763,'Boats Data Sheet 2026'!$C$3:$I$57,7,0)*'Direct Costs 2026'!$C$36,"N/A"),"N/A")</f>
        <v>N/A</v>
      </c>
      <c r="O767" s="423">
        <v>0</v>
      </c>
      <c r="P767" s="423">
        <v>0</v>
      </c>
      <c r="Q767" s="423" cm="1">
        <f t="array" ref="Q767">_xlfn.IFERROR(C767+SUM(E767:P767),"N/A")</f>
        <v>35417500</v>
      </c>
      <c r="R767" s="424"/>
      <c r="S767" s="423" cm="1">
        <f t="array" ref="S767">IF(B767&gt;0,'Allocation OH and Target 2026'!$E$31,"N/A")</f>
        <v>3100447.15769812</v>
      </c>
      <c r="T767" s="423">
        <v>0</v>
      </c>
      <c r="U767" s="423" cm="1">
        <f t="array" ref="U767">_xlfn.IFERROR((S767+T767),"N/A")</f>
        <v>3100447.15769812</v>
      </c>
      <c r="V767" s="424"/>
      <c r="W767" s="423" cm="1">
        <f t="array" ref="W767">_xlfn.IFERROR(U767+Q767,"N/A")</f>
        <v>38517947.1576981</v>
      </c>
      <c r="X767" s="423" cm="1">
        <f t="array" ref="X767">_xlfn.IFERROR(W767*0.5%,"N/A")</f>
        <v>192589.735788491</v>
      </c>
      <c r="Y767" s="423" cm="1">
        <f t="array" ref="Y767">_xlfn.IFERROR(W767*25%,"N/A")</f>
        <v>9629486.789424529</v>
      </c>
      <c r="Z767" s="425" cm="1">
        <f t="array" ref="Z767">IF(B767&gt;0,(SUM(W767:Y767)),"N/A")</f>
        <v>48340023.6829111</v>
      </c>
      <c r="AA767" s="425" cm="1">
        <f t="array" ref="AA767">_xlfn.IFERROR((Z767-Z766),"N/A")</f>
        <v>195780</v>
      </c>
      <c r="AB767" s="424"/>
      <c r="AC767" t="str" s="426" cm="1">
        <f t="array" ref="AC767">IF(B767=6,AVERAGE(Z766:Z771),"N/A")</f>
        <v>N/A</v>
      </c>
      <c r="AD767" s="424"/>
      <c r="AE767" s="423"/>
      <c r="AF767" s="423"/>
      <c r="AG767" s="423"/>
      <c r="AH767" s="423"/>
      <c r="AI767" s="423"/>
      <c r="AJ767" s="423"/>
      <c r="AK767" s="423"/>
      <c r="AL767" s="423"/>
      <c r="AM767" s="423"/>
      <c r="AN767" s="427"/>
    </row>
    <row r="768" ht="15" customHeight="1">
      <c r="A768" s="12"/>
      <c r="B768" s="428" cm="1">
        <f t="array" ref="B768">IF(B767=0,0,IF(B767&lt;VLOOKUP(C763,'Boats Data Sheet 2026'!$C$3:$H$57,6,0),B767+1,0))</f>
        <v>3</v>
      </c>
      <c r="C768" s="423" cm="1">
        <f t="array" ref="C768">_xlfn.IFERROR(IF(B768&gt;0,IF(VLOOKUP($C$763,'Boats Data Sheet 2026'!$C$3:$J$57,8,0)="N/A",0,VLOOKUP($C$763,'Boats Data Sheet 2026'!$C$3:$J$57,8,0)),"N/A")*100%,"N/A")</f>
        <v>34000000</v>
      </c>
      <c r="D768" s="429" cm="1">
        <f t="array" ref="D768">IF(B768&gt;7,2,IF(B768=0,"N/A",1))</f>
        <v>1</v>
      </c>
      <c r="E768" s="423" cm="1">
        <f t="array" ref="E768">_xlfn.IFERROR(SUM('Direct Costs 2026'!$C$4:$C$5)*D768,"N/A")</f>
        <v>875500</v>
      </c>
      <c r="F768" s="423" cm="1">
        <f t="array" ref="F768">_xlfn.IFERROR('Direct Costs 2026'!$C$43*B768,"N/A")</f>
        <v>18000</v>
      </c>
      <c r="G768" s="423" cm="1">
        <f t="array" ref="G768">IF(B768&gt;0,'Direct Costs 2026'!$C$25,"N/A")</f>
        <v>90000</v>
      </c>
      <c r="H768" s="423">
        <v>0</v>
      </c>
      <c r="I768" s="423">
        <v>0</v>
      </c>
      <c r="J768" s="423">
        <v>0</v>
      </c>
      <c r="K768" s="423">
        <v>0</v>
      </c>
      <c r="L768" s="423" cm="1">
        <f t="array" ref="L768">IF(B768&gt;0,'Direct Costs 2026'!$C$23,"N/A")</f>
        <v>140000</v>
      </c>
      <c r="M768" s="423" cm="1">
        <f t="array" ref="M768">IF(B768&gt;0,'Direct Costs 2026'!$C$45*B768,"N/A")</f>
        <v>450000</v>
      </c>
      <c r="N768" t="str" s="431" cm="1">
        <f t="array" ref="N768">IF(B768&gt;0,_xlfn.IFERROR(VLOOKUP(C763,'Boats Data Sheet 2026'!$C$3:$I$57,7,0)*'Direct Costs 2026'!$C$36,"N/A"),"N/A")</f>
        <v>N/A</v>
      </c>
      <c r="O768" s="423">
        <v>0</v>
      </c>
      <c r="P768" s="423">
        <v>0</v>
      </c>
      <c r="Q768" s="423" cm="1">
        <f t="array" ref="Q768">_xlfn.IFERROR(C768+SUM(E768:P768),"N/A")</f>
        <v>35573500</v>
      </c>
      <c r="R768" s="424"/>
      <c r="S768" s="423" cm="1">
        <f t="array" ref="S768">IF(B768&gt;0,'Allocation OH and Target 2026'!$E$31,"N/A")</f>
        <v>3100447.15769812</v>
      </c>
      <c r="T768" s="423">
        <v>0</v>
      </c>
      <c r="U768" s="423" cm="1">
        <f t="array" ref="U768">_xlfn.IFERROR((S768+T768),"N/A")</f>
        <v>3100447.15769812</v>
      </c>
      <c r="V768" s="424"/>
      <c r="W768" s="423" cm="1">
        <f t="array" ref="W768">_xlfn.IFERROR(U768+Q768,"N/A")</f>
        <v>38673947.1576981</v>
      </c>
      <c r="X768" s="423" cm="1">
        <f t="array" ref="X768">_xlfn.IFERROR(W768*0.5%,"N/A")</f>
        <v>193369.735788491</v>
      </c>
      <c r="Y768" s="423" cm="1">
        <f t="array" ref="Y768">_xlfn.IFERROR(W768*25%,"N/A")</f>
        <v>9668486.789424529</v>
      </c>
      <c r="Z768" s="425" cm="1">
        <f t="array" ref="Z768">IF(B768&gt;0,(SUM(W768:Y768)),"N/A")</f>
        <v>48535803.6829111</v>
      </c>
      <c r="AA768" s="425" cm="1">
        <f t="array" ref="AA768">_xlfn.IFERROR((Z768-Z767),"N/A")</f>
        <v>195780</v>
      </c>
      <c r="AB768" s="424"/>
      <c r="AC768" t="str" s="426" cm="1">
        <f t="array" ref="AC768">IF(B768=6,AVERAGE(Z766:Z771),"N/A")</f>
        <v>N/A</v>
      </c>
      <c r="AD768" s="424"/>
      <c r="AE768" s="423"/>
      <c r="AF768" s="423"/>
      <c r="AG768" s="423"/>
      <c r="AH768" s="423"/>
      <c r="AI768" s="423"/>
      <c r="AJ768" s="423"/>
      <c r="AK768" s="423"/>
      <c r="AL768" s="423"/>
      <c r="AM768" s="423"/>
      <c r="AN768" s="427"/>
    </row>
    <row r="769" ht="15" customHeight="1">
      <c r="A769" s="12"/>
      <c r="B769" s="428" cm="1">
        <f t="array" ref="B769">IF(B768=0,0,IF(B768&lt;VLOOKUP(C763,'Boats Data Sheet 2026'!$C$3:$H$57,6,0),B768+1,0))</f>
        <v>4</v>
      </c>
      <c r="C769" s="423" cm="1">
        <f t="array" ref="C769">_xlfn.IFERROR(IF(B769&gt;0,IF(VLOOKUP($C$763,'Boats Data Sheet 2026'!$C$3:$J$57,8,0)="N/A",0,VLOOKUP($C$763,'Boats Data Sheet 2026'!$C$3:$J$57,8,0)),"N/A")*100%,"N/A")</f>
        <v>34000000</v>
      </c>
      <c r="D769" s="429" cm="1">
        <f t="array" ref="D769">IF(B769&gt;7,2,IF(B769=0,"N/A",1))</f>
        <v>1</v>
      </c>
      <c r="E769" s="423" cm="1">
        <f t="array" ref="E769">_xlfn.IFERROR(SUM('Direct Costs 2026'!$C$4:$C$5)*D769,"N/A")</f>
        <v>875500</v>
      </c>
      <c r="F769" s="423" cm="1">
        <f t="array" ref="F769">_xlfn.IFERROR('Direct Costs 2026'!$C$43*B769,"N/A")</f>
        <v>24000</v>
      </c>
      <c r="G769" s="423" cm="1">
        <f t="array" ref="G769">IF(B769&gt;0,'Direct Costs 2026'!$C$25,"N/A")</f>
        <v>90000</v>
      </c>
      <c r="H769" s="423">
        <v>0</v>
      </c>
      <c r="I769" s="423">
        <v>0</v>
      </c>
      <c r="J769" s="423">
        <v>0</v>
      </c>
      <c r="K769" s="423">
        <v>0</v>
      </c>
      <c r="L769" s="423" cm="1">
        <f t="array" ref="L769">IF(B769&gt;0,'Direct Costs 2026'!$C$23,"N/A")</f>
        <v>140000</v>
      </c>
      <c r="M769" s="423" cm="1">
        <f t="array" ref="M769">IF(B769&gt;0,'Direct Costs 2026'!$C$45*B769,"N/A")</f>
        <v>600000</v>
      </c>
      <c r="N769" t="str" s="431" cm="1">
        <f t="array" ref="N769">IF(B769&gt;0,_xlfn.IFERROR(VLOOKUP(C763,'Boats Data Sheet 2026'!$C$3:$I$57,7,0)*'Direct Costs 2026'!$C$36,"N/A"),"N/A")</f>
        <v>N/A</v>
      </c>
      <c r="O769" s="423">
        <v>0</v>
      </c>
      <c r="P769" s="423">
        <v>0</v>
      </c>
      <c r="Q769" s="423" cm="1">
        <f t="array" ref="Q769">_xlfn.IFERROR(C769+SUM(E769:P769),"N/A")</f>
        <v>35729500</v>
      </c>
      <c r="R769" s="424"/>
      <c r="S769" s="423" cm="1">
        <f t="array" ref="S769">IF(B769&gt;0,'Allocation OH and Target 2026'!$E$31,"N/A")</f>
        <v>3100447.15769812</v>
      </c>
      <c r="T769" s="423">
        <v>0</v>
      </c>
      <c r="U769" s="423" cm="1">
        <f t="array" ref="U769">_xlfn.IFERROR((S769+T769),"N/A")</f>
        <v>3100447.15769812</v>
      </c>
      <c r="V769" s="424"/>
      <c r="W769" s="423" cm="1">
        <f t="array" ref="W769">_xlfn.IFERROR(U769+Q769,"N/A")</f>
        <v>38829947.1576981</v>
      </c>
      <c r="X769" s="423" cm="1">
        <f t="array" ref="X769">_xlfn.IFERROR(W769*0.5%,"N/A")</f>
        <v>194149.735788491</v>
      </c>
      <c r="Y769" s="423" cm="1">
        <f t="array" ref="Y769">_xlfn.IFERROR(W769*25%,"N/A")</f>
        <v>9707486.789424529</v>
      </c>
      <c r="Z769" s="425" cm="1">
        <f t="array" ref="Z769">IF(B769&gt;0,(SUM(W769:Y769)),"N/A")</f>
        <v>48731583.6829111</v>
      </c>
      <c r="AA769" s="425" cm="1">
        <f t="array" ref="AA769">_xlfn.IFERROR((Z769-Z768),"N/A")</f>
        <v>195780</v>
      </c>
      <c r="AB769" s="424"/>
      <c r="AC769" t="str" s="426" cm="1">
        <f t="array" ref="AC769">IF(B769=6,AVERAGE(Z766:Z771),"N/A")</f>
        <v>N/A</v>
      </c>
      <c r="AD769" s="424"/>
      <c r="AE769" s="423"/>
      <c r="AF769" s="423"/>
      <c r="AG769" s="423"/>
      <c r="AH769" s="423"/>
      <c r="AI769" s="423"/>
      <c r="AJ769" s="423"/>
      <c r="AK769" s="423"/>
      <c r="AL769" s="423"/>
      <c r="AM769" s="423"/>
      <c r="AN769" s="427"/>
    </row>
    <row r="770" ht="15" customHeight="1">
      <c r="A770" s="12"/>
      <c r="B770" s="428" cm="1">
        <f t="array" ref="B770">IF(B769=0,0,IF(B769&lt;VLOOKUP(C763,'Boats Data Sheet 2026'!$C$3:$H$57,6,0),B769+1,0))</f>
        <v>5</v>
      </c>
      <c r="C770" s="423" cm="1">
        <f t="array" ref="C770">_xlfn.IFERROR(IF(B770&gt;0,IF(VLOOKUP($C$763,'Boats Data Sheet 2026'!$C$3:$J$57,8,0)="N/A",0,VLOOKUP($C$763,'Boats Data Sheet 2026'!$C$3:$J$57,8,0)),"N/A")*100%,"N/A")</f>
        <v>34000000</v>
      </c>
      <c r="D770" s="429" cm="1">
        <f t="array" ref="D770">IF(B770&gt;7,2,IF(B770=0,"N/A",1))</f>
        <v>1</v>
      </c>
      <c r="E770" s="423" cm="1">
        <f t="array" ref="E770">_xlfn.IFERROR(SUM('Direct Costs 2026'!$C$4:$C$5)*D770,"N/A")</f>
        <v>875500</v>
      </c>
      <c r="F770" s="423" cm="1">
        <f t="array" ref="F770">_xlfn.IFERROR('Direct Costs 2026'!$C$43*B770,"N/A")</f>
        <v>30000</v>
      </c>
      <c r="G770" s="423" cm="1">
        <f t="array" ref="G770">IF(B770&gt;0,'Direct Costs 2026'!$C$25,"N/A")</f>
        <v>90000</v>
      </c>
      <c r="H770" s="423">
        <v>0</v>
      </c>
      <c r="I770" s="423">
        <v>0</v>
      </c>
      <c r="J770" s="423">
        <v>0</v>
      </c>
      <c r="K770" s="423">
        <v>0</v>
      </c>
      <c r="L770" s="423" cm="1">
        <f t="array" ref="L770">IF(B770&gt;0,'Direct Costs 2026'!$C$23,"N/A")</f>
        <v>140000</v>
      </c>
      <c r="M770" s="423" cm="1">
        <f t="array" ref="M770">IF(B770&gt;0,'Direct Costs 2026'!$C$45*B770,"N/A")</f>
        <v>750000</v>
      </c>
      <c r="N770" t="str" s="431" cm="1">
        <f t="array" ref="N770">IF(B770&gt;0,_xlfn.IFERROR(VLOOKUP(C763,'Boats Data Sheet 2026'!$C$3:$I$57,7,0)*'Direct Costs 2026'!$C$36,"N/A"),"N/A")</f>
        <v>N/A</v>
      </c>
      <c r="O770" s="423">
        <v>0</v>
      </c>
      <c r="P770" s="423">
        <v>0</v>
      </c>
      <c r="Q770" s="423" cm="1">
        <f t="array" ref="Q770">_xlfn.IFERROR(C770+SUM(E770:P770),"N/A")</f>
        <v>35885500</v>
      </c>
      <c r="R770" s="424"/>
      <c r="S770" s="423" cm="1">
        <f t="array" ref="S770">IF(B770&gt;0,'Allocation OH and Target 2026'!$E$31,"N/A")</f>
        <v>3100447.15769812</v>
      </c>
      <c r="T770" s="423">
        <v>0</v>
      </c>
      <c r="U770" s="423" cm="1">
        <f t="array" ref="U770">_xlfn.IFERROR((S770+T770),"N/A")</f>
        <v>3100447.15769812</v>
      </c>
      <c r="V770" s="424"/>
      <c r="W770" s="423" cm="1">
        <f t="array" ref="W770">_xlfn.IFERROR(U770+Q770,"N/A")</f>
        <v>38985947.1576981</v>
      </c>
      <c r="X770" s="423" cm="1">
        <f t="array" ref="X770">_xlfn.IFERROR(W770*0.5%,"N/A")</f>
        <v>194929.735788491</v>
      </c>
      <c r="Y770" s="423" cm="1">
        <f t="array" ref="Y770">_xlfn.IFERROR(W770*25%,"N/A")</f>
        <v>9746486.789424529</v>
      </c>
      <c r="Z770" s="425" cm="1">
        <f t="array" ref="Z770">IF(B770&gt;0,(SUM(W770:Y770)),"N/A")</f>
        <v>48927363.6829111</v>
      </c>
      <c r="AA770" s="425" cm="1">
        <f t="array" ref="AA770">_xlfn.IFERROR((Z770-Z769),"N/A")</f>
        <v>195780</v>
      </c>
      <c r="AB770" s="424"/>
      <c r="AC770" t="str" s="426" cm="1">
        <f t="array" ref="AC770">IF(B770=6,AVERAGE(Z766:Z771),"N/A")</f>
        <v>N/A</v>
      </c>
      <c r="AD770" s="424"/>
      <c r="AE770" s="423"/>
      <c r="AF770" s="423"/>
      <c r="AG770" s="423"/>
      <c r="AH770" s="423"/>
      <c r="AI770" s="423"/>
      <c r="AJ770" s="423"/>
      <c r="AK770" s="423"/>
      <c r="AL770" s="423"/>
      <c r="AM770" s="423"/>
      <c r="AN770" s="427"/>
    </row>
    <row r="771" ht="15" customHeight="1">
      <c r="A771" s="12"/>
      <c r="B771" s="428" cm="1">
        <f t="array" ref="B771">IF(B770=0,0,IF(B770&lt;VLOOKUP(C763,'Boats Data Sheet 2026'!$C$3:$H$57,6,0),B770+1,0))</f>
        <v>6</v>
      </c>
      <c r="C771" s="423" cm="1">
        <f t="array" ref="C771">_xlfn.IFERROR(IF(B771&gt;0,IF(VLOOKUP($C$763,'Boats Data Sheet 2026'!$C$3:$J$57,8,0)="N/A",0,VLOOKUP($C$763,'Boats Data Sheet 2026'!$C$3:$J$57,8,0)),"N/A")*100%,"N/A")</f>
        <v>34000000</v>
      </c>
      <c r="D771" s="429" cm="1">
        <f t="array" ref="D771">IF(B771&gt;7,2,IF(B771=0,"N/A",1))</f>
        <v>1</v>
      </c>
      <c r="E771" s="423" cm="1">
        <f t="array" ref="E771">_xlfn.IFERROR(SUM('Direct Costs 2026'!$C$4:$C$5)*D771,"N/A")</f>
        <v>875500</v>
      </c>
      <c r="F771" s="423" cm="1">
        <f t="array" ref="F771">_xlfn.IFERROR('Direct Costs 2026'!$C$43*B771,"N/A")</f>
        <v>36000</v>
      </c>
      <c r="G771" s="423" cm="1">
        <f t="array" ref="G771">IF(B771&gt;0,'Direct Costs 2026'!$C$25,"N/A")</f>
        <v>90000</v>
      </c>
      <c r="H771" s="423">
        <v>0</v>
      </c>
      <c r="I771" s="423">
        <v>0</v>
      </c>
      <c r="J771" s="423">
        <v>0</v>
      </c>
      <c r="K771" s="423">
        <v>0</v>
      </c>
      <c r="L771" s="423" cm="1">
        <f t="array" ref="L771">IF(B771&gt;0,'Direct Costs 2026'!$C$23,"N/A")</f>
        <v>140000</v>
      </c>
      <c r="M771" s="423" cm="1">
        <f t="array" ref="M771">IF(B771&gt;0,'Direct Costs 2026'!$C$45*B771,"N/A")</f>
        <v>900000</v>
      </c>
      <c r="N771" t="str" s="431" cm="1">
        <f t="array" ref="N771">IF(B771&gt;0,_xlfn.IFERROR(VLOOKUP(C763,'Boats Data Sheet 2026'!$C$3:$I$57,7,0)*'Direct Costs 2026'!$C$36,"N/A"),"N/A")</f>
        <v>N/A</v>
      </c>
      <c r="O771" s="423">
        <v>0</v>
      </c>
      <c r="P771" s="423">
        <v>0</v>
      </c>
      <c r="Q771" s="423" cm="1">
        <f t="array" ref="Q771">_xlfn.IFERROR(C771+SUM(E771:P771),"N/A")</f>
        <v>36041500</v>
      </c>
      <c r="R771" s="424"/>
      <c r="S771" s="423" cm="1">
        <f t="array" ref="S771">IF(B771&gt;0,'Allocation OH and Target 2026'!$E$31,"N/A")</f>
        <v>3100447.15769812</v>
      </c>
      <c r="T771" s="423">
        <v>0</v>
      </c>
      <c r="U771" s="423" cm="1">
        <f t="array" ref="U771">_xlfn.IFERROR((S771+T771),"N/A")</f>
        <v>3100447.15769812</v>
      </c>
      <c r="V771" s="424"/>
      <c r="W771" s="423" cm="1">
        <f t="array" ref="W771">_xlfn.IFERROR(U771+Q771,"N/A")</f>
        <v>39141947.1576981</v>
      </c>
      <c r="X771" s="423" cm="1">
        <f t="array" ref="X771">_xlfn.IFERROR(W771*0.5%,"N/A")</f>
        <v>195709.735788491</v>
      </c>
      <c r="Y771" s="423" cm="1">
        <f t="array" ref="Y771">_xlfn.IFERROR(W771*25%,"N/A")</f>
        <v>9785486.789424529</v>
      </c>
      <c r="Z771" s="425" cm="1">
        <f t="array" ref="Z771">IF(B771&gt;0,(SUM(W771:Y771)),"N/A")</f>
        <v>49123143.6829111</v>
      </c>
      <c r="AA771" s="425" cm="1">
        <f t="array" ref="AA771">_xlfn.IFERROR((Z771-Z770),"N/A")</f>
        <v>195780</v>
      </c>
      <c r="AB771" s="424"/>
      <c r="AC771" s="425" cm="1">
        <f t="array" ref="AC771">IF(B771=6,AVERAGE(Z766:Z771),"N/A")</f>
        <v>48633693.6829111</v>
      </c>
      <c r="AD771" s="424"/>
      <c r="AE771" s="423"/>
      <c r="AF771" s="423"/>
      <c r="AG771" s="423"/>
      <c r="AH771" s="423"/>
      <c r="AI771" s="423"/>
      <c r="AJ771" s="423"/>
      <c r="AK771" s="423"/>
      <c r="AL771" s="423"/>
      <c r="AM771" s="423"/>
      <c r="AN771" s="427"/>
    </row>
    <row r="772" ht="15" customHeight="1">
      <c r="A772" s="12"/>
      <c r="B772" s="428" cm="1">
        <f t="array" ref="B772">IF(B771=0,0,IF(B771&lt;VLOOKUP(C763,'Boats Data Sheet 2026'!$C$3:$H$57,6,0),B771+1,0))</f>
        <v>7</v>
      </c>
      <c r="C772" s="423" cm="1">
        <f t="array" ref="C772">_xlfn.IFERROR(IF(B772&gt;0,IF(VLOOKUP($C$763,'Boats Data Sheet 2026'!$C$3:$J$57,8,0)="N/A",0,VLOOKUP($C$763,'Boats Data Sheet 2026'!$C$3:$J$57,8,0)),"N/A")*100%,"N/A")</f>
        <v>34000000</v>
      </c>
      <c r="D772" s="429" cm="1">
        <f t="array" ref="D772">IF(B772&gt;7,2,IF(B772=0,"N/A",1))</f>
        <v>1</v>
      </c>
      <c r="E772" s="423" cm="1">
        <f t="array" ref="E772">_xlfn.IFERROR(SUM('Direct Costs 2026'!$C$4:$C$5)*D772,"N/A")</f>
        <v>875500</v>
      </c>
      <c r="F772" s="423" cm="1">
        <f t="array" ref="F772">_xlfn.IFERROR('Direct Costs 2026'!$C$43*B772,"N/A")</f>
        <v>42000</v>
      </c>
      <c r="G772" s="423" cm="1">
        <f t="array" ref="G772">IF(B772&gt;0,'Direct Costs 2026'!$C$25,"N/A")</f>
        <v>90000</v>
      </c>
      <c r="H772" s="423">
        <v>0</v>
      </c>
      <c r="I772" s="423">
        <v>0</v>
      </c>
      <c r="J772" s="423">
        <v>0</v>
      </c>
      <c r="K772" s="423">
        <v>0</v>
      </c>
      <c r="L772" s="423" cm="1">
        <f t="array" ref="L772">IF(B772&gt;0,'Direct Costs 2026'!$C$23,"N/A")</f>
        <v>140000</v>
      </c>
      <c r="M772" s="423" cm="1">
        <f t="array" ref="M772">IF(B772&gt;0,'Direct Costs 2026'!$C$45*B772,"N/A")</f>
        <v>1050000</v>
      </c>
      <c r="N772" t="str" s="431" cm="1">
        <f t="array" ref="N772">IF(B772&gt;0,_xlfn.IFERROR(VLOOKUP(C763,'Boats Data Sheet 2026'!$C$3:$I$57,7,0)*'Direct Costs 2026'!$C$36,"N/A"),"N/A")</f>
        <v>N/A</v>
      </c>
      <c r="O772" s="423">
        <v>0</v>
      </c>
      <c r="P772" s="423">
        <v>0</v>
      </c>
      <c r="Q772" s="423" cm="1">
        <f t="array" ref="Q772">_xlfn.IFERROR(C772+SUM(E772:P772),"N/A")</f>
        <v>36197500</v>
      </c>
      <c r="R772" s="424"/>
      <c r="S772" s="423" cm="1">
        <f t="array" ref="S772">IF(B772&gt;0,'Allocation OH and Target 2026'!$E$31,"N/A")</f>
        <v>3100447.15769812</v>
      </c>
      <c r="T772" s="423">
        <v>0</v>
      </c>
      <c r="U772" s="423" cm="1">
        <f t="array" ref="U772">_xlfn.IFERROR((S772+T772),"N/A")</f>
        <v>3100447.15769812</v>
      </c>
      <c r="V772" s="424"/>
      <c r="W772" s="423" cm="1">
        <f t="array" ref="W772">_xlfn.IFERROR(U772+Q772,"N/A")</f>
        <v>39297947.1576981</v>
      </c>
      <c r="X772" s="423" cm="1">
        <f t="array" ref="X772">_xlfn.IFERROR(W772*0.5%,"N/A")</f>
        <v>196489.735788491</v>
      </c>
      <c r="Y772" s="423" cm="1">
        <f t="array" ref="Y772">_xlfn.IFERROR(W772*25%,"N/A")</f>
        <v>9824486.789424529</v>
      </c>
      <c r="Z772" s="425" cm="1">
        <f t="array" ref="Z772">IF(B772&gt;0,(SUM(W772:Y772)),"N/A")</f>
        <v>49318923.6829111</v>
      </c>
      <c r="AA772" s="425" cm="1">
        <f t="array" ref="AA772">_xlfn.IFERROR((Z772-Z771),"N/A")</f>
        <v>195780</v>
      </c>
      <c r="AB772" s="424"/>
      <c r="AC772" t="str" s="426" cm="1">
        <f t="array" ref="AC772">IF(B772=6,AVERAGE(Z766:Z771),"N/A")</f>
        <v>N/A</v>
      </c>
      <c r="AD772" s="424"/>
      <c r="AE772" s="423"/>
      <c r="AF772" s="423"/>
      <c r="AG772" s="423"/>
      <c r="AH772" s="423"/>
      <c r="AI772" s="423"/>
      <c r="AJ772" s="423"/>
      <c r="AK772" s="423"/>
      <c r="AL772" s="423"/>
      <c r="AM772" s="423"/>
      <c r="AN772" s="427"/>
    </row>
    <row r="773" ht="15" customHeight="1">
      <c r="A773" s="12"/>
      <c r="B773" s="428" cm="1">
        <f t="array" ref="B773">IF(B772=0,0,IF(B772&lt;VLOOKUP(C763,'Boats Data Sheet 2026'!$C$3:$H$57,6,0),B772+1,0))</f>
        <v>8</v>
      </c>
      <c r="C773" s="423" cm="1">
        <f t="array" ref="C773">_xlfn.IFERROR(IF(B773&gt;0,IF(VLOOKUP($C$763,'Boats Data Sheet 2026'!$C$3:$J$57,8,0)="N/A",0,VLOOKUP($C$763,'Boats Data Sheet 2026'!$C$3:$J$57,8,0)),"N/A")*100%,"N/A")</f>
        <v>34000000</v>
      </c>
      <c r="D773" s="429" cm="1">
        <f t="array" ref="D773">IF(B773&gt;7,2,IF(B773=0,"N/A",1))</f>
        <v>2</v>
      </c>
      <c r="E773" s="423" cm="1">
        <f t="array" ref="E773">_xlfn.IFERROR(SUM('Direct Costs 2026'!$C$4:$C$5)*D773,"N/A")</f>
        <v>1751000</v>
      </c>
      <c r="F773" s="423" cm="1">
        <f t="array" ref="F773">_xlfn.IFERROR('Direct Costs 2026'!$C$43*B773,"N/A")</f>
        <v>48000</v>
      </c>
      <c r="G773" s="423" cm="1">
        <f t="array" ref="G773">IF(B773&gt;0,'Direct Costs 2026'!$C$25,"N/A")</f>
        <v>90000</v>
      </c>
      <c r="H773" s="423">
        <v>0</v>
      </c>
      <c r="I773" s="423">
        <v>0</v>
      </c>
      <c r="J773" s="423">
        <v>0</v>
      </c>
      <c r="K773" s="423">
        <v>0</v>
      </c>
      <c r="L773" s="423" cm="1">
        <f t="array" ref="L773">IF(B773&gt;0,'Direct Costs 2026'!$C$23,"N/A")</f>
        <v>140000</v>
      </c>
      <c r="M773" s="423" cm="1">
        <f t="array" ref="M773">IF(B773&gt;0,'Direct Costs 2026'!$C$45*B773,"N/A")</f>
        <v>1200000</v>
      </c>
      <c r="N773" t="str" s="431" cm="1">
        <f t="array" ref="N773">IF(B773&gt;0,_xlfn.IFERROR(VLOOKUP(C763,'Boats Data Sheet 2026'!$C$3:$I$57,7,0)*'Direct Costs 2026'!$C$36,"N/A"),"N/A")</f>
        <v>N/A</v>
      </c>
      <c r="O773" s="423">
        <v>0</v>
      </c>
      <c r="P773" s="423">
        <v>0</v>
      </c>
      <c r="Q773" s="423" cm="1">
        <f t="array" ref="Q773">_xlfn.IFERROR(C773+SUM(E773:P773),"N/A")</f>
        <v>37229000</v>
      </c>
      <c r="R773" s="424"/>
      <c r="S773" s="423" cm="1">
        <f t="array" ref="S773">IF(B773&gt;0,'Allocation OH and Target 2026'!$E$31,"N/A")</f>
        <v>3100447.15769812</v>
      </c>
      <c r="T773" s="423">
        <v>0</v>
      </c>
      <c r="U773" s="423" cm="1">
        <f t="array" ref="U773">_xlfn.IFERROR((S773+T773),"N/A")</f>
        <v>3100447.15769812</v>
      </c>
      <c r="V773" s="424"/>
      <c r="W773" s="423" cm="1">
        <f t="array" ref="W773">_xlfn.IFERROR(U773+Q773,"N/A")</f>
        <v>40329447.1576981</v>
      </c>
      <c r="X773" s="423" cm="1">
        <f t="array" ref="X773">_xlfn.IFERROR(W773*0.5%,"N/A")</f>
        <v>201647.235788491</v>
      </c>
      <c r="Y773" s="423" cm="1">
        <f t="array" ref="Y773">_xlfn.IFERROR(W773*25%,"N/A")</f>
        <v>10082361.7894245</v>
      </c>
      <c r="Z773" s="425" cm="1">
        <f t="array" ref="Z773">IF(B773&gt;0,(SUM(W773:Y773)),"N/A")</f>
        <v>50613456.1829111</v>
      </c>
      <c r="AA773" s="425" cm="1">
        <f t="array" ref="AA773">_xlfn.IFERROR((Z773-Z772),"N/A")</f>
        <v>1294532.5</v>
      </c>
      <c r="AB773" s="424"/>
      <c r="AC773" t="str" s="426" cm="1">
        <f t="array" ref="AC773">IF(B773=6,AVERAGE(Z766:Z771),"N/A")</f>
        <v>N/A</v>
      </c>
      <c r="AD773" s="424"/>
      <c r="AE773" s="423"/>
      <c r="AF773" s="423"/>
      <c r="AG773" s="423"/>
      <c r="AH773" s="423"/>
      <c r="AI773" s="423"/>
      <c r="AJ773" s="423"/>
      <c r="AK773" s="423"/>
      <c r="AL773" s="423"/>
      <c r="AM773" s="423"/>
      <c r="AN773" s="427"/>
    </row>
    <row r="774" ht="15" customHeight="1">
      <c r="A774" s="12"/>
      <c r="B774" s="428" cm="1">
        <f t="array" ref="B774">IF(B773=0,0,IF(B773&lt;VLOOKUP(C763,'Boats Data Sheet 2026'!$C$3:$H$57,6,0),B773+1,0))</f>
        <v>9</v>
      </c>
      <c r="C774" s="423" cm="1">
        <f t="array" ref="C774">_xlfn.IFERROR(IF(B774&gt;0,IF(VLOOKUP($C$763,'Boats Data Sheet 2026'!$C$3:$J$57,8,0)="N/A",0,VLOOKUP($C$763,'Boats Data Sheet 2026'!$C$3:$J$57,8,0)),"N/A")*100%,"N/A")</f>
        <v>34000000</v>
      </c>
      <c r="D774" s="430" cm="1">
        <f t="array" ref="D774">IF(B774&gt;7,2,IF(B774=0,"N/A",1))</f>
        <v>2</v>
      </c>
      <c r="E774" s="423" cm="1">
        <f t="array" ref="E774">_xlfn.IFERROR(SUM('Direct Costs 2026'!$C$4:$C$5)*D774,"N/A")</f>
        <v>1751000</v>
      </c>
      <c r="F774" s="423" cm="1">
        <f t="array" ref="F774">_xlfn.IFERROR('Direct Costs 2026'!$C$43*B774,"N/A")</f>
        <v>54000</v>
      </c>
      <c r="G774" s="423" cm="1">
        <f t="array" ref="G774">IF(B774&gt;0,'Direct Costs 2026'!$C$25,"N/A")</f>
        <v>90000</v>
      </c>
      <c r="H774" s="423">
        <v>0</v>
      </c>
      <c r="I774" s="423">
        <v>0</v>
      </c>
      <c r="J774" s="423">
        <v>0</v>
      </c>
      <c r="K774" s="423">
        <v>0</v>
      </c>
      <c r="L774" s="423" cm="1">
        <f t="array" ref="L774">IF(B774&gt;0,'Direct Costs 2026'!$C$23,"N/A")</f>
        <v>140000</v>
      </c>
      <c r="M774" s="423" cm="1">
        <f t="array" ref="M774">IF(B774&gt;0,'Direct Costs 2026'!$C$45*B774,"N/A")</f>
        <v>1350000</v>
      </c>
      <c r="N774" t="str" s="431" cm="1">
        <f t="array" ref="N774">IF(B774&gt;0,_xlfn.IFERROR(VLOOKUP(C763,'Boats Data Sheet 2026'!$C$3:$I$57,7,0)*'Direct Costs 2026'!$C$36,"N/A"),"N/A")</f>
        <v>N/A</v>
      </c>
      <c r="O774" s="423">
        <v>0</v>
      </c>
      <c r="P774" s="423">
        <v>0</v>
      </c>
      <c r="Q774" s="423" cm="1">
        <f t="array" ref="Q774">_xlfn.IFERROR(C774+SUM(E774:P774),"N/A")</f>
        <v>37385000</v>
      </c>
      <c r="R774" s="424"/>
      <c r="S774" s="423" cm="1">
        <f t="array" ref="S774">IF(B774&gt;0,'Allocation OH and Target 2026'!$E$31,"N/A")</f>
        <v>3100447.15769812</v>
      </c>
      <c r="T774" s="423">
        <v>0</v>
      </c>
      <c r="U774" s="423" cm="1">
        <f t="array" ref="U774">_xlfn.IFERROR((S774+T774),"N/A")</f>
        <v>3100447.15769812</v>
      </c>
      <c r="V774" s="424"/>
      <c r="W774" s="423" cm="1">
        <f t="array" ref="W774">_xlfn.IFERROR(U774+Q774,"N/A")</f>
        <v>40485447.1576981</v>
      </c>
      <c r="X774" s="423" cm="1">
        <f t="array" ref="X774">_xlfn.IFERROR(W774*0.5%,"N/A")</f>
        <v>202427.235788491</v>
      </c>
      <c r="Y774" s="423" cm="1">
        <f t="array" ref="Y774">_xlfn.IFERROR(W774*25%,"N/A")</f>
        <v>10121361.7894245</v>
      </c>
      <c r="Z774" s="425" cm="1">
        <f t="array" ref="Z774">IF(B774&gt;0,(SUM(W774:Y774)),"N/A")</f>
        <v>50809236.1829111</v>
      </c>
      <c r="AA774" s="425" cm="1">
        <f t="array" ref="AA774">_xlfn.IFERROR((Z774-Z773),"N/A")</f>
        <v>195780</v>
      </c>
      <c r="AB774" s="424"/>
      <c r="AC774" t="str" s="426" cm="1">
        <f t="array" ref="AC774">IF(B774=6,AVERAGE(Z766:Z771),"N/A")</f>
        <v>N/A</v>
      </c>
      <c r="AD774" s="424"/>
      <c r="AE774" s="423"/>
      <c r="AF774" s="423"/>
      <c r="AG774" s="423"/>
      <c r="AH774" s="423"/>
      <c r="AI774" s="423"/>
      <c r="AJ774" s="423"/>
      <c r="AK774" s="423"/>
      <c r="AL774" s="423"/>
      <c r="AM774" s="423"/>
      <c r="AN774" s="427"/>
    </row>
    <row r="775" ht="15" customHeight="1">
      <c r="A775" s="12"/>
      <c r="B775" s="428" cm="1">
        <f t="array" ref="B775">IF(B774=0,0,IF(B774&lt;VLOOKUP(C763,'Boats Data Sheet 2026'!$C$3:$H$57,6,0),B774+1,0))</f>
        <v>10</v>
      </c>
      <c r="C775" s="423" cm="1">
        <f t="array" ref="C775">_xlfn.IFERROR(IF(B775&gt;0,IF(VLOOKUP($C$763,'Boats Data Sheet 2026'!$C$3:$J$57,8,0)="N/A",0,VLOOKUP($C$763,'Boats Data Sheet 2026'!$C$3:$J$57,8,0)),"N/A")*100%,"N/A")</f>
        <v>34000000</v>
      </c>
      <c r="D775" s="430" cm="1">
        <f t="array" ref="D775">IF(B775&gt;7,2,IF(B775=0,"N/A",1))</f>
        <v>2</v>
      </c>
      <c r="E775" s="423" cm="1">
        <f t="array" ref="E775">_xlfn.IFERROR(SUM('Direct Costs 2026'!$C$4:$C$5)*D775,"N/A")</f>
        <v>1751000</v>
      </c>
      <c r="F775" s="423" cm="1">
        <f t="array" ref="F775">_xlfn.IFERROR('Direct Costs 2026'!$C$43*B775,"N/A")</f>
        <v>60000</v>
      </c>
      <c r="G775" s="423" cm="1">
        <f t="array" ref="G775">IF(B775&gt;0,'Direct Costs 2026'!$C$25,"N/A")</f>
        <v>90000</v>
      </c>
      <c r="H775" s="423">
        <v>0</v>
      </c>
      <c r="I775" s="423">
        <v>0</v>
      </c>
      <c r="J775" s="423">
        <v>0</v>
      </c>
      <c r="K775" s="423">
        <v>0</v>
      </c>
      <c r="L775" s="423" cm="1">
        <f t="array" ref="L775">IF(B775&gt;0,'Direct Costs 2026'!$C$23,"N/A")</f>
        <v>140000</v>
      </c>
      <c r="M775" s="423" cm="1">
        <f t="array" ref="M775">IF(B775&gt;0,'Direct Costs 2026'!$C$45*B775,"N/A")</f>
        <v>1500000</v>
      </c>
      <c r="N775" t="str" s="431" cm="1">
        <f t="array" ref="N775">IF(B775&gt;0,_xlfn.IFERROR(VLOOKUP(C763,'Boats Data Sheet 2026'!$C$3:$I$57,7,0)*'Direct Costs 2026'!$C$36,"N/A"),"N/A")</f>
        <v>N/A</v>
      </c>
      <c r="O775" s="423">
        <v>0</v>
      </c>
      <c r="P775" s="423">
        <v>0</v>
      </c>
      <c r="Q775" s="423" cm="1">
        <f t="array" ref="Q775">_xlfn.IFERROR(C775+SUM(E775:P775),"N/A")</f>
        <v>37541000</v>
      </c>
      <c r="R775" s="424"/>
      <c r="S775" s="423" cm="1">
        <f t="array" ref="S775">IF(B775&gt;0,'Allocation OH and Target 2026'!$E$31,"N/A")</f>
        <v>3100447.15769812</v>
      </c>
      <c r="T775" s="423">
        <v>0</v>
      </c>
      <c r="U775" s="423" cm="1">
        <f t="array" ref="U775">_xlfn.IFERROR((S775+T775),"N/A")</f>
        <v>3100447.15769812</v>
      </c>
      <c r="V775" s="424"/>
      <c r="W775" s="423" cm="1">
        <f t="array" ref="W775">_xlfn.IFERROR(U775+Q775,"N/A")</f>
        <v>40641447.1576981</v>
      </c>
      <c r="X775" s="423" cm="1">
        <f t="array" ref="X775">_xlfn.IFERROR(W775*0.5%,"N/A")</f>
        <v>203207.235788491</v>
      </c>
      <c r="Y775" s="423" cm="1">
        <f t="array" ref="Y775">_xlfn.IFERROR(W775*25%,"N/A")</f>
        <v>10160361.7894245</v>
      </c>
      <c r="Z775" s="425" cm="1">
        <f t="array" ref="Z775">IF(B775&gt;0,(SUM(W775:Y775)),"N/A")</f>
        <v>51005016.1829111</v>
      </c>
      <c r="AA775" s="425" cm="1">
        <f t="array" ref="AA775">_xlfn.IFERROR((Z775-Z774),"N/A")</f>
        <v>195780</v>
      </c>
      <c r="AB775" s="424"/>
      <c r="AC775" t="str" s="426" cm="1">
        <f t="array" ref="AC775">IF(B775=6,AVERAGE(Z766:Z771),"N/A")</f>
        <v>N/A</v>
      </c>
      <c r="AD775" s="424"/>
      <c r="AE775" s="423"/>
      <c r="AF775" s="423"/>
      <c r="AG775" s="423"/>
      <c r="AH775" s="423"/>
      <c r="AI775" s="423"/>
      <c r="AJ775" s="423"/>
      <c r="AK775" s="423"/>
      <c r="AL775" s="423"/>
      <c r="AM775" s="423"/>
      <c r="AN775" s="427"/>
    </row>
    <row r="776" ht="15" customHeight="1">
      <c r="A776" s="12"/>
      <c r="B776" s="428" cm="1">
        <f t="array" ref="B776">IF(B775=0,0,IF(B775&lt;VLOOKUP(C763,'Boats Data Sheet 2026'!$C$3:$H$57,6,0),B775+1,0))</f>
        <v>11</v>
      </c>
      <c r="C776" s="423" cm="1">
        <f t="array" ref="C776">_xlfn.IFERROR(IF(B776&gt;0,IF(VLOOKUP($C$763,'Boats Data Sheet 2026'!$C$3:$J$57,8,0)="N/A",0,VLOOKUP($C$763,'Boats Data Sheet 2026'!$C$3:$J$57,8,0)),"N/A")*100%,"N/A")</f>
        <v>34000000</v>
      </c>
      <c r="D776" s="430" cm="1">
        <f t="array" ref="D776">IF(B776&gt;7,2,IF(B776=0,"N/A",1))</f>
        <v>2</v>
      </c>
      <c r="E776" s="423" cm="1">
        <f t="array" ref="E776">_xlfn.IFERROR(SUM('Direct Costs 2026'!$C$4:$C$5)*D776,"N/A")</f>
        <v>1751000</v>
      </c>
      <c r="F776" s="423" cm="1">
        <f t="array" ref="F776">_xlfn.IFERROR('Direct Costs 2026'!$C$43*B776,"N/A")</f>
        <v>66000</v>
      </c>
      <c r="G776" s="423" cm="1">
        <f t="array" ref="G776">IF(B776&gt;0,'Direct Costs 2026'!$C$25,"N/A")</f>
        <v>90000</v>
      </c>
      <c r="H776" s="423">
        <v>0</v>
      </c>
      <c r="I776" s="423">
        <v>0</v>
      </c>
      <c r="J776" s="423">
        <v>0</v>
      </c>
      <c r="K776" s="423">
        <v>0</v>
      </c>
      <c r="L776" s="423" cm="1">
        <f t="array" ref="L776">IF(B776&gt;0,'Direct Costs 2026'!$C$23,"N/A")</f>
        <v>140000</v>
      </c>
      <c r="M776" s="423" cm="1">
        <f t="array" ref="M776">IF(B776&gt;0,'Direct Costs 2026'!$C$45*B776,"N/A")</f>
        <v>1650000</v>
      </c>
      <c r="N776" t="str" s="431" cm="1">
        <f t="array" ref="N776">IF(B776&gt;0,_xlfn.IFERROR(VLOOKUP(C763,'Boats Data Sheet 2026'!$C$3:$I$57,7,0)*'Direct Costs 2026'!$C$36,"N/A"),"N/A")</f>
        <v>N/A</v>
      </c>
      <c r="O776" s="423">
        <v>0</v>
      </c>
      <c r="P776" s="423">
        <v>0</v>
      </c>
      <c r="Q776" s="423" cm="1">
        <f t="array" ref="Q776">_xlfn.IFERROR(C776+SUM(E776:P776),"N/A")</f>
        <v>37697000</v>
      </c>
      <c r="R776" s="424"/>
      <c r="S776" s="423" cm="1">
        <f t="array" ref="S776">IF(B776&gt;0,'Allocation OH and Target 2026'!$E$31,"N/A")</f>
        <v>3100447.15769812</v>
      </c>
      <c r="T776" s="423">
        <v>0</v>
      </c>
      <c r="U776" s="423" cm="1">
        <f t="array" ref="U776">_xlfn.IFERROR((S776+T776),"N/A")</f>
        <v>3100447.15769812</v>
      </c>
      <c r="V776" s="424"/>
      <c r="W776" s="423" cm="1">
        <f t="array" ref="W776">_xlfn.IFERROR(U776+Q776,"N/A")</f>
        <v>40797447.1576981</v>
      </c>
      <c r="X776" s="423" cm="1">
        <f t="array" ref="X776">_xlfn.IFERROR(W776*0.5%,"N/A")</f>
        <v>203987.235788491</v>
      </c>
      <c r="Y776" s="423" cm="1">
        <f t="array" ref="Y776">_xlfn.IFERROR(W776*25%,"N/A")</f>
        <v>10199361.7894245</v>
      </c>
      <c r="Z776" s="425" cm="1">
        <f t="array" ref="Z776">IF(B776&gt;0,(SUM(W776:Y776)),"N/A")</f>
        <v>51200796.1829111</v>
      </c>
      <c r="AA776" s="425" cm="1">
        <f t="array" ref="AA776">_xlfn.IFERROR((Z776-Z775),"N/A")</f>
        <v>195780</v>
      </c>
      <c r="AB776" s="424"/>
      <c r="AC776" t="str" s="426" cm="1">
        <f t="array" ref="AC776">IF(B776=6,AVERAGE(Z766:Z771),"N/A")</f>
        <v>N/A</v>
      </c>
      <c r="AD776" s="424"/>
      <c r="AE776" s="423"/>
      <c r="AF776" s="423"/>
      <c r="AG776" s="423"/>
      <c r="AH776" s="423"/>
      <c r="AI776" s="423"/>
      <c r="AJ776" s="423"/>
      <c r="AK776" s="423"/>
      <c r="AL776" s="423"/>
      <c r="AM776" s="423"/>
      <c r="AN776" s="427"/>
    </row>
    <row r="777" ht="15" customHeight="1">
      <c r="A777" s="12"/>
      <c r="B777" s="428" cm="1">
        <f t="array" ref="B777">IF(B776=0,0,IF(B776&lt;VLOOKUP(C763,'Boats Data Sheet 2026'!$C$3:$H$57,6,0),B776+1,0))</f>
        <v>12</v>
      </c>
      <c r="C777" s="423" cm="1">
        <f t="array" ref="C777">_xlfn.IFERROR(IF(B777&gt;0,IF(VLOOKUP($C$763,'Boats Data Sheet 2026'!$C$3:$J$57,8,0)="N/A",0,VLOOKUP($C$763,'Boats Data Sheet 2026'!$C$3:$J$57,8,0)),"N/A")*100%,"N/A")</f>
        <v>34000000</v>
      </c>
      <c r="D777" s="430" cm="1">
        <f t="array" ref="D777">IF(B777&gt;7,2,IF(B777=0,"N/A",1))</f>
        <v>2</v>
      </c>
      <c r="E777" s="423" cm="1">
        <f t="array" ref="E777">_xlfn.IFERROR(SUM('Direct Costs 2026'!$C$4:$C$5)*D777,"N/A")</f>
        <v>1751000</v>
      </c>
      <c r="F777" s="423" cm="1">
        <f t="array" ref="F777">_xlfn.IFERROR('Direct Costs 2026'!$C$43*B777,"N/A")</f>
        <v>72000</v>
      </c>
      <c r="G777" s="423" cm="1">
        <f t="array" ref="G777">IF(B777&gt;0,'Direct Costs 2026'!$C$25,"N/A")</f>
        <v>90000</v>
      </c>
      <c r="H777" s="423">
        <v>0</v>
      </c>
      <c r="I777" s="423">
        <v>0</v>
      </c>
      <c r="J777" s="423">
        <v>0</v>
      </c>
      <c r="K777" s="423">
        <v>0</v>
      </c>
      <c r="L777" s="423" cm="1">
        <f t="array" ref="L777">IF(B777&gt;0,'Direct Costs 2026'!$C$23,"N/A")</f>
        <v>140000</v>
      </c>
      <c r="M777" s="423" cm="1">
        <f t="array" ref="M777">IF(B777&gt;0,'Direct Costs 2026'!$C$45*B777,"N/A")</f>
        <v>1800000</v>
      </c>
      <c r="N777" t="str" s="431" cm="1">
        <f t="array" ref="N777">IF(B777&gt;0,_xlfn.IFERROR(VLOOKUP(C763,'Boats Data Sheet 2026'!$C$3:$I$57,7,0)*'Direct Costs 2026'!$C$36,"N/A"),"N/A")</f>
        <v>N/A</v>
      </c>
      <c r="O777" s="423">
        <v>0</v>
      </c>
      <c r="P777" s="423">
        <v>0</v>
      </c>
      <c r="Q777" s="423" cm="1">
        <f t="array" ref="Q777">_xlfn.IFERROR(C777+SUM(E777:P777),"N/A")</f>
        <v>37853000</v>
      </c>
      <c r="R777" s="424"/>
      <c r="S777" s="423" cm="1">
        <f t="array" ref="S777">IF(B777&gt;0,'Allocation OH and Target 2026'!$E$31,"N/A")</f>
        <v>3100447.15769812</v>
      </c>
      <c r="T777" s="423">
        <v>0</v>
      </c>
      <c r="U777" s="423" cm="1">
        <f t="array" ref="U777">_xlfn.IFERROR((S777+T777),"N/A")</f>
        <v>3100447.15769812</v>
      </c>
      <c r="V777" s="424"/>
      <c r="W777" s="423" cm="1">
        <f t="array" ref="W777">_xlfn.IFERROR(U777+Q777,"N/A")</f>
        <v>40953447.1576981</v>
      </c>
      <c r="X777" s="423" cm="1">
        <f t="array" ref="X777">_xlfn.IFERROR(W777*0.5%,"N/A")</f>
        <v>204767.235788491</v>
      </c>
      <c r="Y777" s="423" cm="1">
        <f t="array" ref="Y777">_xlfn.IFERROR(W777*25%,"N/A")</f>
        <v>10238361.7894245</v>
      </c>
      <c r="Z777" s="425" cm="1">
        <f t="array" ref="Z777">IF(B777&gt;0,(SUM(W777:Y777)),"N/A")</f>
        <v>51396576.1829111</v>
      </c>
      <c r="AA777" s="425" cm="1">
        <f t="array" ref="AA777">_xlfn.IFERROR((Z777-Z776),"N/A")</f>
        <v>195780</v>
      </c>
      <c r="AB777" s="424"/>
      <c r="AC777" t="str" s="426" cm="1">
        <f t="array" ref="AC777">IF(B777=6,AVERAGE(Z766:Z771),"N/A")</f>
        <v>N/A</v>
      </c>
      <c r="AD777" s="424"/>
      <c r="AE777" s="423"/>
      <c r="AF777" s="423"/>
      <c r="AG777" s="423"/>
      <c r="AH777" s="423"/>
      <c r="AI777" s="423"/>
      <c r="AJ777" s="423"/>
      <c r="AK777" s="423"/>
      <c r="AL777" s="423"/>
      <c r="AM777" s="423"/>
      <c r="AN777" s="427"/>
    </row>
    <row r="778" ht="15" customHeight="1">
      <c r="A778" s="12"/>
      <c r="B778" s="428" cm="1">
        <f t="array" ref="B778">IF(B777=0,0,IF(B777&lt;VLOOKUP(C763,'Boats Data Sheet 2026'!$C$3:$H$57,6,0),B777+1,0))</f>
        <v>13</v>
      </c>
      <c r="C778" s="423" cm="1">
        <f t="array" ref="C778">_xlfn.IFERROR(IF(B778&gt;0,IF(VLOOKUP($C$763,'Boats Data Sheet 2026'!$C$3:$J$57,8,0)="N/A",0,VLOOKUP($C$763,'Boats Data Sheet 2026'!$C$3:$J$57,8,0)),"N/A")*100%,"N/A")</f>
        <v>34000000</v>
      </c>
      <c r="D778" s="430" cm="1">
        <f t="array" ref="D778">IF(B778&gt;7,2,IF(B778=0,"N/A",1))</f>
        <v>2</v>
      </c>
      <c r="E778" s="423" cm="1">
        <f t="array" ref="E778">_xlfn.IFERROR(SUM('Direct Costs 2026'!$C$4:$C$5)*D778,"N/A")</f>
        <v>1751000</v>
      </c>
      <c r="F778" s="423" cm="1">
        <f t="array" ref="F778">_xlfn.IFERROR('Direct Costs 2026'!$C$43*B778,"N/A")</f>
        <v>78000</v>
      </c>
      <c r="G778" s="423" cm="1">
        <f t="array" ref="G778">IF(B778&gt;0,'Direct Costs 2026'!$C$25,"N/A")</f>
        <v>90000</v>
      </c>
      <c r="H778" s="423">
        <v>0</v>
      </c>
      <c r="I778" s="423">
        <v>0</v>
      </c>
      <c r="J778" s="423">
        <v>0</v>
      </c>
      <c r="K778" s="423">
        <v>0</v>
      </c>
      <c r="L778" s="423" cm="1">
        <f t="array" ref="L778">IF(B778&gt;0,'Direct Costs 2026'!$C$23,"N/A")</f>
        <v>140000</v>
      </c>
      <c r="M778" s="423" cm="1">
        <f t="array" ref="M778">IF(B778&gt;0,'Direct Costs 2026'!$C$45*B778,"N/A")</f>
        <v>1950000</v>
      </c>
      <c r="N778" t="str" s="431" cm="1">
        <f t="array" ref="N778">IF(B778&gt;0,_xlfn.IFERROR(VLOOKUP(C763,'Boats Data Sheet 2026'!$C$3:$I$57,7,0)*'Direct Costs 2026'!$C$36,"N/A"),"N/A")</f>
        <v>N/A</v>
      </c>
      <c r="O778" s="423">
        <v>0</v>
      </c>
      <c r="P778" s="423">
        <v>0</v>
      </c>
      <c r="Q778" s="423" cm="1">
        <f t="array" ref="Q778">_xlfn.IFERROR(C778+SUM(E778:P778),"N/A")</f>
        <v>38009000</v>
      </c>
      <c r="R778" s="424"/>
      <c r="S778" s="423" cm="1">
        <f t="array" ref="S778">IF(B778&gt;0,'Allocation OH and Target 2026'!$E$31,"N/A")</f>
        <v>3100447.15769812</v>
      </c>
      <c r="T778" s="423">
        <v>0</v>
      </c>
      <c r="U778" s="423" cm="1">
        <f t="array" ref="U778">_xlfn.IFERROR((S778+T778),"N/A")</f>
        <v>3100447.15769812</v>
      </c>
      <c r="V778" s="424"/>
      <c r="W778" s="423" cm="1">
        <f t="array" ref="W778">_xlfn.IFERROR(U778+Q778,"N/A")</f>
        <v>41109447.1576981</v>
      </c>
      <c r="X778" s="423" cm="1">
        <f t="array" ref="X778">_xlfn.IFERROR(W778*0.5%,"N/A")</f>
        <v>205547.235788491</v>
      </c>
      <c r="Y778" s="423" cm="1">
        <f t="array" ref="Y778">_xlfn.IFERROR(W778*25%,"N/A")</f>
        <v>10277361.7894245</v>
      </c>
      <c r="Z778" s="425" cm="1">
        <f t="array" ref="Z778">IF(B778&gt;0,(SUM(W778:Y778)),"N/A")</f>
        <v>51592356.1829111</v>
      </c>
      <c r="AA778" s="425" cm="1">
        <f t="array" ref="AA778">_xlfn.IFERROR((Z778-Z777),"N/A")</f>
        <v>195780</v>
      </c>
      <c r="AB778" s="424"/>
      <c r="AC778" t="str" s="426" cm="1">
        <f t="array" ref="AC778">IF(B778=6,AVERAGE(Z766:Z771),"N/A")</f>
        <v>N/A</v>
      </c>
      <c r="AD778" s="424"/>
      <c r="AE778" s="423"/>
      <c r="AF778" s="423"/>
      <c r="AG778" s="423"/>
      <c r="AH778" s="423"/>
      <c r="AI778" s="423"/>
      <c r="AJ778" s="423"/>
      <c r="AK778" s="423"/>
      <c r="AL778" s="423"/>
      <c r="AM778" s="423"/>
      <c r="AN778" s="427"/>
    </row>
    <row r="779" ht="15" customHeight="1">
      <c r="A779" s="12"/>
      <c r="B779" s="428" cm="1">
        <f t="array" ref="B779">IF(B778=0,0,IF(B778&lt;VLOOKUP(C763,'Boats Data Sheet 2026'!$C$3:$H$57,6,0),B778+1,0))</f>
        <v>14</v>
      </c>
      <c r="C779" s="423" cm="1">
        <f t="array" ref="C779">_xlfn.IFERROR(IF(B779&gt;0,IF(VLOOKUP($C$763,'Boats Data Sheet 2026'!$C$3:$J$57,8,0)="N/A",0,VLOOKUP($C$763,'Boats Data Sheet 2026'!$C$3:$J$57,8,0)),"N/A")*100%,"N/A")</f>
        <v>34000000</v>
      </c>
      <c r="D779" s="430" cm="1">
        <f t="array" ref="D779">IF(B779&gt;7,2,IF(B779=0,"N/A",1))</f>
        <v>2</v>
      </c>
      <c r="E779" s="423" cm="1">
        <f t="array" ref="E779">_xlfn.IFERROR(SUM('Direct Costs 2026'!$C$4:$C$5)*D779,"N/A")</f>
        <v>1751000</v>
      </c>
      <c r="F779" s="423" cm="1">
        <f t="array" ref="F779">_xlfn.IFERROR('Direct Costs 2026'!$C$43*B779,"N/A")</f>
        <v>84000</v>
      </c>
      <c r="G779" s="423" cm="1">
        <f t="array" ref="G779">IF(B779&gt;0,'Direct Costs 2026'!$C$25,"N/A")</f>
        <v>90000</v>
      </c>
      <c r="H779" s="423">
        <v>0</v>
      </c>
      <c r="I779" s="423">
        <v>0</v>
      </c>
      <c r="J779" s="423">
        <v>0</v>
      </c>
      <c r="K779" s="423">
        <v>0</v>
      </c>
      <c r="L779" s="423" cm="1">
        <f t="array" ref="L779">IF(B779&gt;0,'Direct Costs 2026'!$C$23,"N/A")</f>
        <v>140000</v>
      </c>
      <c r="M779" s="423" cm="1">
        <f t="array" ref="M779">IF(B779&gt;0,'Direct Costs 2026'!$C$45*B779,"N/A")</f>
        <v>2100000</v>
      </c>
      <c r="N779" t="str" s="431" cm="1">
        <f t="array" ref="N779">IF(B779&gt;0,_xlfn.IFERROR(VLOOKUP(C763,'Boats Data Sheet 2026'!$C$3:$I$57,7,0)*'Direct Costs 2026'!$C$36,"N/A"),"N/A")</f>
        <v>N/A</v>
      </c>
      <c r="O779" s="423">
        <v>0</v>
      </c>
      <c r="P779" s="423">
        <v>0</v>
      </c>
      <c r="Q779" s="423" cm="1">
        <f t="array" ref="Q779">_xlfn.IFERROR(C779+SUM(E779:P779),"N/A")</f>
        <v>38165000</v>
      </c>
      <c r="R779" s="424"/>
      <c r="S779" s="423" cm="1">
        <f t="array" ref="S779">IF(B779&gt;0,'Allocation OH and Target 2026'!$E$31,"N/A")</f>
        <v>3100447.15769812</v>
      </c>
      <c r="T779" s="423">
        <v>0</v>
      </c>
      <c r="U779" s="423" cm="1">
        <f t="array" ref="U779">_xlfn.IFERROR((S779+T779),"N/A")</f>
        <v>3100447.15769812</v>
      </c>
      <c r="V779" s="424"/>
      <c r="W779" s="423" cm="1">
        <f t="array" ref="W779">_xlfn.IFERROR(U779+Q779,"N/A")</f>
        <v>41265447.1576981</v>
      </c>
      <c r="X779" s="423" cm="1">
        <f t="array" ref="X779">_xlfn.IFERROR(W779*0.5%,"N/A")</f>
        <v>206327.235788491</v>
      </c>
      <c r="Y779" s="423" cm="1">
        <f t="array" ref="Y779">_xlfn.IFERROR(W779*25%,"N/A")</f>
        <v>10316361.7894245</v>
      </c>
      <c r="Z779" s="425" cm="1">
        <f t="array" ref="Z779">IF(B779&gt;0,(SUM(W779:Y779)),"N/A")</f>
        <v>51788136.1829111</v>
      </c>
      <c r="AA779" s="425" cm="1">
        <f t="array" ref="AA779">_xlfn.IFERROR((Z779-Z778),"N/A")</f>
        <v>195780</v>
      </c>
      <c r="AB779" s="424"/>
      <c r="AC779" t="str" s="426" cm="1">
        <f t="array" ref="AC779">IF(B779=6,AVERAGE(Z766:Z771),"N/A")</f>
        <v>N/A</v>
      </c>
      <c r="AD779" s="424"/>
      <c r="AE779" s="423"/>
      <c r="AF779" s="423"/>
      <c r="AG779" s="423"/>
      <c r="AH779" s="423"/>
      <c r="AI779" s="423"/>
      <c r="AJ779" s="423"/>
      <c r="AK779" s="423"/>
      <c r="AL779" s="423"/>
      <c r="AM779" s="423"/>
      <c r="AN779" s="427"/>
    </row>
    <row r="780" ht="15" customHeight="1">
      <c r="A780" s="12"/>
      <c r="B780" s="428" cm="1">
        <f t="array" ref="B780">IF(B779=0,0,IF(B779&lt;VLOOKUP(C763,'Boats Data Sheet 2026'!$C$3:$H$57,6,0),B779+1,0))</f>
        <v>15</v>
      </c>
      <c r="C780" s="423" cm="1">
        <f t="array" ref="C780">_xlfn.IFERROR(IF(B780&gt;0,IF(VLOOKUP($C$763,'Boats Data Sheet 2026'!$C$3:$J$57,8,0)="N/A",0,VLOOKUP($C$763,'Boats Data Sheet 2026'!$C$3:$J$57,8,0)),"N/A")*100%,"N/A")</f>
        <v>34000000</v>
      </c>
      <c r="D780" s="430" cm="1">
        <f t="array" ref="D780">IF(B780&gt;7,2,IF(B780=0,"N/A",1))</f>
        <v>2</v>
      </c>
      <c r="E780" s="423" cm="1">
        <f t="array" ref="E780">_xlfn.IFERROR(SUM('Direct Costs 2026'!$C$4:$C$5)*D780,"N/A")</f>
        <v>1751000</v>
      </c>
      <c r="F780" s="423" cm="1">
        <f t="array" ref="F780">_xlfn.IFERROR('Direct Costs 2026'!$C$43*B780,"N/A")</f>
        <v>90000</v>
      </c>
      <c r="G780" s="423" cm="1">
        <f t="array" ref="G780">IF(B780&gt;0,'Direct Costs 2026'!$C$25,"N/A")</f>
        <v>90000</v>
      </c>
      <c r="H780" s="423">
        <v>0</v>
      </c>
      <c r="I780" s="423">
        <v>0</v>
      </c>
      <c r="J780" s="423">
        <v>0</v>
      </c>
      <c r="K780" s="423">
        <v>0</v>
      </c>
      <c r="L780" s="423" cm="1">
        <f t="array" ref="L780">IF(B780&gt;0,'Direct Costs 2026'!$C$23,"N/A")</f>
        <v>140000</v>
      </c>
      <c r="M780" s="423" cm="1">
        <f t="array" ref="M780">IF(B780&gt;0,'Direct Costs 2026'!$C$45*B780,"N/A")</f>
        <v>2250000</v>
      </c>
      <c r="N780" t="str" s="431" cm="1">
        <f t="array" ref="N780">IF(B780&gt;0,_xlfn.IFERROR(VLOOKUP(C763,'Boats Data Sheet 2026'!$C$3:$I$57,7,0)*'Direct Costs 2026'!$C$36,"N/A"),"N/A")</f>
        <v>N/A</v>
      </c>
      <c r="O780" s="423">
        <v>0</v>
      </c>
      <c r="P780" s="423">
        <v>0</v>
      </c>
      <c r="Q780" s="423" cm="1">
        <f t="array" ref="Q780">_xlfn.IFERROR(C780+SUM(E780:P780),"N/A")</f>
        <v>38321000</v>
      </c>
      <c r="R780" s="424"/>
      <c r="S780" s="423" cm="1">
        <f t="array" ref="S780">IF(B780&gt;0,'Allocation OH and Target 2026'!$E$31,"N/A")</f>
        <v>3100447.15769812</v>
      </c>
      <c r="T780" s="423">
        <v>0</v>
      </c>
      <c r="U780" s="423" cm="1">
        <f t="array" ref="U780">_xlfn.IFERROR((S780+T780),"N/A")</f>
        <v>3100447.15769812</v>
      </c>
      <c r="V780" s="424"/>
      <c r="W780" s="423" cm="1">
        <f t="array" ref="W780">_xlfn.IFERROR(U780+Q780,"N/A")</f>
        <v>41421447.1576981</v>
      </c>
      <c r="X780" s="423" cm="1">
        <f t="array" ref="X780">_xlfn.IFERROR(W780*0.5%,"N/A")</f>
        <v>207107.235788491</v>
      </c>
      <c r="Y780" s="423" cm="1">
        <f t="array" ref="Y780">_xlfn.IFERROR(W780*25%,"N/A")</f>
        <v>10355361.7894245</v>
      </c>
      <c r="Z780" s="425" cm="1">
        <f t="array" ref="Z780">IF(B780&gt;0,(SUM(W780:Y780)),"N/A")</f>
        <v>51983916.1829111</v>
      </c>
      <c r="AA780" s="425" cm="1">
        <f t="array" ref="AA780">_xlfn.IFERROR((Z780-Z779),"N/A")</f>
        <v>195780</v>
      </c>
      <c r="AB780" s="424"/>
      <c r="AC780" t="str" s="426" cm="1">
        <f t="array" ref="AC780">IF(B780=6,AVERAGE(Z766:Z771),"N/A")</f>
        <v>N/A</v>
      </c>
      <c r="AD780" s="424"/>
      <c r="AE780" s="423"/>
      <c r="AF780" s="423"/>
      <c r="AG780" s="423"/>
      <c r="AH780" s="423"/>
      <c r="AI780" s="423"/>
      <c r="AJ780" s="423"/>
      <c r="AK780" s="423"/>
      <c r="AL780" s="423"/>
      <c r="AM780" s="423"/>
      <c r="AN780" s="427"/>
    </row>
    <row r="781" ht="15" customHeight="1">
      <c r="A781" s="12"/>
      <c r="B781" s="428" cm="1">
        <f t="array" ref="B781">IF(B780=0,0,IF(B780&lt;VLOOKUP(C763,'Boats Data Sheet 2026'!$C$3:$H$57,6,0),B780+1,0))</f>
        <v>16</v>
      </c>
      <c r="C781" s="423" cm="1">
        <f t="array" ref="C781">_xlfn.IFERROR(IF(B781&gt;0,IF(VLOOKUP($C$763,'Boats Data Sheet 2026'!$C$3:$J$57,8,0)="N/A",0,VLOOKUP($C$763,'Boats Data Sheet 2026'!$C$3:$J$57,8,0)),"N/A")*100%,"N/A")</f>
        <v>34000000</v>
      </c>
      <c r="D781" s="430" cm="1">
        <f t="array" ref="D781">IF(B781&gt;7,2,IF(B781=0,"N/A",1))</f>
        <v>2</v>
      </c>
      <c r="E781" s="423" cm="1">
        <f t="array" ref="E781">_xlfn.IFERROR(SUM('Direct Costs 2026'!$C$4:$C$5)*D781,"N/A")</f>
        <v>1751000</v>
      </c>
      <c r="F781" s="423" cm="1">
        <f t="array" ref="F781">_xlfn.IFERROR('Direct Costs 2026'!$C$43*B781,"N/A")</f>
        <v>96000</v>
      </c>
      <c r="G781" s="423" cm="1">
        <f t="array" ref="G781">IF(B781&gt;0,'Direct Costs 2026'!$C$25,"N/A")</f>
        <v>90000</v>
      </c>
      <c r="H781" s="423">
        <v>0</v>
      </c>
      <c r="I781" s="423">
        <v>0</v>
      </c>
      <c r="J781" s="423">
        <v>0</v>
      </c>
      <c r="K781" s="423">
        <v>0</v>
      </c>
      <c r="L781" s="423" cm="1">
        <f t="array" ref="L781">IF(B781&gt;0,'Direct Costs 2026'!$C$23,"N/A")</f>
        <v>140000</v>
      </c>
      <c r="M781" s="423" cm="1">
        <f t="array" ref="M781">IF(B781&gt;0,'Direct Costs 2026'!$C$45*B781,"N/A")</f>
        <v>2400000</v>
      </c>
      <c r="N781" t="str" s="431" cm="1">
        <f t="array" ref="N781">IF(B781&gt;0,_xlfn.IFERROR(VLOOKUP(C763,'Boats Data Sheet 2026'!$C$3:$I$57,7,0)*'Direct Costs 2026'!$C$36,"N/A"),"N/A")</f>
        <v>N/A</v>
      </c>
      <c r="O781" s="423">
        <v>0</v>
      </c>
      <c r="P781" s="423">
        <v>0</v>
      </c>
      <c r="Q781" s="423" cm="1">
        <f t="array" ref="Q781">_xlfn.IFERROR(C781+SUM(E781:P781),"N/A")</f>
        <v>38477000</v>
      </c>
      <c r="R781" s="424"/>
      <c r="S781" s="423" cm="1">
        <f t="array" ref="S781">IF(B781&gt;0,'Allocation OH and Target 2026'!$E$31,"N/A")</f>
        <v>3100447.15769812</v>
      </c>
      <c r="T781" s="423">
        <v>0</v>
      </c>
      <c r="U781" s="423" cm="1">
        <f t="array" ref="U781">_xlfn.IFERROR((S781+T781),"N/A")</f>
        <v>3100447.15769812</v>
      </c>
      <c r="V781" s="424"/>
      <c r="W781" s="423" cm="1">
        <f t="array" ref="W781">_xlfn.IFERROR(U781+Q781,"N/A")</f>
        <v>41577447.1576981</v>
      </c>
      <c r="X781" s="423" cm="1">
        <f t="array" ref="X781">_xlfn.IFERROR(W781*0.5%,"N/A")</f>
        <v>207887.235788491</v>
      </c>
      <c r="Y781" s="423" cm="1">
        <f t="array" ref="Y781">_xlfn.IFERROR(W781*25%,"N/A")</f>
        <v>10394361.7894245</v>
      </c>
      <c r="Z781" s="425" cm="1">
        <f t="array" ref="Z781">IF(B781&gt;0,(SUM(W781:Y781)),"N/A")</f>
        <v>52179696.1829111</v>
      </c>
      <c r="AA781" s="425" cm="1">
        <f t="array" ref="AA781">_xlfn.IFERROR((Z781-Z780),"N/A")</f>
        <v>195780</v>
      </c>
      <c r="AB781" s="424"/>
      <c r="AC781" t="str" s="426" cm="1">
        <f t="array" ref="AC781">IF(B781=6,AVERAGE(Z766:Z771),"N/A")</f>
        <v>N/A</v>
      </c>
      <c r="AD781" s="424"/>
      <c r="AE781" s="423"/>
      <c r="AF781" s="423"/>
      <c r="AG781" s="423"/>
      <c r="AH781" s="423"/>
      <c r="AI781" s="423"/>
      <c r="AJ781" s="423"/>
      <c r="AK781" s="423"/>
      <c r="AL781" s="423"/>
      <c r="AM781" s="423"/>
      <c r="AN781" s="427"/>
    </row>
    <row r="782" ht="15" customHeight="1">
      <c r="A782" s="12"/>
      <c r="B782" s="428" cm="1">
        <f t="array" ref="B782">IF(B781=0,0,IF(B781&lt;VLOOKUP(C763,'Boats Data Sheet 2026'!$C$3:$H$57,6,0),B781+1,0))</f>
        <v>17</v>
      </c>
      <c r="C782" s="423" cm="1">
        <f t="array" ref="C782">_xlfn.IFERROR(IF(B782&gt;0,IF(VLOOKUP($C$763,'Boats Data Sheet 2026'!$C$3:$J$57,8,0)="N/A",0,VLOOKUP($C$763,'Boats Data Sheet 2026'!$C$3:$J$57,8,0)),"N/A")*100%,"N/A")</f>
        <v>34000000</v>
      </c>
      <c r="D782" s="430" cm="1">
        <f t="array" ref="D782">IF(B782&gt;7,2,IF(B782=0,"N/A",1))</f>
        <v>2</v>
      </c>
      <c r="E782" s="423" cm="1">
        <f t="array" ref="E782">_xlfn.IFERROR(SUM('Direct Costs 2026'!$C$4:$C$5)*D782,"N/A")</f>
        <v>1751000</v>
      </c>
      <c r="F782" s="423" cm="1">
        <f t="array" ref="F782">_xlfn.IFERROR('Direct Costs 2026'!$C$43*B782,"N/A")</f>
        <v>102000</v>
      </c>
      <c r="G782" s="423" cm="1">
        <f t="array" ref="G782">IF(B782&gt;0,'Direct Costs 2026'!$C$25,"N/A")</f>
        <v>90000</v>
      </c>
      <c r="H782" s="423">
        <v>0</v>
      </c>
      <c r="I782" s="423">
        <v>0</v>
      </c>
      <c r="J782" s="423">
        <v>0</v>
      </c>
      <c r="K782" s="423">
        <v>0</v>
      </c>
      <c r="L782" s="423" cm="1">
        <f t="array" ref="L782">IF(B782&gt;0,'Direct Costs 2026'!$C$23,"N/A")</f>
        <v>140000</v>
      </c>
      <c r="M782" s="423" cm="1">
        <f t="array" ref="M782">IF(B782&gt;0,'Direct Costs 2026'!$C$45*B782,"N/A")</f>
        <v>2550000</v>
      </c>
      <c r="N782" t="str" s="431" cm="1">
        <f t="array" ref="N782">IF(B782&gt;0,_xlfn.IFERROR(VLOOKUP(C763,'Boats Data Sheet 2026'!$C$3:$I$57,7,0)*'Direct Costs 2026'!$C$36,"N/A"),"N/A")</f>
        <v>N/A</v>
      </c>
      <c r="O782" s="423">
        <v>0</v>
      </c>
      <c r="P782" s="423">
        <v>0</v>
      </c>
      <c r="Q782" s="423" cm="1">
        <f t="array" ref="Q782">_xlfn.IFERROR(C782+SUM(E782:P782),"N/A")</f>
        <v>38633000</v>
      </c>
      <c r="R782" s="424"/>
      <c r="S782" s="423" cm="1">
        <f t="array" ref="S782">IF(B782&gt;0,'Allocation OH and Target 2026'!$E$31,"N/A")</f>
        <v>3100447.15769812</v>
      </c>
      <c r="T782" s="423">
        <v>0</v>
      </c>
      <c r="U782" s="423" cm="1">
        <f t="array" ref="U782">_xlfn.IFERROR((S782+T782),"N/A")</f>
        <v>3100447.15769812</v>
      </c>
      <c r="V782" s="424"/>
      <c r="W782" s="423" cm="1">
        <f t="array" ref="W782">_xlfn.IFERROR(U782+Q782,"N/A")</f>
        <v>41733447.1576981</v>
      </c>
      <c r="X782" s="423" cm="1">
        <f t="array" ref="X782">_xlfn.IFERROR(W782*0.5%,"N/A")</f>
        <v>208667.235788491</v>
      </c>
      <c r="Y782" s="423" cm="1">
        <f t="array" ref="Y782">_xlfn.IFERROR(W782*25%,"N/A")</f>
        <v>10433361.7894245</v>
      </c>
      <c r="Z782" s="425" cm="1">
        <f t="array" ref="Z782">IF(B782&gt;0,(SUM(W782:Y782)),"N/A")</f>
        <v>52375476.1829111</v>
      </c>
      <c r="AA782" s="425" cm="1">
        <f t="array" ref="AA782">_xlfn.IFERROR((Z782-Z781),"N/A")</f>
        <v>195780</v>
      </c>
      <c r="AB782" s="424"/>
      <c r="AC782" t="str" s="426" cm="1">
        <f t="array" ref="AC782">IF(B782=6,AVERAGE(Z766:Z771),"N/A")</f>
        <v>N/A</v>
      </c>
      <c r="AD782" s="424"/>
      <c r="AE782" s="423"/>
      <c r="AF782" s="423"/>
      <c r="AG782" s="423"/>
      <c r="AH782" s="423"/>
      <c r="AI782" s="423"/>
      <c r="AJ782" s="423"/>
      <c r="AK782" s="423"/>
      <c r="AL782" s="423"/>
      <c r="AM782" s="423"/>
      <c r="AN782" s="427"/>
    </row>
    <row r="783" ht="15" customHeight="1">
      <c r="A783" s="12"/>
      <c r="B783" s="428" cm="1">
        <f t="array" ref="B783">IF(B782=0,0,IF(B782&lt;VLOOKUP(C763,'Boats Data Sheet 2026'!$C$3:$H$57,6,0),B782+1,0))</f>
        <v>18</v>
      </c>
      <c r="C783" s="423" cm="1">
        <f t="array" ref="C783">_xlfn.IFERROR(IF(B783&gt;0,IF(VLOOKUP($C$763,'Boats Data Sheet 2026'!$C$3:$J$57,8,0)="N/A",0,VLOOKUP($C$763,'Boats Data Sheet 2026'!$C$3:$J$57,8,0)),"N/A")*100%,"N/A")</f>
        <v>34000000</v>
      </c>
      <c r="D783" s="430" cm="1">
        <f t="array" ref="D783">IF(B783&gt;7,2,IF(B783=0,"N/A",1))</f>
        <v>2</v>
      </c>
      <c r="E783" s="423" cm="1">
        <f t="array" ref="E783">_xlfn.IFERROR(SUM('Direct Costs 2026'!$C$4:$C$5)*D783,"N/A")</f>
        <v>1751000</v>
      </c>
      <c r="F783" s="423" cm="1">
        <f t="array" ref="F783">_xlfn.IFERROR('Direct Costs 2026'!$C$43*B783,"N/A")</f>
        <v>108000</v>
      </c>
      <c r="G783" s="423" cm="1">
        <f t="array" ref="G783">IF(B783&gt;0,'Direct Costs 2026'!$C$25,"N/A")</f>
        <v>90000</v>
      </c>
      <c r="H783" s="423">
        <v>0</v>
      </c>
      <c r="I783" s="423">
        <v>0</v>
      </c>
      <c r="J783" s="423">
        <v>0</v>
      </c>
      <c r="K783" s="423">
        <v>0</v>
      </c>
      <c r="L783" s="423" cm="1">
        <f t="array" ref="L783">IF(B783&gt;0,'Direct Costs 2026'!$C$23,"N/A")</f>
        <v>140000</v>
      </c>
      <c r="M783" s="423" cm="1">
        <f t="array" ref="M783">IF(B783&gt;0,'Direct Costs 2026'!$C$45*B783,"N/A")</f>
        <v>2700000</v>
      </c>
      <c r="N783" t="str" s="431" cm="1">
        <f t="array" ref="N783">IF(B783&gt;0,_xlfn.IFERROR(VLOOKUP(C765,'Boats Data Sheet 2026'!$C$3:$I$57,7,0)*'Direct Costs 2026'!$C$36,"N/A"),"N/A")</f>
        <v>N/A</v>
      </c>
      <c r="O783" s="423">
        <v>0</v>
      </c>
      <c r="P783" s="423">
        <v>0</v>
      </c>
      <c r="Q783" s="423" cm="1">
        <f t="array" ref="Q783">_xlfn.IFERROR(C783+SUM(E783:P783),"N/A")</f>
        <v>38789000</v>
      </c>
      <c r="R783" s="424"/>
      <c r="S783" s="423" cm="1">
        <f t="array" ref="S783">IF(B783&gt;0,'Allocation OH and Target 2026'!$E$31,"N/A")</f>
        <v>3100447.15769812</v>
      </c>
      <c r="T783" s="423">
        <v>0</v>
      </c>
      <c r="U783" s="423" cm="1">
        <f t="array" ref="U783">_xlfn.IFERROR((S783+T783),"N/A")</f>
        <v>3100447.15769812</v>
      </c>
      <c r="V783" s="424"/>
      <c r="W783" s="423" cm="1">
        <f t="array" ref="W783">_xlfn.IFERROR(U783+Q783,"N/A")</f>
        <v>41889447.1576981</v>
      </c>
      <c r="X783" s="423" cm="1">
        <f t="array" ref="X783">_xlfn.IFERROR(W783*0.5%,"N/A")</f>
        <v>209447.235788491</v>
      </c>
      <c r="Y783" s="423" cm="1">
        <f t="array" ref="Y783">_xlfn.IFERROR(W783*25%,"N/A")</f>
        <v>10472361.7894245</v>
      </c>
      <c r="Z783" s="425" cm="1">
        <f t="array" ref="Z783">IF(B783&gt;0,(SUM(W783:Y783)),"N/A")</f>
        <v>52571256.1829111</v>
      </c>
      <c r="AA783" s="425" cm="1">
        <f t="array" ref="AA783">_xlfn.IFERROR((Z783-Z782),"N/A")</f>
        <v>195780</v>
      </c>
      <c r="AB783" s="424"/>
      <c r="AC783" t="str" s="426" cm="1">
        <f t="array" ref="AC783">IF(B783=6,AVERAGE(Z768:Z773),"N/A")</f>
        <v>N/A</v>
      </c>
      <c r="AD783" s="424"/>
      <c r="AE783" s="423"/>
      <c r="AF783" s="423"/>
      <c r="AG783" s="423"/>
      <c r="AH783" s="423"/>
      <c r="AI783" s="423"/>
      <c r="AJ783" s="423"/>
      <c r="AK783" s="423"/>
      <c r="AL783" s="423"/>
      <c r="AM783" s="423"/>
      <c r="AN783" s="427"/>
    </row>
    <row r="784" ht="15" customHeight="1">
      <c r="A784" s="12"/>
      <c r="B784" s="428" cm="1">
        <f t="array" ref="B784">IF(B783=0,0,IF(B783&lt;VLOOKUP(C763,'Boats Data Sheet 2026'!$C$3:$H$57,6,0),B783+1,0))</f>
        <v>19</v>
      </c>
      <c r="C784" s="423" cm="1">
        <f t="array" ref="C784">_xlfn.IFERROR(IF(B784&gt;0,IF(VLOOKUP($C$763,'Boats Data Sheet 2026'!$C$3:$J$57,8,0)="N/A",0,VLOOKUP($C$763,'Boats Data Sheet 2026'!$C$3:$J$57,8,0)),"N/A")*100%,"N/A")</f>
        <v>34000000</v>
      </c>
      <c r="D784" s="430" cm="1">
        <f t="array" ref="D784">IF(B784&gt;7,2,IF(B784=0,"N/A",1))</f>
        <v>2</v>
      </c>
      <c r="E784" s="423" cm="1">
        <f t="array" ref="E784">_xlfn.IFERROR(SUM('Direct Costs 2026'!$C$4:$C$5)*D784,"N/A")</f>
        <v>1751000</v>
      </c>
      <c r="F784" s="423" cm="1">
        <f t="array" ref="F784">_xlfn.IFERROR('Direct Costs 2026'!$C$43*B784,"N/A")</f>
        <v>114000</v>
      </c>
      <c r="G784" s="423" cm="1">
        <f t="array" ref="G784">IF(B784&gt;0,'Direct Costs 2026'!$C$25,"N/A")</f>
        <v>90000</v>
      </c>
      <c r="H784" s="423">
        <v>0</v>
      </c>
      <c r="I784" s="423">
        <v>0</v>
      </c>
      <c r="J784" s="423">
        <v>0</v>
      </c>
      <c r="K784" s="423">
        <v>0</v>
      </c>
      <c r="L784" s="423" cm="1">
        <f t="array" ref="L784">IF(B784&gt;0,'Direct Costs 2026'!$C$23,"N/A")</f>
        <v>140000</v>
      </c>
      <c r="M784" s="423" cm="1">
        <f t="array" ref="M784">IF(B784&gt;0,'Direct Costs 2026'!$C$45*B784,"N/A")</f>
        <v>2850000</v>
      </c>
      <c r="N784" t="str" s="431" cm="1">
        <f t="array" ref="N784">IF(B784&gt;0,_xlfn.IFERROR(VLOOKUP(C765,'Boats Data Sheet 2026'!$C$3:$I$57,7,0)*'Direct Costs 2026'!$C$36,"N/A"),"N/A")</f>
        <v>N/A</v>
      </c>
      <c r="O784" s="423">
        <v>0</v>
      </c>
      <c r="P784" s="423">
        <v>0</v>
      </c>
      <c r="Q784" s="423" cm="1">
        <f t="array" ref="Q784">_xlfn.IFERROR(C784+SUM(E784:P784),"N/A")</f>
        <v>38945000</v>
      </c>
      <c r="R784" s="424"/>
      <c r="S784" s="423" cm="1">
        <f t="array" ref="S784">IF(B784&gt;0,'Allocation OH and Target 2026'!$E$31,"N/A")</f>
        <v>3100447.15769812</v>
      </c>
      <c r="T784" s="423">
        <v>0</v>
      </c>
      <c r="U784" s="423" cm="1">
        <f t="array" ref="U784">_xlfn.IFERROR((S784+T784),"N/A")</f>
        <v>3100447.15769812</v>
      </c>
      <c r="V784" s="424"/>
      <c r="W784" s="423" cm="1">
        <f t="array" ref="W784">_xlfn.IFERROR(U784+Q784,"N/A")</f>
        <v>42045447.1576981</v>
      </c>
      <c r="X784" s="423" cm="1">
        <f t="array" ref="X784">_xlfn.IFERROR(W784*0.5%,"N/A")</f>
        <v>210227.235788491</v>
      </c>
      <c r="Y784" s="423" cm="1">
        <f t="array" ref="Y784">_xlfn.IFERROR(W784*25%,"N/A")</f>
        <v>10511361.7894245</v>
      </c>
      <c r="Z784" s="425" cm="1">
        <f t="array" ref="Z784">IF(B784&gt;0,(SUM(W784:Y784)),"N/A")</f>
        <v>52767036.1829111</v>
      </c>
      <c r="AA784" s="425" cm="1">
        <f t="array" ref="AA784">_xlfn.IFERROR((Z784-Z783),"N/A")</f>
        <v>195780</v>
      </c>
      <c r="AB784" s="424"/>
      <c r="AC784" t="str" s="426" cm="1">
        <f t="array" ref="AC784">IF(B784=6,AVERAGE(Z768:Z773),"N/A")</f>
        <v>N/A</v>
      </c>
      <c r="AD784" s="424"/>
      <c r="AE784" s="423"/>
      <c r="AF784" s="423"/>
      <c r="AG784" s="423"/>
      <c r="AH784" s="423"/>
      <c r="AI784" s="423"/>
      <c r="AJ784" s="423"/>
      <c r="AK784" s="423"/>
      <c r="AL784" s="423"/>
      <c r="AM784" s="423"/>
      <c r="AN784" s="427"/>
    </row>
    <row r="785" ht="15" customHeight="1">
      <c r="A785" s="12"/>
      <c r="B785" s="428" cm="1">
        <f t="array" ref="B785">IF(B784=0,0,IF(B784&lt;VLOOKUP(C763,'Boats Data Sheet 2026'!$C$3:$H$57,6,0),B784+1,0))</f>
        <v>20</v>
      </c>
      <c r="C785" s="423" cm="1">
        <f t="array" ref="C785">_xlfn.IFERROR(IF(B785&gt;0,IF(VLOOKUP($C$763,'Boats Data Sheet 2026'!$C$3:$J$57,8,0)="N/A",0,VLOOKUP($C$763,'Boats Data Sheet 2026'!$C$3:$J$57,8,0)),"N/A")*100%,"N/A")</f>
        <v>34000000</v>
      </c>
      <c r="D785" s="430" cm="1">
        <f t="array" ref="D785">IF(B785&gt;7,2,IF(B785=0,"N/A",1))</f>
        <v>2</v>
      </c>
      <c r="E785" s="423" cm="1">
        <f t="array" ref="E785">_xlfn.IFERROR(SUM('Direct Costs 2026'!$C$4:$C$5)*D785,"N/A")</f>
        <v>1751000</v>
      </c>
      <c r="F785" s="423" cm="1">
        <f t="array" ref="F785">_xlfn.IFERROR('Direct Costs 2026'!$C$43*B785,"N/A")</f>
        <v>120000</v>
      </c>
      <c r="G785" s="423" cm="1">
        <f t="array" ref="G785">IF(B785&gt;0,'Direct Costs 2026'!$C$25,"N/A")</f>
        <v>90000</v>
      </c>
      <c r="H785" s="423">
        <v>0</v>
      </c>
      <c r="I785" s="423">
        <v>0</v>
      </c>
      <c r="J785" s="423">
        <v>0</v>
      </c>
      <c r="K785" s="423">
        <v>0</v>
      </c>
      <c r="L785" s="423" cm="1">
        <f t="array" ref="L785">IF(B785&gt;0,'Direct Costs 2026'!$C$23,"N/A")</f>
        <v>140000</v>
      </c>
      <c r="M785" s="423" cm="1">
        <f t="array" ref="M785">IF(B785&gt;0,'Direct Costs 2026'!$C$45*B785,"N/A")</f>
        <v>3000000</v>
      </c>
      <c r="N785" t="str" s="431" cm="1">
        <f t="array" ref="N785">IF(B785&gt;0,_xlfn.IFERROR(VLOOKUP(C767,'Boats Data Sheet 2026'!$C$3:$I$57,7,0)*'Direct Costs 2026'!$C$36,"N/A"),"N/A")</f>
        <v>N/A</v>
      </c>
      <c r="O785" s="423">
        <v>0</v>
      </c>
      <c r="P785" s="423">
        <v>0</v>
      </c>
      <c r="Q785" s="423" cm="1">
        <f t="array" ref="Q785">_xlfn.IFERROR(C785+SUM(E785:P785),"N/A")</f>
        <v>39101000</v>
      </c>
      <c r="R785" s="424"/>
      <c r="S785" s="423" cm="1">
        <f t="array" ref="S785">IF(B785&gt;0,'Allocation OH and Target 2026'!$E$31,"N/A")</f>
        <v>3100447.15769812</v>
      </c>
      <c r="T785" s="423">
        <v>0</v>
      </c>
      <c r="U785" s="423" cm="1">
        <f t="array" ref="U785">_xlfn.IFERROR((S785+T785),"N/A")</f>
        <v>3100447.15769812</v>
      </c>
      <c r="V785" s="424"/>
      <c r="W785" s="423" cm="1">
        <f t="array" ref="W785">_xlfn.IFERROR(U785+Q785,"N/A")</f>
        <v>42201447.1576981</v>
      </c>
      <c r="X785" s="423" cm="1">
        <f t="array" ref="X785">_xlfn.IFERROR(W785*0.5%,"N/A")</f>
        <v>211007.235788491</v>
      </c>
      <c r="Y785" s="423" cm="1">
        <f t="array" ref="Y785">_xlfn.IFERROR(W785*25%,"N/A")</f>
        <v>10550361.7894245</v>
      </c>
      <c r="Z785" s="425" cm="1">
        <f t="array" ref="Z785">IF(B785&gt;0,(SUM(W785:Y785)),"N/A")</f>
        <v>52962816.1829111</v>
      </c>
      <c r="AA785" s="425" cm="1">
        <f t="array" ref="AA785">_xlfn.IFERROR((Z785-Z784),"N/A")</f>
        <v>195780</v>
      </c>
      <c r="AB785" s="424"/>
      <c r="AC785" t="str" s="426" cm="1">
        <f t="array" ref="AC785">IF(B785=6,AVERAGE(Z770:Z775),"N/A")</f>
        <v>N/A</v>
      </c>
      <c r="AD785" s="424"/>
      <c r="AE785" s="423"/>
      <c r="AF785" s="423"/>
      <c r="AG785" s="423"/>
      <c r="AH785" s="423"/>
      <c r="AI785" s="423"/>
      <c r="AJ785" s="423"/>
      <c r="AK785" s="423"/>
      <c r="AL785" s="423"/>
      <c r="AM785" s="423"/>
      <c r="AN785" s="427"/>
    </row>
    <row r="786" ht="15" customHeight="1">
      <c r="A786" s="12"/>
      <c r="B786" s="428" cm="1">
        <f t="array" ref="B786">IF(B785=0,0,IF(B785&lt;VLOOKUP(C763,'Boats Data Sheet 2026'!$C$3:$H$57,6,0),B785+1,0))</f>
        <v>21</v>
      </c>
      <c r="C786" s="423" cm="1">
        <f t="array" ref="C786">_xlfn.IFERROR(IF(B786&gt;0,IF(VLOOKUP($C$763,'Boats Data Sheet 2026'!$C$3:$J$57,8,0)="N/A",0,VLOOKUP($C$763,'Boats Data Sheet 2026'!$C$3:$J$57,8,0)),"N/A")*100%,"N/A")</f>
        <v>34000000</v>
      </c>
      <c r="D786" s="430" cm="1">
        <f t="array" ref="D786">IF(B786&gt;7,2,IF(B786=0,"N/A",1))</f>
        <v>2</v>
      </c>
      <c r="E786" s="423" cm="1">
        <f t="array" ref="E786">_xlfn.IFERROR(SUM('Direct Costs 2026'!$C$4:$C$5)*D786,"N/A")</f>
        <v>1751000</v>
      </c>
      <c r="F786" s="423" cm="1">
        <f t="array" ref="F786">_xlfn.IFERROR('Direct Costs 2026'!$C$43*B786,"N/A")</f>
        <v>126000</v>
      </c>
      <c r="G786" s="423" cm="1">
        <f t="array" ref="G786">IF(B786&gt;0,'Direct Costs 2026'!$C$25,"N/A")</f>
        <v>90000</v>
      </c>
      <c r="H786" s="423">
        <v>0</v>
      </c>
      <c r="I786" s="423">
        <v>0</v>
      </c>
      <c r="J786" s="423">
        <v>0</v>
      </c>
      <c r="K786" s="423">
        <v>0</v>
      </c>
      <c r="L786" s="423" cm="1">
        <f t="array" ref="L786">IF(B786&gt;0,'Direct Costs 2026'!$C$23,"N/A")</f>
        <v>140000</v>
      </c>
      <c r="M786" s="423" cm="1">
        <f t="array" ref="M786">IF(B786&gt;0,'Direct Costs 2026'!$C$45*B786,"N/A")</f>
        <v>3150000</v>
      </c>
      <c r="N786" t="str" s="431" cm="1">
        <f t="array" ref="N786">IF(B786&gt;0,_xlfn.IFERROR(VLOOKUP(C767,'Boats Data Sheet 2026'!$C$3:$I$57,7,0)*'Direct Costs 2026'!$C$36,"N/A"),"N/A")</f>
        <v>N/A</v>
      </c>
      <c r="O786" s="423">
        <v>0</v>
      </c>
      <c r="P786" s="423">
        <v>0</v>
      </c>
      <c r="Q786" s="423" cm="1">
        <f t="array" ref="Q786">_xlfn.IFERROR(C786+SUM(E786:P786),"N/A")</f>
        <v>39257000</v>
      </c>
      <c r="R786" s="424"/>
      <c r="S786" s="423" cm="1">
        <f t="array" ref="S786">IF(B786&gt;0,'Allocation OH and Target 2026'!$E$31,"N/A")</f>
        <v>3100447.15769812</v>
      </c>
      <c r="T786" s="423">
        <v>810000</v>
      </c>
      <c r="U786" s="423" cm="1">
        <f t="array" ref="U786">_xlfn.IFERROR((S786+T786),"N/A")</f>
        <v>3910447.15769812</v>
      </c>
      <c r="V786" s="424"/>
      <c r="W786" s="423" cm="1">
        <f t="array" ref="W786">_xlfn.IFERROR(U786+Q786,"N/A")</f>
        <v>43167447.1576981</v>
      </c>
      <c r="X786" s="423" cm="1">
        <f t="array" ref="X786">_xlfn.IFERROR(W786*0.5%,"N/A")</f>
        <v>215837.235788491</v>
      </c>
      <c r="Y786" s="423" cm="1">
        <f t="array" ref="Y786">_xlfn.IFERROR(W786*25%,"N/A")</f>
        <v>10791861.7894245</v>
      </c>
      <c r="Z786" s="425" cm="1">
        <f t="array" ref="Z786">IF(B786&gt;0,(SUM(W786:Y786)),"N/A")</f>
        <v>54175146.1829111</v>
      </c>
      <c r="AA786" s="425" cm="1">
        <f t="array" ref="AA786">_xlfn.IFERROR((Z786-Z785),"N/A")</f>
        <v>1212330</v>
      </c>
      <c r="AB786" s="424"/>
      <c r="AC786" t="str" s="426" cm="1">
        <f t="array" ref="AC786">IF(B786=6,AVERAGE(Z770:Z775),"N/A")</f>
        <v>N/A</v>
      </c>
      <c r="AD786" s="424"/>
      <c r="AE786" s="423"/>
      <c r="AF786" s="423"/>
      <c r="AG786" s="423"/>
      <c r="AH786" s="423"/>
      <c r="AI786" s="423"/>
      <c r="AJ786" s="423"/>
      <c r="AK786" s="423"/>
      <c r="AL786" s="423"/>
      <c r="AM786" s="423"/>
      <c r="AN786" s="427"/>
    </row>
    <row r="787" ht="15" customHeight="1">
      <c r="A787" s="12"/>
      <c r="B787" s="428" cm="1">
        <f t="array" ref="B787">IF(B786=0,0,IF(B786&lt;VLOOKUP(C763,'Boats Data Sheet 2026'!$C$3:$H$57,6,0),B786+1,0))</f>
        <v>22</v>
      </c>
      <c r="C787" s="423" cm="1">
        <f t="array" ref="C787">_xlfn.IFERROR(IF(B787&gt;0,IF(VLOOKUP($C$763,'Boats Data Sheet 2026'!$C$3:$J$57,8,0)="N/A",0,VLOOKUP($C$763,'Boats Data Sheet 2026'!$C$3:$J$57,8,0)),"N/A")*100%,"N/A")</f>
        <v>34000000</v>
      </c>
      <c r="D787" s="430" cm="1">
        <f t="array" ref="D787">IF(B787&gt;7,2,IF(B787=0,"N/A",1))</f>
        <v>2</v>
      </c>
      <c r="E787" s="423" cm="1">
        <f t="array" ref="E787">_xlfn.IFERROR(SUM('Direct Costs 2026'!$C$4:$C$5)*D787,"N/A")</f>
        <v>1751000</v>
      </c>
      <c r="F787" s="423" cm="1">
        <f t="array" ref="F787">_xlfn.IFERROR('Direct Costs 2026'!$C$43*B787,"N/A")</f>
        <v>132000</v>
      </c>
      <c r="G787" s="423" cm="1">
        <f t="array" ref="G787">IF(B787&gt;0,'Direct Costs 2026'!$C$25,"N/A")</f>
        <v>90000</v>
      </c>
      <c r="H787" s="423">
        <v>0</v>
      </c>
      <c r="I787" s="423">
        <v>0</v>
      </c>
      <c r="J787" s="423">
        <v>0</v>
      </c>
      <c r="K787" s="423">
        <v>0</v>
      </c>
      <c r="L787" s="423" cm="1">
        <f t="array" ref="L787">IF(B787&gt;0,'Direct Costs 2026'!$C$23,"N/A")</f>
        <v>140000</v>
      </c>
      <c r="M787" s="423" cm="1">
        <f t="array" ref="M787">IF(B787&gt;0,'Direct Costs 2026'!$C$45*B787,"N/A")</f>
        <v>3300000</v>
      </c>
      <c r="N787" t="str" s="431" cm="1">
        <f t="array" ref="N787">IF(B787&gt;0,_xlfn.IFERROR(VLOOKUP(C769,'Boats Data Sheet 2026'!$C$3:$I$57,7,0)*'Direct Costs 2026'!$C$36,"N/A"),"N/A")</f>
        <v>N/A</v>
      </c>
      <c r="O787" s="423">
        <v>0</v>
      </c>
      <c r="P787" s="423">
        <v>0</v>
      </c>
      <c r="Q787" s="423" cm="1">
        <f t="array" ref="Q787">_xlfn.IFERROR(C787+SUM(E787:P787),"N/A")</f>
        <v>39413000</v>
      </c>
      <c r="R787" s="424"/>
      <c r="S787" s="423" cm="1">
        <f t="array" ref="S787">IF(B787&gt;0,'Allocation OH and Target 2026'!$E$31,"N/A")</f>
        <v>3100447.15769812</v>
      </c>
      <c r="T787" s="423" cm="1">
        <f t="array" ref="T787">$T$786+$T$786*(B787-$B$786)</f>
        <v>1620000</v>
      </c>
      <c r="U787" s="423" cm="1">
        <f t="array" ref="U787">_xlfn.IFERROR((S787+T787),"N/A")</f>
        <v>4720447.15769812</v>
      </c>
      <c r="V787" s="424"/>
      <c r="W787" s="423" cm="1">
        <f t="array" ref="W787">_xlfn.IFERROR(U787+Q787,"N/A")</f>
        <v>44133447.1576981</v>
      </c>
      <c r="X787" s="423" cm="1">
        <f t="array" ref="X787">_xlfn.IFERROR(W787*0.5%,"N/A")</f>
        <v>220667.235788491</v>
      </c>
      <c r="Y787" s="423" cm="1">
        <f t="array" ref="Y787">_xlfn.IFERROR(W787*25%,"N/A")</f>
        <v>11033361.7894245</v>
      </c>
      <c r="Z787" s="425" cm="1">
        <f t="array" ref="Z787">IF(B787&gt;0,(SUM(W787:Y787)),"N/A")</f>
        <v>55387476.1829111</v>
      </c>
      <c r="AA787" s="425" cm="1">
        <f t="array" ref="AA787">_xlfn.IFERROR((Z787-Z786),"N/A")</f>
        <v>1212330</v>
      </c>
      <c r="AB787" s="424"/>
      <c r="AC787" t="str" s="426" cm="1">
        <f t="array" ref="AC787">IF(B787=6,AVERAGE(Z772:Z777),"N/A")</f>
        <v>N/A</v>
      </c>
      <c r="AD787" s="424"/>
      <c r="AE787" s="423"/>
      <c r="AF787" s="423"/>
      <c r="AG787" s="423"/>
      <c r="AH787" s="423"/>
      <c r="AI787" s="423"/>
      <c r="AJ787" s="423"/>
      <c r="AK787" s="423"/>
      <c r="AL787" s="423"/>
      <c r="AM787" s="423"/>
      <c r="AN787" s="427"/>
    </row>
    <row r="788" ht="15" customHeight="1">
      <c r="A788" s="12"/>
      <c r="B788" s="428" cm="1">
        <f t="array" ref="B788">IF(B787=0,0,IF(B787&lt;VLOOKUP(C763,'Boats Data Sheet 2026'!$C$3:$H$57,6,0),B787+1,0))</f>
        <v>23</v>
      </c>
      <c r="C788" s="423" cm="1">
        <f t="array" ref="C788">_xlfn.IFERROR(IF(B788&gt;0,IF(VLOOKUP($C$763,'Boats Data Sheet 2026'!$C$3:$J$57,8,0)="N/A",0,VLOOKUP($C$763,'Boats Data Sheet 2026'!$C$3:$J$57,8,0)),"N/A")*100%,"N/A")</f>
        <v>34000000</v>
      </c>
      <c r="D788" s="430" cm="1">
        <f t="array" ref="D788">IF(B788&gt;7,2,IF(B788=0,"N/A",1))</f>
        <v>2</v>
      </c>
      <c r="E788" s="423" cm="1">
        <f t="array" ref="E788">_xlfn.IFERROR(SUM('Direct Costs 2026'!$C$4:$C$5)*D788,"N/A")</f>
        <v>1751000</v>
      </c>
      <c r="F788" s="423" cm="1">
        <f t="array" ref="F788">_xlfn.IFERROR('Direct Costs 2026'!$C$43*B788,"N/A")</f>
        <v>138000</v>
      </c>
      <c r="G788" s="423" cm="1">
        <f t="array" ref="G788">IF(B788&gt;0,'Direct Costs 2026'!$C$25,"N/A")</f>
        <v>90000</v>
      </c>
      <c r="H788" s="423">
        <v>0</v>
      </c>
      <c r="I788" s="423">
        <v>0</v>
      </c>
      <c r="J788" s="423">
        <v>0</v>
      </c>
      <c r="K788" s="423">
        <v>0</v>
      </c>
      <c r="L788" s="423" cm="1">
        <f t="array" ref="L788">IF(B788&gt;0,'Direct Costs 2026'!$C$23,"N/A")</f>
        <v>140000</v>
      </c>
      <c r="M788" s="423" cm="1">
        <f t="array" ref="M788">IF(B788&gt;0,'Direct Costs 2026'!$C$45*B788,"N/A")</f>
        <v>3450000</v>
      </c>
      <c r="N788" t="str" s="431" cm="1">
        <f t="array" ref="N788">IF(B788&gt;0,_xlfn.IFERROR(VLOOKUP(C769,'Boats Data Sheet 2026'!$C$3:$I$57,7,0)*'Direct Costs 2026'!$C$36,"N/A"),"N/A")</f>
        <v>N/A</v>
      </c>
      <c r="O788" s="423">
        <v>0</v>
      </c>
      <c r="P788" s="423">
        <v>0</v>
      </c>
      <c r="Q788" s="423" cm="1">
        <f t="array" ref="Q788">_xlfn.IFERROR(C788+SUM(E788:P788),"N/A")</f>
        <v>39569000</v>
      </c>
      <c r="R788" s="424"/>
      <c r="S788" s="423" cm="1">
        <f t="array" ref="S788">IF(B788&gt;0,'Allocation OH and Target 2026'!$E$31,"N/A")</f>
        <v>3100447.15769812</v>
      </c>
      <c r="T788" s="423" cm="1">
        <f t="array" ref="T788">$T$786+$T$786*(B788-$B$786)</f>
        <v>2430000</v>
      </c>
      <c r="U788" s="423" cm="1">
        <f t="array" ref="U788">_xlfn.IFERROR((S788+T788),"N/A")</f>
        <v>5530447.15769812</v>
      </c>
      <c r="V788" s="424"/>
      <c r="W788" s="423" cm="1">
        <f t="array" ref="W788">_xlfn.IFERROR(U788+Q788,"N/A")</f>
        <v>45099447.1576981</v>
      </c>
      <c r="X788" s="423" cm="1">
        <f t="array" ref="X788">_xlfn.IFERROR(W788*0.5%,"N/A")</f>
        <v>225497.235788491</v>
      </c>
      <c r="Y788" s="423" cm="1">
        <f t="array" ref="Y788">_xlfn.IFERROR(W788*25%,"N/A")</f>
        <v>11274861.7894245</v>
      </c>
      <c r="Z788" s="425" cm="1">
        <f t="array" ref="Z788">IF(B788&gt;0,(SUM(W788:Y788)),"N/A")</f>
        <v>56599806.1829111</v>
      </c>
      <c r="AA788" s="425" cm="1">
        <f t="array" ref="AA788">_xlfn.IFERROR((Z788-Z787),"N/A")</f>
        <v>1212330</v>
      </c>
      <c r="AB788" s="424"/>
      <c r="AC788" t="str" s="426" cm="1">
        <f t="array" ref="AC788">IF(B788=6,AVERAGE(Z772:Z777),"N/A")</f>
        <v>N/A</v>
      </c>
      <c r="AD788" s="424"/>
      <c r="AE788" s="423"/>
      <c r="AF788" s="423"/>
      <c r="AG788" s="423"/>
      <c r="AH788" s="423"/>
      <c r="AI788" s="423"/>
      <c r="AJ788" s="423"/>
      <c r="AK788" s="423"/>
      <c r="AL788" s="423"/>
      <c r="AM788" s="423"/>
      <c r="AN788" s="427"/>
    </row>
    <row r="789" ht="15" customHeight="1">
      <c r="A789" s="12"/>
      <c r="B789" s="428" cm="1">
        <f t="array" ref="B789">IF(B788=0,0,IF(B788&lt;VLOOKUP(C763,'Boats Data Sheet 2026'!$C$3:$H$57,6,0),B788+1,0))</f>
        <v>24</v>
      </c>
      <c r="C789" s="423" cm="1">
        <f t="array" ref="C789">_xlfn.IFERROR(IF(B789&gt;0,IF(VLOOKUP($C$763,'Boats Data Sheet 2026'!$C$3:$J$57,8,0)="N/A",0,VLOOKUP($C$763,'Boats Data Sheet 2026'!$C$3:$J$57,8,0)),"N/A")*100%,"N/A")</f>
        <v>34000000</v>
      </c>
      <c r="D789" s="430" cm="1">
        <f t="array" ref="D789">IF(B789&gt;7,2,IF(B789=0,"N/A",1))</f>
        <v>2</v>
      </c>
      <c r="E789" s="423" cm="1">
        <f t="array" ref="E789">_xlfn.IFERROR(SUM('Direct Costs 2026'!$C$4:$C$5)*D789,"N/A")</f>
        <v>1751000</v>
      </c>
      <c r="F789" s="423" cm="1">
        <f t="array" ref="F789">_xlfn.IFERROR('Direct Costs 2026'!$C$43*B789,"N/A")</f>
        <v>144000</v>
      </c>
      <c r="G789" s="423" cm="1">
        <f t="array" ref="G789">IF(B789&gt;0,'Direct Costs 2026'!$C$25,"N/A")</f>
        <v>90000</v>
      </c>
      <c r="H789" s="423">
        <v>0</v>
      </c>
      <c r="I789" s="423">
        <v>0</v>
      </c>
      <c r="J789" s="423">
        <v>0</v>
      </c>
      <c r="K789" s="423">
        <v>0</v>
      </c>
      <c r="L789" s="423" cm="1">
        <f t="array" ref="L789">IF(B789&gt;0,'Direct Costs 2026'!$C$23,"N/A")</f>
        <v>140000</v>
      </c>
      <c r="M789" s="423" cm="1">
        <f t="array" ref="M789">IF(B789&gt;0,'Direct Costs 2026'!$C$45*B789,"N/A")</f>
        <v>3600000</v>
      </c>
      <c r="N789" t="str" s="431" cm="1">
        <f t="array" ref="N789">IF(B789&gt;0,_xlfn.IFERROR(VLOOKUP(C771,'Boats Data Sheet 2026'!$C$3:$I$57,7,0)*'Direct Costs 2026'!$C$36,"N/A"),"N/A")</f>
        <v>N/A</v>
      </c>
      <c r="O789" s="423">
        <v>0</v>
      </c>
      <c r="P789" s="423">
        <v>0</v>
      </c>
      <c r="Q789" s="423" cm="1">
        <f t="array" ref="Q789">_xlfn.IFERROR(C789+SUM(E789:P789),"N/A")</f>
        <v>39725000</v>
      </c>
      <c r="R789" s="424"/>
      <c r="S789" s="423" cm="1">
        <f t="array" ref="S789">IF(B789&gt;0,'Allocation OH and Target 2026'!$E$31,"N/A")</f>
        <v>3100447.15769812</v>
      </c>
      <c r="T789" s="423" cm="1">
        <f t="array" ref="T789">$T$786+$T$786*(B789-$B$786)</f>
        <v>3240000</v>
      </c>
      <c r="U789" s="423" cm="1">
        <f t="array" ref="U789">_xlfn.IFERROR((S789+T789),"N/A")</f>
        <v>6340447.15769812</v>
      </c>
      <c r="V789" s="424"/>
      <c r="W789" s="423" cm="1">
        <f t="array" ref="W789">_xlfn.IFERROR(U789+Q789,"N/A")</f>
        <v>46065447.1576981</v>
      </c>
      <c r="X789" s="423" cm="1">
        <f t="array" ref="X789">_xlfn.IFERROR(W789*0.5%,"N/A")</f>
        <v>230327.235788491</v>
      </c>
      <c r="Y789" s="423" cm="1">
        <f t="array" ref="Y789">_xlfn.IFERROR(W789*25%,"N/A")</f>
        <v>11516361.7894245</v>
      </c>
      <c r="Z789" s="425" cm="1">
        <f t="array" ref="Z789">IF(B789&gt;0,(SUM(W789:Y789)),"N/A")</f>
        <v>57812136.1829111</v>
      </c>
      <c r="AA789" s="425" cm="1">
        <f t="array" ref="AA789">_xlfn.IFERROR((Z789-Z788),"N/A")</f>
        <v>1212330</v>
      </c>
      <c r="AB789" s="424"/>
      <c r="AC789" t="str" s="426" cm="1">
        <f t="array" ref="AC789">IF(B789=6,AVERAGE(Z774:Z779),"N/A")</f>
        <v>N/A</v>
      </c>
      <c r="AD789" s="424"/>
      <c r="AE789" s="423"/>
      <c r="AF789" s="423"/>
      <c r="AG789" s="423"/>
      <c r="AH789" s="423"/>
      <c r="AI789" s="423"/>
      <c r="AJ789" s="423"/>
      <c r="AK789" s="423"/>
      <c r="AL789" s="423"/>
      <c r="AM789" s="423"/>
      <c r="AN789" s="427"/>
    </row>
    <row r="790" ht="15" customHeight="1">
      <c r="A790" s="12"/>
      <c r="B790" s="428" cm="1">
        <f t="array" ref="B790">IF(B789=0,0,IF(B789&lt;VLOOKUP(C763,'Boats Data Sheet 2026'!$C$3:$H$57,6,0),B789+1,0))</f>
        <v>25</v>
      </c>
      <c r="C790" s="423" cm="1">
        <f t="array" ref="C790">_xlfn.IFERROR(IF(B790&gt;0,IF(VLOOKUP($C$763,'Boats Data Sheet 2026'!$C$3:$J$57,8,0)="N/A",0,VLOOKUP($C$763,'Boats Data Sheet 2026'!$C$3:$J$57,8,0)),"N/A")*100%,"N/A")</f>
        <v>34000000</v>
      </c>
      <c r="D790" s="430" cm="1">
        <f t="array" ref="D790">IF(B790&gt;7,2,IF(B790=0,"N/A",1))</f>
        <v>2</v>
      </c>
      <c r="E790" s="423" cm="1">
        <f t="array" ref="E790">_xlfn.IFERROR(SUM('Direct Costs 2026'!$C$4:$C$5)*D790,"N/A")</f>
        <v>1751000</v>
      </c>
      <c r="F790" s="423" cm="1">
        <f t="array" ref="F790">_xlfn.IFERROR('Direct Costs 2026'!$C$43*B790,"N/A")</f>
        <v>150000</v>
      </c>
      <c r="G790" s="423" cm="1">
        <f t="array" ref="G790">IF(B790&gt;0,'Direct Costs 2026'!$C$25,"N/A")</f>
        <v>90000</v>
      </c>
      <c r="H790" s="423">
        <v>0</v>
      </c>
      <c r="I790" s="423">
        <v>0</v>
      </c>
      <c r="J790" s="423">
        <v>0</v>
      </c>
      <c r="K790" s="423">
        <v>0</v>
      </c>
      <c r="L790" s="423" cm="1">
        <f t="array" ref="L790">IF(B790&gt;0,'Direct Costs 2026'!$C$23,"N/A")</f>
        <v>140000</v>
      </c>
      <c r="M790" s="423" cm="1">
        <f t="array" ref="M790">IF(B790&gt;0,'Direct Costs 2026'!$C$45*B790,"N/A")</f>
        <v>3750000</v>
      </c>
      <c r="N790" t="str" s="431" cm="1">
        <f t="array" ref="N790">IF(B790&gt;0,_xlfn.IFERROR(VLOOKUP(C771,'Boats Data Sheet 2026'!$C$3:$I$57,7,0)*'Direct Costs 2026'!$C$36,"N/A"),"N/A")</f>
        <v>N/A</v>
      </c>
      <c r="O790" s="423">
        <v>0</v>
      </c>
      <c r="P790" s="423">
        <v>0</v>
      </c>
      <c r="Q790" s="423" cm="1">
        <f t="array" ref="Q790">_xlfn.IFERROR(C790+SUM(E790:P790),"N/A")</f>
        <v>39881000</v>
      </c>
      <c r="R790" s="424"/>
      <c r="S790" s="423" cm="1">
        <f t="array" ref="S790">IF(B790&gt;0,'Allocation OH and Target 2026'!$E$31,"N/A")</f>
        <v>3100447.15769812</v>
      </c>
      <c r="T790" s="423" cm="1">
        <f t="array" ref="T790">$T$786+$T$786*(B790-$B$786)</f>
        <v>4050000</v>
      </c>
      <c r="U790" s="423" cm="1">
        <f t="array" ref="U790">_xlfn.IFERROR((S790+T790),"N/A")</f>
        <v>7150447.15769812</v>
      </c>
      <c r="V790" s="424"/>
      <c r="W790" s="423" cm="1">
        <f t="array" ref="W790">_xlfn.IFERROR(U790+Q790,"N/A")</f>
        <v>47031447.1576981</v>
      </c>
      <c r="X790" s="423" cm="1">
        <f t="array" ref="X790">_xlfn.IFERROR(W790*0.5%,"N/A")</f>
        <v>235157.235788491</v>
      </c>
      <c r="Y790" s="423" cm="1">
        <f t="array" ref="Y790">_xlfn.IFERROR(W790*25%,"N/A")</f>
        <v>11757861.7894245</v>
      </c>
      <c r="Z790" s="425" cm="1">
        <f t="array" ref="Z790">IF(B790&gt;0,(SUM(W790:Y790)),"N/A")</f>
        <v>59024466.1829111</v>
      </c>
      <c r="AA790" s="425" cm="1">
        <f t="array" ref="AA790">_xlfn.IFERROR((Z790-Z789),"N/A")</f>
        <v>1212330</v>
      </c>
      <c r="AB790" s="424"/>
      <c r="AC790" t="str" s="426" cm="1">
        <f t="array" ref="AC790">IF(B790=6,AVERAGE(Z774:Z779),"N/A")</f>
        <v>N/A</v>
      </c>
      <c r="AD790" s="424"/>
      <c r="AE790" s="423"/>
      <c r="AF790" s="423"/>
      <c r="AG790" s="423"/>
      <c r="AH790" s="423"/>
      <c r="AI790" s="423"/>
      <c r="AJ790" s="423"/>
      <c r="AK790" s="423"/>
      <c r="AL790" s="423"/>
      <c r="AM790" s="423"/>
      <c r="AN790" s="427"/>
    </row>
    <row r="791" ht="15" customHeight="1">
      <c r="A791" s="12"/>
      <c r="B791" s="428" cm="1">
        <f t="array" ref="B791">IF(B790=0,0,IF(B790&lt;VLOOKUP(C763,'Boats Data Sheet 2026'!$C$3:$H$57,6,0),B790+1,0))</f>
        <v>26</v>
      </c>
      <c r="C791" s="423" cm="1">
        <f t="array" ref="C791">_xlfn.IFERROR(IF(B791&gt;0,IF(VLOOKUP($C$763,'Boats Data Sheet 2026'!$C$3:$J$57,8,0)="N/A",0,VLOOKUP($C$763,'Boats Data Sheet 2026'!$C$3:$J$57,8,0)),"N/A")*100%,"N/A")</f>
        <v>34000000</v>
      </c>
      <c r="D791" s="430" cm="1">
        <f t="array" ref="D791">IF(B791&gt;7,2,IF(B791=0,"N/A",1))</f>
        <v>2</v>
      </c>
      <c r="E791" s="423" cm="1">
        <f t="array" ref="E791">_xlfn.IFERROR(SUM('Direct Costs 2026'!$C$4:$C$5)*D791,"N/A")</f>
        <v>1751000</v>
      </c>
      <c r="F791" s="423" cm="1">
        <f t="array" ref="F791">_xlfn.IFERROR('Direct Costs 2026'!$C$43*B791,"N/A")</f>
        <v>156000</v>
      </c>
      <c r="G791" s="423" cm="1">
        <f t="array" ref="G791">IF(B791&gt;0,'Direct Costs 2026'!$C$25,"N/A")</f>
        <v>90000</v>
      </c>
      <c r="H791" s="423">
        <v>0</v>
      </c>
      <c r="I791" s="423">
        <v>0</v>
      </c>
      <c r="J791" s="423">
        <v>0</v>
      </c>
      <c r="K791" s="423">
        <v>0</v>
      </c>
      <c r="L791" s="423" cm="1">
        <f t="array" ref="L791">IF(B791&gt;0,'Direct Costs 2026'!$C$23,"N/A")</f>
        <v>140000</v>
      </c>
      <c r="M791" s="423" cm="1">
        <f t="array" ref="M791">IF(B791&gt;0,'Direct Costs 2026'!$C$45*B791,"N/A")</f>
        <v>3900000</v>
      </c>
      <c r="N791" t="str" s="431" cm="1">
        <f t="array" ref="N791">IF(B791&gt;0,_xlfn.IFERROR(VLOOKUP(C773,'Boats Data Sheet 2026'!$C$3:$I$57,7,0)*'Direct Costs 2026'!$C$36,"N/A"),"N/A")</f>
        <v>N/A</v>
      </c>
      <c r="O791" s="423">
        <v>0</v>
      </c>
      <c r="P791" s="423">
        <v>0</v>
      </c>
      <c r="Q791" s="423" cm="1">
        <f t="array" ref="Q791">_xlfn.IFERROR(C791+SUM(E791:P791),"N/A")</f>
        <v>40037000</v>
      </c>
      <c r="R791" s="424"/>
      <c r="S791" s="423" cm="1">
        <f t="array" ref="S791">IF(B791&gt;0,'Allocation OH and Target 2026'!$E$31,"N/A")</f>
        <v>3100447.15769812</v>
      </c>
      <c r="T791" s="423" cm="1">
        <f t="array" ref="T791">$T$786+$T$786*(B791-$B$786)</f>
        <v>4860000</v>
      </c>
      <c r="U791" s="423" cm="1">
        <f t="array" ref="U791">_xlfn.IFERROR((S791+T791),"N/A")</f>
        <v>7960447.15769812</v>
      </c>
      <c r="V791" s="424"/>
      <c r="W791" s="423" cm="1">
        <f t="array" ref="W791">_xlfn.IFERROR(U791+Q791,"N/A")</f>
        <v>47997447.1576981</v>
      </c>
      <c r="X791" s="423" cm="1">
        <f t="array" ref="X791">_xlfn.IFERROR(W791*0.5%,"N/A")</f>
        <v>239987.235788491</v>
      </c>
      <c r="Y791" s="423" cm="1">
        <f t="array" ref="Y791">_xlfn.IFERROR(W791*25%,"N/A")</f>
        <v>11999361.7894245</v>
      </c>
      <c r="Z791" s="425" cm="1">
        <f t="array" ref="Z791">IF(B791&gt;0,(SUM(W791:Y791)),"N/A")</f>
        <v>60236796.1829111</v>
      </c>
      <c r="AA791" s="425" cm="1">
        <f t="array" ref="AA791">_xlfn.IFERROR((Z791-Z790),"N/A")</f>
        <v>1212330</v>
      </c>
      <c r="AB791" s="424"/>
      <c r="AC791" t="str" s="426" cm="1">
        <f t="array" ref="AC791">IF(B791=6,AVERAGE(Z776:Z781),"N/A")</f>
        <v>N/A</v>
      </c>
      <c r="AD791" s="424"/>
      <c r="AE791" s="423"/>
      <c r="AF791" s="423"/>
      <c r="AG791" s="423"/>
      <c r="AH791" s="423"/>
      <c r="AI791" s="423"/>
      <c r="AJ791" s="423"/>
      <c r="AK791" s="423"/>
      <c r="AL791" s="423"/>
      <c r="AM791" s="423"/>
      <c r="AN791" s="427"/>
    </row>
    <row r="792" ht="15" customHeight="1">
      <c r="A792" s="12"/>
      <c r="B792" s="428" cm="1">
        <f t="array" ref="B792">IF(B791=0,0,IF(B791&lt;VLOOKUP(C763,'Boats Data Sheet 2026'!$C$3:$H$57,6,0),B791+1,0))</f>
        <v>27</v>
      </c>
      <c r="C792" s="423" cm="1">
        <f t="array" ref="C792">_xlfn.IFERROR(IF(B792&gt;0,IF(VLOOKUP($C$763,'Boats Data Sheet 2026'!$C$3:$J$57,8,0)="N/A",0,VLOOKUP($C$763,'Boats Data Sheet 2026'!$C$3:$J$57,8,0)),"N/A")*100%,"N/A")</f>
        <v>34000000</v>
      </c>
      <c r="D792" s="430" cm="1">
        <f t="array" ref="D792">IF(B792&gt;7,2,IF(B792=0,"N/A",1))</f>
        <v>2</v>
      </c>
      <c r="E792" s="423" cm="1">
        <f t="array" ref="E792">_xlfn.IFERROR(SUM('Direct Costs 2026'!$C$4:$C$5)*D792,"N/A")</f>
        <v>1751000</v>
      </c>
      <c r="F792" s="423" cm="1">
        <f t="array" ref="F792">_xlfn.IFERROR('Direct Costs 2026'!$C$43*B792,"N/A")</f>
        <v>162000</v>
      </c>
      <c r="G792" s="423" cm="1">
        <f t="array" ref="G792">IF(B792&gt;0,'Direct Costs 2026'!$C$25,"N/A")</f>
        <v>90000</v>
      </c>
      <c r="H792" s="423">
        <v>0</v>
      </c>
      <c r="I792" s="423">
        <v>0</v>
      </c>
      <c r="J792" s="423">
        <v>0</v>
      </c>
      <c r="K792" s="423">
        <v>0</v>
      </c>
      <c r="L792" s="423" cm="1">
        <f t="array" ref="L792">IF(B792&gt;0,'Direct Costs 2026'!$C$23,"N/A")</f>
        <v>140000</v>
      </c>
      <c r="M792" s="423" cm="1">
        <f t="array" ref="M792">IF(B792&gt;0,'Direct Costs 2026'!$C$45*B792,"N/A")</f>
        <v>4050000</v>
      </c>
      <c r="N792" t="str" s="431" cm="1">
        <f t="array" ref="N792">IF(B792&gt;0,_xlfn.IFERROR(VLOOKUP(C773,'Boats Data Sheet 2026'!$C$3:$I$57,7,0)*'Direct Costs 2026'!$C$36,"N/A"),"N/A")</f>
        <v>N/A</v>
      </c>
      <c r="O792" s="423">
        <v>0</v>
      </c>
      <c r="P792" s="423">
        <v>0</v>
      </c>
      <c r="Q792" s="423" cm="1">
        <f t="array" ref="Q792">_xlfn.IFERROR(C792+SUM(E792:P792),"N/A")</f>
        <v>40193000</v>
      </c>
      <c r="R792" s="424"/>
      <c r="S792" s="423" cm="1">
        <f t="array" ref="S792">IF(B792&gt;0,'Allocation OH and Target 2026'!$E$31,"N/A")</f>
        <v>3100447.15769812</v>
      </c>
      <c r="T792" s="423" cm="1">
        <f t="array" ref="T792">$T$786+$T$786*(B792-$B$786)</f>
        <v>5670000</v>
      </c>
      <c r="U792" s="423" cm="1">
        <f t="array" ref="U792">_xlfn.IFERROR((S792+T792),"N/A")</f>
        <v>8770447.157698121</v>
      </c>
      <c r="V792" s="424"/>
      <c r="W792" s="423" cm="1">
        <f t="array" ref="W792">_xlfn.IFERROR(U792+Q792,"N/A")</f>
        <v>48963447.1576981</v>
      </c>
      <c r="X792" s="423" cm="1">
        <f t="array" ref="X792">_xlfn.IFERROR(W792*0.5%,"N/A")</f>
        <v>244817.235788491</v>
      </c>
      <c r="Y792" s="423" cm="1">
        <f t="array" ref="Y792">_xlfn.IFERROR(W792*25%,"N/A")</f>
        <v>12240861.7894245</v>
      </c>
      <c r="Z792" s="425" cm="1">
        <f t="array" ref="Z792">IF(B792&gt;0,(SUM(W792:Y792)),"N/A")</f>
        <v>61449126.1829111</v>
      </c>
      <c r="AA792" s="425" cm="1">
        <f t="array" ref="AA792">_xlfn.IFERROR((Z792-Z791),"N/A")</f>
        <v>1212330</v>
      </c>
      <c r="AB792" s="424"/>
      <c r="AC792" t="str" s="426" cm="1">
        <f t="array" ref="AC792">IF(B792=6,AVERAGE(Z776:Z781),"N/A")</f>
        <v>N/A</v>
      </c>
      <c r="AD792" s="424"/>
      <c r="AE792" s="423"/>
      <c r="AF792" s="423"/>
      <c r="AG792" s="423"/>
      <c r="AH792" s="423"/>
      <c r="AI792" s="423"/>
      <c r="AJ792" s="423"/>
      <c r="AK792" s="423"/>
      <c r="AL792" s="423"/>
      <c r="AM792" s="423"/>
      <c r="AN792" s="427"/>
    </row>
    <row r="793" ht="15" customHeight="1">
      <c r="A793" s="12"/>
      <c r="B793" s="428" cm="1">
        <f t="array" ref="B793">IF(B792=0,0,IF(B792&lt;VLOOKUP(C763,'Boats Data Sheet 2026'!$C$3:$H$57,6,0),B792+1,0))</f>
        <v>28</v>
      </c>
      <c r="C793" s="423" cm="1">
        <f t="array" ref="C793">_xlfn.IFERROR(IF(B793&gt;0,IF(VLOOKUP($C$763,'Boats Data Sheet 2026'!$C$3:$J$57,8,0)="N/A",0,VLOOKUP($C$763,'Boats Data Sheet 2026'!$C$3:$J$57,8,0)),"N/A")*100%,"N/A")</f>
        <v>34000000</v>
      </c>
      <c r="D793" s="430" cm="1">
        <f t="array" ref="D793">IF(B793&gt;7,2,IF(B793=0,"N/A",1))</f>
        <v>2</v>
      </c>
      <c r="E793" s="423" cm="1">
        <f t="array" ref="E793">_xlfn.IFERROR(SUM('Direct Costs 2026'!$C$4:$C$5)*D793,"N/A")</f>
        <v>1751000</v>
      </c>
      <c r="F793" s="423" cm="1">
        <f t="array" ref="F793">_xlfn.IFERROR('Direct Costs 2026'!$C$43*B793,"N/A")</f>
        <v>168000</v>
      </c>
      <c r="G793" s="423" cm="1">
        <f t="array" ref="G793">IF(B793&gt;0,'Direct Costs 2026'!$C$25,"N/A")</f>
        <v>90000</v>
      </c>
      <c r="H793" s="423">
        <v>0</v>
      </c>
      <c r="I793" s="423">
        <v>0</v>
      </c>
      <c r="J793" s="423">
        <v>0</v>
      </c>
      <c r="K793" s="423">
        <v>0</v>
      </c>
      <c r="L793" s="423" cm="1">
        <f t="array" ref="L793">IF(B793&gt;0,'Direct Costs 2026'!$C$23,"N/A")</f>
        <v>140000</v>
      </c>
      <c r="M793" s="423" cm="1">
        <f t="array" ref="M793">IF(B793&gt;0,'Direct Costs 2026'!$C$45*B793,"N/A")</f>
        <v>4200000</v>
      </c>
      <c r="N793" t="str" s="431" cm="1">
        <f t="array" ref="N793">IF(B793&gt;0,_xlfn.IFERROR(VLOOKUP(C775,'Boats Data Sheet 2026'!$C$3:$I$57,7,0)*'Direct Costs 2026'!$C$36,"N/A"),"N/A")</f>
        <v>N/A</v>
      </c>
      <c r="O793" s="423">
        <v>0</v>
      </c>
      <c r="P793" s="423">
        <v>0</v>
      </c>
      <c r="Q793" s="423" cm="1">
        <f t="array" ref="Q793">_xlfn.IFERROR(C793+SUM(E793:P793),"N/A")</f>
        <v>40349000</v>
      </c>
      <c r="R793" s="424"/>
      <c r="S793" s="423" cm="1">
        <f t="array" ref="S793">IF(B793&gt;0,'Allocation OH and Target 2026'!$E$31,"N/A")</f>
        <v>3100447.15769812</v>
      </c>
      <c r="T793" s="423" cm="1">
        <f t="array" ref="T793">$T$786+$T$786*(B793-$B$786)</f>
        <v>6480000</v>
      </c>
      <c r="U793" s="423" cm="1">
        <f t="array" ref="U793">_xlfn.IFERROR((S793+T793),"N/A")</f>
        <v>9580447.157698121</v>
      </c>
      <c r="V793" s="424"/>
      <c r="W793" s="423" cm="1">
        <f t="array" ref="W793">_xlfn.IFERROR(U793+Q793,"N/A")</f>
        <v>49929447.1576981</v>
      </c>
      <c r="X793" s="423" cm="1">
        <f t="array" ref="X793">_xlfn.IFERROR(W793*0.5%,"N/A")</f>
        <v>249647.235788491</v>
      </c>
      <c r="Y793" s="423" cm="1">
        <f t="array" ref="Y793">_xlfn.IFERROR(W793*25%,"N/A")</f>
        <v>12482361.7894245</v>
      </c>
      <c r="Z793" s="425" cm="1">
        <f t="array" ref="Z793">IF(B793&gt;0,(SUM(W793:Y793)),"N/A")</f>
        <v>62661456.1829111</v>
      </c>
      <c r="AA793" s="425" cm="1">
        <f t="array" ref="AA793">_xlfn.IFERROR((Z793-Z792),"N/A")</f>
        <v>1212330</v>
      </c>
      <c r="AB793" s="424"/>
      <c r="AC793" t="str" s="426" cm="1">
        <f t="array" ref="AC793">IF(B793=6,AVERAGE(Z778:Z783),"N/A")</f>
        <v>N/A</v>
      </c>
      <c r="AD793" s="424"/>
      <c r="AE793" s="423"/>
      <c r="AF793" s="423"/>
      <c r="AG793" s="423"/>
      <c r="AH793" s="423"/>
      <c r="AI793" s="423"/>
      <c r="AJ793" s="423"/>
      <c r="AK793" s="423"/>
      <c r="AL793" s="423"/>
      <c r="AM793" s="423"/>
      <c r="AN793" s="427"/>
    </row>
    <row r="794" ht="15" customHeight="1">
      <c r="A794" s="12"/>
      <c r="B794" s="428" cm="1">
        <f t="array" ref="B794">IF(B793=0,0,IF(B793&lt;VLOOKUP(C763,'Boats Data Sheet 2026'!$C$3:$H$57,6,0),B793+1,0))</f>
        <v>29</v>
      </c>
      <c r="C794" s="423" cm="1">
        <f t="array" ref="C794">_xlfn.IFERROR(IF(B794&gt;0,IF(VLOOKUP($C$763,'Boats Data Sheet 2026'!$C$3:$J$57,8,0)="N/A",0,VLOOKUP($C$763,'Boats Data Sheet 2026'!$C$3:$J$57,8,0)),"N/A")*100%,"N/A")</f>
        <v>34000000</v>
      </c>
      <c r="D794" s="430" cm="1">
        <f t="array" ref="D794">IF(B794&gt;7,2,IF(B794=0,"N/A",1))</f>
        <v>2</v>
      </c>
      <c r="E794" s="423" cm="1">
        <f t="array" ref="E794">_xlfn.IFERROR(SUM('Direct Costs 2026'!$C$4:$C$5)*D794,"N/A")</f>
        <v>1751000</v>
      </c>
      <c r="F794" s="423" cm="1">
        <f t="array" ref="F794">_xlfn.IFERROR('Direct Costs 2026'!$C$43*B794,"N/A")</f>
        <v>174000</v>
      </c>
      <c r="G794" s="423" cm="1">
        <f t="array" ref="G794">IF(B794&gt;0,'Direct Costs 2026'!$C$25,"N/A")</f>
        <v>90000</v>
      </c>
      <c r="H794" s="423">
        <v>0</v>
      </c>
      <c r="I794" s="423">
        <v>0</v>
      </c>
      <c r="J794" s="423">
        <v>0</v>
      </c>
      <c r="K794" s="423">
        <v>0</v>
      </c>
      <c r="L794" s="423" cm="1">
        <f t="array" ref="L794">IF(B794&gt;0,'Direct Costs 2026'!$C$23,"N/A")</f>
        <v>140000</v>
      </c>
      <c r="M794" s="423" cm="1">
        <f t="array" ref="M794">IF(B794&gt;0,'Direct Costs 2026'!$C$45*B794,"N/A")</f>
        <v>4350000</v>
      </c>
      <c r="N794" t="str" s="431" cm="1">
        <f t="array" ref="N794">IF(B794&gt;0,_xlfn.IFERROR(VLOOKUP(C775,'Boats Data Sheet 2026'!$C$3:$I$57,7,0)*'Direct Costs 2026'!$C$36,"N/A"),"N/A")</f>
        <v>N/A</v>
      </c>
      <c r="O794" s="423">
        <v>0</v>
      </c>
      <c r="P794" s="423">
        <v>0</v>
      </c>
      <c r="Q794" s="423" cm="1">
        <f t="array" ref="Q794">_xlfn.IFERROR(C794+SUM(E794:P794),"N/A")</f>
        <v>40505000</v>
      </c>
      <c r="R794" s="424"/>
      <c r="S794" s="423" cm="1">
        <f t="array" ref="S794">IF(B794&gt;0,'Allocation OH and Target 2026'!$E$31,"N/A")</f>
        <v>3100447.15769812</v>
      </c>
      <c r="T794" s="423" cm="1">
        <f t="array" ref="T794">$T$786+$T$786*(B794-$B$786)</f>
        <v>7290000</v>
      </c>
      <c r="U794" s="423" cm="1">
        <f t="array" ref="U794">_xlfn.IFERROR((S794+T794),"N/A")</f>
        <v>10390447.1576981</v>
      </c>
      <c r="V794" s="424"/>
      <c r="W794" s="423" cm="1">
        <f t="array" ref="W794">_xlfn.IFERROR(U794+Q794,"N/A")</f>
        <v>50895447.1576981</v>
      </c>
      <c r="X794" s="423" cm="1">
        <f t="array" ref="X794">_xlfn.IFERROR(W794*0.5%,"N/A")</f>
        <v>254477.235788491</v>
      </c>
      <c r="Y794" s="423" cm="1">
        <f t="array" ref="Y794">_xlfn.IFERROR(W794*25%,"N/A")</f>
        <v>12723861.7894245</v>
      </c>
      <c r="Z794" s="425" cm="1">
        <f t="array" ref="Z794">IF(B794&gt;0,(SUM(W794:Y794)),"N/A")</f>
        <v>63873786.1829111</v>
      </c>
      <c r="AA794" s="425" cm="1">
        <f t="array" ref="AA794">_xlfn.IFERROR((Z794-Z793),"N/A")</f>
        <v>1212330</v>
      </c>
      <c r="AB794" s="424"/>
      <c r="AC794" t="str" s="426" cm="1">
        <f t="array" ref="AC794">IF(B794=6,AVERAGE(Z778:Z783),"N/A")</f>
        <v>N/A</v>
      </c>
      <c r="AD794" s="424"/>
      <c r="AE794" s="423"/>
      <c r="AF794" s="423"/>
      <c r="AG794" s="423"/>
      <c r="AH794" s="423"/>
      <c r="AI794" s="423"/>
      <c r="AJ794" s="423"/>
      <c r="AK794" s="423"/>
      <c r="AL794" s="423"/>
      <c r="AM794" s="423"/>
      <c r="AN794" s="427"/>
    </row>
    <row r="795" ht="15" customHeight="1">
      <c r="A795" s="12"/>
      <c r="B795" s="428" cm="1">
        <f t="array" ref="B795">IF(B794=0,0,IF(B794&lt;VLOOKUP(C763,'Boats Data Sheet 2026'!$C$3:$H$57,6,0),B794+1,0))</f>
        <v>30</v>
      </c>
      <c r="C795" s="423" cm="1">
        <f t="array" ref="C795">_xlfn.IFERROR(IF(B795&gt;0,IF(VLOOKUP($C$763,'Boats Data Sheet 2026'!$C$3:$J$57,8,0)="N/A",0,VLOOKUP($C$763,'Boats Data Sheet 2026'!$C$3:$J$57,8,0)),"N/A")*100%,"N/A")</f>
        <v>34000000</v>
      </c>
      <c r="D795" s="430">
        <v>3</v>
      </c>
      <c r="E795" s="423" cm="1">
        <f t="array" ref="E795">_xlfn.IFERROR(SUM('Direct Costs 2026'!$C$4:$C$5)*D795,"N/A")</f>
        <v>2626500</v>
      </c>
      <c r="F795" s="423" cm="1">
        <f t="array" ref="F795">_xlfn.IFERROR('Direct Costs 2026'!$C$43*B795,"N/A")</f>
        <v>180000</v>
      </c>
      <c r="G795" s="423" cm="1">
        <f t="array" ref="G795">IF(B795&gt;0,'Direct Costs 2026'!$C$25,"N/A")</f>
        <v>90000</v>
      </c>
      <c r="H795" s="423">
        <v>0</v>
      </c>
      <c r="I795" s="423">
        <v>0</v>
      </c>
      <c r="J795" s="423">
        <v>0</v>
      </c>
      <c r="K795" s="423">
        <v>0</v>
      </c>
      <c r="L795" s="423" cm="1">
        <f t="array" ref="L795">IF(B795&gt;0,'Direct Costs 2026'!$C$23,"N/A")</f>
        <v>140000</v>
      </c>
      <c r="M795" s="423" cm="1">
        <f t="array" ref="M795">IF(B795&gt;0,'Direct Costs 2026'!$C$45*B795,"N/A")</f>
        <v>4500000</v>
      </c>
      <c r="N795" t="str" s="431" cm="1">
        <f t="array" ref="N795">IF(B795&gt;0,_xlfn.IFERROR(VLOOKUP(C777,'Boats Data Sheet 2026'!$C$3:$I$57,7,0)*'Direct Costs 2026'!$C$36,"N/A"),"N/A")</f>
        <v>N/A</v>
      </c>
      <c r="O795" s="423">
        <v>0</v>
      </c>
      <c r="P795" s="423">
        <v>0</v>
      </c>
      <c r="Q795" s="423" cm="1">
        <f t="array" ref="Q795">_xlfn.IFERROR(C795+SUM(E795:P795),"N/A")</f>
        <v>41536500</v>
      </c>
      <c r="R795" s="424"/>
      <c r="S795" s="423" cm="1">
        <f t="array" ref="S795">IF(B795&gt;0,'Allocation OH and Target 2026'!$E$31,"N/A")</f>
        <v>3100447.15769812</v>
      </c>
      <c r="T795" s="423" cm="1">
        <f t="array" ref="T795">$T$786+$T$786*(B795-$B$786)</f>
        <v>8100000</v>
      </c>
      <c r="U795" s="423" cm="1">
        <f t="array" ref="U795">_xlfn.IFERROR((S795+T795),"N/A")</f>
        <v>11200447.1576981</v>
      </c>
      <c r="V795" s="424"/>
      <c r="W795" s="423" cm="1">
        <f t="array" ref="W795">_xlfn.IFERROR(U795+Q795,"N/A")</f>
        <v>52736947.1576981</v>
      </c>
      <c r="X795" s="423" cm="1">
        <f t="array" ref="X795">_xlfn.IFERROR(W795*0.5%,"N/A")</f>
        <v>263684.735788491</v>
      </c>
      <c r="Y795" s="423" cm="1">
        <f t="array" ref="Y795">_xlfn.IFERROR(W795*25%,"N/A")</f>
        <v>13184236.7894245</v>
      </c>
      <c r="Z795" s="425" cm="1">
        <f t="array" ref="Z795">IF(B795&gt;0,(SUM(W795:Y795)),"N/A")</f>
        <v>66184868.6829111</v>
      </c>
      <c r="AA795" s="425" cm="1">
        <f t="array" ref="AA795">_xlfn.IFERROR((Z795-Z794),"N/A")</f>
        <v>2311082.5</v>
      </c>
      <c r="AB795" s="424"/>
      <c r="AC795" t="str" s="426" cm="1">
        <f t="array" ref="AC795">IF(B795=6,AVERAGE(Z780:Z785),"N/A")</f>
        <v>N/A</v>
      </c>
      <c r="AD795" s="424"/>
      <c r="AE795" s="423"/>
      <c r="AF795" s="423"/>
      <c r="AG795" s="423"/>
      <c r="AH795" s="423"/>
      <c r="AI795" s="423"/>
      <c r="AJ795" s="423"/>
      <c r="AK795" s="423"/>
      <c r="AL795" s="423"/>
      <c r="AM795" s="423"/>
      <c r="AN795" s="427"/>
    </row>
    <row r="796" ht="15" customHeight="1">
      <c r="A796" s="12"/>
      <c r="B796" s="428" cm="1">
        <f t="array" ref="B796">IF(B795=0,0,IF(B795&lt;VLOOKUP(C763,'Boats Data Sheet 2026'!$C$3:$H$57,6,0),B795+1,0))</f>
        <v>31</v>
      </c>
      <c r="C796" s="423" cm="1">
        <f t="array" ref="C796">_xlfn.IFERROR(IF(B796&gt;0,IF(VLOOKUP($C$763,'Boats Data Sheet 2026'!$C$3:$J$57,8,0)="N/A",0,VLOOKUP($C$763,'Boats Data Sheet 2026'!$C$3:$J$57,8,0)),"N/A")*100%,"N/A")</f>
        <v>34000000</v>
      </c>
      <c r="D796" s="430">
        <v>3</v>
      </c>
      <c r="E796" s="423" cm="1">
        <f t="array" ref="E796">_xlfn.IFERROR(SUM('Direct Costs 2026'!$C$4:$C$5)*D796,"N/A")</f>
        <v>2626500</v>
      </c>
      <c r="F796" s="423" cm="1">
        <f t="array" ref="F796">_xlfn.IFERROR('Direct Costs 2026'!$C$43*B796,"N/A")</f>
        <v>186000</v>
      </c>
      <c r="G796" s="423" cm="1">
        <f t="array" ref="G796">IF(B796&gt;0,'Direct Costs 2026'!$C$25,"N/A")</f>
        <v>90000</v>
      </c>
      <c r="H796" s="423">
        <v>0</v>
      </c>
      <c r="I796" s="423">
        <v>0</v>
      </c>
      <c r="J796" s="423">
        <v>0</v>
      </c>
      <c r="K796" s="423">
        <v>0</v>
      </c>
      <c r="L796" s="423" cm="1">
        <f t="array" ref="L796">IF(B796&gt;0,'Direct Costs 2026'!$C$23,"N/A")</f>
        <v>140000</v>
      </c>
      <c r="M796" s="423" cm="1">
        <f t="array" ref="M796">IF(B796&gt;0,'Direct Costs 2026'!$C$45*B796,"N/A")</f>
        <v>4650000</v>
      </c>
      <c r="N796" t="str" s="431" cm="1">
        <f t="array" ref="N796">IF(B796&gt;0,_xlfn.IFERROR(VLOOKUP(C777,'Boats Data Sheet 2026'!$C$3:$I$57,7,0)*'Direct Costs 2026'!$C$36,"N/A"),"N/A")</f>
        <v>N/A</v>
      </c>
      <c r="O796" s="423">
        <v>0</v>
      </c>
      <c r="P796" s="423">
        <v>0</v>
      </c>
      <c r="Q796" s="423" cm="1">
        <f t="array" ref="Q796">_xlfn.IFERROR(C796+SUM(E796:P796),"N/A")</f>
        <v>41692500</v>
      </c>
      <c r="R796" s="424"/>
      <c r="S796" s="423" cm="1">
        <f t="array" ref="S796">IF(B796&gt;0,'Allocation OH and Target 2026'!$E$31,"N/A")</f>
        <v>3100447.15769812</v>
      </c>
      <c r="T796" s="423" cm="1">
        <f t="array" ref="T796">$T$786+$T$786*(B796-$B$786)</f>
        <v>8910000</v>
      </c>
      <c r="U796" s="423" cm="1">
        <f t="array" ref="U796">_xlfn.IFERROR((S796+T796),"N/A")</f>
        <v>12010447.1576981</v>
      </c>
      <c r="V796" s="424"/>
      <c r="W796" s="423" cm="1">
        <f t="array" ref="W796">_xlfn.IFERROR(U796+Q796,"N/A")</f>
        <v>53702947.1576981</v>
      </c>
      <c r="X796" s="423" cm="1">
        <f t="array" ref="X796">_xlfn.IFERROR(W796*0.5%,"N/A")</f>
        <v>268514.735788491</v>
      </c>
      <c r="Y796" s="423" cm="1">
        <f t="array" ref="Y796">_xlfn.IFERROR(W796*25%,"N/A")</f>
        <v>13425736.7894245</v>
      </c>
      <c r="Z796" s="425" cm="1">
        <f t="array" ref="Z796">IF(B796&gt;0,(SUM(W796:Y796)),"N/A")</f>
        <v>67397198.6829111</v>
      </c>
      <c r="AA796" s="425" cm="1">
        <f t="array" ref="AA796">_xlfn.IFERROR((Z796-Z795),"N/A")</f>
        <v>1212330</v>
      </c>
      <c r="AB796" s="424"/>
      <c r="AC796" t="str" s="426" cm="1">
        <f t="array" ref="AC796">IF(B796=6,AVERAGE(Z780:Z785),"N/A")</f>
        <v>N/A</v>
      </c>
      <c r="AD796" s="424"/>
      <c r="AE796" s="423"/>
      <c r="AF796" s="423"/>
      <c r="AG796" s="423"/>
      <c r="AH796" s="423"/>
      <c r="AI796" s="423"/>
      <c r="AJ796" s="423"/>
      <c r="AK796" s="423"/>
      <c r="AL796" s="423"/>
      <c r="AM796" s="423"/>
      <c r="AN796" s="427"/>
    </row>
    <row r="797" ht="15" customHeight="1">
      <c r="A797" s="12"/>
      <c r="B797" s="428" cm="1">
        <f t="array" ref="B797">IF(B796=0,0,IF(B796&lt;VLOOKUP(C763,'Boats Data Sheet 2026'!$C$3:$H$57,6,0),B796+1,0))</f>
        <v>32</v>
      </c>
      <c r="C797" s="423" cm="1">
        <f t="array" ref="C797">_xlfn.IFERROR(IF(B797&gt;0,IF(VLOOKUP($C$763,'Boats Data Sheet 2026'!$C$3:$J$57,8,0)="N/A",0,VLOOKUP($C$763,'Boats Data Sheet 2026'!$C$3:$J$57,8,0)),"N/A")*100%,"N/A")</f>
        <v>34000000</v>
      </c>
      <c r="D797" s="430">
        <v>3</v>
      </c>
      <c r="E797" s="423" cm="1">
        <f t="array" ref="E797">_xlfn.IFERROR(SUM('Direct Costs 2026'!$C$4:$C$5)*D797,"N/A")</f>
        <v>2626500</v>
      </c>
      <c r="F797" s="423" cm="1">
        <f t="array" ref="F797">_xlfn.IFERROR('Direct Costs 2026'!$C$43*B797,"N/A")</f>
        <v>192000</v>
      </c>
      <c r="G797" s="423" cm="1">
        <f t="array" ref="G797">IF(B797&gt;0,'Direct Costs 2026'!$C$25,"N/A")</f>
        <v>90000</v>
      </c>
      <c r="H797" s="423">
        <v>0</v>
      </c>
      <c r="I797" s="423">
        <v>0</v>
      </c>
      <c r="J797" s="423">
        <v>0</v>
      </c>
      <c r="K797" s="423">
        <v>0</v>
      </c>
      <c r="L797" s="423" cm="1">
        <f t="array" ref="L797">IF(B797&gt;0,'Direct Costs 2026'!$C$23,"N/A")</f>
        <v>140000</v>
      </c>
      <c r="M797" s="423" cm="1">
        <f t="array" ref="M797">IF(B797&gt;0,'Direct Costs 2026'!$C$45*B797,"N/A")</f>
        <v>4800000</v>
      </c>
      <c r="N797" t="str" s="431" cm="1">
        <f t="array" ref="N797">IF(B797&gt;0,_xlfn.IFERROR(VLOOKUP(C779,'Boats Data Sheet 2026'!$C$3:$I$57,7,0)*'Direct Costs 2026'!$C$36,"N/A"),"N/A")</f>
        <v>N/A</v>
      </c>
      <c r="O797" s="423">
        <v>0</v>
      </c>
      <c r="P797" s="423">
        <v>0</v>
      </c>
      <c r="Q797" s="423" cm="1">
        <f t="array" ref="Q797">_xlfn.IFERROR(C797+SUM(E797:P797),"N/A")</f>
        <v>41848500</v>
      </c>
      <c r="R797" s="424"/>
      <c r="S797" s="423" cm="1">
        <f t="array" ref="S797">IF(B797&gt;0,'Allocation OH and Target 2026'!$E$31,"N/A")</f>
        <v>3100447.15769812</v>
      </c>
      <c r="T797" s="423" cm="1">
        <f t="array" ref="T797">$T$786+$T$786*(B797-$B$786)</f>
        <v>9720000</v>
      </c>
      <c r="U797" s="423" cm="1">
        <f t="array" ref="U797">_xlfn.IFERROR((S797+T797),"N/A")</f>
        <v>12820447.1576981</v>
      </c>
      <c r="V797" s="424"/>
      <c r="W797" s="423" cm="1">
        <f t="array" ref="W797">_xlfn.IFERROR(U797+Q797,"N/A")</f>
        <v>54668947.1576981</v>
      </c>
      <c r="X797" s="423" cm="1">
        <f t="array" ref="X797">_xlfn.IFERROR(W797*0.5%,"N/A")</f>
        <v>273344.735788491</v>
      </c>
      <c r="Y797" s="423" cm="1">
        <f t="array" ref="Y797">_xlfn.IFERROR(W797*25%,"N/A")</f>
        <v>13667236.7894245</v>
      </c>
      <c r="Z797" s="425" cm="1">
        <f t="array" ref="Z797">IF(B797&gt;0,(SUM(W797:Y797)),"N/A")</f>
        <v>68609528.6829111</v>
      </c>
      <c r="AA797" s="425" cm="1">
        <f t="array" ref="AA797">_xlfn.IFERROR((Z797-Z796),"N/A")</f>
        <v>1212330</v>
      </c>
      <c r="AB797" s="424"/>
      <c r="AC797" t="str" s="426" cm="1">
        <f t="array" ref="AC797">IF(B797=6,AVERAGE(Z782:Z787),"N/A")</f>
        <v>N/A</v>
      </c>
      <c r="AD797" s="424"/>
      <c r="AE797" s="423"/>
      <c r="AF797" s="423"/>
      <c r="AG797" s="423"/>
      <c r="AH797" s="423"/>
      <c r="AI797" s="423"/>
      <c r="AJ797" s="423"/>
      <c r="AK797" s="423"/>
      <c r="AL797" s="423"/>
      <c r="AM797" s="423"/>
      <c r="AN797" s="427"/>
    </row>
    <row r="798" ht="15" customHeight="1">
      <c r="A798" s="12"/>
      <c r="B798" s="428" cm="1">
        <f t="array" ref="B798">IF(B797=0,0,IF(B797&lt;VLOOKUP(C763,'Boats Data Sheet 2026'!$C$3:$H$57,6,0),B797+1,0))</f>
        <v>33</v>
      </c>
      <c r="C798" s="423" cm="1">
        <f t="array" ref="C798">_xlfn.IFERROR(IF(B798&gt;0,IF(VLOOKUP($C$763,'Boats Data Sheet 2026'!$C$3:$J$57,8,0)="N/A",0,VLOOKUP($C$763,'Boats Data Sheet 2026'!$C$3:$J$57,8,0)),"N/A")*100%,"N/A")</f>
        <v>34000000</v>
      </c>
      <c r="D798" s="430">
        <v>3</v>
      </c>
      <c r="E798" s="423" cm="1">
        <f t="array" ref="E798">_xlfn.IFERROR(SUM('Direct Costs 2026'!$C$4:$C$5)*D798,"N/A")</f>
        <v>2626500</v>
      </c>
      <c r="F798" s="423" cm="1">
        <f t="array" ref="F798">_xlfn.IFERROR('Direct Costs 2026'!$C$43*B798,"N/A")</f>
        <v>198000</v>
      </c>
      <c r="G798" s="423" cm="1">
        <f t="array" ref="G798">IF(B798&gt;0,'Direct Costs 2026'!$C$25,"N/A")</f>
        <v>90000</v>
      </c>
      <c r="H798" s="423">
        <v>0</v>
      </c>
      <c r="I798" s="423">
        <v>0</v>
      </c>
      <c r="J798" s="423">
        <v>0</v>
      </c>
      <c r="K798" s="423">
        <v>0</v>
      </c>
      <c r="L798" s="423" cm="1">
        <f t="array" ref="L798">IF(B798&gt;0,'Direct Costs 2026'!$C$23,"N/A")</f>
        <v>140000</v>
      </c>
      <c r="M798" s="423" cm="1">
        <f t="array" ref="M798">IF(B798&gt;0,'Direct Costs 2026'!$C$45*B798,"N/A")</f>
        <v>4950000</v>
      </c>
      <c r="N798" t="str" s="431" cm="1">
        <f t="array" ref="N798">IF(B798&gt;0,_xlfn.IFERROR(VLOOKUP(C779,'Boats Data Sheet 2026'!$C$3:$I$57,7,0)*'Direct Costs 2026'!$C$36,"N/A"),"N/A")</f>
        <v>N/A</v>
      </c>
      <c r="O798" s="423">
        <v>0</v>
      </c>
      <c r="P798" s="423">
        <v>0</v>
      </c>
      <c r="Q798" s="423" cm="1">
        <f t="array" ref="Q798">_xlfn.IFERROR(C798+SUM(E798:P798),"N/A")</f>
        <v>42004500</v>
      </c>
      <c r="R798" s="424"/>
      <c r="S798" s="423" cm="1">
        <f t="array" ref="S798">IF(B798&gt;0,'Allocation OH and Target 2026'!$E$31,"N/A")</f>
        <v>3100447.15769812</v>
      </c>
      <c r="T798" s="423" cm="1">
        <f t="array" ref="T798">$T$786+$T$786*(B798-$B$786)</f>
        <v>10530000</v>
      </c>
      <c r="U798" s="423" cm="1">
        <f t="array" ref="U798">_xlfn.IFERROR((S798+T798),"N/A")</f>
        <v>13630447.1576981</v>
      </c>
      <c r="V798" s="424"/>
      <c r="W798" s="423" cm="1">
        <f t="array" ref="W798">_xlfn.IFERROR(U798+Q798,"N/A")</f>
        <v>55634947.1576981</v>
      </c>
      <c r="X798" s="423" cm="1">
        <f t="array" ref="X798">_xlfn.IFERROR(W798*0.5%,"N/A")</f>
        <v>278174.735788491</v>
      </c>
      <c r="Y798" s="423" cm="1">
        <f t="array" ref="Y798">_xlfn.IFERROR(W798*25%,"N/A")</f>
        <v>13908736.7894245</v>
      </c>
      <c r="Z798" s="425" cm="1">
        <f t="array" ref="Z798">IF(B798&gt;0,(SUM(W798:Y798)),"N/A")</f>
        <v>69821858.6829111</v>
      </c>
      <c r="AA798" s="425" cm="1">
        <f t="array" ref="AA798">_xlfn.IFERROR((Z798-Z797),"N/A")</f>
        <v>1212330</v>
      </c>
      <c r="AB798" s="424"/>
      <c r="AC798" t="str" s="426" cm="1">
        <f t="array" ref="AC798">IF(B798=6,AVERAGE(Z782:Z787),"N/A")</f>
        <v>N/A</v>
      </c>
      <c r="AD798" s="424"/>
      <c r="AE798" s="423"/>
      <c r="AF798" s="423"/>
      <c r="AG798" s="423"/>
      <c r="AH798" s="423"/>
      <c r="AI798" s="423"/>
      <c r="AJ798" s="423"/>
      <c r="AK798" s="423"/>
      <c r="AL798" s="423"/>
      <c r="AM798" s="423"/>
      <c r="AN798" s="427"/>
    </row>
    <row r="799" ht="15" customHeight="1">
      <c r="A799" s="12"/>
      <c r="B799" s="428" cm="1">
        <f t="array" ref="B799">IF(B798=0,0,IF(B798&lt;VLOOKUP(C763,'Boats Data Sheet 2026'!$C$3:$H$57,6,0),B798+1,0))</f>
        <v>34</v>
      </c>
      <c r="C799" s="423" cm="1">
        <f t="array" ref="C799">_xlfn.IFERROR(IF(B799&gt;0,IF(VLOOKUP($C$763,'Boats Data Sheet 2026'!$C$3:$J$57,8,0)="N/A",0,VLOOKUP($C$763,'Boats Data Sheet 2026'!$C$3:$J$57,8,0)),"N/A")*100%,"N/A")</f>
        <v>34000000</v>
      </c>
      <c r="D799" s="430">
        <v>3</v>
      </c>
      <c r="E799" s="423" cm="1">
        <f t="array" ref="E799">_xlfn.IFERROR(SUM('Direct Costs 2026'!$C$4:$C$5)*D799,"N/A")</f>
        <v>2626500</v>
      </c>
      <c r="F799" s="423" cm="1">
        <f t="array" ref="F799">_xlfn.IFERROR('Direct Costs 2026'!$C$43*B799,"N/A")</f>
        <v>204000</v>
      </c>
      <c r="G799" s="423" cm="1">
        <f t="array" ref="G799">IF(B799&gt;0,'Direct Costs 2026'!$C$25,"N/A")</f>
        <v>90000</v>
      </c>
      <c r="H799" s="423">
        <v>0</v>
      </c>
      <c r="I799" s="423">
        <v>0</v>
      </c>
      <c r="J799" s="423">
        <v>0</v>
      </c>
      <c r="K799" s="423">
        <v>0</v>
      </c>
      <c r="L799" s="423" cm="1">
        <f t="array" ref="L799">IF(B799&gt;0,'Direct Costs 2026'!$C$23,"N/A")</f>
        <v>140000</v>
      </c>
      <c r="M799" s="423" cm="1">
        <f t="array" ref="M799">IF(B799&gt;0,'Direct Costs 2026'!$C$45*B799,"N/A")</f>
        <v>5100000</v>
      </c>
      <c r="N799" t="str" s="431" cm="1">
        <f t="array" ref="N799">IF(B799&gt;0,_xlfn.IFERROR(VLOOKUP(C781,'Boats Data Sheet 2026'!$C$3:$I$57,7,0)*'Direct Costs 2026'!$C$36,"N/A"),"N/A")</f>
        <v>N/A</v>
      </c>
      <c r="O799" s="423">
        <v>0</v>
      </c>
      <c r="P799" s="423">
        <v>0</v>
      </c>
      <c r="Q799" s="423" cm="1">
        <f t="array" ref="Q799">_xlfn.IFERROR(C799+SUM(E799:P799),"N/A")</f>
        <v>42160500</v>
      </c>
      <c r="R799" s="424"/>
      <c r="S799" s="423" cm="1">
        <f t="array" ref="S799">IF(B799&gt;0,'Allocation OH and Target 2026'!$E$31,"N/A")</f>
        <v>3100447.15769812</v>
      </c>
      <c r="T799" s="423" cm="1">
        <f t="array" ref="T799">$T$786+$T$786*(B799-$B$786)</f>
        <v>11340000</v>
      </c>
      <c r="U799" s="423" cm="1">
        <f t="array" ref="U799">_xlfn.IFERROR((S799+T799),"N/A")</f>
        <v>14440447.1576981</v>
      </c>
      <c r="V799" s="424"/>
      <c r="W799" s="423" cm="1">
        <f t="array" ref="W799">_xlfn.IFERROR(U799+Q799,"N/A")</f>
        <v>56600947.1576981</v>
      </c>
      <c r="X799" s="423" cm="1">
        <f t="array" ref="X799">_xlfn.IFERROR(W799*0.5%,"N/A")</f>
        <v>283004.735788491</v>
      </c>
      <c r="Y799" s="423" cm="1">
        <f t="array" ref="Y799">_xlfn.IFERROR(W799*25%,"N/A")</f>
        <v>14150236.7894245</v>
      </c>
      <c r="Z799" s="425" cm="1">
        <f t="array" ref="Z799">IF(B799&gt;0,(SUM(W799:Y799)),"N/A")</f>
        <v>71034188.6829111</v>
      </c>
      <c r="AA799" s="425" cm="1">
        <f t="array" ref="AA799">_xlfn.IFERROR((Z799-Z798),"N/A")</f>
        <v>1212330</v>
      </c>
      <c r="AB799" s="424"/>
      <c r="AC799" t="str" s="426" cm="1">
        <f t="array" ref="AC799">IF(B799=6,AVERAGE(Z784:Z789),"N/A")</f>
        <v>N/A</v>
      </c>
      <c r="AD799" s="424"/>
      <c r="AE799" s="423"/>
      <c r="AF799" s="423"/>
      <c r="AG799" s="423"/>
      <c r="AH799" s="423"/>
      <c r="AI799" s="423"/>
      <c r="AJ799" s="423"/>
      <c r="AK799" s="423"/>
      <c r="AL799" s="423"/>
      <c r="AM799" s="423"/>
      <c r="AN799" s="427"/>
    </row>
    <row r="800" ht="15" customHeight="1">
      <c r="A800" s="12"/>
      <c r="B800" s="428" cm="1">
        <f t="array" ref="B800">IF(B799=0,0,IF(B799&lt;VLOOKUP(C763,'Boats Data Sheet 2026'!$C$3:$H$57,6,0),B799+1,0))</f>
        <v>35</v>
      </c>
      <c r="C800" s="423" cm="1">
        <f t="array" ref="C800">_xlfn.IFERROR(IF(B800&gt;0,IF(VLOOKUP($C$763,'Boats Data Sheet 2026'!$C$3:$J$57,8,0)="N/A",0,VLOOKUP($C$763,'Boats Data Sheet 2026'!$C$3:$J$57,8,0)),"N/A")*100%,"N/A")</f>
        <v>34000000</v>
      </c>
      <c r="D800" s="430">
        <v>3</v>
      </c>
      <c r="E800" s="423" cm="1">
        <f t="array" ref="E800">_xlfn.IFERROR(SUM('Direct Costs 2026'!$C$4:$C$5)*D800,"N/A")</f>
        <v>2626500</v>
      </c>
      <c r="F800" s="423" cm="1">
        <f t="array" ref="F800">_xlfn.IFERROR('Direct Costs 2026'!$C$43*B800,"N/A")</f>
        <v>210000</v>
      </c>
      <c r="G800" s="423" cm="1">
        <f t="array" ref="G800">IF(B800&gt;0,'Direct Costs 2026'!$C$25,"N/A")</f>
        <v>90000</v>
      </c>
      <c r="H800" s="423">
        <v>0</v>
      </c>
      <c r="I800" s="423">
        <v>0</v>
      </c>
      <c r="J800" s="423">
        <v>0</v>
      </c>
      <c r="K800" s="423">
        <v>0</v>
      </c>
      <c r="L800" s="423" cm="1">
        <f t="array" ref="L800">IF(B800&gt;0,'Direct Costs 2026'!$C$23,"N/A")</f>
        <v>140000</v>
      </c>
      <c r="M800" s="423" cm="1">
        <f t="array" ref="M800">IF(B800&gt;0,'Direct Costs 2026'!$C$45*B800,"N/A")</f>
        <v>5250000</v>
      </c>
      <c r="N800" t="str" s="431" cm="1">
        <f t="array" ref="N800">IF(B800&gt;0,_xlfn.IFERROR(VLOOKUP(C781,'Boats Data Sheet 2026'!$C$3:$I$57,7,0)*'Direct Costs 2026'!$C$36,"N/A"),"N/A")</f>
        <v>N/A</v>
      </c>
      <c r="O800" s="423">
        <v>0</v>
      </c>
      <c r="P800" s="423">
        <v>0</v>
      </c>
      <c r="Q800" s="423" cm="1">
        <f t="array" ref="Q800">_xlfn.IFERROR(C800+SUM(E800:P800),"N/A")</f>
        <v>42316500</v>
      </c>
      <c r="R800" s="424"/>
      <c r="S800" s="423" cm="1">
        <f t="array" ref="S800">IF(B800&gt;0,'Allocation OH and Target 2026'!$E$31,"N/A")</f>
        <v>3100447.15769812</v>
      </c>
      <c r="T800" s="423" cm="1">
        <f t="array" ref="T800">$T$786+$T$786*(B800-$B$786)</f>
        <v>12150000</v>
      </c>
      <c r="U800" s="423" cm="1">
        <f t="array" ref="U800">_xlfn.IFERROR((S800+T800),"N/A")</f>
        <v>15250447.1576981</v>
      </c>
      <c r="V800" s="424"/>
      <c r="W800" s="423" cm="1">
        <f t="array" ref="W800">_xlfn.IFERROR(U800+Q800,"N/A")</f>
        <v>57566947.1576981</v>
      </c>
      <c r="X800" s="423" cm="1">
        <f t="array" ref="X800">_xlfn.IFERROR(W800*0.5%,"N/A")</f>
        <v>287834.735788491</v>
      </c>
      <c r="Y800" s="423" cm="1">
        <f t="array" ref="Y800">_xlfn.IFERROR(W800*25%,"N/A")</f>
        <v>14391736.7894245</v>
      </c>
      <c r="Z800" s="425" cm="1">
        <f t="array" ref="Z800">IF(B800&gt;0,(SUM(W800:Y800)),"N/A")</f>
        <v>72246518.6829111</v>
      </c>
      <c r="AA800" s="425" cm="1">
        <f t="array" ref="AA800">_xlfn.IFERROR((Z800-Z799),"N/A")</f>
        <v>1212330</v>
      </c>
      <c r="AB800" s="424"/>
      <c r="AC800" t="str" s="426" cm="1">
        <f t="array" ref="AC800">IF(B800=6,AVERAGE(Z784:Z789),"N/A")</f>
        <v>N/A</v>
      </c>
      <c r="AD800" s="424"/>
      <c r="AE800" s="423"/>
      <c r="AF800" s="423"/>
      <c r="AG800" s="423"/>
      <c r="AH800" s="423"/>
      <c r="AI800" s="423"/>
      <c r="AJ800" s="423"/>
      <c r="AK800" s="423"/>
      <c r="AL800" s="423"/>
      <c r="AM800" s="423"/>
      <c r="AN800" s="427"/>
    </row>
    <row r="801" ht="15" customHeight="1">
      <c r="A801" s="12"/>
      <c r="B801" s="428" cm="1">
        <f t="array" ref="B801">IF(B800=0,0,IF(B800&lt;VLOOKUP(C763,'Boats Data Sheet 2026'!$C$3:$H$57,6,0),B800+1,0))</f>
        <v>36</v>
      </c>
      <c r="C801" s="423" cm="1">
        <f t="array" ref="C801">_xlfn.IFERROR(IF(B801&gt;0,IF(VLOOKUP($C$763,'Boats Data Sheet 2026'!$C$3:$J$57,8,0)="N/A",0,VLOOKUP($C$763,'Boats Data Sheet 2026'!$C$3:$J$57,8,0)),"N/A")*100%,"N/A")</f>
        <v>34000000</v>
      </c>
      <c r="D801" s="430">
        <v>3</v>
      </c>
      <c r="E801" s="423" cm="1">
        <f t="array" ref="E801">_xlfn.IFERROR(SUM('Direct Costs 2026'!$C$4:$C$5)*D801,"N/A")</f>
        <v>2626500</v>
      </c>
      <c r="F801" s="423" cm="1">
        <f t="array" ref="F801">_xlfn.IFERROR('Direct Costs 2026'!$C$43*B801,"N/A")</f>
        <v>216000</v>
      </c>
      <c r="G801" s="423" cm="1">
        <f t="array" ref="G801">IF(B801&gt;0,'Direct Costs 2026'!$C$25,"N/A")</f>
        <v>90000</v>
      </c>
      <c r="H801" s="423">
        <v>0</v>
      </c>
      <c r="I801" s="423">
        <v>0</v>
      </c>
      <c r="J801" s="423">
        <v>0</v>
      </c>
      <c r="K801" s="423">
        <v>0</v>
      </c>
      <c r="L801" s="423" cm="1">
        <f t="array" ref="L801">IF(B801&gt;0,'Direct Costs 2026'!$C$23,"N/A")</f>
        <v>140000</v>
      </c>
      <c r="M801" s="423" cm="1">
        <f t="array" ref="M801">IF(B801&gt;0,'Direct Costs 2026'!$C$45*B801,"N/A")</f>
        <v>5400000</v>
      </c>
      <c r="N801" t="str" s="431" cm="1">
        <f t="array" ref="N801">IF(B801&gt;0,_xlfn.IFERROR(VLOOKUP(C783,'Boats Data Sheet 2026'!$C$3:$I$57,7,0)*'Direct Costs 2026'!$C$36,"N/A"),"N/A")</f>
        <v>N/A</v>
      </c>
      <c r="O801" s="423">
        <v>0</v>
      </c>
      <c r="P801" s="423">
        <v>0</v>
      </c>
      <c r="Q801" s="423" cm="1">
        <f t="array" ref="Q801">_xlfn.IFERROR(C801+SUM(E801:P801),"N/A")</f>
        <v>42472500</v>
      </c>
      <c r="R801" s="424"/>
      <c r="S801" s="423" cm="1">
        <f t="array" ref="S801">IF(B801&gt;0,'Allocation OH and Target 2026'!$E$31,"N/A")</f>
        <v>3100447.15769812</v>
      </c>
      <c r="T801" s="423" cm="1">
        <f t="array" ref="T801">$T$786+$T$786*(B801-$B$786)</f>
        <v>12960000</v>
      </c>
      <c r="U801" s="423" cm="1">
        <f t="array" ref="U801">_xlfn.IFERROR((S801+T801),"N/A")</f>
        <v>16060447.1576981</v>
      </c>
      <c r="V801" s="424"/>
      <c r="W801" s="423" cm="1">
        <f t="array" ref="W801">_xlfn.IFERROR(U801+Q801,"N/A")</f>
        <v>58532947.1576981</v>
      </c>
      <c r="X801" s="423" cm="1">
        <f t="array" ref="X801">_xlfn.IFERROR(W801*0.5%,"N/A")</f>
        <v>292664.735788491</v>
      </c>
      <c r="Y801" s="423" cm="1">
        <f t="array" ref="Y801">_xlfn.IFERROR(W801*25%,"N/A")</f>
        <v>14633236.7894245</v>
      </c>
      <c r="Z801" s="425" cm="1">
        <f t="array" ref="Z801">IF(B801&gt;0,(SUM(W801:Y801)),"N/A")</f>
        <v>73458848.6829111</v>
      </c>
      <c r="AA801" s="425" cm="1">
        <f t="array" ref="AA801">_xlfn.IFERROR((Z801-Z800),"N/A")</f>
        <v>1212330</v>
      </c>
      <c r="AB801" s="424"/>
      <c r="AC801" t="str" s="426" cm="1">
        <f t="array" ref="AC801">IF(B801=6,AVERAGE(Z786:Z791),"N/A")</f>
        <v>N/A</v>
      </c>
      <c r="AD801" s="424"/>
      <c r="AE801" s="423"/>
      <c r="AF801" s="423"/>
      <c r="AG801" s="423"/>
      <c r="AH801" s="423"/>
      <c r="AI801" s="423"/>
      <c r="AJ801" s="423"/>
      <c r="AK801" s="423"/>
      <c r="AL801" s="423"/>
      <c r="AM801" s="423"/>
      <c r="AN801" s="427"/>
    </row>
    <row r="802" ht="15" customHeight="1">
      <c r="A802" s="12"/>
      <c r="B802" s="428" cm="1">
        <f t="array" ref="B802">IF(B801=0,0,IF(B801&lt;VLOOKUP(C763,'Boats Data Sheet 2026'!$C$3:$H$57,6,0),B801+1,0))</f>
        <v>37</v>
      </c>
      <c r="C802" s="423" cm="1">
        <f t="array" ref="C802">_xlfn.IFERROR(IF(B802&gt;0,IF(VLOOKUP($C$763,'Boats Data Sheet 2026'!$C$3:$J$57,8,0)="N/A",0,VLOOKUP($C$763,'Boats Data Sheet 2026'!$C$3:$J$57,8,0)),"N/A")*100%,"N/A")</f>
        <v>34000000</v>
      </c>
      <c r="D802" s="430">
        <v>3</v>
      </c>
      <c r="E802" s="423" cm="1">
        <f t="array" ref="E802">_xlfn.IFERROR(SUM('Direct Costs 2026'!$C$4:$C$5)*D802,"N/A")</f>
        <v>2626500</v>
      </c>
      <c r="F802" s="423" cm="1">
        <f t="array" ref="F802">_xlfn.IFERROR('Direct Costs 2026'!$C$43*B802,"N/A")</f>
        <v>222000</v>
      </c>
      <c r="G802" s="423" cm="1">
        <f t="array" ref="G802">IF(B802&gt;0,'Direct Costs 2026'!$C$25,"N/A")</f>
        <v>90000</v>
      </c>
      <c r="H802" s="423">
        <v>0</v>
      </c>
      <c r="I802" s="423">
        <v>0</v>
      </c>
      <c r="J802" s="423">
        <v>0</v>
      </c>
      <c r="K802" s="423">
        <v>0</v>
      </c>
      <c r="L802" s="423" cm="1">
        <f t="array" ref="L802">IF(B802&gt;0,'Direct Costs 2026'!$C$23,"N/A")</f>
        <v>140000</v>
      </c>
      <c r="M802" s="423" cm="1">
        <f t="array" ref="M802">IF(B802&gt;0,'Direct Costs 2026'!$C$45*B802,"N/A")</f>
        <v>5550000</v>
      </c>
      <c r="N802" t="str" s="431" cm="1">
        <f t="array" ref="N802">IF(B802&gt;0,_xlfn.IFERROR(VLOOKUP(C783,'Boats Data Sheet 2026'!$C$3:$I$57,7,0)*'Direct Costs 2026'!$C$36,"N/A"),"N/A")</f>
        <v>N/A</v>
      </c>
      <c r="O802" s="423">
        <v>0</v>
      </c>
      <c r="P802" s="423">
        <v>0</v>
      </c>
      <c r="Q802" s="423" cm="1">
        <f t="array" ref="Q802">_xlfn.IFERROR(C802+SUM(E802:P802),"N/A")</f>
        <v>42628500</v>
      </c>
      <c r="R802" s="424"/>
      <c r="S802" s="423" cm="1">
        <f t="array" ref="S802">IF(B802&gt;0,'Allocation OH and Target 2026'!$E$31,"N/A")</f>
        <v>3100447.15769812</v>
      </c>
      <c r="T802" s="423" cm="1">
        <f t="array" ref="T802">$T$786+$T$786*(B802-$B$786)</f>
        <v>13770000</v>
      </c>
      <c r="U802" s="423" cm="1">
        <f t="array" ref="U802">_xlfn.IFERROR((S802+T802),"N/A")</f>
        <v>16870447.1576981</v>
      </c>
      <c r="V802" s="424"/>
      <c r="W802" s="423" cm="1">
        <f t="array" ref="W802">_xlfn.IFERROR(U802+Q802,"N/A")</f>
        <v>59498947.1576981</v>
      </c>
      <c r="X802" s="423" cm="1">
        <f t="array" ref="X802">_xlfn.IFERROR(W802*0.5%,"N/A")</f>
        <v>297494.735788491</v>
      </c>
      <c r="Y802" s="423" cm="1">
        <f t="array" ref="Y802">_xlfn.IFERROR(W802*25%,"N/A")</f>
        <v>14874736.7894245</v>
      </c>
      <c r="Z802" s="425" cm="1">
        <f t="array" ref="Z802">IF(B802&gt;0,(SUM(W802:Y802)),"N/A")</f>
        <v>74671178.6829111</v>
      </c>
      <c r="AA802" s="425" cm="1">
        <f t="array" ref="AA802">_xlfn.IFERROR((Z802-Z801),"N/A")</f>
        <v>1212330</v>
      </c>
      <c r="AB802" s="424"/>
      <c r="AC802" t="str" s="426" cm="1">
        <f t="array" ref="AC802">IF(B802=6,AVERAGE(Z786:Z791),"N/A")</f>
        <v>N/A</v>
      </c>
      <c r="AD802" s="424"/>
      <c r="AE802" s="423"/>
      <c r="AF802" s="423"/>
      <c r="AG802" s="423"/>
      <c r="AH802" s="423"/>
      <c r="AI802" s="423"/>
      <c r="AJ802" s="423"/>
      <c r="AK802" s="423"/>
      <c r="AL802" s="423"/>
      <c r="AM802" s="423"/>
      <c r="AN802" s="427"/>
    </row>
    <row r="803" ht="15" customHeight="1">
      <c r="A803" s="12"/>
      <c r="B803" s="428" cm="1">
        <f t="array" ref="B803">IF(B802=0,0,IF(B802&lt;VLOOKUP(C763,'Boats Data Sheet 2026'!$C$3:$H$57,6,0),B802+1,0))</f>
        <v>38</v>
      </c>
      <c r="C803" s="423" cm="1">
        <f t="array" ref="C803">_xlfn.IFERROR(IF(B803&gt;0,IF(VLOOKUP($C$763,'Boats Data Sheet 2026'!$C$3:$J$57,8,0)="N/A",0,VLOOKUP($C$763,'Boats Data Sheet 2026'!$C$3:$J$57,8,0)),"N/A")*100%,"N/A")</f>
        <v>34000000</v>
      </c>
      <c r="D803" s="430">
        <v>3</v>
      </c>
      <c r="E803" s="423" cm="1">
        <f t="array" ref="E803">_xlfn.IFERROR(SUM('Direct Costs 2026'!$C$4:$C$5)*D803,"N/A")</f>
        <v>2626500</v>
      </c>
      <c r="F803" s="423" cm="1">
        <f t="array" ref="F803">_xlfn.IFERROR('Direct Costs 2026'!$C$43*B803,"N/A")</f>
        <v>228000</v>
      </c>
      <c r="G803" s="423" cm="1">
        <f t="array" ref="G803">IF(B803&gt;0,'Direct Costs 2026'!$C$25,"N/A")</f>
        <v>90000</v>
      </c>
      <c r="H803" s="423">
        <v>0</v>
      </c>
      <c r="I803" s="423">
        <v>0</v>
      </c>
      <c r="J803" s="423">
        <v>0</v>
      </c>
      <c r="K803" s="423">
        <v>0</v>
      </c>
      <c r="L803" s="423" cm="1">
        <f t="array" ref="L803">IF(B803&gt;0,'Direct Costs 2026'!$C$23,"N/A")</f>
        <v>140000</v>
      </c>
      <c r="M803" s="423" cm="1">
        <f t="array" ref="M803">IF(B803&gt;0,'Direct Costs 2026'!$C$45*B803,"N/A")</f>
        <v>5700000</v>
      </c>
      <c r="N803" t="str" s="431" cm="1">
        <f t="array" ref="N803">IF(B803&gt;0,_xlfn.IFERROR(VLOOKUP(C785,'Boats Data Sheet 2026'!$C$3:$I$57,7,0)*'Direct Costs 2026'!$C$36,"N/A"),"N/A")</f>
        <v>N/A</v>
      </c>
      <c r="O803" s="423">
        <v>0</v>
      </c>
      <c r="P803" s="423">
        <v>0</v>
      </c>
      <c r="Q803" s="423" cm="1">
        <f t="array" ref="Q803">_xlfn.IFERROR(C803+SUM(E803:P803),"N/A")</f>
        <v>42784500</v>
      </c>
      <c r="R803" s="424"/>
      <c r="S803" s="423" cm="1">
        <f t="array" ref="S803">IF(B803&gt;0,'Allocation OH and Target 2026'!$E$31,"N/A")</f>
        <v>3100447.15769812</v>
      </c>
      <c r="T803" s="423" cm="1">
        <f t="array" ref="T803">$T$786+$T$786*(B803-$B$786)</f>
        <v>14580000</v>
      </c>
      <c r="U803" s="423" cm="1">
        <f t="array" ref="U803">_xlfn.IFERROR((S803+T803),"N/A")</f>
        <v>17680447.1576981</v>
      </c>
      <c r="V803" s="424"/>
      <c r="W803" s="423" cm="1">
        <f t="array" ref="W803">_xlfn.IFERROR(U803+Q803,"N/A")</f>
        <v>60464947.1576981</v>
      </c>
      <c r="X803" s="423" cm="1">
        <f t="array" ref="X803">_xlfn.IFERROR(W803*0.5%,"N/A")</f>
        <v>302324.735788491</v>
      </c>
      <c r="Y803" s="423" cm="1">
        <f t="array" ref="Y803">_xlfn.IFERROR(W803*25%,"N/A")</f>
        <v>15116236.7894245</v>
      </c>
      <c r="Z803" s="425" cm="1">
        <f t="array" ref="Z803">IF(B803&gt;0,(SUM(W803:Y803)),"N/A")</f>
        <v>75883508.6829111</v>
      </c>
      <c r="AA803" s="425" cm="1">
        <f t="array" ref="AA803">_xlfn.IFERROR((Z803-Z802),"N/A")</f>
        <v>1212330</v>
      </c>
      <c r="AB803" s="424"/>
      <c r="AC803" t="str" s="426" cm="1">
        <f t="array" ref="AC803">IF(B803=6,AVERAGE(Z788:Z793),"N/A")</f>
        <v>N/A</v>
      </c>
      <c r="AD803" s="424"/>
      <c r="AE803" s="423"/>
      <c r="AF803" s="423"/>
      <c r="AG803" s="423"/>
      <c r="AH803" s="423"/>
      <c r="AI803" s="423"/>
      <c r="AJ803" s="423"/>
      <c r="AK803" s="423"/>
      <c r="AL803" s="423"/>
      <c r="AM803" s="423"/>
      <c r="AN803" s="427"/>
    </row>
    <row r="804" ht="15" customHeight="1">
      <c r="A804" s="12"/>
      <c r="B804" s="428" cm="1">
        <f t="array" ref="B804">IF(B803=0,0,IF(B803&lt;VLOOKUP(C763,'Boats Data Sheet 2026'!$C$3:$H$57,6,0),B803+1,0))</f>
        <v>39</v>
      </c>
      <c r="C804" s="423" cm="1">
        <f t="array" ref="C804">_xlfn.IFERROR(IF(B804&gt;0,IF(VLOOKUP($C$763,'Boats Data Sheet 2026'!$C$3:$J$57,8,0)="N/A",0,VLOOKUP($C$763,'Boats Data Sheet 2026'!$C$3:$J$57,8,0)),"N/A")*100%,"N/A")</f>
        <v>34000000</v>
      </c>
      <c r="D804" s="430">
        <v>3</v>
      </c>
      <c r="E804" s="423" cm="1">
        <f t="array" ref="E804">_xlfn.IFERROR(SUM('Direct Costs 2026'!$C$4:$C$5)*D804,"N/A")</f>
        <v>2626500</v>
      </c>
      <c r="F804" s="423" cm="1">
        <f t="array" ref="F804">_xlfn.IFERROR('Direct Costs 2026'!$C$43*B804,"N/A")</f>
        <v>234000</v>
      </c>
      <c r="G804" s="423" cm="1">
        <f t="array" ref="G804">IF(B804&gt;0,'Direct Costs 2026'!$C$25,"N/A")</f>
        <v>90000</v>
      </c>
      <c r="H804" s="423">
        <v>0</v>
      </c>
      <c r="I804" s="423">
        <v>0</v>
      </c>
      <c r="J804" s="423">
        <v>0</v>
      </c>
      <c r="K804" s="423">
        <v>0</v>
      </c>
      <c r="L804" s="423" cm="1">
        <f t="array" ref="L804">IF(B804&gt;0,'Direct Costs 2026'!$C$23,"N/A")</f>
        <v>140000</v>
      </c>
      <c r="M804" s="423" cm="1">
        <f t="array" ref="M804">IF(B804&gt;0,'Direct Costs 2026'!$C$45*B804,"N/A")</f>
        <v>5850000</v>
      </c>
      <c r="N804" t="str" s="431" cm="1">
        <f t="array" ref="N804">IF(B804&gt;0,_xlfn.IFERROR(VLOOKUP(C785,'Boats Data Sheet 2026'!$C$3:$I$57,7,0)*'Direct Costs 2026'!$C$36,"N/A"),"N/A")</f>
        <v>N/A</v>
      </c>
      <c r="O804" s="423">
        <v>0</v>
      </c>
      <c r="P804" s="423">
        <v>0</v>
      </c>
      <c r="Q804" s="423" cm="1">
        <f t="array" ref="Q804">_xlfn.IFERROR(C804+SUM(E804:P804),"N/A")</f>
        <v>42940500</v>
      </c>
      <c r="R804" s="424"/>
      <c r="S804" s="423" cm="1">
        <f t="array" ref="S804">IF(B804&gt;0,'Allocation OH and Target 2026'!$E$31,"N/A")</f>
        <v>3100447.15769812</v>
      </c>
      <c r="T804" s="423" cm="1">
        <f t="array" ref="T804">$T$786+$T$786*(B804-$B$786)</f>
        <v>15390000</v>
      </c>
      <c r="U804" s="423" cm="1">
        <f t="array" ref="U804">_xlfn.IFERROR((S804+T804),"N/A")</f>
        <v>18490447.1576981</v>
      </c>
      <c r="V804" s="424"/>
      <c r="W804" s="423" cm="1">
        <f t="array" ref="W804">_xlfn.IFERROR(U804+Q804,"N/A")</f>
        <v>61430947.1576981</v>
      </c>
      <c r="X804" s="423" cm="1">
        <f t="array" ref="X804">_xlfn.IFERROR(W804*0.5%,"N/A")</f>
        <v>307154.735788491</v>
      </c>
      <c r="Y804" s="423" cm="1">
        <f t="array" ref="Y804">_xlfn.IFERROR(W804*25%,"N/A")</f>
        <v>15357736.7894245</v>
      </c>
      <c r="Z804" s="425" cm="1">
        <f t="array" ref="Z804">IF(B804&gt;0,(SUM(W804:Y804)),"N/A")</f>
        <v>77095838.6829111</v>
      </c>
      <c r="AA804" s="425" cm="1">
        <f t="array" ref="AA804">_xlfn.IFERROR((Z804-Z803),"N/A")</f>
        <v>1212330</v>
      </c>
      <c r="AB804" s="424"/>
      <c r="AC804" t="str" s="426" cm="1">
        <f t="array" ref="AC804">IF(B804=6,AVERAGE(Z788:Z793),"N/A")</f>
        <v>N/A</v>
      </c>
      <c r="AD804" s="424"/>
      <c r="AE804" s="423"/>
      <c r="AF804" s="423"/>
      <c r="AG804" s="423"/>
      <c r="AH804" s="423"/>
      <c r="AI804" s="423"/>
      <c r="AJ804" s="423"/>
      <c r="AK804" s="423"/>
      <c r="AL804" s="423"/>
      <c r="AM804" s="423"/>
      <c r="AN804" s="427"/>
    </row>
    <row r="805" ht="15" customHeight="1">
      <c r="A805" s="12"/>
      <c r="B805" s="428" cm="1">
        <f t="array" ref="B805">IF(B804=0,0,IF(B804&lt;VLOOKUP(C763,'Boats Data Sheet 2026'!$C$3:$H$57,6,0),B804+1,0))</f>
        <v>40</v>
      </c>
      <c r="C805" s="423" cm="1">
        <f t="array" ref="C805">_xlfn.IFERROR(IF(B805&gt;0,IF(VLOOKUP($C$763,'Boats Data Sheet 2026'!$C$3:$J$57,8,0)="N/A",0,VLOOKUP($C$763,'Boats Data Sheet 2026'!$C$3:$J$57,8,0)),"N/A")*100%,"N/A")</f>
        <v>34000000</v>
      </c>
      <c r="D805" s="430">
        <v>3</v>
      </c>
      <c r="E805" s="423" cm="1">
        <f t="array" ref="E805">_xlfn.IFERROR(SUM('Direct Costs 2026'!$C$4:$C$5)*D805,"N/A")</f>
        <v>2626500</v>
      </c>
      <c r="F805" s="423" cm="1">
        <f t="array" ref="F805">_xlfn.IFERROR('Direct Costs 2026'!$C$43*B805,"N/A")</f>
        <v>240000</v>
      </c>
      <c r="G805" s="423" cm="1">
        <f t="array" ref="G805">IF(B805&gt;0,'Direct Costs 2026'!$C$25,"N/A")</f>
        <v>90000</v>
      </c>
      <c r="H805" s="423">
        <v>0</v>
      </c>
      <c r="I805" s="423">
        <v>0</v>
      </c>
      <c r="J805" s="423">
        <v>0</v>
      </c>
      <c r="K805" s="423">
        <v>0</v>
      </c>
      <c r="L805" s="423" cm="1">
        <f t="array" ref="L805">IF(B805&gt;0,'Direct Costs 2026'!$C$23,"N/A")</f>
        <v>140000</v>
      </c>
      <c r="M805" s="423" cm="1">
        <f t="array" ref="M805">IF(B805&gt;0,'Direct Costs 2026'!$C$45*B805,"N/A")</f>
        <v>6000000</v>
      </c>
      <c r="N805" t="str" s="431" cm="1">
        <f t="array" ref="N805">IF(B805&gt;0,_xlfn.IFERROR(VLOOKUP(C787,'Boats Data Sheet 2026'!$C$3:$I$57,7,0)*'Direct Costs 2026'!$C$36,"N/A"),"N/A")</f>
        <v>N/A</v>
      </c>
      <c r="O805" s="423">
        <v>0</v>
      </c>
      <c r="P805" s="423">
        <v>0</v>
      </c>
      <c r="Q805" s="423" cm="1">
        <f t="array" ref="Q805">_xlfn.IFERROR(C805+SUM(E805:P805),"N/A")</f>
        <v>43096500</v>
      </c>
      <c r="R805" s="424"/>
      <c r="S805" s="423" cm="1">
        <f t="array" ref="S805">IF(B805&gt;0,'Allocation OH and Target 2026'!$E$31,"N/A")</f>
        <v>3100447.15769812</v>
      </c>
      <c r="T805" s="423" cm="1">
        <f t="array" ref="T805">$T$786+$T$786*(B805-$B$786)</f>
        <v>16200000</v>
      </c>
      <c r="U805" s="423" cm="1">
        <f t="array" ref="U805">_xlfn.IFERROR((S805+T805),"N/A")</f>
        <v>19300447.1576981</v>
      </c>
      <c r="V805" s="424"/>
      <c r="W805" s="423" cm="1">
        <f t="array" ref="W805">_xlfn.IFERROR(U805+Q805,"N/A")</f>
        <v>62396947.1576981</v>
      </c>
      <c r="X805" s="423" cm="1">
        <f t="array" ref="X805">_xlfn.IFERROR(W805*0.5%,"N/A")</f>
        <v>311984.735788491</v>
      </c>
      <c r="Y805" s="423" cm="1">
        <f t="array" ref="Y805">_xlfn.IFERROR(W805*25%,"N/A")</f>
        <v>15599236.7894245</v>
      </c>
      <c r="Z805" s="425" cm="1">
        <f t="array" ref="Z805">IF(B805&gt;0,(SUM(W805:Y805)),"N/A")</f>
        <v>78308168.6829111</v>
      </c>
      <c r="AA805" s="425" cm="1">
        <f t="array" ref="AA805">_xlfn.IFERROR((Z805-Z804),"N/A")</f>
        <v>1212330</v>
      </c>
      <c r="AB805" s="424"/>
      <c r="AC805" t="str" s="426" cm="1">
        <f t="array" ref="AC805">IF(B805=6,AVERAGE(Z790:Z795),"N/A")</f>
        <v>N/A</v>
      </c>
      <c r="AD805" s="424"/>
      <c r="AE805" s="423"/>
      <c r="AF805" s="423"/>
      <c r="AG805" s="423"/>
      <c r="AH805" s="423"/>
      <c r="AI805" s="423"/>
      <c r="AJ805" s="423"/>
      <c r="AK805" s="423"/>
      <c r="AL805" s="423"/>
      <c r="AM805" s="423"/>
      <c r="AN805" s="427"/>
    </row>
    <row r="806" ht="15" customHeight="1">
      <c r="A806" s="12"/>
      <c r="B806" s="428" cm="1">
        <f t="array" ref="B806">IF(B805=0,0,IF(B805&lt;VLOOKUP(C763,'Boats Data Sheet 2026'!$C$3:$H$57,6,0),B805+1,0))</f>
        <v>41</v>
      </c>
      <c r="C806" s="423" cm="1">
        <f t="array" ref="C806">_xlfn.IFERROR(IF(B806&gt;0,IF(VLOOKUP($C$763,'Boats Data Sheet 2026'!$C$3:$J$57,8,0)="N/A",0,VLOOKUP($C$763,'Boats Data Sheet 2026'!$C$3:$J$57,8,0)),"N/A")*100%,"N/A")</f>
        <v>34000000</v>
      </c>
      <c r="D806" s="430">
        <v>3</v>
      </c>
      <c r="E806" s="423" cm="1">
        <f t="array" ref="E806">_xlfn.IFERROR(SUM('Direct Costs 2026'!$C$4:$C$5)*D806,"N/A")</f>
        <v>2626500</v>
      </c>
      <c r="F806" s="423" cm="1">
        <f t="array" ref="F806">_xlfn.IFERROR('Direct Costs 2026'!$C$43*B806,"N/A")</f>
        <v>246000</v>
      </c>
      <c r="G806" s="423" cm="1">
        <f t="array" ref="G806">IF(B806&gt;0,'Direct Costs 2026'!$C$25,"N/A")</f>
        <v>90000</v>
      </c>
      <c r="H806" s="423">
        <v>0</v>
      </c>
      <c r="I806" s="423">
        <v>0</v>
      </c>
      <c r="J806" s="423">
        <v>0</v>
      </c>
      <c r="K806" s="423">
        <v>0</v>
      </c>
      <c r="L806" s="423" cm="1">
        <f t="array" ref="L806">IF(B806&gt;0,'Direct Costs 2026'!$C$23,"N/A")</f>
        <v>140000</v>
      </c>
      <c r="M806" s="423" cm="1">
        <f t="array" ref="M806">IF(B806&gt;0,'Direct Costs 2026'!$C$45*B806,"N/A")</f>
        <v>6150000</v>
      </c>
      <c r="N806" t="str" s="431" cm="1">
        <f t="array" ref="N806">IF(B806&gt;0,_xlfn.IFERROR(VLOOKUP(C787,'Boats Data Sheet 2026'!$C$3:$I$57,7,0)*'Direct Costs 2026'!$C$36,"N/A"),"N/A")</f>
        <v>N/A</v>
      </c>
      <c r="O806" s="423">
        <v>0</v>
      </c>
      <c r="P806" s="423">
        <v>0</v>
      </c>
      <c r="Q806" s="423" cm="1">
        <f t="array" ref="Q806">_xlfn.IFERROR(C806+SUM(E806:P806),"N/A")</f>
        <v>43252500</v>
      </c>
      <c r="R806" s="424"/>
      <c r="S806" s="423" cm="1">
        <f t="array" ref="S806">IF(B806&gt;0,'Allocation OH and Target 2026'!$E$31,"N/A")</f>
        <v>3100447.15769812</v>
      </c>
      <c r="T806" s="423" cm="1">
        <f t="array" ref="T806">$T$786+$T$786*(B806-$B$786)</f>
        <v>17010000</v>
      </c>
      <c r="U806" s="423" cm="1">
        <f t="array" ref="U806">_xlfn.IFERROR((S806+T806),"N/A")</f>
        <v>20110447.1576981</v>
      </c>
      <c r="V806" s="424"/>
      <c r="W806" s="423" cm="1">
        <f t="array" ref="W806">_xlfn.IFERROR(U806+Q806,"N/A")</f>
        <v>63362947.1576981</v>
      </c>
      <c r="X806" s="423" cm="1">
        <f t="array" ref="X806">_xlfn.IFERROR(W806*0.5%,"N/A")</f>
        <v>316814.735788491</v>
      </c>
      <c r="Y806" s="423" cm="1">
        <f t="array" ref="Y806">_xlfn.IFERROR(W806*25%,"N/A")</f>
        <v>15840736.7894245</v>
      </c>
      <c r="Z806" s="425" cm="1">
        <f t="array" ref="Z806">IF(B806&gt;0,(SUM(W806:Y806)),"N/A")</f>
        <v>79520498.6829111</v>
      </c>
      <c r="AA806" s="425" cm="1">
        <f t="array" ref="AA806">_xlfn.IFERROR((Z806-Z805),"N/A")</f>
        <v>1212330</v>
      </c>
      <c r="AB806" s="424"/>
      <c r="AC806" t="str" s="426" cm="1">
        <f t="array" ref="AC806">IF(B806=6,AVERAGE(Z790:Z795),"N/A")</f>
        <v>N/A</v>
      </c>
      <c r="AD806" s="424"/>
      <c r="AE806" s="423"/>
      <c r="AF806" s="423"/>
      <c r="AG806" s="423"/>
      <c r="AH806" s="423"/>
      <c r="AI806" s="423"/>
      <c r="AJ806" s="423"/>
      <c r="AK806" s="423"/>
      <c r="AL806" s="423"/>
      <c r="AM806" s="423"/>
      <c r="AN806" s="427"/>
    </row>
    <row r="807" ht="15" customHeight="1">
      <c r="A807" s="12"/>
      <c r="B807" s="428" cm="1">
        <f t="array" ref="B807">IF(B806=0,0,IF(B806&lt;VLOOKUP(C763,'Boats Data Sheet 2026'!$C$3:$H$57,6,0),B806+1,0))</f>
        <v>42</v>
      </c>
      <c r="C807" s="423" cm="1">
        <f t="array" ref="C807">_xlfn.IFERROR(IF(B807&gt;0,IF(VLOOKUP($C$763,'Boats Data Sheet 2026'!$C$3:$J$57,8,0)="N/A",0,VLOOKUP($C$763,'Boats Data Sheet 2026'!$C$3:$J$57,8,0)),"N/A")*100%,"N/A")</f>
        <v>34000000</v>
      </c>
      <c r="D807" s="430">
        <v>3</v>
      </c>
      <c r="E807" s="423" cm="1">
        <f t="array" ref="E807">_xlfn.IFERROR(SUM('Direct Costs 2026'!$C$4:$C$5)*D807,"N/A")</f>
        <v>2626500</v>
      </c>
      <c r="F807" s="423" cm="1">
        <f t="array" ref="F807">_xlfn.IFERROR('Direct Costs 2026'!$C$43*B807,"N/A")</f>
        <v>252000</v>
      </c>
      <c r="G807" s="423" cm="1">
        <f t="array" ref="G807">IF(B807&gt;0,'Direct Costs 2026'!$C$25,"N/A")</f>
        <v>90000</v>
      </c>
      <c r="H807" s="423">
        <v>0</v>
      </c>
      <c r="I807" s="423">
        <v>0</v>
      </c>
      <c r="J807" s="423">
        <v>0</v>
      </c>
      <c r="K807" s="423">
        <v>0</v>
      </c>
      <c r="L807" s="423" cm="1">
        <f t="array" ref="L807">IF(B807&gt;0,'Direct Costs 2026'!$C$23,"N/A")</f>
        <v>140000</v>
      </c>
      <c r="M807" s="423" cm="1">
        <f t="array" ref="M807">IF(B807&gt;0,'Direct Costs 2026'!$C$45*B807,"N/A")</f>
        <v>6300000</v>
      </c>
      <c r="N807" t="str" s="431" cm="1">
        <f t="array" ref="N807">IF(B807&gt;0,_xlfn.IFERROR(VLOOKUP(C789,'Boats Data Sheet 2026'!$C$3:$I$57,7,0)*'Direct Costs 2026'!$C$36,"N/A"),"N/A")</f>
        <v>N/A</v>
      </c>
      <c r="O807" s="423">
        <v>0</v>
      </c>
      <c r="P807" s="423">
        <v>0</v>
      </c>
      <c r="Q807" s="423" cm="1">
        <f t="array" ref="Q807">_xlfn.IFERROR(C807+SUM(E807:P807),"N/A")</f>
        <v>43408500</v>
      </c>
      <c r="R807" s="424"/>
      <c r="S807" s="423" cm="1">
        <f t="array" ref="S807">IF(B807&gt;0,'Allocation OH and Target 2026'!$E$31,"N/A")</f>
        <v>3100447.15769812</v>
      </c>
      <c r="T807" s="423" cm="1">
        <f t="array" ref="T807">$T$786+$T$786*(B807-$B$786)</f>
        <v>17820000</v>
      </c>
      <c r="U807" s="423" cm="1">
        <f t="array" ref="U807">_xlfn.IFERROR((S807+T807),"N/A")</f>
        <v>20920447.1576981</v>
      </c>
      <c r="V807" s="424"/>
      <c r="W807" s="423" cm="1">
        <f t="array" ref="W807">_xlfn.IFERROR(U807+Q807,"N/A")</f>
        <v>64328947.1576981</v>
      </c>
      <c r="X807" s="423" cm="1">
        <f t="array" ref="X807">_xlfn.IFERROR(W807*0.5%,"N/A")</f>
        <v>321644.735788491</v>
      </c>
      <c r="Y807" s="423" cm="1">
        <f t="array" ref="Y807">_xlfn.IFERROR(W807*25%,"N/A")</f>
        <v>16082236.7894245</v>
      </c>
      <c r="Z807" s="425" cm="1">
        <f t="array" ref="Z807">IF(B807&gt;0,(SUM(W807:Y807)),"N/A")</f>
        <v>80732828.6829111</v>
      </c>
      <c r="AA807" s="425" cm="1">
        <f t="array" ref="AA807">_xlfn.IFERROR((Z807-Z806),"N/A")</f>
        <v>1212330</v>
      </c>
      <c r="AB807" s="424"/>
      <c r="AC807" t="str" s="426" cm="1">
        <f t="array" ref="AC807">IF(B807=6,AVERAGE(Z792:Z797),"N/A")</f>
        <v>N/A</v>
      </c>
      <c r="AD807" s="424"/>
      <c r="AE807" s="423"/>
      <c r="AF807" s="423"/>
      <c r="AG807" s="423"/>
      <c r="AH807" s="423"/>
      <c r="AI807" s="423"/>
      <c r="AJ807" s="423"/>
      <c r="AK807" s="423"/>
      <c r="AL807" s="423"/>
      <c r="AM807" s="423"/>
      <c r="AN807" s="427"/>
    </row>
    <row r="808" ht="15" customHeight="1">
      <c r="A808" s="12"/>
      <c r="B808" s="428" cm="1">
        <f t="array" ref="B808">IF(B807=0,0,IF(B807&lt;VLOOKUP(C763,'Boats Data Sheet 2026'!$C$3:$H$57,6,0),B807+1,0))</f>
        <v>43</v>
      </c>
      <c r="C808" s="423" cm="1">
        <f t="array" ref="C808">_xlfn.IFERROR(IF(B808&gt;0,IF(VLOOKUP($C$763,'Boats Data Sheet 2026'!$C$3:$J$57,8,0)="N/A",0,VLOOKUP($C$763,'Boats Data Sheet 2026'!$C$3:$J$57,8,0)),"N/A")*100%,"N/A")</f>
        <v>34000000</v>
      </c>
      <c r="D808" s="430">
        <v>3</v>
      </c>
      <c r="E808" s="423" cm="1">
        <f t="array" ref="E808">_xlfn.IFERROR(SUM('Direct Costs 2026'!$C$4:$C$5)*D808,"N/A")</f>
        <v>2626500</v>
      </c>
      <c r="F808" s="423" cm="1">
        <f t="array" ref="F808">_xlfn.IFERROR('Direct Costs 2026'!$C$43*B808,"N/A")</f>
        <v>258000</v>
      </c>
      <c r="G808" s="423" cm="1">
        <f t="array" ref="G808">IF(B808&gt;0,'Direct Costs 2026'!$C$25,"N/A")</f>
        <v>90000</v>
      </c>
      <c r="H808" s="423">
        <v>0</v>
      </c>
      <c r="I808" s="423">
        <v>0</v>
      </c>
      <c r="J808" s="423">
        <v>0</v>
      </c>
      <c r="K808" s="423">
        <v>0</v>
      </c>
      <c r="L808" s="423" cm="1">
        <f t="array" ref="L808">IF(B808&gt;0,'Direct Costs 2026'!$C$23,"N/A")</f>
        <v>140000</v>
      </c>
      <c r="M808" s="423" cm="1">
        <f t="array" ref="M808">IF(B808&gt;0,'Direct Costs 2026'!$C$45*B808,"N/A")</f>
        <v>6450000</v>
      </c>
      <c r="N808" t="str" s="431" cm="1">
        <f t="array" ref="N808">IF(B808&gt;0,_xlfn.IFERROR(VLOOKUP(C789,'Boats Data Sheet 2026'!$C$3:$I$57,7,0)*'Direct Costs 2026'!$C$36,"N/A"),"N/A")</f>
        <v>N/A</v>
      </c>
      <c r="O808" s="423">
        <v>0</v>
      </c>
      <c r="P808" s="423">
        <v>0</v>
      </c>
      <c r="Q808" s="423" cm="1">
        <f t="array" ref="Q808">_xlfn.IFERROR(C808+SUM(E808:P808),"N/A")</f>
        <v>43564500</v>
      </c>
      <c r="R808" s="424"/>
      <c r="S808" s="423" cm="1">
        <f t="array" ref="S808">IF(B808&gt;0,'Allocation OH and Target 2026'!$E$31,"N/A")</f>
        <v>3100447.15769812</v>
      </c>
      <c r="T808" s="423" cm="1">
        <f t="array" ref="T808">$T$786+$T$786*(B808-$B$786)</f>
        <v>18630000</v>
      </c>
      <c r="U808" s="423" cm="1">
        <f t="array" ref="U808">_xlfn.IFERROR((S808+T808),"N/A")</f>
        <v>21730447.1576981</v>
      </c>
      <c r="V808" s="424"/>
      <c r="W808" s="423" cm="1">
        <f t="array" ref="W808">_xlfn.IFERROR(U808+Q808,"N/A")</f>
        <v>65294947.1576981</v>
      </c>
      <c r="X808" s="423" cm="1">
        <f t="array" ref="X808">_xlfn.IFERROR(W808*0.5%,"N/A")</f>
        <v>326474.735788491</v>
      </c>
      <c r="Y808" s="423" cm="1">
        <f t="array" ref="Y808">_xlfn.IFERROR(W808*25%,"N/A")</f>
        <v>16323736.7894245</v>
      </c>
      <c r="Z808" s="425" cm="1">
        <f t="array" ref="Z808">IF(B808&gt;0,(SUM(W808:Y808)),"N/A")</f>
        <v>81945158.6829111</v>
      </c>
      <c r="AA808" s="425" cm="1">
        <f t="array" ref="AA808">_xlfn.IFERROR((Z808-Z807),"N/A")</f>
        <v>1212330</v>
      </c>
      <c r="AB808" s="424"/>
      <c r="AC808" t="str" s="426" cm="1">
        <f t="array" ref="AC808">IF(B808=6,AVERAGE(Z792:Z797),"N/A")</f>
        <v>N/A</v>
      </c>
      <c r="AD808" s="424"/>
      <c r="AE808" s="423"/>
      <c r="AF808" s="423"/>
      <c r="AG808" s="423"/>
      <c r="AH808" s="423"/>
      <c r="AI808" s="423"/>
      <c r="AJ808" s="423"/>
      <c r="AK808" s="423"/>
      <c r="AL808" s="423"/>
      <c r="AM808" s="423"/>
      <c r="AN808" s="427"/>
    </row>
    <row r="809" ht="15" customHeight="1">
      <c r="A809" s="12"/>
      <c r="B809" s="428" cm="1">
        <f t="array" ref="B809">IF(B808=0,0,IF(B808&lt;VLOOKUP(C763,'Boats Data Sheet 2026'!$C$3:$H$57,6,0),B808+1,0))</f>
        <v>44</v>
      </c>
      <c r="C809" s="423" cm="1">
        <f t="array" ref="C809">_xlfn.IFERROR(IF(B809&gt;0,IF(VLOOKUP($C$763,'Boats Data Sheet 2026'!$C$3:$J$57,8,0)="N/A",0,VLOOKUP($C$763,'Boats Data Sheet 2026'!$C$3:$J$57,8,0)),"N/A")*100%,"N/A")</f>
        <v>34000000</v>
      </c>
      <c r="D809" s="430">
        <v>3</v>
      </c>
      <c r="E809" s="423" cm="1">
        <f t="array" ref="E809">_xlfn.IFERROR(SUM('Direct Costs 2026'!$C$4:$C$5)*D809,"N/A")</f>
        <v>2626500</v>
      </c>
      <c r="F809" s="423" cm="1">
        <f t="array" ref="F809">_xlfn.IFERROR('Direct Costs 2026'!$C$43*B809,"N/A")</f>
        <v>264000</v>
      </c>
      <c r="G809" s="423" cm="1">
        <f t="array" ref="G809">IF(B809&gt;0,'Direct Costs 2026'!$C$25,"N/A")</f>
        <v>90000</v>
      </c>
      <c r="H809" s="423">
        <v>0</v>
      </c>
      <c r="I809" s="423">
        <v>0</v>
      </c>
      <c r="J809" s="423">
        <v>0</v>
      </c>
      <c r="K809" s="423">
        <v>0</v>
      </c>
      <c r="L809" s="423" cm="1">
        <f t="array" ref="L809">IF(B809&gt;0,'Direct Costs 2026'!$C$23,"N/A")</f>
        <v>140000</v>
      </c>
      <c r="M809" s="423" cm="1">
        <f t="array" ref="M809">IF(B809&gt;0,'Direct Costs 2026'!$C$45*B809,"N/A")</f>
        <v>6600000</v>
      </c>
      <c r="N809" t="str" s="431" cm="1">
        <f t="array" ref="N809">IF(B809&gt;0,_xlfn.IFERROR(VLOOKUP(C791,'Boats Data Sheet 2026'!$C$3:$I$57,7,0)*'Direct Costs 2026'!$C$36,"N/A"),"N/A")</f>
        <v>N/A</v>
      </c>
      <c r="O809" s="423">
        <v>0</v>
      </c>
      <c r="P809" s="423">
        <v>0</v>
      </c>
      <c r="Q809" s="423" cm="1">
        <f t="array" ref="Q809">_xlfn.IFERROR(C809+SUM(E809:P809),"N/A")</f>
        <v>43720500</v>
      </c>
      <c r="R809" s="424"/>
      <c r="S809" s="423" cm="1">
        <f t="array" ref="S809">IF(B809&gt;0,'Allocation OH and Target 2026'!$E$31,"N/A")</f>
        <v>3100447.15769812</v>
      </c>
      <c r="T809" s="423" cm="1">
        <f t="array" ref="T809">$T$786+$T$786*(B809-$B$786)</f>
        <v>19440000</v>
      </c>
      <c r="U809" s="423" cm="1">
        <f t="array" ref="U809">_xlfn.IFERROR((S809+T809),"N/A")</f>
        <v>22540447.1576981</v>
      </c>
      <c r="V809" s="424"/>
      <c r="W809" s="423" cm="1">
        <f t="array" ref="W809">_xlfn.IFERROR(U809+Q809,"N/A")</f>
        <v>66260947.1576981</v>
      </c>
      <c r="X809" s="423" cm="1">
        <f t="array" ref="X809">_xlfn.IFERROR(W809*0.5%,"N/A")</f>
        <v>331304.735788491</v>
      </c>
      <c r="Y809" s="423" cm="1">
        <f t="array" ref="Y809">_xlfn.IFERROR(W809*25%,"N/A")</f>
        <v>16565236.7894245</v>
      </c>
      <c r="Z809" s="425" cm="1">
        <f t="array" ref="Z809">IF(B809&gt;0,(SUM(W809:Y809)),"N/A")</f>
        <v>83157488.6829111</v>
      </c>
      <c r="AA809" s="425" cm="1">
        <f t="array" ref="AA809">_xlfn.IFERROR((Z809-Z808),"N/A")</f>
        <v>1212330</v>
      </c>
      <c r="AB809" s="424"/>
      <c r="AC809" t="str" s="426" cm="1">
        <f t="array" ref="AC809">IF(B809=6,AVERAGE(Z794:Z799),"N/A")</f>
        <v>N/A</v>
      </c>
      <c r="AD809" s="424"/>
      <c r="AE809" s="423"/>
      <c r="AF809" s="423"/>
      <c r="AG809" s="423"/>
      <c r="AH809" s="423"/>
      <c r="AI809" s="423"/>
      <c r="AJ809" s="423"/>
      <c r="AK809" s="423"/>
      <c r="AL809" s="423"/>
      <c r="AM809" s="423"/>
      <c r="AN809" s="427"/>
    </row>
    <row r="810" ht="15" customHeight="1">
      <c r="A810" s="12"/>
      <c r="B810" s="428" cm="1">
        <f t="array" ref="B810">IF(B809=0,0,IF(B809&lt;VLOOKUP(C763,'Boats Data Sheet 2026'!$C$3:$H$57,6,0),B809+1,0))</f>
        <v>45</v>
      </c>
      <c r="C810" s="423" cm="1">
        <f t="array" ref="C810">_xlfn.IFERROR(IF(B810&gt;0,IF(VLOOKUP($C$763,'Boats Data Sheet 2026'!$C$3:$J$57,8,0)="N/A",0,VLOOKUP($C$763,'Boats Data Sheet 2026'!$C$3:$J$57,8,0)),"N/A")*100%,"N/A")</f>
        <v>34000000</v>
      </c>
      <c r="D810" s="430">
        <v>3</v>
      </c>
      <c r="E810" s="423" cm="1">
        <f t="array" ref="E810">_xlfn.IFERROR(SUM('Direct Costs 2026'!$C$4:$C$5)*D810,"N/A")</f>
        <v>2626500</v>
      </c>
      <c r="F810" s="423" cm="1">
        <f t="array" ref="F810">_xlfn.IFERROR('Direct Costs 2026'!$C$43*B810,"N/A")</f>
        <v>270000</v>
      </c>
      <c r="G810" s="423" cm="1">
        <f t="array" ref="G810">IF(B810&gt;0,'Direct Costs 2026'!$C$25,"N/A")</f>
        <v>90000</v>
      </c>
      <c r="H810" s="423">
        <v>0</v>
      </c>
      <c r="I810" s="423">
        <v>0</v>
      </c>
      <c r="J810" s="423">
        <v>0</v>
      </c>
      <c r="K810" s="423">
        <v>0</v>
      </c>
      <c r="L810" s="423" cm="1">
        <f t="array" ref="L810">IF(B810&gt;0,'Direct Costs 2026'!$C$23,"N/A")</f>
        <v>140000</v>
      </c>
      <c r="M810" s="423" cm="1">
        <f t="array" ref="M810">IF(B810&gt;0,'Direct Costs 2026'!$C$45*B810,"N/A")</f>
        <v>6750000</v>
      </c>
      <c r="N810" t="str" s="431" cm="1">
        <f t="array" ref="N810">IF(B810&gt;0,_xlfn.IFERROR(VLOOKUP(C791,'Boats Data Sheet 2026'!$C$3:$I$57,7,0)*'Direct Costs 2026'!$C$36,"N/A"),"N/A")</f>
        <v>N/A</v>
      </c>
      <c r="O810" s="423">
        <v>0</v>
      </c>
      <c r="P810" s="423">
        <v>0</v>
      </c>
      <c r="Q810" s="423" cm="1">
        <f t="array" ref="Q810">_xlfn.IFERROR(C810+SUM(E810:P810),"N/A")</f>
        <v>43876500</v>
      </c>
      <c r="R810" s="424"/>
      <c r="S810" s="423" cm="1">
        <f t="array" ref="S810">IF(B810&gt;0,'Allocation OH and Target 2026'!$E$31,"N/A")</f>
        <v>3100447.15769812</v>
      </c>
      <c r="T810" s="423" cm="1">
        <f t="array" ref="T810">$T$786+$T$786*(B810-$B$786)</f>
        <v>20250000</v>
      </c>
      <c r="U810" s="423" cm="1">
        <f t="array" ref="U810">_xlfn.IFERROR((S810+T810),"N/A")</f>
        <v>23350447.1576981</v>
      </c>
      <c r="V810" s="424"/>
      <c r="W810" s="423" cm="1">
        <f t="array" ref="W810">_xlfn.IFERROR(U810+Q810,"N/A")</f>
        <v>67226947.15769809</v>
      </c>
      <c r="X810" s="423" cm="1">
        <f t="array" ref="X810">_xlfn.IFERROR(W810*0.5%,"N/A")</f>
        <v>336134.735788491</v>
      </c>
      <c r="Y810" s="423" cm="1">
        <f t="array" ref="Y810">_xlfn.IFERROR(W810*25%,"N/A")</f>
        <v>16806736.7894245</v>
      </c>
      <c r="Z810" s="425" cm="1">
        <f t="array" ref="Z810">IF(B810&gt;0,(SUM(W810:Y810)),"N/A")</f>
        <v>84369818.6829111</v>
      </c>
      <c r="AA810" s="425" cm="1">
        <f t="array" ref="AA810">_xlfn.IFERROR((Z810-Z809),"N/A")</f>
        <v>1212330</v>
      </c>
      <c r="AB810" s="424"/>
      <c r="AC810" t="str" s="426" cm="1">
        <f t="array" ref="AC810">IF(B810=6,AVERAGE(Z794:Z799),"N/A")</f>
        <v>N/A</v>
      </c>
      <c r="AD810" s="424"/>
      <c r="AE810" s="423"/>
      <c r="AF810" s="423"/>
      <c r="AG810" s="423"/>
      <c r="AH810" s="423"/>
      <c r="AI810" s="423"/>
      <c r="AJ810" s="423"/>
      <c r="AK810" s="423"/>
      <c r="AL810" s="423"/>
      <c r="AM810" s="423"/>
      <c r="AN810" s="427"/>
    </row>
    <row r="811" ht="15.5" customHeight="1">
      <c r="A811" s="12"/>
      <c r="B811" s="432"/>
      <c r="C811" s="434"/>
      <c r="D811" s="433"/>
      <c r="E811" s="434"/>
      <c r="F811" s="434"/>
      <c r="G811" s="434"/>
      <c r="H811" s="434"/>
      <c r="I811" s="434"/>
      <c r="J811" s="434"/>
      <c r="K811" s="434"/>
      <c r="L811" s="434"/>
      <c r="M811" s="434"/>
      <c r="N811" s="434"/>
      <c r="O811" s="434"/>
      <c r="P811" s="434"/>
      <c r="Q811" s="434"/>
      <c r="R811" s="435"/>
      <c r="S811" s="434"/>
      <c r="T811" s="434"/>
      <c r="U811" s="434"/>
      <c r="V811" s="435"/>
      <c r="W811" s="434"/>
      <c r="X811" s="434"/>
      <c r="Y811" s="434"/>
      <c r="Z811" s="497"/>
      <c r="AA811" s="497"/>
      <c r="AB811" s="435"/>
      <c r="AC811" s="497"/>
      <c r="AD811" s="435"/>
      <c r="AE811" s="434"/>
      <c r="AF811" s="434"/>
      <c r="AG811" s="434"/>
      <c r="AH811" s="434"/>
      <c r="AI811" s="434"/>
      <c r="AJ811" s="434"/>
      <c r="AK811" s="434"/>
      <c r="AL811" s="434"/>
      <c r="AM811" s="434"/>
      <c r="AN811" s="437"/>
    </row>
    <row r="812" ht="15" customHeight="1">
      <c r="A812" s="32"/>
      <c r="B812" s="124"/>
      <c r="C812" s="124"/>
      <c r="D812" s="124"/>
      <c r="E812" s="124"/>
      <c r="F812" s="124"/>
      <c r="G812" s="124"/>
      <c r="H812" s="124"/>
      <c r="I812" s="124"/>
      <c r="J812" s="124"/>
      <c r="K812" s="124"/>
      <c r="L812" s="124"/>
      <c r="M812" s="124"/>
      <c r="N812" s="124"/>
      <c r="O812" s="124"/>
      <c r="P812" s="124"/>
      <c r="Q812" s="124"/>
      <c r="R812" s="124"/>
      <c r="S812" s="124"/>
      <c r="T812" s="503" cm="1">
        <f t="array" ref="T812">43950000+T805</f>
        <v>60150000</v>
      </c>
      <c r="U812" s="124"/>
      <c r="V812" s="124"/>
      <c r="W812" s="124"/>
      <c r="X812" s="124"/>
      <c r="Y812" s="124"/>
      <c r="Z812" s="124"/>
      <c r="AA812" s="124"/>
      <c r="AB812" s="124"/>
      <c r="AC812" s="124"/>
      <c r="AD812" s="124"/>
      <c r="AE812" s="124"/>
      <c r="AF812" s="124"/>
      <c r="AG812" s="124"/>
      <c r="AH812" s="124"/>
      <c r="AI812" s="124"/>
      <c r="AJ812" s="124"/>
      <c r="AK812" s="124"/>
      <c r="AL812" s="124"/>
      <c r="AM812" s="124"/>
      <c r="AN812" s="313"/>
    </row>
    <row r="813" ht="15" customHeight="1">
      <c r="A813" s="32"/>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c r="AH813" s="35"/>
      <c r="AI813" s="35"/>
      <c r="AJ813" s="35"/>
      <c r="AK813" s="35"/>
      <c r="AL813" s="35"/>
      <c r="AM813" s="35"/>
      <c r="AN813" s="442"/>
    </row>
    <row r="814" ht="15.5" customHeight="1">
      <c r="A814" s="395">
        <v>6</v>
      </c>
      <c r="B814" t="s" s="396">
        <v>506</v>
      </c>
      <c r="C814" t="s" s="397">
        <v>103</v>
      </c>
      <c r="D814" s="398"/>
      <c r="E814" s="398"/>
      <c r="F814" s="398"/>
      <c r="G814" s="398"/>
      <c r="H814" s="398"/>
      <c r="I814" s="398"/>
      <c r="J814" s="398"/>
      <c r="K814" s="398"/>
      <c r="L814" s="398"/>
      <c r="M814" s="398"/>
      <c r="N814" s="398"/>
      <c r="O814" s="398"/>
      <c r="P814" s="398"/>
      <c r="Q814" s="398"/>
      <c r="R814" s="399"/>
      <c r="S814" s="398"/>
      <c r="T814" s="398"/>
      <c r="U814" s="398"/>
      <c r="V814" s="399"/>
      <c r="W814" s="398"/>
      <c r="X814" s="398"/>
      <c r="Y814" s="398"/>
      <c r="Z814" s="398"/>
      <c r="AA814" s="398"/>
      <c r="AB814" s="399"/>
      <c r="AC814" s="398"/>
      <c r="AD814" s="399"/>
      <c r="AE814" t="s" s="397">
        <v>508</v>
      </c>
      <c r="AF814" s="401" cm="1">
        <f t="array" ref="AF814">AVERAGE(Q817:Q822)</f>
        <v>6318900</v>
      </c>
      <c r="AG814" t="s" s="400">
        <v>509</v>
      </c>
      <c r="AH814" s="401" cm="1">
        <f t="array" ref="AH814">AVERAGE(Q823:Q830)-AF814</f>
        <v>1436625</v>
      </c>
      <c r="AI814" t="s" s="400">
        <v>510</v>
      </c>
      <c r="AJ814" s="401" cm="1">
        <f t="array" ref="AJ814">AVERAGE(Y817:Y824)</f>
        <v>2421196.16442453</v>
      </c>
      <c r="AK814" t="s" s="397">
        <v>511</v>
      </c>
      <c r="AL814" s="401" cm="1">
        <f t="array" ref="AL814">AVERAGE(W817:W822)</f>
        <v>9419347.157698121</v>
      </c>
      <c r="AM814" t="s" s="400">
        <v>512</v>
      </c>
      <c r="AN814" s="402" cm="1">
        <f t="array" ref="AN814">W817</f>
        <v>9029347.157698121</v>
      </c>
    </row>
    <row r="815" ht="15" customHeight="1">
      <c r="A815" s="12"/>
      <c r="B815" s="403"/>
      <c r="C815" t="s" s="404">
        <v>513</v>
      </c>
      <c r="D815" s="405"/>
      <c r="E815" s="405"/>
      <c r="F815" s="405"/>
      <c r="G815" s="405"/>
      <c r="H815" s="405"/>
      <c r="I815" s="405"/>
      <c r="J815" s="405"/>
      <c r="K815" s="405"/>
      <c r="L815" s="405"/>
      <c r="M815" s="405"/>
      <c r="N815" s="405"/>
      <c r="O815" s="405"/>
      <c r="P815" s="405"/>
      <c r="Q815" s="406"/>
      <c r="R815" s="407"/>
      <c r="S815" t="s" s="404">
        <v>514</v>
      </c>
      <c r="T815" s="405"/>
      <c r="U815" s="406"/>
      <c r="V815" s="407"/>
      <c r="W815" t="s" s="404">
        <v>515</v>
      </c>
      <c r="X815" s="405"/>
      <c r="Y815" s="405"/>
      <c r="Z815" s="405"/>
      <c r="AA815" s="405"/>
      <c r="AB815" s="408"/>
      <c r="AC815" t="s" s="409">
        <v>516</v>
      </c>
      <c r="AD815" s="410"/>
      <c r="AE815" s="443"/>
      <c r="AF815" s="443"/>
      <c r="AG815" s="443"/>
      <c r="AH815" s="443"/>
      <c r="AI815" s="443"/>
      <c r="AJ815" s="443"/>
      <c r="AK815" s="443"/>
      <c r="AL815" s="414"/>
      <c r="AM815" s="415"/>
      <c r="AN815" s="414"/>
    </row>
    <row r="816" ht="46.25" customHeight="1">
      <c r="A816" s="187"/>
      <c r="B816" t="s" s="416">
        <v>517</v>
      </c>
      <c r="C816" t="s" s="417">
        <v>518</v>
      </c>
      <c r="D816" t="s" s="417">
        <v>519</v>
      </c>
      <c r="E816" t="s" s="417">
        <v>520</v>
      </c>
      <c r="F816" t="s" s="159">
        <v>521</v>
      </c>
      <c r="G816" t="s" s="159">
        <v>522</v>
      </c>
      <c r="H816" t="s" s="159">
        <v>540</v>
      </c>
      <c r="I816" t="s" s="159">
        <v>524</v>
      </c>
      <c r="J816" t="s" s="159">
        <v>525</v>
      </c>
      <c r="K816" t="s" s="159">
        <v>526</v>
      </c>
      <c r="L816" t="s" s="159">
        <v>527</v>
      </c>
      <c r="M816" t="s" s="159">
        <v>528</v>
      </c>
      <c r="N816" t="s" s="159">
        <v>529</v>
      </c>
      <c r="O816" t="s" s="159">
        <v>530</v>
      </c>
      <c r="P816" t="s" s="159">
        <v>531</v>
      </c>
      <c r="Q816" t="s" s="159">
        <v>532</v>
      </c>
      <c r="R816" s="418"/>
      <c r="S816" t="s" s="159">
        <v>533</v>
      </c>
      <c r="T816" t="s" s="159">
        <v>534</v>
      </c>
      <c r="U816" t="s" s="159">
        <v>535</v>
      </c>
      <c r="V816" s="418"/>
      <c r="W816" t="s" s="159">
        <v>536</v>
      </c>
      <c r="X816" t="s" s="159">
        <v>537</v>
      </c>
      <c r="Y816" t="s" s="159">
        <v>538</v>
      </c>
      <c r="Z816" t="s" s="159">
        <v>539</v>
      </c>
      <c r="AA816" t="s" s="159">
        <v>121</v>
      </c>
      <c r="AB816" s="419"/>
      <c r="AC816" t="s" s="159">
        <v>39</v>
      </c>
      <c r="AD816" s="419"/>
      <c r="AE816" t="s" s="159">
        <v>560</v>
      </c>
      <c r="AF816" t="s" s="159">
        <v>544</v>
      </c>
      <c r="AG816" s="77"/>
      <c r="AH816" s="77"/>
      <c r="AI816" s="77"/>
      <c r="AJ816" s="77"/>
      <c r="AK816" s="77"/>
      <c r="AL816" s="77"/>
      <c r="AM816" s="77"/>
      <c r="AN816" s="78"/>
    </row>
    <row r="817" ht="15" customHeight="1">
      <c r="A817" s="12"/>
      <c r="B817" s="420">
        <v>1</v>
      </c>
      <c r="C817" s="421" cm="1">
        <f t="array" ref="C817">IF(B817&gt;0,IF(VLOOKUP(C814,'Boats Data Sheet 2026'!$C$3:$J$57,8,0)="N/A",0,VLOOKUP(C814,'Boats Data Sheet 2026'!$C$3:$J$57,8,0)),"N/A")</f>
        <v>0</v>
      </c>
      <c r="D817" s="422" cm="1">
        <f t="array" ref="D817">IF(B817&gt;7,2,IF(B817=0,"N/A",1))</f>
        <v>1</v>
      </c>
      <c r="E817" s="421" cm="1">
        <f t="array" ref="E817">_xlfn.IFERROR(SUM('Direct Costs 2026'!$C$4:$C$5)*D817,"N/A")</f>
        <v>875500</v>
      </c>
      <c r="F817" s="423" cm="1">
        <f t="array" ref="F817">_xlfn.IFERROR('Direct Costs 2026'!$C$43*B817,"N/A")</f>
        <v>6000</v>
      </c>
      <c r="G817" s="423" cm="1">
        <f t="array" ref="G817">IF(B817&gt;0,'Direct Costs 2026'!$C$25,"N/A")</f>
        <v>90000</v>
      </c>
      <c r="H817" s="423" cm="1">
        <f t="array" ref="H817">IF(B817&gt;0,('Direct Costs 2026'!$C$15+'Direct Costs 2026'!$C$14),"N/A")</f>
        <v>230000</v>
      </c>
      <c r="I817" s="423">
        <v>0</v>
      </c>
      <c r="J817" s="423">
        <v>0</v>
      </c>
      <c r="K817" s="423">
        <v>0</v>
      </c>
      <c r="L817" s="423" cm="1">
        <f t="array" ref="L817">IF(B817&gt;0,'Direct Costs 2026'!$C$23,"N/A")</f>
        <v>140000</v>
      </c>
      <c r="M817" s="423" cm="1">
        <f t="array" ref="M817">IF(B817&gt;0,'Direct Costs 2026'!$C$45*B817,"N/A")</f>
        <v>150000</v>
      </c>
      <c r="N817" s="423" cm="1">
        <f t="array" ref="N817">IF(B817&gt;0,_xlfn.IFERROR(VLOOKUP(C814,'Boats Data Sheet 2026'!$C$3:$I$57,7,0)*'Direct Costs 2026'!$C$36,"N/A"),"N/A")</f>
        <v>3325000</v>
      </c>
      <c r="O817" s="423" cm="1">
        <f t="array" ref="O817">IF(B817&gt;0,IF(OR(VLOOKUP(C814,'Boats Data Sheet 2026'!$C$3:$F$57,4,0)="Own",VLOOKUP(C814,'Boats Data Sheet 2026'!$C$3:$F$57,4,0)="Management"),('Direct Costs 2026'!$C$37+'Direct Costs 2026'!$C$39),"N/A"),"N/A")</f>
        <v>1112400</v>
      </c>
      <c r="P817" s="423" cm="1">
        <f t="array" ref="P817">_xlfn.IFERROR('Direct Costs 2026'!$C$27*C817,"N/A")</f>
        <v>0</v>
      </c>
      <c r="Q817" s="423" cm="1">
        <f t="array" ref="Q817">_xlfn.IFERROR(C817+SUM(E817:P817),"N/A")</f>
        <v>5928900</v>
      </c>
      <c r="R817" s="424"/>
      <c r="S817" s="423" cm="1">
        <f t="array" ref="S817">IF(B817&gt;0,'Allocation OH and Target 2026'!$E$31,"N/A")</f>
        <v>3100447.15769812</v>
      </c>
      <c r="T817" s="423" cm="1">
        <f t="array" ref="T817">IF(B817&gt;0,VLOOKUP(C814,'Allocation OH and Target 2026'!$C$35:$S$87,16,0),"N/A")</f>
        <v>0</v>
      </c>
      <c r="U817" s="423" cm="1">
        <f t="array" ref="U817">_xlfn.IFERROR((S817+T817),"N/A")</f>
        <v>3100447.15769812</v>
      </c>
      <c r="V817" s="424"/>
      <c r="W817" s="423" cm="1">
        <f t="array" ref="W817">_xlfn.IFERROR(U817+Q817,"N/A")</f>
        <v>9029347.157698121</v>
      </c>
      <c r="X817" s="423" cm="1">
        <f t="array" ref="X817">_xlfn.IFERROR(W817*0.5%,"N/A")</f>
        <v>45146.7357884906</v>
      </c>
      <c r="Y817" s="423" cm="1">
        <f t="array" ref="Y817">_xlfn.IFERROR(W817*25%,"N/A")</f>
        <v>2257336.78942453</v>
      </c>
      <c r="Z817" s="425" cm="1">
        <f t="array" ref="Z817">IF(B817&gt;0,SUM(W817:Y817),"N/A")</f>
        <v>11331830.6829111</v>
      </c>
      <c r="AA817" s="425">
        <v>0</v>
      </c>
      <c r="AB817" s="424"/>
      <c r="AC817" t="str" s="426" cm="1">
        <f t="array" ref="AC817">IF(B817=6,AVERAGE(Z817:Z822),"N/A")</f>
        <v>N/A</v>
      </c>
      <c r="AD817" s="424"/>
      <c r="AE817" t="s" s="504">
        <v>555</v>
      </c>
      <c r="AF817" s="505" cm="1">
        <f t="array" ref="AF817">VLOOKUP(C814,'Allocation OH and Target 2026'!$C$35:$K$87,9,0)</f>
        <v>119</v>
      </c>
      <c r="AG817" s="423"/>
      <c r="AH817" s="423"/>
      <c r="AI817" s="423"/>
      <c r="AJ817" s="423"/>
      <c r="AK817" s="423"/>
      <c r="AL817" s="423"/>
      <c r="AM817" s="423"/>
      <c r="AN817" s="427"/>
    </row>
    <row r="818" ht="15" customHeight="1">
      <c r="A818" s="12"/>
      <c r="B818" s="428" cm="1">
        <f t="array" ref="B818">IF(B817=0,0,IF(B817&lt;VLOOKUP(C814,'Boats Data Sheet 2026'!$C$3:$H$57,6,0),B817+1,0))</f>
        <v>2</v>
      </c>
      <c r="C818" s="423" cm="1">
        <f t="array" ref="C818">IF(B818&gt;0,IF(VLOOKUP(C814,'Boats Data Sheet 2026'!$C$3:$J$57,8,0)="N/A",0,VLOOKUP(C814,'Boats Data Sheet 2026'!$C$3:$J$57,8,0)),"N/A")</f>
        <v>0</v>
      </c>
      <c r="D818" s="429" cm="1">
        <f t="array" ref="D818">IF(B818&gt;7,2,IF(B818=0,"N/A",1))</f>
        <v>1</v>
      </c>
      <c r="E818" s="423" cm="1">
        <f t="array" ref="E818">_xlfn.IFERROR(SUM('Direct Costs 2026'!$C$4:$C$5)*D818,"N/A")</f>
        <v>875500</v>
      </c>
      <c r="F818" s="423" cm="1">
        <f t="array" ref="F818">_xlfn.IFERROR('Direct Costs 2026'!$C$43*B818,"N/A")</f>
        <v>12000</v>
      </c>
      <c r="G818" s="423" cm="1">
        <f t="array" ref="G818">IF(B818&gt;0,'Direct Costs 2026'!$C$25,"N/A")</f>
        <v>90000</v>
      </c>
      <c r="H818" s="423" cm="1">
        <f t="array" ref="H818">IF(B818&gt;0,('Direct Costs 2026'!$C$15+'Direct Costs 2026'!$C$14),"N/A")</f>
        <v>230000</v>
      </c>
      <c r="I818" s="423">
        <v>0</v>
      </c>
      <c r="J818" s="423">
        <v>0</v>
      </c>
      <c r="K818" s="423">
        <v>0</v>
      </c>
      <c r="L818" s="423" cm="1">
        <f t="array" ref="L818">IF(B818&gt;0,'Direct Costs 2026'!$C$23,"N/A")</f>
        <v>140000</v>
      </c>
      <c r="M818" s="423" cm="1">
        <f t="array" ref="M818">IF(B818&gt;0,'Direct Costs 2026'!$C$45*B818,"N/A")</f>
        <v>300000</v>
      </c>
      <c r="N818" s="423" cm="1">
        <f t="array" ref="N818">IF(B818&gt;0,_xlfn.IFERROR(VLOOKUP(C814,'Boats Data Sheet 2026'!$C$3:$I$57,7,0)*'Direct Costs 2026'!$C$36,"N/A"),"N/A")</f>
        <v>3325000</v>
      </c>
      <c r="O818" s="423" cm="1">
        <f t="array" ref="O818">IF(B818&gt;0,IF(OR(VLOOKUP(C814,'Boats Data Sheet 2026'!$C$3:$F$57,4,0)="Own",VLOOKUP(C814,'Boats Data Sheet 2026'!$C$3:$F$57,4,0)="Management"),('Direct Costs 2026'!$C$37+'Direct Costs 2026'!$C$39),"N/A"),"N/A")</f>
        <v>1112400</v>
      </c>
      <c r="P818" s="423" cm="1">
        <f t="array" ref="P818">_xlfn.IFERROR('Direct Costs 2026'!$C$27*C818,"N/A")</f>
        <v>0</v>
      </c>
      <c r="Q818" s="423" cm="1">
        <f t="array" ref="Q818">_xlfn.IFERROR(C818+SUM(E818:P818),"N/A")</f>
        <v>6084900</v>
      </c>
      <c r="R818" s="424"/>
      <c r="S818" s="423" cm="1">
        <f t="array" ref="S818">IF(B818&gt;0,'Allocation OH and Target 2026'!$E$31,"N/A")</f>
        <v>3100447.15769812</v>
      </c>
      <c r="T818" s="423" cm="1">
        <f t="array" ref="T818">IF(B818&gt;0,VLOOKUP(C814,'Allocation OH and Target 2026'!$C$35:$S$87,16,0),"N/A")</f>
        <v>0</v>
      </c>
      <c r="U818" s="423" cm="1">
        <f t="array" ref="U818">_xlfn.IFERROR((S818+T818),"N/A")</f>
        <v>3100447.15769812</v>
      </c>
      <c r="V818" s="424"/>
      <c r="W818" s="423" cm="1">
        <f t="array" ref="W818">_xlfn.IFERROR(U818+Q818,"N/A")</f>
        <v>9185347.157698121</v>
      </c>
      <c r="X818" s="423" cm="1">
        <f t="array" ref="X818">_xlfn.IFERROR(W818*0.5%,"N/A")</f>
        <v>45926.7357884906</v>
      </c>
      <c r="Y818" s="423" cm="1">
        <f t="array" ref="Y818">_xlfn.IFERROR(W818*25%,"N/A")</f>
        <v>2296336.78942453</v>
      </c>
      <c r="Z818" s="425" cm="1">
        <f t="array" ref="Z818">IF(B818&gt;0,SUM(W818:Y818),"N/A")</f>
        <v>11527610.6829111</v>
      </c>
      <c r="AA818" s="425" cm="1">
        <f t="array" ref="AA818">_xlfn.IFERROR((Z818-Z817),"N/A")</f>
        <v>195780</v>
      </c>
      <c r="AB818" s="424"/>
      <c r="AC818" t="str" s="426" cm="1">
        <f t="array" ref="AC818">IF(B818=6,AVERAGE(Z817:Z822),"N/A")</f>
        <v>N/A</v>
      </c>
      <c r="AD818" s="424"/>
      <c r="AE818" t="s" s="506">
        <v>546</v>
      </c>
      <c r="AF818" s="423"/>
      <c r="AG818" s="423"/>
      <c r="AH818" s="423"/>
      <c r="AI818" s="423"/>
      <c r="AJ818" s="423"/>
      <c r="AK818" s="423"/>
      <c r="AL818" s="423"/>
      <c r="AM818" s="423"/>
      <c r="AN818" s="427"/>
    </row>
    <row r="819" ht="15" customHeight="1">
      <c r="A819" s="12"/>
      <c r="B819" s="428" cm="1">
        <f t="array" ref="B819">IF(B818=0,0,IF(B818&lt;VLOOKUP(C814,'Boats Data Sheet 2026'!$C$3:$H$57,6,0),B818+1,0))</f>
        <v>3</v>
      </c>
      <c r="C819" s="423" cm="1">
        <f t="array" ref="C819">IF(B819&gt;0,IF(VLOOKUP(C814,'Boats Data Sheet 2026'!$C$3:$J$57,8,0)="N/A",0,VLOOKUP(C814,'Boats Data Sheet 2026'!$C$3:$J$57,8,0)),"N/A")</f>
        <v>0</v>
      </c>
      <c r="D819" s="429" cm="1">
        <f t="array" ref="D819">IF(B819&gt;7,2,IF(B819=0,"N/A",1))</f>
        <v>1</v>
      </c>
      <c r="E819" s="423" cm="1">
        <f t="array" ref="E819">_xlfn.IFERROR(SUM('Direct Costs 2026'!$C$4:$C$5)*D819,"N/A")</f>
        <v>875500</v>
      </c>
      <c r="F819" s="423" cm="1">
        <f t="array" ref="F819">_xlfn.IFERROR('Direct Costs 2026'!$C$43*B819,"N/A")</f>
        <v>18000</v>
      </c>
      <c r="G819" s="423" cm="1">
        <f t="array" ref="G819">IF(B819&gt;0,'Direct Costs 2026'!$C$25,"N/A")</f>
        <v>90000</v>
      </c>
      <c r="H819" s="423" cm="1">
        <f t="array" ref="H819">IF(B819&gt;0,('Direct Costs 2026'!$C$15+'Direct Costs 2026'!$C$14),"N/A")</f>
        <v>230000</v>
      </c>
      <c r="I819" s="423">
        <v>0</v>
      </c>
      <c r="J819" s="423">
        <v>0</v>
      </c>
      <c r="K819" s="423">
        <v>0</v>
      </c>
      <c r="L819" s="423" cm="1">
        <f t="array" ref="L819">IF(B819&gt;0,'Direct Costs 2026'!$C$23,"N/A")</f>
        <v>140000</v>
      </c>
      <c r="M819" s="423" cm="1">
        <f t="array" ref="M819">IF(B819&gt;0,'Direct Costs 2026'!$C$45*B819,"N/A")</f>
        <v>450000</v>
      </c>
      <c r="N819" s="423" cm="1">
        <f t="array" ref="N819">IF(B819&gt;0,_xlfn.IFERROR(VLOOKUP(C814,'Boats Data Sheet 2026'!$C$3:$I$57,7,0)*'Direct Costs 2026'!$C$36,"N/A"),"N/A")</f>
        <v>3325000</v>
      </c>
      <c r="O819" s="423" cm="1">
        <f t="array" ref="O819">IF(B819&gt;0,IF(OR(VLOOKUP(C814,'Boats Data Sheet 2026'!$C$3:$F$57,4,0)="Own",VLOOKUP(C814,'Boats Data Sheet 2026'!$C$3:$F$57,4,0)="Management"),('Direct Costs 2026'!$C$37+'Direct Costs 2026'!$C$39),"N/A"),"N/A")</f>
        <v>1112400</v>
      </c>
      <c r="P819" s="423" cm="1">
        <f t="array" ref="P819">_xlfn.IFERROR('Direct Costs 2026'!$C$27*C819,"N/A")</f>
        <v>0</v>
      </c>
      <c r="Q819" s="423" cm="1">
        <f t="array" ref="Q819">_xlfn.IFERROR(C819+SUM(E819:P819),"N/A")</f>
        <v>6240900</v>
      </c>
      <c r="R819" s="424"/>
      <c r="S819" s="423" cm="1">
        <f t="array" ref="S819">IF(B819&gt;0,'Allocation OH and Target 2026'!$E$31,"N/A")</f>
        <v>3100447.15769812</v>
      </c>
      <c r="T819" s="423" cm="1">
        <f t="array" ref="T819">IF(B819&gt;0,VLOOKUP(C814,'Allocation OH and Target 2026'!$C$35:$S$87,16,0),"N/A")</f>
        <v>0</v>
      </c>
      <c r="U819" s="423" cm="1">
        <f t="array" ref="U819">_xlfn.IFERROR((S819+T819),"N/A")</f>
        <v>3100447.15769812</v>
      </c>
      <c r="V819" s="424"/>
      <c r="W819" s="423" cm="1">
        <f t="array" ref="W819">_xlfn.IFERROR(U819+Q819,"N/A")</f>
        <v>9341347.157698121</v>
      </c>
      <c r="X819" s="423" cm="1">
        <f t="array" ref="X819">_xlfn.IFERROR(W819*0.5%,"N/A")</f>
        <v>46706.7357884906</v>
      </c>
      <c r="Y819" s="423" cm="1">
        <f t="array" ref="Y819">_xlfn.IFERROR(W819*25%,"N/A")</f>
        <v>2335336.78942453</v>
      </c>
      <c r="Z819" s="425" cm="1">
        <f t="array" ref="Z819">IF(B819&gt;0,SUM(W819:Y819),"N/A")</f>
        <v>11723390.6829111</v>
      </c>
      <c r="AA819" s="425" cm="1">
        <f t="array" ref="AA819">_xlfn.IFERROR((Z819-Z818),"N/A")</f>
        <v>195780</v>
      </c>
      <c r="AB819" s="424"/>
      <c r="AC819" t="str" s="426" cm="1">
        <f t="array" ref="AC819">IF(B819=6,AVERAGE(Z817:Z822),"N/A")</f>
        <v>N/A</v>
      </c>
      <c r="AD819" s="424"/>
      <c r="AE819" t="s" s="504">
        <v>547</v>
      </c>
      <c r="AF819" s="423" cm="1">
        <f t="array" ref="AF819">AF817*'RECOMMENDED PRICES'!$D$17</f>
        <v>1463105000</v>
      </c>
      <c r="AG819" s="423"/>
      <c r="AH819" s="423"/>
      <c r="AI819" s="423"/>
      <c r="AJ819" s="423"/>
      <c r="AK819" s="423"/>
      <c r="AL819" s="423"/>
      <c r="AM819" s="423"/>
      <c r="AN819" s="427"/>
    </row>
    <row r="820" ht="15" customHeight="1">
      <c r="A820" s="12"/>
      <c r="B820" s="428" cm="1">
        <f t="array" ref="B820">IF(B819=0,0,IF(B819&lt;VLOOKUP(C814,'Boats Data Sheet 2026'!$C$3:$H$57,6,0),B819+1,0))</f>
        <v>4</v>
      </c>
      <c r="C820" s="423" cm="1">
        <f t="array" ref="C820">IF(B820&gt;0,IF(VLOOKUP(C814,'Boats Data Sheet 2026'!$C$3:$J$57,8,0)="N/A",0,VLOOKUP(C814,'Boats Data Sheet 2026'!$C$3:$J$57,8,0)),"N/A")</f>
        <v>0</v>
      </c>
      <c r="D820" s="429" cm="1">
        <f t="array" ref="D820">IF(B820&gt;7,2,IF(B820=0,"N/A",1))</f>
        <v>1</v>
      </c>
      <c r="E820" s="423" cm="1">
        <f t="array" ref="E820">_xlfn.IFERROR(SUM('Direct Costs 2026'!$C$4:$C$5)*D820,"N/A")</f>
        <v>875500</v>
      </c>
      <c r="F820" s="423" cm="1">
        <f t="array" ref="F820">_xlfn.IFERROR('Direct Costs 2026'!$C$43*B820,"N/A")</f>
        <v>24000</v>
      </c>
      <c r="G820" s="423" cm="1">
        <f t="array" ref="G820">IF(B820&gt;0,'Direct Costs 2026'!$C$25,"N/A")</f>
        <v>90000</v>
      </c>
      <c r="H820" s="423" cm="1">
        <f t="array" ref="H820">IF(B820&gt;0,('Direct Costs 2026'!$C$15+'Direct Costs 2026'!$C$14),"N/A")</f>
        <v>230000</v>
      </c>
      <c r="I820" s="423">
        <v>0</v>
      </c>
      <c r="J820" s="423">
        <v>0</v>
      </c>
      <c r="K820" s="423">
        <v>0</v>
      </c>
      <c r="L820" s="423" cm="1">
        <f t="array" ref="L820">IF(B820&gt;0,'Direct Costs 2026'!$C$23,"N/A")</f>
        <v>140000</v>
      </c>
      <c r="M820" s="423" cm="1">
        <f t="array" ref="M820">IF(B820&gt;0,'Direct Costs 2026'!$C$45*B820,"N/A")</f>
        <v>600000</v>
      </c>
      <c r="N820" s="423" cm="1">
        <f t="array" ref="N820">IF(B820&gt;0,_xlfn.IFERROR(VLOOKUP(C814,'Boats Data Sheet 2026'!$C$3:$I$57,7,0)*'Direct Costs 2026'!$C$36,"N/A"),"N/A")</f>
        <v>3325000</v>
      </c>
      <c r="O820" s="423" cm="1">
        <f t="array" ref="O820">IF(B820&gt;0,IF(OR(VLOOKUP(C814,'Boats Data Sheet 2026'!$C$3:$F$57,4,0)="Own",VLOOKUP(C814,'Boats Data Sheet 2026'!$C$3:$F$57,4,0)="Management"),('Direct Costs 2026'!$C$37+'Direct Costs 2026'!$C$39),"N/A"),"N/A")</f>
        <v>1112400</v>
      </c>
      <c r="P820" s="423" cm="1">
        <f t="array" ref="P820">_xlfn.IFERROR('Direct Costs 2026'!$C$27*C820,"N/A")</f>
        <v>0</v>
      </c>
      <c r="Q820" s="423" cm="1">
        <f t="array" ref="Q820">_xlfn.IFERROR(C820+SUM(E820:P820),"N/A")</f>
        <v>6396900</v>
      </c>
      <c r="R820" s="424"/>
      <c r="S820" s="423" cm="1">
        <f t="array" ref="S820">IF(B820&gt;0,'Allocation OH and Target 2026'!$E$31,"N/A")</f>
        <v>3100447.15769812</v>
      </c>
      <c r="T820" s="423" cm="1">
        <f t="array" ref="T820">IF(B820&gt;0,VLOOKUP(C814,'Allocation OH and Target 2026'!$C$35:$S$87,16,0),"N/A")</f>
        <v>0</v>
      </c>
      <c r="U820" s="423" cm="1">
        <f t="array" ref="U820">_xlfn.IFERROR((S820+T820),"N/A")</f>
        <v>3100447.15769812</v>
      </c>
      <c r="V820" s="424"/>
      <c r="W820" s="423" cm="1">
        <f t="array" ref="W820">_xlfn.IFERROR(U820+Q820,"N/A")</f>
        <v>9497347.157698121</v>
      </c>
      <c r="X820" s="423" cm="1">
        <f t="array" ref="X820">_xlfn.IFERROR(W820*0.5%,"N/A")</f>
        <v>47486.7357884906</v>
      </c>
      <c r="Y820" s="423" cm="1">
        <f t="array" ref="Y820">_xlfn.IFERROR(W820*25%,"N/A")</f>
        <v>2374336.78942453</v>
      </c>
      <c r="Z820" s="425" cm="1">
        <f t="array" ref="Z820">IF(B820&gt;0,SUM(W820:Y820),"N/A")</f>
        <v>11919170.6829111</v>
      </c>
      <c r="AA820" s="425" cm="1">
        <f t="array" ref="AA820">_xlfn.IFERROR((Z820-Z819),"N/A")</f>
        <v>195780</v>
      </c>
      <c r="AB820" s="424"/>
      <c r="AC820" t="str" s="426" cm="1">
        <f t="array" ref="AC820">IF(B820=6,AVERAGE(Z817:Z822),"N/A")</f>
        <v>N/A</v>
      </c>
      <c r="AD820" s="424"/>
      <c r="AE820" t="s" s="504">
        <v>548</v>
      </c>
      <c r="AF820" s="423" cm="1">
        <f t="array" ref="AF820">AF817*'RECOMMENDED PRICES'!$F$62</f>
        <v>71400000</v>
      </c>
      <c r="AG820" s="423"/>
      <c r="AH820" s="423"/>
      <c r="AI820" s="423"/>
      <c r="AJ820" s="423"/>
      <c r="AK820" s="423"/>
      <c r="AL820" s="423"/>
      <c r="AM820" s="423"/>
      <c r="AN820" s="427"/>
    </row>
    <row r="821" ht="15" customHeight="1">
      <c r="A821" s="12"/>
      <c r="B821" s="428" cm="1">
        <f t="array" ref="B821">IF(B820=0,0,IF(B820&lt;VLOOKUP(C814,'Boats Data Sheet 2026'!$C$3:$H$57,6,0),B820+1,0))</f>
        <v>5</v>
      </c>
      <c r="C821" s="423" cm="1">
        <f t="array" ref="C821">IF(B821&gt;0,IF(VLOOKUP(C814,'Boats Data Sheet 2026'!$C$3:$J$57,8,0)="N/A",0,VLOOKUP(C814,'Boats Data Sheet 2026'!$C$3:$J$57,8,0)),"N/A")</f>
        <v>0</v>
      </c>
      <c r="D821" s="429" cm="1">
        <f t="array" ref="D821">IF(B821&gt;7,2,IF(B821=0,"N/A",1))</f>
        <v>1</v>
      </c>
      <c r="E821" s="423" cm="1">
        <f t="array" ref="E821">_xlfn.IFERROR(SUM('Direct Costs 2026'!$C$4:$C$5)*D821,"N/A")</f>
        <v>875500</v>
      </c>
      <c r="F821" s="423" cm="1">
        <f t="array" ref="F821">_xlfn.IFERROR('Direct Costs 2026'!$C$43*B821,"N/A")</f>
        <v>30000</v>
      </c>
      <c r="G821" s="423" cm="1">
        <f t="array" ref="G821">IF(B821&gt;0,'Direct Costs 2026'!$C$25,"N/A")</f>
        <v>90000</v>
      </c>
      <c r="H821" s="423" cm="1">
        <f t="array" ref="H821">IF(B821&gt;0,('Direct Costs 2026'!$C$15+'Direct Costs 2026'!$C$14),"N/A")</f>
        <v>230000</v>
      </c>
      <c r="I821" s="423">
        <v>0</v>
      </c>
      <c r="J821" s="423">
        <v>0</v>
      </c>
      <c r="K821" s="423">
        <v>0</v>
      </c>
      <c r="L821" s="423" cm="1">
        <f t="array" ref="L821">IF(B821&gt;0,'Direct Costs 2026'!$C$23,"N/A")</f>
        <v>140000</v>
      </c>
      <c r="M821" s="423" cm="1">
        <f t="array" ref="M821">IF(B821&gt;0,'Direct Costs 2026'!$C$45*B821,"N/A")</f>
        <v>750000</v>
      </c>
      <c r="N821" s="423" cm="1">
        <f t="array" ref="N821">IF(B821&gt;0,_xlfn.IFERROR(VLOOKUP(C814,'Boats Data Sheet 2026'!$C$3:$I$57,7,0)*'Direct Costs 2026'!$C$36,"N/A"),"N/A")</f>
        <v>3325000</v>
      </c>
      <c r="O821" s="423" cm="1">
        <f t="array" ref="O821">IF(B821&gt;0,IF(OR(VLOOKUP(C814,'Boats Data Sheet 2026'!$C$3:$F$57,4,0)="Own",VLOOKUP(C814,'Boats Data Sheet 2026'!$C$3:$F$57,4,0)="Management"),('Direct Costs 2026'!$C$37+'Direct Costs 2026'!$C$39),"N/A"),"N/A")</f>
        <v>1112400</v>
      </c>
      <c r="P821" s="423" cm="1">
        <f t="array" ref="P821">_xlfn.IFERROR('Direct Costs 2026'!$C$27*C821,"N/A")</f>
        <v>0</v>
      </c>
      <c r="Q821" s="423" cm="1">
        <f t="array" ref="Q821">_xlfn.IFERROR(C821+SUM(E821:P821),"N/A")</f>
        <v>6552900</v>
      </c>
      <c r="R821" s="424"/>
      <c r="S821" s="423" cm="1">
        <f t="array" ref="S821">IF(B821&gt;0,'Allocation OH and Target 2026'!$E$31,"N/A")</f>
        <v>3100447.15769812</v>
      </c>
      <c r="T821" s="423" cm="1">
        <f t="array" ref="T821">IF(B821&gt;0,VLOOKUP(C814,'Allocation OH and Target 2026'!$C$35:$S$87,16,0),"N/A")</f>
        <v>0</v>
      </c>
      <c r="U821" s="423" cm="1">
        <f t="array" ref="U821">_xlfn.IFERROR((S821+T821),"N/A")</f>
        <v>3100447.15769812</v>
      </c>
      <c r="V821" s="424"/>
      <c r="W821" s="423" cm="1">
        <f t="array" ref="W821">_xlfn.IFERROR(U821+Q821,"N/A")</f>
        <v>9653347.157698121</v>
      </c>
      <c r="X821" s="423" cm="1">
        <f t="array" ref="X821">_xlfn.IFERROR(W821*0.5%,"N/A")</f>
        <v>48266.7357884906</v>
      </c>
      <c r="Y821" s="423" cm="1">
        <f t="array" ref="Y821">_xlfn.IFERROR(W821*25%,"N/A")</f>
        <v>2413336.78942453</v>
      </c>
      <c r="Z821" s="425" cm="1">
        <f t="array" ref="Z821">IF(B821&gt;0,SUM(W821:Y821),"N/A")</f>
        <v>12114950.6829111</v>
      </c>
      <c r="AA821" s="425" cm="1">
        <f t="array" ref="AA821">_xlfn.IFERROR((Z821-Z820),"N/A")</f>
        <v>195780</v>
      </c>
      <c r="AB821" s="424"/>
      <c r="AC821" t="str" s="426" cm="1">
        <f t="array" ref="AC821">IF(B821=6,AVERAGE(Z817:Z822),"N/A")</f>
        <v>N/A</v>
      </c>
      <c r="AD821" s="424"/>
      <c r="AE821" t="s" s="504">
        <v>549</v>
      </c>
      <c r="AF821" s="423">
        <v>0</v>
      </c>
      <c r="AG821" s="423"/>
      <c r="AH821" s="423"/>
      <c r="AI821" s="423"/>
      <c r="AJ821" s="423"/>
      <c r="AK821" s="423"/>
      <c r="AL821" s="423"/>
      <c r="AM821" s="423"/>
      <c r="AN821" s="427"/>
    </row>
    <row r="822" ht="15" customHeight="1">
      <c r="A822" s="12"/>
      <c r="B822" s="428" cm="1">
        <f t="array" ref="B822">IF(B821=0,0,IF(B821&lt;VLOOKUP(C814,'Boats Data Sheet 2026'!$C$3:$H$57,6,0),B821+1,0))</f>
        <v>6</v>
      </c>
      <c r="C822" s="423" cm="1">
        <f t="array" ref="C822">IF(B822&gt;0,IF(VLOOKUP(C814,'Boats Data Sheet 2026'!$C$3:$J$57,8,0)="N/A",0,VLOOKUP(C814,'Boats Data Sheet 2026'!$C$3:$J$57,8,0)),"N/A")</f>
        <v>0</v>
      </c>
      <c r="D822" s="429" cm="1">
        <f t="array" ref="D822">IF(B822&gt;7,2,IF(B822=0,"N/A",1))</f>
        <v>1</v>
      </c>
      <c r="E822" s="423" cm="1">
        <f t="array" ref="E822">_xlfn.IFERROR(SUM('Direct Costs 2026'!$C$4:$C$5)*D822,"N/A")</f>
        <v>875500</v>
      </c>
      <c r="F822" s="423" cm="1">
        <f t="array" ref="F822">_xlfn.IFERROR('Direct Costs 2026'!$C$43*B822,"N/A")</f>
        <v>36000</v>
      </c>
      <c r="G822" s="423" cm="1">
        <f t="array" ref="G822">IF(B822&gt;0,'Direct Costs 2026'!$C$25,"N/A")</f>
        <v>90000</v>
      </c>
      <c r="H822" s="423" cm="1">
        <f t="array" ref="H822">IF(B822&gt;0,('Direct Costs 2026'!$C$15+'Direct Costs 2026'!$C$14),"N/A")</f>
        <v>230000</v>
      </c>
      <c r="I822" s="423">
        <v>0</v>
      </c>
      <c r="J822" s="423">
        <v>0</v>
      </c>
      <c r="K822" s="423">
        <v>0</v>
      </c>
      <c r="L822" s="423" cm="1">
        <f t="array" ref="L822">IF(B822&gt;0,'Direct Costs 2026'!$C$23,"N/A")</f>
        <v>140000</v>
      </c>
      <c r="M822" s="423" cm="1">
        <f t="array" ref="M822">IF(B822&gt;0,'Direct Costs 2026'!$C$45*B822,"N/A")</f>
        <v>900000</v>
      </c>
      <c r="N822" s="423" cm="1">
        <f t="array" ref="N822">IF(B822&gt;0,_xlfn.IFERROR(VLOOKUP(C814,'Boats Data Sheet 2026'!$C$3:$I$57,7,0)*'Direct Costs 2026'!$C$36,"N/A"),"N/A")</f>
        <v>3325000</v>
      </c>
      <c r="O822" s="423" cm="1">
        <f t="array" ref="O822">IF(B822&gt;0,IF(OR(VLOOKUP(C814,'Boats Data Sheet 2026'!$C$3:$F$57,4,0)="Own",VLOOKUP(C814,'Boats Data Sheet 2026'!$C$3:$F$57,4,0)="Management"),('Direct Costs 2026'!$C$37+'Direct Costs 2026'!$C$39),"N/A"),"N/A")</f>
        <v>1112400</v>
      </c>
      <c r="P822" s="423" cm="1">
        <f t="array" ref="P822">_xlfn.IFERROR('Direct Costs 2026'!$C$27*C822,"N/A")</f>
        <v>0</v>
      </c>
      <c r="Q822" s="423" cm="1">
        <f t="array" ref="Q822">_xlfn.IFERROR(C822+SUM(E822:P822),"N/A")</f>
        <v>6708900</v>
      </c>
      <c r="R822" s="424"/>
      <c r="S822" s="423" cm="1">
        <f t="array" ref="S822">IF(B822&gt;0,'Allocation OH and Target 2026'!$E$31,"N/A")</f>
        <v>3100447.15769812</v>
      </c>
      <c r="T822" s="423" cm="1">
        <f t="array" ref="T822">IF(B822&gt;0,VLOOKUP(C814,'Allocation OH and Target 2026'!$C$35:$S$87,16,0),"N/A")</f>
        <v>0</v>
      </c>
      <c r="U822" s="423" cm="1">
        <f t="array" ref="U822">_xlfn.IFERROR((S822+T822),"N/A")</f>
        <v>3100447.15769812</v>
      </c>
      <c r="V822" s="424"/>
      <c r="W822" s="423" cm="1">
        <f t="array" ref="W822">_xlfn.IFERROR(U822+Q822,"N/A")</f>
        <v>9809347.157698121</v>
      </c>
      <c r="X822" s="423" cm="1">
        <f t="array" ref="X822">_xlfn.IFERROR(W822*0.5%,"N/A")</f>
        <v>49046.7357884906</v>
      </c>
      <c r="Y822" s="423" cm="1">
        <f t="array" ref="Y822">_xlfn.IFERROR(W822*25%,"N/A")</f>
        <v>2452336.78942453</v>
      </c>
      <c r="Z822" s="425" cm="1">
        <f t="array" ref="Z822">IF(B822&gt;0,SUM(W822:Y822),"N/A")</f>
        <v>12310730.6829111</v>
      </c>
      <c r="AA822" s="425" cm="1">
        <f t="array" ref="AA822">_xlfn.IFERROR((Z822-Z821),"N/A")</f>
        <v>195780</v>
      </c>
      <c r="AB822" s="424"/>
      <c r="AC822" s="425" cm="1">
        <f t="array" ref="AC822">IF(B822=6,AVERAGE(Z817:Z822),"N/A")</f>
        <v>11821280.6829111</v>
      </c>
      <c r="AD822" s="424"/>
      <c r="AE822" t="s" s="506">
        <v>550</v>
      </c>
      <c r="AF822" s="423"/>
      <c r="AG822" s="423"/>
      <c r="AH822" s="423"/>
      <c r="AI822" s="423"/>
      <c r="AJ822" s="423"/>
      <c r="AK822" s="423"/>
      <c r="AL822" s="423"/>
      <c r="AM822" s="423"/>
      <c r="AN822" s="427"/>
    </row>
    <row r="823" ht="15" customHeight="1">
      <c r="A823" s="12"/>
      <c r="B823" s="428" cm="1">
        <f t="array" ref="B823">IF(B822=0,0,IF(B822&lt;VLOOKUP(C814,'Boats Data Sheet 2026'!$C$3:$H$57,6,0),B822+1,0))</f>
        <v>7</v>
      </c>
      <c r="C823" s="423" cm="1">
        <f t="array" ref="C823">IF(B823&gt;0,IF(VLOOKUP(C814,'Boats Data Sheet 2026'!$C$3:$J$57,8,0)="N/A",0,VLOOKUP(C814,'Boats Data Sheet 2026'!$C$3:$J$57,8,0)),"N/A")</f>
        <v>0</v>
      </c>
      <c r="D823" s="429" cm="1">
        <f t="array" ref="D823">IF(B823&gt;7,2,IF(B823=0,"N/A",1))</f>
        <v>1</v>
      </c>
      <c r="E823" s="423" cm="1">
        <f t="array" ref="E823">_xlfn.IFERROR(SUM('Direct Costs 2026'!$C$4:$C$5)*D823,"N/A")</f>
        <v>875500</v>
      </c>
      <c r="F823" s="423" cm="1">
        <f t="array" ref="F823">_xlfn.IFERROR('Direct Costs 2026'!$C$43*B823,"N/A")</f>
        <v>42000</v>
      </c>
      <c r="G823" s="423" cm="1">
        <f t="array" ref="G823">IF(B823&gt;0,'Direct Costs 2026'!$C$25,"N/A")</f>
        <v>90000</v>
      </c>
      <c r="H823" s="423" cm="1">
        <f t="array" ref="H823">IF(B823&gt;0,('Direct Costs 2026'!$C$15+'Direct Costs 2026'!$C$14),"N/A")</f>
        <v>230000</v>
      </c>
      <c r="I823" s="423">
        <v>0</v>
      </c>
      <c r="J823" s="423">
        <v>0</v>
      </c>
      <c r="K823" s="423">
        <v>0</v>
      </c>
      <c r="L823" s="423" cm="1">
        <f t="array" ref="L823">IF(B823&gt;0,'Direct Costs 2026'!$C$23,"N/A")</f>
        <v>140000</v>
      </c>
      <c r="M823" s="423" cm="1">
        <f t="array" ref="M823">IF(B823&gt;0,'Direct Costs 2026'!$C$45*B823,"N/A")</f>
        <v>1050000</v>
      </c>
      <c r="N823" s="423" cm="1">
        <f t="array" ref="N823">IF(B823&gt;0,_xlfn.IFERROR(VLOOKUP(C814,'Boats Data Sheet 2026'!$C$3:$I$57,7,0)*'Direct Costs 2026'!$C$36,"N/A"),"N/A")</f>
        <v>3325000</v>
      </c>
      <c r="O823" s="423" cm="1">
        <f t="array" ref="O823">IF(B823&gt;0,IF(OR(VLOOKUP(C814,'Boats Data Sheet 2026'!$C$3:$F$57,4,0)="Own",VLOOKUP(C814,'Boats Data Sheet 2026'!$C$3:$F$57,4,0)="Management"),('Direct Costs 2026'!$C$37+'Direct Costs 2026'!$C$39),"N/A"),"N/A")</f>
        <v>1112400</v>
      </c>
      <c r="P823" s="423" cm="1">
        <f t="array" ref="P823">_xlfn.IFERROR('Direct Costs 2026'!$C$27*C823,"N/A")</f>
        <v>0</v>
      </c>
      <c r="Q823" s="423" cm="1">
        <f t="array" ref="Q823">_xlfn.IFERROR(C823+SUM(E823:P823),"N/A")</f>
        <v>6864900</v>
      </c>
      <c r="R823" s="424"/>
      <c r="S823" s="423" cm="1">
        <f t="array" ref="S823">IF(B823&gt;0,'Allocation OH and Target 2026'!$E$31,"N/A")</f>
        <v>3100447.15769812</v>
      </c>
      <c r="T823" s="423" cm="1">
        <f t="array" ref="T823">IF(B823&gt;0,VLOOKUP(C814,'Allocation OH and Target 2026'!$C$35:$S$87,16,0),"N/A")</f>
        <v>0</v>
      </c>
      <c r="U823" s="423" cm="1">
        <f t="array" ref="U823">_xlfn.IFERROR((S823+T823),"N/A")</f>
        <v>3100447.15769812</v>
      </c>
      <c r="V823" s="424"/>
      <c r="W823" s="423" cm="1">
        <f t="array" ref="W823">_xlfn.IFERROR(U823+Q823,"N/A")</f>
        <v>9965347.157698121</v>
      </c>
      <c r="X823" s="423" cm="1">
        <f t="array" ref="X823">_xlfn.IFERROR(W823*0.5%,"N/A")</f>
        <v>49826.7357884906</v>
      </c>
      <c r="Y823" s="423" cm="1">
        <f t="array" ref="Y823">_xlfn.IFERROR(W823*25%,"N/A")</f>
        <v>2491336.78942453</v>
      </c>
      <c r="Z823" s="425" cm="1">
        <f t="array" ref="Z823">IF(B823&gt;0,SUM(W823:Y823),"N/A")</f>
        <v>12506510.6829111</v>
      </c>
      <c r="AA823" s="425" cm="1">
        <f t="array" ref="AA823">_xlfn.IFERROR((Z823-Z822),"N/A")</f>
        <v>195780</v>
      </c>
      <c r="AB823" s="424"/>
      <c r="AC823" t="str" s="426" cm="1">
        <f t="array" ref="AC823">IF(B823=6,AVERAGE(Z817:Z822),"N/A")</f>
        <v>N/A</v>
      </c>
      <c r="AD823" s="424"/>
      <c r="AE823" t="s" s="504">
        <v>551</v>
      </c>
      <c r="AF823" s="423" cm="1">
        <f t="array" ref="AF823">-AVERAGE(Q817:Q822)*AF817</f>
        <v>-751949100</v>
      </c>
      <c r="AG823" s="423"/>
      <c r="AH823" s="423"/>
      <c r="AI823" s="423"/>
      <c r="AJ823" s="423"/>
      <c r="AK823" s="423"/>
      <c r="AL823" s="423"/>
      <c r="AM823" s="423"/>
      <c r="AN823" s="427"/>
    </row>
    <row r="824" ht="15" customHeight="1">
      <c r="A824" s="12"/>
      <c r="B824" s="428" cm="1">
        <f t="array" ref="B824">IF(B823=0,0,IF(B823&lt;VLOOKUP(C814,'Boats Data Sheet 2026'!$C$3:$H$57,6,0),B823+1,0))</f>
        <v>8</v>
      </c>
      <c r="C824" s="423" cm="1">
        <f t="array" ref="C824">IF(B824&gt;0,IF(VLOOKUP(C814,'Boats Data Sheet 2026'!$C$3:$J$57,8,0)="N/A",0,VLOOKUP(C814,'Boats Data Sheet 2026'!$C$3:$J$57,8,0)),"N/A")</f>
        <v>0</v>
      </c>
      <c r="D824" s="429" cm="1">
        <f t="array" ref="D824">IF(B824&gt;7,2,IF(B824=0,"N/A",1))</f>
        <v>2</v>
      </c>
      <c r="E824" s="423" cm="1">
        <f t="array" ref="E824">_xlfn.IFERROR(SUM('Direct Costs 2026'!$C$4:$C$5)*D824,"N/A")</f>
        <v>1751000</v>
      </c>
      <c r="F824" s="423" cm="1">
        <f t="array" ref="F824">_xlfn.IFERROR('Direct Costs 2026'!$C$43*B824,"N/A")</f>
        <v>48000</v>
      </c>
      <c r="G824" s="423" cm="1">
        <f t="array" ref="G824">IF(B824&gt;0,'Direct Costs 2026'!$C$25,"N/A")</f>
        <v>90000</v>
      </c>
      <c r="H824" s="423" cm="1">
        <f t="array" ref="H824">IF(B824&gt;0,('Direct Costs 2026'!$C$15+'Direct Costs 2026'!$C$14),"N/A")</f>
        <v>230000</v>
      </c>
      <c r="I824" s="423">
        <v>0</v>
      </c>
      <c r="J824" s="423">
        <v>0</v>
      </c>
      <c r="K824" s="423">
        <v>0</v>
      </c>
      <c r="L824" s="423" cm="1">
        <f t="array" ref="L824">IF(B824&gt;0,'Direct Costs 2026'!$C$23,"N/A")</f>
        <v>140000</v>
      </c>
      <c r="M824" s="423" cm="1">
        <f t="array" ref="M824">IF(B824&gt;0,'Direct Costs 2026'!$C$45*B824,"N/A")</f>
        <v>1200000</v>
      </c>
      <c r="N824" s="423" cm="1">
        <f t="array" ref="N824">IF(B824&gt;0,_xlfn.IFERROR(VLOOKUP(C814,'Boats Data Sheet 2026'!$C$3:$I$57,7,0)*'Direct Costs 2026'!$C$36,"N/A"),"N/A")</f>
        <v>3325000</v>
      </c>
      <c r="O824" s="423" cm="1">
        <f t="array" ref="O824">IF(B824&gt;0,IF(OR(VLOOKUP(C814,'Boats Data Sheet 2026'!$C$3:$F$57,4,0)="Own",VLOOKUP(C814,'Boats Data Sheet 2026'!$C$3:$F$57,4,0)="Management"),('Direct Costs 2026'!$C$37+'Direct Costs 2026'!$C$39),"N/A"),"N/A")</f>
        <v>1112400</v>
      </c>
      <c r="P824" s="423" cm="1">
        <f t="array" ref="P824">_xlfn.IFERROR('Direct Costs 2026'!$C$27*C824,"N/A")</f>
        <v>0</v>
      </c>
      <c r="Q824" s="423" cm="1">
        <f t="array" ref="Q824">_xlfn.IFERROR(C824+SUM(E824:P824),"N/A")</f>
        <v>7896400</v>
      </c>
      <c r="R824" s="424"/>
      <c r="S824" s="423" cm="1">
        <f t="array" ref="S824">IF(B824&gt;0,'Allocation OH and Target 2026'!$E$31,"N/A")</f>
        <v>3100447.15769812</v>
      </c>
      <c r="T824" s="423" cm="1">
        <f t="array" ref="T824">IF(B824&gt;0,VLOOKUP(C814,'Allocation OH and Target 2026'!$C$35:$S$87,16,0),"N/A")</f>
        <v>0</v>
      </c>
      <c r="U824" s="423" cm="1">
        <f t="array" ref="U824">_xlfn.IFERROR((S824+T824),"N/A")</f>
        <v>3100447.15769812</v>
      </c>
      <c r="V824" s="424"/>
      <c r="W824" s="423" cm="1">
        <f t="array" ref="W824">_xlfn.IFERROR(U824+Q824,"N/A")</f>
        <v>10996847.1576981</v>
      </c>
      <c r="X824" s="423" cm="1">
        <f t="array" ref="X824">_xlfn.IFERROR(W824*0.5%,"N/A")</f>
        <v>54984.2357884905</v>
      </c>
      <c r="Y824" s="423" cm="1">
        <f t="array" ref="Y824">_xlfn.IFERROR(W824*25%,"N/A")</f>
        <v>2749211.78942453</v>
      </c>
      <c r="Z824" s="425" cm="1">
        <f t="array" ref="Z824">IF(B824&gt;0,SUM(W824:Y824),"N/A")</f>
        <v>13801043.1829111</v>
      </c>
      <c r="AA824" s="425" cm="1">
        <f t="array" ref="AA824">_xlfn.IFERROR((Z824-Z823),"N/A")</f>
        <v>1294532.5</v>
      </c>
      <c r="AB824" s="424"/>
      <c r="AC824" t="str" s="426" cm="1">
        <f t="array" ref="AC824">IF(B824=6,AVERAGE(Z817:Z822),"N/A")</f>
        <v>N/A</v>
      </c>
      <c r="AD824" s="424"/>
      <c r="AE824" t="s" s="504">
        <v>552</v>
      </c>
      <c r="AF824" s="507">
        <v>0</v>
      </c>
      <c r="AG824" s="423"/>
      <c r="AH824" s="423"/>
      <c r="AI824" s="423"/>
      <c r="AJ824" s="423"/>
      <c r="AK824" s="423"/>
      <c r="AL824" s="423"/>
      <c r="AM824" s="423"/>
      <c r="AN824" s="427"/>
    </row>
    <row r="825" ht="15" customHeight="1">
      <c r="A825" s="12"/>
      <c r="B825" s="428" cm="1">
        <f t="array" ref="B825">IF(B824=0,0,IF(B824&lt;VLOOKUP(C814,'Boats Data Sheet 2026'!$C$3:$H$57,6,0),B824+1,0))</f>
        <v>9</v>
      </c>
      <c r="C825" s="423" cm="1">
        <f t="array" ref="C825">IF(B825&gt;0,IF(VLOOKUP(C814,'Boats Data Sheet 2026'!$C$3:$J$57,8,0)="N/A",0,VLOOKUP(C814,'Boats Data Sheet 2026'!$C$3:$J$57,8,0)),"N/A")</f>
        <v>0</v>
      </c>
      <c r="D825" s="429" cm="1">
        <f t="array" ref="D825">IF(B825&gt;7,2,IF(B825=0,"N/A",1))</f>
        <v>2</v>
      </c>
      <c r="E825" s="423" cm="1">
        <f t="array" ref="E825">_xlfn.IFERROR(SUM('Direct Costs 2026'!$C$4:$C$5)*D825,"N/A")</f>
        <v>1751000</v>
      </c>
      <c r="F825" s="423" cm="1">
        <f t="array" ref="F825">_xlfn.IFERROR('Direct Costs 2026'!$C$43*B825,"N/A")</f>
        <v>54000</v>
      </c>
      <c r="G825" s="423" cm="1">
        <f t="array" ref="G825">IF(B825&gt;0,'Direct Costs 2026'!$C$25,"N/A")</f>
        <v>90000</v>
      </c>
      <c r="H825" s="423" cm="1">
        <f t="array" ref="H825">IF(B825&gt;0,('Direct Costs 2026'!$C$15+'Direct Costs 2026'!$C$14),"N/A")</f>
        <v>230000</v>
      </c>
      <c r="I825" s="423">
        <v>0</v>
      </c>
      <c r="J825" s="423">
        <v>0</v>
      </c>
      <c r="K825" s="423">
        <v>0</v>
      </c>
      <c r="L825" s="423" cm="1">
        <f t="array" ref="L825">IF(B825&gt;0,'Direct Costs 2026'!$C$23,"N/A")</f>
        <v>140000</v>
      </c>
      <c r="M825" s="423" cm="1">
        <f t="array" ref="M825">IF(B825&gt;0,'Direct Costs 2026'!$C$45*B825,"N/A")</f>
        <v>1350000</v>
      </c>
      <c r="N825" s="423" cm="1">
        <f t="array" ref="N825">IF(B825&gt;0,_xlfn.IFERROR(VLOOKUP(C814,'Boats Data Sheet 2026'!$C$3:$I$57,7,0)*'Direct Costs 2026'!$C$36,"N/A"),"N/A")</f>
        <v>3325000</v>
      </c>
      <c r="O825" s="423" cm="1">
        <f t="array" ref="O825">IF(B825&gt;0,IF(OR(VLOOKUP(C814,'Boats Data Sheet 2026'!$C$3:$F$57,4,0)="Own",VLOOKUP(C814,'Boats Data Sheet 2026'!$C$3:$F$57,4,0)="Management"),('Direct Costs 2026'!$C$37+'Direct Costs 2026'!$C$39),"N/A"),"N/A")</f>
        <v>1112400</v>
      </c>
      <c r="P825" s="423" cm="1">
        <f t="array" ref="P825">_xlfn.IFERROR('Direct Costs 2026'!$C$27*C825,"N/A")</f>
        <v>0</v>
      </c>
      <c r="Q825" s="423" cm="1">
        <f t="array" ref="Q825">_xlfn.IFERROR(C825+SUM(E825:P825),"N/A")</f>
        <v>8052400</v>
      </c>
      <c r="R825" s="424"/>
      <c r="S825" s="423" cm="1">
        <f t="array" ref="S825">IF(B825&gt;0,'Allocation OH and Target 2026'!$E$31,"N/A")</f>
        <v>3100447.15769812</v>
      </c>
      <c r="T825" s="423" cm="1">
        <f t="array" ref="T825">IF(B825&gt;0,VLOOKUP(C814,'Allocation OH and Target 2026'!$C$35:$S$87,16,0),"N/A")</f>
        <v>0</v>
      </c>
      <c r="U825" s="423" cm="1">
        <f t="array" ref="U825">_xlfn.IFERROR((S825+T825),"N/A")</f>
        <v>3100447.15769812</v>
      </c>
      <c r="V825" s="424"/>
      <c r="W825" s="423" cm="1">
        <f t="array" ref="W825">_xlfn.IFERROR(U825+Q825,"N/A")</f>
        <v>11152847.1576981</v>
      </c>
      <c r="X825" s="423" cm="1">
        <f t="array" ref="X825">_xlfn.IFERROR(W825*0.5%,"N/A")</f>
        <v>55764.2357884905</v>
      </c>
      <c r="Y825" s="423" cm="1">
        <f t="array" ref="Y825">_xlfn.IFERROR(W825*25%,"N/A")</f>
        <v>2788211.78942453</v>
      </c>
      <c r="Z825" s="425" cm="1">
        <f t="array" ref="Z825">IF(B825&gt;0,SUM(W825:Y825),"N/A")</f>
        <v>13996823.1829111</v>
      </c>
      <c r="AA825" s="425" cm="1">
        <f t="array" ref="AA825">_xlfn.IFERROR((Z825-Z824),"N/A")</f>
        <v>195780</v>
      </c>
      <c r="AB825" s="424"/>
      <c r="AC825" t="str" s="426" cm="1">
        <f t="array" ref="AC825">IF(B825=6,AVERAGE(Z817:Z822),"N/A")</f>
        <v>N/A</v>
      </c>
      <c r="AD825" s="424"/>
      <c r="AE825" t="s" s="506">
        <v>394</v>
      </c>
      <c r="AF825" s="508" cm="1">
        <f t="array" ref="AF825">SUM(AF819:AF824)</f>
        <v>782555900</v>
      </c>
      <c r="AG825" s="423"/>
      <c r="AH825" s="423"/>
      <c r="AI825" s="423"/>
      <c r="AJ825" s="423"/>
      <c r="AK825" s="423"/>
      <c r="AL825" s="423"/>
      <c r="AM825" s="423"/>
      <c r="AN825" s="427"/>
    </row>
    <row r="826" ht="15" customHeight="1">
      <c r="A826" s="12"/>
      <c r="B826" s="428" cm="1">
        <f t="array" ref="B826">IF(B825=0,0,IF(B825&lt;VLOOKUP(C814,'Boats Data Sheet 2026'!$C$3:$H$57,6,0),B825+1,0))</f>
        <v>10</v>
      </c>
      <c r="C826" s="423" cm="1">
        <f t="array" ref="C826">IF(B826&gt;0,IF(VLOOKUP(C814,'Boats Data Sheet 2026'!$C$3:$J$57,8,0)="N/A",0,VLOOKUP(C814,'Boats Data Sheet 2026'!$C$3:$J$57,8,0)),"N/A")</f>
        <v>0</v>
      </c>
      <c r="D826" s="429" cm="1">
        <f t="array" ref="D826">IF(B826&gt;7,2,IF(B826=0,"N/A",1))</f>
        <v>2</v>
      </c>
      <c r="E826" s="423" cm="1">
        <f t="array" ref="E826">_xlfn.IFERROR(SUM('Direct Costs 2026'!$C$4:$C$5)*D826,"N/A")</f>
        <v>1751000</v>
      </c>
      <c r="F826" s="423" cm="1">
        <f t="array" ref="F826">_xlfn.IFERROR('Direct Costs 2026'!$C$43*B826,"N/A")</f>
        <v>60000</v>
      </c>
      <c r="G826" s="423" cm="1">
        <f t="array" ref="G826">IF(B826&gt;0,'Direct Costs 2026'!$C$25,"N/A")</f>
        <v>90000</v>
      </c>
      <c r="H826" s="423" cm="1">
        <f t="array" ref="H826">IF(B826&gt;0,('Direct Costs 2026'!$C$15+'Direct Costs 2026'!$C$14),"N/A")</f>
        <v>230000</v>
      </c>
      <c r="I826" s="423">
        <v>0</v>
      </c>
      <c r="J826" s="423">
        <v>0</v>
      </c>
      <c r="K826" s="423">
        <v>0</v>
      </c>
      <c r="L826" s="423" cm="1">
        <f t="array" ref="L826">IF(B826&gt;0,'Direct Costs 2026'!$C$23,"N/A")</f>
        <v>140000</v>
      </c>
      <c r="M826" s="423" cm="1">
        <f t="array" ref="M826">IF(B826&gt;0,'Direct Costs 2026'!$C$45*B826,"N/A")</f>
        <v>1500000</v>
      </c>
      <c r="N826" s="423" cm="1">
        <f t="array" ref="N826">IF(B826&gt;0,_xlfn.IFERROR(VLOOKUP(C814,'Boats Data Sheet 2026'!$C$3:$I$57,7,0)*'Direct Costs 2026'!$C$36,"N/A"),"N/A")</f>
        <v>3325000</v>
      </c>
      <c r="O826" s="423" cm="1">
        <f t="array" ref="O826">IF(B826&gt;0,IF(OR(VLOOKUP(C814,'Boats Data Sheet 2026'!$C$3:$F$57,4,0)="Own",VLOOKUP(C814,'Boats Data Sheet 2026'!$C$3:$F$57,4,0)="Management"),('Direct Costs 2026'!$C$37+'Direct Costs 2026'!$C$39),"N/A"),"N/A")</f>
        <v>1112400</v>
      </c>
      <c r="P826" s="423" cm="1">
        <f t="array" ref="P826">_xlfn.IFERROR('Direct Costs 2026'!$C$27*C826,"N/A")</f>
        <v>0</v>
      </c>
      <c r="Q826" s="423" cm="1">
        <f t="array" ref="Q826">_xlfn.IFERROR(C826+SUM(E826:P826),"N/A")</f>
        <v>8208400</v>
      </c>
      <c r="R826" s="424"/>
      <c r="S826" s="423" cm="1">
        <f t="array" ref="S826">IF(B826&gt;0,'Allocation OH and Target 2026'!$E$31,"N/A")</f>
        <v>3100447.15769812</v>
      </c>
      <c r="T826" s="423" cm="1">
        <f t="array" ref="T826">IF(B826&gt;0,VLOOKUP(C814,'Allocation OH and Target 2026'!$C$35:$S$87,16,0),"N/A")</f>
        <v>0</v>
      </c>
      <c r="U826" s="423" cm="1">
        <f t="array" ref="U826">_xlfn.IFERROR((S826+T826),"N/A")</f>
        <v>3100447.15769812</v>
      </c>
      <c r="V826" s="424"/>
      <c r="W826" s="423" cm="1">
        <f t="array" ref="W826">_xlfn.IFERROR(U826+Q826,"N/A")</f>
        <v>11308847.1576981</v>
      </c>
      <c r="X826" s="423" cm="1">
        <f t="array" ref="X826">_xlfn.IFERROR(W826*0.5%,"N/A")</f>
        <v>56544.2357884905</v>
      </c>
      <c r="Y826" s="423" cm="1">
        <f t="array" ref="Y826">_xlfn.IFERROR(W826*25%,"N/A")</f>
        <v>2827211.78942453</v>
      </c>
      <c r="Z826" s="425" cm="1">
        <f t="array" ref="Z826">IF(B826&gt;0,SUM(W826:Y826),"N/A")</f>
        <v>14192603.1829111</v>
      </c>
      <c r="AA826" s="425" cm="1">
        <f t="array" ref="AA826">_xlfn.IFERROR((Z826-Z825),"N/A")</f>
        <v>195780</v>
      </c>
      <c r="AB826" s="424"/>
      <c r="AC826" t="str" s="426" cm="1">
        <f t="array" ref="AC826">IF(B826=6,AVERAGE(Z817:Z822),"N/A")</f>
        <v>N/A</v>
      </c>
      <c r="AD826" s="424"/>
      <c r="AE826" t="s" s="509">
        <v>560</v>
      </c>
      <c r="AF826" s="510" cm="1">
        <f t="array" ref="AF826">AF825*50%</f>
        <v>391277950</v>
      </c>
      <c r="AG826" s="423"/>
      <c r="AH826" s="423"/>
      <c r="AI826" s="423"/>
      <c r="AJ826" s="423"/>
      <c r="AK826" s="423"/>
      <c r="AL826" s="423"/>
      <c r="AM826" s="423"/>
      <c r="AN826" s="427"/>
    </row>
    <row r="827" ht="15" customHeight="1">
      <c r="A827" s="12"/>
      <c r="B827" s="428" cm="1">
        <f t="array" ref="B827">IF(B826=0,0,IF(B826&lt;VLOOKUP(C814,'Boats Data Sheet 2026'!$C$3:$H$57,6,0),B826+1,0))</f>
        <v>0</v>
      </c>
      <c r="C827" t="str" s="431" cm="1">
        <f t="array" ref="C827">IF(B827&gt;0,IF(VLOOKUP(C814,'Boats Data Sheet 2026'!$C$3:$J$57,8,0)="N/A",0,VLOOKUP(C814,'Boats Data Sheet 2026'!$C$3:$J$57,8,0)),"N/A")</f>
        <v>N/A</v>
      </c>
      <c r="D827" t="str" s="511" cm="1">
        <f t="array" ref="D827">IF(B827&gt;7,2,IF(B827=0,"N/A",1))</f>
        <v>N/A</v>
      </c>
      <c r="E827" t="str" s="431" cm="1">
        <f t="array" ref="E827">_xlfn.IFERROR(SUM('Direct Costs 2026'!$C$4:$C$5)*D827,"N/A")</f>
        <v>N/A</v>
      </c>
      <c r="F827" s="423" cm="1">
        <f t="array" ref="F827">_xlfn.IFERROR('Direct Costs 2026'!$C$43*B827,"N/A")</f>
        <v>0</v>
      </c>
      <c r="G827" t="str" s="431" cm="1">
        <f t="array" ref="G827">IF(B827&gt;0,'Direct Costs 2026'!$C$25,"N/A")</f>
        <v>N/A</v>
      </c>
      <c r="H827" t="str" s="431" cm="1">
        <f t="array" ref="H827">IF(B827&gt;0,('Direct Costs 2026'!$C$15+'Direct Costs 2026'!$C$14),"N/A")</f>
        <v>N/A</v>
      </c>
      <c r="I827" s="423">
        <v>0</v>
      </c>
      <c r="J827" s="423">
        <v>0</v>
      </c>
      <c r="K827" s="423">
        <v>0</v>
      </c>
      <c r="L827" t="str" s="431" cm="1">
        <f t="array" ref="L827">IF(B827&gt;0,'Direct Costs 2026'!$C$23,"N/A")</f>
        <v>N/A</v>
      </c>
      <c r="M827" t="str" s="431" cm="1">
        <f t="array" ref="M827">IF(B827&gt;0,'Direct Costs 2026'!$C$45*B827,"N/A")</f>
        <v>N/A</v>
      </c>
      <c r="N827" t="str" s="431" cm="1">
        <f t="array" ref="N827">IF(B827&gt;0,_xlfn.IFERROR(VLOOKUP(C814,'Boats Data Sheet 2026'!$C$3:$I$57,7,0)*'Direct Costs 2026'!$C$36,"N/A"),"N/A")</f>
        <v>N/A</v>
      </c>
      <c r="O827" t="str" s="431" cm="1">
        <f t="array" ref="O827">IF(B827&gt;0,IF(OR(VLOOKUP(C814,'Boats Data Sheet 2026'!$C$3:$F$57,4,0)="Own",VLOOKUP(C814,'Boats Data Sheet 2026'!$C$3:$F$57,4,0)="Management"),('Direct Costs 2026'!$C$37+'Direct Costs 2026'!$C$39),"N/A"),"N/A")</f>
        <v>N/A</v>
      </c>
      <c r="P827" t="str" s="431" cm="1">
        <f t="array" ref="P827">_xlfn.IFERROR('Direct Costs 2026'!$C$27*C827,"N/A")</f>
        <v>N/A</v>
      </c>
      <c r="Q827" t="str" s="431" cm="1">
        <f t="array" ref="Q827">_xlfn.IFERROR(C827+SUM(E827:P827),"N/A")</f>
        <v>N/A</v>
      </c>
      <c r="R827" s="424"/>
      <c r="S827" t="str" s="431" cm="1">
        <f t="array" ref="S827">IF(B827&gt;0,'Allocation OH and Target 2026'!$E$31,"N/A")</f>
        <v>N/A</v>
      </c>
      <c r="T827" t="str" s="431" cm="1">
        <f t="array" ref="T827">IF(B827&gt;0,VLOOKUP(C814,'Allocation OH and Target 2026'!$C$35:$S$87,16,0),"N/A")</f>
        <v>N/A</v>
      </c>
      <c r="U827" t="str" s="431" cm="1">
        <f t="array" ref="U827">_xlfn.IFERROR((S827+T827),"N/A")</f>
        <v>N/A</v>
      </c>
      <c r="V827" s="424"/>
      <c r="W827" t="str" s="431" cm="1">
        <f t="array" ref="W827">_xlfn.IFERROR(U827+Q827,"N/A")</f>
        <v>N/A</v>
      </c>
      <c r="X827" t="str" s="431" cm="1">
        <f t="array" ref="X827">_xlfn.IFERROR(W827*0.5%,"N/A")</f>
        <v>N/A</v>
      </c>
      <c r="Y827" t="str" s="431" cm="1">
        <f t="array" ref="Y827">_xlfn.IFERROR(W827*25%,"N/A")</f>
        <v>N/A</v>
      </c>
      <c r="Z827" t="str" s="426" cm="1">
        <f t="array" ref="Z827">IF(B827&gt;0,SUM(W827:Y827),"N/A")</f>
        <v>N/A</v>
      </c>
      <c r="AA827" t="str" s="426" cm="1">
        <f t="array" ref="AA827">_xlfn.IFERROR((Z827-Z826),"N/A")</f>
        <v>N/A</v>
      </c>
      <c r="AB827" s="424"/>
      <c r="AC827" t="str" s="426" cm="1">
        <f t="array" ref="AC827">IF(B827=6,AVERAGE(Z817:Z822),"N/A")</f>
        <v>N/A</v>
      </c>
      <c r="AD827" s="424"/>
      <c r="AE827" s="423"/>
      <c r="AF827" s="423"/>
      <c r="AG827" s="423"/>
      <c r="AH827" s="423"/>
      <c r="AI827" s="423"/>
      <c r="AJ827" s="423"/>
      <c r="AK827" s="423"/>
      <c r="AL827" s="423"/>
      <c r="AM827" s="423"/>
      <c r="AN827" s="427"/>
    </row>
    <row r="828" ht="15" customHeight="1">
      <c r="A828" s="12"/>
      <c r="B828" s="428" cm="1">
        <f t="array" ref="B828">IF(B827=0,0,IF(B827&lt;VLOOKUP(C814,'Boats Data Sheet 2026'!$C$3:$H$57,6,0),B827+1,0))</f>
        <v>0</v>
      </c>
      <c r="C828" t="str" s="431" cm="1">
        <f t="array" ref="C828">IF(B828&gt;0,IF(VLOOKUP(C814,'Boats Data Sheet 2026'!$C$3:$J$57,8,0)="N/A",0,VLOOKUP(C814,'Boats Data Sheet 2026'!$C$3:$J$57,8,0)),"N/A")</f>
        <v>N/A</v>
      </c>
      <c r="D828" t="str" s="511" cm="1">
        <f t="array" ref="D828">IF(B828&gt;7,2,IF(B828=0,"N/A",1))</f>
        <v>N/A</v>
      </c>
      <c r="E828" t="str" s="431" cm="1">
        <f t="array" ref="E828">_xlfn.IFERROR(SUM('Direct Costs 2026'!$C$4:$C$5)*D828,"N/A")</f>
        <v>N/A</v>
      </c>
      <c r="F828" s="423" cm="1">
        <f t="array" ref="F828">_xlfn.IFERROR('Direct Costs 2026'!$C$43*B828,"N/A")</f>
        <v>0</v>
      </c>
      <c r="G828" t="str" s="431" cm="1">
        <f t="array" ref="G828">IF(B828&gt;0,'Direct Costs 2026'!$C$25,"N/A")</f>
        <v>N/A</v>
      </c>
      <c r="H828" t="str" s="431" cm="1">
        <f t="array" ref="H828">IF(B828&gt;0,('Direct Costs 2026'!$C$15+'Direct Costs 2026'!$C$14),"N/A")</f>
        <v>N/A</v>
      </c>
      <c r="I828" s="423">
        <v>0</v>
      </c>
      <c r="J828" s="423">
        <v>0</v>
      </c>
      <c r="K828" s="423">
        <v>0</v>
      </c>
      <c r="L828" t="str" s="431" cm="1">
        <f t="array" ref="L828">IF(B828&gt;0,'Direct Costs 2026'!$C$23,"N/A")</f>
        <v>N/A</v>
      </c>
      <c r="M828" t="str" s="431" cm="1">
        <f t="array" ref="M828">IF(B828&gt;0,'Direct Costs 2026'!$C$45*B828,"N/A")</f>
        <v>N/A</v>
      </c>
      <c r="N828" t="str" s="431" cm="1">
        <f t="array" ref="N828">IF(B828&gt;0,_xlfn.IFERROR(VLOOKUP(C814,'Boats Data Sheet 2026'!$C$3:$I$57,7,0)*'Direct Costs 2026'!$C$36,"N/A"),"N/A")</f>
        <v>N/A</v>
      </c>
      <c r="O828" t="str" s="431" cm="1">
        <f t="array" ref="O828">IF(B828&gt;0,IF(OR(VLOOKUP(C814,'Boats Data Sheet 2026'!$C$3:$F$57,4,0)="Own",VLOOKUP(C814,'Boats Data Sheet 2026'!$C$3:$F$57,4,0)="Management"),('Direct Costs 2026'!$C$37+'Direct Costs 2026'!$C$39),"N/A"),"N/A")</f>
        <v>N/A</v>
      </c>
      <c r="P828" t="str" s="431" cm="1">
        <f t="array" ref="P828">_xlfn.IFERROR('Direct Costs 2026'!$C$27*C828,"N/A")</f>
        <v>N/A</v>
      </c>
      <c r="Q828" t="str" s="431" cm="1">
        <f t="array" ref="Q828">_xlfn.IFERROR(C828+SUM(E828:P828),"N/A")</f>
        <v>N/A</v>
      </c>
      <c r="R828" s="424"/>
      <c r="S828" t="str" s="431" cm="1">
        <f t="array" ref="S828">IF(B828&gt;0,'Allocation OH and Target 2026'!$E$31,"N/A")</f>
        <v>N/A</v>
      </c>
      <c r="T828" t="str" s="431" cm="1">
        <f t="array" ref="T828">IF(B828&gt;0,VLOOKUP(C814,'Allocation OH and Target 2026'!$C$35:$S$87,16,0),"N/A")</f>
        <v>N/A</v>
      </c>
      <c r="U828" t="str" s="431" cm="1">
        <f t="array" ref="U828">_xlfn.IFERROR((S828+T828),"N/A")</f>
        <v>N/A</v>
      </c>
      <c r="V828" s="424"/>
      <c r="W828" t="str" s="431" cm="1">
        <f t="array" ref="W828">_xlfn.IFERROR(U828+Q828,"N/A")</f>
        <v>N/A</v>
      </c>
      <c r="X828" t="str" s="431" cm="1">
        <f t="array" ref="X828">_xlfn.IFERROR(W828*0.5%,"N/A")</f>
        <v>N/A</v>
      </c>
      <c r="Y828" t="str" s="431" cm="1">
        <f t="array" ref="Y828">_xlfn.IFERROR(W828*25%,"N/A")</f>
        <v>N/A</v>
      </c>
      <c r="Z828" t="str" s="426" cm="1">
        <f t="array" ref="Z828">IF(B828&gt;0,SUM(W828:Y828),"N/A")</f>
        <v>N/A</v>
      </c>
      <c r="AA828" t="str" s="426" cm="1">
        <f t="array" ref="AA828">_xlfn.IFERROR((Z828-Z827),"N/A")</f>
        <v>N/A</v>
      </c>
      <c r="AB828" s="424"/>
      <c r="AC828" t="str" s="426" cm="1">
        <f t="array" ref="AC828">IF(B828=6,AVERAGE(Z817:Z822),"N/A")</f>
        <v>N/A</v>
      </c>
      <c r="AD828" s="424"/>
      <c r="AE828" s="423"/>
      <c r="AF828" s="423"/>
      <c r="AG828" s="423"/>
      <c r="AH828" s="423"/>
      <c r="AI828" s="423"/>
      <c r="AJ828" s="423"/>
      <c r="AK828" s="423"/>
      <c r="AL828" s="423"/>
      <c r="AM828" s="423"/>
      <c r="AN828" s="427"/>
    </row>
    <row r="829" ht="15" customHeight="1">
      <c r="A829" s="12"/>
      <c r="B829" s="428" cm="1">
        <f t="array" ref="B829">IF(B828=0,0,IF(B828&lt;VLOOKUP(C814,'Boats Data Sheet 2026'!$C$3:$H$57,6,0),B828+1,0))</f>
        <v>0</v>
      </c>
      <c r="C829" t="str" s="431" cm="1">
        <f t="array" ref="C829">IF(B829&gt;0,IF(VLOOKUP(C814,'Boats Data Sheet 2026'!$C$3:$J$57,8,0)="N/A",0,VLOOKUP(C814,'Boats Data Sheet 2026'!$C$3:$J$57,8,0)),"N/A")</f>
        <v>N/A</v>
      </c>
      <c r="D829" t="str" s="511" cm="1">
        <f t="array" ref="D829">IF(B829&gt;7,2,IF(B829=0,"N/A",1))</f>
        <v>N/A</v>
      </c>
      <c r="E829" t="str" s="431" cm="1">
        <f t="array" ref="E829">_xlfn.IFERROR(SUM('Direct Costs 2026'!$C$4:$C$5)*D829,"N/A")</f>
        <v>N/A</v>
      </c>
      <c r="F829" s="423" cm="1">
        <f t="array" ref="F829">_xlfn.IFERROR('Direct Costs 2026'!$C$43*B829,"N/A")</f>
        <v>0</v>
      </c>
      <c r="G829" t="str" s="431" cm="1">
        <f t="array" ref="G829">IF(B829&gt;0,'Direct Costs 2026'!$C$25,"N/A")</f>
        <v>N/A</v>
      </c>
      <c r="H829" t="str" s="431" cm="1">
        <f t="array" ref="H829">IF(B829&gt;0,('Direct Costs 2026'!$C$15+'Direct Costs 2026'!$C$14),"N/A")</f>
        <v>N/A</v>
      </c>
      <c r="I829" s="423">
        <v>0</v>
      </c>
      <c r="J829" s="423">
        <v>0</v>
      </c>
      <c r="K829" s="423">
        <v>0</v>
      </c>
      <c r="L829" t="str" s="431" cm="1">
        <f t="array" ref="L829">IF(B829&gt;0,'Direct Costs 2026'!$C$23,"N/A")</f>
        <v>N/A</v>
      </c>
      <c r="M829" t="str" s="431" cm="1">
        <f t="array" ref="M829">IF(B829&gt;0,'Direct Costs 2026'!$C$45*B829,"N/A")</f>
        <v>N/A</v>
      </c>
      <c r="N829" t="str" s="431" cm="1">
        <f t="array" ref="N829">IF(B829&gt;0,_xlfn.IFERROR(VLOOKUP(C814,'Boats Data Sheet 2026'!$C$3:$I$57,7,0)*'Direct Costs 2026'!$C$36,"N/A"),"N/A")</f>
        <v>N/A</v>
      </c>
      <c r="O829" t="str" s="431" cm="1">
        <f t="array" ref="O829">IF(B829&gt;0,IF(OR(VLOOKUP(C814,'Boats Data Sheet 2026'!$C$3:$F$57,4,0)="Own",VLOOKUP(C814,'Boats Data Sheet 2026'!$C$3:$F$57,4,0)="Management"),('Direct Costs 2026'!$C$37+'Direct Costs 2026'!$C$39),"N/A"),"N/A")</f>
        <v>N/A</v>
      </c>
      <c r="P829" t="str" s="431" cm="1">
        <f t="array" ref="P829">_xlfn.IFERROR('Direct Costs 2026'!$C$27*C829,"N/A")</f>
        <v>N/A</v>
      </c>
      <c r="Q829" t="str" s="431" cm="1">
        <f t="array" ref="Q829">_xlfn.IFERROR(C829+SUM(E829:P829),"N/A")</f>
        <v>N/A</v>
      </c>
      <c r="R829" s="424"/>
      <c r="S829" t="str" s="431" cm="1">
        <f t="array" ref="S829">IF(B829&gt;0,'Allocation OH and Target 2026'!$E$31,"N/A")</f>
        <v>N/A</v>
      </c>
      <c r="T829" t="str" s="431" cm="1">
        <f t="array" ref="T829">IF(B829&gt;0,VLOOKUP(C814,'Allocation OH and Target 2026'!$C$35:$S$87,16,0),"N/A")</f>
        <v>N/A</v>
      </c>
      <c r="U829" t="str" s="431" cm="1">
        <f t="array" ref="U829">_xlfn.IFERROR((S829+T829),"N/A")</f>
        <v>N/A</v>
      </c>
      <c r="V829" s="424"/>
      <c r="W829" t="str" s="431" cm="1">
        <f t="array" ref="W829">_xlfn.IFERROR(U829+Q829,"N/A")</f>
        <v>N/A</v>
      </c>
      <c r="X829" t="str" s="431" cm="1">
        <f t="array" ref="X829">_xlfn.IFERROR(W829*0.5%,"N/A")</f>
        <v>N/A</v>
      </c>
      <c r="Y829" t="str" s="431" cm="1">
        <f t="array" ref="Y829">_xlfn.IFERROR(W829*25%,"N/A")</f>
        <v>N/A</v>
      </c>
      <c r="Z829" t="str" s="426" cm="1">
        <f t="array" ref="Z829">IF(B829&gt;0,SUM(W829:Y829),"N/A")</f>
        <v>N/A</v>
      </c>
      <c r="AA829" t="str" s="426" cm="1">
        <f t="array" ref="AA829">_xlfn.IFERROR((Z829-Z828),"N/A")</f>
        <v>N/A</v>
      </c>
      <c r="AB829" s="424"/>
      <c r="AC829" t="str" s="426" cm="1">
        <f t="array" ref="AC829">IF(B829=6,AVERAGE(Z817:Z822),"N/A")</f>
        <v>N/A</v>
      </c>
      <c r="AD829" s="424"/>
      <c r="AE829" s="423"/>
      <c r="AF829" s="423"/>
      <c r="AG829" s="423"/>
      <c r="AH829" s="423"/>
      <c r="AI829" s="423"/>
      <c r="AJ829" s="423"/>
      <c r="AK829" s="423"/>
      <c r="AL829" s="423"/>
      <c r="AM829" s="423"/>
      <c r="AN829" s="427"/>
    </row>
    <row r="830" ht="15" customHeight="1">
      <c r="A830" s="12"/>
      <c r="B830" s="428" cm="1">
        <f t="array" ref="B830">IF(B829=0,0,IF(B829&lt;VLOOKUP(C814,'Boats Data Sheet 2026'!$C$3:$H$57,6,0),B829+1,0))</f>
        <v>0</v>
      </c>
      <c r="C830" t="str" s="431" cm="1">
        <f t="array" ref="C830">IF(B830&gt;0,IF(VLOOKUP(C814,'Boats Data Sheet 2026'!$C$3:$J$57,8,0)="N/A",0,VLOOKUP(C814,'Boats Data Sheet 2026'!$C$3:$J$57,8,0)),"N/A")</f>
        <v>N/A</v>
      </c>
      <c r="D830" t="str" s="431" cm="1">
        <f t="array" ref="D830">IF(B830&gt;7,2,IF(B830=0,"N/A",1))</f>
        <v>N/A</v>
      </c>
      <c r="E830" t="str" s="431" cm="1">
        <f t="array" ref="E830">_xlfn.IFERROR(SUM('Direct Costs 2026'!$C$4:$C$5)*D830,"N/A")</f>
        <v>N/A</v>
      </c>
      <c r="F830" s="423" cm="1">
        <f t="array" ref="F830">_xlfn.IFERROR('Direct Costs 2026'!$C$43*B830,"N/A")</f>
        <v>0</v>
      </c>
      <c r="G830" t="str" s="431" cm="1">
        <f t="array" ref="G830">IF(B830&gt;0,'Direct Costs 2026'!$C$25,"N/A")</f>
        <v>N/A</v>
      </c>
      <c r="H830" t="str" s="431" cm="1">
        <f t="array" ref="H830">IF(B830&gt;0,('Direct Costs 2026'!$C$15+'Direct Costs 2026'!$C$14),"N/A")</f>
        <v>N/A</v>
      </c>
      <c r="I830" s="423">
        <v>0</v>
      </c>
      <c r="J830" s="423">
        <v>0</v>
      </c>
      <c r="K830" s="423">
        <v>0</v>
      </c>
      <c r="L830" t="str" s="431" cm="1">
        <f t="array" ref="L830">IF(B830&gt;0,'Direct Costs 2026'!$C$23,"N/A")</f>
        <v>N/A</v>
      </c>
      <c r="M830" t="str" s="431" cm="1">
        <f t="array" ref="M830">IF(B830&gt;0,'Direct Costs 2026'!$C$45*B830,"N/A")</f>
        <v>N/A</v>
      </c>
      <c r="N830" t="str" s="431" cm="1">
        <f t="array" ref="N830">IF(B830&gt;0,_xlfn.IFERROR(VLOOKUP(C814,'Boats Data Sheet 2026'!$C$3:$I$57,7,0)*'Direct Costs 2026'!$C$36,"N/A"),"N/A")</f>
        <v>N/A</v>
      </c>
      <c r="O830" t="str" s="431" cm="1">
        <f t="array" ref="O830">IF(B830&gt;0,IF(OR(VLOOKUP(C814,'Boats Data Sheet 2026'!$C$3:$F$57,4,0)="Own",VLOOKUP(C814,'Boats Data Sheet 2026'!$C$3:$F$57,4,0)="Management"),('Direct Costs 2026'!$C$37+'Direct Costs 2026'!$C$39),"N/A"),"N/A")</f>
        <v>N/A</v>
      </c>
      <c r="P830" t="str" s="431" cm="1">
        <f t="array" ref="P830">_xlfn.IFERROR('Direct Costs 2026'!$C$27*C830,"N/A")</f>
        <v>N/A</v>
      </c>
      <c r="Q830" t="str" s="431" cm="1">
        <f t="array" ref="Q830">_xlfn.IFERROR(C830+SUM(E830:P830),"N/A")</f>
        <v>N/A</v>
      </c>
      <c r="R830" s="424"/>
      <c r="S830" t="str" s="431" cm="1">
        <f t="array" ref="S830">IF(B830&gt;0,'Allocation OH and Target 2026'!$E$31,"N/A")</f>
        <v>N/A</v>
      </c>
      <c r="T830" t="str" s="431" cm="1">
        <f t="array" ref="T830">IF(B830&gt;0,VLOOKUP(C814,'Allocation OH and Target 2026'!$C$35:$S$87,16,0),"N/A")</f>
        <v>N/A</v>
      </c>
      <c r="U830" t="str" s="431" cm="1">
        <f t="array" ref="U830">_xlfn.IFERROR((S830+T830),"N/A")</f>
        <v>N/A</v>
      </c>
      <c r="V830" s="424"/>
      <c r="W830" t="str" s="431" cm="1">
        <f t="array" ref="W830">_xlfn.IFERROR(U830+Q830,"N/A")</f>
        <v>N/A</v>
      </c>
      <c r="X830" t="str" s="431" cm="1">
        <f t="array" ref="X830">_xlfn.IFERROR(W830*0.5%,"N/A")</f>
        <v>N/A</v>
      </c>
      <c r="Y830" t="str" s="431" cm="1">
        <f t="array" ref="Y830">_xlfn.IFERROR(W830*25%,"N/A")</f>
        <v>N/A</v>
      </c>
      <c r="Z830" t="str" s="426" cm="1">
        <f t="array" ref="Z830">IF(B830&gt;0,SUM(W830:Y830),"N/A")</f>
        <v>N/A</v>
      </c>
      <c r="AA830" t="str" s="426" cm="1">
        <f t="array" ref="AA830">_xlfn.IFERROR((Z830-Z829),"N/A")</f>
        <v>N/A</v>
      </c>
      <c r="AB830" s="424"/>
      <c r="AC830" t="str" s="426" cm="1">
        <f t="array" ref="AC830">IF(B830=6,AVERAGE(Z817:Z822),"N/A")</f>
        <v>N/A</v>
      </c>
      <c r="AD830" s="424"/>
      <c r="AE830" s="423"/>
      <c r="AF830" s="423"/>
      <c r="AG830" s="423"/>
      <c r="AH830" s="423"/>
      <c r="AI830" s="423"/>
      <c r="AJ830" s="423"/>
      <c r="AK830" s="423"/>
      <c r="AL830" s="423"/>
      <c r="AM830" s="423"/>
      <c r="AN830" s="427"/>
    </row>
    <row r="831" ht="15" customHeight="1">
      <c r="A831" s="12"/>
      <c r="B831" s="428" cm="1">
        <f t="array" ref="B831">IF(B830=0,0,IF(B830&lt;VLOOKUP(C814,'Boats Data Sheet 2026'!$C$3:$H$57,6,0),B830+1,0))</f>
        <v>0</v>
      </c>
      <c r="C831" t="str" s="431" cm="1">
        <f t="array" ref="C831">IF(B831&gt;0,IF(VLOOKUP(C814,'Boats Data Sheet 2026'!$C$3:$J$57,8,0)="N/A",0,VLOOKUP(C814,'Boats Data Sheet 2026'!$C$3:$J$57,8,0)),"N/A")</f>
        <v>N/A</v>
      </c>
      <c r="D831" t="str" s="431" cm="1">
        <f t="array" ref="D831">IF(B831&gt;7,2,IF(B831=0,"N/A",1))</f>
        <v>N/A</v>
      </c>
      <c r="E831" t="str" s="431" cm="1">
        <f t="array" ref="E831">_xlfn.IFERROR(SUM('Direct Costs 2026'!$C$4:$C$5)*D831,"N/A")</f>
        <v>N/A</v>
      </c>
      <c r="F831" s="423" cm="1">
        <f t="array" ref="F831">_xlfn.IFERROR('Direct Costs 2026'!$C$43*B831,"N/A")</f>
        <v>0</v>
      </c>
      <c r="G831" t="str" s="431" cm="1">
        <f t="array" ref="G831">IF(B831&gt;0,'Direct Costs 2026'!$C$25,"N/A")</f>
        <v>N/A</v>
      </c>
      <c r="H831" t="str" s="431" cm="1">
        <f t="array" ref="H831">IF(B831&gt;0,('Direct Costs 2026'!$C$15+'Direct Costs 2026'!$C$14),"N/A")</f>
        <v>N/A</v>
      </c>
      <c r="I831" s="423">
        <v>0</v>
      </c>
      <c r="J831" s="423">
        <v>0</v>
      </c>
      <c r="K831" s="423">
        <v>0</v>
      </c>
      <c r="L831" t="str" s="431" cm="1">
        <f t="array" ref="L831">IF(B831&gt;0,'Direct Costs 2026'!$C$23,"N/A")</f>
        <v>N/A</v>
      </c>
      <c r="M831" t="str" s="431" cm="1">
        <f t="array" ref="M831">IF(B831&gt;0,'Direct Costs 2026'!$C$45*B831,"N/A")</f>
        <v>N/A</v>
      </c>
      <c r="N831" t="str" s="431" cm="1">
        <f t="array" ref="N831">IF(B831&gt;0,_xlfn.IFERROR(VLOOKUP(C814,'Boats Data Sheet 2026'!$C$3:$I$57,7,0)*'Direct Costs 2026'!$C$36,"N/A"),"N/A")</f>
        <v>N/A</v>
      </c>
      <c r="O831" t="str" s="431" cm="1">
        <f t="array" ref="O831">IF(B831&gt;0,IF(OR(VLOOKUP(C814,'Boats Data Sheet 2026'!$C$3:$F$57,4,0)="Own",VLOOKUP(C814,'Boats Data Sheet 2026'!$C$3:$F$57,4,0)="Management"),('Direct Costs 2026'!$C$37+'Direct Costs 2026'!$C$39),"N/A"),"N/A")</f>
        <v>N/A</v>
      </c>
      <c r="P831" t="str" s="431" cm="1">
        <f t="array" ref="P831">_xlfn.IFERROR('Direct Costs 2026'!$C$27*C831,"N/A")</f>
        <v>N/A</v>
      </c>
      <c r="Q831" t="str" s="431" cm="1">
        <f t="array" ref="Q831">_xlfn.IFERROR(C831+SUM(E831:P831),"N/A")</f>
        <v>N/A</v>
      </c>
      <c r="R831" s="424"/>
      <c r="S831" t="str" s="431" cm="1">
        <f t="array" ref="S831">IF(B831&gt;0,'Allocation OH and Target 2026'!$E$31,"N/A")</f>
        <v>N/A</v>
      </c>
      <c r="T831" t="str" s="431" cm="1">
        <f t="array" ref="T831">IF(B831&gt;0,VLOOKUP(C814,'Allocation OH and Target 2026'!$C$35:$S$87,16,0),"N/A")</f>
        <v>N/A</v>
      </c>
      <c r="U831" t="str" s="431" cm="1">
        <f t="array" ref="U831">_xlfn.IFERROR((S831+T831),"N/A")</f>
        <v>N/A</v>
      </c>
      <c r="V831" s="424"/>
      <c r="W831" t="str" s="431" cm="1">
        <f t="array" ref="W831">_xlfn.IFERROR(U831+Q831,"N/A")</f>
        <v>N/A</v>
      </c>
      <c r="X831" t="str" s="431" cm="1">
        <f t="array" ref="X831">_xlfn.IFERROR(W831*0.5%,"N/A")</f>
        <v>N/A</v>
      </c>
      <c r="Y831" t="str" s="431" cm="1">
        <f t="array" ref="Y831">_xlfn.IFERROR(W831*25%,"N/A")</f>
        <v>N/A</v>
      </c>
      <c r="Z831" t="str" s="426" cm="1">
        <f t="array" ref="Z831">IF(B831&gt;0,SUM(W831:Y831),"N/A")</f>
        <v>N/A</v>
      </c>
      <c r="AA831" t="str" s="426" cm="1">
        <f t="array" ref="AA831">_xlfn.IFERROR((Z831-Z830),"N/A")</f>
        <v>N/A</v>
      </c>
      <c r="AB831" s="424"/>
      <c r="AC831" t="str" s="426" cm="1">
        <f t="array" ref="AC831">IF(B831=6,AVERAGE(Z817:Z822),"N/A")</f>
        <v>N/A</v>
      </c>
      <c r="AD831" s="424"/>
      <c r="AE831" s="423"/>
      <c r="AF831" s="423"/>
      <c r="AG831" s="423"/>
      <c r="AH831" s="423"/>
      <c r="AI831" s="423"/>
      <c r="AJ831" s="423"/>
      <c r="AK831" s="423"/>
      <c r="AL831" s="423"/>
      <c r="AM831" s="423"/>
      <c r="AN831" s="427"/>
    </row>
    <row r="832" ht="15" customHeight="1">
      <c r="A832" s="12"/>
      <c r="B832" s="428" cm="1">
        <f t="array" ref="B832">IF(B831=0,0,IF(B831&lt;VLOOKUP(C814,'Boats Data Sheet 2026'!$C$3:$H$57,6,0),B831+1,0))</f>
        <v>0</v>
      </c>
      <c r="C832" t="str" s="431" cm="1">
        <f t="array" ref="C832">IF(B832&gt;0,IF(VLOOKUP(C814,'Boats Data Sheet 2026'!$C$3:$J$57,8,0)="N/A",0,VLOOKUP(C814,'Boats Data Sheet 2026'!$C$3:$J$57,8,0)),"N/A")</f>
        <v>N/A</v>
      </c>
      <c r="D832" t="str" s="431" cm="1">
        <f t="array" ref="D832">IF(B832&gt;7,2,IF(B832=0,"N/A",1))</f>
        <v>N/A</v>
      </c>
      <c r="E832" t="str" s="431" cm="1">
        <f t="array" ref="E832">_xlfn.IFERROR(SUM('Direct Costs 2026'!$C$4:$C$5)*D832,"N/A")</f>
        <v>N/A</v>
      </c>
      <c r="F832" s="423" cm="1">
        <f t="array" ref="F832">_xlfn.IFERROR('Direct Costs 2026'!$C$43*B832,"N/A")</f>
        <v>0</v>
      </c>
      <c r="G832" t="str" s="431" cm="1">
        <f t="array" ref="G832">IF(B832&gt;0,'Direct Costs 2026'!$C$25,"N/A")</f>
        <v>N/A</v>
      </c>
      <c r="H832" t="str" s="431" cm="1">
        <f t="array" ref="H832">IF(B832&gt;0,('Direct Costs 2026'!$C$15+'Direct Costs 2026'!$C$14),"N/A")</f>
        <v>N/A</v>
      </c>
      <c r="I832" s="423">
        <v>0</v>
      </c>
      <c r="J832" s="423">
        <v>0</v>
      </c>
      <c r="K832" s="423">
        <v>0</v>
      </c>
      <c r="L832" t="str" s="431" cm="1">
        <f t="array" ref="L832">IF(B832&gt;0,'Direct Costs 2026'!$C$23,"N/A")</f>
        <v>N/A</v>
      </c>
      <c r="M832" t="str" s="431" cm="1">
        <f t="array" ref="M832">IF(B832&gt;0,'Direct Costs 2026'!$C$45*B832,"N/A")</f>
        <v>N/A</v>
      </c>
      <c r="N832" t="str" s="431" cm="1">
        <f t="array" ref="N832">IF(B832&gt;0,_xlfn.IFERROR(VLOOKUP(C814,'Boats Data Sheet 2026'!$C$3:$I$57,7,0)*'Direct Costs 2026'!$C$36,"N/A"),"N/A")</f>
        <v>N/A</v>
      </c>
      <c r="O832" t="str" s="431" cm="1">
        <f t="array" ref="O832">IF(B832&gt;0,IF(OR(VLOOKUP(C814,'Boats Data Sheet 2026'!$C$3:$F$57,4,0)="Own",VLOOKUP(C814,'Boats Data Sheet 2026'!$C$3:$F$57,4,0)="Management"),('Direct Costs 2026'!$C$37+'Direct Costs 2026'!$C$39),"N/A"),"N/A")</f>
        <v>N/A</v>
      </c>
      <c r="P832" t="str" s="431" cm="1">
        <f t="array" ref="P832">_xlfn.IFERROR('Direct Costs 2026'!$C$27*C832,"N/A")</f>
        <v>N/A</v>
      </c>
      <c r="Q832" t="str" s="431" cm="1">
        <f t="array" ref="Q832">_xlfn.IFERROR(C832+SUM(E832:P832),"N/A")</f>
        <v>N/A</v>
      </c>
      <c r="R832" s="424"/>
      <c r="S832" t="str" s="431" cm="1">
        <f t="array" ref="S832">IF(B832&gt;0,'Allocation OH and Target 2026'!$E$31,"N/A")</f>
        <v>N/A</v>
      </c>
      <c r="T832" t="str" s="431" cm="1">
        <f t="array" ref="T832">IF(B832&gt;0,VLOOKUP(C814,'Allocation OH and Target 2026'!$C$35:$S$87,16,0),"N/A")</f>
        <v>N/A</v>
      </c>
      <c r="U832" t="str" s="431" cm="1">
        <f t="array" ref="U832">_xlfn.IFERROR((S832+T832),"N/A")</f>
        <v>N/A</v>
      </c>
      <c r="V832" s="424"/>
      <c r="W832" t="str" s="431" cm="1">
        <f t="array" ref="W832">_xlfn.IFERROR(U832+Q832,"N/A")</f>
        <v>N/A</v>
      </c>
      <c r="X832" t="str" s="431" cm="1">
        <f t="array" ref="X832">_xlfn.IFERROR(W832*0.5%,"N/A")</f>
        <v>N/A</v>
      </c>
      <c r="Y832" t="str" s="431" cm="1">
        <f t="array" ref="Y832">_xlfn.IFERROR(W832*25%,"N/A")</f>
        <v>N/A</v>
      </c>
      <c r="Z832" t="str" s="426" cm="1">
        <f t="array" ref="Z832">IF(B832&gt;0,SUM(W832:Y832),"N/A")</f>
        <v>N/A</v>
      </c>
      <c r="AA832" t="str" s="426" cm="1">
        <f t="array" ref="AA832">_xlfn.IFERROR((Z832-Z831),"N/A")</f>
        <v>N/A</v>
      </c>
      <c r="AB832" s="424"/>
      <c r="AC832" t="str" s="426" cm="1">
        <f t="array" ref="AC832">IF(B832=6,AVERAGE(Z817:Z822),"N/A")</f>
        <v>N/A</v>
      </c>
      <c r="AD832" s="424"/>
      <c r="AE832" s="423"/>
      <c r="AF832" s="423"/>
      <c r="AG832" s="423"/>
      <c r="AH832" s="423"/>
      <c r="AI832" s="423"/>
      <c r="AJ832" s="423"/>
      <c r="AK832" s="423"/>
      <c r="AL832" s="423"/>
      <c r="AM832" s="423"/>
      <c r="AN832" s="427"/>
    </row>
    <row r="833" ht="15" customHeight="1">
      <c r="A833" s="12"/>
      <c r="B833" s="428" cm="1">
        <f t="array" ref="B833">IF(B832=0,0,IF(B832&lt;VLOOKUP(C814,'Boats Data Sheet 2026'!$C$3:$H$57,6,0),B832+1,0))</f>
        <v>0</v>
      </c>
      <c r="C833" t="str" s="431" cm="1">
        <f t="array" ref="C833">IF(B833&gt;0,IF(VLOOKUP(C814,'Boats Data Sheet 2026'!$C$3:$J$57,8,0)="N/A",0,VLOOKUP(C814,'Boats Data Sheet 2026'!$C$3:$J$57,8,0)),"N/A")</f>
        <v>N/A</v>
      </c>
      <c r="D833" t="str" s="431" cm="1">
        <f t="array" ref="D833">IF(B833&gt;7,2,IF(B833=0,"N/A",1))</f>
        <v>N/A</v>
      </c>
      <c r="E833" t="str" s="431" cm="1">
        <f t="array" ref="E833">_xlfn.IFERROR(SUM('Direct Costs 2026'!$C$4:$C$5)*D833,"N/A")</f>
        <v>N/A</v>
      </c>
      <c r="F833" s="423" cm="1">
        <f t="array" ref="F833">_xlfn.IFERROR('Direct Costs 2026'!$C$43*B833,"N/A")</f>
        <v>0</v>
      </c>
      <c r="G833" t="str" s="431" cm="1">
        <f t="array" ref="G833">IF(B833&gt;0,'Direct Costs 2026'!$C$25,"N/A")</f>
        <v>N/A</v>
      </c>
      <c r="H833" t="str" s="431" cm="1">
        <f t="array" ref="H833">IF(B833&gt;0,('Direct Costs 2026'!$C$15+'Direct Costs 2026'!$C$14),"N/A")</f>
        <v>N/A</v>
      </c>
      <c r="I833" s="423">
        <v>0</v>
      </c>
      <c r="J833" s="423">
        <v>0</v>
      </c>
      <c r="K833" s="423">
        <v>0</v>
      </c>
      <c r="L833" t="str" s="431" cm="1">
        <f t="array" ref="L833">IF(B833&gt;0,'Direct Costs 2026'!$C$23,"N/A")</f>
        <v>N/A</v>
      </c>
      <c r="M833" t="str" s="431" cm="1">
        <f t="array" ref="M833">IF(B833&gt;0,'Direct Costs 2026'!$C$45*B833,"N/A")</f>
        <v>N/A</v>
      </c>
      <c r="N833" t="str" s="431" cm="1">
        <f t="array" ref="N833">IF(B833&gt;0,_xlfn.IFERROR(VLOOKUP(C814,'Boats Data Sheet 2026'!$C$3:$I$57,7,0)*'Direct Costs 2026'!$C$36,"N/A"),"N/A")</f>
        <v>N/A</v>
      </c>
      <c r="O833" t="str" s="431" cm="1">
        <f t="array" ref="O833">IF(B833&gt;0,IF(OR(VLOOKUP(C814,'Boats Data Sheet 2026'!$C$3:$F$57,4,0)="Own",VLOOKUP(C814,'Boats Data Sheet 2026'!$C$3:$F$57,4,0)="Management"),('Direct Costs 2026'!$C$37+'Direct Costs 2026'!$C$39),"N/A"),"N/A")</f>
        <v>N/A</v>
      </c>
      <c r="P833" t="str" s="431" cm="1">
        <f t="array" ref="P833">_xlfn.IFERROR('Direct Costs 2026'!$C$27*C833,"N/A")</f>
        <v>N/A</v>
      </c>
      <c r="Q833" t="str" s="431" cm="1">
        <f t="array" ref="Q833">_xlfn.IFERROR(C833+SUM(E833:P833),"N/A")</f>
        <v>N/A</v>
      </c>
      <c r="R833" s="424"/>
      <c r="S833" t="str" s="431" cm="1">
        <f t="array" ref="S833">IF(B833&gt;0,'Allocation OH and Target 2026'!$E$31,"N/A")</f>
        <v>N/A</v>
      </c>
      <c r="T833" t="str" s="431" cm="1">
        <f t="array" ref="T833">IF(B833&gt;0,VLOOKUP(C814,'Allocation OH and Target 2026'!$C$35:$S$87,16,0),"N/A")</f>
        <v>N/A</v>
      </c>
      <c r="U833" t="str" s="431" cm="1">
        <f t="array" ref="U833">_xlfn.IFERROR((S833+T833),"N/A")</f>
        <v>N/A</v>
      </c>
      <c r="V833" s="424"/>
      <c r="W833" t="str" s="431" cm="1">
        <f t="array" ref="W833">_xlfn.IFERROR(U833+Q833,"N/A")</f>
        <v>N/A</v>
      </c>
      <c r="X833" t="str" s="431" cm="1">
        <f t="array" ref="X833">_xlfn.IFERROR(W833*0.5%,"N/A")</f>
        <v>N/A</v>
      </c>
      <c r="Y833" t="str" s="431" cm="1">
        <f t="array" ref="Y833">_xlfn.IFERROR(W833*25%,"N/A")</f>
        <v>N/A</v>
      </c>
      <c r="Z833" t="str" s="426" cm="1">
        <f t="array" ref="Z833">IF(B833&gt;0,SUM(W833:Y833),"N/A")</f>
        <v>N/A</v>
      </c>
      <c r="AA833" t="str" s="426" cm="1">
        <f t="array" ref="AA833">_xlfn.IFERROR((Z833-Z832),"N/A")</f>
        <v>N/A</v>
      </c>
      <c r="AB833" s="424"/>
      <c r="AC833" t="str" s="426" cm="1">
        <f t="array" ref="AC833">IF(B833=6,AVERAGE(Z817:Z822),"N/A")</f>
        <v>N/A</v>
      </c>
      <c r="AD833" s="424"/>
      <c r="AE833" s="423"/>
      <c r="AF833" s="423"/>
      <c r="AG833" s="423"/>
      <c r="AH833" s="423"/>
      <c r="AI833" s="423"/>
      <c r="AJ833" s="423"/>
      <c r="AK833" s="423"/>
      <c r="AL833" s="423"/>
      <c r="AM833" s="423"/>
      <c r="AN833" s="427"/>
    </row>
    <row r="834" ht="15" customHeight="1">
      <c r="A834" s="12"/>
      <c r="B834" s="428" cm="1">
        <f t="array" ref="B834">IF(B833=0,0,IF(B833&lt;VLOOKUP(C814,'Boats Data Sheet 2026'!$C$3:$H$57,6,0),B833+1,0))</f>
        <v>0</v>
      </c>
      <c r="C834" t="str" s="431" cm="1">
        <f t="array" ref="C834">IF(B834&gt;0,IF(VLOOKUP(C814,'Boats Data Sheet 2026'!$C$3:$J$57,8,0)="N/A",0,VLOOKUP(C814,'Boats Data Sheet 2026'!$C$3:$J$57,8,0)),"N/A")</f>
        <v>N/A</v>
      </c>
      <c r="D834" t="str" s="431" cm="1">
        <f t="array" ref="D834">IF(B834&gt;7,2,IF(B834=0,"N/A",1))</f>
        <v>N/A</v>
      </c>
      <c r="E834" t="str" s="431" cm="1">
        <f t="array" ref="E834">_xlfn.IFERROR(SUM('Direct Costs 2026'!$C$4:$C$5)*D834,"N/A")</f>
        <v>N/A</v>
      </c>
      <c r="F834" s="423" cm="1">
        <f t="array" ref="F834">_xlfn.IFERROR('Direct Costs 2026'!$C$43*B834,"N/A")</f>
        <v>0</v>
      </c>
      <c r="G834" t="str" s="431" cm="1">
        <f t="array" ref="G834">IF(B834&gt;0,'Direct Costs 2026'!$C$25,"N/A")</f>
        <v>N/A</v>
      </c>
      <c r="H834" t="str" s="431" cm="1">
        <f t="array" ref="H834">IF(B834&gt;0,('Direct Costs 2026'!$C$15+'Direct Costs 2026'!$C$14),"N/A")</f>
        <v>N/A</v>
      </c>
      <c r="I834" s="423">
        <v>0</v>
      </c>
      <c r="J834" s="423">
        <v>0</v>
      </c>
      <c r="K834" s="423">
        <v>0</v>
      </c>
      <c r="L834" t="str" s="431" cm="1">
        <f t="array" ref="L834">IF(B834&gt;0,'Direct Costs 2026'!$C$23,"N/A")</f>
        <v>N/A</v>
      </c>
      <c r="M834" t="str" s="431" cm="1">
        <f t="array" ref="M834">IF(B834&gt;0,'Direct Costs 2026'!$C$45*B834,"N/A")</f>
        <v>N/A</v>
      </c>
      <c r="N834" t="str" s="431" cm="1">
        <f t="array" ref="N834">IF(B834&gt;0,_xlfn.IFERROR(VLOOKUP(C814,'Boats Data Sheet 2026'!$C$3:$I$57,7,0)*'Direct Costs 2026'!$C$36,"N/A"),"N/A")</f>
        <v>N/A</v>
      </c>
      <c r="O834" t="str" s="431" cm="1">
        <f t="array" ref="O834">IF(B834&gt;0,IF(OR(VLOOKUP(C814,'Boats Data Sheet 2026'!$C$3:$F$57,4,0)="Own",VLOOKUP(C814,'Boats Data Sheet 2026'!$C$3:$F$57,4,0)="Management"),('Direct Costs 2026'!$C$37+'Direct Costs 2026'!$C$39),"N/A"),"N/A")</f>
        <v>N/A</v>
      </c>
      <c r="P834" t="str" s="431" cm="1">
        <f t="array" ref="P834">_xlfn.IFERROR('Direct Costs 2026'!$C$27*C834,"N/A")</f>
        <v>N/A</v>
      </c>
      <c r="Q834" t="str" s="431" cm="1">
        <f t="array" ref="Q834">_xlfn.IFERROR(C834+SUM(E834:P834),"N/A")</f>
        <v>N/A</v>
      </c>
      <c r="R834" s="424"/>
      <c r="S834" t="str" s="431" cm="1">
        <f t="array" ref="S834">IF(B834&gt;0,'Allocation OH and Target 2026'!$E$31,"N/A")</f>
        <v>N/A</v>
      </c>
      <c r="T834" t="str" s="431" cm="1">
        <f t="array" ref="T834">IF(B834&gt;0,VLOOKUP(C814,'Allocation OH and Target 2026'!$C$35:$S$87,16,0),"N/A")</f>
        <v>N/A</v>
      </c>
      <c r="U834" t="str" s="431" cm="1">
        <f t="array" ref="U834">_xlfn.IFERROR((S834+T834),"N/A")</f>
        <v>N/A</v>
      </c>
      <c r="V834" s="424"/>
      <c r="W834" t="str" s="431" cm="1">
        <f t="array" ref="W834">_xlfn.IFERROR(U834+Q834,"N/A")</f>
        <v>N/A</v>
      </c>
      <c r="X834" t="str" s="431" cm="1">
        <f t="array" ref="X834">_xlfn.IFERROR(W834*0.5%,"N/A")</f>
        <v>N/A</v>
      </c>
      <c r="Y834" t="str" s="431" cm="1">
        <f t="array" ref="Y834">_xlfn.IFERROR(W834*25%,"N/A")</f>
        <v>N/A</v>
      </c>
      <c r="Z834" t="str" s="426" cm="1">
        <f t="array" ref="Z834">IF(B834&gt;0,SUM(W834:Y834),"N/A")</f>
        <v>N/A</v>
      </c>
      <c r="AA834" t="str" s="426" cm="1">
        <f t="array" ref="AA834">_xlfn.IFERROR((Z834-Z833),"N/A")</f>
        <v>N/A</v>
      </c>
      <c r="AB834" s="424"/>
      <c r="AC834" t="str" s="426" cm="1">
        <f t="array" ref="AC834">IF(B834=6,AVERAGE(Z818:Z823),"N/A")</f>
        <v>N/A</v>
      </c>
      <c r="AD834" s="424"/>
      <c r="AE834" s="423"/>
      <c r="AF834" s="423"/>
      <c r="AG834" s="423"/>
      <c r="AH834" s="423"/>
      <c r="AI834" s="423"/>
      <c r="AJ834" s="423"/>
      <c r="AK834" s="423"/>
      <c r="AL834" s="423"/>
      <c r="AM834" s="423"/>
      <c r="AN834" s="427"/>
    </row>
    <row r="835" ht="15" customHeight="1">
      <c r="A835" s="12"/>
      <c r="B835" s="428" cm="1">
        <f t="array" ref="B835">IF(B834=0,0,IF(B834&lt;VLOOKUP(C814,'Boats Data Sheet 2026'!$C$3:$H$57,6,0),B834+1,0))</f>
        <v>0</v>
      </c>
      <c r="C835" t="str" s="431" cm="1">
        <f t="array" ref="C835">IF(B835&gt;0,IF(VLOOKUP(C814,'Boats Data Sheet 2026'!$C$3:$J$57,8,0)="N/A",0,VLOOKUP(C814,'Boats Data Sheet 2026'!$C$3:$J$57,8,0)),"N/A")</f>
        <v>N/A</v>
      </c>
      <c r="D835" t="str" s="431" cm="1">
        <f t="array" ref="D835">IF(B835&gt;7,2,IF(B835=0,"N/A",1))</f>
        <v>N/A</v>
      </c>
      <c r="E835" t="str" s="431" cm="1">
        <f t="array" ref="E835">_xlfn.IFERROR(SUM('Direct Costs 2026'!$C$4:$C$5)*D835,"N/A")</f>
        <v>N/A</v>
      </c>
      <c r="F835" s="423" cm="1">
        <f t="array" ref="F835">_xlfn.IFERROR('Direct Costs 2026'!$C$43*B835,"N/A")</f>
        <v>0</v>
      </c>
      <c r="G835" t="str" s="431" cm="1">
        <f t="array" ref="G835">IF(B835&gt;0,'Direct Costs 2026'!$C$25,"N/A")</f>
        <v>N/A</v>
      </c>
      <c r="H835" t="str" s="431" cm="1">
        <f t="array" ref="H835">IF(B835&gt;0,('Direct Costs 2026'!$C$15+'Direct Costs 2026'!$C$14),"N/A")</f>
        <v>N/A</v>
      </c>
      <c r="I835" s="423">
        <v>0</v>
      </c>
      <c r="J835" s="423">
        <v>0</v>
      </c>
      <c r="K835" s="423">
        <v>0</v>
      </c>
      <c r="L835" t="str" s="431" cm="1">
        <f t="array" ref="L835">IF(B835&gt;0,'Direct Costs 2026'!$C$23,"N/A")</f>
        <v>N/A</v>
      </c>
      <c r="M835" t="str" s="431" cm="1">
        <f t="array" ref="M835">IF(B835&gt;0,'Direct Costs 2026'!$C$45*B835,"N/A")</f>
        <v>N/A</v>
      </c>
      <c r="N835" t="str" s="431" cm="1">
        <f t="array" ref="N835">IF(B835&gt;0,_xlfn.IFERROR(VLOOKUP(C814,'Boats Data Sheet 2026'!$C$3:$I$57,7,0)*'Direct Costs 2026'!$C$36,"N/A"),"N/A")</f>
        <v>N/A</v>
      </c>
      <c r="O835" t="str" s="431" cm="1">
        <f t="array" ref="O835">IF(B835&gt;0,IF(OR(VLOOKUP(C814,'Boats Data Sheet 2026'!$C$3:$F$57,4,0)="Own",VLOOKUP(C814,'Boats Data Sheet 2026'!$C$3:$F$57,4,0)="Management"),('Direct Costs 2026'!$C$37+'Direct Costs 2026'!$C$39),"N/A"),"N/A")</f>
        <v>N/A</v>
      </c>
      <c r="P835" t="str" s="431" cm="1">
        <f t="array" ref="P835">_xlfn.IFERROR('Direct Costs 2026'!$C$27*C835,"N/A")</f>
        <v>N/A</v>
      </c>
      <c r="Q835" t="str" s="431" cm="1">
        <f t="array" ref="Q835">_xlfn.IFERROR(C835+SUM(E835:P835),"N/A")</f>
        <v>N/A</v>
      </c>
      <c r="R835" s="424"/>
      <c r="S835" t="str" s="431" cm="1">
        <f t="array" ref="S835">IF(B835&gt;0,'Allocation OH and Target 2026'!$E$31,"N/A")</f>
        <v>N/A</v>
      </c>
      <c r="T835" t="str" s="431" cm="1">
        <f t="array" ref="T835">IF(B835&gt;0,VLOOKUP(C814,'Allocation OH and Target 2026'!$C$35:$S$87,16,0),"N/A")</f>
        <v>N/A</v>
      </c>
      <c r="U835" t="str" s="431" cm="1">
        <f t="array" ref="U835">_xlfn.IFERROR((S835+T835),"N/A")</f>
        <v>N/A</v>
      </c>
      <c r="V835" s="424"/>
      <c r="W835" t="str" s="431" cm="1">
        <f t="array" ref="W835">_xlfn.IFERROR(U835+Q835,"N/A")</f>
        <v>N/A</v>
      </c>
      <c r="X835" t="str" s="431" cm="1">
        <f t="array" ref="X835">_xlfn.IFERROR(W835*0.5%,"N/A")</f>
        <v>N/A</v>
      </c>
      <c r="Y835" t="str" s="431" cm="1">
        <f t="array" ref="Y835">_xlfn.IFERROR(W835*25%,"N/A")</f>
        <v>N/A</v>
      </c>
      <c r="Z835" t="str" s="426" cm="1">
        <f t="array" ref="Z835">IF(B835&gt;0,SUM(W835:Y835),"N/A")</f>
        <v>N/A</v>
      </c>
      <c r="AA835" t="str" s="426" cm="1">
        <f t="array" ref="AA835">_xlfn.IFERROR((Z835-Z834),"N/A")</f>
        <v>N/A</v>
      </c>
      <c r="AB835" s="424"/>
      <c r="AC835" t="str" s="426" cm="1">
        <f t="array" ref="AC835">IF(B835=6,AVERAGE(Z819:Z824),"N/A")</f>
        <v>N/A</v>
      </c>
      <c r="AD835" s="424"/>
      <c r="AE835" s="423"/>
      <c r="AF835" s="423"/>
      <c r="AG835" s="423"/>
      <c r="AH835" s="423"/>
      <c r="AI835" s="423"/>
      <c r="AJ835" s="423"/>
      <c r="AK835" s="423"/>
      <c r="AL835" s="423"/>
      <c r="AM835" s="423"/>
      <c r="AN835" s="427"/>
    </row>
    <row r="836" ht="15.5" customHeight="1">
      <c r="A836" s="12"/>
      <c r="B836" s="432" cm="1">
        <f t="array" ref="B836">IF(B835=0,0,IF(B835&lt;VLOOKUP(C814,'Boats Data Sheet 2026'!$C$3:$H$57,6,0),B835+1,0))</f>
        <v>0</v>
      </c>
      <c r="C836" t="str" s="433" cm="1">
        <f t="array" ref="C836">IF(B836&gt;0,IF(VLOOKUP(C814,'Boats Data Sheet 2026'!$C$3:$J$57,8,0)="N/A",0,VLOOKUP(C814,'Boats Data Sheet 2026'!$C$3:$J$57,8,0)),"N/A")</f>
        <v>N/A</v>
      </c>
      <c r="D836" t="str" s="433" cm="1">
        <f t="array" ref="D836">IF(B836&gt;7,2,IF(B836=0,"N/A",1))</f>
        <v>N/A</v>
      </c>
      <c r="E836" t="str" s="433" cm="1">
        <f t="array" ref="E836">_xlfn.IFERROR(SUM('Direct Costs 2026'!$C$4:$C$5)*D836,"N/A")</f>
        <v>N/A</v>
      </c>
      <c r="F836" s="434" cm="1">
        <f t="array" ref="F836">_xlfn.IFERROR('Direct Costs 2026'!$C$43*B836,"N/A")</f>
        <v>0</v>
      </c>
      <c r="G836" t="str" s="433" cm="1">
        <f t="array" ref="G836">IF(B836&gt;0,'Direct Costs 2026'!$C$25,"N/A")</f>
        <v>N/A</v>
      </c>
      <c r="H836" t="str" s="433" cm="1">
        <f t="array" ref="H836">IF(B836&gt;0,('Direct Costs 2026'!$C$15+'Direct Costs 2026'!$C$14),"N/A")</f>
        <v>N/A</v>
      </c>
      <c r="I836" s="434">
        <v>0</v>
      </c>
      <c r="J836" s="434">
        <v>0</v>
      </c>
      <c r="K836" s="434">
        <v>0</v>
      </c>
      <c r="L836" t="str" s="433" cm="1">
        <f t="array" ref="L836">IF(B836&gt;0,'Direct Costs 2026'!$C$23,"N/A")</f>
        <v>N/A</v>
      </c>
      <c r="M836" t="str" s="433" cm="1">
        <f t="array" ref="M836">IF(B836&gt;0,'Direct Costs 2026'!$C$45*B836,"N/A")</f>
        <v>N/A</v>
      </c>
      <c r="N836" t="str" s="433" cm="1">
        <f t="array" ref="N836">IF(B836&gt;0,_xlfn.IFERROR(VLOOKUP(C814,'Boats Data Sheet 2026'!$C$3:$I$57,7,0)*'Direct Costs 2026'!$C$36,"N/A"),"N/A")</f>
        <v>N/A</v>
      </c>
      <c r="O836" t="str" s="433" cm="1">
        <f t="array" ref="O836">IF(B836&gt;0,IF(OR(VLOOKUP(C814,'Boats Data Sheet 2026'!$C$3:$F$57,4,0)="Own",VLOOKUP(C814,'Boats Data Sheet 2026'!$C$3:$F$57,4,0)="Management"),('Direct Costs 2026'!$C$37+'Direct Costs 2026'!$C$39),"N/A"),"N/A")</f>
        <v>N/A</v>
      </c>
      <c r="P836" t="str" s="433" cm="1">
        <f t="array" ref="P836">_xlfn.IFERROR('Direct Costs 2026'!$C$27*C836,"N/A")</f>
        <v>N/A</v>
      </c>
      <c r="Q836" t="str" s="433" cm="1">
        <f t="array" ref="Q836">_xlfn.IFERROR(C836+SUM(E836:P836),"N/A")</f>
        <v>N/A</v>
      </c>
      <c r="R836" s="435"/>
      <c r="S836" t="str" s="433" cm="1">
        <f t="array" ref="S836">IF(B836&gt;0,'Allocation OH and Target 2026'!$E$31,"N/A")</f>
        <v>N/A</v>
      </c>
      <c r="T836" t="str" s="433" cm="1">
        <f t="array" ref="T836">IF(B836&gt;0,VLOOKUP(C814,'Allocation OH and Target 2026'!$C$35:$S$87,16,0),"N/A")</f>
        <v>N/A</v>
      </c>
      <c r="U836" t="str" s="433" cm="1">
        <f t="array" ref="U836">_xlfn.IFERROR((S836+T836),"N/A")</f>
        <v>N/A</v>
      </c>
      <c r="V836" s="435"/>
      <c r="W836" t="str" s="433" cm="1">
        <f t="array" ref="W836">_xlfn.IFERROR(U836+Q836,"N/A")</f>
        <v>N/A</v>
      </c>
      <c r="X836" t="str" s="433" cm="1">
        <f t="array" ref="X836">_xlfn.IFERROR(W836*0.5%,"N/A")</f>
        <v>N/A</v>
      </c>
      <c r="Y836" t="str" s="433" cm="1">
        <f t="array" ref="Y836">_xlfn.IFERROR(W836*25%,"N/A")</f>
        <v>N/A</v>
      </c>
      <c r="Z836" t="str" s="436" cm="1">
        <f t="array" ref="Z836">IF(B836&gt;0,SUM(W836:Y836),"N/A")</f>
        <v>N/A</v>
      </c>
      <c r="AA836" t="str" s="436" cm="1">
        <f t="array" ref="AA836">_xlfn.IFERROR((Z836-Z835),"N/A")</f>
        <v>N/A</v>
      </c>
      <c r="AB836" s="435"/>
      <c r="AC836" t="str" s="436" cm="1">
        <f t="array" ref="AC836">IF(B836=6,AVERAGE(Z820:Z825),"N/A")</f>
        <v>N/A</v>
      </c>
      <c r="AD836" s="435"/>
      <c r="AE836" s="434"/>
      <c r="AF836" s="434"/>
      <c r="AG836" s="434"/>
      <c r="AH836" s="434"/>
      <c r="AI836" s="434"/>
      <c r="AJ836" s="434"/>
      <c r="AK836" s="434"/>
      <c r="AL836" s="434"/>
      <c r="AM836" s="434"/>
      <c r="AN836" s="437"/>
    </row>
    <row r="837" ht="15" customHeight="1">
      <c r="A837" s="32"/>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c r="AH837" s="124"/>
      <c r="AI837" s="124"/>
      <c r="AJ837" s="124"/>
      <c r="AK837" s="124"/>
      <c r="AL837" s="124"/>
      <c r="AM837" s="124"/>
      <c r="AN837" s="313"/>
    </row>
    <row r="838" ht="15" customHeight="1">
      <c r="A838" s="32"/>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c r="AH838" s="35"/>
      <c r="AI838" s="35"/>
      <c r="AJ838" s="35"/>
      <c r="AK838" s="35"/>
      <c r="AL838" s="35"/>
      <c r="AM838" s="35"/>
      <c r="AN838" s="442"/>
    </row>
    <row r="839" ht="15.5" customHeight="1">
      <c r="A839" s="395">
        <v>32</v>
      </c>
      <c r="B839" t="s" s="396">
        <v>506</v>
      </c>
      <c r="C839" t="s" s="397">
        <v>105</v>
      </c>
      <c r="D839" s="398"/>
      <c r="E839" s="502"/>
      <c r="F839" s="398"/>
      <c r="G839" s="398"/>
      <c r="H839" s="398"/>
      <c r="I839" s="398"/>
      <c r="J839" s="398"/>
      <c r="K839" s="398"/>
      <c r="L839" s="398"/>
      <c r="M839" s="398"/>
      <c r="N839" s="398"/>
      <c r="O839" s="398"/>
      <c r="P839" s="398"/>
      <c r="Q839" s="398"/>
      <c r="R839" s="399"/>
      <c r="S839" s="398"/>
      <c r="T839" s="398"/>
      <c r="U839" s="398"/>
      <c r="V839" s="399"/>
      <c r="W839" s="398"/>
      <c r="X839" s="398"/>
      <c r="Y839" s="398"/>
      <c r="Z839" s="398"/>
      <c r="AA839" s="398"/>
      <c r="AB839" s="399"/>
      <c r="AC839" s="398"/>
      <c r="AD839" s="399"/>
      <c r="AE839" t="s" s="397">
        <v>508</v>
      </c>
      <c r="AF839" s="401" cm="1">
        <f t="array" ref="AF839">AVERAGE(Q842:Q847)</f>
        <v>33651500</v>
      </c>
      <c r="AG839" t="s" s="400">
        <v>509</v>
      </c>
      <c r="AH839" s="401" cm="1">
        <f t="array" ref="AH839">AVERAGE(Q848:Q855)-AF839</f>
        <v>1858062.5</v>
      </c>
      <c r="AI839" t="s" s="400">
        <v>510</v>
      </c>
      <c r="AJ839" s="401" cm="1">
        <f t="array" ref="AJ839">AVERAGE(Y842:Y849)</f>
        <v>9254346.164424529</v>
      </c>
      <c r="AK839" t="s" s="397">
        <v>511</v>
      </c>
      <c r="AL839" s="401" cm="1">
        <f t="array" ref="AL839">AVERAGE(W842:W847)</f>
        <v>36751947.1576981</v>
      </c>
      <c r="AM839" t="s" s="400">
        <v>512</v>
      </c>
      <c r="AN839" s="402" cm="1">
        <f t="array" ref="AN839">W842</f>
        <v>36361947.1576981</v>
      </c>
    </row>
    <row r="840" ht="15" customHeight="1">
      <c r="A840" s="12"/>
      <c r="B840" s="403"/>
      <c r="C840" t="s" s="404">
        <v>513</v>
      </c>
      <c r="D840" s="405"/>
      <c r="E840" s="405"/>
      <c r="F840" s="405"/>
      <c r="G840" s="405"/>
      <c r="H840" s="405"/>
      <c r="I840" s="405"/>
      <c r="J840" s="405"/>
      <c r="K840" s="405"/>
      <c r="L840" s="405"/>
      <c r="M840" s="405"/>
      <c r="N840" s="405"/>
      <c r="O840" s="405"/>
      <c r="P840" s="405"/>
      <c r="Q840" s="406"/>
      <c r="R840" s="407"/>
      <c r="S840" t="s" s="404">
        <v>514</v>
      </c>
      <c r="T840" s="405"/>
      <c r="U840" s="406"/>
      <c r="V840" s="407"/>
      <c r="W840" t="s" s="404">
        <v>515</v>
      </c>
      <c r="X840" s="405"/>
      <c r="Y840" s="405"/>
      <c r="Z840" s="405"/>
      <c r="AA840" s="405"/>
      <c r="AB840" s="408"/>
      <c r="AC840" s="443"/>
      <c r="AD840" s="410"/>
      <c r="AE840" s="443"/>
      <c r="AF840" s="443"/>
      <c r="AG840" s="443"/>
      <c r="AH840" s="443"/>
      <c r="AI840" s="443"/>
      <c r="AJ840" s="443"/>
      <c r="AK840" s="443"/>
      <c r="AL840" s="414"/>
      <c r="AM840" s="415"/>
      <c r="AN840" s="414"/>
    </row>
    <row r="841" ht="46.25" customHeight="1">
      <c r="A841" s="187"/>
      <c r="B841" t="s" s="416">
        <v>517</v>
      </c>
      <c r="C841" t="s" s="417">
        <v>518</v>
      </c>
      <c r="D841" t="s" s="417">
        <v>519</v>
      </c>
      <c r="E841" t="s" s="417">
        <v>520</v>
      </c>
      <c r="F841" t="s" s="159">
        <v>521</v>
      </c>
      <c r="G841" t="s" s="159">
        <v>522</v>
      </c>
      <c r="H841" t="s" s="159">
        <v>553</v>
      </c>
      <c r="I841" t="s" s="159">
        <v>524</v>
      </c>
      <c r="J841" t="s" s="159">
        <v>525</v>
      </c>
      <c r="K841" t="s" s="159">
        <v>526</v>
      </c>
      <c r="L841" t="s" s="159">
        <v>527</v>
      </c>
      <c r="M841" t="s" s="159">
        <v>528</v>
      </c>
      <c r="N841" t="s" s="159">
        <v>529</v>
      </c>
      <c r="O841" t="s" s="159">
        <v>530</v>
      </c>
      <c r="P841" t="s" s="159">
        <v>531</v>
      </c>
      <c r="Q841" t="s" s="159">
        <v>532</v>
      </c>
      <c r="R841" s="418"/>
      <c r="S841" t="s" s="159">
        <v>533</v>
      </c>
      <c r="T841" t="s" s="159">
        <v>561</v>
      </c>
      <c r="U841" t="s" s="159">
        <v>535</v>
      </c>
      <c r="V841" s="418"/>
      <c r="W841" t="s" s="159">
        <v>536</v>
      </c>
      <c r="X841" t="s" s="159">
        <v>537</v>
      </c>
      <c r="Y841" t="s" s="159">
        <v>538</v>
      </c>
      <c r="Z841" t="s" s="159">
        <v>539</v>
      </c>
      <c r="AA841" t="s" s="159">
        <v>121</v>
      </c>
      <c r="AB841" s="419"/>
      <c r="AC841" t="s" s="159">
        <v>39</v>
      </c>
      <c r="AD841" s="419"/>
      <c r="AE841" s="77"/>
      <c r="AF841" s="77"/>
      <c r="AG841" s="77"/>
      <c r="AH841" s="77"/>
      <c r="AI841" s="77"/>
      <c r="AJ841" s="77"/>
      <c r="AK841" s="77"/>
      <c r="AL841" s="77"/>
      <c r="AM841" s="77"/>
      <c r="AN841" s="78"/>
    </row>
    <row r="842" ht="15" customHeight="1">
      <c r="A842" s="12"/>
      <c r="B842" s="420">
        <v>1</v>
      </c>
      <c r="C842" s="421" cm="1">
        <f t="array" ref="C842">_xlfn.IFERROR(IF(B842&gt;0,IF(VLOOKUP($C$839,'Boats Data Sheet 2026'!$C$3:$J$57,8,0)="N/A",0,VLOOKUP($C$839,'Boats Data Sheet 2026'!$C$3:$J$57,8,0)),"N/A")*100%,"N/A")</f>
        <v>32000000</v>
      </c>
      <c r="D842" s="422" cm="1">
        <f t="array" ref="D842">IF(B842&gt;7,2,IF(B842=0,"N/A",1))</f>
        <v>1</v>
      </c>
      <c r="E842" s="421" cm="1">
        <f t="array" ref="E842">_xlfn.IFERROR(SUM('Direct Costs 2026'!$C$4:$C$5)*D842,"N/A")</f>
        <v>875500</v>
      </c>
      <c r="F842" s="423" cm="1">
        <f t="array" ref="F842">_xlfn.IFERROR('Direct Costs 2026'!$C$43*B842,"N/A")</f>
        <v>6000</v>
      </c>
      <c r="G842" s="423" cm="1">
        <f t="array" ref="G842">IF(B842&gt;0,'Direct Costs 2026'!$C$25,"N/A")</f>
        <v>90000</v>
      </c>
      <c r="H842" s="423">
        <v>0</v>
      </c>
      <c r="I842" s="423">
        <v>0</v>
      </c>
      <c r="J842" s="423">
        <v>0</v>
      </c>
      <c r="K842" s="423">
        <v>0</v>
      </c>
      <c r="L842" s="423" cm="1">
        <f t="array" ref="L842">IF(B842&gt;0,'Direct Costs 2026'!$C$23,"N/A")</f>
        <v>140000</v>
      </c>
      <c r="M842" s="423" cm="1">
        <f t="array" ref="M842">IF(B842&gt;0,'Direct Costs 2026'!$C$45*B842,"N/A")</f>
        <v>150000</v>
      </c>
      <c r="N842" t="str" s="431" cm="1">
        <f t="array" ref="N842">IF(B842&gt;0,_xlfn.IFERROR(VLOOKUP(C839,'Boats Data Sheet 2026'!$C$3:$I$57,7,0)*'Direct Costs 2026'!$C$36,"N/A"),"N/A")</f>
        <v>N/A</v>
      </c>
      <c r="O842" s="423">
        <v>0</v>
      </c>
      <c r="P842" s="423">
        <v>0</v>
      </c>
      <c r="Q842" s="423" cm="1">
        <f t="array" ref="Q842">_xlfn.IFERROR(C842+SUM(E842:P842),"N/A")</f>
        <v>33261500</v>
      </c>
      <c r="R842" s="424"/>
      <c r="S842" s="423" cm="1">
        <f t="array" ref="S842">IF(B842&gt;0,'Allocation OH and Target 2026'!$E$31,"N/A")</f>
        <v>3100447.15769812</v>
      </c>
      <c r="T842" s="423">
        <v>0</v>
      </c>
      <c r="U842" s="423" cm="1">
        <f t="array" ref="U842">_xlfn.IFERROR((S842+T842),"N/A")</f>
        <v>3100447.15769812</v>
      </c>
      <c r="V842" s="424"/>
      <c r="W842" s="423" cm="1">
        <f t="array" ref="W842">_xlfn.IFERROR(U842+Q842,"N/A")</f>
        <v>36361947.1576981</v>
      </c>
      <c r="X842" s="423" cm="1">
        <f t="array" ref="X842">_xlfn.IFERROR(W842*0.5%,"N/A")</f>
        <v>181809.735788491</v>
      </c>
      <c r="Y842" s="423" cm="1">
        <f t="array" ref="Y842">_xlfn.IFERROR(W842*25%,"N/A")</f>
        <v>9090486.789424529</v>
      </c>
      <c r="Z842" s="425" cm="1">
        <f t="array" ref="Z842">IF(B842&gt;0,(SUM(W842:Y842)),"N/A")</f>
        <v>45634243.6829111</v>
      </c>
      <c r="AA842" s="425">
        <v>0</v>
      </c>
      <c r="AB842" s="424"/>
      <c r="AC842" t="str" s="426" cm="1">
        <f t="array" ref="AC842">IF(B842=6,AVERAGE(Z842:Z847),"N/A")</f>
        <v>N/A</v>
      </c>
      <c r="AD842" s="424"/>
      <c r="AE842" s="423"/>
      <c r="AF842" s="423"/>
      <c r="AG842" s="423"/>
      <c r="AH842" s="423"/>
      <c r="AI842" s="423"/>
      <c r="AJ842" s="423"/>
      <c r="AK842" s="423"/>
      <c r="AL842" s="423"/>
      <c r="AM842" s="423"/>
      <c r="AN842" s="427"/>
    </row>
    <row r="843" ht="15" customHeight="1">
      <c r="A843" s="12"/>
      <c r="B843" s="428" cm="1">
        <f t="array" ref="B843">IF(B842=0,0,IF(B842&lt;VLOOKUP(C839,'Boats Data Sheet 2026'!$C$3:$H$57,6,0),B842+1,0))</f>
        <v>2</v>
      </c>
      <c r="C843" s="423" cm="1">
        <f t="array" ref="C843">_xlfn.IFERROR(IF(B843&gt;0,IF(VLOOKUP($C$839,'Boats Data Sheet 2026'!$C$3:$J$57,8,0)="N/A",0,VLOOKUP($C$839,'Boats Data Sheet 2026'!$C$3:$J$57,8,0)),"N/A")*100%,"N/A")</f>
        <v>32000000</v>
      </c>
      <c r="D843" s="429" cm="1">
        <f t="array" ref="D843">IF(B843&gt;7,2,IF(B843=0,"N/A",1))</f>
        <v>1</v>
      </c>
      <c r="E843" s="423" cm="1">
        <f t="array" ref="E843">_xlfn.IFERROR(SUM('Direct Costs 2026'!$C$4:$C$5)*D843,"N/A")</f>
        <v>875500</v>
      </c>
      <c r="F843" s="423" cm="1">
        <f t="array" ref="F843">_xlfn.IFERROR('Direct Costs 2026'!$C$43*B843,"N/A")</f>
        <v>12000</v>
      </c>
      <c r="G843" s="423" cm="1">
        <f t="array" ref="G843">IF(B843&gt;0,'Direct Costs 2026'!$C$25,"N/A")</f>
        <v>90000</v>
      </c>
      <c r="H843" s="423">
        <v>0</v>
      </c>
      <c r="I843" s="423">
        <v>0</v>
      </c>
      <c r="J843" s="423">
        <v>0</v>
      </c>
      <c r="K843" s="423">
        <v>0</v>
      </c>
      <c r="L843" s="423" cm="1">
        <f t="array" ref="L843">IF(B843&gt;0,'Direct Costs 2026'!$C$23,"N/A")</f>
        <v>140000</v>
      </c>
      <c r="M843" s="423" cm="1">
        <f t="array" ref="M843">IF(B843&gt;0,'Direct Costs 2026'!$C$45*B843,"N/A")</f>
        <v>300000</v>
      </c>
      <c r="N843" t="str" s="431" cm="1">
        <f t="array" ref="N843">IF(B843&gt;0,_xlfn.IFERROR(VLOOKUP(C839,'Boats Data Sheet 2026'!$C$3:$I$57,7,0)*'Direct Costs 2026'!$C$36,"N/A"),"N/A")</f>
        <v>N/A</v>
      </c>
      <c r="O843" s="423">
        <v>0</v>
      </c>
      <c r="P843" s="423">
        <v>0</v>
      </c>
      <c r="Q843" s="423" cm="1">
        <f t="array" ref="Q843">_xlfn.IFERROR(C843+SUM(E843:P843),"N/A")</f>
        <v>33417500</v>
      </c>
      <c r="R843" s="424"/>
      <c r="S843" s="423" cm="1">
        <f t="array" ref="S843">IF(B843&gt;0,'Allocation OH and Target 2026'!$E$31,"N/A")</f>
        <v>3100447.15769812</v>
      </c>
      <c r="T843" s="423">
        <v>0</v>
      </c>
      <c r="U843" s="423" cm="1">
        <f t="array" ref="U843">_xlfn.IFERROR((S843+T843),"N/A")</f>
        <v>3100447.15769812</v>
      </c>
      <c r="V843" s="424"/>
      <c r="W843" s="423" cm="1">
        <f t="array" ref="W843">_xlfn.IFERROR(U843+Q843,"N/A")</f>
        <v>36517947.1576981</v>
      </c>
      <c r="X843" s="423" cm="1">
        <f t="array" ref="X843">_xlfn.IFERROR(W843*0.5%,"N/A")</f>
        <v>182589.735788491</v>
      </c>
      <c r="Y843" s="423" cm="1">
        <f t="array" ref="Y843">_xlfn.IFERROR(W843*25%,"N/A")</f>
        <v>9129486.789424529</v>
      </c>
      <c r="Z843" s="425" cm="1">
        <f t="array" ref="Z843">IF(B843&gt;0,(SUM(W843:Y843)),"N/A")</f>
        <v>45830023.6829111</v>
      </c>
      <c r="AA843" s="425" cm="1">
        <f t="array" ref="AA843">_xlfn.IFERROR((Z843-Z842),"N/A")</f>
        <v>195780</v>
      </c>
      <c r="AB843" s="424"/>
      <c r="AC843" t="str" s="426" cm="1">
        <f t="array" ref="AC843">IF(B843=6,AVERAGE(Z842:Z847),"N/A")</f>
        <v>N/A</v>
      </c>
      <c r="AD843" s="424"/>
      <c r="AE843" s="423"/>
      <c r="AF843" s="423"/>
      <c r="AG843" s="423"/>
      <c r="AH843" s="423"/>
      <c r="AI843" s="423"/>
      <c r="AJ843" s="423"/>
      <c r="AK843" s="423"/>
      <c r="AL843" s="423"/>
      <c r="AM843" s="423"/>
      <c r="AN843" s="427"/>
    </row>
    <row r="844" ht="15" customHeight="1">
      <c r="A844" s="12"/>
      <c r="B844" s="428" cm="1">
        <f t="array" ref="B844">IF(B843=0,0,IF(B843&lt;VLOOKUP(C839,'Boats Data Sheet 2026'!$C$3:$H$57,6,0),B843+1,0))</f>
        <v>3</v>
      </c>
      <c r="C844" s="423" cm="1">
        <f t="array" ref="C844">_xlfn.IFERROR(IF(B844&gt;0,IF(VLOOKUP($C$839,'Boats Data Sheet 2026'!$C$3:$J$57,8,0)="N/A",0,VLOOKUP($C$839,'Boats Data Sheet 2026'!$C$3:$J$57,8,0)),"N/A")*100%,"N/A")</f>
        <v>32000000</v>
      </c>
      <c r="D844" s="429" cm="1">
        <f t="array" ref="D844">IF(B844&gt;7,2,IF(B844=0,"N/A",1))</f>
        <v>1</v>
      </c>
      <c r="E844" s="423" cm="1">
        <f t="array" ref="E844">_xlfn.IFERROR(SUM('Direct Costs 2026'!$C$4:$C$5)*D844,"N/A")</f>
        <v>875500</v>
      </c>
      <c r="F844" s="423" cm="1">
        <f t="array" ref="F844">_xlfn.IFERROR('Direct Costs 2026'!$C$43*B844,"N/A")</f>
        <v>18000</v>
      </c>
      <c r="G844" s="423" cm="1">
        <f t="array" ref="G844">IF(B844&gt;0,'Direct Costs 2026'!$C$25,"N/A")</f>
        <v>90000</v>
      </c>
      <c r="H844" s="423">
        <v>0</v>
      </c>
      <c r="I844" s="423">
        <v>0</v>
      </c>
      <c r="J844" s="423">
        <v>0</v>
      </c>
      <c r="K844" s="423">
        <v>0</v>
      </c>
      <c r="L844" s="423" cm="1">
        <f t="array" ref="L844">IF(B844&gt;0,'Direct Costs 2026'!$C$23,"N/A")</f>
        <v>140000</v>
      </c>
      <c r="M844" s="423" cm="1">
        <f t="array" ref="M844">IF(B844&gt;0,'Direct Costs 2026'!$C$45*B844,"N/A")</f>
        <v>450000</v>
      </c>
      <c r="N844" t="str" s="431" cm="1">
        <f t="array" ref="N844">IF(B844&gt;0,_xlfn.IFERROR(VLOOKUP(C839,'Boats Data Sheet 2026'!$C$3:$I$57,7,0)*'Direct Costs 2026'!$C$36,"N/A"),"N/A")</f>
        <v>N/A</v>
      </c>
      <c r="O844" s="423">
        <v>0</v>
      </c>
      <c r="P844" s="423">
        <v>0</v>
      </c>
      <c r="Q844" s="423" cm="1">
        <f t="array" ref="Q844">_xlfn.IFERROR(C844+SUM(E844:P844),"N/A")</f>
        <v>33573500</v>
      </c>
      <c r="R844" s="424"/>
      <c r="S844" s="423" cm="1">
        <f t="array" ref="S844">IF(B844&gt;0,'Allocation OH and Target 2026'!$E$31,"N/A")</f>
        <v>3100447.15769812</v>
      </c>
      <c r="T844" s="423">
        <v>0</v>
      </c>
      <c r="U844" s="423" cm="1">
        <f t="array" ref="U844">_xlfn.IFERROR((S844+T844),"N/A")</f>
        <v>3100447.15769812</v>
      </c>
      <c r="V844" s="424"/>
      <c r="W844" s="423" cm="1">
        <f t="array" ref="W844">_xlfn.IFERROR(U844+Q844,"N/A")</f>
        <v>36673947.1576981</v>
      </c>
      <c r="X844" s="423" cm="1">
        <f t="array" ref="X844">_xlfn.IFERROR(W844*0.5%,"N/A")</f>
        <v>183369.735788491</v>
      </c>
      <c r="Y844" s="423" cm="1">
        <f t="array" ref="Y844">_xlfn.IFERROR(W844*25%,"N/A")</f>
        <v>9168486.789424529</v>
      </c>
      <c r="Z844" s="425" cm="1">
        <f t="array" ref="Z844">IF(B844&gt;0,(SUM(W844:Y844)),"N/A")</f>
        <v>46025803.6829111</v>
      </c>
      <c r="AA844" s="425" cm="1">
        <f t="array" ref="AA844">_xlfn.IFERROR((Z844-Z843),"N/A")</f>
        <v>195780</v>
      </c>
      <c r="AB844" s="424"/>
      <c r="AC844" t="str" s="426" cm="1">
        <f t="array" ref="AC844">IF(B844=6,AVERAGE(Z842:Z847),"N/A")</f>
        <v>N/A</v>
      </c>
      <c r="AD844" s="424"/>
      <c r="AE844" s="423"/>
      <c r="AF844" s="423"/>
      <c r="AG844" s="423"/>
      <c r="AH844" s="423"/>
      <c r="AI844" s="423"/>
      <c r="AJ844" s="423"/>
      <c r="AK844" s="423"/>
      <c r="AL844" s="423"/>
      <c r="AM844" s="423"/>
      <c r="AN844" s="427"/>
    </row>
    <row r="845" ht="15" customHeight="1">
      <c r="A845" s="12"/>
      <c r="B845" s="428" cm="1">
        <f t="array" ref="B845">IF(B844=0,0,IF(B844&lt;VLOOKUP(C839,'Boats Data Sheet 2026'!$C$3:$H$57,6,0),B844+1,0))</f>
        <v>4</v>
      </c>
      <c r="C845" s="423" cm="1">
        <f t="array" ref="C845">_xlfn.IFERROR(IF(B845&gt;0,IF(VLOOKUP($C$839,'Boats Data Sheet 2026'!$C$3:$J$57,8,0)="N/A",0,VLOOKUP($C$839,'Boats Data Sheet 2026'!$C$3:$J$57,8,0)),"N/A")*100%,"N/A")</f>
        <v>32000000</v>
      </c>
      <c r="D845" s="429" cm="1">
        <f t="array" ref="D845">IF(B845&gt;7,2,IF(B845=0,"N/A",1))</f>
        <v>1</v>
      </c>
      <c r="E845" s="423" cm="1">
        <f t="array" ref="E845">_xlfn.IFERROR(SUM('Direct Costs 2026'!$C$4:$C$5)*D845,"N/A")</f>
        <v>875500</v>
      </c>
      <c r="F845" s="423" cm="1">
        <f t="array" ref="F845">_xlfn.IFERROR('Direct Costs 2026'!$C$43*B845,"N/A")</f>
        <v>24000</v>
      </c>
      <c r="G845" s="423" cm="1">
        <f t="array" ref="G845">IF(B845&gt;0,'Direct Costs 2026'!$C$25,"N/A")</f>
        <v>90000</v>
      </c>
      <c r="H845" s="423">
        <v>0</v>
      </c>
      <c r="I845" s="423">
        <v>0</v>
      </c>
      <c r="J845" s="423">
        <v>0</v>
      </c>
      <c r="K845" s="423">
        <v>0</v>
      </c>
      <c r="L845" s="423" cm="1">
        <f t="array" ref="L845">IF(B845&gt;0,'Direct Costs 2026'!$C$23,"N/A")</f>
        <v>140000</v>
      </c>
      <c r="M845" s="423" cm="1">
        <f t="array" ref="M845">IF(B845&gt;0,'Direct Costs 2026'!$C$45*B845,"N/A")</f>
        <v>600000</v>
      </c>
      <c r="N845" t="str" s="431" cm="1">
        <f t="array" ref="N845">IF(B845&gt;0,_xlfn.IFERROR(VLOOKUP(C839,'Boats Data Sheet 2026'!$C$3:$I$57,7,0)*'Direct Costs 2026'!$C$36,"N/A"),"N/A")</f>
        <v>N/A</v>
      </c>
      <c r="O845" s="423">
        <v>0</v>
      </c>
      <c r="P845" s="423">
        <v>0</v>
      </c>
      <c r="Q845" s="423" cm="1">
        <f t="array" ref="Q845">_xlfn.IFERROR(C845+SUM(E845:P845),"N/A")</f>
        <v>33729500</v>
      </c>
      <c r="R845" s="424"/>
      <c r="S845" s="423" cm="1">
        <f t="array" ref="S845">IF(B845&gt;0,'Allocation OH and Target 2026'!$E$31,"N/A")</f>
        <v>3100447.15769812</v>
      </c>
      <c r="T845" s="423">
        <v>0</v>
      </c>
      <c r="U845" s="423" cm="1">
        <f t="array" ref="U845">_xlfn.IFERROR((S845+T845),"N/A")</f>
        <v>3100447.15769812</v>
      </c>
      <c r="V845" s="424"/>
      <c r="W845" s="423" cm="1">
        <f t="array" ref="W845">_xlfn.IFERROR(U845+Q845,"N/A")</f>
        <v>36829947.1576981</v>
      </c>
      <c r="X845" s="423" cm="1">
        <f t="array" ref="X845">_xlfn.IFERROR(W845*0.5%,"N/A")</f>
        <v>184149.735788491</v>
      </c>
      <c r="Y845" s="423" cm="1">
        <f t="array" ref="Y845">_xlfn.IFERROR(W845*25%,"N/A")</f>
        <v>9207486.789424529</v>
      </c>
      <c r="Z845" s="425" cm="1">
        <f t="array" ref="Z845">IF(B845&gt;0,(SUM(W845:Y845)),"N/A")</f>
        <v>46221583.6829111</v>
      </c>
      <c r="AA845" s="425" cm="1">
        <f t="array" ref="AA845">_xlfn.IFERROR((Z845-Z844),"N/A")</f>
        <v>195780</v>
      </c>
      <c r="AB845" s="424"/>
      <c r="AC845" t="str" s="426" cm="1">
        <f t="array" ref="AC845">IF(B845=6,AVERAGE(Z842:Z847),"N/A")</f>
        <v>N/A</v>
      </c>
      <c r="AD845" s="424"/>
      <c r="AE845" s="423"/>
      <c r="AF845" s="423"/>
      <c r="AG845" s="423"/>
      <c r="AH845" s="423"/>
      <c r="AI845" s="423"/>
      <c r="AJ845" s="423"/>
      <c r="AK845" s="423"/>
      <c r="AL845" s="423"/>
      <c r="AM845" s="423"/>
      <c r="AN845" s="427"/>
    </row>
    <row r="846" ht="15" customHeight="1">
      <c r="A846" s="12"/>
      <c r="B846" s="428" cm="1">
        <f t="array" ref="B846">IF(B845=0,0,IF(B845&lt;VLOOKUP(C839,'Boats Data Sheet 2026'!$C$3:$H$57,6,0),B845+1,0))</f>
        <v>5</v>
      </c>
      <c r="C846" s="423" cm="1">
        <f t="array" ref="C846">_xlfn.IFERROR(IF(B846&gt;0,IF(VLOOKUP($C$839,'Boats Data Sheet 2026'!$C$3:$J$57,8,0)="N/A",0,VLOOKUP($C$839,'Boats Data Sheet 2026'!$C$3:$J$57,8,0)),"N/A")*100%,"N/A")</f>
        <v>32000000</v>
      </c>
      <c r="D846" s="429" cm="1">
        <f t="array" ref="D846">IF(B846&gt;7,2,IF(B846=0,"N/A",1))</f>
        <v>1</v>
      </c>
      <c r="E846" s="423" cm="1">
        <f t="array" ref="E846">_xlfn.IFERROR(SUM('Direct Costs 2026'!$C$4:$C$5)*D846,"N/A")</f>
        <v>875500</v>
      </c>
      <c r="F846" s="423" cm="1">
        <f t="array" ref="F846">_xlfn.IFERROR('Direct Costs 2026'!$C$43*B846,"N/A")</f>
        <v>30000</v>
      </c>
      <c r="G846" s="423" cm="1">
        <f t="array" ref="G846">IF(B846&gt;0,'Direct Costs 2026'!$C$25,"N/A")</f>
        <v>90000</v>
      </c>
      <c r="H846" s="423">
        <v>0</v>
      </c>
      <c r="I846" s="423">
        <v>0</v>
      </c>
      <c r="J846" s="423">
        <v>0</v>
      </c>
      <c r="K846" s="423">
        <v>0</v>
      </c>
      <c r="L846" s="423" cm="1">
        <f t="array" ref="L846">IF(B846&gt;0,'Direct Costs 2026'!$C$23,"N/A")</f>
        <v>140000</v>
      </c>
      <c r="M846" s="423" cm="1">
        <f t="array" ref="M846">IF(B846&gt;0,'Direct Costs 2026'!$C$45*B846,"N/A")</f>
        <v>750000</v>
      </c>
      <c r="N846" t="str" s="431" cm="1">
        <f t="array" ref="N846">IF(B846&gt;0,_xlfn.IFERROR(VLOOKUP(C839,'Boats Data Sheet 2026'!$C$3:$I$57,7,0)*'Direct Costs 2026'!$C$36,"N/A"),"N/A")</f>
        <v>N/A</v>
      </c>
      <c r="O846" s="423">
        <v>0</v>
      </c>
      <c r="P846" s="423">
        <v>0</v>
      </c>
      <c r="Q846" s="423" cm="1">
        <f t="array" ref="Q846">_xlfn.IFERROR(C846+SUM(E846:P846),"N/A")</f>
        <v>33885500</v>
      </c>
      <c r="R846" s="424"/>
      <c r="S846" s="423" cm="1">
        <f t="array" ref="S846">IF(B846&gt;0,'Allocation OH and Target 2026'!$E$31,"N/A")</f>
        <v>3100447.15769812</v>
      </c>
      <c r="T846" s="423">
        <v>0</v>
      </c>
      <c r="U846" s="423" cm="1">
        <f t="array" ref="U846">_xlfn.IFERROR((S846+T846),"N/A")</f>
        <v>3100447.15769812</v>
      </c>
      <c r="V846" s="424"/>
      <c r="W846" s="423" cm="1">
        <f t="array" ref="W846">_xlfn.IFERROR(U846+Q846,"N/A")</f>
        <v>36985947.1576981</v>
      </c>
      <c r="X846" s="423" cm="1">
        <f t="array" ref="X846">_xlfn.IFERROR(W846*0.5%,"N/A")</f>
        <v>184929.735788491</v>
      </c>
      <c r="Y846" s="423" cm="1">
        <f t="array" ref="Y846">_xlfn.IFERROR(W846*25%,"N/A")</f>
        <v>9246486.789424529</v>
      </c>
      <c r="Z846" s="425" cm="1">
        <f t="array" ref="Z846">IF(B846&gt;0,(SUM(W846:Y846)),"N/A")</f>
        <v>46417363.6829111</v>
      </c>
      <c r="AA846" s="425" cm="1">
        <f t="array" ref="AA846">_xlfn.IFERROR((Z846-Z845),"N/A")</f>
        <v>195780</v>
      </c>
      <c r="AB846" s="424"/>
      <c r="AC846" t="str" s="426" cm="1">
        <f t="array" ref="AC846">IF(B846=6,AVERAGE(Z842:Z847),"N/A")</f>
        <v>N/A</v>
      </c>
      <c r="AD846" s="424"/>
      <c r="AE846" s="423"/>
      <c r="AF846" s="423"/>
      <c r="AG846" s="423"/>
      <c r="AH846" s="423"/>
      <c r="AI846" s="423"/>
      <c r="AJ846" s="423"/>
      <c r="AK846" s="423"/>
      <c r="AL846" s="423"/>
      <c r="AM846" s="423"/>
      <c r="AN846" s="427"/>
    </row>
    <row r="847" ht="15" customHeight="1">
      <c r="A847" s="12"/>
      <c r="B847" s="428" cm="1">
        <f t="array" ref="B847">IF(B846=0,0,IF(B846&lt;VLOOKUP(C839,'Boats Data Sheet 2026'!$C$3:$H$57,6,0),B846+1,0))</f>
        <v>6</v>
      </c>
      <c r="C847" s="423" cm="1">
        <f t="array" ref="C847">_xlfn.IFERROR(IF(B847&gt;0,IF(VLOOKUP($C$839,'Boats Data Sheet 2026'!$C$3:$J$57,8,0)="N/A",0,VLOOKUP($C$839,'Boats Data Sheet 2026'!$C$3:$J$57,8,0)),"N/A")*100%,"N/A")</f>
        <v>32000000</v>
      </c>
      <c r="D847" s="429" cm="1">
        <f t="array" ref="D847">IF(B847&gt;7,2,IF(B847=0,"N/A",1))</f>
        <v>1</v>
      </c>
      <c r="E847" s="423" cm="1">
        <f t="array" ref="E847">_xlfn.IFERROR(SUM('Direct Costs 2026'!$C$4:$C$5)*D847,"N/A")</f>
        <v>875500</v>
      </c>
      <c r="F847" s="423" cm="1">
        <f t="array" ref="F847">_xlfn.IFERROR('Direct Costs 2026'!$C$43*B847,"N/A")</f>
        <v>36000</v>
      </c>
      <c r="G847" s="423" cm="1">
        <f t="array" ref="G847">IF(B847&gt;0,'Direct Costs 2026'!$C$25,"N/A")</f>
        <v>90000</v>
      </c>
      <c r="H847" s="423">
        <v>0</v>
      </c>
      <c r="I847" s="423">
        <v>0</v>
      </c>
      <c r="J847" s="423">
        <v>0</v>
      </c>
      <c r="K847" s="423">
        <v>0</v>
      </c>
      <c r="L847" s="423" cm="1">
        <f t="array" ref="L847">IF(B847&gt;0,'Direct Costs 2026'!$C$23,"N/A")</f>
        <v>140000</v>
      </c>
      <c r="M847" s="423" cm="1">
        <f t="array" ref="M847">IF(B847&gt;0,'Direct Costs 2026'!$C$45*B847,"N/A")</f>
        <v>900000</v>
      </c>
      <c r="N847" t="str" s="431" cm="1">
        <f t="array" ref="N847">IF(B847&gt;0,_xlfn.IFERROR(VLOOKUP(C839,'Boats Data Sheet 2026'!$C$3:$I$57,7,0)*'Direct Costs 2026'!$C$36,"N/A"),"N/A")</f>
        <v>N/A</v>
      </c>
      <c r="O847" s="423">
        <v>0</v>
      </c>
      <c r="P847" s="423">
        <v>0</v>
      </c>
      <c r="Q847" s="423" cm="1">
        <f t="array" ref="Q847">_xlfn.IFERROR(C847+SUM(E847:P847),"N/A")</f>
        <v>34041500</v>
      </c>
      <c r="R847" s="424"/>
      <c r="S847" s="423" cm="1">
        <f t="array" ref="S847">IF(B847&gt;0,'Allocation OH and Target 2026'!$E$31,"N/A")</f>
        <v>3100447.15769812</v>
      </c>
      <c r="T847" s="423">
        <v>0</v>
      </c>
      <c r="U847" s="423" cm="1">
        <f t="array" ref="U847">_xlfn.IFERROR((S847+T847),"N/A")</f>
        <v>3100447.15769812</v>
      </c>
      <c r="V847" s="424"/>
      <c r="W847" s="423" cm="1">
        <f t="array" ref="W847">_xlfn.IFERROR(U847+Q847,"N/A")</f>
        <v>37141947.1576981</v>
      </c>
      <c r="X847" s="423" cm="1">
        <f t="array" ref="X847">_xlfn.IFERROR(W847*0.5%,"N/A")</f>
        <v>185709.735788491</v>
      </c>
      <c r="Y847" s="423" cm="1">
        <f t="array" ref="Y847">_xlfn.IFERROR(W847*25%,"N/A")</f>
        <v>9285486.789424529</v>
      </c>
      <c r="Z847" s="425" cm="1">
        <f t="array" ref="Z847">IF(B847&gt;0,(SUM(W847:Y847)),"N/A")</f>
        <v>46613143.6829111</v>
      </c>
      <c r="AA847" s="425" cm="1">
        <f t="array" ref="AA847">_xlfn.IFERROR((Z847-Z846),"N/A")</f>
        <v>195780</v>
      </c>
      <c r="AB847" s="424"/>
      <c r="AC847" s="425" cm="1">
        <f t="array" ref="AC847">IF(B847=6,AVERAGE(Z842:Z847),"N/A")</f>
        <v>46123693.6829111</v>
      </c>
      <c r="AD847" s="424"/>
      <c r="AE847" s="423"/>
      <c r="AF847" s="423"/>
      <c r="AG847" s="423"/>
      <c r="AH847" s="423"/>
      <c r="AI847" s="423"/>
      <c r="AJ847" s="423"/>
      <c r="AK847" s="423"/>
      <c r="AL847" s="423"/>
      <c r="AM847" s="423"/>
      <c r="AN847" s="427"/>
    </row>
    <row r="848" ht="15" customHeight="1">
      <c r="A848" s="12"/>
      <c r="B848" s="428" cm="1">
        <f t="array" ref="B848">IF(B847=0,0,IF(B847&lt;VLOOKUP(C839,'Boats Data Sheet 2026'!$C$3:$H$57,6,0),B847+1,0))</f>
        <v>7</v>
      </c>
      <c r="C848" s="423" cm="1">
        <f t="array" ref="C848">_xlfn.IFERROR(IF(B848&gt;0,IF(VLOOKUP($C$839,'Boats Data Sheet 2026'!$C$3:$J$57,8,0)="N/A",0,VLOOKUP($C$839,'Boats Data Sheet 2026'!$C$3:$J$57,8,0)),"N/A")*100%,"N/A")</f>
        <v>32000000</v>
      </c>
      <c r="D848" s="429" cm="1">
        <f t="array" ref="D848">IF(B848&gt;7,2,IF(B848=0,"N/A",1))</f>
        <v>1</v>
      </c>
      <c r="E848" s="423" cm="1">
        <f t="array" ref="E848">_xlfn.IFERROR(SUM('Direct Costs 2026'!$C$4:$C$5)*D848,"N/A")</f>
        <v>875500</v>
      </c>
      <c r="F848" s="423" cm="1">
        <f t="array" ref="F848">_xlfn.IFERROR('Direct Costs 2026'!$C$43*B848,"N/A")</f>
        <v>42000</v>
      </c>
      <c r="G848" s="423" cm="1">
        <f t="array" ref="G848">IF(B848&gt;0,'Direct Costs 2026'!$C$25,"N/A")</f>
        <v>90000</v>
      </c>
      <c r="H848" s="423">
        <v>0</v>
      </c>
      <c r="I848" s="423">
        <v>0</v>
      </c>
      <c r="J848" s="423">
        <v>0</v>
      </c>
      <c r="K848" s="423">
        <v>0</v>
      </c>
      <c r="L848" s="423" cm="1">
        <f t="array" ref="L848">IF(B848&gt;0,'Direct Costs 2026'!$C$23,"N/A")</f>
        <v>140000</v>
      </c>
      <c r="M848" s="423" cm="1">
        <f t="array" ref="M848">IF(B848&gt;0,'Direct Costs 2026'!$C$45*B848,"N/A")</f>
        <v>1050000</v>
      </c>
      <c r="N848" t="str" s="431" cm="1">
        <f t="array" ref="N848">IF(B848&gt;0,_xlfn.IFERROR(VLOOKUP(C839,'Boats Data Sheet 2026'!$C$3:$I$57,7,0)*'Direct Costs 2026'!$C$36,"N/A"),"N/A")</f>
        <v>N/A</v>
      </c>
      <c r="O848" s="423">
        <v>0</v>
      </c>
      <c r="P848" s="423">
        <v>0</v>
      </c>
      <c r="Q848" s="423" cm="1">
        <f t="array" ref="Q848">_xlfn.IFERROR(C848+SUM(E848:P848),"N/A")</f>
        <v>34197500</v>
      </c>
      <c r="R848" s="424"/>
      <c r="S848" s="423" cm="1">
        <f t="array" ref="S848">IF(B848&gt;0,'Allocation OH and Target 2026'!$E$31,"N/A")</f>
        <v>3100447.15769812</v>
      </c>
      <c r="T848" s="423">
        <v>0</v>
      </c>
      <c r="U848" s="423" cm="1">
        <f t="array" ref="U848">_xlfn.IFERROR((S848+T848),"N/A")</f>
        <v>3100447.15769812</v>
      </c>
      <c r="V848" s="424"/>
      <c r="W848" s="423" cm="1">
        <f t="array" ref="W848">_xlfn.IFERROR(U848+Q848,"N/A")</f>
        <v>37297947.1576981</v>
      </c>
      <c r="X848" s="423" cm="1">
        <f t="array" ref="X848">_xlfn.IFERROR(W848*0.5%,"N/A")</f>
        <v>186489.735788491</v>
      </c>
      <c r="Y848" s="423" cm="1">
        <f t="array" ref="Y848">_xlfn.IFERROR(W848*25%,"N/A")</f>
        <v>9324486.789424529</v>
      </c>
      <c r="Z848" s="425" cm="1">
        <f t="array" ref="Z848">IF(B848&gt;0,(SUM(W848:Y848)),"N/A")</f>
        <v>46808923.6829111</v>
      </c>
      <c r="AA848" s="425" cm="1">
        <f t="array" ref="AA848">_xlfn.IFERROR((Z848-Z847),"N/A")</f>
        <v>195780</v>
      </c>
      <c r="AB848" s="424"/>
      <c r="AC848" t="str" s="426" cm="1">
        <f t="array" ref="AC848">IF(B848=6,AVERAGE(Z842:Z847),"N/A")</f>
        <v>N/A</v>
      </c>
      <c r="AD848" s="424"/>
      <c r="AE848" s="423"/>
      <c r="AF848" s="423"/>
      <c r="AG848" s="423"/>
      <c r="AH848" s="423"/>
      <c r="AI848" s="423"/>
      <c r="AJ848" s="423"/>
      <c r="AK848" s="423"/>
      <c r="AL848" s="423"/>
      <c r="AM848" s="423"/>
      <c r="AN848" s="427"/>
    </row>
    <row r="849" ht="15" customHeight="1">
      <c r="A849" s="12"/>
      <c r="B849" s="428" cm="1">
        <f t="array" ref="B849">IF(B848=0,0,IF(B848&lt;VLOOKUP(C839,'Boats Data Sheet 2026'!$C$3:$H$57,6,0),B848+1,0))</f>
        <v>8</v>
      </c>
      <c r="C849" s="423" cm="1">
        <f t="array" ref="C849">_xlfn.IFERROR(IF(B849&gt;0,IF(VLOOKUP($C$839,'Boats Data Sheet 2026'!$C$3:$J$57,8,0)="N/A",0,VLOOKUP($C$839,'Boats Data Sheet 2026'!$C$3:$J$57,8,0)),"N/A")*100%,"N/A")</f>
        <v>32000000</v>
      </c>
      <c r="D849" s="429" cm="1">
        <f t="array" ref="D849">IF(B849&gt;7,2,IF(B849=0,"N/A",1))</f>
        <v>2</v>
      </c>
      <c r="E849" s="423" cm="1">
        <f t="array" ref="E849">_xlfn.IFERROR(SUM('Direct Costs 2026'!$C$4:$C$5)*D849,"N/A")</f>
        <v>1751000</v>
      </c>
      <c r="F849" s="423" cm="1">
        <f t="array" ref="F849">_xlfn.IFERROR('Direct Costs 2026'!$C$43*B849,"N/A")</f>
        <v>48000</v>
      </c>
      <c r="G849" s="423" cm="1">
        <f t="array" ref="G849">IF(B849&gt;0,'Direct Costs 2026'!$C$25,"N/A")</f>
        <v>90000</v>
      </c>
      <c r="H849" s="423">
        <v>0</v>
      </c>
      <c r="I849" s="423">
        <v>0</v>
      </c>
      <c r="J849" s="423">
        <v>0</v>
      </c>
      <c r="K849" s="423">
        <v>0</v>
      </c>
      <c r="L849" s="423" cm="1">
        <f t="array" ref="L849">IF(B849&gt;0,'Direct Costs 2026'!$C$23,"N/A")</f>
        <v>140000</v>
      </c>
      <c r="M849" s="423" cm="1">
        <f t="array" ref="M849">IF(B849&gt;0,'Direct Costs 2026'!$C$45*B849,"N/A")</f>
        <v>1200000</v>
      </c>
      <c r="N849" t="str" s="431" cm="1">
        <f t="array" ref="N849">IF(B849&gt;0,_xlfn.IFERROR(VLOOKUP(C839,'Boats Data Sheet 2026'!$C$3:$I$57,7,0)*'Direct Costs 2026'!$C$36,"N/A"),"N/A")</f>
        <v>N/A</v>
      </c>
      <c r="O849" s="423">
        <v>0</v>
      </c>
      <c r="P849" s="423">
        <v>0</v>
      </c>
      <c r="Q849" s="423" cm="1">
        <f t="array" ref="Q849">_xlfn.IFERROR(C849+SUM(E849:P849),"N/A")</f>
        <v>35229000</v>
      </c>
      <c r="R849" s="424"/>
      <c r="S849" s="423" cm="1">
        <f t="array" ref="S849">IF(B849&gt;0,'Allocation OH and Target 2026'!$E$31,"N/A")</f>
        <v>3100447.15769812</v>
      </c>
      <c r="T849" s="423">
        <v>0</v>
      </c>
      <c r="U849" s="423" cm="1">
        <f t="array" ref="U849">_xlfn.IFERROR((S849+T849),"N/A")</f>
        <v>3100447.15769812</v>
      </c>
      <c r="V849" s="424"/>
      <c r="W849" s="423" cm="1">
        <f t="array" ref="W849">_xlfn.IFERROR(U849+Q849,"N/A")</f>
        <v>38329447.1576981</v>
      </c>
      <c r="X849" s="423" cm="1">
        <f t="array" ref="X849">_xlfn.IFERROR(W849*0.5%,"N/A")</f>
        <v>191647.235788491</v>
      </c>
      <c r="Y849" s="423" cm="1">
        <f t="array" ref="Y849">_xlfn.IFERROR(W849*25%,"N/A")</f>
        <v>9582361.789424529</v>
      </c>
      <c r="Z849" s="425" cm="1">
        <f t="array" ref="Z849">IF(B849&gt;0,(SUM(W849:Y849)),"N/A")</f>
        <v>48103456.1829111</v>
      </c>
      <c r="AA849" s="425" cm="1">
        <f t="array" ref="AA849">_xlfn.IFERROR((Z849-Z848),"N/A")</f>
        <v>1294532.5</v>
      </c>
      <c r="AB849" s="424"/>
      <c r="AC849" t="str" s="426" cm="1">
        <f t="array" ref="AC849">IF(B849=6,AVERAGE(Z842:Z847),"N/A")</f>
        <v>N/A</v>
      </c>
      <c r="AD849" s="424"/>
      <c r="AE849" s="423"/>
      <c r="AF849" s="423"/>
      <c r="AG849" s="423"/>
      <c r="AH849" s="423"/>
      <c r="AI849" s="423"/>
      <c r="AJ849" s="423"/>
      <c r="AK849" s="423"/>
      <c r="AL849" s="423"/>
      <c r="AM849" s="423"/>
      <c r="AN849" s="427"/>
    </row>
    <row r="850" ht="15" customHeight="1">
      <c r="A850" s="12"/>
      <c r="B850" s="428" cm="1">
        <f t="array" ref="B850">IF(B849=0,0,IF(B849&lt;VLOOKUP(C839,'Boats Data Sheet 2026'!$C$3:$H$57,6,0),B849+1,0))</f>
        <v>9</v>
      </c>
      <c r="C850" s="423" cm="1">
        <f t="array" ref="C850">_xlfn.IFERROR(IF(B850&gt;0,IF(VLOOKUP($C$839,'Boats Data Sheet 2026'!$C$3:$J$57,8,0)="N/A",0,VLOOKUP($C$839,'Boats Data Sheet 2026'!$C$3:$J$57,8,0)),"N/A")*100%,"N/A")</f>
        <v>32000000</v>
      </c>
      <c r="D850" s="430" cm="1">
        <f t="array" ref="D850">IF(B850&gt;7,2,IF(B850=0,"N/A",1))</f>
        <v>2</v>
      </c>
      <c r="E850" s="423" cm="1">
        <f t="array" ref="E850">_xlfn.IFERROR(SUM('Direct Costs 2026'!$C$4:$C$5)*D850,"N/A")</f>
        <v>1751000</v>
      </c>
      <c r="F850" s="423" cm="1">
        <f t="array" ref="F850">_xlfn.IFERROR('Direct Costs 2026'!$C$43*B850,"N/A")</f>
        <v>54000</v>
      </c>
      <c r="G850" s="423" cm="1">
        <f t="array" ref="G850">IF(B850&gt;0,'Direct Costs 2026'!$C$25,"N/A")</f>
        <v>90000</v>
      </c>
      <c r="H850" s="423">
        <v>0</v>
      </c>
      <c r="I850" s="423">
        <v>0</v>
      </c>
      <c r="J850" s="423">
        <v>0</v>
      </c>
      <c r="K850" s="423">
        <v>0</v>
      </c>
      <c r="L850" s="423" cm="1">
        <f t="array" ref="L850">IF(B850&gt;0,'Direct Costs 2026'!$C$23,"N/A")</f>
        <v>140000</v>
      </c>
      <c r="M850" s="423" cm="1">
        <f t="array" ref="M850">IF(B850&gt;0,'Direct Costs 2026'!$C$45*B850,"N/A")</f>
        <v>1350000</v>
      </c>
      <c r="N850" t="str" s="431" cm="1">
        <f t="array" ref="N850">IF(B850&gt;0,_xlfn.IFERROR(VLOOKUP(C839,'Boats Data Sheet 2026'!$C$3:$I$57,7,0)*'Direct Costs 2026'!$C$36,"N/A"),"N/A")</f>
        <v>N/A</v>
      </c>
      <c r="O850" s="423">
        <v>0</v>
      </c>
      <c r="P850" s="423">
        <v>0</v>
      </c>
      <c r="Q850" s="423" cm="1">
        <f t="array" ref="Q850">_xlfn.IFERROR(C850+SUM(E850:P850),"N/A")</f>
        <v>35385000</v>
      </c>
      <c r="R850" s="424"/>
      <c r="S850" s="423" cm="1">
        <f t="array" ref="S850">IF(B850&gt;0,'Allocation OH and Target 2026'!$E$31,"N/A")</f>
        <v>3100447.15769812</v>
      </c>
      <c r="T850" s="423">
        <v>0</v>
      </c>
      <c r="U850" s="423" cm="1">
        <f t="array" ref="U850">_xlfn.IFERROR((S850+T850),"N/A")</f>
        <v>3100447.15769812</v>
      </c>
      <c r="V850" s="424"/>
      <c r="W850" s="423" cm="1">
        <f t="array" ref="W850">_xlfn.IFERROR(U850+Q850,"N/A")</f>
        <v>38485447.1576981</v>
      </c>
      <c r="X850" s="423" cm="1">
        <f t="array" ref="X850">_xlfn.IFERROR(W850*0.5%,"N/A")</f>
        <v>192427.235788491</v>
      </c>
      <c r="Y850" s="423" cm="1">
        <f t="array" ref="Y850">_xlfn.IFERROR(W850*25%,"N/A")</f>
        <v>9621361.789424529</v>
      </c>
      <c r="Z850" s="425" cm="1">
        <f t="array" ref="Z850">IF(B850&gt;0,(SUM(W850:Y850)),"N/A")</f>
        <v>48299236.1829111</v>
      </c>
      <c r="AA850" s="425" cm="1">
        <f t="array" ref="AA850">_xlfn.IFERROR((Z850-Z849),"N/A")</f>
        <v>195780</v>
      </c>
      <c r="AB850" s="424"/>
      <c r="AC850" t="str" s="426" cm="1">
        <f t="array" ref="AC850">IF(B850=6,AVERAGE(Z842:Z847),"N/A")</f>
        <v>N/A</v>
      </c>
      <c r="AD850" s="424"/>
      <c r="AE850" s="423"/>
      <c r="AF850" s="423"/>
      <c r="AG850" s="423"/>
      <c r="AH850" s="423"/>
      <c r="AI850" s="423"/>
      <c r="AJ850" s="423"/>
      <c r="AK850" s="423"/>
      <c r="AL850" s="423"/>
      <c r="AM850" s="423"/>
      <c r="AN850" s="427"/>
    </row>
    <row r="851" ht="15" customHeight="1">
      <c r="A851" s="12"/>
      <c r="B851" s="428" cm="1">
        <f t="array" ref="B851">IF(B850=0,0,IF(B850&lt;VLOOKUP(C839,'Boats Data Sheet 2026'!$C$3:$H$57,6,0),B850+1,0))</f>
        <v>10</v>
      </c>
      <c r="C851" s="423" cm="1">
        <f t="array" ref="C851">_xlfn.IFERROR(IF(B851&gt;0,IF(VLOOKUP($C$839,'Boats Data Sheet 2026'!$C$3:$J$57,8,0)="N/A",0,VLOOKUP($C$839,'Boats Data Sheet 2026'!$C$3:$J$57,8,0)),"N/A")*100%,"N/A")</f>
        <v>32000000</v>
      </c>
      <c r="D851" s="430" cm="1">
        <f t="array" ref="D851">IF(B851&gt;7,2,IF(B851=0,"N/A",1))</f>
        <v>2</v>
      </c>
      <c r="E851" s="423" cm="1">
        <f t="array" ref="E851">_xlfn.IFERROR(SUM('Direct Costs 2026'!$C$4:$C$5)*D851,"N/A")</f>
        <v>1751000</v>
      </c>
      <c r="F851" s="423" cm="1">
        <f t="array" ref="F851">_xlfn.IFERROR('Direct Costs 2026'!$C$43*B851,"N/A")</f>
        <v>60000</v>
      </c>
      <c r="G851" s="423" cm="1">
        <f t="array" ref="G851">IF(B851&gt;0,'Direct Costs 2026'!$C$25,"N/A")</f>
        <v>90000</v>
      </c>
      <c r="H851" s="423">
        <v>0</v>
      </c>
      <c r="I851" s="423">
        <v>0</v>
      </c>
      <c r="J851" s="423">
        <v>0</v>
      </c>
      <c r="K851" s="423">
        <v>0</v>
      </c>
      <c r="L851" s="423" cm="1">
        <f t="array" ref="L851">IF(B851&gt;0,'Direct Costs 2026'!$C$23,"N/A")</f>
        <v>140000</v>
      </c>
      <c r="M851" s="423" cm="1">
        <f t="array" ref="M851">IF(B851&gt;0,'Direct Costs 2026'!$C$45*B851,"N/A")</f>
        <v>1500000</v>
      </c>
      <c r="N851" t="str" s="431" cm="1">
        <f t="array" ref="N851">IF(B851&gt;0,_xlfn.IFERROR(VLOOKUP(C839,'Boats Data Sheet 2026'!$C$3:$I$57,7,0)*'Direct Costs 2026'!$C$36,"N/A"),"N/A")</f>
        <v>N/A</v>
      </c>
      <c r="O851" s="423">
        <v>0</v>
      </c>
      <c r="P851" s="423">
        <v>0</v>
      </c>
      <c r="Q851" s="423" cm="1">
        <f t="array" ref="Q851">_xlfn.IFERROR(C851+SUM(E851:P851),"N/A")</f>
        <v>35541000</v>
      </c>
      <c r="R851" s="424"/>
      <c r="S851" s="423" cm="1">
        <f t="array" ref="S851">IF(B851&gt;0,'Allocation OH and Target 2026'!$E$31,"N/A")</f>
        <v>3100447.15769812</v>
      </c>
      <c r="T851" s="423">
        <v>0</v>
      </c>
      <c r="U851" s="423" cm="1">
        <f t="array" ref="U851">_xlfn.IFERROR((S851+T851),"N/A")</f>
        <v>3100447.15769812</v>
      </c>
      <c r="V851" s="424"/>
      <c r="W851" s="423" cm="1">
        <f t="array" ref="W851">_xlfn.IFERROR(U851+Q851,"N/A")</f>
        <v>38641447.1576981</v>
      </c>
      <c r="X851" s="423" cm="1">
        <f t="array" ref="X851">_xlfn.IFERROR(W851*0.5%,"N/A")</f>
        <v>193207.235788491</v>
      </c>
      <c r="Y851" s="423" cm="1">
        <f t="array" ref="Y851">_xlfn.IFERROR(W851*25%,"N/A")</f>
        <v>9660361.789424529</v>
      </c>
      <c r="Z851" s="425" cm="1">
        <f t="array" ref="Z851">IF(B851&gt;0,(SUM(W851:Y851)),"N/A")</f>
        <v>48495016.1829111</v>
      </c>
      <c r="AA851" s="425" cm="1">
        <f t="array" ref="AA851">_xlfn.IFERROR((Z851-Z850),"N/A")</f>
        <v>195780</v>
      </c>
      <c r="AB851" s="424"/>
      <c r="AC851" t="str" s="426" cm="1">
        <f t="array" ref="AC851">IF(B851=6,AVERAGE(Z842:Z847),"N/A")</f>
        <v>N/A</v>
      </c>
      <c r="AD851" s="424"/>
      <c r="AE851" s="423"/>
      <c r="AF851" s="423"/>
      <c r="AG851" s="423"/>
      <c r="AH851" s="423"/>
      <c r="AI851" s="423"/>
      <c r="AJ851" s="423"/>
      <c r="AK851" s="423"/>
      <c r="AL851" s="423"/>
      <c r="AM851" s="423"/>
      <c r="AN851" s="427"/>
    </row>
    <row r="852" ht="15" customHeight="1">
      <c r="A852" s="12"/>
      <c r="B852" s="428" cm="1">
        <f t="array" ref="B852">IF(B851=0,0,IF(B851&lt;VLOOKUP(C839,'Boats Data Sheet 2026'!$C$3:$H$57,6,0),B851+1,0))</f>
        <v>11</v>
      </c>
      <c r="C852" s="423" cm="1">
        <f t="array" ref="C852">_xlfn.IFERROR(IF(B852&gt;0,IF(VLOOKUP($C$839,'Boats Data Sheet 2026'!$C$3:$J$57,8,0)="N/A",0,VLOOKUP($C$839,'Boats Data Sheet 2026'!$C$3:$J$57,8,0)),"N/A")*100%,"N/A")</f>
        <v>32000000</v>
      </c>
      <c r="D852" s="430" cm="1">
        <f t="array" ref="D852">IF(B852&gt;7,2,IF(B852=0,"N/A",1))</f>
        <v>2</v>
      </c>
      <c r="E852" s="423" cm="1">
        <f t="array" ref="E852">_xlfn.IFERROR(SUM('Direct Costs 2026'!$C$4:$C$5)*D852,"N/A")</f>
        <v>1751000</v>
      </c>
      <c r="F852" s="423" cm="1">
        <f t="array" ref="F852">_xlfn.IFERROR('Direct Costs 2026'!$C$43*B852,"N/A")</f>
        <v>66000</v>
      </c>
      <c r="G852" s="423" cm="1">
        <f t="array" ref="G852">IF(B852&gt;0,'Direct Costs 2026'!$C$25,"N/A")</f>
        <v>90000</v>
      </c>
      <c r="H852" s="423">
        <v>0</v>
      </c>
      <c r="I852" s="423">
        <v>0</v>
      </c>
      <c r="J852" s="423">
        <v>0</v>
      </c>
      <c r="K852" s="423">
        <v>0</v>
      </c>
      <c r="L852" s="423" cm="1">
        <f t="array" ref="L852">IF(B852&gt;0,'Direct Costs 2026'!$C$23,"N/A")</f>
        <v>140000</v>
      </c>
      <c r="M852" s="423" cm="1">
        <f t="array" ref="M852">IF(B852&gt;0,'Direct Costs 2026'!$C$45*B852,"N/A")</f>
        <v>1650000</v>
      </c>
      <c r="N852" t="str" s="431" cm="1">
        <f t="array" ref="N852">IF(B852&gt;0,_xlfn.IFERROR(VLOOKUP(C839,'Boats Data Sheet 2026'!$C$3:$I$57,7,0)*'Direct Costs 2026'!$C$36,"N/A"),"N/A")</f>
        <v>N/A</v>
      </c>
      <c r="O852" s="423">
        <v>0</v>
      </c>
      <c r="P852" s="423">
        <v>0</v>
      </c>
      <c r="Q852" s="423" cm="1">
        <f t="array" ref="Q852">_xlfn.IFERROR(C852+SUM(E852:P852),"N/A")</f>
        <v>35697000</v>
      </c>
      <c r="R852" s="424"/>
      <c r="S852" s="423" cm="1">
        <f t="array" ref="S852">IF(B852&gt;0,'Allocation OH and Target 2026'!$E$31,"N/A")</f>
        <v>3100447.15769812</v>
      </c>
      <c r="T852" s="423">
        <v>0</v>
      </c>
      <c r="U852" s="423" cm="1">
        <f t="array" ref="U852">_xlfn.IFERROR((S852+T852),"N/A")</f>
        <v>3100447.15769812</v>
      </c>
      <c r="V852" s="424"/>
      <c r="W852" s="423" cm="1">
        <f t="array" ref="W852">_xlfn.IFERROR(U852+Q852,"N/A")</f>
        <v>38797447.1576981</v>
      </c>
      <c r="X852" s="423" cm="1">
        <f t="array" ref="X852">_xlfn.IFERROR(W852*0.5%,"N/A")</f>
        <v>193987.235788491</v>
      </c>
      <c r="Y852" s="423" cm="1">
        <f t="array" ref="Y852">_xlfn.IFERROR(W852*25%,"N/A")</f>
        <v>9699361.789424529</v>
      </c>
      <c r="Z852" s="425" cm="1">
        <f t="array" ref="Z852">IF(B852&gt;0,(SUM(W852:Y852)),"N/A")</f>
        <v>48690796.1829111</v>
      </c>
      <c r="AA852" s="425" cm="1">
        <f t="array" ref="AA852">_xlfn.IFERROR((Z852-Z851),"N/A")</f>
        <v>195780</v>
      </c>
      <c r="AB852" s="424"/>
      <c r="AC852" t="str" s="426" cm="1">
        <f t="array" ref="AC852">IF(B852=6,AVERAGE(Z842:Z847),"N/A")</f>
        <v>N/A</v>
      </c>
      <c r="AD852" s="424"/>
      <c r="AE852" s="423"/>
      <c r="AF852" s="423"/>
      <c r="AG852" s="423"/>
      <c r="AH852" s="423"/>
      <c r="AI852" s="423"/>
      <c r="AJ852" s="423"/>
      <c r="AK852" s="423"/>
      <c r="AL852" s="423"/>
      <c r="AM852" s="423"/>
      <c r="AN852" s="427"/>
    </row>
    <row r="853" ht="15" customHeight="1">
      <c r="A853" s="12"/>
      <c r="B853" s="428" cm="1">
        <f t="array" ref="B853">IF(B852=0,0,IF(B852&lt;VLOOKUP(C839,'Boats Data Sheet 2026'!$C$3:$H$57,6,0),B852+1,0))</f>
        <v>12</v>
      </c>
      <c r="C853" s="423" cm="1">
        <f t="array" ref="C853">_xlfn.IFERROR(IF(B853&gt;0,IF(VLOOKUP($C$839,'Boats Data Sheet 2026'!$C$3:$J$57,8,0)="N/A",0,VLOOKUP($C$839,'Boats Data Sheet 2026'!$C$3:$J$57,8,0)),"N/A")*100%,"N/A")</f>
        <v>32000000</v>
      </c>
      <c r="D853" s="430" cm="1">
        <f t="array" ref="D853">IF(B853&gt;7,2,IF(B853=0,"N/A",1))</f>
        <v>2</v>
      </c>
      <c r="E853" s="423" cm="1">
        <f t="array" ref="E853">_xlfn.IFERROR(SUM('Direct Costs 2026'!$C$4:$C$5)*D853,"N/A")</f>
        <v>1751000</v>
      </c>
      <c r="F853" s="423" cm="1">
        <f t="array" ref="F853">_xlfn.IFERROR('Direct Costs 2026'!$C$43*B853,"N/A")</f>
        <v>72000</v>
      </c>
      <c r="G853" s="423" cm="1">
        <f t="array" ref="G853">IF(B853&gt;0,'Direct Costs 2026'!$C$25,"N/A")</f>
        <v>90000</v>
      </c>
      <c r="H853" s="423">
        <v>0</v>
      </c>
      <c r="I853" s="423">
        <v>0</v>
      </c>
      <c r="J853" s="423">
        <v>0</v>
      </c>
      <c r="K853" s="423">
        <v>0</v>
      </c>
      <c r="L853" s="423" cm="1">
        <f t="array" ref="L853">IF(B853&gt;0,'Direct Costs 2026'!$C$23,"N/A")</f>
        <v>140000</v>
      </c>
      <c r="M853" s="423" cm="1">
        <f t="array" ref="M853">IF(B853&gt;0,'Direct Costs 2026'!$C$45*B853,"N/A")</f>
        <v>1800000</v>
      </c>
      <c r="N853" t="str" s="431" cm="1">
        <f t="array" ref="N853">IF(B853&gt;0,_xlfn.IFERROR(VLOOKUP(C839,'Boats Data Sheet 2026'!$C$3:$I$57,7,0)*'Direct Costs 2026'!$C$36,"N/A"),"N/A")</f>
        <v>N/A</v>
      </c>
      <c r="O853" s="423">
        <v>0</v>
      </c>
      <c r="P853" s="423">
        <v>0</v>
      </c>
      <c r="Q853" s="423" cm="1">
        <f t="array" ref="Q853">_xlfn.IFERROR(C853+SUM(E853:P853),"N/A")</f>
        <v>35853000</v>
      </c>
      <c r="R853" s="424"/>
      <c r="S853" s="423" cm="1">
        <f t="array" ref="S853">IF(B853&gt;0,'Allocation OH and Target 2026'!$E$31,"N/A")</f>
        <v>3100447.15769812</v>
      </c>
      <c r="T853" s="423">
        <v>0</v>
      </c>
      <c r="U853" s="423" cm="1">
        <f t="array" ref="U853">_xlfn.IFERROR((S853+T853),"N/A")</f>
        <v>3100447.15769812</v>
      </c>
      <c r="V853" s="424"/>
      <c r="W853" s="423" cm="1">
        <f t="array" ref="W853">_xlfn.IFERROR(U853+Q853,"N/A")</f>
        <v>38953447.1576981</v>
      </c>
      <c r="X853" s="423" cm="1">
        <f t="array" ref="X853">_xlfn.IFERROR(W853*0.5%,"N/A")</f>
        <v>194767.235788491</v>
      </c>
      <c r="Y853" s="423" cm="1">
        <f t="array" ref="Y853">_xlfn.IFERROR(W853*25%,"N/A")</f>
        <v>9738361.789424529</v>
      </c>
      <c r="Z853" s="425" cm="1">
        <f t="array" ref="Z853">IF(B853&gt;0,(SUM(W853:Y853)),"N/A")</f>
        <v>48886576.1829111</v>
      </c>
      <c r="AA853" s="425" cm="1">
        <f t="array" ref="AA853">_xlfn.IFERROR((Z853-Z852),"N/A")</f>
        <v>195780</v>
      </c>
      <c r="AB853" s="424"/>
      <c r="AC853" t="str" s="426" cm="1">
        <f t="array" ref="AC853">IF(B853=6,AVERAGE(Z842:Z847),"N/A")</f>
        <v>N/A</v>
      </c>
      <c r="AD853" s="424"/>
      <c r="AE853" s="423"/>
      <c r="AF853" s="423"/>
      <c r="AG853" s="423"/>
      <c r="AH853" s="423"/>
      <c r="AI853" s="423"/>
      <c r="AJ853" s="423"/>
      <c r="AK853" s="423"/>
      <c r="AL853" s="423"/>
      <c r="AM853" s="423"/>
      <c r="AN853" s="427"/>
    </row>
    <row r="854" ht="15" customHeight="1">
      <c r="A854" s="12"/>
      <c r="B854" s="428" cm="1">
        <f t="array" ref="B854">IF(B853=0,0,IF(B853&lt;VLOOKUP(C839,'Boats Data Sheet 2026'!$C$3:$H$57,6,0),B853+1,0))</f>
        <v>13</v>
      </c>
      <c r="C854" s="423" cm="1">
        <f t="array" ref="C854">_xlfn.IFERROR(IF(B854&gt;0,IF(VLOOKUP($C$839,'Boats Data Sheet 2026'!$C$3:$J$57,8,0)="N/A",0,VLOOKUP($C$839,'Boats Data Sheet 2026'!$C$3:$J$57,8,0)),"N/A")*100%,"N/A")</f>
        <v>32000000</v>
      </c>
      <c r="D854" s="430" cm="1">
        <f t="array" ref="D854">IF(B854&gt;7,2,IF(B854=0,"N/A",1))</f>
        <v>2</v>
      </c>
      <c r="E854" s="423" cm="1">
        <f t="array" ref="E854">_xlfn.IFERROR(SUM('Direct Costs 2026'!$C$4:$C$5)*D854,"N/A")</f>
        <v>1751000</v>
      </c>
      <c r="F854" s="423" cm="1">
        <f t="array" ref="F854">_xlfn.IFERROR('Direct Costs 2026'!$C$43*B854,"N/A")</f>
        <v>78000</v>
      </c>
      <c r="G854" s="423" cm="1">
        <f t="array" ref="G854">IF(B854&gt;0,'Direct Costs 2026'!$C$25,"N/A")</f>
        <v>90000</v>
      </c>
      <c r="H854" s="423">
        <v>0</v>
      </c>
      <c r="I854" s="423">
        <v>0</v>
      </c>
      <c r="J854" s="423">
        <v>0</v>
      </c>
      <c r="K854" s="423">
        <v>0</v>
      </c>
      <c r="L854" s="423" cm="1">
        <f t="array" ref="L854">IF(B854&gt;0,'Direct Costs 2026'!$C$23,"N/A")</f>
        <v>140000</v>
      </c>
      <c r="M854" s="423" cm="1">
        <f t="array" ref="M854">IF(B854&gt;0,'Direct Costs 2026'!$C$45*B854,"N/A")</f>
        <v>1950000</v>
      </c>
      <c r="N854" t="str" s="431" cm="1">
        <f t="array" ref="N854">IF(B854&gt;0,_xlfn.IFERROR(VLOOKUP(C839,'Boats Data Sheet 2026'!$C$3:$I$57,7,0)*'Direct Costs 2026'!$C$36,"N/A"),"N/A")</f>
        <v>N/A</v>
      </c>
      <c r="O854" s="423">
        <v>0</v>
      </c>
      <c r="P854" s="423">
        <v>0</v>
      </c>
      <c r="Q854" s="423" cm="1">
        <f t="array" ref="Q854">_xlfn.IFERROR(C854+SUM(E854:P854),"N/A")</f>
        <v>36009000</v>
      </c>
      <c r="R854" s="424"/>
      <c r="S854" s="423" cm="1">
        <f t="array" ref="S854">IF(B854&gt;0,'Allocation OH and Target 2026'!$E$31,"N/A")</f>
        <v>3100447.15769812</v>
      </c>
      <c r="T854" s="423">
        <v>0</v>
      </c>
      <c r="U854" s="423" cm="1">
        <f t="array" ref="U854">_xlfn.IFERROR((S854+T854),"N/A")</f>
        <v>3100447.15769812</v>
      </c>
      <c r="V854" s="424"/>
      <c r="W854" s="423" cm="1">
        <f t="array" ref="W854">_xlfn.IFERROR(U854+Q854,"N/A")</f>
        <v>39109447.1576981</v>
      </c>
      <c r="X854" s="423" cm="1">
        <f t="array" ref="X854">_xlfn.IFERROR(W854*0.5%,"N/A")</f>
        <v>195547.235788491</v>
      </c>
      <c r="Y854" s="423" cm="1">
        <f t="array" ref="Y854">_xlfn.IFERROR(W854*25%,"N/A")</f>
        <v>9777361.789424529</v>
      </c>
      <c r="Z854" s="425" cm="1">
        <f t="array" ref="Z854">IF(B854&gt;0,(SUM(W854:Y854)),"N/A")</f>
        <v>49082356.1829111</v>
      </c>
      <c r="AA854" s="425" cm="1">
        <f t="array" ref="AA854">_xlfn.IFERROR((Z854-Z853),"N/A")</f>
        <v>195780</v>
      </c>
      <c r="AB854" s="424"/>
      <c r="AC854" t="str" s="426" cm="1">
        <f t="array" ref="AC854">IF(B854=6,AVERAGE(Z842:Z847),"N/A")</f>
        <v>N/A</v>
      </c>
      <c r="AD854" s="424"/>
      <c r="AE854" s="423"/>
      <c r="AF854" s="423"/>
      <c r="AG854" s="423"/>
      <c r="AH854" s="423"/>
      <c r="AI854" s="423"/>
      <c r="AJ854" s="423"/>
      <c r="AK854" s="423"/>
      <c r="AL854" s="423"/>
      <c r="AM854" s="423"/>
      <c r="AN854" s="427"/>
    </row>
    <row r="855" ht="15" customHeight="1">
      <c r="A855" s="12"/>
      <c r="B855" s="428" cm="1">
        <f t="array" ref="B855">IF(B854=0,0,IF(B854&lt;VLOOKUP(C839,'Boats Data Sheet 2026'!$C$3:$H$57,6,0),B854+1,0))</f>
        <v>14</v>
      </c>
      <c r="C855" s="423" cm="1">
        <f t="array" ref="C855">_xlfn.IFERROR(IF(B855&gt;0,IF(VLOOKUP($C$839,'Boats Data Sheet 2026'!$C$3:$J$57,8,0)="N/A",0,VLOOKUP($C$839,'Boats Data Sheet 2026'!$C$3:$J$57,8,0)),"N/A")*100%,"N/A")</f>
        <v>32000000</v>
      </c>
      <c r="D855" s="430" cm="1">
        <f t="array" ref="D855">IF(B855&gt;7,2,IF(B855=0,"N/A",1))</f>
        <v>2</v>
      </c>
      <c r="E855" s="423" cm="1">
        <f t="array" ref="E855">_xlfn.IFERROR(SUM('Direct Costs 2026'!$C$4:$C$5)*D855,"N/A")</f>
        <v>1751000</v>
      </c>
      <c r="F855" s="423" cm="1">
        <f t="array" ref="F855">_xlfn.IFERROR('Direct Costs 2026'!$C$43*B855,"N/A")</f>
        <v>84000</v>
      </c>
      <c r="G855" s="423" cm="1">
        <f t="array" ref="G855">IF(B855&gt;0,'Direct Costs 2026'!$C$25,"N/A")</f>
        <v>90000</v>
      </c>
      <c r="H855" s="423">
        <v>0</v>
      </c>
      <c r="I855" s="423">
        <v>0</v>
      </c>
      <c r="J855" s="423">
        <v>0</v>
      </c>
      <c r="K855" s="423">
        <v>0</v>
      </c>
      <c r="L855" s="423" cm="1">
        <f t="array" ref="L855">IF(B855&gt;0,'Direct Costs 2026'!$C$23,"N/A")</f>
        <v>140000</v>
      </c>
      <c r="M855" s="423" cm="1">
        <f t="array" ref="M855">IF(B855&gt;0,'Direct Costs 2026'!$C$45*B855,"N/A")</f>
        <v>2100000</v>
      </c>
      <c r="N855" t="str" s="431" cm="1">
        <f t="array" ref="N855">IF(B855&gt;0,_xlfn.IFERROR(VLOOKUP(C839,'Boats Data Sheet 2026'!$C$3:$I$57,7,0)*'Direct Costs 2026'!$C$36,"N/A"),"N/A")</f>
        <v>N/A</v>
      </c>
      <c r="O855" s="423">
        <v>0</v>
      </c>
      <c r="P855" s="423">
        <v>0</v>
      </c>
      <c r="Q855" s="423" cm="1">
        <f t="array" ref="Q855">_xlfn.IFERROR(C855+SUM(E855:P855),"N/A")</f>
        <v>36165000</v>
      </c>
      <c r="R855" s="424"/>
      <c r="S855" s="423" cm="1">
        <f t="array" ref="S855">IF(B855&gt;0,'Allocation OH and Target 2026'!$E$31,"N/A")</f>
        <v>3100447.15769812</v>
      </c>
      <c r="T855" s="423">
        <v>0</v>
      </c>
      <c r="U855" s="423" cm="1">
        <f t="array" ref="U855">_xlfn.IFERROR((S855+T855),"N/A")</f>
        <v>3100447.15769812</v>
      </c>
      <c r="V855" s="424"/>
      <c r="W855" s="423" cm="1">
        <f t="array" ref="W855">_xlfn.IFERROR(U855+Q855,"N/A")</f>
        <v>39265447.1576981</v>
      </c>
      <c r="X855" s="423" cm="1">
        <f t="array" ref="X855">_xlfn.IFERROR(W855*0.5%,"N/A")</f>
        <v>196327.235788491</v>
      </c>
      <c r="Y855" s="423" cm="1">
        <f t="array" ref="Y855">_xlfn.IFERROR(W855*25%,"N/A")</f>
        <v>9816361.789424529</v>
      </c>
      <c r="Z855" s="425" cm="1">
        <f t="array" ref="Z855">IF(B855&gt;0,(SUM(W855:Y855)),"N/A")</f>
        <v>49278136.1829111</v>
      </c>
      <c r="AA855" s="425" cm="1">
        <f t="array" ref="AA855">_xlfn.IFERROR((Z855-Z854),"N/A")</f>
        <v>195780</v>
      </c>
      <c r="AB855" s="424"/>
      <c r="AC855" t="str" s="426" cm="1">
        <f t="array" ref="AC855">IF(B855=6,AVERAGE(Z842:Z847),"N/A")</f>
        <v>N/A</v>
      </c>
      <c r="AD855" s="424"/>
      <c r="AE855" s="423"/>
      <c r="AF855" s="423"/>
      <c r="AG855" s="423"/>
      <c r="AH855" s="423"/>
      <c r="AI855" s="423"/>
      <c r="AJ855" s="423"/>
      <c r="AK855" s="423"/>
      <c r="AL855" s="423"/>
      <c r="AM855" s="423"/>
      <c r="AN855" s="427"/>
    </row>
    <row r="856" ht="15" customHeight="1">
      <c r="A856" s="12"/>
      <c r="B856" s="428" cm="1">
        <f t="array" ref="B856">IF(B855=0,0,IF(B855&lt;VLOOKUP(C839,'Boats Data Sheet 2026'!$C$3:$H$57,6,0),B855+1,0))</f>
        <v>15</v>
      </c>
      <c r="C856" s="423" cm="1">
        <f t="array" ref="C856">_xlfn.IFERROR(IF(B856&gt;0,IF(VLOOKUP($C$839,'Boats Data Sheet 2026'!$C$3:$J$57,8,0)="N/A",0,VLOOKUP($C$839,'Boats Data Sheet 2026'!$C$3:$J$57,8,0)),"N/A")*100%,"N/A")</f>
        <v>32000000</v>
      </c>
      <c r="D856" s="430" cm="1">
        <f t="array" ref="D856">IF(B856&gt;7,2,IF(B856=0,"N/A",1))</f>
        <v>2</v>
      </c>
      <c r="E856" s="423" cm="1">
        <f t="array" ref="E856">_xlfn.IFERROR(SUM('Direct Costs 2026'!$C$4:$C$5)*D856,"N/A")</f>
        <v>1751000</v>
      </c>
      <c r="F856" s="423" cm="1">
        <f t="array" ref="F856">_xlfn.IFERROR('Direct Costs 2026'!$C$43*B856,"N/A")</f>
        <v>90000</v>
      </c>
      <c r="G856" s="423" cm="1">
        <f t="array" ref="G856">IF(B856&gt;0,'Direct Costs 2026'!$C$25,"N/A")</f>
        <v>90000</v>
      </c>
      <c r="H856" s="423">
        <v>0</v>
      </c>
      <c r="I856" s="423">
        <v>0</v>
      </c>
      <c r="J856" s="423">
        <v>0</v>
      </c>
      <c r="K856" s="423">
        <v>0</v>
      </c>
      <c r="L856" s="423" cm="1">
        <f t="array" ref="L856">IF(B856&gt;0,'Direct Costs 2026'!$C$23,"N/A")</f>
        <v>140000</v>
      </c>
      <c r="M856" s="423" cm="1">
        <f t="array" ref="M856">IF(B856&gt;0,'Direct Costs 2026'!$C$45*B856,"N/A")</f>
        <v>2250000</v>
      </c>
      <c r="N856" t="str" s="431" cm="1">
        <f t="array" ref="N856">IF(B856&gt;0,_xlfn.IFERROR(VLOOKUP(C839,'Boats Data Sheet 2026'!$C$3:$I$57,7,0)*'Direct Costs 2026'!$C$36,"N/A"),"N/A")</f>
        <v>N/A</v>
      </c>
      <c r="O856" s="423">
        <v>0</v>
      </c>
      <c r="P856" s="423">
        <v>0</v>
      </c>
      <c r="Q856" s="423" cm="1">
        <f t="array" ref="Q856">_xlfn.IFERROR(C856+SUM(E856:P856),"N/A")</f>
        <v>36321000</v>
      </c>
      <c r="R856" s="424"/>
      <c r="S856" s="423" cm="1">
        <f t="array" ref="S856">IF(B856&gt;0,'Allocation OH and Target 2026'!$E$31,"N/A")</f>
        <v>3100447.15769812</v>
      </c>
      <c r="T856" s="423">
        <v>0</v>
      </c>
      <c r="U856" s="423" cm="1">
        <f t="array" ref="U856">_xlfn.IFERROR((S856+T856),"N/A")</f>
        <v>3100447.15769812</v>
      </c>
      <c r="V856" s="424"/>
      <c r="W856" s="423" cm="1">
        <f t="array" ref="W856">_xlfn.IFERROR(U856+Q856,"N/A")</f>
        <v>39421447.1576981</v>
      </c>
      <c r="X856" s="423" cm="1">
        <f t="array" ref="X856">_xlfn.IFERROR(W856*0.5%,"N/A")</f>
        <v>197107.235788491</v>
      </c>
      <c r="Y856" s="423" cm="1">
        <f t="array" ref="Y856">_xlfn.IFERROR(W856*25%,"N/A")</f>
        <v>9855361.789424529</v>
      </c>
      <c r="Z856" s="425" cm="1">
        <f t="array" ref="Z856">IF(B856&gt;0,(SUM(W856:Y856)),"N/A")</f>
        <v>49473916.1829111</v>
      </c>
      <c r="AA856" s="425" cm="1">
        <f t="array" ref="AA856">_xlfn.IFERROR((Z856-Z855),"N/A")</f>
        <v>195780</v>
      </c>
      <c r="AB856" s="424"/>
      <c r="AC856" t="str" s="426" cm="1">
        <f t="array" ref="AC856">IF(B856=6,AVERAGE(Z842:Z847),"N/A")</f>
        <v>N/A</v>
      </c>
      <c r="AD856" s="424"/>
      <c r="AE856" s="423"/>
      <c r="AF856" s="423"/>
      <c r="AG856" s="423"/>
      <c r="AH856" s="423"/>
      <c r="AI856" s="423"/>
      <c r="AJ856" s="423"/>
      <c r="AK856" s="423"/>
      <c r="AL856" s="423"/>
      <c r="AM856" s="423"/>
      <c r="AN856" s="427"/>
    </row>
    <row r="857" ht="15" customHeight="1">
      <c r="A857" s="12"/>
      <c r="B857" s="428" cm="1">
        <f t="array" ref="B857">IF(B856=0,0,IF(B856&lt;VLOOKUP(C839,'Boats Data Sheet 2026'!$C$3:$H$57,6,0),B856+1,0))</f>
        <v>16</v>
      </c>
      <c r="C857" s="423" cm="1">
        <f t="array" ref="C857">_xlfn.IFERROR(IF(B857&gt;0,IF(VLOOKUP($C$839,'Boats Data Sheet 2026'!$C$3:$J$57,8,0)="N/A",0,VLOOKUP($C$839,'Boats Data Sheet 2026'!$C$3:$J$57,8,0)),"N/A")*100%,"N/A")</f>
        <v>32000000</v>
      </c>
      <c r="D857" s="430" cm="1">
        <f t="array" ref="D857">IF(B857&gt;7,2,IF(B857=0,"N/A",1))</f>
        <v>2</v>
      </c>
      <c r="E857" s="423" cm="1">
        <f t="array" ref="E857">_xlfn.IFERROR(SUM('Direct Costs 2026'!$C$4:$C$5)*D857,"N/A")</f>
        <v>1751000</v>
      </c>
      <c r="F857" s="423" cm="1">
        <f t="array" ref="F857">_xlfn.IFERROR('Direct Costs 2026'!$C$43*B857,"N/A")</f>
        <v>96000</v>
      </c>
      <c r="G857" s="423" cm="1">
        <f t="array" ref="G857">IF(B857&gt;0,'Direct Costs 2026'!$C$25,"N/A")</f>
        <v>90000</v>
      </c>
      <c r="H857" s="423">
        <v>0</v>
      </c>
      <c r="I857" s="423">
        <v>0</v>
      </c>
      <c r="J857" s="423">
        <v>0</v>
      </c>
      <c r="K857" s="423">
        <v>0</v>
      </c>
      <c r="L857" s="423" cm="1">
        <f t="array" ref="L857">IF(B857&gt;0,'Direct Costs 2026'!$C$23,"N/A")</f>
        <v>140000</v>
      </c>
      <c r="M857" s="423" cm="1">
        <f t="array" ref="M857">IF(B857&gt;0,'Direct Costs 2026'!$C$45*B857,"N/A")</f>
        <v>2400000</v>
      </c>
      <c r="N857" t="str" s="431" cm="1">
        <f t="array" ref="N857">IF(B857&gt;0,_xlfn.IFERROR(VLOOKUP(C839,'Boats Data Sheet 2026'!$C$3:$I$57,7,0)*'Direct Costs 2026'!$C$36,"N/A"),"N/A")</f>
        <v>N/A</v>
      </c>
      <c r="O857" s="423">
        <v>0</v>
      </c>
      <c r="P857" s="423">
        <v>0</v>
      </c>
      <c r="Q857" s="423" cm="1">
        <f t="array" ref="Q857">_xlfn.IFERROR(C857+SUM(E857:P857),"N/A")</f>
        <v>36477000</v>
      </c>
      <c r="R857" s="424"/>
      <c r="S857" s="423" cm="1">
        <f t="array" ref="S857">IF(B857&gt;0,'Allocation OH and Target 2026'!$E$31,"N/A")</f>
        <v>3100447.15769812</v>
      </c>
      <c r="T857" s="423">
        <v>0</v>
      </c>
      <c r="U857" s="423" cm="1">
        <f t="array" ref="U857">_xlfn.IFERROR((S857+T857),"N/A")</f>
        <v>3100447.15769812</v>
      </c>
      <c r="V857" s="424"/>
      <c r="W857" s="423" cm="1">
        <f t="array" ref="W857">_xlfn.IFERROR(U857+Q857,"N/A")</f>
        <v>39577447.1576981</v>
      </c>
      <c r="X857" s="423" cm="1">
        <f t="array" ref="X857">_xlfn.IFERROR(W857*0.5%,"N/A")</f>
        <v>197887.235788491</v>
      </c>
      <c r="Y857" s="423" cm="1">
        <f t="array" ref="Y857">_xlfn.IFERROR(W857*25%,"N/A")</f>
        <v>9894361.789424529</v>
      </c>
      <c r="Z857" s="425" cm="1">
        <f t="array" ref="Z857">IF(B857&gt;0,(SUM(W857:Y857)),"N/A")</f>
        <v>49669696.1829111</v>
      </c>
      <c r="AA857" s="425" cm="1">
        <f t="array" ref="AA857">_xlfn.IFERROR((Z857-Z856),"N/A")</f>
        <v>195780</v>
      </c>
      <c r="AB857" s="424"/>
      <c r="AC857" t="str" s="426" cm="1">
        <f t="array" ref="AC857">IF(B857=6,AVERAGE(Z842:Z847),"N/A")</f>
        <v>N/A</v>
      </c>
      <c r="AD857" s="424"/>
      <c r="AE857" s="423"/>
      <c r="AF857" s="423"/>
      <c r="AG857" s="423"/>
      <c r="AH857" s="423"/>
      <c r="AI857" s="423"/>
      <c r="AJ857" s="423"/>
      <c r="AK857" s="423"/>
      <c r="AL857" s="423"/>
      <c r="AM857" s="423"/>
      <c r="AN857" s="427"/>
    </row>
    <row r="858" ht="15" customHeight="1">
      <c r="A858" s="12"/>
      <c r="B858" s="428" cm="1">
        <f t="array" ref="B858">IF(B857=0,0,IF(B857&lt;VLOOKUP(C839,'Boats Data Sheet 2026'!$C$3:$H$57,6,0),B857+1,0))</f>
        <v>17</v>
      </c>
      <c r="C858" s="423" cm="1">
        <f t="array" ref="C858">_xlfn.IFERROR(IF(B858&gt;0,IF(VLOOKUP($C$839,'Boats Data Sheet 2026'!$C$3:$J$57,8,0)="N/A",0,VLOOKUP($C$839,'Boats Data Sheet 2026'!$C$3:$J$57,8,0)),"N/A")*100%,"N/A")</f>
        <v>32000000</v>
      </c>
      <c r="D858" s="430" cm="1">
        <f t="array" ref="D858">IF(B858&gt;7,2,IF(B858=0,"N/A",1))</f>
        <v>2</v>
      </c>
      <c r="E858" s="423" cm="1">
        <f t="array" ref="E858">_xlfn.IFERROR(SUM('Direct Costs 2026'!$C$4:$C$5)*D858,"N/A")</f>
        <v>1751000</v>
      </c>
      <c r="F858" s="423" cm="1">
        <f t="array" ref="F858">_xlfn.IFERROR('Direct Costs 2026'!$C$43*B858,"N/A")</f>
        <v>102000</v>
      </c>
      <c r="G858" s="423" cm="1">
        <f t="array" ref="G858">IF(B858&gt;0,'Direct Costs 2026'!$C$25,"N/A")</f>
        <v>90000</v>
      </c>
      <c r="H858" s="423">
        <v>0</v>
      </c>
      <c r="I858" s="423">
        <v>0</v>
      </c>
      <c r="J858" s="423">
        <v>0</v>
      </c>
      <c r="K858" s="423">
        <v>0</v>
      </c>
      <c r="L858" s="423" cm="1">
        <f t="array" ref="L858">IF(B858&gt;0,'Direct Costs 2026'!$C$23,"N/A")</f>
        <v>140000</v>
      </c>
      <c r="M858" s="423" cm="1">
        <f t="array" ref="M858">IF(B858&gt;0,'Direct Costs 2026'!$C$45*B858,"N/A")</f>
        <v>2550000</v>
      </c>
      <c r="N858" t="str" s="431" cm="1">
        <f t="array" ref="N858">IF(B858&gt;0,_xlfn.IFERROR(VLOOKUP(C839,'Boats Data Sheet 2026'!$C$3:$I$57,7,0)*'Direct Costs 2026'!$C$36,"N/A"),"N/A")</f>
        <v>N/A</v>
      </c>
      <c r="O858" s="423">
        <v>0</v>
      </c>
      <c r="P858" s="423">
        <v>0</v>
      </c>
      <c r="Q858" s="423" cm="1">
        <f t="array" ref="Q858">_xlfn.IFERROR(C858+SUM(E858:P858),"N/A")</f>
        <v>36633000</v>
      </c>
      <c r="R858" s="424"/>
      <c r="S858" s="423" cm="1">
        <f t="array" ref="S858">IF(B858&gt;0,'Allocation OH and Target 2026'!$E$31,"N/A")</f>
        <v>3100447.15769812</v>
      </c>
      <c r="T858" s="423">
        <v>0</v>
      </c>
      <c r="U858" s="423" cm="1">
        <f t="array" ref="U858">_xlfn.IFERROR((S858+T858),"N/A")</f>
        <v>3100447.15769812</v>
      </c>
      <c r="V858" s="424"/>
      <c r="W858" s="423" cm="1">
        <f t="array" ref="W858">_xlfn.IFERROR(U858+Q858,"N/A")</f>
        <v>39733447.1576981</v>
      </c>
      <c r="X858" s="423" cm="1">
        <f t="array" ref="X858">_xlfn.IFERROR(W858*0.5%,"N/A")</f>
        <v>198667.235788491</v>
      </c>
      <c r="Y858" s="423" cm="1">
        <f t="array" ref="Y858">_xlfn.IFERROR(W858*25%,"N/A")</f>
        <v>9933361.789424529</v>
      </c>
      <c r="Z858" s="425" cm="1">
        <f t="array" ref="Z858">IF(B858&gt;0,(SUM(W858:Y858)),"N/A")</f>
        <v>49865476.1829111</v>
      </c>
      <c r="AA858" s="425" cm="1">
        <f t="array" ref="AA858">_xlfn.IFERROR((Z858-Z857),"N/A")</f>
        <v>195780</v>
      </c>
      <c r="AB858" s="424"/>
      <c r="AC858" t="str" s="426" cm="1">
        <f t="array" ref="AC858">IF(B858=6,AVERAGE(Z842:Z847),"N/A")</f>
        <v>N/A</v>
      </c>
      <c r="AD858" s="424"/>
      <c r="AE858" s="423"/>
      <c r="AF858" s="423"/>
      <c r="AG858" s="423"/>
      <c r="AH858" s="423"/>
      <c r="AI858" s="423"/>
      <c r="AJ858" s="423"/>
      <c r="AK858" s="423"/>
      <c r="AL858" s="423"/>
      <c r="AM858" s="423"/>
      <c r="AN858" s="427"/>
    </row>
    <row r="859" ht="15" customHeight="1">
      <c r="A859" s="12"/>
      <c r="B859" s="428" cm="1">
        <f t="array" ref="B859">IF(B858=0,0,IF(B858&lt;VLOOKUP(C839,'Boats Data Sheet 2026'!$C$3:$H$57,6,0),B858+1,0))</f>
        <v>18</v>
      </c>
      <c r="C859" s="423" cm="1">
        <f t="array" ref="C859">_xlfn.IFERROR(IF(B859&gt;0,IF(VLOOKUP($C$839,'Boats Data Sheet 2026'!$C$3:$J$57,8,0)="N/A",0,VLOOKUP($C$839,'Boats Data Sheet 2026'!$C$3:$J$57,8,0)),"N/A")*100%,"N/A")</f>
        <v>32000000</v>
      </c>
      <c r="D859" s="430" cm="1">
        <f t="array" ref="D859">IF(B859&gt;7,2,IF(B859=0,"N/A",1))</f>
        <v>2</v>
      </c>
      <c r="E859" s="423" cm="1">
        <f t="array" ref="E859">_xlfn.IFERROR(SUM('Direct Costs 2026'!$C$4:$C$5)*D859,"N/A")</f>
        <v>1751000</v>
      </c>
      <c r="F859" s="423" cm="1">
        <f t="array" ref="F859">_xlfn.IFERROR('Direct Costs 2026'!$C$43*B859,"N/A")</f>
        <v>108000</v>
      </c>
      <c r="G859" s="423" cm="1">
        <f t="array" ref="G859">IF(B859&gt;0,'Direct Costs 2026'!$C$25,"N/A")</f>
        <v>90000</v>
      </c>
      <c r="H859" s="423">
        <v>0</v>
      </c>
      <c r="I859" s="423">
        <v>0</v>
      </c>
      <c r="J859" s="423">
        <v>0</v>
      </c>
      <c r="K859" s="423">
        <v>0</v>
      </c>
      <c r="L859" s="423" cm="1">
        <f t="array" ref="L859">IF(B859&gt;0,'Direct Costs 2026'!$C$23,"N/A")</f>
        <v>140000</v>
      </c>
      <c r="M859" s="423" cm="1">
        <f t="array" ref="M859">IF(B859&gt;0,'Direct Costs 2026'!$C$45*B859,"N/A")</f>
        <v>2700000</v>
      </c>
      <c r="N859" t="str" s="431" cm="1">
        <f t="array" ref="N859">IF(B859&gt;0,_xlfn.IFERROR(VLOOKUP(C841,'Boats Data Sheet 2026'!$C$3:$I$57,7,0)*'Direct Costs 2026'!$C$36,"N/A"),"N/A")</f>
        <v>N/A</v>
      </c>
      <c r="O859" s="423">
        <v>0</v>
      </c>
      <c r="P859" s="423">
        <v>0</v>
      </c>
      <c r="Q859" s="423" cm="1">
        <f t="array" ref="Q859">_xlfn.IFERROR(C859+SUM(E859:P859),"N/A")</f>
        <v>36789000</v>
      </c>
      <c r="R859" s="424"/>
      <c r="S859" s="423" cm="1">
        <f t="array" ref="S859">IF(B859&gt;0,'Allocation OH and Target 2026'!$E$31,"N/A")</f>
        <v>3100447.15769812</v>
      </c>
      <c r="T859" s="423">
        <v>0</v>
      </c>
      <c r="U859" s="423" cm="1">
        <f t="array" ref="U859">_xlfn.IFERROR((S859+T859),"N/A")</f>
        <v>3100447.15769812</v>
      </c>
      <c r="V859" s="424"/>
      <c r="W859" s="423" cm="1">
        <f t="array" ref="W859">_xlfn.IFERROR(U859+Q859,"N/A")</f>
        <v>39889447.1576981</v>
      </c>
      <c r="X859" s="423" cm="1">
        <f t="array" ref="X859">_xlfn.IFERROR(W859*0.5%,"N/A")</f>
        <v>199447.235788491</v>
      </c>
      <c r="Y859" s="423" cm="1">
        <f t="array" ref="Y859">_xlfn.IFERROR(W859*25%,"N/A")</f>
        <v>9972361.789424529</v>
      </c>
      <c r="Z859" s="425" cm="1">
        <f t="array" ref="Z859">IF(B859&gt;0,(SUM(W859:Y859)),"N/A")</f>
        <v>50061256.1829111</v>
      </c>
      <c r="AA859" s="425" cm="1">
        <f t="array" ref="AA859">_xlfn.IFERROR((Z859-Z858),"N/A")</f>
        <v>195780</v>
      </c>
      <c r="AB859" s="424"/>
      <c r="AC859" t="str" s="426" cm="1">
        <f t="array" ref="AC859">IF(B859=6,AVERAGE(Z844:Z849),"N/A")</f>
        <v>N/A</v>
      </c>
      <c r="AD859" s="424"/>
      <c r="AE859" s="423"/>
      <c r="AF859" s="423"/>
      <c r="AG859" s="423"/>
      <c r="AH859" s="423"/>
      <c r="AI859" s="423"/>
      <c r="AJ859" s="423"/>
      <c r="AK859" s="423"/>
      <c r="AL859" s="423"/>
      <c r="AM859" s="423"/>
      <c r="AN859" s="427"/>
    </row>
    <row r="860" ht="15" customHeight="1">
      <c r="A860" s="12"/>
      <c r="B860" s="428" cm="1">
        <f t="array" ref="B860">IF(B859=0,0,IF(B859&lt;VLOOKUP(C839,'Boats Data Sheet 2026'!$C$3:$H$57,6,0),B859+1,0))</f>
        <v>19</v>
      </c>
      <c r="C860" s="423" cm="1">
        <f t="array" ref="C860">_xlfn.IFERROR(IF(B860&gt;0,IF(VLOOKUP($C$839,'Boats Data Sheet 2026'!$C$3:$J$57,8,0)="N/A",0,VLOOKUP($C$839,'Boats Data Sheet 2026'!$C$3:$J$57,8,0)),"N/A")*100%,"N/A")</f>
        <v>32000000</v>
      </c>
      <c r="D860" s="430" cm="1">
        <f t="array" ref="D860">IF(B860&gt;7,2,IF(B860=0,"N/A",1))</f>
        <v>2</v>
      </c>
      <c r="E860" s="423" cm="1">
        <f t="array" ref="E860">_xlfn.IFERROR(SUM('Direct Costs 2026'!$C$4:$C$5)*D860,"N/A")</f>
        <v>1751000</v>
      </c>
      <c r="F860" s="423" cm="1">
        <f t="array" ref="F860">_xlfn.IFERROR('Direct Costs 2026'!$C$43*B860,"N/A")</f>
        <v>114000</v>
      </c>
      <c r="G860" s="423" cm="1">
        <f t="array" ref="G860">IF(B860&gt;0,'Direct Costs 2026'!$C$25,"N/A")</f>
        <v>90000</v>
      </c>
      <c r="H860" s="423">
        <v>0</v>
      </c>
      <c r="I860" s="423">
        <v>0</v>
      </c>
      <c r="J860" s="423">
        <v>0</v>
      </c>
      <c r="K860" s="423">
        <v>0</v>
      </c>
      <c r="L860" s="423" cm="1">
        <f t="array" ref="L860">IF(B860&gt;0,'Direct Costs 2026'!$C$23,"N/A")</f>
        <v>140000</v>
      </c>
      <c r="M860" s="423" cm="1">
        <f t="array" ref="M860">IF(B860&gt;0,'Direct Costs 2026'!$C$45*B860,"N/A")</f>
        <v>2850000</v>
      </c>
      <c r="N860" t="str" s="431" cm="1">
        <f t="array" ref="N860">IF(B860&gt;0,_xlfn.IFERROR(VLOOKUP(C841,'Boats Data Sheet 2026'!$C$3:$I$57,7,0)*'Direct Costs 2026'!$C$36,"N/A"),"N/A")</f>
        <v>N/A</v>
      </c>
      <c r="O860" s="423">
        <v>0</v>
      </c>
      <c r="P860" s="423">
        <v>0</v>
      </c>
      <c r="Q860" s="423" cm="1">
        <f t="array" ref="Q860">_xlfn.IFERROR(C860+SUM(E860:P860),"N/A")</f>
        <v>36945000</v>
      </c>
      <c r="R860" s="424"/>
      <c r="S860" s="423" cm="1">
        <f t="array" ref="S860">IF(B860&gt;0,'Allocation OH and Target 2026'!$E$31,"N/A")</f>
        <v>3100447.15769812</v>
      </c>
      <c r="T860" s="423">
        <v>0</v>
      </c>
      <c r="U860" s="423" cm="1">
        <f t="array" ref="U860">_xlfn.IFERROR((S860+T860),"N/A")</f>
        <v>3100447.15769812</v>
      </c>
      <c r="V860" s="424"/>
      <c r="W860" s="423" cm="1">
        <f t="array" ref="W860">_xlfn.IFERROR(U860+Q860,"N/A")</f>
        <v>40045447.1576981</v>
      </c>
      <c r="X860" s="423" cm="1">
        <f t="array" ref="X860">_xlfn.IFERROR(W860*0.5%,"N/A")</f>
        <v>200227.235788491</v>
      </c>
      <c r="Y860" s="423" cm="1">
        <f t="array" ref="Y860">_xlfn.IFERROR(W860*25%,"N/A")</f>
        <v>10011361.7894245</v>
      </c>
      <c r="Z860" s="425" cm="1">
        <f t="array" ref="Z860">IF(B860&gt;0,(SUM(W860:Y860)),"N/A")</f>
        <v>50257036.1829111</v>
      </c>
      <c r="AA860" s="425" cm="1">
        <f t="array" ref="AA860">_xlfn.IFERROR((Z860-Z859),"N/A")</f>
        <v>195780</v>
      </c>
      <c r="AB860" s="424"/>
      <c r="AC860" t="str" s="426" cm="1">
        <f t="array" ref="AC860">IF(B860=6,AVERAGE(Z844:Z849),"N/A")</f>
        <v>N/A</v>
      </c>
      <c r="AD860" s="424"/>
      <c r="AE860" s="423"/>
      <c r="AF860" s="423"/>
      <c r="AG860" s="423"/>
      <c r="AH860" s="423"/>
      <c r="AI860" s="423"/>
      <c r="AJ860" s="423"/>
      <c r="AK860" s="423"/>
      <c r="AL860" s="423"/>
      <c r="AM860" s="423"/>
      <c r="AN860" s="427"/>
    </row>
    <row r="861" ht="15" customHeight="1">
      <c r="A861" s="12"/>
      <c r="B861" s="428" cm="1">
        <f t="array" ref="B861">IF(B860=0,0,IF(B860&lt;VLOOKUP(C839,'Boats Data Sheet 2026'!$C$3:$H$57,6,0),B860+1,0))</f>
        <v>20</v>
      </c>
      <c r="C861" s="423" cm="1">
        <f t="array" ref="C861">_xlfn.IFERROR(IF(B861&gt;0,IF(VLOOKUP($C$839,'Boats Data Sheet 2026'!$C$3:$J$57,8,0)="N/A",0,VLOOKUP($C$839,'Boats Data Sheet 2026'!$C$3:$J$57,8,0)),"N/A")*100%,"N/A")</f>
        <v>32000000</v>
      </c>
      <c r="D861" s="430" cm="1">
        <f t="array" ref="D861">IF(B861&gt;7,2,IF(B861=0,"N/A",1))</f>
        <v>2</v>
      </c>
      <c r="E861" s="423" cm="1">
        <f t="array" ref="E861">_xlfn.IFERROR(SUM('Direct Costs 2026'!$C$4:$C$5)*D861,"N/A")</f>
        <v>1751000</v>
      </c>
      <c r="F861" s="423" cm="1">
        <f t="array" ref="F861">_xlfn.IFERROR('Direct Costs 2026'!$C$43*B861,"N/A")</f>
        <v>120000</v>
      </c>
      <c r="G861" s="423" cm="1">
        <f t="array" ref="G861">IF(B861&gt;0,'Direct Costs 2026'!$C$25,"N/A")</f>
        <v>90000</v>
      </c>
      <c r="H861" s="423">
        <v>0</v>
      </c>
      <c r="I861" s="423">
        <v>0</v>
      </c>
      <c r="J861" s="423">
        <v>0</v>
      </c>
      <c r="K861" s="423">
        <v>0</v>
      </c>
      <c r="L861" s="423" cm="1">
        <f t="array" ref="L861">IF(B861&gt;0,'Direct Costs 2026'!$C$23,"N/A")</f>
        <v>140000</v>
      </c>
      <c r="M861" s="423" cm="1">
        <f t="array" ref="M861">IF(B861&gt;0,'Direct Costs 2026'!$C$45*B861,"N/A")</f>
        <v>3000000</v>
      </c>
      <c r="N861" t="str" s="431" cm="1">
        <f t="array" ref="N861">IF(B861&gt;0,_xlfn.IFERROR(VLOOKUP(C843,'Boats Data Sheet 2026'!$C$3:$I$57,7,0)*'Direct Costs 2026'!$C$36,"N/A"),"N/A")</f>
        <v>N/A</v>
      </c>
      <c r="O861" s="423">
        <v>0</v>
      </c>
      <c r="P861" s="423">
        <v>0</v>
      </c>
      <c r="Q861" s="423" cm="1">
        <f t="array" ref="Q861">_xlfn.IFERROR(C861+SUM(E861:P861),"N/A")</f>
        <v>37101000</v>
      </c>
      <c r="R861" s="424"/>
      <c r="S861" s="423" cm="1">
        <f t="array" ref="S861">IF(B861&gt;0,'Allocation OH and Target 2026'!$E$31,"N/A")</f>
        <v>3100447.15769812</v>
      </c>
      <c r="T861" s="423">
        <v>0</v>
      </c>
      <c r="U861" s="423" cm="1">
        <f t="array" ref="U861">_xlfn.IFERROR((S861+T861),"N/A")</f>
        <v>3100447.15769812</v>
      </c>
      <c r="V861" s="424"/>
      <c r="W861" s="423" cm="1">
        <f t="array" ref="W861">_xlfn.IFERROR(U861+Q861,"N/A")</f>
        <v>40201447.1576981</v>
      </c>
      <c r="X861" s="423" cm="1">
        <f t="array" ref="X861">_xlfn.IFERROR(W861*0.5%,"N/A")</f>
        <v>201007.235788491</v>
      </c>
      <c r="Y861" s="423" cm="1">
        <f t="array" ref="Y861">_xlfn.IFERROR(W861*25%,"N/A")</f>
        <v>10050361.7894245</v>
      </c>
      <c r="Z861" s="425" cm="1">
        <f t="array" ref="Z861">IF(B861&gt;0,(SUM(W861:Y861)),"N/A")</f>
        <v>50452816.1829111</v>
      </c>
      <c r="AA861" s="425" cm="1">
        <f t="array" ref="AA861">_xlfn.IFERROR((Z861-Z860),"N/A")</f>
        <v>195780</v>
      </c>
      <c r="AB861" s="424"/>
      <c r="AC861" t="str" s="426" cm="1">
        <f t="array" ref="AC861">IF(B861=6,AVERAGE(Z846:Z851),"N/A")</f>
        <v>N/A</v>
      </c>
      <c r="AD861" s="424"/>
      <c r="AE861" s="423"/>
      <c r="AF861" s="423"/>
      <c r="AG861" s="423"/>
      <c r="AH861" s="423"/>
      <c r="AI861" s="423"/>
      <c r="AJ861" s="423"/>
      <c r="AK861" s="423"/>
      <c r="AL861" s="423"/>
      <c r="AM861" s="423"/>
      <c r="AN861" s="427"/>
    </row>
    <row r="862" ht="15" customHeight="1">
      <c r="A862" s="12"/>
      <c r="B862" s="428" cm="1">
        <f t="array" ref="B862">IF(B861=0,0,IF(B861&lt;VLOOKUP(C839,'Boats Data Sheet 2026'!$C$3:$H$57,6,0),B861+1,0))</f>
        <v>21</v>
      </c>
      <c r="C862" s="423" cm="1">
        <f t="array" ref="C862">_xlfn.IFERROR(IF(B862&gt;0,IF(VLOOKUP($C$839,'Boats Data Sheet 2026'!$C$3:$J$57,8,0)="N/A",0,VLOOKUP($C$839,'Boats Data Sheet 2026'!$C$3:$J$57,8,0)),"N/A")*100%,"N/A")</f>
        <v>32000000</v>
      </c>
      <c r="D862" s="430" cm="1">
        <f t="array" ref="D862">IF(B862&gt;7,2,IF(B862=0,"N/A",1))</f>
        <v>2</v>
      </c>
      <c r="E862" s="423" cm="1">
        <f t="array" ref="E862">_xlfn.IFERROR(SUM('Direct Costs 2026'!$C$4:$C$5)*D862,"N/A")</f>
        <v>1751000</v>
      </c>
      <c r="F862" s="423" cm="1">
        <f t="array" ref="F862">_xlfn.IFERROR('Direct Costs 2026'!$C$43*B862,"N/A")</f>
        <v>126000</v>
      </c>
      <c r="G862" s="423" cm="1">
        <f t="array" ref="G862">IF(B862&gt;0,'Direct Costs 2026'!$C$25,"N/A")</f>
        <v>90000</v>
      </c>
      <c r="H862" s="423">
        <v>0</v>
      </c>
      <c r="I862" s="423">
        <v>0</v>
      </c>
      <c r="J862" s="423">
        <v>0</v>
      </c>
      <c r="K862" s="423">
        <v>0</v>
      </c>
      <c r="L862" s="423" cm="1">
        <f t="array" ref="L862">IF(B862&gt;0,'Direct Costs 2026'!$C$23,"N/A")</f>
        <v>140000</v>
      </c>
      <c r="M862" s="423" cm="1">
        <f t="array" ref="M862">IF(B862&gt;0,'Direct Costs 2026'!$C$45*B862,"N/A")</f>
        <v>3150000</v>
      </c>
      <c r="N862" t="str" s="431" cm="1">
        <f t="array" ref="N862">IF(B862&gt;0,_xlfn.IFERROR(VLOOKUP(C843,'Boats Data Sheet 2026'!$C$3:$I$57,7,0)*'Direct Costs 2026'!$C$36,"N/A"),"N/A")</f>
        <v>N/A</v>
      </c>
      <c r="O862" s="423">
        <v>0</v>
      </c>
      <c r="P862" s="423">
        <v>0</v>
      </c>
      <c r="Q862" s="423" cm="1">
        <f t="array" ref="Q862">_xlfn.IFERROR(C862+SUM(E862:P862),"N/A")</f>
        <v>37257000</v>
      </c>
      <c r="R862" s="424"/>
      <c r="S862" s="423" cm="1">
        <f t="array" ref="S862">IF(B862&gt;0,'Allocation OH and Target 2026'!$E$31,"N/A")</f>
        <v>3100447.15769812</v>
      </c>
      <c r="T862" s="423">
        <v>0</v>
      </c>
      <c r="U862" s="423" cm="1">
        <f t="array" ref="U862">_xlfn.IFERROR((S862+T862),"N/A")</f>
        <v>3100447.15769812</v>
      </c>
      <c r="V862" s="424"/>
      <c r="W862" s="423" cm="1">
        <f t="array" ref="W862">_xlfn.IFERROR(U862+Q862,"N/A")</f>
        <v>40357447.1576981</v>
      </c>
      <c r="X862" s="423" cm="1">
        <f t="array" ref="X862">_xlfn.IFERROR(W862*0.5%,"N/A")</f>
        <v>201787.235788491</v>
      </c>
      <c r="Y862" s="423" cm="1">
        <f t="array" ref="Y862">_xlfn.IFERROR(W862*25%,"N/A")</f>
        <v>10089361.7894245</v>
      </c>
      <c r="Z862" s="425" cm="1">
        <f t="array" ref="Z862">IF(B862&gt;0,(SUM(W862:Y862)),"N/A")</f>
        <v>50648596.1829111</v>
      </c>
      <c r="AA862" s="425" cm="1">
        <f t="array" ref="AA862">_xlfn.IFERROR((Z862-Z861),"N/A")</f>
        <v>195780</v>
      </c>
      <c r="AB862" s="424"/>
      <c r="AC862" t="str" s="426" cm="1">
        <f t="array" ref="AC862">IF(B862=6,AVERAGE(Z846:Z851),"N/A")</f>
        <v>N/A</v>
      </c>
      <c r="AD862" s="424"/>
      <c r="AE862" s="423"/>
      <c r="AF862" s="423"/>
      <c r="AG862" s="423"/>
      <c r="AH862" s="423"/>
      <c r="AI862" s="423"/>
      <c r="AJ862" s="423"/>
      <c r="AK862" s="423"/>
      <c r="AL862" s="423"/>
      <c r="AM862" s="423"/>
      <c r="AN862" s="427"/>
    </row>
    <row r="863" ht="15" customHeight="1">
      <c r="A863" s="12"/>
      <c r="B863" s="428" cm="1">
        <f t="array" ref="B863">IF(B862=0,0,IF(B862&lt;VLOOKUP(C839,'Boats Data Sheet 2026'!$C$3:$H$57,6,0),B862+1,0))</f>
        <v>22</v>
      </c>
      <c r="C863" s="423" cm="1">
        <f t="array" ref="C863">_xlfn.IFERROR(IF(B863&gt;0,IF(VLOOKUP($C$839,'Boats Data Sheet 2026'!$C$3:$J$57,8,0)="N/A",0,VLOOKUP($C$839,'Boats Data Sheet 2026'!$C$3:$J$57,8,0)),"N/A")*100%,"N/A")</f>
        <v>32000000</v>
      </c>
      <c r="D863" s="430" cm="1">
        <f t="array" ref="D863">IF(B863&gt;7,2,IF(B863=0,"N/A",1))</f>
        <v>2</v>
      </c>
      <c r="E863" s="423" cm="1">
        <f t="array" ref="E863">_xlfn.IFERROR(SUM('Direct Costs 2026'!$C$4:$C$5)*D863,"N/A")</f>
        <v>1751000</v>
      </c>
      <c r="F863" s="423" cm="1">
        <f t="array" ref="F863">_xlfn.IFERROR('Direct Costs 2026'!$C$43*B863,"N/A")</f>
        <v>132000</v>
      </c>
      <c r="G863" s="423" cm="1">
        <f t="array" ref="G863">IF(B863&gt;0,'Direct Costs 2026'!$C$25,"N/A")</f>
        <v>90000</v>
      </c>
      <c r="H863" s="423">
        <v>0</v>
      </c>
      <c r="I863" s="423">
        <v>0</v>
      </c>
      <c r="J863" s="423">
        <v>0</v>
      </c>
      <c r="K863" s="423">
        <v>0</v>
      </c>
      <c r="L863" s="423" cm="1">
        <f t="array" ref="L863">IF(B863&gt;0,'Direct Costs 2026'!$C$23,"N/A")</f>
        <v>140000</v>
      </c>
      <c r="M863" s="423" cm="1">
        <f t="array" ref="M863">IF(B863&gt;0,'Direct Costs 2026'!$C$45*B863,"N/A")</f>
        <v>3300000</v>
      </c>
      <c r="N863" t="str" s="431" cm="1">
        <f t="array" ref="N863">IF(B863&gt;0,_xlfn.IFERROR(VLOOKUP(C845,'Boats Data Sheet 2026'!$C$3:$I$57,7,0)*'Direct Costs 2026'!$C$36,"N/A"),"N/A")</f>
        <v>N/A</v>
      </c>
      <c r="O863" s="423">
        <v>0</v>
      </c>
      <c r="P863" s="423">
        <v>0</v>
      </c>
      <c r="Q863" s="423" cm="1">
        <f t="array" ref="Q863">_xlfn.IFERROR(C863+SUM(E863:P863),"N/A")</f>
        <v>37413000</v>
      </c>
      <c r="R863" s="424"/>
      <c r="S863" s="423" cm="1">
        <f t="array" ref="S863">IF(B863&gt;0,'Allocation OH and Target 2026'!$E$31,"N/A")</f>
        <v>3100447.15769812</v>
      </c>
      <c r="T863" s="423">
        <v>0</v>
      </c>
      <c r="U863" s="423" cm="1">
        <f t="array" ref="U863">_xlfn.IFERROR((S863+T863),"N/A")</f>
        <v>3100447.15769812</v>
      </c>
      <c r="V863" s="424"/>
      <c r="W863" s="423" cm="1">
        <f t="array" ref="W863">_xlfn.IFERROR(U863+Q863,"N/A")</f>
        <v>40513447.1576981</v>
      </c>
      <c r="X863" s="423" cm="1">
        <f t="array" ref="X863">_xlfn.IFERROR(W863*0.5%,"N/A")</f>
        <v>202567.235788491</v>
      </c>
      <c r="Y863" s="423" cm="1">
        <f t="array" ref="Y863">_xlfn.IFERROR(W863*25%,"N/A")</f>
        <v>10128361.7894245</v>
      </c>
      <c r="Z863" s="425" cm="1">
        <f t="array" ref="Z863">IF(B863&gt;0,(SUM(W863:Y863)),"N/A")</f>
        <v>50844376.1829111</v>
      </c>
      <c r="AA863" s="425" cm="1">
        <f t="array" ref="AA863">_xlfn.IFERROR((Z863-Z862),"N/A")</f>
        <v>195780</v>
      </c>
      <c r="AB863" s="424"/>
      <c r="AC863" t="str" s="426" cm="1">
        <f t="array" ref="AC863">IF(B863=6,AVERAGE(Z848:Z853),"N/A")</f>
        <v>N/A</v>
      </c>
      <c r="AD863" s="424"/>
      <c r="AE863" s="423"/>
      <c r="AF863" s="423"/>
      <c r="AG863" s="423"/>
      <c r="AH863" s="423"/>
      <c r="AI863" s="423"/>
      <c r="AJ863" s="423"/>
      <c r="AK863" s="423"/>
      <c r="AL863" s="423"/>
      <c r="AM863" s="423"/>
      <c r="AN863" s="427"/>
    </row>
    <row r="864" ht="15" customHeight="1">
      <c r="A864" s="12"/>
      <c r="B864" s="428" cm="1">
        <f t="array" ref="B864">IF(B863=0,0,IF(B863&lt;VLOOKUP(C839,'Boats Data Sheet 2026'!$C$3:$H$57,6,0),B863+1,0))</f>
        <v>23</v>
      </c>
      <c r="C864" s="423" cm="1">
        <f t="array" ref="C864">_xlfn.IFERROR(IF(B864&gt;0,IF(VLOOKUP($C$839,'Boats Data Sheet 2026'!$C$3:$J$57,8,0)="N/A",0,VLOOKUP($C$839,'Boats Data Sheet 2026'!$C$3:$J$57,8,0)),"N/A")*100%,"N/A")</f>
        <v>32000000</v>
      </c>
      <c r="D864" s="430" cm="1">
        <f t="array" ref="D864">IF(B864&gt;7,2,IF(B864=0,"N/A",1))</f>
        <v>2</v>
      </c>
      <c r="E864" s="423" cm="1">
        <f t="array" ref="E864">_xlfn.IFERROR(SUM('Direct Costs 2026'!$C$4:$C$5)*D864,"N/A")</f>
        <v>1751000</v>
      </c>
      <c r="F864" s="423" cm="1">
        <f t="array" ref="F864">_xlfn.IFERROR('Direct Costs 2026'!$C$43*B864,"N/A")</f>
        <v>138000</v>
      </c>
      <c r="G864" s="423" cm="1">
        <f t="array" ref="G864">IF(B864&gt;0,'Direct Costs 2026'!$C$25,"N/A")</f>
        <v>90000</v>
      </c>
      <c r="H864" s="423">
        <v>0</v>
      </c>
      <c r="I864" s="423">
        <v>0</v>
      </c>
      <c r="J864" s="423">
        <v>0</v>
      </c>
      <c r="K864" s="423">
        <v>0</v>
      </c>
      <c r="L864" s="423" cm="1">
        <f t="array" ref="L864">IF(B864&gt;0,'Direct Costs 2026'!$C$23,"N/A")</f>
        <v>140000</v>
      </c>
      <c r="M864" s="423" cm="1">
        <f t="array" ref="M864">IF(B864&gt;0,'Direct Costs 2026'!$C$45*B864,"N/A")</f>
        <v>3450000</v>
      </c>
      <c r="N864" t="str" s="431" cm="1">
        <f t="array" ref="N864">IF(B864&gt;0,_xlfn.IFERROR(VLOOKUP(C845,'Boats Data Sheet 2026'!$C$3:$I$57,7,0)*'Direct Costs 2026'!$C$36,"N/A"),"N/A")</f>
        <v>N/A</v>
      </c>
      <c r="O864" s="423">
        <v>0</v>
      </c>
      <c r="P864" s="423">
        <v>0</v>
      </c>
      <c r="Q864" s="423" cm="1">
        <f t="array" ref="Q864">_xlfn.IFERROR(C864+SUM(E864:P864),"N/A")</f>
        <v>37569000</v>
      </c>
      <c r="R864" s="424"/>
      <c r="S864" s="423" cm="1">
        <f t="array" ref="S864">IF(B864&gt;0,'Allocation OH and Target 2026'!$E$31,"N/A")</f>
        <v>3100447.15769812</v>
      </c>
      <c r="T864" s="423">
        <v>0</v>
      </c>
      <c r="U864" s="423" cm="1">
        <f t="array" ref="U864">_xlfn.IFERROR((S864+T864),"N/A")</f>
        <v>3100447.15769812</v>
      </c>
      <c r="V864" s="424"/>
      <c r="W864" s="423" cm="1">
        <f t="array" ref="W864">_xlfn.IFERROR(U864+Q864,"N/A")</f>
        <v>40669447.1576981</v>
      </c>
      <c r="X864" s="423" cm="1">
        <f t="array" ref="X864">_xlfn.IFERROR(W864*0.5%,"N/A")</f>
        <v>203347.235788491</v>
      </c>
      <c r="Y864" s="423" cm="1">
        <f t="array" ref="Y864">_xlfn.IFERROR(W864*25%,"N/A")</f>
        <v>10167361.7894245</v>
      </c>
      <c r="Z864" s="425" cm="1">
        <f t="array" ref="Z864">IF(B864&gt;0,(SUM(W864:Y864)),"N/A")</f>
        <v>51040156.1829111</v>
      </c>
      <c r="AA864" s="425" cm="1">
        <f t="array" ref="AA864">_xlfn.IFERROR((Z864-Z863),"N/A")</f>
        <v>195780</v>
      </c>
      <c r="AB864" s="424"/>
      <c r="AC864" t="str" s="426" cm="1">
        <f t="array" ref="AC864">IF(B864=6,AVERAGE(Z848:Z853),"N/A")</f>
        <v>N/A</v>
      </c>
      <c r="AD864" s="424"/>
      <c r="AE864" s="423"/>
      <c r="AF864" s="423"/>
      <c r="AG864" s="423"/>
      <c r="AH864" s="423"/>
      <c r="AI864" s="423"/>
      <c r="AJ864" s="423"/>
      <c r="AK864" s="423"/>
      <c r="AL864" s="423"/>
      <c r="AM864" s="423"/>
      <c r="AN864" s="427"/>
    </row>
    <row r="865" ht="15" customHeight="1">
      <c r="A865" s="12"/>
      <c r="B865" s="428" cm="1">
        <f t="array" ref="B865">IF(B864=0,0,IF(B864&lt;VLOOKUP(C839,'Boats Data Sheet 2026'!$C$3:$H$57,6,0),B864+1,0))</f>
        <v>24</v>
      </c>
      <c r="C865" s="423" cm="1">
        <f t="array" ref="C865">_xlfn.IFERROR(IF(B865&gt;0,IF(VLOOKUP($C$839,'Boats Data Sheet 2026'!$C$3:$J$57,8,0)="N/A",0,VLOOKUP($C$839,'Boats Data Sheet 2026'!$C$3:$J$57,8,0)),"N/A")*100%,"N/A")</f>
        <v>32000000</v>
      </c>
      <c r="D865" s="430" cm="1">
        <f t="array" ref="D865">IF(B865&gt;7,2,IF(B865=0,"N/A",1))</f>
        <v>2</v>
      </c>
      <c r="E865" s="423" cm="1">
        <f t="array" ref="E865">_xlfn.IFERROR(SUM('Direct Costs 2026'!$C$4:$C$5)*D865,"N/A")</f>
        <v>1751000</v>
      </c>
      <c r="F865" s="423" cm="1">
        <f t="array" ref="F865">_xlfn.IFERROR('Direct Costs 2026'!$C$43*B865,"N/A")</f>
        <v>144000</v>
      </c>
      <c r="G865" s="423" cm="1">
        <f t="array" ref="G865">IF(B865&gt;0,'Direct Costs 2026'!$C$25,"N/A")</f>
        <v>90000</v>
      </c>
      <c r="H865" s="423">
        <v>0</v>
      </c>
      <c r="I865" s="423">
        <v>0</v>
      </c>
      <c r="J865" s="423">
        <v>0</v>
      </c>
      <c r="K865" s="423">
        <v>0</v>
      </c>
      <c r="L865" s="423" cm="1">
        <f t="array" ref="L865">IF(B865&gt;0,'Direct Costs 2026'!$C$23,"N/A")</f>
        <v>140000</v>
      </c>
      <c r="M865" s="423" cm="1">
        <f t="array" ref="M865">IF(B865&gt;0,'Direct Costs 2026'!$C$45*B865,"N/A")</f>
        <v>3600000</v>
      </c>
      <c r="N865" t="str" s="431" cm="1">
        <f t="array" ref="N865">IF(B865&gt;0,_xlfn.IFERROR(VLOOKUP(C847,'Boats Data Sheet 2026'!$C$3:$I$57,7,0)*'Direct Costs 2026'!$C$36,"N/A"),"N/A")</f>
        <v>N/A</v>
      </c>
      <c r="O865" s="423">
        <v>0</v>
      </c>
      <c r="P865" s="423">
        <v>0</v>
      </c>
      <c r="Q865" s="423" cm="1">
        <f t="array" ref="Q865">_xlfn.IFERROR(C865+SUM(E865:P865),"N/A")</f>
        <v>37725000</v>
      </c>
      <c r="R865" s="424"/>
      <c r="S865" s="423" cm="1">
        <f t="array" ref="S865">IF(B865&gt;0,'Allocation OH and Target 2026'!$E$31,"N/A")</f>
        <v>3100447.15769812</v>
      </c>
      <c r="T865" s="423">
        <v>0</v>
      </c>
      <c r="U865" s="423" cm="1">
        <f t="array" ref="U865">_xlfn.IFERROR((S865+T865),"N/A")</f>
        <v>3100447.15769812</v>
      </c>
      <c r="V865" s="424"/>
      <c r="W865" s="423" cm="1">
        <f t="array" ref="W865">_xlfn.IFERROR(U865+Q865,"N/A")</f>
        <v>40825447.1576981</v>
      </c>
      <c r="X865" s="423" cm="1">
        <f t="array" ref="X865">_xlfn.IFERROR(W865*0.5%,"N/A")</f>
        <v>204127.235788491</v>
      </c>
      <c r="Y865" s="423" cm="1">
        <f t="array" ref="Y865">_xlfn.IFERROR(W865*25%,"N/A")</f>
        <v>10206361.7894245</v>
      </c>
      <c r="Z865" s="425" cm="1">
        <f t="array" ref="Z865">IF(B865&gt;0,(SUM(W865:Y865)),"N/A")</f>
        <v>51235936.1829111</v>
      </c>
      <c r="AA865" s="425" cm="1">
        <f t="array" ref="AA865">_xlfn.IFERROR((Z865-Z864),"N/A")</f>
        <v>195780</v>
      </c>
      <c r="AB865" s="424"/>
      <c r="AC865" t="str" s="426" cm="1">
        <f t="array" ref="AC865">IF(B865=6,AVERAGE(Z850:Z855),"N/A")</f>
        <v>N/A</v>
      </c>
      <c r="AD865" s="424"/>
      <c r="AE865" s="423"/>
      <c r="AF865" s="423"/>
      <c r="AG865" s="423"/>
      <c r="AH865" s="423"/>
      <c r="AI865" s="423"/>
      <c r="AJ865" s="423"/>
      <c r="AK865" s="423"/>
      <c r="AL865" s="423"/>
      <c r="AM865" s="423"/>
      <c r="AN865" s="427"/>
    </row>
    <row r="866" ht="15" customHeight="1">
      <c r="A866" s="12"/>
      <c r="B866" s="428" cm="1">
        <f t="array" ref="B866">IF(B865=0,0,IF(B865&lt;VLOOKUP(C839,'Boats Data Sheet 2026'!$C$3:$H$57,6,0),B865+1,0))</f>
        <v>25</v>
      </c>
      <c r="C866" s="423" cm="1">
        <f t="array" ref="C866">_xlfn.IFERROR(IF(B866&gt;0,IF(VLOOKUP($C$839,'Boats Data Sheet 2026'!$C$3:$J$57,8,0)="N/A",0,VLOOKUP($C$839,'Boats Data Sheet 2026'!$C$3:$J$57,8,0)),"N/A")*100%,"N/A")</f>
        <v>32000000</v>
      </c>
      <c r="D866" s="430" cm="1">
        <f t="array" ref="D866">IF(B866&gt;7,2,IF(B866=0,"N/A",1))</f>
        <v>2</v>
      </c>
      <c r="E866" s="423" cm="1">
        <f t="array" ref="E866">_xlfn.IFERROR(SUM('Direct Costs 2026'!$C$4:$C$5)*D866,"N/A")</f>
        <v>1751000</v>
      </c>
      <c r="F866" s="423" cm="1">
        <f t="array" ref="F866">_xlfn.IFERROR('Direct Costs 2026'!$C$43*B866,"N/A")</f>
        <v>150000</v>
      </c>
      <c r="G866" s="423" cm="1">
        <f t="array" ref="G866">IF(B866&gt;0,'Direct Costs 2026'!$C$25,"N/A")</f>
        <v>90000</v>
      </c>
      <c r="H866" s="423">
        <v>0</v>
      </c>
      <c r="I866" s="423">
        <v>0</v>
      </c>
      <c r="J866" s="423">
        <v>0</v>
      </c>
      <c r="K866" s="423">
        <v>0</v>
      </c>
      <c r="L866" s="423" cm="1">
        <f t="array" ref="L866">IF(B866&gt;0,'Direct Costs 2026'!$C$23,"N/A")</f>
        <v>140000</v>
      </c>
      <c r="M866" s="423" cm="1">
        <f t="array" ref="M866">IF(B866&gt;0,'Direct Costs 2026'!$C$45*B866,"N/A")</f>
        <v>3750000</v>
      </c>
      <c r="N866" t="str" s="431" cm="1">
        <f t="array" ref="N866">IF(B866&gt;0,_xlfn.IFERROR(VLOOKUP(C847,'Boats Data Sheet 2026'!$C$3:$I$57,7,0)*'Direct Costs 2026'!$C$36,"N/A"),"N/A")</f>
        <v>N/A</v>
      </c>
      <c r="O866" s="423">
        <v>0</v>
      </c>
      <c r="P866" s="423">
        <v>0</v>
      </c>
      <c r="Q866" s="423" cm="1">
        <f t="array" ref="Q866">_xlfn.IFERROR(C866+SUM(E866:P866),"N/A")</f>
        <v>37881000</v>
      </c>
      <c r="R866" s="424"/>
      <c r="S866" s="423" cm="1">
        <f t="array" ref="S866">IF(B866&gt;0,'Allocation OH and Target 2026'!$E$31,"N/A")</f>
        <v>3100447.15769812</v>
      </c>
      <c r="T866" s="423">
        <v>0</v>
      </c>
      <c r="U866" s="423" cm="1">
        <f t="array" ref="U866">_xlfn.IFERROR((S866+T866),"N/A")</f>
        <v>3100447.15769812</v>
      </c>
      <c r="V866" s="424"/>
      <c r="W866" s="423" cm="1">
        <f t="array" ref="W866">_xlfn.IFERROR(U866+Q866,"N/A")</f>
        <v>40981447.1576981</v>
      </c>
      <c r="X866" s="423" cm="1">
        <f t="array" ref="X866">_xlfn.IFERROR(W866*0.5%,"N/A")</f>
        <v>204907.235788491</v>
      </c>
      <c r="Y866" s="423" cm="1">
        <f t="array" ref="Y866">_xlfn.IFERROR(W866*25%,"N/A")</f>
        <v>10245361.7894245</v>
      </c>
      <c r="Z866" s="425" cm="1">
        <f t="array" ref="Z866">IF(B866&gt;0,(SUM(W866:Y866)),"N/A")</f>
        <v>51431716.1829111</v>
      </c>
      <c r="AA866" s="425" cm="1">
        <f t="array" ref="AA866">_xlfn.IFERROR((Z866-Z865),"N/A")</f>
        <v>195780</v>
      </c>
      <c r="AB866" s="424"/>
      <c r="AC866" t="str" s="426" cm="1">
        <f t="array" ref="AC866">IF(B866=6,AVERAGE(Z850:Z855),"N/A")</f>
        <v>N/A</v>
      </c>
      <c r="AD866" s="424"/>
      <c r="AE866" s="423"/>
      <c r="AF866" s="423"/>
      <c r="AG866" s="423"/>
      <c r="AH866" s="423"/>
      <c r="AI866" s="423"/>
      <c r="AJ866" s="423"/>
      <c r="AK866" s="423"/>
      <c r="AL866" s="423"/>
      <c r="AM866" s="423"/>
      <c r="AN866" s="427"/>
    </row>
    <row r="867" ht="15" customHeight="1">
      <c r="A867" s="12"/>
      <c r="B867" s="428" cm="1">
        <f t="array" ref="B867">IF(B866=0,0,IF(B866&lt;VLOOKUP(C839,'Boats Data Sheet 2026'!$C$3:$H$57,6,0),B866+1,0))</f>
        <v>26</v>
      </c>
      <c r="C867" s="423" cm="1">
        <f t="array" ref="C867">_xlfn.IFERROR(IF(B867&gt;0,IF(VLOOKUP($C$839,'Boats Data Sheet 2026'!$C$3:$J$57,8,0)="N/A",0,VLOOKUP($C$839,'Boats Data Sheet 2026'!$C$3:$J$57,8,0)),"N/A")*100%,"N/A")</f>
        <v>32000000</v>
      </c>
      <c r="D867" s="430" cm="1">
        <f t="array" ref="D867">IF(B867&gt;7,2,IF(B867=0,"N/A",1))</f>
        <v>2</v>
      </c>
      <c r="E867" s="423" cm="1">
        <f t="array" ref="E867">_xlfn.IFERROR(SUM('Direct Costs 2026'!$C$4:$C$5)*D867,"N/A")</f>
        <v>1751000</v>
      </c>
      <c r="F867" s="423" cm="1">
        <f t="array" ref="F867">_xlfn.IFERROR('Direct Costs 2026'!$C$43*B867,"N/A")</f>
        <v>156000</v>
      </c>
      <c r="G867" s="423" cm="1">
        <f t="array" ref="G867">IF(B867&gt;0,'Direct Costs 2026'!$C$25,"N/A")</f>
        <v>90000</v>
      </c>
      <c r="H867" s="423">
        <v>0</v>
      </c>
      <c r="I867" s="423">
        <v>0</v>
      </c>
      <c r="J867" s="423">
        <v>0</v>
      </c>
      <c r="K867" s="423">
        <v>0</v>
      </c>
      <c r="L867" s="423" cm="1">
        <f t="array" ref="L867">IF(B867&gt;0,'Direct Costs 2026'!$C$23,"N/A")</f>
        <v>140000</v>
      </c>
      <c r="M867" s="423" cm="1">
        <f t="array" ref="M867">IF(B867&gt;0,'Direct Costs 2026'!$C$45*B867,"N/A")</f>
        <v>3900000</v>
      </c>
      <c r="N867" t="str" s="431" cm="1">
        <f t="array" ref="N867">IF(B867&gt;0,_xlfn.IFERROR(VLOOKUP(C849,'Boats Data Sheet 2026'!$C$3:$I$57,7,0)*'Direct Costs 2026'!$C$36,"N/A"),"N/A")</f>
        <v>N/A</v>
      </c>
      <c r="O867" s="423">
        <v>0</v>
      </c>
      <c r="P867" s="423">
        <v>0</v>
      </c>
      <c r="Q867" s="423" cm="1">
        <f t="array" ref="Q867">_xlfn.IFERROR(C867+SUM(E867:P867),"N/A")</f>
        <v>38037000</v>
      </c>
      <c r="R867" s="424"/>
      <c r="S867" s="423" cm="1">
        <f t="array" ref="S867">IF(B867&gt;0,'Allocation OH and Target 2026'!$E$31,"N/A")</f>
        <v>3100447.15769812</v>
      </c>
      <c r="T867" s="423">
        <v>400000</v>
      </c>
      <c r="U867" s="423" cm="1">
        <f t="array" ref="U867">_xlfn.IFERROR((S867+T867),"N/A")</f>
        <v>3500447.15769812</v>
      </c>
      <c r="V867" s="424"/>
      <c r="W867" s="423" cm="1">
        <f t="array" ref="W867">_xlfn.IFERROR(U867+Q867,"N/A")</f>
        <v>41537447.1576981</v>
      </c>
      <c r="X867" s="423" cm="1">
        <f t="array" ref="X867">_xlfn.IFERROR(W867*0.5%,"N/A")</f>
        <v>207687.235788491</v>
      </c>
      <c r="Y867" s="423" cm="1">
        <f t="array" ref="Y867">_xlfn.IFERROR(W867*25%,"N/A")</f>
        <v>10384361.7894245</v>
      </c>
      <c r="Z867" s="425" cm="1">
        <f t="array" ref="Z867">IF(B867&gt;0,(SUM(W867:Y867)),"N/A")</f>
        <v>52129496.1829111</v>
      </c>
      <c r="AA867" s="425" cm="1">
        <f t="array" ref="AA867">_xlfn.IFERROR((Z867-Z866),"N/A")</f>
        <v>697780</v>
      </c>
      <c r="AB867" s="424"/>
      <c r="AC867" t="str" s="426" cm="1">
        <f t="array" ref="AC867">IF(B867=6,AVERAGE(Z852:Z857),"N/A")</f>
        <v>N/A</v>
      </c>
      <c r="AD867" s="424"/>
      <c r="AE867" s="423"/>
      <c r="AF867" s="423"/>
      <c r="AG867" s="423"/>
      <c r="AH867" s="423"/>
      <c r="AI867" s="423"/>
      <c r="AJ867" s="423"/>
      <c r="AK867" s="423"/>
      <c r="AL867" s="423"/>
      <c r="AM867" s="423"/>
      <c r="AN867" s="427"/>
    </row>
    <row r="868" ht="15" customHeight="1">
      <c r="A868" s="12"/>
      <c r="B868" s="428" cm="1">
        <f t="array" ref="B868">IF(B867=0,0,IF(B867&lt;VLOOKUP(C839,'Boats Data Sheet 2026'!$C$3:$H$57,6,0),B867+1,0))</f>
        <v>27</v>
      </c>
      <c r="C868" s="423" cm="1">
        <f t="array" ref="C868">_xlfn.IFERROR(IF(B868&gt;0,IF(VLOOKUP($C$839,'Boats Data Sheet 2026'!$C$3:$J$57,8,0)="N/A",0,VLOOKUP($C$839,'Boats Data Sheet 2026'!$C$3:$J$57,8,0)),"N/A")*100%,"N/A")</f>
        <v>32000000</v>
      </c>
      <c r="D868" s="430" cm="1">
        <f t="array" ref="D868">IF(B868&gt;7,2,IF(B868=0,"N/A",1))</f>
        <v>2</v>
      </c>
      <c r="E868" s="423" cm="1">
        <f t="array" ref="E868">_xlfn.IFERROR(SUM('Direct Costs 2026'!$C$4:$C$5)*D868,"N/A")</f>
        <v>1751000</v>
      </c>
      <c r="F868" s="423" cm="1">
        <f t="array" ref="F868">_xlfn.IFERROR('Direct Costs 2026'!$C$43*B868,"N/A")</f>
        <v>162000</v>
      </c>
      <c r="G868" s="423" cm="1">
        <f t="array" ref="G868">IF(B868&gt;0,'Direct Costs 2026'!$C$25,"N/A")</f>
        <v>90000</v>
      </c>
      <c r="H868" s="423">
        <v>0</v>
      </c>
      <c r="I868" s="423">
        <v>0</v>
      </c>
      <c r="J868" s="423">
        <v>0</v>
      </c>
      <c r="K868" s="423">
        <v>0</v>
      </c>
      <c r="L868" s="423" cm="1">
        <f t="array" ref="L868">IF(B868&gt;0,'Direct Costs 2026'!$C$23,"N/A")</f>
        <v>140000</v>
      </c>
      <c r="M868" s="423" cm="1">
        <f t="array" ref="M868">IF(B868&gt;0,'Direct Costs 2026'!$C$45*B868,"N/A")</f>
        <v>4050000</v>
      </c>
      <c r="N868" t="str" s="431" cm="1">
        <f t="array" ref="N868">IF(B868&gt;0,_xlfn.IFERROR(VLOOKUP(C849,'Boats Data Sheet 2026'!$C$3:$I$57,7,0)*'Direct Costs 2026'!$C$36,"N/A"),"N/A")</f>
        <v>N/A</v>
      </c>
      <c r="O868" s="423">
        <v>0</v>
      </c>
      <c r="P868" s="423">
        <v>0</v>
      </c>
      <c r="Q868" s="423" cm="1">
        <f t="array" ref="Q868">_xlfn.IFERROR(C868+SUM(E868:P868),"N/A")</f>
        <v>38193000</v>
      </c>
      <c r="R868" s="424"/>
      <c r="S868" s="423" cm="1">
        <f t="array" ref="S868">IF(B868&gt;0,'Allocation OH and Target 2026'!$E$31,"N/A")</f>
        <v>3100447.15769812</v>
      </c>
      <c r="T868" s="423" cm="1">
        <f t="array" ref="T868">$T$867+$T$867*(B868-$B$867)</f>
        <v>800000</v>
      </c>
      <c r="U868" s="423" cm="1">
        <f t="array" ref="U868">_xlfn.IFERROR((S868+T868),"N/A")</f>
        <v>3900447.15769812</v>
      </c>
      <c r="V868" s="424"/>
      <c r="W868" s="423" cm="1">
        <f t="array" ref="W868">_xlfn.IFERROR(U868+Q868,"N/A")</f>
        <v>42093447.1576981</v>
      </c>
      <c r="X868" s="423" cm="1">
        <f t="array" ref="X868">_xlfn.IFERROR(W868*0.5%,"N/A")</f>
        <v>210467.235788491</v>
      </c>
      <c r="Y868" s="423" cm="1">
        <f t="array" ref="Y868">_xlfn.IFERROR(W868*25%,"N/A")</f>
        <v>10523361.7894245</v>
      </c>
      <c r="Z868" s="425" cm="1">
        <f t="array" ref="Z868">IF(B868&gt;0,(SUM(W868:Y868)),"N/A")</f>
        <v>52827276.1829111</v>
      </c>
      <c r="AA868" s="425" cm="1">
        <f t="array" ref="AA868">_xlfn.IFERROR((Z868-Z867),"N/A")</f>
        <v>697780</v>
      </c>
      <c r="AB868" s="424"/>
      <c r="AC868" t="str" s="426" cm="1">
        <f t="array" ref="AC868">IF(B868=6,AVERAGE(Z852:Z857),"N/A")</f>
        <v>N/A</v>
      </c>
      <c r="AD868" s="424"/>
      <c r="AE868" s="423"/>
      <c r="AF868" s="423"/>
      <c r="AG868" s="423"/>
      <c r="AH868" s="423"/>
      <c r="AI868" s="423"/>
      <c r="AJ868" s="423"/>
      <c r="AK868" s="423"/>
      <c r="AL868" s="423"/>
      <c r="AM868" s="423"/>
      <c r="AN868" s="427"/>
    </row>
    <row r="869" ht="15" customHeight="1">
      <c r="A869" s="12"/>
      <c r="B869" s="428" cm="1">
        <f t="array" ref="B869">IF(B868=0,0,IF(B868&lt;VLOOKUP(C839,'Boats Data Sheet 2026'!$C$3:$H$57,6,0),B868+1,0))</f>
        <v>28</v>
      </c>
      <c r="C869" s="423" cm="1">
        <f t="array" ref="C869">_xlfn.IFERROR(IF(B869&gt;0,IF(VLOOKUP($C$839,'Boats Data Sheet 2026'!$C$3:$J$57,8,0)="N/A",0,VLOOKUP($C$839,'Boats Data Sheet 2026'!$C$3:$J$57,8,0)),"N/A")*100%,"N/A")</f>
        <v>32000000</v>
      </c>
      <c r="D869" s="430" cm="1">
        <f t="array" ref="D869">IF(B869&gt;7,2,IF(B869=0,"N/A",1))</f>
        <v>2</v>
      </c>
      <c r="E869" s="423" cm="1">
        <f t="array" ref="E869">_xlfn.IFERROR(SUM('Direct Costs 2026'!$C$4:$C$5)*D869,"N/A")</f>
        <v>1751000</v>
      </c>
      <c r="F869" s="423" cm="1">
        <f t="array" ref="F869">_xlfn.IFERROR('Direct Costs 2026'!$C$43*B869,"N/A")</f>
        <v>168000</v>
      </c>
      <c r="G869" s="423" cm="1">
        <f t="array" ref="G869">IF(B869&gt;0,'Direct Costs 2026'!$C$25,"N/A")</f>
        <v>90000</v>
      </c>
      <c r="H869" s="423">
        <v>0</v>
      </c>
      <c r="I869" s="423">
        <v>0</v>
      </c>
      <c r="J869" s="423">
        <v>0</v>
      </c>
      <c r="K869" s="423">
        <v>0</v>
      </c>
      <c r="L869" s="423" cm="1">
        <f t="array" ref="L869">IF(B869&gt;0,'Direct Costs 2026'!$C$23,"N/A")</f>
        <v>140000</v>
      </c>
      <c r="M869" s="423" cm="1">
        <f t="array" ref="M869">IF(B869&gt;0,'Direct Costs 2026'!$C$45*B869,"N/A")</f>
        <v>4200000</v>
      </c>
      <c r="N869" t="str" s="431" cm="1">
        <f t="array" ref="N869">IF(B869&gt;0,_xlfn.IFERROR(VLOOKUP(C851,'Boats Data Sheet 2026'!$C$3:$I$57,7,0)*'Direct Costs 2026'!$C$36,"N/A"),"N/A")</f>
        <v>N/A</v>
      </c>
      <c r="O869" s="423">
        <v>0</v>
      </c>
      <c r="P869" s="423">
        <v>0</v>
      </c>
      <c r="Q869" s="423" cm="1">
        <f t="array" ref="Q869">_xlfn.IFERROR(C869+SUM(E869:P869),"N/A")</f>
        <v>38349000</v>
      </c>
      <c r="R869" s="424"/>
      <c r="S869" s="423" cm="1">
        <f t="array" ref="S869">IF(B869&gt;0,'Allocation OH and Target 2026'!$E$31,"N/A")</f>
        <v>3100447.15769812</v>
      </c>
      <c r="T869" s="423" cm="1">
        <f t="array" ref="T869">$T$867+$T$867*(B869-$B$867)</f>
        <v>1200000</v>
      </c>
      <c r="U869" s="423" cm="1">
        <f t="array" ref="U869">_xlfn.IFERROR((S869+T869),"N/A")</f>
        <v>4300447.15769812</v>
      </c>
      <c r="V869" s="424"/>
      <c r="W869" s="423" cm="1">
        <f t="array" ref="W869">_xlfn.IFERROR(U869+Q869,"N/A")</f>
        <v>42649447.1576981</v>
      </c>
      <c r="X869" s="423" cm="1">
        <f t="array" ref="X869">_xlfn.IFERROR(W869*0.5%,"N/A")</f>
        <v>213247.235788491</v>
      </c>
      <c r="Y869" s="423" cm="1">
        <f t="array" ref="Y869">_xlfn.IFERROR(W869*25%,"N/A")</f>
        <v>10662361.7894245</v>
      </c>
      <c r="Z869" s="425" cm="1">
        <f t="array" ref="Z869">IF(B869&gt;0,(SUM(W869:Y869)),"N/A")</f>
        <v>53525056.1829111</v>
      </c>
      <c r="AA869" s="425" cm="1">
        <f t="array" ref="AA869">_xlfn.IFERROR((Z869-Z868),"N/A")</f>
        <v>697780</v>
      </c>
      <c r="AB869" s="424"/>
      <c r="AC869" t="str" s="426" cm="1">
        <f t="array" ref="AC869">IF(B869=6,AVERAGE(Z854:Z859),"N/A")</f>
        <v>N/A</v>
      </c>
      <c r="AD869" s="424"/>
      <c r="AE869" s="423"/>
      <c r="AF869" s="423"/>
      <c r="AG869" s="423"/>
      <c r="AH869" s="423"/>
      <c r="AI869" s="423"/>
      <c r="AJ869" s="423"/>
      <c r="AK869" s="423"/>
      <c r="AL869" s="423"/>
      <c r="AM869" s="423"/>
      <c r="AN869" s="427"/>
    </row>
    <row r="870" ht="15" customHeight="1">
      <c r="A870" s="12"/>
      <c r="B870" s="428" cm="1">
        <f t="array" ref="B870">IF(B869=0,0,IF(B869&lt;VLOOKUP(C839,'Boats Data Sheet 2026'!$C$3:$H$57,6,0),B869+1,0))</f>
        <v>29</v>
      </c>
      <c r="C870" s="423" cm="1">
        <f t="array" ref="C870">_xlfn.IFERROR(IF(B870&gt;0,IF(VLOOKUP($C$839,'Boats Data Sheet 2026'!$C$3:$J$57,8,0)="N/A",0,VLOOKUP($C$839,'Boats Data Sheet 2026'!$C$3:$J$57,8,0)),"N/A")*100%,"N/A")</f>
        <v>32000000</v>
      </c>
      <c r="D870" s="430" cm="1">
        <f t="array" ref="D870">IF(B870&gt;7,2,IF(B870=0,"N/A",1))</f>
        <v>2</v>
      </c>
      <c r="E870" s="423" cm="1">
        <f t="array" ref="E870">_xlfn.IFERROR(SUM('Direct Costs 2026'!$C$4:$C$5)*D870,"N/A")</f>
        <v>1751000</v>
      </c>
      <c r="F870" s="423" cm="1">
        <f t="array" ref="F870">_xlfn.IFERROR('Direct Costs 2026'!$C$43*B870,"N/A")</f>
        <v>174000</v>
      </c>
      <c r="G870" s="423" cm="1">
        <f t="array" ref="G870">IF(B870&gt;0,'Direct Costs 2026'!$C$25,"N/A")</f>
        <v>90000</v>
      </c>
      <c r="H870" s="423">
        <v>0</v>
      </c>
      <c r="I870" s="423">
        <v>0</v>
      </c>
      <c r="J870" s="423">
        <v>0</v>
      </c>
      <c r="K870" s="423">
        <v>0</v>
      </c>
      <c r="L870" s="423" cm="1">
        <f t="array" ref="L870">IF(B870&gt;0,'Direct Costs 2026'!$C$23,"N/A")</f>
        <v>140000</v>
      </c>
      <c r="M870" s="423" cm="1">
        <f t="array" ref="M870">IF(B870&gt;0,'Direct Costs 2026'!$C$45*B870,"N/A")</f>
        <v>4350000</v>
      </c>
      <c r="N870" t="str" s="431" cm="1">
        <f t="array" ref="N870">IF(B870&gt;0,_xlfn.IFERROR(VLOOKUP(C851,'Boats Data Sheet 2026'!$C$3:$I$57,7,0)*'Direct Costs 2026'!$C$36,"N/A"),"N/A")</f>
        <v>N/A</v>
      </c>
      <c r="O870" s="423">
        <v>0</v>
      </c>
      <c r="P870" s="423">
        <v>0</v>
      </c>
      <c r="Q870" s="423" cm="1">
        <f t="array" ref="Q870">_xlfn.IFERROR(C870+SUM(E870:P870),"N/A")</f>
        <v>38505000</v>
      </c>
      <c r="R870" s="424"/>
      <c r="S870" s="423" cm="1">
        <f t="array" ref="S870">IF(B870&gt;0,'Allocation OH and Target 2026'!$E$31,"N/A")</f>
        <v>3100447.15769812</v>
      </c>
      <c r="T870" s="423" cm="1">
        <f t="array" ref="T870">$T$867+$T$867*(B870-$B$867)</f>
        <v>1600000</v>
      </c>
      <c r="U870" s="423" cm="1">
        <f t="array" ref="U870">_xlfn.IFERROR((S870+T870),"N/A")</f>
        <v>4700447.15769812</v>
      </c>
      <c r="V870" s="424"/>
      <c r="W870" s="423" cm="1">
        <f t="array" ref="W870">_xlfn.IFERROR(U870+Q870,"N/A")</f>
        <v>43205447.1576981</v>
      </c>
      <c r="X870" s="423" cm="1">
        <f t="array" ref="X870">_xlfn.IFERROR(W870*0.5%,"N/A")</f>
        <v>216027.235788491</v>
      </c>
      <c r="Y870" s="423" cm="1">
        <f t="array" ref="Y870">_xlfn.IFERROR(W870*25%,"N/A")</f>
        <v>10801361.7894245</v>
      </c>
      <c r="Z870" s="425" cm="1">
        <f t="array" ref="Z870">IF(B870&gt;0,(SUM(W870:Y870)),"N/A")</f>
        <v>54222836.1829111</v>
      </c>
      <c r="AA870" s="425" cm="1">
        <f t="array" ref="AA870">_xlfn.IFERROR((Z870-Z869),"N/A")</f>
        <v>697780</v>
      </c>
      <c r="AB870" s="424"/>
      <c r="AC870" t="str" s="426" cm="1">
        <f t="array" ref="AC870">IF(B870=6,AVERAGE(Z854:Z859),"N/A")</f>
        <v>N/A</v>
      </c>
      <c r="AD870" s="424"/>
      <c r="AE870" s="423"/>
      <c r="AF870" s="423"/>
      <c r="AG870" s="423"/>
      <c r="AH870" s="423"/>
      <c r="AI870" s="423"/>
      <c r="AJ870" s="423"/>
      <c r="AK870" s="423"/>
      <c r="AL870" s="423"/>
      <c r="AM870" s="423"/>
      <c r="AN870" s="427"/>
    </row>
    <row r="871" ht="15" customHeight="1">
      <c r="A871" s="12"/>
      <c r="B871" s="428" cm="1">
        <f t="array" ref="B871">IF(B870=0,0,IF(B870&lt;VLOOKUP(C839,'Boats Data Sheet 2026'!$C$3:$H$57,6,0),B870+1,0))</f>
        <v>30</v>
      </c>
      <c r="C871" s="423" cm="1">
        <f t="array" ref="C871">_xlfn.IFERROR(IF(B871&gt;0,IF(VLOOKUP($C$839,'Boats Data Sheet 2026'!$C$3:$J$57,8,0)="N/A",0,VLOOKUP($C$839,'Boats Data Sheet 2026'!$C$3:$J$57,8,0)),"N/A")*100%,"N/A")</f>
        <v>32000000</v>
      </c>
      <c r="D871" s="430">
        <v>3</v>
      </c>
      <c r="E871" s="423" cm="1">
        <f t="array" ref="E871">_xlfn.IFERROR(SUM('Direct Costs 2026'!$C$4:$C$5)*D871,"N/A")</f>
        <v>2626500</v>
      </c>
      <c r="F871" s="423" cm="1">
        <f t="array" ref="F871">_xlfn.IFERROR('Direct Costs 2026'!$C$43*B871,"N/A")</f>
        <v>180000</v>
      </c>
      <c r="G871" s="423" cm="1">
        <f t="array" ref="G871">IF(B871&gt;0,'Direct Costs 2026'!$C$25,"N/A")</f>
        <v>90000</v>
      </c>
      <c r="H871" s="423">
        <v>0</v>
      </c>
      <c r="I871" s="423">
        <v>0</v>
      </c>
      <c r="J871" s="423">
        <v>0</v>
      </c>
      <c r="K871" s="423">
        <v>0</v>
      </c>
      <c r="L871" s="423" cm="1">
        <f t="array" ref="L871">IF(B871&gt;0,'Direct Costs 2026'!$C$23,"N/A")</f>
        <v>140000</v>
      </c>
      <c r="M871" s="423" cm="1">
        <f t="array" ref="M871">IF(B871&gt;0,'Direct Costs 2026'!$C$45*B871,"N/A")</f>
        <v>4500000</v>
      </c>
      <c r="N871" t="str" s="431" cm="1">
        <f t="array" ref="N871">IF(B871&gt;0,_xlfn.IFERROR(VLOOKUP(C853,'Boats Data Sheet 2026'!$C$3:$I$57,7,0)*'Direct Costs 2026'!$C$36,"N/A"),"N/A")</f>
        <v>N/A</v>
      </c>
      <c r="O871" s="423">
        <v>0</v>
      </c>
      <c r="P871" s="423">
        <v>0</v>
      </c>
      <c r="Q871" s="423" cm="1">
        <f t="array" ref="Q871">_xlfn.IFERROR(C871+SUM(E871:P871),"N/A")</f>
        <v>39536500</v>
      </c>
      <c r="R871" s="424"/>
      <c r="S871" s="423" cm="1">
        <f t="array" ref="S871">IF(B871&gt;0,'Allocation OH and Target 2026'!$E$31,"N/A")</f>
        <v>3100447.15769812</v>
      </c>
      <c r="T871" s="423" cm="1">
        <f t="array" ref="T871">$T$867+$T$867*(B871-$B$867)</f>
        <v>2000000</v>
      </c>
      <c r="U871" s="423" cm="1">
        <f t="array" ref="U871">_xlfn.IFERROR((S871+T871),"N/A")</f>
        <v>5100447.15769812</v>
      </c>
      <c r="V871" s="424"/>
      <c r="W871" s="423" cm="1">
        <f t="array" ref="W871">_xlfn.IFERROR(U871+Q871,"N/A")</f>
        <v>44636947.1576981</v>
      </c>
      <c r="X871" s="423" cm="1">
        <f t="array" ref="X871">_xlfn.IFERROR(W871*0.5%,"N/A")</f>
        <v>223184.735788491</v>
      </c>
      <c r="Y871" s="423" cm="1">
        <f t="array" ref="Y871">_xlfn.IFERROR(W871*25%,"N/A")</f>
        <v>11159236.7894245</v>
      </c>
      <c r="Z871" s="425" cm="1">
        <f t="array" ref="Z871">IF(B871&gt;0,(SUM(W871:Y871)),"N/A")</f>
        <v>56019368.6829111</v>
      </c>
      <c r="AA871" s="425" cm="1">
        <f t="array" ref="AA871">_xlfn.IFERROR((Z871-Z870),"N/A")</f>
        <v>1796532.5</v>
      </c>
      <c r="AB871" s="424"/>
      <c r="AC871" t="str" s="426" cm="1">
        <f t="array" ref="AC871">IF(B871=6,AVERAGE(Z856:Z861),"N/A")</f>
        <v>N/A</v>
      </c>
      <c r="AD871" s="424"/>
      <c r="AE871" s="423"/>
      <c r="AF871" s="423"/>
      <c r="AG871" s="423"/>
      <c r="AH871" s="423"/>
      <c r="AI871" s="423"/>
      <c r="AJ871" s="423"/>
      <c r="AK871" s="423"/>
      <c r="AL871" s="423"/>
      <c r="AM871" s="423"/>
      <c r="AN871" s="427"/>
    </row>
    <row r="872" ht="15" customHeight="1">
      <c r="A872" s="12"/>
      <c r="B872" s="428" cm="1">
        <f t="array" ref="B872">IF(B871=0,0,IF(B871&lt;VLOOKUP(C839,'Boats Data Sheet 2026'!$C$3:$H$57,6,0),B871+1,0))</f>
        <v>31</v>
      </c>
      <c r="C872" s="423" cm="1">
        <f t="array" ref="C872">_xlfn.IFERROR(IF(B872&gt;0,IF(VLOOKUP($C$839,'Boats Data Sheet 2026'!$C$3:$J$57,8,0)="N/A",0,VLOOKUP($C$839,'Boats Data Sheet 2026'!$C$3:$J$57,8,0)),"N/A")*100%,"N/A")</f>
        <v>32000000</v>
      </c>
      <c r="D872" s="430">
        <v>3</v>
      </c>
      <c r="E872" s="423" cm="1">
        <f t="array" ref="E872">_xlfn.IFERROR(SUM('Direct Costs 2026'!$C$4:$C$5)*D872,"N/A")</f>
        <v>2626500</v>
      </c>
      <c r="F872" s="423" cm="1">
        <f t="array" ref="F872">_xlfn.IFERROR('Direct Costs 2026'!$C$43*B872,"N/A")</f>
        <v>186000</v>
      </c>
      <c r="G872" s="423" cm="1">
        <f t="array" ref="G872">IF(B872&gt;0,'Direct Costs 2026'!$C$25,"N/A")</f>
        <v>90000</v>
      </c>
      <c r="H872" s="423">
        <v>0</v>
      </c>
      <c r="I872" s="423">
        <v>0</v>
      </c>
      <c r="J872" s="423">
        <v>0</v>
      </c>
      <c r="K872" s="423">
        <v>0</v>
      </c>
      <c r="L872" s="423" cm="1">
        <f t="array" ref="L872">IF(B872&gt;0,'Direct Costs 2026'!$C$23,"N/A")</f>
        <v>140000</v>
      </c>
      <c r="M872" s="423" cm="1">
        <f t="array" ref="M872">IF(B872&gt;0,'Direct Costs 2026'!$C$45*B872,"N/A")</f>
        <v>4650000</v>
      </c>
      <c r="N872" t="str" s="431" cm="1">
        <f t="array" ref="N872">IF(B872&gt;0,_xlfn.IFERROR(VLOOKUP(C853,'Boats Data Sheet 2026'!$C$3:$I$57,7,0)*'Direct Costs 2026'!$C$36,"N/A"),"N/A")</f>
        <v>N/A</v>
      </c>
      <c r="O872" s="423">
        <v>0</v>
      </c>
      <c r="P872" s="423">
        <v>0</v>
      </c>
      <c r="Q872" s="423" cm="1">
        <f t="array" ref="Q872">_xlfn.IFERROR(C872+SUM(E872:P872),"N/A")</f>
        <v>39692500</v>
      </c>
      <c r="R872" s="424"/>
      <c r="S872" s="423" cm="1">
        <f t="array" ref="S872">IF(B872&gt;0,'Allocation OH and Target 2026'!$E$31,"N/A")</f>
        <v>3100447.15769812</v>
      </c>
      <c r="T872" s="423" cm="1">
        <f t="array" ref="T872">$T$867+$T$867*(B872-$B$867)</f>
        <v>2400000</v>
      </c>
      <c r="U872" s="423" cm="1">
        <f t="array" ref="U872">_xlfn.IFERROR((S872+T872),"N/A")</f>
        <v>5500447.15769812</v>
      </c>
      <c r="V872" s="424"/>
      <c r="W872" s="423" cm="1">
        <f t="array" ref="W872">_xlfn.IFERROR(U872+Q872,"N/A")</f>
        <v>45192947.1576981</v>
      </c>
      <c r="X872" s="423" cm="1">
        <f t="array" ref="X872">_xlfn.IFERROR(W872*0.5%,"N/A")</f>
        <v>225964.735788491</v>
      </c>
      <c r="Y872" s="423" cm="1">
        <f t="array" ref="Y872">_xlfn.IFERROR(W872*25%,"N/A")</f>
        <v>11298236.7894245</v>
      </c>
      <c r="Z872" s="425" cm="1">
        <f t="array" ref="Z872">IF(B872&gt;0,(SUM(W872:Y872)),"N/A")</f>
        <v>56717148.6829111</v>
      </c>
      <c r="AA872" s="425" cm="1">
        <f t="array" ref="AA872">_xlfn.IFERROR((Z872-Z871),"N/A")</f>
        <v>697780</v>
      </c>
      <c r="AB872" s="424"/>
      <c r="AC872" t="str" s="426" cm="1">
        <f t="array" ref="AC872">IF(B872=6,AVERAGE(Z856:Z861),"N/A")</f>
        <v>N/A</v>
      </c>
      <c r="AD872" s="424"/>
      <c r="AE872" s="423"/>
      <c r="AF872" s="423"/>
      <c r="AG872" s="423"/>
      <c r="AH872" s="423"/>
      <c r="AI872" s="423"/>
      <c r="AJ872" s="423"/>
      <c r="AK872" s="423"/>
      <c r="AL872" s="423"/>
      <c r="AM872" s="423"/>
      <c r="AN872" s="427"/>
    </row>
    <row r="873" ht="15" customHeight="1">
      <c r="A873" s="12"/>
      <c r="B873" s="428" cm="1">
        <f t="array" ref="B873">IF(B872=0,0,IF(B872&lt;VLOOKUP(C839,'Boats Data Sheet 2026'!$C$3:$H$57,6,0),B872+1,0))</f>
        <v>32</v>
      </c>
      <c r="C873" s="423" cm="1">
        <f t="array" ref="C873">_xlfn.IFERROR(IF(B873&gt;0,IF(VLOOKUP($C$839,'Boats Data Sheet 2026'!$C$3:$J$57,8,0)="N/A",0,VLOOKUP($C$839,'Boats Data Sheet 2026'!$C$3:$J$57,8,0)),"N/A")*100%,"N/A")</f>
        <v>32000000</v>
      </c>
      <c r="D873" s="430">
        <v>3</v>
      </c>
      <c r="E873" s="423" cm="1">
        <f t="array" ref="E873">_xlfn.IFERROR(SUM('Direct Costs 2026'!$C$4:$C$5)*D873,"N/A")</f>
        <v>2626500</v>
      </c>
      <c r="F873" s="423" cm="1">
        <f t="array" ref="F873">_xlfn.IFERROR('Direct Costs 2026'!$C$43*B873,"N/A")</f>
        <v>192000</v>
      </c>
      <c r="G873" s="423" cm="1">
        <f t="array" ref="G873">IF(B873&gt;0,'Direct Costs 2026'!$C$25,"N/A")</f>
        <v>90000</v>
      </c>
      <c r="H873" s="423">
        <v>0</v>
      </c>
      <c r="I873" s="423">
        <v>0</v>
      </c>
      <c r="J873" s="423">
        <v>0</v>
      </c>
      <c r="K873" s="423">
        <v>0</v>
      </c>
      <c r="L873" s="423" cm="1">
        <f t="array" ref="L873">IF(B873&gt;0,'Direct Costs 2026'!$C$23,"N/A")</f>
        <v>140000</v>
      </c>
      <c r="M873" s="423" cm="1">
        <f t="array" ref="M873">IF(B873&gt;0,'Direct Costs 2026'!$C$45*B873,"N/A")</f>
        <v>4800000</v>
      </c>
      <c r="N873" t="str" s="431" cm="1">
        <f t="array" ref="N873">IF(B873&gt;0,_xlfn.IFERROR(VLOOKUP(C855,'Boats Data Sheet 2026'!$C$3:$I$57,7,0)*'Direct Costs 2026'!$C$36,"N/A"),"N/A")</f>
        <v>N/A</v>
      </c>
      <c r="O873" s="423">
        <v>0</v>
      </c>
      <c r="P873" s="423">
        <v>0</v>
      </c>
      <c r="Q873" s="423" cm="1">
        <f t="array" ref="Q873">_xlfn.IFERROR(C873+SUM(E873:P873),"N/A")</f>
        <v>39848500</v>
      </c>
      <c r="R873" s="424"/>
      <c r="S873" s="423" cm="1">
        <f t="array" ref="S873">IF(B873&gt;0,'Allocation OH and Target 2026'!$E$31,"N/A")</f>
        <v>3100447.15769812</v>
      </c>
      <c r="T873" s="423" cm="1">
        <f t="array" ref="T873">$T$867+$T$867*(B873-$B$867)</f>
        <v>2800000</v>
      </c>
      <c r="U873" s="423" cm="1">
        <f t="array" ref="U873">_xlfn.IFERROR((S873+T873),"N/A")</f>
        <v>5900447.15769812</v>
      </c>
      <c r="V873" s="424"/>
      <c r="W873" s="423" cm="1">
        <f t="array" ref="W873">_xlfn.IFERROR(U873+Q873,"N/A")</f>
        <v>45748947.1576981</v>
      </c>
      <c r="X873" s="423" cm="1">
        <f t="array" ref="X873">_xlfn.IFERROR(W873*0.5%,"N/A")</f>
        <v>228744.735788491</v>
      </c>
      <c r="Y873" s="423" cm="1">
        <f t="array" ref="Y873">_xlfn.IFERROR(W873*25%,"N/A")</f>
        <v>11437236.7894245</v>
      </c>
      <c r="Z873" s="425" cm="1">
        <f t="array" ref="Z873">IF(B873&gt;0,(SUM(W873:Y873)),"N/A")</f>
        <v>57414928.6829111</v>
      </c>
      <c r="AA873" s="425" cm="1">
        <f t="array" ref="AA873">_xlfn.IFERROR((Z873-Z872),"N/A")</f>
        <v>697780</v>
      </c>
      <c r="AB873" s="424"/>
      <c r="AC873" t="str" s="426" cm="1">
        <f t="array" ref="AC873">IF(B873=6,AVERAGE(Z858:Z863),"N/A")</f>
        <v>N/A</v>
      </c>
      <c r="AD873" s="424"/>
      <c r="AE873" s="423"/>
      <c r="AF873" s="423"/>
      <c r="AG873" s="423"/>
      <c r="AH873" s="423"/>
      <c r="AI873" s="423"/>
      <c r="AJ873" s="423"/>
      <c r="AK873" s="423"/>
      <c r="AL873" s="423"/>
      <c r="AM873" s="423"/>
      <c r="AN873" s="427"/>
    </row>
    <row r="874" ht="15" customHeight="1">
      <c r="A874" s="12"/>
      <c r="B874" s="428" cm="1">
        <f t="array" ref="B874">IF(B873=0,0,IF(B873&lt;VLOOKUP(C839,'Boats Data Sheet 2026'!$C$3:$H$57,6,0),B873+1,0))</f>
        <v>33</v>
      </c>
      <c r="C874" s="423" cm="1">
        <f t="array" ref="C874">_xlfn.IFERROR(IF(B874&gt;0,IF(VLOOKUP($C$839,'Boats Data Sheet 2026'!$C$3:$J$57,8,0)="N/A",0,VLOOKUP($C$839,'Boats Data Sheet 2026'!$C$3:$J$57,8,0)),"N/A")*100%,"N/A")</f>
        <v>32000000</v>
      </c>
      <c r="D874" s="430">
        <v>3</v>
      </c>
      <c r="E874" s="423" cm="1">
        <f t="array" ref="E874">_xlfn.IFERROR(SUM('Direct Costs 2026'!$C$4:$C$5)*D874,"N/A")</f>
        <v>2626500</v>
      </c>
      <c r="F874" s="423" cm="1">
        <f t="array" ref="F874">_xlfn.IFERROR('Direct Costs 2026'!$C$43*B874,"N/A")</f>
        <v>198000</v>
      </c>
      <c r="G874" s="423" cm="1">
        <f t="array" ref="G874">IF(B874&gt;0,'Direct Costs 2026'!$C$25,"N/A")</f>
        <v>90000</v>
      </c>
      <c r="H874" s="423">
        <v>0</v>
      </c>
      <c r="I874" s="423">
        <v>0</v>
      </c>
      <c r="J874" s="423">
        <v>0</v>
      </c>
      <c r="K874" s="423">
        <v>0</v>
      </c>
      <c r="L874" s="423" cm="1">
        <f t="array" ref="L874">IF(B874&gt;0,'Direct Costs 2026'!$C$23,"N/A")</f>
        <v>140000</v>
      </c>
      <c r="M874" s="423" cm="1">
        <f t="array" ref="M874">IF(B874&gt;0,'Direct Costs 2026'!$C$45*B874,"N/A")</f>
        <v>4950000</v>
      </c>
      <c r="N874" t="str" s="431" cm="1">
        <f t="array" ref="N874">IF(B874&gt;0,_xlfn.IFERROR(VLOOKUP(C855,'Boats Data Sheet 2026'!$C$3:$I$57,7,0)*'Direct Costs 2026'!$C$36,"N/A"),"N/A")</f>
        <v>N/A</v>
      </c>
      <c r="O874" s="423">
        <v>0</v>
      </c>
      <c r="P874" s="423">
        <v>0</v>
      </c>
      <c r="Q874" s="423" cm="1">
        <f t="array" ref="Q874">_xlfn.IFERROR(C874+SUM(E874:P874),"N/A")</f>
        <v>40004500</v>
      </c>
      <c r="R874" s="424"/>
      <c r="S874" s="423" cm="1">
        <f t="array" ref="S874">IF(B874&gt;0,'Allocation OH and Target 2026'!$E$31,"N/A")</f>
        <v>3100447.15769812</v>
      </c>
      <c r="T874" s="423" cm="1">
        <f t="array" ref="T874">$T$867+$T$867*(B874-$B$867)</f>
        <v>3200000</v>
      </c>
      <c r="U874" s="423" cm="1">
        <f t="array" ref="U874">_xlfn.IFERROR((S874+T874),"N/A")</f>
        <v>6300447.15769812</v>
      </c>
      <c r="V874" s="424"/>
      <c r="W874" s="423" cm="1">
        <f t="array" ref="W874">_xlfn.IFERROR(U874+Q874,"N/A")</f>
        <v>46304947.1576981</v>
      </c>
      <c r="X874" s="423" cm="1">
        <f t="array" ref="X874">_xlfn.IFERROR(W874*0.5%,"N/A")</f>
        <v>231524.735788491</v>
      </c>
      <c r="Y874" s="423" cm="1">
        <f t="array" ref="Y874">_xlfn.IFERROR(W874*25%,"N/A")</f>
        <v>11576236.7894245</v>
      </c>
      <c r="Z874" s="425" cm="1">
        <f t="array" ref="Z874">IF(B874&gt;0,(SUM(W874:Y874)),"N/A")</f>
        <v>58112708.6829111</v>
      </c>
      <c r="AA874" s="425" cm="1">
        <f t="array" ref="AA874">_xlfn.IFERROR((Z874-Z873),"N/A")</f>
        <v>697780</v>
      </c>
      <c r="AB874" s="424"/>
      <c r="AC874" t="str" s="426" cm="1">
        <f t="array" ref="AC874">IF(B874=6,AVERAGE(Z858:Z863),"N/A")</f>
        <v>N/A</v>
      </c>
      <c r="AD874" s="424"/>
      <c r="AE874" s="423"/>
      <c r="AF874" s="423"/>
      <c r="AG874" s="423"/>
      <c r="AH874" s="423"/>
      <c r="AI874" s="423"/>
      <c r="AJ874" s="423"/>
      <c r="AK874" s="423"/>
      <c r="AL874" s="423"/>
      <c r="AM874" s="423"/>
      <c r="AN874" s="427"/>
    </row>
    <row r="875" ht="15" customHeight="1">
      <c r="A875" s="12"/>
      <c r="B875" s="428" cm="1">
        <f t="array" ref="B875">IF(B874=0,0,IF(B874&lt;VLOOKUP(C839,'Boats Data Sheet 2026'!$C$3:$H$57,6,0),B874+1,0))</f>
        <v>34</v>
      </c>
      <c r="C875" s="423" cm="1">
        <f t="array" ref="C875">_xlfn.IFERROR(IF(B875&gt;0,IF(VLOOKUP($C$839,'Boats Data Sheet 2026'!$C$3:$J$57,8,0)="N/A",0,VLOOKUP($C$839,'Boats Data Sheet 2026'!$C$3:$J$57,8,0)),"N/A")*100%,"N/A")</f>
        <v>32000000</v>
      </c>
      <c r="D875" s="430">
        <v>3</v>
      </c>
      <c r="E875" s="423" cm="1">
        <f t="array" ref="E875">_xlfn.IFERROR(SUM('Direct Costs 2026'!$C$4:$C$5)*D875,"N/A")</f>
        <v>2626500</v>
      </c>
      <c r="F875" s="423" cm="1">
        <f t="array" ref="F875">_xlfn.IFERROR('Direct Costs 2026'!$C$43*B875,"N/A")</f>
        <v>204000</v>
      </c>
      <c r="G875" s="423" cm="1">
        <f t="array" ref="G875">IF(B875&gt;0,'Direct Costs 2026'!$C$25,"N/A")</f>
        <v>90000</v>
      </c>
      <c r="H875" s="423">
        <v>0</v>
      </c>
      <c r="I875" s="423">
        <v>0</v>
      </c>
      <c r="J875" s="423">
        <v>0</v>
      </c>
      <c r="K875" s="423">
        <v>0</v>
      </c>
      <c r="L875" s="423" cm="1">
        <f t="array" ref="L875">IF(B875&gt;0,'Direct Costs 2026'!$C$23,"N/A")</f>
        <v>140000</v>
      </c>
      <c r="M875" s="423" cm="1">
        <f t="array" ref="M875">IF(B875&gt;0,'Direct Costs 2026'!$C$45*B875,"N/A")</f>
        <v>5100000</v>
      </c>
      <c r="N875" t="str" s="431" cm="1">
        <f t="array" ref="N875">IF(B875&gt;0,_xlfn.IFERROR(VLOOKUP(C857,'Boats Data Sheet 2026'!$C$3:$I$57,7,0)*'Direct Costs 2026'!$C$36,"N/A"),"N/A")</f>
        <v>N/A</v>
      </c>
      <c r="O875" s="423">
        <v>0</v>
      </c>
      <c r="P875" s="423">
        <v>0</v>
      </c>
      <c r="Q875" s="423" cm="1">
        <f t="array" ref="Q875">_xlfn.IFERROR(C875+SUM(E875:P875),"N/A")</f>
        <v>40160500</v>
      </c>
      <c r="R875" s="424"/>
      <c r="S875" s="423" cm="1">
        <f t="array" ref="S875">IF(B875&gt;0,'Allocation OH and Target 2026'!$E$31,"N/A")</f>
        <v>3100447.15769812</v>
      </c>
      <c r="T875" s="423" cm="1">
        <f t="array" ref="T875">$T$867+$T$867*(B875-$B$867)</f>
        <v>3600000</v>
      </c>
      <c r="U875" s="423" cm="1">
        <f t="array" ref="U875">_xlfn.IFERROR((S875+T875),"N/A")</f>
        <v>6700447.15769812</v>
      </c>
      <c r="V875" s="424"/>
      <c r="W875" s="423" cm="1">
        <f t="array" ref="W875">_xlfn.IFERROR(U875+Q875,"N/A")</f>
        <v>46860947.1576981</v>
      </c>
      <c r="X875" s="423" cm="1">
        <f t="array" ref="X875">_xlfn.IFERROR(W875*0.5%,"N/A")</f>
        <v>234304.735788491</v>
      </c>
      <c r="Y875" s="423" cm="1">
        <f t="array" ref="Y875">_xlfn.IFERROR(W875*25%,"N/A")</f>
        <v>11715236.7894245</v>
      </c>
      <c r="Z875" s="425" cm="1">
        <f t="array" ref="Z875">IF(B875&gt;0,(SUM(W875:Y875)),"N/A")</f>
        <v>58810488.6829111</v>
      </c>
      <c r="AA875" s="425" cm="1">
        <f t="array" ref="AA875">_xlfn.IFERROR((Z875-Z874),"N/A")</f>
        <v>697780</v>
      </c>
      <c r="AB875" s="424"/>
      <c r="AC875" t="str" s="426" cm="1">
        <f t="array" ref="AC875">IF(B875=6,AVERAGE(Z860:Z865),"N/A")</f>
        <v>N/A</v>
      </c>
      <c r="AD875" s="424"/>
      <c r="AE875" s="423"/>
      <c r="AF875" s="423"/>
      <c r="AG875" s="423"/>
      <c r="AH875" s="423"/>
      <c r="AI875" s="423"/>
      <c r="AJ875" s="423"/>
      <c r="AK875" s="423"/>
      <c r="AL875" s="423"/>
      <c r="AM875" s="423"/>
      <c r="AN875" s="427"/>
    </row>
    <row r="876" ht="15" customHeight="1">
      <c r="A876" s="12"/>
      <c r="B876" s="428" cm="1">
        <f t="array" ref="B876">IF(B875=0,0,IF(B875&lt;VLOOKUP(C839,'Boats Data Sheet 2026'!$C$3:$H$57,6,0),B875+1,0))</f>
        <v>35</v>
      </c>
      <c r="C876" s="423" cm="1">
        <f t="array" ref="C876">_xlfn.IFERROR(IF(B876&gt;0,IF(VLOOKUP($C$839,'Boats Data Sheet 2026'!$C$3:$J$57,8,0)="N/A",0,VLOOKUP($C$839,'Boats Data Sheet 2026'!$C$3:$J$57,8,0)),"N/A")*100%,"N/A")</f>
        <v>32000000</v>
      </c>
      <c r="D876" s="430">
        <v>3</v>
      </c>
      <c r="E876" s="423" cm="1">
        <f t="array" ref="E876">_xlfn.IFERROR(SUM('Direct Costs 2026'!$C$4:$C$5)*D876,"N/A")</f>
        <v>2626500</v>
      </c>
      <c r="F876" s="423" cm="1">
        <f t="array" ref="F876">_xlfn.IFERROR('Direct Costs 2026'!$C$43*B876,"N/A")</f>
        <v>210000</v>
      </c>
      <c r="G876" s="423" cm="1">
        <f t="array" ref="G876">IF(B876&gt;0,'Direct Costs 2026'!$C$25,"N/A")</f>
        <v>90000</v>
      </c>
      <c r="H876" s="423">
        <v>0</v>
      </c>
      <c r="I876" s="423">
        <v>0</v>
      </c>
      <c r="J876" s="423">
        <v>0</v>
      </c>
      <c r="K876" s="423">
        <v>0</v>
      </c>
      <c r="L876" s="423" cm="1">
        <f t="array" ref="L876">IF(B876&gt;0,'Direct Costs 2026'!$C$23,"N/A")</f>
        <v>140000</v>
      </c>
      <c r="M876" s="423" cm="1">
        <f t="array" ref="M876">IF(B876&gt;0,'Direct Costs 2026'!$C$45*B876,"N/A")</f>
        <v>5250000</v>
      </c>
      <c r="N876" t="str" s="431" cm="1">
        <f t="array" ref="N876">IF(B876&gt;0,_xlfn.IFERROR(VLOOKUP(C857,'Boats Data Sheet 2026'!$C$3:$I$57,7,0)*'Direct Costs 2026'!$C$36,"N/A"),"N/A")</f>
        <v>N/A</v>
      </c>
      <c r="O876" s="423">
        <v>0</v>
      </c>
      <c r="P876" s="423">
        <v>0</v>
      </c>
      <c r="Q876" s="423" cm="1">
        <f t="array" ref="Q876">_xlfn.IFERROR(C876+SUM(E876:P876),"N/A")</f>
        <v>40316500</v>
      </c>
      <c r="R876" s="424"/>
      <c r="S876" s="423" cm="1">
        <f t="array" ref="S876">IF(B876&gt;0,'Allocation OH and Target 2026'!$E$31,"N/A")</f>
        <v>3100447.15769812</v>
      </c>
      <c r="T876" s="423" cm="1">
        <f t="array" ref="T876">$T$867+$T$867*(B876-$B$867)</f>
        <v>4000000</v>
      </c>
      <c r="U876" s="423" cm="1">
        <f t="array" ref="U876">_xlfn.IFERROR((S876+T876),"N/A")</f>
        <v>7100447.15769812</v>
      </c>
      <c r="V876" s="424"/>
      <c r="W876" s="423" cm="1">
        <f t="array" ref="W876">_xlfn.IFERROR(U876+Q876,"N/A")</f>
        <v>47416947.1576981</v>
      </c>
      <c r="X876" s="423" cm="1">
        <f t="array" ref="X876">_xlfn.IFERROR(W876*0.5%,"N/A")</f>
        <v>237084.735788491</v>
      </c>
      <c r="Y876" s="423" cm="1">
        <f t="array" ref="Y876">_xlfn.IFERROR(W876*25%,"N/A")</f>
        <v>11854236.7894245</v>
      </c>
      <c r="Z876" s="425" cm="1">
        <f t="array" ref="Z876">IF(B876&gt;0,(SUM(W876:Y876)),"N/A")</f>
        <v>59508268.6829111</v>
      </c>
      <c r="AA876" s="425" cm="1">
        <f t="array" ref="AA876">_xlfn.IFERROR((Z876-Z875),"N/A")</f>
        <v>697780</v>
      </c>
      <c r="AB876" s="424"/>
      <c r="AC876" t="str" s="426" cm="1">
        <f t="array" ref="AC876">IF(B876=6,AVERAGE(Z860:Z865),"N/A")</f>
        <v>N/A</v>
      </c>
      <c r="AD876" s="424"/>
      <c r="AE876" s="423"/>
      <c r="AF876" s="423"/>
      <c r="AG876" s="423"/>
      <c r="AH876" s="423"/>
      <c r="AI876" s="423"/>
      <c r="AJ876" s="423"/>
      <c r="AK876" s="423"/>
      <c r="AL876" s="423"/>
      <c r="AM876" s="423"/>
      <c r="AN876" s="427"/>
    </row>
    <row r="877" ht="15" customHeight="1">
      <c r="A877" s="12"/>
      <c r="B877" s="428" cm="1">
        <f t="array" ref="B877">IF(B876=0,0,IF(B876&lt;VLOOKUP(C839,'Boats Data Sheet 2026'!$C$3:$H$57,6,0),B876+1,0))</f>
        <v>0</v>
      </c>
      <c r="C877" t="str" s="431" cm="1">
        <f t="array" ref="C877">_xlfn.IFERROR(IF(B877&gt;0,IF(VLOOKUP($C$839,'Boats Data Sheet 2026'!$C$3:$J$57,8,0)="N/A",0,VLOOKUP($C$839,'Boats Data Sheet 2026'!$C$3:$J$57,8,0)),"N/A")*100%,"N/A")</f>
        <v>N/A</v>
      </c>
      <c r="D877" s="430">
        <v>3</v>
      </c>
      <c r="E877" s="423" cm="1">
        <f t="array" ref="E877">_xlfn.IFERROR(SUM('Direct Costs 2026'!$C$4:$C$5)*D877,"N/A")</f>
        <v>2626500</v>
      </c>
      <c r="F877" s="423" cm="1">
        <f t="array" ref="F877">_xlfn.IFERROR('Direct Costs 2026'!$C$43*B877,"N/A")</f>
        <v>0</v>
      </c>
      <c r="G877" t="str" s="431" cm="1">
        <f t="array" ref="G877">IF(B877&gt;0,'Direct Costs 2026'!$C$25,"N/A")</f>
        <v>N/A</v>
      </c>
      <c r="H877" s="423">
        <v>0</v>
      </c>
      <c r="I877" s="423">
        <v>0</v>
      </c>
      <c r="J877" s="423">
        <v>0</v>
      </c>
      <c r="K877" s="423">
        <v>0</v>
      </c>
      <c r="L877" t="str" s="431" cm="1">
        <f t="array" ref="L877">IF(B877&gt;0,'Direct Costs 2026'!$C$23,"N/A")</f>
        <v>N/A</v>
      </c>
      <c r="M877" t="str" s="431" cm="1">
        <f t="array" ref="M877">IF(B877&gt;0,'Direct Costs 2026'!$C$45*B877,"N/A")</f>
        <v>N/A</v>
      </c>
      <c r="N877" t="str" s="431" cm="1">
        <f t="array" ref="N877">IF(B877&gt;0,_xlfn.IFERROR(VLOOKUP(C859,'Boats Data Sheet 2026'!$C$3:$I$57,7,0)*'Direct Costs 2026'!$C$36,"N/A"),"N/A")</f>
        <v>N/A</v>
      </c>
      <c r="O877" s="423">
        <v>0</v>
      </c>
      <c r="P877" s="423">
        <v>0</v>
      </c>
      <c r="Q877" t="str" s="431" cm="1">
        <f t="array" ref="Q877">_xlfn.IFERROR(C877+SUM(E877:P877),"N/A")</f>
        <v>N/A</v>
      </c>
      <c r="R877" s="424"/>
      <c r="S877" t="str" s="431" cm="1">
        <f t="array" ref="S877">IF(B877&gt;0,'Allocation OH and Target 2026'!$E$31,"N/A")</f>
        <v>N/A</v>
      </c>
      <c r="T877" s="423">
        <v>0</v>
      </c>
      <c r="U877" t="str" s="431" cm="1">
        <f t="array" ref="U877">_xlfn.IFERROR((S877+T877),"N/A")</f>
        <v>N/A</v>
      </c>
      <c r="V877" s="424"/>
      <c r="W877" t="str" s="431" cm="1">
        <f t="array" ref="W877">_xlfn.IFERROR(U877+Q877,"N/A")</f>
        <v>N/A</v>
      </c>
      <c r="X877" t="str" s="431" cm="1">
        <f t="array" ref="X877">_xlfn.IFERROR(W877*0.5%,"N/A")</f>
        <v>N/A</v>
      </c>
      <c r="Y877" t="str" s="431" cm="1">
        <f t="array" ref="Y877">_xlfn.IFERROR(W877*25%,"N/A")</f>
        <v>N/A</v>
      </c>
      <c r="Z877" t="str" s="426" cm="1">
        <f t="array" ref="Z877">IF(B877&gt;0,(SUM(W877:Y877)),"N/A")</f>
        <v>N/A</v>
      </c>
      <c r="AA877" t="str" s="426" cm="1">
        <f t="array" ref="AA877">_xlfn.IFERROR((Z877-Z876),"N/A")</f>
        <v>N/A</v>
      </c>
      <c r="AB877" s="424"/>
      <c r="AC877" t="str" s="426" cm="1">
        <f t="array" ref="AC877">IF(B877=6,AVERAGE(Z862:Z867),"N/A")</f>
        <v>N/A</v>
      </c>
      <c r="AD877" s="424"/>
      <c r="AE877" s="423"/>
      <c r="AF877" s="423"/>
      <c r="AG877" s="423"/>
      <c r="AH877" s="423"/>
      <c r="AI877" s="423"/>
      <c r="AJ877" s="423"/>
      <c r="AK877" s="423"/>
      <c r="AL877" s="423"/>
      <c r="AM877" s="423"/>
      <c r="AN877" s="427"/>
    </row>
    <row r="878" ht="15" customHeight="1">
      <c r="A878" s="12"/>
      <c r="B878" s="428" cm="1">
        <f t="array" ref="B878">IF(B877=0,0,IF(B877&lt;VLOOKUP(C839,'Boats Data Sheet 2026'!$C$3:$H$57,6,0),B877+1,0))</f>
        <v>0</v>
      </c>
      <c r="C878" t="str" s="431" cm="1">
        <f t="array" ref="C878">_xlfn.IFERROR(IF(B878&gt;0,IF(VLOOKUP($C$839,'Boats Data Sheet 2026'!$C$3:$J$57,8,0)="N/A",0,VLOOKUP($C$839,'Boats Data Sheet 2026'!$C$3:$J$57,8,0)),"N/A")*100%,"N/A")</f>
        <v>N/A</v>
      </c>
      <c r="D878" s="430">
        <v>3</v>
      </c>
      <c r="E878" s="423" cm="1">
        <f t="array" ref="E878">_xlfn.IFERROR(SUM('Direct Costs 2026'!$C$4:$C$5)*D878,"N/A")</f>
        <v>2626500</v>
      </c>
      <c r="F878" s="423" cm="1">
        <f t="array" ref="F878">_xlfn.IFERROR('Direct Costs 2026'!$C$43*B878,"N/A")</f>
        <v>0</v>
      </c>
      <c r="G878" t="str" s="431" cm="1">
        <f t="array" ref="G878">IF(B878&gt;0,'Direct Costs 2026'!$C$25,"N/A")</f>
        <v>N/A</v>
      </c>
      <c r="H878" s="423">
        <v>0</v>
      </c>
      <c r="I878" s="423">
        <v>0</v>
      </c>
      <c r="J878" s="423">
        <v>0</v>
      </c>
      <c r="K878" s="423">
        <v>0</v>
      </c>
      <c r="L878" t="str" s="431" cm="1">
        <f t="array" ref="L878">IF(B878&gt;0,'Direct Costs 2026'!$C$23,"N/A")</f>
        <v>N/A</v>
      </c>
      <c r="M878" t="str" s="431" cm="1">
        <f t="array" ref="M878">IF(B878&gt;0,'Direct Costs 2026'!$C$45*B878,"N/A")</f>
        <v>N/A</v>
      </c>
      <c r="N878" t="str" s="431" cm="1">
        <f t="array" ref="N878">IF(B878&gt;0,_xlfn.IFERROR(VLOOKUP(C859,'Boats Data Sheet 2026'!$C$3:$I$57,7,0)*'Direct Costs 2026'!$C$36,"N/A"),"N/A")</f>
        <v>N/A</v>
      </c>
      <c r="O878" s="423">
        <v>0</v>
      </c>
      <c r="P878" s="423">
        <v>0</v>
      </c>
      <c r="Q878" t="str" s="431" cm="1">
        <f t="array" ref="Q878">_xlfn.IFERROR(C878+SUM(E878:P878),"N/A")</f>
        <v>N/A</v>
      </c>
      <c r="R878" s="424"/>
      <c r="S878" t="str" s="431" cm="1">
        <f t="array" ref="S878">IF(B878&gt;0,'Allocation OH and Target 2026'!$E$31,"N/A")</f>
        <v>N/A</v>
      </c>
      <c r="T878" s="423">
        <v>0</v>
      </c>
      <c r="U878" t="str" s="431" cm="1">
        <f t="array" ref="U878">_xlfn.IFERROR((S878+T878),"N/A")</f>
        <v>N/A</v>
      </c>
      <c r="V878" s="424"/>
      <c r="W878" t="str" s="431" cm="1">
        <f t="array" ref="W878">_xlfn.IFERROR(U878+Q878,"N/A")</f>
        <v>N/A</v>
      </c>
      <c r="X878" t="str" s="431" cm="1">
        <f t="array" ref="X878">_xlfn.IFERROR(W878*0.5%,"N/A")</f>
        <v>N/A</v>
      </c>
      <c r="Y878" t="str" s="431" cm="1">
        <f t="array" ref="Y878">_xlfn.IFERROR(W878*25%,"N/A")</f>
        <v>N/A</v>
      </c>
      <c r="Z878" t="str" s="426" cm="1">
        <f t="array" ref="Z878">IF(B878&gt;0,(SUM(W878:Y878)),"N/A")</f>
        <v>N/A</v>
      </c>
      <c r="AA878" t="str" s="426" cm="1">
        <f t="array" ref="AA878">_xlfn.IFERROR((Z878-Z877),"N/A")</f>
        <v>N/A</v>
      </c>
      <c r="AB878" s="424"/>
      <c r="AC878" t="str" s="426" cm="1">
        <f t="array" ref="AC878">IF(B878=6,AVERAGE(Z862:Z867),"N/A")</f>
        <v>N/A</v>
      </c>
      <c r="AD878" s="424"/>
      <c r="AE878" s="423"/>
      <c r="AF878" s="423"/>
      <c r="AG878" s="423"/>
      <c r="AH878" s="423"/>
      <c r="AI878" s="423"/>
      <c r="AJ878" s="423"/>
      <c r="AK878" s="423"/>
      <c r="AL878" s="423"/>
      <c r="AM878" s="423"/>
      <c r="AN878" s="427"/>
    </row>
    <row r="879" ht="15" customHeight="1">
      <c r="A879" s="12"/>
      <c r="B879" s="428" cm="1">
        <f t="array" ref="B879">IF(B878=0,0,IF(B878&lt;VLOOKUP(C839,'Boats Data Sheet 2026'!$C$3:$H$57,6,0),B878+1,0))</f>
        <v>0</v>
      </c>
      <c r="C879" t="str" s="431" cm="1">
        <f t="array" ref="C879">_xlfn.IFERROR(IF(B879&gt;0,IF(VLOOKUP($C$839,'Boats Data Sheet 2026'!$C$3:$J$57,8,0)="N/A",0,VLOOKUP($C$839,'Boats Data Sheet 2026'!$C$3:$J$57,8,0)),"N/A")*100%,"N/A")</f>
        <v>N/A</v>
      </c>
      <c r="D879" s="430">
        <v>3</v>
      </c>
      <c r="E879" s="423" cm="1">
        <f t="array" ref="E879">_xlfn.IFERROR(SUM('Direct Costs 2026'!$C$4:$C$5)*D879,"N/A")</f>
        <v>2626500</v>
      </c>
      <c r="F879" s="423" cm="1">
        <f t="array" ref="F879">_xlfn.IFERROR('Direct Costs 2026'!$C$43*B879,"N/A")</f>
        <v>0</v>
      </c>
      <c r="G879" t="str" s="431" cm="1">
        <f t="array" ref="G879">IF(B879&gt;0,'Direct Costs 2026'!$C$25,"N/A")</f>
        <v>N/A</v>
      </c>
      <c r="H879" s="423">
        <v>0</v>
      </c>
      <c r="I879" s="423">
        <v>0</v>
      </c>
      <c r="J879" s="423">
        <v>0</v>
      </c>
      <c r="K879" s="423">
        <v>0</v>
      </c>
      <c r="L879" t="str" s="431" cm="1">
        <f t="array" ref="L879">IF(B879&gt;0,'Direct Costs 2026'!$C$23,"N/A")</f>
        <v>N/A</v>
      </c>
      <c r="M879" t="str" s="431" cm="1">
        <f t="array" ref="M879">IF(B879&gt;0,'Direct Costs 2026'!$C$45*B879,"N/A")</f>
        <v>N/A</v>
      </c>
      <c r="N879" t="str" s="431" cm="1">
        <f t="array" ref="N879">IF(B879&gt;0,_xlfn.IFERROR(VLOOKUP(C861,'Boats Data Sheet 2026'!$C$3:$I$57,7,0)*'Direct Costs 2026'!$C$36,"N/A"),"N/A")</f>
        <v>N/A</v>
      </c>
      <c r="O879" s="423">
        <v>0</v>
      </c>
      <c r="P879" s="423">
        <v>0</v>
      </c>
      <c r="Q879" t="str" s="431" cm="1">
        <f t="array" ref="Q879">_xlfn.IFERROR(C879+SUM(E879:P879),"N/A")</f>
        <v>N/A</v>
      </c>
      <c r="R879" s="424"/>
      <c r="S879" t="str" s="431" cm="1">
        <f t="array" ref="S879">IF(B879&gt;0,'Allocation OH and Target 2026'!$E$31,"N/A")</f>
        <v>N/A</v>
      </c>
      <c r="T879" s="423">
        <v>0</v>
      </c>
      <c r="U879" t="str" s="431" cm="1">
        <f t="array" ref="U879">_xlfn.IFERROR((S879+T879),"N/A")</f>
        <v>N/A</v>
      </c>
      <c r="V879" s="424"/>
      <c r="W879" t="str" s="431" cm="1">
        <f t="array" ref="W879">_xlfn.IFERROR(U879+Q879,"N/A")</f>
        <v>N/A</v>
      </c>
      <c r="X879" t="str" s="431" cm="1">
        <f t="array" ref="X879">_xlfn.IFERROR(W879*0.5%,"N/A")</f>
        <v>N/A</v>
      </c>
      <c r="Y879" t="str" s="431" cm="1">
        <f t="array" ref="Y879">_xlfn.IFERROR(W879*25%,"N/A")</f>
        <v>N/A</v>
      </c>
      <c r="Z879" t="str" s="426" cm="1">
        <f t="array" ref="Z879">IF(B879&gt;0,(SUM(W879:Y879)),"N/A")</f>
        <v>N/A</v>
      </c>
      <c r="AA879" t="str" s="426" cm="1">
        <f t="array" ref="AA879">_xlfn.IFERROR((Z879-Z878),"N/A")</f>
        <v>N/A</v>
      </c>
      <c r="AB879" s="424"/>
      <c r="AC879" t="str" s="426" cm="1">
        <f t="array" ref="AC879">IF(B879=6,AVERAGE(Z864:Z869),"N/A")</f>
        <v>N/A</v>
      </c>
      <c r="AD879" s="424"/>
      <c r="AE879" s="423"/>
      <c r="AF879" s="423"/>
      <c r="AG879" s="423"/>
      <c r="AH879" s="423"/>
      <c r="AI879" s="423"/>
      <c r="AJ879" s="423"/>
      <c r="AK879" s="423"/>
      <c r="AL879" s="423"/>
      <c r="AM879" s="423"/>
      <c r="AN879" s="427"/>
    </row>
    <row r="880" ht="15" customHeight="1">
      <c r="A880" s="12"/>
      <c r="B880" s="428" cm="1">
        <f t="array" ref="B880">IF(B879=0,0,IF(B879&lt;VLOOKUP(C839,'Boats Data Sheet 2026'!$C$3:$H$57,6,0),B879+1,0))</f>
        <v>0</v>
      </c>
      <c r="C880" t="str" s="431" cm="1">
        <f t="array" ref="C880">_xlfn.IFERROR(IF(B880&gt;0,IF(VLOOKUP($C$839,'Boats Data Sheet 2026'!$C$3:$J$57,8,0)="N/A",0,VLOOKUP($C$839,'Boats Data Sheet 2026'!$C$3:$J$57,8,0)),"N/A")*100%,"N/A")</f>
        <v>N/A</v>
      </c>
      <c r="D880" s="430">
        <v>3</v>
      </c>
      <c r="E880" s="423" cm="1">
        <f t="array" ref="E880">_xlfn.IFERROR(SUM('Direct Costs 2026'!$C$4:$C$5)*D880,"N/A")</f>
        <v>2626500</v>
      </c>
      <c r="F880" s="423" cm="1">
        <f t="array" ref="F880">_xlfn.IFERROR('Direct Costs 2026'!$C$43*B880,"N/A")</f>
        <v>0</v>
      </c>
      <c r="G880" t="str" s="431" cm="1">
        <f t="array" ref="G880">IF(B880&gt;0,'Direct Costs 2026'!$C$25,"N/A")</f>
        <v>N/A</v>
      </c>
      <c r="H880" s="423">
        <v>0</v>
      </c>
      <c r="I880" s="423">
        <v>0</v>
      </c>
      <c r="J880" s="423">
        <v>0</v>
      </c>
      <c r="K880" s="423">
        <v>0</v>
      </c>
      <c r="L880" t="str" s="431" cm="1">
        <f t="array" ref="L880">IF(B880&gt;0,'Direct Costs 2026'!$C$23,"N/A")</f>
        <v>N/A</v>
      </c>
      <c r="M880" t="str" s="431" cm="1">
        <f t="array" ref="M880">IF(B880&gt;0,'Direct Costs 2026'!$C$45*B880,"N/A")</f>
        <v>N/A</v>
      </c>
      <c r="N880" t="str" s="431" cm="1">
        <f t="array" ref="N880">IF(B880&gt;0,_xlfn.IFERROR(VLOOKUP(C861,'Boats Data Sheet 2026'!$C$3:$I$57,7,0)*'Direct Costs 2026'!$C$36,"N/A"),"N/A")</f>
        <v>N/A</v>
      </c>
      <c r="O880" s="423">
        <v>0</v>
      </c>
      <c r="P880" s="423">
        <v>0</v>
      </c>
      <c r="Q880" t="str" s="431" cm="1">
        <f t="array" ref="Q880">_xlfn.IFERROR(C880+SUM(E880:P880),"N/A")</f>
        <v>N/A</v>
      </c>
      <c r="R880" s="424"/>
      <c r="S880" t="str" s="431" cm="1">
        <f t="array" ref="S880">IF(B880&gt;0,'Allocation OH and Target 2026'!$E$31,"N/A")</f>
        <v>N/A</v>
      </c>
      <c r="T880" s="423">
        <v>0</v>
      </c>
      <c r="U880" t="str" s="431" cm="1">
        <f t="array" ref="U880">_xlfn.IFERROR((S880+T880),"N/A")</f>
        <v>N/A</v>
      </c>
      <c r="V880" s="424"/>
      <c r="W880" t="str" s="431" cm="1">
        <f t="array" ref="W880">_xlfn.IFERROR(U880+Q880,"N/A")</f>
        <v>N/A</v>
      </c>
      <c r="X880" t="str" s="431" cm="1">
        <f t="array" ref="X880">_xlfn.IFERROR(W880*0.5%,"N/A")</f>
        <v>N/A</v>
      </c>
      <c r="Y880" t="str" s="431" cm="1">
        <f t="array" ref="Y880">_xlfn.IFERROR(W880*25%,"N/A")</f>
        <v>N/A</v>
      </c>
      <c r="Z880" t="str" s="426" cm="1">
        <f t="array" ref="Z880">IF(B880&gt;0,(SUM(W880:Y880)),"N/A")</f>
        <v>N/A</v>
      </c>
      <c r="AA880" t="str" s="426" cm="1">
        <f t="array" ref="AA880">_xlfn.IFERROR((Z880-Z879),"N/A")</f>
        <v>N/A</v>
      </c>
      <c r="AB880" s="424"/>
      <c r="AC880" t="str" s="426" cm="1">
        <f t="array" ref="AC880">IF(B880=6,AVERAGE(Z864:Z869),"N/A")</f>
        <v>N/A</v>
      </c>
      <c r="AD880" s="424"/>
      <c r="AE880" s="423"/>
      <c r="AF880" s="423"/>
      <c r="AG880" s="423"/>
      <c r="AH880" s="423"/>
      <c r="AI880" s="423"/>
      <c r="AJ880" s="423"/>
      <c r="AK880" s="423"/>
      <c r="AL880" s="423"/>
      <c r="AM880" s="423"/>
      <c r="AN880" s="427"/>
    </row>
    <row r="881" ht="15" customHeight="1">
      <c r="A881" s="12"/>
      <c r="B881" s="428" cm="1">
        <f t="array" ref="B881">IF(B880=0,0,IF(B880&lt;VLOOKUP(C839,'Boats Data Sheet 2026'!$C$3:$H$57,6,0),B880+1,0))</f>
        <v>0</v>
      </c>
      <c r="C881" t="str" s="431" cm="1">
        <f t="array" ref="C881">_xlfn.IFERROR(IF(B881&gt;0,IF(VLOOKUP($C$839,'Boats Data Sheet 2026'!$C$3:$J$57,8,0)="N/A",0,VLOOKUP($C$839,'Boats Data Sheet 2026'!$C$3:$J$57,8,0)),"N/A")*100%,"N/A")</f>
        <v>N/A</v>
      </c>
      <c r="D881" s="430">
        <v>3</v>
      </c>
      <c r="E881" s="423" cm="1">
        <f t="array" ref="E881">_xlfn.IFERROR(SUM('Direct Costs 2026'!$C$4:$C$5)*D881,"N/A")</f>
        <v>2626500</v>
      </c>
      <c r="F881" s="423" cm="1">
        <f t="array" ref="F881">_xlfn.IFERROR('Direct Costs 2026'!$C$43*B881,"N/A")</f>
        <v>0</v>
      </c>
      <c r="G881" t="str" s="431" cm="1">
        <f t="array" ref="G881">IF(B881&gt;0,'Direct Costs 2026'!$C$25,"N/A")</f>
        <v>N/A</v>
      </c>
      <c r="H881" s="423">
        <v>0</v>
      </c>
      <c r="I881" s="423">
        <v>0</v>
      </c>
      <c r="J881" s="423">
        <v>0</v>
      </c>
      <c r="K881" s="423">
        <v>0</v>
      </c>
      <c r="L881" t="str" s="431" cm="1">
        <f t="array" ref="L881">IF(B881&gt;0,'Direct Costs 2026'!$C$23,"N/A")</f>
        <v>N/A</v>
      </c>
      <c r="M881" t="str" s="431" cm="1">
        <f t="array" ref="M881">IF(B881&gt;0,'Direct Costs 2026'!$C$45*B881,"N/A")</f>
        <v>N/A</v>
      </c>
      <c r="N881" t="str" s="431" cm="1">
        <f t="array" ref="N881">IF(B881&gt;0,_xlfn.IFERROR(VLOOKUP(C863,'Boats Data Sheet 2026'!$C$3:$I$57,7,0)*'Direct Costs 2026'!$C$36,"N/A"),"N/A")</f>
        <v>N/A</v>
      </c>
      <c r="O881" s="423">
        <v>0</v>
      </c>
      <c r="P881" s="423">
        <v>0</v>
      </c>
      <c r="Q881" t="str" s="431" cm="1">
        <f t="array" ref="Q881">_xlfn.IFERROR(C881+SUM(E881:P881),"N/A")</f>
        <v>N/A</v>
      </c>
      <c r="R881" s="424"/>
      <c r="S881" t="str" s="431" cm="1">
        <f t="array" ref="S881">IF(B881&gt;0,'Allocation OH and Target 2026'!$E$31,"N/A")</f>
        <v>N/A</v>
      </c>
      <c r="T881" s="423">
        <v>0</v>
      </c>
      <c r="U881" t="str" s="431" cm="1">
        <f t="array" ref="U881">_xlfn.IFERROR((S881+T881),"N/A")</f>
        <v>N/A</v>
      </c>
      <c r="V881" s="424"/>
      <c r="W881" t="str" s="431" cm="1">
        <f t="array" ref="W881">_xlfn.IFERROR(U881+Q881,"N/A")</f>
        <v>N/A</v>
      </c>
      <c r="X881" t="str" s="431" cm="1">
        <f t="array" ref="X881">_xlfn.IFERROR(W881*0.5%,"N/A")</f>
        <v>N/A</v>
      </c>
      <c r="Y881" t="str" s="431" cm="1">
        <f t="array" ref="Y881">_xlfn.IFERROR(W881*25%,"N/A")</f>
        <v>N/A</v>
      </c>
      <c r="Z881" t="str" s="426" cm="1">
        <f t="array" ref="Z881">IF(B881&gt;0,(SUM(W881:Y881)),"N/A")</f>
        <v>N/A</v>
      </c>
      <c r="AA881" t="str" s="426" cm="1">
        <f t="array" ref="AA881">_xlfn.IFERROR((Z881-Z880),"N/A")</f>
        <v>N/A</v>
      </c>
      <c r="AB881" s="424"/>
      <c r="AC881" t="str" s="426" cm="1">
        <f t="array" ref="AC881">IF(B881=6,AVERAGE(Z866:Z871),"N/A")</f>
        <v>N/A</v>
      </c>
      <c r="AD881" s="424"/>
      <c r="AE881" s="423"/>
      <c r="AF881" s="423"/>
      <c r="AG881" s="423"/>
      <c r="AH881" s="423"/>
      <c r="AI881" s="423"/>
      <c r="AJ881" s="423"/>
      <c r="AK881" s="423"/>
      <c r="AL881" s="423"/>
      <c r="AM881" s="423"/>
      <c r="AN881" s="427"/>
    </row>
    <row r="882" ht="15" customHeight="1">
      <c r="A882" s="12"/>
      <c r="B882" s="428" cm="1">
        <f t="array" ref="B882">IF(B881=0,0,IF(B881&lt;VLOOKUP(C839,'Boats Data Sheet 2026'!$C$3:$H$57,6,0),B881+1,0))</f>
        <v>0</v>
      </c>
      <c r="C882" t="str" s="431" cm="1">
        <f t="array" ref="C882">_xlfn.IFERROR(IF(B882&gt;0,IF(VLOOKUP($C$839,'Boats Data Sheet 2026'!$C$3:$J$57,8,0)="N/A",0,VLOOKUP($C$839,'Boats Data Sheet 2026'!$C$3:$J$57,8,0)),"N/A")*100%,"N/A")</f>
        <v>N/A</v>
      </c>
      <c r="D882" s="430">
        <v>3</v>
      </c>
      <c r="E882" s="423" cm="1">
        <f t="array" ref="E882">_xlfn.IFERROR(SUM('Direct Costs 2026'!$C$4:$C$5)*D882,"N/A")</f>
        <v>2626500</v>
      </c>
      <c r="F882" s="423" cm="1">
        <f t="array" ref="F882">_xlfn.IFERROR('Direct Costs 2026'!$C$43*B882,"N/A")</f>
        <v>0</v>
      </c>
      <c r="G882" t="str" s="431" cm="1">
        <f t="array" ref="G882">IF(B882&gt;0,'Direct Costs 2026'!$C$25,"N/A")</f>
        <v>N/A</v>
      </c>
      <c r="H882" s="423">
        <v>0</v>
      </c>
      <c r="I882" s="423">
        <v>0</v>
      </c>
      <c r="J882" s="423">
        <v>0</v>
      </c>
      <c r="K882" s="423">
        <v>0</v>
      </c>
      <c r="L882" t="str" s="431" cm="1">
        <f t="array" ref="L882">IF(B882&gt;0,'Direct Costs 2026'!$C$23,"N/A")</f>
        <v>N/A</v>
      </c>
      <c r="M882" t="str" s="431" cm="1">
        <f t="array" ref="M882">IF(B882&gt;0,'Direct Costs 2026'!$C$45*B882,"N/A")</f>
        <v>N/A</v>
      </c>
      <c r="N882" t="str" s="431" cm="1">
        <f t="array" ref="N882">IF(B882&gt;0,_xlfn.IFERROR(VLOOKUP(C863,'Boats Data Sheet 2026'!$C$3:$I$57,7,0)*'Direct Costs 2026'!$C$36,"N/A"),"N/A")</f>
        <v>N/A</v>
      </c>
      <c r="O882" s="423">
        <v>0</v>
      </c>
      <c r="P882" s="423">
        <v>0</v>
      </c>
      <c r="Q882" t="str" s="431" cm="1">
        <f t="array" ref="Q882">_xlfn.IFERROR(C882+SUM(E882:P882),"N/A")</f>
        <v>N/A</v>
      </c>
      <c r="R882" s="424"/>
      <c r="S882" t="str" s="431" cm="1">
        <f t="array" ref="S882">IF(B882&gt;0,'Allocation OH and Target 2026'!$E$31,"N/A")</f>
        <v>N/A</v>
      </c>
      <c r="T882" s="423">
        <v>0</v>
      </c>
      <c r="U882" t="str" s="431" cm="1">
        <f t="array" ref="U882">_xlfn.IFERROR((S882+T882),"N/A")</f>
        <v>N/A</v>
      </c>
      <c r="V882" s="424"/>
      <c r="W882" t="str" s="431" cm="1">
        <f t="array" ref="W882">_xlfn.IFERROR(U882+Q882,"N/A")</f>
        <v>N/A</v>
      </c>
      <c r="X882" t="str" s="431" cm="1">
        <f t="array" ref="X882">_xlfn.IFERROR(W882*0.5%,"N/A")</f>
        <v>N/A</v>
      </c>
      <c r="Y882" t="str" s="431" cm="1">
        <f t="array" ref="Y882">_xlfn.IFERROR(W882*25%,"N/A")</f>
        <v>N/A</v>
      </c>
      <c r="Z882" t="str" s="426" cm="1">
        <f t="array" ref="Z882">IF(B882&gt;0,(SUM(W882:Y882)),"N/A")</f>
        <v>N/A</v>
      </c>
      <c r="AA882" t="str" s="426" cm="1">
        <f t="array" ref="AA882">_xlfn.IFERROR((Z882-Z881),"N/A")</f>
        <v>N/A</v>
      </c>
      <c r="AB882" s="424"/>
      <c r="AC882" t="str" s="426" cm="1">
        <f t="array" ref="AC882">IF(B882=6,AVERAGE(Z866:Z871),"N/A")</f>
        <v>N/A</v>
      </c>
      <c r="AD882" s="424"/>
      <c r="AE882" s="423"/>
      <c r="AF882" s="423"/>
      <c r="AG882" s="423"/>
      <c r="AH882" s="423"/>
      <c r="AI882" s="423"/>
      <c r="AJ882" s="423"/>
      <c r="AK882" s="423"/>
      <c r="AL882" s="423"/>
      <c r="AM882" s="423"/>
      <c r="AN882" s="427"/>
    </row>
    <row r="883" ht="15" customHeight="1">
      <c r="A883" s="12"/>
      <c r="B883" s="428" cm="1">
        <f t="array" ref="B883">IF(B882=0,0,IF(B882&lt;VLOOKUP(C839,'Boats Data Sheet 2026'!$C$3:$H$57,6,0),B882+1,0))</f>
        <v>0</v>
      </c>
      <c r="C883" t="str" s="431" cm="1">
        <f t="array" ref="C883">_xlfn.IFERROR(IF(B883&gt;0,IF(VLOOKUP($C$839,'Boats Data Sheet 2026'!$C$3:$J$57,8,0)="N/A",0,VLOOKUP($C$839,'Boats Data Sheet 2026'!$C$3:$J$57,8,0)),"N/A")*100%,"N/A")</f>
        <v>N/A</v>
      </c>
      <c r="D883" s="430">
        <v>3</v>
      </c>
      <c r="E883" s="423" cm="1">
        <f t="array" ref="E883">_xlfn.IFERROR(SUM('Direct Costs 2026'!$C$4:$C$5)*D883,"N/A")</f>
        <v>2626500</v>
      </c>
      <c r="F883" s="423" cm="1">
        <f t="array" ref="F883">_xlfn.IFERROR('Direct Costs 2026'!$C$43*B883,"N/A")</f>
        <v>0</v>
      </c>
      <c r="G883" t="str" s="431" cm="1">
        <f t="array" ref="G883">IF(B883&gt;0,'Direct Costs 2026'!$C$25,"N/A")</f>
        <v>N/A</v>
      </c>
      <c r="H883" s="423">
        <v>0</v>
      </c>
      <c r="I883" s="423">
        <v>0</v>
      </c>
      <c r="J883" s="423">
        <v>0</v>
      </c>
      <c r="K883" s="423">
        <v>0</v>
      </c>
      <c r="L883" t="str" s="431" cm="1">
        <f t="array" ref="L883">IF(B883&gt;0,'Direct Costs 2026'!$C$23,"N/A")</f>
        <v>N/A</v>
      </c>
      <c r="M883" t="str" s="431" cm="1">
        <f t="array" ref="M883">IF(B883&gt;0,'Direct Costs 2026'!$C$45*B883,"N/A")</f>
        <v>N/A</v>
      </c>
      <c r="N883" t="str" s="431" cm="1">
        <f t="array" ref="N883">IF(B883&gt;0,_xlfn.IFERROR(VLOOKUP(C865,'Boats Data Sheet 2026'!$C$3:$I$57,7,0)*'Direct Costs 2026'!$C$36,"N/A"),"N/A")</f>
        <v>N/A</v>
      </c>
      <c r="O883" s="423">
        <v>0</v>
      </c>
      <c r="P883" s="423">
        <v>0</v>
      </c>
      <c r="Q883" t="str" s="431" cm="1">
        <f t="array" ref="Q883">_xlfn.IFERROR(C883+SUM(E883:P883),"N/A")</f>
        <v>N/A</v>
      </c>
      <c r="R883" s="424"/>
      <c r="S883" t="str" s="431" cm="1">
        <f t="array" ref="S883">IF(B883&gt;0,'Allocation OH and Target 2026'!$E$31,"N/A")</f>
        <v>N/A</v>
      </c>
      <c r="T883" s="423">
        <v>0</v>
      </c>
      <c r="U883" t="str" s="431" cm="1">
        <f t="array" ref="U883">_xlfn.IFERROR((S883+T883),"N/A")</f>
        <v>N/A</v>
      </c>
      <c r="V883" s="424"/>
      <c r="W883" t="str" s="431" cm="1">
        <f t="array" ref="W883">_xlfn.IFERROR(U883+Q883,"N/A")</f>
        <v>N/A</v>
      </c>
      <c r="X883" t="str" s="431" cm="1">
        <f t="array" ref="X883">_xlfn.IFERROR(W883*0.5%,"N/A")</f>
        <v>N/A</v>
      </c>
      <c r="Y883" t="str" s="431" cm="1">
        <f t="array" ref="Y883">_xlfn.IFERROR(W883*25%,"N/A")</f>
        <v>N/A</v>
      </c>
      <c r="Z883" t="str" s="426" cm="1">
        <f t="array" ref="Z883">IF(B883&gt;0,(SUM(W883:Y883)),"N/A")</f>
        <v>N/A</v>
      </c>
      <c r="AA883" t="str" s="426" cm="1">
        <f t="array" ref="AA883">_xlfn.IFERROR((Z883-Z882),"N/A")</f>
        <v>N/A</v>
      </c>
      <c r="AB883" s="424"/>
      <c r="AC883" t="str" s="426" cm="1">
        <f t="array" ref="AC883">IF(B883=6,AVERAGE(Z868:Z873),"N/A")</f>
        <v>N/A</v>
      </c>
      <c r="AD883" s="424"/>
      <c r="AE883" s="423"/>
      <c r="AF883" s="423"/>
      <c r="AG883" s="423"/>
      <c r="AH883" s="423"/>
      <c r="AI883" s="423"/>
      <c r="AJ883" s="423"/>
      <c r="AK883" s="423"/>
      <c r="AL883" s="423"/>
      <c r="AM883" s="423"/>
      <c r="AN883" s="427"/>
    </row>
    <row r="884" ht="15" customHeight="1">
      <c r="A884" s="12"/>
      <c r="B884" s="428" cm="1">
        <f t="array" ref="B884">IF(B883=0,0,IF(B883&lt;VLOOKUP(C839,'Boats Data Sheet 2026'!$C$3:$H$57,6,0),B883+1,0))</f>
        <v>0</v>
      </c>
      <c r="C884" t="str" s="431" cm="1">
        <f t="array" ref="C884">_xlfn.IFERROR(IF(B884&gt;0,IF(VLOOKUP($C$839,'Boats Data Sheet 2026'!$C$3:$J$57,8,0)="N/A",0,VLOOKUP($C$839,'Boats Data Sheet 2026'!$C$3:$J$57,8,0)),"N/A")*100%,"N/A")</f>
        <v>N/A</v>
      </c>
      <c r="D884" s="430">
        <v>3</v>
      </c>
      <c r="E884" s="423" cm="1">
        <f t="array" ref="E884">_xlfn.IFERROR(SUM('Direct Costs 2026'!$C$4:$C$5)*D884,"N/A")</f>
        <v>2626500</v>
      </c>
      <c r="F884" s="423" cm="1">
        <f t="array" ref="F884">_xlfn.IFERROR('Direct Costs 2026'!$C$43*B884,"N/A")</f>
        <v>0</v>
      </c>
      <c r="G884" t="str" s="431" cm="1">
        <f t="array" ref="G884">IF(B884&gt;0,'Direct Costs 2026'!$C$25,"N/A")</f>
        <v>N/A</v>
      </c>
      <c r="H884" s="423">
        <v>0</v>
      </c>
      <c r="I884" s="423">
        <v>0</v>
      </c>
      <c r="J884" s="423">
        <v>0</v>
      </c>
      <c r="K884" s="423">
        <v>0</v>
      </c>
      <c r="L884" t="str" s="431" cm="1">
        <f t="array" ref="L884">IF(B884&gt;0,'Direct Costs 2026'!$C$23,"N/A")</f>
        <v>N/A</v>
      </c>
      <c r="M884" t="str" s="431" cm="1">
        <f t="array" ref="M884">IF(B884&gt;0,'Direct Costs 2026'!$C$45*B884,"N/A")</f>
        <v>N/A</v>
      </c>
      <c r="N884" t="str" s="431" cm="1">
        <f t="array" ref="N884">IF(B884&gt;0,_xlfn.IFERROR(VLOOKUP(C865,'Boats Data Sheet 2026'!$C$3:$I$57,7,0)*'Direct Costs 2026'!$C$36,"N/A"),"N/A")</f>
        <v>N/A</v>
      </c>
      <c r="O884" s="423">
        <v>0</v>
      </c>
      <c r="P884" s="423">
        <v>0</v>
      </c>
      <c r="Q884" t="str" s="431" cm="1">
        <f t="array" ref="Q884">_xlfn.IFERROR(C884+SUM(E884:P884),"N/A")</f>
        <v>N/A</v>
      </c>
      <c r="R884" s="424"/>
      <c r="S884" t="str" s="431" cm="1">
        <f t="array" ref="S884">IF(B884&gt;0,'Allocation OH and Target 2026'!$E$31,"N/A")</f>
        <v>N/A</v>
      </c>
      <c r="T884" s="423">
        <v>0</v>
      </c>
      <c r="U884" t="str" s="431" cm="1">
        <f t="array" ref="U884">_xlfn.IFERROR((S884+T884),"N/A")</f>
        <v>N/A</v>
      </c>
      <c r="V884" s="424"/>
      <c r="W884" t="str" s="431" cm="1">
        <f t="array" ref="W884">_xlfn.IFERROR(U884+Q884,"N/A")</f>
        <v>N/A</v>
      </c>
      <c r="X884" t="str" s="431" cm="1">
        <f t="array" ref="X884">_xlfn.IFERROR(W884*0.5%,"N/A")</f>
        <v>N/A</v>
      </c>
      <c r="Y884" t="str" s="431" cm="1">
        <f t="array" ref="Y884">_xlfn.IFERROR(W884*25%,"N/A")</f>
        <v>N/A</v>
      </c>
      <c r="Z884" t="str" s="426" cm="1">
        <f t="array" ref="Z884">IF(B884&gt;0,(SUM(W884:Y884)),"N/A")</f>
        <v>N/A</v>
      </c>
      <c r="AA884" t="str" s="426" cm="1">
        <f t="array" ref="AA884">_xlfn.IFERROR((Z884-Z883),"N/A")</f>
        <v>N/A</v>
      </c>
      <c r="AB884" s="424"/>
      <c r="AC884" t="str" s="426" cm="1">
        <f t="array" ref="AC884">IF(B884=6,AVERAGE(Z868:Z873),"N/A")</f>
        <v>N/A</v>
      </c>
      <c r="AD884" s="424"/>
      <c r="AE884" s="423"/>
      <c r="AF884" s="423"/>
      <c r="AG884" s="423"/>
      <c r="AH884" s="423"/>
      <c r="AI884" s="423"/>
      <c r="AJ884" s="423"/>
      <c r="AK884" s="423"/>
      <c r="AL884" s="423"/>
      <c r="AM884" s="423"/>
      <c r="AN884" s="427"/>
    </row>
    <row r="885" ht="15" customHeight="1">
      <c r="A885" s="12"/>
      <c r="B885" s="428" cm="1">
        <f t="array" ref="B885">IF(B884=0,0,IF(B884&lt;VLOOKUP(C839,'Boats Data Sheet 2026'!$C$3:$H$57,6,0),B884+1,0))</f>
        <v>0</v>
      </c>
      <c r="C885" t="str" s="431" cm="1">
        <f t="array" ref="C885">_xlfn.IFERROR(IF(B885&gt;0,IF(VLOOKUP($C$839,'Boats Data Sheet 2026'!$C$3:$J$57,8,0)="N/A",0,VLOOKUP($C$839,'Boats Data Sheet 2026'!$C$3:$J$57,8,0)),"N/A")*100%,"N/A")</f>
        <v>N/A</v>
      </c>
      <c r="D885" s="430">
        <v>3</v>
      </c>
      <c r="E885" s="423" cm="1">
        <f t="array" ref="E885">_xlfn.IFERROR(SUM('Direct Costs 2026'!$C$4:$C$5)*D885,"N/A")</f>
        <v>2626500</v>
      </c>
      <c r="F885" s="423" cm="1">
        <f t="array" ref="F885">_xlfn.IFERROR('Direct Costs 2026'!$C$43*B885,"N/A")</f>
        <v>0</v>
      </c>
      <c r="G885" t="str" s="431" cm="1">
        <f t="array" ref="G885">IF(B885&gt;0,'Direct Costs 2026'!$C$25,"N/A")</f>
        <v>N/A</v>
      </c>
      <c r="H885" s="423">
        <v>0</v>
      </c>
      <c r="I885" s="423">
        <v>0</v>
      </c>
      <c r="J885" s="423">
        <v>0</v>
      </c>
      <c r="K885" s="423">
        <v>0</v>
      </c>
      <c r="L885" t="str" s="431" cm="1">
        <f t="array" ref="L885">IF(B885&gt;0,'Direct Costs 2026'!$C$23,"N/A")</f>
        <v>N/A</v>
      </c>
      <c r="M885" t="str" s="431" cm="1">
        <f t="array" ref="M885">IF(B885&gt;0,'Direct Costs 2026'!$C$45*B885,"N/A")</f>
        <v>N/A</v>
      </c>
      <c r="N885" t="str" s="431" cm="1">
        <f t="array" ref="N885">IF(B885&gt;0,_xlfn.IFERROR(VLOOKUP(C867,'Boats Data Sheet 2026'!$C$3:$I$57,7,0)*'Direct Costs 2026'!$C$36,"N/A"),"N/A")</f>
        <v>N/A</v>
      </c>
      <c r="O885" s="423">
        <v>0</v>
      </c>
      <c r="P885" s="423">
        <v>0</v>
      </c>
      <c r="Q885" t="str" s="431" cm="1">
        <f t="array" ref="Q885">_xlfn.IFERROR(C885+SUM(E885:P885),"N/A")</f>
        <v>N/A</v>
      </c>
      <c r="R885" s="424"/>
      <c r="S885" t="str" s="431" cm="1">
        <f t="array" ref="S885">IF(B885&gt;0,'Allocation OH and Target 2026'!$E$31,"N/A")</f>
        <v>N/A</v>
      </c>
      <c r="T885" s="423">
        <v>0</v>
      </c>
      <c r="U885" t="str" s="431" cm="1">
        <f t="array" ref="U885">_xlfn.IFERROR((S885+T885),"N/A")</f>
        <v>N/A</v>
      </c>
      <c r="V885" s="424"/>
      <c r="W885" t="str" s="431" cm="1">
        <f t="array" ref="W885">_xlfn.IFERROR(U885+Q885,"N/A")</f>
        <v>N/A</v>
      </c>
      <c r="X885" t="str" s="431" cm="1">
        <f t="array" ref="X885">_xlfn.IFERROR(W885*0.5%,"N/A")</f>
        <v>N/A</v>
      </c>
      <c r="Y885" t="str" s="431" cm="1">
        <f t="array" ref="Y885">_xlfn.IFERROR(W885*25%,"N/A")</f>
        <v>N/A</v>
      </c>
      <c r="Z885" t="str" s="426" cm="1">
        <f t="array" ref="Z885">IF(B885&gt;0,(SUM(W885:Y885)),"N/A")</f>
        <v>N/A</v>
      </c>
      <c r="AA885" t="str" s="426" cm="1">
        <f t="array" ref="AA885">_xlfn.IFERROR((Z885-Z884),"N/A")</f>
        <v>N/A</v>
      </c>
      <c r="AB885" s="424"/>
      <c r="AC885" t="str" s="426" cm="1">
        <f t="array" ref="AC885">IF(B885=6,AVERAGE(Z870:Z875),"N/A")</f>
        <v>N/A</v>
      </c>
      <c r="AD885" s="424"/>
      <c r="AE885" s="423"/>
      <c r="AF885" s="423"/>
      <c r="AG885" s="423"/>
      <c r="AH885" s="423"/>
      <c r="AI885" s="423"/>
      <c r="AJ885" s="423"/>
      <c r="AK885" s="423"/>
      <c r="AL885" s="423"/>
      <c r="AM885" s="423"/>
      <c r="AN885" s="427"/>
    </row>
    <row r="886" ht="15" customHeight="1">
      <c r="A886" s="12"/>
      <c r="B886" s="428" cm="1">
        <f t="array" ref="B886">IF(B885=0,0,IF(B885&lt;VLOOKUP(C839,'Boats Data Sheet 2026'!$C$3:$H$57,6,0),B885+1,0))</f>
        <v>0</v>
      </c>
      <c r="C886" t="str" s="431" cm="1">
        <f t="array" ref="C886">_xlfn.IFERROR(IF(B886&gt;0,IF(VLOOKUP($C$839,'Boats Data Sheet 2026'!$C$3:$J$57,8,0)="N/A",0,VLOOKUP($C$839,'Boats Data Sheet 2026'!$C$3:$J$57,8,0)),"N/A")*100%,"N/A")</f>
        <v>N/A</v>
      </c>
      <c r="D886" s="430">
        <v>3</v>
      </c>
      <c r="E886" s="423" cm="1">
        <f t="array" ref="E886">_xlfn.IFERROR(SUM('Direct Costs 2026'!$C$4:$C$5)*D886,"N/A")</f>
        <v>2626500</v>
      </c>
      <c r="F886" s="423" cm="1">
        <f t="array" ref="F886">_xlfn.IFERROR('Direct Costs 2026'!$C$43*B886,"N/A")</f>
        <v>0</v>
      </c>
      <c r="G886" t="str" s="431" cm="1">
        <f t="array" ref="G886">IF(B886&gt;0,'Direct Costs 2026'!$C$25,"N/A")</f>
        <v>N/A</v>
      </c>
      <c r="H886" s="423">
        <v>0</v>
      </c>
      <c r="I886" s="423">
        <v>0</v>
      </c>
      <c r="J886" s="423">
        <v>0</v>
      </c>
      <c r="K886" s="423">
        <v>0</v>
      </c>
      <c r="L886" t="str" s="431" cm="1">
        <f t="array" ref="L886">IF(B886&gt;0,'Direct Costs 2026'!$C$23,"N/A")</f>
        <v>N/A</v>
      </c>
      <c r="M886" t="str" s="431" cm="1">
        <f t="array" ref="M886">IF(B886&gt;0,'Direct Costs 2026'!$C$45*B886,"N/A")</f>
        <v>N/A</v>
      </c>
      <c r="N886" t="str" s="431" cm="1">
        <f t="array" ref="N886">IF(B886&gt;0,_xlfn.IFERROR(VLOOKUP(C867,'Boats Data Sheet 2026'!$C$3:$I$57,7,0)*'Direct Costs 2026'!$C$36,"N/A"),"N/A")</f>
        <v>N/A</v>
      </c>
      <c r="O886" s="423">
        <v>0</v>
      </c>
      <c r="P886" s="423">
        <v>0</v>
      </c>
      <c r="Q886" t="str" s="431" cm="1">
        <f t="array" ref="Q886">_xlfn.IFERROR(C886+SUM(E886:P886),"N/A")</f>
        <v>N/A</v>
      </c>
      <c r="R886" s="424"/>
      <c r="S886" t="str" s="431" cm="1">
        <f t="array" ref="S886">IF(B886&gt;0,'Allocation OH and Target 2026'!$E$31,"N/A")</f>
        <v>N/A</v>
      </c>
      <c r="T886" s="423">
        <v>0</v>
      </c>
      <c r="U886" t="str" s="431" cm="1">
        <f t="array" ref="U886">_xlfn.IFERROR((S886+T886),"N/A")</f>
        <v>N/A</v>
      </c>
      <c r="V886" s="424"/>
      <c r="W886" t="str" s="431" cm="1">
        <f t="array" ref="W886">_xlfn.IFERROR(U886+Q886,"N/A")</f>
        <v>N/A</v>
      </c>
      <c r="X886" t="str" s="431" cm="1">
        <f t="array" ref="X886">_xlfn.IFERROR(W886*0.5%,"N/A")</f>
        <v>N/A</v>
      </c>
      <c r="Y886" t="str" s="431" cm="1">
        <f t="array" ref="Y886">_xlfn.IFERROR(W886*25%,"N/A")</f>
        <v>N/A</v>
      </c>
      <c r="Z886" t="str" s="426" cm="1">
        <f t="array" ref="Z886">IF(B886&gt;0,(SUM(W886:Y886)),"N/A")</f>
        <v>N/A</v>
      </c>
      <c r="AA886" t="str" s="426" cm="1">
        <f t="array" ref="AA886">_xlfn.IFERROR((Z886-Z885),"N/A")</f>
        <v>N/A</v>
      </c>
      <c r="AB886" s="424"/>
      <c r="AC886" t="str" s="426" cm="1">
        <f t="array" ref="AC886">IF(B886=6,AVERAGE(Z870:Z875),"N/A")</f>
        <v>N/A</v>
      </c>
      <c r="AD886" s="424"/>
      <c r="AE886" s="423"/>
      <c r="AF886" s="423"/>
      <c r="AG886" s="423"/>
      <c r="AH886" s="423"/>
      <c r="AI886" s="423"/>
      <c r="AJ886" s="423"/>
      <c r="AK886" s="423"/>
      <c r="AL886" s="423"/>
      <c r="AM886" s="423"/>
      <c r="AN886" s="427"/>
    </row>
    <row r="887" ht="15.5" customHeight="1">
      <c r="A887" s="12"/>
      <c r="B887" s="432"/>
      <c r="C887" s="434"/>
      <c r="D887" s="433"/>
      <c r="E887" s="434"/>
      <c r="F887" s="434"/>
      <c r="G887" s="434"/>
      <c r="H887" s="434"/>
      <c r="I887" s="434"/>
      <c r="J887" s="434"/>
      <c r="K887" s="434"/>
      <c r="L887" s="434"/>
      <c r="M887" s="434"/>
      <c r="N887" s="434"/>
      <c r="O887" s="434"/>
      <c r="P887" s="434"/>
      <c r="Q887" s="434"/>
      <c r="R887" s="435"/>
      <c r="S887" s="434"/>
      <c r="T887" s="434"/>
      <c r="U887" s="434"/>
      <c r="V887" s="435"/>
      <c r="W887" s="434"/>
      <c r="X887" s="434"/>
      <c r="Y887" s="434"/>
      <c r="Z887" s="497"/>
      <c r="AA887" s="497"/>
      <c r="AB887" s="435"/>
      <c r="AC887" s="497"/>
      <c r="AD887" s="435"/>
      <c r="AE887" s="434"/>
      <c r="AF887" s="434"/>
      <c r="AG887" s="434"/>
      <c r="AH887" s="434"/>
      <c r="AI887" s="434"/>
      <c r="AJ887" s="434"/>
      <c r="AK887" s="434"/>
      <c r="AL887" s="434"/>
      <c r="AM887" s="434"/>
      <c r="AN887" s="437"/>
    </row>
    <row r="888" ht="15" customHeight="1">
      <c r="A888" s="32"/>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c r="AH888" s="124"/>
      <c r="AI888" s="124"/>
      <c r="AJ888" s="124"/>
      <c r="AK888" s="124"/>
      <c r="AL888" s="124"/>
      <c r="AM888" s="124"/>
      <c r="AN888" s="313"/>
    </row>
    <row r="889" ht="15" customHeight="1">
      <c r="A889" s="32"/>
      <c r="B889" s="35"/>
      <c r="C889" s="493"/>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c r="AH889" s="35"/>
      <c r="AI889" s="35"/>
      <c r="AJ889" s="35"/>
      <c r="AK889" s="35"/>
      <c r="AL889" s="35"/>
      <c r="AM889" s="35"/>
      <c r="AN889" s="442"/>
    </row>
    <row r="890" ht="15.5" customHeight="1">
      <c r="A890" s="395">
        <v>31</v>
      </c>
      <c r="B890" t="s" s="396">
        <v>506</v>
      </c>
      <c r="C890" t="s" s="397">
        <v>106</v>
      </c>
      <c r="D890" s="398"/>
      <c r="E890" s="502"/>
      <c r="F890" s="398"/>
      <c r="G890" s="398"/>
      <c r="H890" s="398"/>
      <c r="I890" s="398"/>
      <c r="J890" s="398"/>
      <c r="K890" s="398"/>
      <c r="L890" s="398"/>
      <c r="M890" s="398"/>
      <c r="N890" s="398"/>
      <c r="O890" s="398"/>
      <c r="P890" s="398"/>
      <c r="Q890" s="398"/>
      <c r="R890" s="399"/>
      <c r="S890" s="398"/>
      <c r="T890" s="398"/>
      <c r="U890" s="398"/>
      <c r="V890" s="399"/>
      <c r="W890" s="398"/>
      <c r="X890" s="398"/>
      <c r="Y890" s="398"/>
      <c r="Z890" s="398"/>
      <c r="AA890" s="398"/>
      <c r="AB890" s="399"/>
      <c r="AC890" s="398"/>
      <c r="AD890" s="399"/>
      <c r="AE890" t="s" s="397">
        <v>508</v>
      </c>
      <c r="AF890" s="401" cm="1">
        <f t="array" ref="AF890">AVERAGE(Q893:Q898)</f>
        <v>35511500</v>
      </c>
      <c r="AG890" t="s" s="400">
        <v>509</v>
      </c>
      <c r="AH890" s="401" cm="1">
        <f t="array" ref="AH890">AVERAGE(Q899:Q906)-AF890</f>
        <v>1748625</v>
      </c>
      <c r="AI890" t="s" s="400">
        <v>510</v>
      </c>
      <c r="AJ890" s="401" cm="1">
        <f t="array" ref="AJ890">AVERAGE(Y893:Y900)</f>
        <v>9691986.789424529</v>
      </c>
      <c r="AK890" t="s" s="397">
        <v>511</v>
      </c>
      <c r="AL890" s="401" cm="1">
        <f t="array" ref="AL890">AVERAGE(W893:W898)</f>
        <v>38611947.1576981</v>
      </c>
      <c r="AM890" t="s" s="400">
        <v>512</v>
      </c>
      <c r="AN890" s="402" cm="1">
        <f t="array" ref="AN890">W893</f>
        <v>38221947.1576981</v>
      </c>
    </row>
    <row r="891" ht="15" customHeight="1">
      <c r="A891" s="12"/>
      <c r="B891" s="403"/>
      <c r="C891" t="s" s="404">
        <v>513</v>
      </c>
      <c r="D891" s="405"/>
      <c r="E891" s="405"/>
      <c r="F891" s="405"/>
      <c r="G891" s="405"/>
      <c r="H891" s="405"/>
      <c r="I891" s="405"/>
      <c r="J891" s="405"/>
      <c r="K891" s="405"/>
      <c r="L891" s="405"/>
      <c r="M891" s="405"/>
      <c r="N891" s="405"/>
      <c r="O891" s="405"/>
      <c r="P891" s="405"/>
      <c r="Q891" s="406"/>
      <c r="R891" s="407"/>
      <c r="S891" t="s" s="404">
        <v>514</v>
      </c>
      <c r="T891" s="405"/>
      <c r="U891" s="406"/>
      <c r="V891" s="407"/>
      <c r="W891" t="s" s="404">
        <v>515</v>
      </c>
      <c r="X891" s="405"/>
      <c r="Y891" s="405"/>
      <c r="Z891" s="405"/>
      <c r="AA891" s="405"/>
      <c r="AB891" s="408"/>
      <c r="AC891" s="443"/>
      <c r="AD891" s="410"/>
      <c r="AE891" s="443"/>
      <c r="AF891" s="443"/>
      <c r="AG891" s="443"/>
      <c r="AH891" s="443"/>
      <c r="AI891" s="443"/>
      <c r="AJ891" s="443"/>
      <c r="AK891" s="443"/>
      <c r="AL891" s="414"/>
      <c r="AM891" s="415"/>
      <c r="AN891" s="414"/>
    </row>
    <row r="892" ht="46.25" customHeight="1">
      <c r="A892" s="187"/>
      <c r="B892" t="s" s="416">
        <v>517</v>
      </c>
      <c r="C892" t="s" s="417">
        <v>518</v>
      </c>
      <c r="D892" t="s" s="417">
        <v>519</v>
      </c>
      <c r="E892" t="s" s="417">
        <v>520</v>
      </c>
      <c r="F892" t="s" s="159">
        <v>521</v>
      </c>
      <c r="G892" t="s" s="159">
        <v>522</v>
      </c>
      <c r="H892" t="s" s="159">
        <v>553</v>
      </c>
      <c r="I892" t="s" s="159">
        <v>524</v>
      </c>
      <c r="J892" t="s" s="159">
        <v>525</v>
      </c>
      <c r="K892" t="s" s="159">
        <v>526</v>
      </c>
      <c r="L892" t="s" s="159">
        <v>527</v>
      </c>
      <c r="M892" t="s" s="159">
        <v>528</v>
      </c>
      <c r="N892" t="s" s="159">
        <v>529</v>
      </c>
      <c r="O892" t="s" s="159">
        <v>530</v>
      </c>
      <c r="P892" t="s" s="159">
        <v>531</v>
      </c>
      <c r="Q892" t="s" s="159">
        <v>532</v>
      </c>
      <c r="R892" s="418"/>
      <c r="S892" t="s" s="159">
        <v>533</v>
      </c>
      <c r="T892" t="s" s="159">
        <v>534</v>
      </c>
      <c r="U892" t="s" s="159">
        <v>535</v>
      </c>
      <c r="V892" s="418"/>
      <c r="W892" t="s" s="159">
        <v>536</v>
      </c>
      <c r="X892" t="s" s="159">
        <v>537</v>
      </c>
      <c r="Y892" t="s" s="159">
        <v>538</v>
      </c>
      <c r="Z892" t="s" s="159">
        <v>539</v>
      </c>
      <c r="AA892" t="s" s="159">
        <v>121</v>
      </c>
      <c r="AB892" s="419"/>
      <c r="AC892" t="s" s="159">
        <v>39</v>
      </c>
      <c r="AD892" s="419"/>
      <c r="AE892" s="77"/>
      <c r="AF892" s="77"/>
      <c r="AG892" s="77"/>
      <c r="AH892" s="77"/>
      <c r="AI892" s="77"/>
      <c r="AJ892" s="77"/>
      <c r="AK892" s="77"/>
      <c r="AL892" s="77"/>
      <c r="AM892" s="77"/>
      <c r="AN892" s="78"/>
    </row>
    <row r="893" ht="15" customHeight="1">
      <c r="A893" s="12"/>
      <c r="B893" s="420">
        <v>1</v>
      </c>
      <c r="C893" s="421" cm="1">
        <f t="array" ref="C893">_xlfn.IFERROR(IF(B893&gt;0,IF(VLOOKUP($C$890,'Boats Data Sheet 2026'!$C$3:$J$57,8,0)="N/A",0,VLOOKUP($C$890,'Boats Data Sheet 2026'!$C$3:$J$57,8,0)),"N/A"),"N/A")</f>
        <v>34000000</v>
      </c>
      <c r="D893" s="422" cm="1">
        <f t="array" ref="D893">IF(B893&gt;8,2,IF(B893=0,"N/A",1))</f>
        <v>1</v>
      </c>
      <c r="E893" s="421" cm="1">
        <f t="array" ref="E893">_xlfn.IFERROR(SUM('Direct Costs 2026'!$C$4:$C$5)*D893,"N/A")</f>
        <v>875500</v>
      </c>
      <c r="F893" s="423" cm="1">
        <f t="array" ref="F893">_xlfn.IFERROR('Direct Costs 2026'!$C$43*B893,"N/A")</f>
        <v>6000</v>
      </c>
      <c r="G893" s="423" cm="1">
        <f t="array" ref="G893">IF(B893&gt;0,'Direct Costs 2026'!$C$25,"N/A")</f>
        <v>90000</v>
      </c>
      <c r="H893" s="423">
        <v>0</v>
      </c>
      <c r="I893" s="423">
        <v>0</v>
      </c>
      <c r="J893" s="423">
        <v>0</v>
      </c>
      <c r="K893" s="423">
        <v>0</v>
      </c>
      <c r="L893" s="423">
        <v>0</v>
      </c>
      <c r="M893" s="423" cm="1">
        <f t="array" ref="M893">IF(B893&gt;0,'Direct Costs 2026'!$C$45*B893,"N/A")</f>
        <v>150000</v>
      </c>
      <c r="N893" t="str" s="431" cm="1">
        <f t="array" ref="N893">IF(B893&gt;0,_xlfn.IFERROR(VLOOKUP(C890,'Boats Data Sheet 2026'!$C$3:$I$57,7,0)*'Direct Costs 2026'!$C$36,"N/A"),"N/A")</f>
        <v>N/A</v>
      </c>
      <c r="O893" t="str" s="431" cm="1">
        <f t="array" ref="O893">IF(B893&gt;0,IF(OR(VLOOKUP(C890,'Boats Data Sheet 2026'!$C$3:$F$57,4,0)="Own",VLOOKUP(C890,'Boats Data Sheet 2026'!$C$3:$F$57,4,0)="Management"),('Direct Costs 2026'!$C$37+'Direct Costs 2026'!$C$39),"N/A"),"N/A")</f>
        <v>N/A</v>
      </c>
      <c r="P893" s="423">
        <v>0</v>
      </c>
      <c r="Q893" s="423" cm="1">
        <f t="array" ref="Q893">_xlfn.IFERROR(C893+SUM(E893:P893),"N/A")</f>
        <v>35121500</v>
      </c>
      <c r="R893" s="424"/>
      <c r="S893" s="423" cm="1">
        <f t="array" ref="S893">IF(B893&gt;0,'Allocation OH and Target 2026'!$E$31,"N/A")</f>
        <v>3100447.15769812</v>
      </c>
      <c r="T893" s="423">
        <v>0</v>
      </c>
      <c r="U893" s="423" cm="1">
        <f t="array" ref="U893">_xlfn.IFERROR((S893+T893),"N/A")</f>
        <v>3100447.15769812</v>
      </c>
      <c r="V893" s="424"/>
      <c r="W893" s="423" cm="1">
        <f t="array" ref="W893">_xlfn.IFERROR(U893+Q893,"N/A")</f>
        <v>38221947.1576981</v>
      </c>
      <c r="X893" s="423" cm="1">
        <f t="array" ref="X893">_xlfn.IFERROR(W893*0.5%,"N/A")</f>
        <v>191109.735788491</v>
      </c>
      <c r="Y893" s="423" cm="1">
        <f t="array" ref="Y893">_xlfn.IFERROR(W893*25%,"N/A")</f>
        <v>9555486.789424529</v>
      </c>
      <c r="Z893" s="425" cm="1">
        <f t="array" ref="Z893">IF(B893&gt;0,(SUM(W893:Y893)),"N/A")</f>
        <v>47968543.6829111</v>
      </c>
      <c r="AA893" s="425">
        <v>0</v>
      </c>
      <c r="AB893" s="424"/>
      <c r="AC893" t="str" s="426" cm="1">
        <f t="array" ref="AC893">IF(B893=6,AVERAGE(Z893:Z898),"N/A")</f>
        <v>N/A</v>
      </c>
      <c r="AD893" s="424"/>
      <c r="AE893" s="423"/>
      <c r="AF893" s="505"/>
      <c r="AG893" s="423"/>
      <c r="AH893" s="423"/>
      <c r="AI893" s="423"/>
      <c r="AJ893" s="423"/>
      <c r="AK893" s="423"/>
      <c r="AL893" s="423"/>
      <c r="AM893" s="423"/>
      <c r="AN893" s="427"/>
    </row>
    <row r="894" ht="15" customHeight="1">
      <c r="A894" s="12"/>
      <c r="B894" s="428" cm="1">
        <f t="array" ref="B894">IF(B893=0,0,IF(B893&lt;VLOOKUP(C890,'Boats Data Sheet 2026'!$C$3:$H$57,6,0),B893+1,0))</f>
        <v>2</v>
      </c>
      <c r="C894" s="423" cm="1">
        <f t="array" ref="C894">_xlfn.IFERROR(IF(B894&gt;0,IF(VLOOKUP($C$890,'Boats Data Sheet 2026'!$C$3:$J$57,8,0)="N/A",0,VLOOKUP($C$890,'Boats Data Sheet 2026'!$C$3:$J$57,8,0)),"N/A"),"N/A")</f>
        <v>34000000</v>
      </c>
      <c r="D894" s="429" cm="1">
        <f t="array" ref="D894">IF(B894&gt;8,2,IF(B894=0,"N/A",1))</f>
        <v>1</v>
      </c>
      <c r="E894" s="423" cm="1">
        <f t="array" ref="E894">_xlfn.IFERROR(SUM('Direct Costs 2026'!$C$4:$C$5)*D894,"N/A")</f>
        <v>875500</v>
      </c>
      <c r="F894" s="423" cm="1">
        <f t="array" ref="F894">_xlfn.IFERROR('Direct Costs 2026'!$C$43*B894,"N/A")</f>
        <v>12000</v>
      </c>
      <c r="G894" s="423" cm="1">
        <f t="array" ref="G894">IF(B894&gt;0,'Direct Costs 2026'!$C$25,"N/A")</f>
        <v>90000</v>
      </c>
      <c r="H894" s="423">
        <v>0</v>
      </c>
      <c r="I894" s="423">
        <v>0</v>
      </c>
      <c r="J894" s="423">
        <v>0</v>
      </c>
      <c r="K894" s="423">
        <v>0</v>
      </c>
      <c r="L894" s="423">
        <v>0</v>
      </c>
      <c r="M894" s="423" cm="1">
        <f t="array" ref="M894">IF(B894&gt;0,'Direct Costs 2026'!$C$45*B894,"N/A")</f>
        <v>300000</v>
      </c>
      <c r="N894" t="str" s="431" cm="1">
        <f t="array" ref="N894">IF(B894&gt;0,_xlfn.IFERROR(VLOOKUP(C890,'Boats Data Sheet 2026'!$C$3:$I$57,7,0)*'Direct Costs 2026'!$C$36,"N/A"),"N/A")</f>
        <v>N/A</v>
      </c>
      <c r="O894" t="str" s="431" cm="1">
        <f t="array" ref="O894">IF(B894&gt;0,IF(OR(VLOOKUP(C890,'Boats Data Sheet 2026'!$C$3:$F$57,4,0)="Own",VLOOKUP(C890,'Boats Data Sheet 2026'!$C$3:$F$57,4,0)="Management"),('Direct Costs 2026'!$C$37+'Direct Costs 2026'!$C$39),"N/A"),"N/A")</f>
        <v>N/A</v>
      </c>
      <c r="P894" s="423">
        <v>0</v>
      </c>
      <c r="Q894" s="423" cm="1">
        <f t="array" ref="Q894">_xlfn.IFERROR(C894+SUM(E894:P894),"N/A")</f>
        <v>35277500</v>
      </c>
      <c r="R894" s="424"/>
      <c r="S894" s="423" cm="1">
        <f t="array" ref="S894">IF(B894&gt;0,'Allocation OH and Target 2026'!$E$31,"N/A")</f>
        <v>3100447.15769812</v>
      </c>
      <c r="T894" s="423">
        <v>0</v>
      </c>
      <c r="U894" s="423" cm="1">
        <f t="array" ref="U894">_xlfn.IFERROR((S894+T894),"N/A")</f>
        <v>3100447.15769812</v>
      </c>
      <c r="V894" s="424"/>
      <c r="W894" s="423" cm="1">
        <f t="array" ref="W894">_xlfn.IFERROR(U894+Q894,"N/A")</f>
        <v>38377947.1576981</v>
      </c>
      <c r="X894" s="423" cm="1">
        <f t="array" ref="X894">_xlfn.IFERROR(W894*0.5%,"N/A")</f>
        <v>191889.735788491</v>
      </c>
      <c r="Y894" s="423" cm="1">
        <f t="array" ref="Y894">_xlfn.IFERROR(W894*25%,"N/A")</f>
        <v>9594486.789424529</v>
      </c>
      <c r="Z894" s="425" cm="1">
        <f t="array" ref="Z894">IF(B894&gt;0,(SUM(W894:Y894)),"N/A")</f>
        <v>48164323.6829111</v>
      </c>
      <c r="AA894" s="425" cm="1">
        <f t="array" ref="AA894">_xlfn.IFERROR((Z894-Z893),"N/A")</f>
        <v>195780</v>
      </c>
      <c r="AB894" s="424"/>
      <c r="AC894" t="str" s="426" cm="1">
        <f t="array" ref="AC894">IF(B894=6,AVERAGE(Z893:Z898),"N/A")</f>
        <v>N/A</v>
      </c>
      <c r="AD894" s="424"/>
      <c r="AE894" s="512"/>
      <c r="AF894" s="423"/>
      <c r="AG894" s="423"/>
      <c r="AH894" s="423"/>
      <c r="AI894" s="423"/>
      <c r="AJ894" s="423"/>
      <c r="AK894" s="423"/>
      <c r="AL894" s="423"/>
      <c r="AM894" s="423"/>
      <c r="AN894" s="427"/>
    </row>
    <row r="895" ht="15" customHeight="1">
      <c r="A895" s="12"/>
      <c r="B895" s="428" cm="1">
        <f t="array" ref="B895">IF(B894=0,0,IF(B894&lt;VLOOKUP(C890,'Boats Data Sheet 2026'!$C$3:$H$57,6,0),B894+1,0))</f>
        <v>3</v>
      </c>
      <c r="C895" s="423" cm="1">
        <f t="array" ref="C895">_xlfn.IFERROR(IF(B895&gt;0,IF(VLOOKUP($C$890,'Boats Data Sheet 2026'!$C$3:$J$57,8,0)="N/A",0,VLOOKUP($C$890,'Boats Data Sheet 2026'!$C$3:$J$57,8,0)),"N/A"),"N/A")</f>
        <v>34000000</v>
      </c>
      <c r="D895" s="429" cm="1">
        <f t="array" ref="D895">IF(B895&gt;8,2,IF(B895=0,"N/A",1))</f>
        <v>1</v>
      </c>
      <c r="E895" s="423" cm="1">
        <f t="array" ref="E895">_xlfn.IFERROR(SUM('Direct Costs 2026'!$C$4:$C$5)*D895,"N/A")</f>
        <v>875500</v>
      </c>
      <c r="F895" s="423" cm="1">
        <f t="array" ref="F895">_xlfn.IFERROR('Direct Costs 2026'!$C$43*B895,"N/A")</f>
        <v>18000</v>
      </c>
      <c r="G895" s="423" cm="1">
        <f t="array" ref="G895">IF(B895&gt;0,'Direct Costs 2026'!$C$25,"N/A")</f>
        <v>90000</v>
      </c>
      <c r="H895" s="423">
        <v>0</v>
      </c>
      <c r="I895" s="423">
        <v>0</v>
      </c>
      <c r="J895" s="423">
        <v>0</v>
      </c>
      <c r="K895" s="423">
        <v>0</v>
      </c>
      <c r="L895" s="423">
        <v>0</v>
      </c>
      <c r="M895" s="423" cm="1">
        <f t="array" ref="M895">IF(B895&gt;0,'Direct Costs 2026'!$C$45*B895,"N/A")</f>
        <v>450000</v>
      </c>
      <c r="N895" t="str" s="431" cm="1">
        <f t="array" ref="N895">IF(B895&gt;0,_xlfn.IFERROR(VLOOKUP(C890,'Boats Data Sheet 2026'!$C$3:$I$57,7,0)*'Direct Costs 2026'!$C$36,"N/A"),"N/A")</f>
        <v>N/A</v>
      </c>
      <c r="O895" t="str" s="431" cm="1">
        <f t="array" ref="O895">IF(B895&gt;0,IF(OR(VLOOKUP(C890,'Boats Data Sheet 2026'!$C$3:$F$57,4,0)="Own",VLOOKUP(C890,'Boats Data Sheet 2026'!$C$3:$F$57,4,0)="Management"),('Direct Costs 2026'!$C$37+'Direct Costs 2026'!$C$39),"N/A"),"N/A")</f>
        <v>N/A</v>
      </c>
      <c r="P895" s="423">
        <v>0</v>
      </c>
      <c r="Q895" s="423" cm="1">
        <f t="array" ref="Q895">_xlfn.IFERROR(C895+SUM(E895:P895),"N/A")</f>
        <v>35433500</v>
      </c>
      <c r="R895" s="424"/>
      <c r="S895" s="423" cm="1">
        <f t="array" ref="S895">IF(B895&gt;0,'Allocation OH and Target 2026'!$E$31,"N/A")</f>
        <v>3100447.15769812</v>
      </c>
      <c r="T895" s="423">
        <v>0</v>
      </c>
      <c r="U895" s="423" cm="1">
        <f t="array" ref="U895">_xlfn.IFERROR((S895+T895),"N/A")</f>
        <v>3100447.15769812</v>
      </c>
      <c r="V895" s="424"/>
      <c r="W895" s="423" cm="1">
        <f t="array" ref="W895">_xlfn.IFERROR(U895+Q895,"N/A")</f>
        <v>38533947.1576981</v>
      </c>
      <c r="X895" s="423" cm="1">
        <f t="array" ref="X895">_xlfn.IFERROR(W895*0.5%,"N/A")</f>
        <v>192669.735788491</v>
      </c>
      <c r="Y895" s="423" cm="1">
        <f t="array" ref="Y895">_xlfn.IFERROR(W895*25%,"N/A")</f>
        <v>9633486.789424529</v>
      </c>
      <c r="Z895" s="425" cm="1">
        <f t="array" ref="Z895">IF(B895&gt;0,(SUM(W895:Y895)),"N/A")</f>
        <v>48360103.6829111</v>
      </c>
      <c r="AA895" s="425" cm="1">
        <f t="array" ref="AA895">_xlfn.IFERROR((Z895-Z894),"N/A")</f>
        <v>195780</v>
      </c>
      <c r="AB895" s="424"/>
      <c r="AC895" t="str" s="426" cm="1">
        <f t="array" ref="AC895">IF(B895=6,AVERAGE(Z893:Z898),"N/A")</f>
        <v>N/A</v>
      </c>
      <c r="AD895" s="424"/>
      <c r="AE895" s="423"/>
      <c r="AF895" s="423"/>
      <c r="AG895" s="423"/>
      <c r="AH895" s="423"/>
      <c r="AI895" s="423"/>
      <c r="AJ895" s="423"/>
      <c r="AK895" s="423"/>
      <c r="AL895" s="423"/>
      <c r="AM895" s="423"/>
      <c r="AN895" s="427"/>
    </row>
    <row r="896" ht="15" customHeight="1">
      <c r="A896" s="12"/>
      <c r="B896" s="428" cm="1">
        <f t="array" ref="B896">IF(B895=0,0,IF(B895&lt;VLOOKUP(C890,'Boats Data Sheet 2026'!$C$3:$H$57,6,0),B895+1,0))</f>
        <v>4</v>
      </c>
      <c r="C896" s="423" cm="1">
        <f t="array" ref="C896">_xlfn.IFERROR(IF(B896&gt;0,IF(VLOOKUP($C$890,'Boats Data Sheet 2026'!$C$3:$J$57,8,0)="N/A",0,VLOOKUP($C$890,'Boats Data Sheet 2026'!$C$3:$J$57,8,0)),"N/A"),"N/A")</f>
        <v>34000000</v>
      </c>
      <c r="D896" s="429" cm="1">
        <f t="array" ref="D896">IF(B896&gt;8,2,IF(B896=0,"N/A",1))</f>
        <v>1</v>
      </c>
      <c r="E896" s="423" cm="1">
        <f t="array" ref="E896">_xlfn.IFERROR(SUM('Direct Costs 2026'!$C$4:$C$5)*D896,"N/A")</f>
        <v>875500</v>
      </c>
      <c r="F896" s="423" cm="1">
        <f t="array" ref="F896">_xlfn.IFERROR('Direct Costs 2026'!$C$43*B896,"N/A")</f>
        <v>24000</v>
      </c>
      <c r="G896" s="423" cm="1">
        <f t="array" ref="G896">IF(B896&gt;0,'Direct Costs 2026'!$C$25,"N/A")</f>
        <v>90000</v>
      </c>
      <c r="H896" s="423">
        <v>0</v>
      </c>
      <c r="I896" s="423">
        <v>0</v>
      </c>
      <c r="J896" s="423">
        <v>0</v>
      </c>
      <c r="K896" s="423">
        <v>0</v>
      </c>
      <c r="L896" s="423">
        <v>0</v>
      </c>
      <c r="M896" s="423" cm="1">
        <f t="array" ref="M896">IF(B896&gt;0,'Direct Costs 2026'!$C$45*B896,"N/A")</f>
        <v>600000</v>
      </c>
      <c r="N896" t="str" s="431" cm="1">
        <f t="array" ref="N896">IF(B896&gt;0,_xlfn.IFERROR(VLOOKUP(C890,'Boats Data Sheet 2026'!$C$3:$I$57,7,0)*'Direct Costs 2026'!$C$36,"N/A"),"N/A")</f>
        <v>N/A</v>
      </c>
      <c r="O896" t="str" s="431" cm="1">
        <f t="array" ref="O896">IF(B896&gt;0,IF(OR(VLOOKUP(C890,'Boats Data Sheet 2026'!$C$3:$F$57,4,0)="Own",VLOOKUP(C890,'Boats Data Sheet 2026'!$C$3:$F$57,4,0)="Management"),('Direct Costs 2026'!$C$37+'Direct Costs 2026'!$C$39),"N/A"),"N/A")</f>
        <v>N/A</v>
      </c>
      <c r="P896" s="423">
        <v>0</v>
      </c>
      <c r="Q896" s="423" cm="1">
        <f t="array" ref="Q896">_xlfn.IFERROR(C896+SUM(E896:P896),"N/A")</f>
        <v>35589500</v>
      </c>
      <c r="R896" s="424"/>
      <c r="S896" s="423" cm="1">
        <f t="array" ref="S896">IF(B896&gt;0,'Allocation OH and Target 2026'!$E$31,"N/A")</f>
        <v>3100447.15769812</v>
      </c>
      <c r="T896" s="423">
        <v>0</v>
      </c>
      <c r="U896" s="423" cm="1">
        <f t="array" ref="U896">_xlfn.IFERROR((S896+T896),"N/A")</f>
        <v>3100447.15769812</v>
      </c>
      <c r="V896" s="424"/>
      <c r="W896" s="423" cm="1">
        <f t="array" ref="W896">_xlfn.IFERROR(U896+Q896,"N/A")</f>
        <v>38689947.1576981</v>
      </c>
      <c r="X896" s="423" cm="1">
        <f t="array" ref="X896">_xlfn.IFERROR(W896*0.5%,"N/A")</f>
        <v>193449.735788491</v>
      </c>
      <c r="Y896" s="423" cm="1">
        <f t="array" ref="Y896">_xlfn.IFERROR(W896*25%,"N/A")</f>
        <v>9672486.789424529</v>
      </c>
      <c r="Z896" s="425" cm="1">
        <f t="array" ref="Z896">IF(B896&gt;0,(SUM(W896:Y896)),"N/A")</f>
        <v>48555883.6829111</v>
      </c>
      <c r="AA896" s="425" cm="1">
        <f t="array" ref="AA896">_xlfn.IFERROR((Z896-Z895),"N/A")</f>
        <v>195780</v>
      </c>
      <c r="AB896" s="424"/>
      <c r="AC896" t="str" s="426" cm="1">
        <f t="array" ref="AC896">IF(B896=6,AVERAGE(Z893:Z898),"N/A")</f>
        <v>N/A</v>
      </c>
      <c r="AD896" s="424"/>
      <c r="AE896" s="423"/>
      <c r="AF896" s="423"/>
      <c r="AG896" s="423"/>
      <c r="AH896" s="423"/>
      <c r="AI896" s="423"/>
      <c r="AJ896" s="423"/>
      <c r="AK896" s="423"/>
      <c r="AL896" s="423"/>
      <c r="AM896" s="423"/>
      <c r="AN896" s="427"/>
    </row>
    <row r="897" ht="15" customHeight="1">
      <c r="A897" s="12"/>
      <c r="B897" s="428" cm="1">
        <f t="array" ref="B897">IF(B896=0,0,IF(B896&lt;VLOOKUP(C890,'Boats Data Sheet 2026'!$C$3:$H$57,6,0),B896+1,0))</f>
        <v>5</v>
      </c>
      <c r="C897" s="423" cm="1">
        <f t="array" ref="C897">_xlfn.IFERROR(IF(B897&gt;0,IF(VLOOKUP($C$890,'Boats Data Sheet 2026'!$C$3:$J$57,8,0)="N/A",0,VLOOKUP($C$890,'Boats Data Sheet 2026'!$C$3:$J$57,8,0)),"N/A"),"N/A")</f>
        <v>34000000</v>
      </c>
      <c r="D897" s="429" cm="1">
        <f t="array" ref="D897">IF(B897&gt;8,2,IF(B897=0,"N/A",1))</f>
        <v>1</v>
      </c>
      <c r="E897" s="423" cm="1">
        <f t="array" ref="E897">_xlfn.IFERROR(SUM('Direct Costs 2026'!$C$4:$C$5)*D897,"N/A")</f>
        <v>875500</v>
      </c>
      <c r="F897" s="423" cm="1">
        <f t="array" ref="F897">_xlfn.IFERROR('Direct Costs 2026'!$C$43*B897,"N/A")</f>
        <v>30000</v>
      </c>
      <c r="G897" s="423" cm="1">
        <f t="array" ref="G897">IF(B897&gt;0,'Direct Costs 2026'!$C$25,"N/A")</f>
        <v>90000</v>
      </c>
      <c r="H897" s="423">
        <v>0</v>
      </c>
      <c r="I897" s="423">
        <v>0</v>
      </c>
      <c r="J897" s="423">
        <v>0</v>
      </c>
      <c r="K897" s="423">
        <v>0</v>
      </c>
      <c r="L897" s="423">
        <v>0</v>
      </c>
      <c r="M897" s="423" cm="1">
        <f t="array" ref="M897">IF(B897&gt;0,'Direct Costs 2026'!$C$45*B897,"N/A")</f>
        <v>750000</v>
      </c>
      <c r="N897" t="str" s="431" cm="1">
        <f t="array" ref="N897">IF(B897&gt;0,_xlfn.IFERROR(VLOOKUP(C890,'Boats Data Sheet 2026'!$C$3:$I$57,7,0)*'Direct Costs 2026'!$C$36,"N/A"),"N/A")</f>
        <v>N/A</v>
      </c>
      <c r="O897" t="str" s="431" cm="1">
        <f t="array" ref="O897">IF(B897&gt;0,IF(OR(VLOOKUP(C890,'Boats Data Sheet 2026'!$C$3:$F$57,4,0)="Own",VLOOKUP(C890,'Boats Data Sheet 2026'!$C$3:$F$57,4,0)="Management"),('Direct Costs 2026'!$C$37+'Direct Costs 2026'!$C$39),"N/A"),"N/A")</f>
        <v>N/A</v>
      </c>
      <c r="P897" s="423">
        <v>0</v>
      </c>
      <c r="Q897" s="423" cm="1">
        <f t="array" ref="Q897">_xlfn.IFERROR(C897+SUM(E897:P897),"N/A")</f>
        <v>35745500</v>
      </c>
      <c r="R897" s="424"/>
      <c r="S897" s="423" cm="1">
        <f t="array" ref="S897">IF(B897&gt;0,'Allocation OH and Target 2026'!$E$31,"N/A")</f>
        <v>3100447.15769812</v>
      </c>
      <c r="T897" s="423">
        <v>0</v>
      </c>
      <c r="U897" s="423" cm="1">
        <f t="array" ref="U897">_xlfn.IFERROR((S897+T897),"N/A")</f>
        <v>3100447.15769812</v>
      </c>
      <c r="V897" s="424"/>
      <c r="W897" s="423" cm="1">
        <f t="array" ref="W897">_xlfn.IFERROR(U897+Q897,"N/A")</f>
        <v>38845947.1576981</v>
      </c>
      <c r="X897" s="423" cm="1">
        <f t="array" ref="X897">_xlfn.IFERROR(W897*0.5%,"N/A")</f>
        <v>194229.735788491</v>
      </c>
      <c r="Y897" s="423" cm="1">
        <f t="array" ref="Y897">_xlfn.IFERROR(W897*25%,"N/A")</f>
        <v>9711486.789424529</v>
      </c>
      <c r="Z897" s="425" cm="1">
        <f t="array" ref="Z897">IF(B897&gt;0,(SUM(W897:Y897)),"N/A")</f>
        <v>48751663.6829111</v>
      </c>
      <c r="AA897" s="425" cm="1">
        <f t="array" ref="AA897">_xlfn.IFERROR((Z897-Z896),"N/A")</f>
        <v>195780</v>
      </c>
      <c r="AB897" s="424"/>
      <c r="AC897" t="str" s="426" cm="1">
        <f t="array" ref="AC897">IF(B897=6,AVERAGE(Z893:Z898),"N/A")</f>
        <v>N/A</v>
      </c>
      <c r="AD897" s="424"/>
      <c r="AE897" s="423"/>
      <c r="AF897" s="423"/>
      <c r="AG897" s="423"/>
      <c r="AH897" s="423"/>
      <c r="AI897" s="425"/>
      <c r="AJ897" s="423"/>
      <c r="AK897" s="423"/>
      <c r="AL897" s="423"/>
      <c r="AM897" s="423"/>
      <c r="AN897" s="427"/>
    </row>
    <row r="898" ht="15" customHeight="1">
      <c r="A898" s="12"/>
      <c r="B898" s="428" cm="1">
        <f t="array" ref="B898">IF(B897=0,0,IF(B897&lt;VLOOKUP(C890,'Boats Data Sheet 2026'!$C$3:$H$57,6,0),B897+1,0))</f>
        <v>6</v>
      </c>
      <c r="C898" s="423" cm="1">
        <f t="array" ref="C898">_xlfn.IFERROR(IF(B898&gt;0,IF(VLOOKUP($C$890,'Boats Data Sheet 2026'!$C$3:$J$57,8,0)="N/A",0,VLOOKUP($C$890,'Boats Data Sheet 2026'!$C$3:$J$57,8,0)),"N/A"),"N/A")</f>
        <v>34000000</v>
      </c>
      <c r="D898" s="429" cm="1">
        <f t="array" ref="D898">IF(B898&gt;8,2,IF(B898=0,"N/A",1))</f>
        <v>1</v>
      </c>
      <c r="E898" s="423" cm="1">
        <f t="array" ref="E898">_xlfn.IFERROR(SUM('Direct Costs 2026'!$C$4:$C$5)*D898,"N/A")</f>
        <v>875500</v>
      </c>
      <c r="F898" s="423" cm="1">
        <f t="array" ref="F898">_xlfn.IFERROR('Direct Costs 2026'!$C$43*B898,"N/A")</f>
        <v>36000</v>
      </c>
      <c r="G898" s="423" cm="1">
        <f t="array" ref="G898">IF(B898&gt;0,'Direct Costs 2026'!$C$25,"N/A")</f>
        <v>90000</v>
      </c>
      <c r="H898" s="423">
        <v>0</v>
      </c>
      <c r="I898" s="423">
        <v>0</v>
      </c>
      <c r="J898" s="423">
        <v>0</v>
      </c>
      <c r="K898" s="423">
        <v>0</v>
      </c>
      <c r="L898" s="423">
        <v>0</v>
      </c>
      <c r="M898" s="423" cm="1">
        <f t="array" ref="M898">IF(B898&gt;0,'Direct Costs 2026'!$C$45*B898,"N/A")</f>
        <v>900000</v>
      </c>
      <c r="N898" t="str" s="431" cm="1">
        <f t="array" ref="N898">IF(B898&gt;0,_xlfn.IFERROR(VLOOKUP(C890,'Boats Data Sheet 2026'!$C$3:$I$57,7,0)*'Direct Costs 2026'!$C$36,"N/A"),"N/A")</f>
        <v>N/A</v>
      </c>
      <c r="O898" t="str" s="431" cm="1">
        <f t="array" ref="O898">IF(B898&gt;0,IF(OR(VLOOKUP(C890,'Boats Data Sheet 2026'!$C$3:$F$57,4,0)="Own",VLOOKUP(C890,'Boats Data Sheet 2026'!$C$3:$F$57,4,0)="Management"),('Direct Costs 2026'!$C$37+'Direct Costs 2026'!$C$39),"N/A"),"N/A")</f>
        <v>N/A</v>
      </c>
      <c r="P898" s="423">
        <v>0</v>
      </c>
      <c r="Q898" s="423" cm="1">
        <f t="array" ref="Q898">_xlfn.IFERROR(C898+SUM(E898:P898),"N/A")</f>
        <v>35901500</v>
      </c>
      <c r="R898" s="424"/>
      <c r="S898" s="423" cm="1">
        <f t="array" ref="S898">IF(B898&gt;0,'Allocation OH and Target 2026'!$E$31,"N/A")</f>
        <v>3100447.15769812</v>
      </c>
      <c r="T898" s="423">
        <v>0</v>
      </c>
      <c r="U898" s="423" cm="1">
        <f t="array" ref="U898">_xlfn.IFERROR((S898+T898),"N/A")</f>
        <v>3100447.15769812</v>
      </c>
      <c r="V898" s="424"/>
      <c r="W898" s="423" cm="1">
        <f t="array" ref="W898">_xlfn.IFERROR(U898+Q898,"N/A")</f>
        <v>39001947.1576981</v>
      </c>
      <c r="X898" s="423" cm="1">
        <f t="array" ref="X898">_xlfn.IFERROR(W898*0.5%,"N/A")</f>
        <v>195009.735788491</v>
      </c>
      <c r="Y898" s="423" cm="1">
        <f t="array" ref="Y898">_xlfn.IFERROR(W898*25%,"N/A")</f>
        <v>9750486.789424529</v>
      </c>
      <c r="Z898" s="425" cm="1">
        <f t="array" ref="Z898">IF(B898&gt;0,(SUM(W898:Y898)),"N/A")</f>
        <v>48947443.6829111</v>
      </c>
      <c r="AA898" s="425" cm="1">
        <f t="array" ref="AA898">_xlfn.IFERROR((Z898-Z897),"N/A")</f>
        <v>195780</v>
      </c>
      <c r="AB898" s="424"/>
      <c r="AC898" s="425" cm="1">
        <f t="array" ref="AC898">IF(B898=6,AVERAGE(Z893:Z898),"N/A")</f>
        <v>48457993.6829111</v>
      </c>
      <c r="AD898" s="424"/>
      <c r="AE898" s="512"/>
      <c r="AF898" s="423"/>
      <c r="AG898" s="423"/>
      <c r="AH898" s="423"/>
      <c r="AI898" s="423"/>
      <c r="AJ898" s="423"/>
      <c r="AK898" s="423"/>
      <c r="AL898" s="423"/>
      <c r="AM898" s="423"/>
      <c r="AN898" s="427"/>
    </row>
    <row r="899" ht="15" customHeight="1">
      <c r="A899" s="12"/>
      <c r="B899" s="428" cm="1">
        <f t="array" ref="B899">IF(B898=0,0,IF(B898&lt;VLOOKUP(C890,'Boats Data Sheet 2026'!$C$3:$H$57,6,0),B898+1,0))</f>
        <v>7</v>
      </c>
      <c r="C899" s="423" cm="1">
        <f t="array" ref="C899">_xlfn.IFERROR(IF(B899&gt;0,IF(VLOOKUP($C$890,'Boats Data Sheet 2026'!$C$3:$J$57,8,0)="N/A",0,VLOOKUP($C$890,'Boats Data Sheet 2026'!$C$3:$J$57,8,0)),"N/A"),"N/A")</f>
        <v>34000000</v>
      </c>
      <c r="D899" s="429" cm="1">
        <f t="array" ref="D899">IF(B899&gt;8,2,IF(B899=0,"N/A",1))</f>
        <v>1</v>
      </c>
      <c r="E899" s="423" cm="1">
        <f t="array" ref="E899">_xlfn.IFERROR(SUM('Direct Costs 2026'!$C$4:$C$5)*D899,"N/A")</f>
        <v>875500</v>
      </c>
      <c r="F899" s="423" cm="1">
        <f t="array" ref="F899">_xlfn.IFERROR('Direct Costs 2026'!$C$43*B899,"N/A")</f>
        <v>42000</v>
      </c>
      <c r="G899" s="423" cm="1">
        <f t="array" ref="G899">IF(B899&gt;0,'Direct Costs 2026'!$C$25,"N/A")</f>
        <v>90000</v>
      </c>
      <c r="H899" s="423">
        <v>0</v>
      </c>
      <c r="I899" s="423">
        <v>0</v>
      </c>
      <c r="J899" s="423">
        <v>0</v>
      </c>
      <c r="K899" s="423">
        <v>0</v>
      </c>
      <c r="L899" s="423">
        <v>0</v>
      </c>
      <c r="M899" s="423" cm="1">
        <f t="array" ref="M899">IF(B899&gt;0,'Direct Costs 2026'!$C$45*B899,"N/A")</f>
        <v>1050000</v>
      </c>
      <c r="N899" t="str" s="431" cm="1">
        <f t="array" ref="N899">IF(B899&gt;0,_xlfn.IFERROR(VLOOKUP(C890,'Boats Data Sheet 2026'!$C$3:$I$57,7,0)*'Direct Costs 2026'!$C$36,"N/A"),"N/A")</f>
        <v>N/A</v>
      </c>
      <c r="O899" t="str" s="431" cm="1">
        <f t="array" ref="O899">IF(B899&gt;0,IF(OR(VLOOKUP(C890,'Boats Data Sheet 2026'!$C$3:$F$57,4,0)="Own",VLOOKUP(C890,'Boats Data Sheet 2026'!$C$3:$F$57,4,0)="Management"),('Direct Costs 2026'!$C$37+'Direct Costs 2026'!$C$39),"N/A"),"N/A")</f>
        <v>N/A</v>
      </c>
      <c r="P899" s="423">
        <v>0</v>
      </c>
      <c r="Q899" s="423" cm="1">
        <f t="array" ref="Q899">_xlfn.IFERROR(C899+SUM(E899:P899),"N/A")</f>
        <v>36057500</v>
      </c>
      <c r="R899" s="424"/>
      <c r="S899" s="423" cm="1">
        <f t="array" ref="S899">IF(B899&gt;0,'Allocation OH and Target 2026'!$E$31,"N/A")</f>
        <v>3100447.15769812</v>
      </c>
      <c r="T899" s="423">
        <v>0</v>
      </c>
      <c r="U899" s="423" cm="1">
        <f t="array" ref="U899">_xlfn.IFERROR((S899+T899),"N/A")</f>
        <v>3100447.15769812</v>
      </c>
      <c r="V899" s="424"/>
      <c r="W899" s="423" cm="1">
        <f t="array" ref="W899">_xlfn.IFERROR(U899+Q899,"N/A")</f>
        <v>39157947.1576981</v>
      </c>
      <c r="X899" s="423" cm="1">
        <f t="array" ref="X899">_xlfn.IFERROR(W899*0.5%,"N/A")</f>
        <v>195789.735788491</v>
      </c>
      <c r="Y899" s="423" cm="1">
        <f t="array" ref="Y899">_xlfn.IFERROR(W899*25%,"N/A")</f>
        <v>9789486.789424529</v>
      </c>
      <c r="Z899" s="425" cm="1">
        <f t="array" ref="Z899">IF(B899&gt;0,(SUM(W899:Y899)),"N/A")</f>
        <v>49143223.6829111</v>
      </c>
      <c r="AA899" s="425" cm="1">
        <f t="array" ref="AA899">_xlfn.IFERROR((Z899-Z898),"N/A")</f>
        <v>195780</v>
      </c>
      <c r="AB899" s="424"/>
      <c r="AC899" t="str" s="426" cm="1">
        <f t="array" ref="AC899">IF(B899=6,AVERAGE(Z893:Z898),"N/A")</f>
        <v>N/A</v>
      </c>
      <c r="AD899" s="424"/>
      <c r="AE899" s="423"/>
      <c r="AF899" s="423"/>
      <c r="AG899" s="423"/>
      <c r="AH899" s="423"/>
      <c r="AI899" s="423"/>
      <c r="AJ899" s="423"/>
      <c r="AK899" s="423"/>
      <c r="AL899" s="423"/>
      <c r="AM899" s="423"/>
      <c r="AN899" s="427"/>
    </row>
    <row r="900" ht="15" customHeight="1">
      <c r="A900" s="12"/>
      <c r="B900" s="428" cm="1">
        <f t="array" ref="B900">IF(B899=0,0,IF(B899&lt;VLOOKUP(C890,'Boats Data Sheet 2026'!$C$3:$H$57,6,0),B899+1,0))</f>
        <v>8</v>
      </c>
      <c r="C900" s="423" cm="1">
        <f t="array" ref="C900">_xlfn.IFERROR(IF(B900&gt;0,IF(VLOOKUP($C$890,'Boats Data Sheet 2026'!$C$3:$J$57,8,0)="N/A",0,VLOOKUP($C$890,'Boats Data Sheet 2026'!$C$3:$J$57,8,0)),"N/A"),"N/A")</f>
        <v>34000000</v>
      </c>
      <c r="D900" s="429" cm="1">
        <f t="array" ref="D900">IF(B900&gt;8,2,IF(B900=0,"N/A",1))</f>
        <v>1</v>
      </c>
      <c r="E900" s="423" cm="1">
        <f t="array" ref="E900">_xlfn.IFERROR(SUM('Direct Costs 2026'!$C$4:$C$5)*D900,"N/A")</f>
        <v>875500</v>
      </c>
      <c r="F900" s="423" cm="1">
        <f t="array" ref="F900">_xlfn.IFERROR('Direct Costs 2026'!$C$43*B900,"N/A")</f>
        <v>48000</v>
      </c>
      <c r="G900" s="423" cm="1">
        <f t="array" ref="G900">IF(B900&gt;0,'Direct Costs 2026'!$C$25,"N/A")</f>
        <v>90000</v>
      </c>
      <c r="H900" s="423">
        <v>0</v>
      </c>
      <c r="I900" s="423">
        <v>0</v>
      </c>
      <c r="J900" s="423">
        <v>0</v>
      </c>
      <c r="K900" s="423">
        <v>0</v>
      </c>
      <c r="L900" s="423">
        <v>0</v>
      </c>
      <c r="M900" s="423" cm="1">
        <f t="array" ref="M900">IF(B900&gt;0,'Direct Costs 2026'!$C$45*B900,"N/A")</f>
        <v>1200000</v>
      </c>
      <c r="N900" t="str" s="431" cm="1">
        <f t="array" ref="N900">IF(B900&gt;0,_xlfn.IFERROR(VLOOKUP(C890,'Boats Data Sheet 2026'!$C$3:$I$57,7,0)*'Direct Costs 2026'!$C$36,"N/A"),"N/A")</f>
        <v>N/A</v>
      </c>
      <c r="O900" t="str" s="431" cm="1">
        <f t="array" ref="O900">IF(B900&gt;0,IF(OR(VLOOKUP(C890,'Boats Data Sheet 2026'!$C$3:$F$57,4,0)="Own",VLOOKUP(C890,'Boats Data Sheet 2026'!$C$3:$F$57,4,0)="Management"),('Direct Costs 2026'!$C$37+'Direct Costs 2026'!$C$39),"N/A"),"N/A")</f>
        <v>N/A</v>
      </c>
      <c r="P900" s="423">
        <v>0</v>
      </c>
      <c r="Q900" s="423" cm="1">
        <f t="array" ref="Q900">_xlfn.IFERROR(C900+SUM(E900:P900),"N/A")</f>
        <v>36213500</v>
      </c>
      <c r="R900" s="424"/>
      <c r="S900" s="423" cm="1">
        <f t="array" ref="S900">IF(B900&gt;0,'Allocation OH and Target 2026'!$E$31,"N/A")</f>
        <v>3100447.15769812</v>
      </c>
      <c r="T900" s="423">
        <v>0</v>
      </c>
      <c r="U900" s="423" cm="1">
        <f t="array" ref="U900">_xlfn.IFERROR((S900+T900),"N/A")</f>
        <v>3100447.15769812</v>
      </c>
      <c r="V900" s="424"/>
      <c r="W900" s="423" cm="1">
        <f t="array" ref="W900">_xlfn.IFERROR(U900+Q900,"N/A")</f>
        <v>39313947.1576981</v>
      </c>
      <c r="X900" s="423" cm="1">
        <f t="array" ref="X900">_xlfn.IFERROR(W900*0.5%,"N/A")</f>
        <v>196569.735788491</v>
      </c>
      <c r="Y900" s="423" cm="1">
        <f t="array" ref="Y900">_xlfn.IFERROR(W900*25%,"N/A")</f>
        <v>9828486.789424529</v>
      </c>
      <c r="Z900" s="425" cm="1">
        <f t="array" ref="Z900">IF(B900&gt;0,(SUM(W900:Y900)),"N/A")</f>
        <v>49339003.6829111</v>
      </c>
      <c r="AA900" s="425" cm="1">
        <f t="array" ref="AA900">_xlfn.IFERROR((Z900-Z899),"N/A")</f>
        <v>195780</v>
      </c>
      <c r="AB900" s="424"/>
      <c r="AC900" t="str" s="426" cm="1">
        <f t="array" ref="AC900">IF(B900=6,AVERAGE(Z893:Z898),"N/A")</f>
        <v>N/A</v>
      </c>
      <c r="AD900" s="424"/>
      <c r="AE900" s="423"/>
      <c r="AF900" s="423"/>
      <c r="AG900" s="423"/>
      <c r="AH900" s="423"/>
      <c r="AI900" s="423"/>
      <c r="AJ900" s="423"/>
      <c r="AK900" s="423"/>
      <c r="AL900" s="423"/>
      <c r="AM900" s="423"/>
      <c r="AN900" s="427"/>
    </row>
    <row r="901" ht="15" customHeight="1">
      <c r="A901" s="12"/>
      <c r="B901" s="428" cm="1">
        <f t="array" ref="B901">IF(B900=0,0,IF(B900&lt;VLOOKUP(C890,'Boats Data Sheet 2026'!$C$3:$H$57,6,0),B900+1,0))</f>
        <v>9</v>
      </c>
      <c r="C901" s="423" cm="1">
        <f t="array" ref="C901">_xlfn.IFERROR(IF(B901&gt;0,IF(VLOOKUP($C$890,'Boats Data Sheet 2026'!$C$3:$J$57,8,0)="N/A",0,VLOOKUP($C$890,'Boats Data Sheet 2026'!$C$3:$J$57,8,0)),"N/A"),"N/A")</f>
        <v>34000000</v>
      </c>
      <c r="D901" s="430" cm="1">
        <f t="array" ref="D901">IF(B901&gt;8,2,IF(B901=0,"N/A",1))</f>
        <v>2</v>
      </c>
      <c r="E901" s="423" cm="1">
        <f t="array" ref="E901">_xlfn.IFERROR(SUM('Direct Costs 2026'!$C$4:$C$5)*D901,"N/A")</f>
        <v>1751000</v>
      </c>
      <c r="F901" s="423" cm="1">
        <f t="array" ref="F901">_xlfn.IFERROR('Direct Costs 2026'!$C$43*B901,"N/A")</f>
        <v>54000</v>
      </c>
      <c r="G901" s="423" cm="1">
        <f t="array" ref="G901">IF(B901&gt;0,'Direct Costs 2026'!$C$25,"N/A")</f>
        <v>90000</v>
      </c>
      <c r="H901" s="423">
        <v>0</v>
      </c>
      <c r="I901" s="423">
        <v>0</v>
      </c>
      <c r="J901" s="423">
        <v>0</v>
      </c>
      <c r="K901" s="423">
        <v>0</v>
      </c>
      <c r="L901" s="423">
        <v>0</v>
      </c>
      <c r="M901" s="423" cm="1">
        <f t="array" ref="M901">IF(B901&gt;0,'Direct Costs 2026'!$C$45*B901,"N/A")</f>
        <v>1350000</v>
      </c>
      <c r="N901" t="str" s="431" cm="1">
        <f t="array" ref="N901">IF(B901&gt;0,_xlfn.IFERROR(VLOOKUP(C890,'Boats Data Sheet 2026'!$C$3:$I$57,7,0)*'Direct Costs 2026'!$C$36,"N/A"),"N/A")</f>
        <v>N/A</v>
      </c>
      <c r="O901" t="str" s="431" cm="1">
        <f t="array" ref="O901">IF(B901&gt;0,IF(OR(VLOOKUP(C890,'Boats Data Sheet 2026'!$C$3:$F$57,4,0)="Own",VLOOKUP(C890,'Boats Data Sheet 2026'!$C$3:$F$57,4,0)="Management"),('Direct Costs 2026'!$C$37+'Direct Costs 2026'!$C$39),"N/A"),"N/A")</f>
        <v>N/A</v>
      </c>
      <c r="P901" s="423">
        <v>0</v>
      </c>
      <c r="Q901" s="423" cm="1">
        <f t="array" ref="Q901">_xlfn.IFERROR(C901+SUM(E901:P901),"N/A")</f>
        <v>37245000</v>
      </c>
      <c r="R901" s="424"/>
      <c r="S901" s="423" cm="1">
        <f t="array" ref="S901">IF(B901&gt;0,'Allocation OH and Target 2026'!$E$31,"N/A")</f>
        <v>3100447.15769812</v>
      </c>
      <c r="T901" s="423">
        <v>0</v>
      </c>
      <c r="U901" s="423" cm="1">
        <f t="array" ref="U901">_xlfn.IFERROR((S901+T901),"N/A")</f>
        <v>3100447.15769812</v>
      </c>
      <c r="V901" s="424"/>
      <c r="W901" s="423" cm="1">
        <f t="array" ref="W901">_xlfn.IFERROR(U901+Q901,"N/A")</f>
        <v>40345447.1576981</v>
      </c>
      <c r="X901" s="423" cm="1">
        <f t="array" ref="X901">_xlfn.IFERROR(W901*0.5%,"N/A")</f>
        <v>201727.235788491</v>
      </c>
      <c r="Y901" s="423" cm="1">
        <f t="array" ref="Y901">_xlfn.IFERROR(W901*25%,"N/A")</f>
        <v>10086361.7894245</v>
      </c>
      <c r="Z901" s="425" cm="1">
        <f t="array" ref="Z901">IF(B901&gt;0,(SUM(W901:Y901)),"N/A")</f>
        <v>50633536.1829111</v>
      </c>
      <c r="AA901" s="425" cm="1">
        <f t="array" ref="AA901">_xlfn.IFERROR((Z901-Z900),"N/A")</f>
        <v>1294532.5</v>
      </c>
      <c r="AB901" s="424"/>
      <c r="AC901" t="str" s="426" cm="1">
        <f t="array" ref="AC901">IF(B901=6,AVERAGE(Z893:Z898),"N/A")</f>
        <v>N/A</v>
      </c>
      <c r="AD901" s="424"/>
      <c r="AE901" s="512"/>
      <c r="AF901" s="423"/>
      <c r="AG901" s="423"/>
      <c r="AH901" s="423"/>
      <c r="AI901" s="423"/>
      <c r="AJ901" s="423"/>
      <c r="AK901" s="423"/>
      <c r="AL901" s="423"/>
      <c r="AM901" s="423"/>
      <c r="AN901" s="427"/>
    </row>
    <row r="902" ht="15" customHeight="1">
      <c r="A902" s="12"/>
      <c r="B902" s="428" cm="1">
        <f t="array" ref="B902">IF(B901=0,0,IF(B901&lt;VLOOKUP(C890,'Boats Data Sheet 2026'!$C$3:$H$57,6,0),B901+1,0))</f>
        <v>10</v>
      </c>
      <c r="C902" s="423" cm="1">
        <f t="array" ref="C902">_xlfn.IFERROR(IF(B902&gt;0,IF(VLOOKUP($C$890,'Boats Data Sheet 2026'!$C$3:$J$57,8,0)="N/A",0,VLOOKUP($C$890,'Boats Data Sheet 2026'!$C$3:$J$57,8,0)),"N/A"),"N/A")</f>
        <v>34000000</v>
      </c>
      <c r="D902" s="430" cm="1">
        <f t="array" ref="D902">IF(B902&gt;8,2,IF(B902=0,"N/A",1))</f>
        <v>2</v>
      </c>
      <c r="E902" s="423" cm="1">
        <f t="array" ref="E902">_xlfn.IFERROR(SUM('Direct Costs 2026'!$C$4:$C$5)*D902,"N/A")</f>
        <v>1751000</v>
      </c>
      <c r="F902" s="423" cm="1">
        <f t="array" ref="F902">_xlfn.IFERROR('Direct Costs 2026'!$C$43*B902,"N/A")</f>
        <v>60000</v>
      </c>
      <c r="G902" s="423" cm="1">
        <f t="array" ref="G902">IF(B902&gt;0,'Direct Costs 2026'!$C$25,"N/A")</f>
        <v>90000</v>
      </c>
      <c r="H902" s="423">
        <v>0</v>
      </c>
      <c r="I902" s="423">
        <v>0</v>
      </c>
      <c r="J902" s="423">
        <v>0</v>
      </c>
      <c r="K902" s="423">
        <v>0</v>
      </c>
      <c r="L902" s="423">
        <v>0</v>
      </c>
      <c r="M902" s="423" cm="1">
        <f t="array" ref="M902">IF(B902&gt;0,'Direct Costs 2026'!$C$45*B902,"N/A")</f>
        <v>1500000</v>
      </c>
      <c r="N902" t="str" s="431" cm="1">
        <f t="array" ref="N902">IF(B902&gt;0,_xlfn.IFERROR(VLOOKUP(C890,'Boats Data Sheet 2026'!$C$3:$I$57,7,0)*'Direct Costs 2026'!$C$36,"N/A"),"N/A")</f>
        <v>N/A</v>
      </c>
      <c r="O902" t="str" s="431" cm="1">
        <f t="array" ref="O902">IF(B902&gt;0,IF(OR(VLOOKUP(C890,'Boats Data Sheet 2026'!$C$3:$F$57,4,0)="Own",VLOOKUP(C890,'Boats Data Sheet 2026'!$C$3:$F$57,4,0)="Management"),('Direct Costs 2026'!$C$37+'Direct Costs 2026'!$C$39),"N/A"),"N/A")</f>
        <v>N/A</v>
      </c>
      <c r="P902" s="423">
        <v>0</v>
      </c>
      <c r="Q902" s="423" cm="1">
        <f t="array" ref="Q902">_xlfn.IFERROR(C902+SUM(E902:P902),"N/A")</f>
        <v>37401000</v>
      </c>
      <c r="R902" s="424"/>
      <c r="S902" s="423" cm="1">
        <f t="array" ref="S902">IF(B902&gt;0,'Allocation OH and Target 2026'!$E$31,"N/A")</f>
        <v>3100447.15769812</v>
      </c>
      <c r="T902" s="423">
        <v>0</v>
      </c>
      <c r="U902" s="423" cm="1">
        <f t="array" ref="U902">_xlfn.IFERROR((S902+T902),"N/A")</f>
        <v>3100447.15769812</v>
      </c>
      <c r="V902" s="424"/>
      <c r="W902" s="423" cm="1">
        <f t="array" ref="W902">_xlfn.IFERROR(U902+Q902,"N/A")</f>
        <v>40501447.1576981</v>
      </c>
      <c r="X902" s="423" cm="1">
        <f t="array" ref="X902">_xlfn.IFERROR(W902*0.5%,"N/A")</f>
        <v>202507.235788491</v>
      </c>
      <c r="Y902" s="423" cm="1">
        <f t="array" ref="Y902">_xlfn.IFERROR(W902*25%,"N/A")</f>
        <v>10125361.7894245</v>
      </c>
      <c r="Z902" s="425" cm="1">
        <f t="array" ref="Z902">IF(B902&gt;0,(SUM(W902:Y902)),"N/A")</f>
        <v>50829316.1829111</v>
      </c>
      <c r="AA902" s="425" cm="1">
        <f t="array" ref="AA902">_xlfn.IFERROR((Z902-Z901),"N/A")</f>
        <v>195780</v>
      </c>
      <c r="AB902" s="424"/>
      <c r="AC902" t="str" s="426" cm="1">
        <f t="array" ref="AC902">IF(B902=6,AVERAGE(Z893:Z898),"N/A")</f>
        <v>N/A</v>
      </c>
      <c r="AD902" s="424"/>
      <c r="AE902" s="513"/>
      <c r="AF902" s="423"/>
      <c r="AG902" s="423"/>
      <c r="AH902" s="423"/>
      <c r="AI902" s="423"/>
      <c r="AJ902" s="423"/>
      <c r="AK902" s="423"/>
      <c r="AL902" s="423"/>
      <c r="AM902" s="423"/>
      <c r="AN902" s="427"/>
    </row>
    <row r="903" ht="15" customHeight="1">
      <c r="A903" s="12"/>
      <c r="B903" s="428" cm="1">
        <f t="array" ref="B903">IF(B902=0,0,IF(B902&lt;VLOOKUP(C890,'Boats Data Sheet 2026'!$C$3:$H$57,6,0),B902+1,0))</f>
        <v>11</v>
      </c>
      <c r="C903" s="423" cm="1">
        <f t="array" ref="C903">_xlfn.IFERROR(IF(B903&gt;0,IF(VLOOKUP($C$890,'Boats Data Sheet 2026'!$C$3:$J$57,8,0)="N/A",0,VLOOKUP($C$890,'Boats Data Sheet 2026'!$C$3:$J$57,8,0)),"N/A"),"N/A")</f>
        <v>34000000</v>
      </c>
      <c r="D903" s="430" cm="1">
        <f t="array" ref="D903">IF(B903&gt;8,2,IF(B903=0,"N/A",1))</f>
        <v>2</v>
      </c>
      <c r="E903" s="423" cm="1">
        <f t="array" ref="E903">_xlfn.IFERROR(SUM('Direct Costs 2026'!$C$4:$C$5)*D903,"N/A")</f>
        <v>1751000</v>
      </c>
      <c r="F903" s="423" cm="1">
        <f t="array" ref="F903">_xlfn.IFERROR('Direct Costs 2026'!$C$43*B903,"N/A")</f>
        <v>66000</v>
      </c>
      <c r="G903" s="423" cm="1">
        <f t="array" ref="G903">IF(B903&gt;0,'Direct Costs 2026'!$C$25,"N/A")</f>
        <v>90000</v>
      </c>
      <c r="H903" s="423">
        <v>0</v>
      </c>
      <c r="I903" s="423">
        <v>0</v>
      </c>
      <c r="J903" s="423">
        <v>0</v>
      </c>
      <c r="K903" s="423">
        <v>0</v>
      </c>
      <c r="L903" s="423">
        <v>0</v>
      </c>
      <c r="M903" s="423" cm="1">
        <f t="array" ref="M903">IF(B903&gt;0,'Direct Costs 2026'!$C$45*B903,"N/A")</f>
        <v>1650000</v>
      </c>
      <c r="N903" t="str" s="431" cm="1">
        <f t="array" ref="N903">IF(B903&gt;0,_xlfn.IFERROR(VLOOKUP(C890,'Boats Data Sheet 2026'!$C$3:$I$57,7,0)*'Direct Costs 2026'!$C$36,"N/A"),"N/A")</f>
        <v>N/A</v>
      </c>
      <c r="O903" t="str" s="431" cm="1">
        <f t="array" ref="O903">IF(B903&gt;0,IF(OR(VLOOKUP(C890,'Boats Data Sheet 2026'!$C$3:$F$57,4,0)="Own",VLOOKUP(C890,'Boats Data Sheet 2026'!$C$3:$F$57,4,0)="Management"),('Direct Costs 2026'!$C$37+'Direct Costs 2026'!$C$39),"N/A"),"N/A")</f>
        <v>N/A</v>
      </c>
      <c r="P903" s="423">
        <v>0</v>
      </c>
      <c r="Q903" s="423" cm="1">
        <f t="array" ref="Q903">_xlfn.IFERROR(C903+SUM(E903:P903),"N/A")</f>
        <v>37557000</v>
      </c>
      <c r="R903" s="424"/>
      <c r="S903" s="423" cm="1">
        <f t="array" ref="S903">IF(B903&gt;0,'Allocation OH and Target 2026'!$E$31,"N/A")</f>
        <v>3100447.15769812</v>
      </c>
      <c r="T903" s="423">
        <v>0</v>
      </c>
      <c r="U903" s="423" cm="1">
        <f t="array" ref="U903">_xlfn.IFERROR((S903+T903),"N/A")</f>
        <v>3100447.15769812</v>
      </c>
      <c r="V903" s="424"/>
      <c r="W903" s="423" cm="1">
        <f t="array" ref="W903">_xlfn.IFERROR(U903+Q903,"N/A")</f>
        <v>40657447.1576981</v>
      </c>
      <c r="X903" s="423" cm="1">
        <f t="array" ref="X903">_xlfn.IFERROR(W903*0.5%,"N/A")</f>
        <v>203287.235788491</v>
      </c>
      <c r="Y903" s="423" cm="1">
        <f t="array" ref="Y903">_xlfn.IFERROR(W903*25%,"N/A")</f>
        <v>10164361.7894245</v>
      </c>
      <c r="Z903" s="425" cm="1">
        <f t="array" ref="Z903">IF(B903&gt;0,(SUM(W903:Y903)),"N/A")</f>
        <v>51025096.1829111</v>
      </c>
      <c r="AA903" s="425" cm="1">
        <f t="array" ref="AA903">_xlfn.IFERROR((Z903-Z902),"N/A")</f>
        <v>195780</v>
      </c>
      <c r="AB903" s="424"/>
      <c r="AC903" t="str" s="426" cm="1">
        <f t="array" ref="AC903">IF(B903=6,AVERAGE(Z893:Z898),"N/A")</f>
        <v>N/A</v>
      </c>
      <c r="AD903" s="424"/>
      <c r="AE903" s="423"/>
      <c r="AF903" s="423"/>
      <c r="AG903" s="423"/>
      <c r="AH903" s="423"/>
      <c r="AI903" s="423"/>
      <c r="AJ903" s="423"/>
      <c r="AK903" s="423"/>
      <c r="AL903" s="423"/>
      <c r="AM903" s="423"/>
      <c r="AN903" s="427"/>
    </row>
    <row r="904" ht="15" customHeight="1">
      <c r="A904" s="12"/>
      <c r="B904" s="428" cm="1">
        <f t="array" ref="B904">IF(B903=0,0,IF(B903&lt;VLOOKUP(C890,'Boats Data Sheet 2026'!$C$3:$H$57,6,0),B903+1,0))</f>
        <v>12</v>
      </c>
      <c r="C904" s="423" cm="1">
        <f t="array" ref="C904">_xlfn.IFERROR(IF(B904&gt;0,IF(VLOOKUP($C$890,'Boats Data Sheet 2026'!$C$3:$J$57,8,0)="N/A",0,VLOOKUP($C$890,'Boats Data Sheet 2026'!$C$3:$J$57,8,0)),"N/A"),"N/A")</f>
        <v>34000000</v>
      </c>
      <c r="D904" s="430" cm="1">
        <f t="array" ref="D904">IF(B904&gt;8,2,IF(B904=0,"N/A",1))</f>
        <v>2</v>
      </c>
      <c r="E904" s="423" cm="1">
        <f t="array" ref="E904">_xlfn.IFERROR(SUM('Direct Costs 2026'!$C$4:$C$5)*D904,"N/A")</f>
        <v>1751000</v>
      </c>
      <c r="F904" s="423" cm="1">
        <f t="array" ref="F904">_xlfn.IFERROR('Direct Costs 2026'!$C$43*B904,"N/A")</f>
        <v>72000</v>
      </c>
      <c r="G904" s="423" cm="1">
        <f t="array" ref="G904">IF(B904&gt;0,'Direct Costs 2026'!$C$25,"N/A")</f>
        <v>90000</v>
      </c>
      <c r="H904" s="423">
        <v>0</v>
      </c>
      <c r="I904" s="423">
        <v>0</v>
      </c>
      <c r="J904" s="423">
        <v>0</v>
      </c>
      <c r="K904" s="423">
        <v>0</v>
      </c>
      <c r="L904" s="423">
        <v>0</v>
      </c>
      <c r="M904" s="423" cm="1">
        <f t="array" ref="M904">IF(B904&gt;0,'Direct Costs 2026'!$C$45*B904,"N/A")</f>
        <v>1800000</v>
      </c>
      <c r="N904" t="str" s="431" cm="1">
        <f t="array" ref="N904">IF(B904&gt;0,_xlfn.IFERROR(VLOOKUP(C890,'Boats Data Sheet 2026'!$C$3:$I$57,7,0)*'Direct Costs 2026'!$C$36,"N/A"),"N/A")</f>
        <v>N/A</v>
      </c>
      <c r="O904" t="str" s="431" cm="1">
        <f t="array" ref="O904">IF(B904&gt;0,IF(OR(VLOOKUP(C890,'Boats Data Sheet 2026'!$C$3:$F$57,4,0)="Own",VLOOKUP(C890,'Boats Data Sheet 2026'!$C$3:$F$57,4,0)="Management"),('Direct Costs 2026'!$C$37+'Direct Costs 2026'!$C$39),"N/A"),"N/A")</f>
        <v>N/A</v>
      </c>
      <c r="P904" s="423">
        <v>0</v>
      </c>
      <c r="Q904" s="423" cm="1">
        <f t="array" ref="Q904">_xlfn.IFERROR(C904+SUM(E904:P904),"N/A")</f>
        <v>37713000</v>
      </c>
      <c r="R904" s="424"/>
      <c r="S904" s="423" cm="1">
        <f t="array" ref="S904">IF(B904&gt;0,'Allocation OH and Target 2026'!$E$31,"N/A")</f>
        <v>3100447.15769812</v>
      </c>
      <c r="T904" s="423">
        <v>0</v>
      </c>
      <c r="U904" s="423" cm="1">
        <f t="array" ref="U904">_xlfn.IFERROR((S904+T904),"N/A")</f>
        <v>3100447.15769812</v>
      </c>
      <c r="V904" s="424"/>
      <c r="W904" s="423" cm="1">
        <f t="array" ref="W904">_xlfn.IFERROR(U904+Q904,"N/A")</f>
        <v>40813447.1576981</v>
      </c>
      <c r="X904" s="423" cm="1">
        <f t="array" ref="X904">_xlfn.IFERROR(W904*0.5%,"N/A")</f>
        <v>204067.235788491</v>
      </c>
      <c r="Y904" s="423" cm="1">
        <f t="array" ref="Y904">_xlfn.IFERROR(W904*25%,"N/A")</f>
        <v>10203361.7894245</v>
      </c>
      <c r="Z904" s="425" cm="1">
        <f t="array" ref="Z904">IF(B904&gt;0,(SUM(W904:Y904)),"N/A")</f>
        <v>51220876.1829111</v>
      </c>
      <c r="AA904" s="425" cm="1">
        <f t="array" ref="AA904">_xlfn.IFERROR((Z904-Z903),"N/A")</f>
        <v>195780</v>
      </c>
      <c r="AB904" s="424"/>
      <c r="AC904" t="str" s="426" cm="1">
        <f t="array" ref="AC904">IF(B904=6,AVERAGE(Z893:Z898),"N/A")</f>
        <v>N/A</v>
      </c>
      <c r="AD904" s="424"/>
      <c r="AE904" s="423"/>
      <c r="AF904" s="423"/>
      <c r="AG904" s="423"/>
      <c r="AH904" s="423"/>
      <c r="AI904" s="423"/>
      <c r="AJ904" s="423"/>
      <c r="AK904" s="423"/>
      <c r="AL904" s="423"/>
      <c r="AM904" s="423"/>
      <c r="AN904" s="427"/>
    </row>
    <row r="905" ht="15" customHeight="1">
      <c r="A905" s="12"/>
      <c r="B905" s="428" cm="1">
        <f t="array" ref="B905">IF(B904=0,0,IF(B904&lt;VLOOKUP(C890,'Boats Data Sheet 2026'!$C$3:$H$57,6,0),B904+1,0))</f>
        <v>13</v>
      </c>
      <c r="C905" s="423" cm="1">
        <f t="array" ref="C905">_xlfn.IFERROR(IF(B905&gt;0,IF(VLOOKUP($C$890,'Boats Data Sheet 2026'!$C$3:$J$57,8,0)="N/A",0,VLOOKUP($C$890,'Boats Data Sheet 2026'!$C$3:$J$57,8,0)),"N/A"),"N/A")</f>
        <v>34000000</v>
      </c>
      <c r="D905" s="430" cm="1">
        <f t="array" ref="D905">IF(B905&gt;8,2,IF(B905=0,"N/A",1))</f>
        <v>2</v>
      </c>
      <c r="E905" s="423" cm="1">
        <f t="array" ref="E905">_xlfn.IFERROR(SUM('Direct Costs 2026'!$C$4:$C$5)*D905,"N/A")</f>
        <v>1751000</v>
      </c>
      <c r="F905" s="423" cm="1">
        <f t="array" ref="F905">_xlfn.IFERROR('Direct Costs 2026'!$C$43*B905,"N/A")</f>
        <v>78000</v>
      </c>
      <c r="G905" s="423" cm="1">
        <f t="array" ref="G905">IF(B905&gt;0,'Direct Costs 2026'!$C$25,"N/A")</f>
        <v>90000</v>
      </c>
      <c r="H905" s="423">
        <v>0</v>
      </c>
      <c r="I905" s="423">
        <v>0</v>
      </c>
      <c r="J905" s="423">
        <v>0</v>
      </c>
      <c r="K905" s="423">
        <v>0</v>
      </c>
      <c r="L905" s="423">
        <v>0</v>
      </c>
      <c r="M905" s="423" cm="1">
        <f t="array" ref="M905">IF(B905&gt;0,'Direct Costs 2026'!$C$45*B905,"N/A")</f>
        <v>1950000</v>
      </c>
      <c r="N905" t="str" s="431" cm="1">
        <f t="array" ref="N905">IF(B905&gt;0,_xlfn.IFERROR(VLOOKUP(C890,'Boats Data Sheet 2026'!$C$3:$I$57,7,0)*'Direct Costs 2026'!$C$36,"N/A"),"N/A")</f>
        <v>N/A</v>
      </c>
      <c r="O905" t="str" s="431" cm="1">
        <f t="array" ref="O905">IF(B905&gt;0,IF(OR(VLOOKUP(C890,'Boats Data Sheet 2026'!$C$3:$F$57,4,0)="Own",VLOOKUP(C890,'Boats Data Sheet 2026'!$C$3:$F$57,4,0)="Management"),('Direct Costs 2026'!$C$37+'Direct Costs 2026'!$C$39),"N/A"),"N/A")</f>
        <v>N/A</v>
      </c>
      <c r="P905" s="423">
        <v>0</v>
      </c>
      <c r="Q905" s="423" cm="1">
        <f t="array" ref="Q905">_xlfn.IFERROR(C905+SUM(E905:P905),"N/A")</f>
        <v>37869000</v>
      </c>
      <c r="R905" s="424"/>
      <c r="S905" s="423" cm="1">
        <f t="array" ref="S905">IF(B905&gt;0,'Allocation OH and Target 2026'!$E$31,"N/A")</f>
        <v>3100447.15769812</v>
      </c>
      <c r="T905" s="423">
        <v>0</v>
      </c>
      <c r="U905" s="423" cm="1">
        <f t="array" ref="U905">_xlfn.IFERROR((S905+T905),"N/A")</f>
        <v>3100447.15769812</v>
      </c>
      <c r="V905" s="424"/>
      <c r="W905" s="423" cm="1">
        <f t="array" ref="W905">_xlfn.IFERROR(U905+Q905,"N/A")</f>
        <v>40969447.1576981</v>
      </c>
      <c r="X905" s="423" cm="1">
        <f t="array" ref="X905">_xlfn.IFERROR(W905*0.5%,"N/A")</f>
        <v>204847.235788491</v>
      </c>
      <c r="Y905" s="423" cm="1">
        <f t="array" ref="Y905">_xlfn.IFERROR(W905*25%,"N/A")</f>
        <v>10242361.7894245</v>
      </c>
      <c r="Z905" s="425" cm="1">
        <f t="array" ref="Z905">IF(B905&gt;0,(SUM(W905:Y905)),"N/A")</f>
        <v>51416656.1829111</v>
      </c>
      <c r="AA905" s="425" cm="1">
        <f t="array" ref="AA905">_xlfn.IFERROR((Z905-Z904),"N/A")</f>
        <v>195780</v>
      </c>
      <c r="AB905" s="424"/>
      <c r="AC905" t="str" s="426" cm="1">
        <f t="array" ref="AC905">IF(B905=6,AVERAGE(Z893:Z898),"N/A")</f>
        <v>N/A</v>
      </c>
      <c r="AD905" s="424"/>
      <c r="AE905" s="423"/>
      <c r="AF905" s="423"/>
      <c r="AG905" s="423"/>
      <c r="AH905" s="423"/>
      <c r="AI905" s="423"/>
      <c r="AJ905" s="423"/>
      <c r="AK905" s="423"/>
      <c r="AL905" s="423"/>
      <c r="AM905" s="423"/>
      <c r="AN905" s="427"/>
    </row>
    <row r="906" ht="15" customHeight="1">
      <c r="A906" s="12"/>
      <c r="B906" s="428" cm="1">
        <f t="array" ref="B906">IF(B905=0,0,IF(B905&lt;VLOOKUP(C890,'Boats Data Sheet 2026'!$C$3:$H$57,6,0),B905+1,0))</f>
        <v>14</v>
      </c>
      <c r="C906" s="423" cm="1">
        <f t="array" ref="C906">_xlfn.IFERROR(IF(B906&gt;0,IF(VLOOKUP($C$890,'Boats Data Sheet 2026'!$C$3:$J$57,8,0)="N/A",0,VLOOKUP($C$890,'Boats Data Sheet 2026'!$C$3:$J$57,8,0)),"N/A"),"N/A")</f>
        <v>34000000</v>
      </c>
      <c r="D906" s="430" cm="1">
        <f t="array" ref="D906">IF(B906&gt;8,2,IF(B906=0,"N/A",1))</f>
        <v>2</v>
      </c>
      <c r="E906" s="423" cm="1">
        <f t="array" ref="E906">_xlfn.IFERROR(SUM('Direct Costs 2026'!$C$4:$C$5)*D906,"N/A")</f>
        <v>1751000</v>
      </c>
      <c r="F906" s="423" cm="1">
        <f t="array" ref="F906">_xlfn.IFERROR('Direct Costs 2026'!$C$43*B906,"N/A")</f>
        <v>84000</v>
      </c>
      <c r="G906" s="423" cm="1">
        <f t="array" ref="G906">IF(B906&gt;0,'Direct Costs 2026'!$C$25,"N/A")</f>
        <v>90000</v>
      </c>
      <c r="H906" s="423">
        <v>0</v>
      </c>
      <c r="I906" s="423">
        <v>0</v>
      </c>
      <c r="J906" s="423">
        <v>0</v>
      </c>
      <c r="K906" s="423">
        <v>0</v>
      </c>
      <c r="L906" s="423">
        <v>0</v>
      </c>
      <c r="M906" s="423" cm="1">
        <f t="array" ref="M906">IF(B906&gt;0,'Direct Costs 2026'!$C$45*B906,"N/A")</f>
        <v>2100000</v>
      </c>
      <c r="N906" t="str" s="431" cm="1">
        <f t="array" ref="N906">IF(B906&gt;0,_xlfn.IFERROR(VLOOKUP(C890,'Boats Data Sheet 2026'!$C$3:$I$57,7,0)*'Direct Costs 2026'!$C$36,"N/A"),"N/A")</f>
        <v>N/A</v>
      </c>
      <c r="O906" t="str" s="431" cm="1">
        <f t="array" ref="O906">IF(B906&gt;0,IF(OR(VLOOKUP(C890,'Boats Data Sheet 2026'!$C$3:$F$57,4,0)="Own",VLOOKUP(C890,'Boats Data Sheet 2026'!$C$3:$F$57,4,0)="Management"),('Direct Costs 2026'!$C$37+'Direct Costs 2026'!$C$39),"N/A"),"N/A")</f>
        <v>N/A</v>
      </c>
      <c r="P906" s="423">
        <v>0</v>
      </c>
      <c r="Q906" s="423" cm="1">
        <f t="array" ref="Q906">_xlfn.IFERROR(C906+SUM(E906:P906),"N/A")</f>
        <v>38025000</v>
      </c>
      <c r="R906" s="424"/>
      <c r="S906" s="423" cm="1">
        <f t="array" ref="S906">IF(B906&gt;0,'Allocation OH and Target 2026'!$E$31,"N/A")</f>
        <v>3100447.15769812</v>
      </c>
      <c r="T906" s="423">
        <v>0</v>
      </c>
      <c r="U906" s="423" cm="1">
        <f t="array" ref="U906">_xlfn.IFERROR((S906+T906),"N/A")</f>
        <v>3100447.15769812</v>
      </c>
      <c r="V906" s="424"/>
      <c r="W906" s="423" cm="1">
        <f t="array" ref="W906">_xlfn.IFERROR(U906+Q906,"N/A")</f>
        <v>41125447.1576981</v>
      </c>
      <c r="X906" s="423" cm="1">
        <f t="array" ref="X906">_xlfn.IFERROR(W906*0.5%,"N/A")</f>
        <v>205627.235788491</v>
      </c>
      <c r="Y906" s="423" cm="1">
        <f t="array" ref="Y906">_xlfn.IFERROR(W906*25%,"N/A")</f>
        <v>10281361.7894245</v>
      </c>
      <c r="Z906" s="425" cm="1">
        <f t="array" ref="Z906">IF(B906&gt;0,(SUM(W906:Y906)),"N/A")</f>
        <v>51612436.1829111</v>
      </c>
      <c r="AA906" s="425" cm="1">
        <f t="array" ref="AA906">_xlfn.IFERROR((Z906-Z905),"N/A")</f>
        <v>195780</v>
      </c>
      <c r="AB906" s="424"/>
      <c r="AC906" t="str" s="426" cm="1">
        <f t="array" ref="AC906">IF(B906=6,AVERAGE(Z893:Z898),"N/A")</f>
        <v>N/A</v>
      </c>
      <c r="AD906" s="424"/>
      <c r="AE906" s="423"/>
      <c r="AF906" s="423"/>
      <c r="AG906" s="423"/>
      <c r="AH906" s="423"/>
      <c r="AI906" s="423"/>
      <c r="AJ906" s="423"/>
      <c r="AK906" s="423"/>
      <c r="AL906" s="423"/>
      <c r="AM906" s="423"/>
      <c r="AN906" s="427"/>
    </row>
    <row r="907" ht="15" customHeight="1">
      <c r="A907" s="12"/>
      <c r="B907" s="428" cm="1">
        <f t="array" ref="B907">IF(B906=0,0,IF(B906&lt;VLOOKUP(C890,'Boats Data Sheet 2026'!$C$3:$H$57,6,0),B906+1,0))</f>
        <v>15</v>
      </c>
      <c r="C907" s="423" cm="1">
        <f t="array" ref="C907">_xlfn.IFERROR(IF(B907&gt;0,IF(VLOOKUP($C$890,'Boats Data Sheet 2026'!$C$3:$J$57,8,0)="N/A",0,VLOOKUP($C$890,'Boats Data Sheet 2026'!$C$3:$J$57,8,0)),"N/A"),"N/A")</f>
        <v>34000000</v>
      </c>
      <c r="D907" s="430" cm="1">
        <f t="array" ref="D907">IF(B907&gt;8,2,IF(B907=0,"N/A",1))</f>
        <v>2</v>
      </c>
      <c r="E907" s="423" cm="1">
        <f t="array" ref="E907">_xlfn.IFERROR(SUM('Direct Costs 2026'!$C$4:$C$5)*D907,"N/A")</f>
        <v>1751000</v>
      </c>
      <c r="F907" s="423" cm="1">
        <f t="array" ref="F907">_xlfn.IFERROR('Direct Costs 2026'!$C$43*B907,"N/A")</f>
        <v>90000</v>
      </c>
      <c r="G907" s="423" cm="1">
        <f t="array" ref="G907">IF(B907&gt;0,'Direct Costs 2026'!$C$25,"N/A")</f>
        <v>90000</v>
      </c>
      <c r="H907" s="423">
        <v>0</v>
      </c>
      <c r="I907" s="423">
        <v>0</v>
      </c>
      <c r="J907" s="423">
        <v>0</v>
      </c>
      <c r="K907" s="423">
        <v>0</v>
      </c>
      <c r="L907" s="423">
        <v>0</v>
      </c>
      <c r="M907" s="423" cm="1">
        <f t="array" ref="M907">IF(B907&gt;0,'Direct Costs 2026'!$C$45*B907,"N/A")</f>
        <v>2250000</v>
      </c>
      <c r="N907" t="str" s="431" cm="1">
        <f t="array" ref="N907">IF(B907&gt;0,_xlfn.IFERROR(VLOOKUP(C890,'Boats Data Sheet 2026'!$C$3:$I$57,7,0)*'Direct Costs 2026'!$C$36,"N/A"),"N/A")</f>
        <v>N/A</v>
      </c>
      <c r="O907" t="str" s="431" cm="1">
        <f t="array" ref="O907">IF(B907&gt;0,IF(OR(VLOOKUP(C890,'Boats Data Sheet 2026'!$C$3:$F$57,4,0)="Own",VLOOKUP(C890,'Boats Data Sheet 2026'!$C$3:$F$57,4,0)="Management"),('Direct Costs 2026'!$C$37+'Direct Costs 2026'!$C$39),"N/A"),"N/A")</f>
        <v>N/A</v>
      </c>
      <c r="P907" s="423">
        <v>0</v>
      </c>
      <c r="Q907" s="423" cm="1">
        <f t="array" ref="Q907">_xlfn.IFERROR(C907+SUM(E907:P907),"N/A")</f>
        <v>38181000</v>
      </c>
      <c r="R907" s="424"/>
      <c r="S907" s="423" cm="1">
        <f t="array" ref="S907">IF(B907&gt;0,'Allocation OH and Target 2026'!$E$31,"N/A")</f>
        <v>3100447.15769812</v>
      </c>
      <c r="T907" s="423">
        <v>0</v>
      </c>
      <c r="U907" s="423" cm="1">
        <f t="array" ref="U907">_xlfn.IFERROR((S907+T907),"N/A")</f>
        <v>3100447.15769812</v>
      </c>
      <c r="V907" s="424"/>
      <c r="W907" s="423" cm="1">
        <f t="array" ref="W907">_xlfn.IFERROR(U907+Q907,"N/A")</f>
        <v>41281447.1576981</v>
      </c>
      <c r="X907" s="423" cm="1">
        <f t="array" ref="X907">_xlfn.IFERROR(W907*0.5%,"N/A")</f>
        <v>206407.235788491</v>
      </c>
      <c r="Y907" s="423" cm="1">
        <f t="array" ref="Y907">_xlfn.IFERROR(W907*25%,"N/A")</f>
        <v>10320361.7894245</v>
      </c>
      <c r="Z907" s="425" cm="1">
        <f t="array" ref="Z907">IF(B907&gt;0,(SUM(W907:Y907)),"N/A")</f>
        <v>51808216.1829111</v>
      </c>
      <c r="AA907" s="425" cm="1">
        <f t="array" ref="AA907">_xlfn.IFERROR((Z907-Z906),"N/A")</f>
        <v>195780</v>
      </c>
      <c r="AB907" s="424"/>
      <c r="AC907" t="str" s="426" cm="1">
        <f t="array" ref="AC907">IF(B907=6,AVERAGE(Z893:Z898),"N/A")</f>
        <v>N/A</v>
      </c>
      <c r="AD907" s="424"/>
      <c r="AE907" s="423"/>
      <c r="AF907" s="423"/>
      <c r="AG907" s="423"/>
      <c r="AH907" s="423"/>
      <c r="AI907" s="423"/>
      <c r="AJ907" s="423"/>
      <c r="AK907" s="423"/>
      <c r="AL907" s="423"/>
      <c r="AM907" s="423"/>
      <c r="AN907" s="427"/>
    </row>
    <row r="908" ht="15" customHeight="1">
      <c r="A908" s="12"/>
      <c r="B908" s="428" cm="1">
        <f t="array" ref="B908">IF(B907=0,0,IF(B907&lt;VLOOKUP(C890,'Boats Data Sheet 2026'!$C$3:$H$57,6,0),B907+1,0))</f>
        <v>16</v>
      </c>
      <c r="C908" s="423" cm="1">
        <f t="array" ref="C908">_xlfn.IFERROR(IF(B908&gt;0,IF(VLOOKUP($C$890,'Boats Data Sheet 2026'!$C$3:$J$57,8,0)="N/A",0,VLOOKUP($C$890,'Boats Data Sheet 2026'!$C$3:$J$57,8,0)),"N/A"),"N/A")</f>
        <v>34000000</v>
      </c>
      <c r="D908" s="430" cm="1">
        <f t="array" ref="D908">IF(B908&gt;8,2,IF(B908=0,"N/A",1))</f>
        <v>2</v>
      </c>
      <c r="E908" s="423" cm="1">
        <f t="array" ref="E908">_xlfn.IFERROR(SUM('Direct Costs 2026'!$C$4:$C$5)*D908,"N/A")</f>
        <v>1751000</v>
      </c>
      <c r="F908" s="423" cm="1">
        <f t="array" ref="F908">_xlfn.IFERROR('Direct Costs 2026'!$C$43*B908,"N/A")</f>
        <v>96000</v>
      </c>
      <c r="G908" s="423" cm="1">
        <f t="array" ref="G908">IF(B908&gt;0,'Direct Costs 2026'!$C$25,"N/A")</f>
        <v>90000</v>
      </c>
      <c r="H908" s="423">
        <v>0</v>
      </c>
      <c r="I908" s="423">
        <v>0</v>
      </c>
      <c r="J908" s="423">
        <v>0</v>
      </c>
      <c r="K908" s="423">
        <v>0</v>
      </c>
      <c r="L908" s="423">
        <v>0</v>
      </c>
      <c r="M908" s="423" cm="1">
        <f t="array" ref="M908">IF(B908&gt;0,'Direct Costs 2026'!$C$45*B908,"N/A")</f>
        <v>2400000</v>
      </c>
      <c r="N908" t="str" s="431" cm="1">
        <f t="array" ref="N908">IF(B908&gt;0,_xlfn.IFERROR(VLOOKUP(C890,'Boats Data Sheet 2026'!$C$3:$I$57,7,0)*'Direct Costs 2026'!$C$36,"N/A"),"N/A")</f>
        <v>N/A</v>
      </c>
      <c r="O908" t="str" s="431" cm="1">
        <f t="array" ref="O908">IF(B908&gt;0,IF(OR(VLOOKUP(C890,'Boats Data Sheet 2026'!$C$3:$F$57,4,0)="Own",VLOOKUP(C890,'Boats Data Sheet 2026'!$C$3:$F$57,4,0)="Management"),('Direct Costs 2026'!$C$37+'Direct Costs 2026'!$C$39),"N/A"),"N/A")</f>
        <v>N/A</v>
      </c>
      <c r="P908" s="423">
        <v>0</v>
      </c>
      <c r="Q908" s="423" cm="1">
        <f t="array" ref="Q908">_xlfn.IFERROR(C908+SUM(E908:P908),"N/A")</f>
        <v>38337000</v>
      </c>
      <c r="R908" s="424"/>
      <c r="S908" s="423" cm="1">
        <f t="array" ref="S908">IF(B908&gt;0,'Allocation OH and Target 2026'!$E$31,"N/A")</f>
        <v>3100447.15769812</v>
      </c>
      <c r="T908" s="423">
        <v>0</v>
      </c>
      <c r="U908" s="423" cm="1">
        <f t="array" ref="U908">_xlfn.IFERROR((S908+T908),"N/A")</f>
        <v>3100447.15769812</v>
      </c>
      <c r="V908" s="424"/>
      <c r="W908" s="423" cm="1">
        <f t="array" ref="W908">_xlfn.IFERROR(U908+Q908,"N/A")</f>
        <v>41437447.1576981</v>
      </c>
      <c r="X908" s="423" cm="1">
        <f t="array" ref="X908">_xlfn.IFERROR(W908*0.5%,"N/A")</f>
        <v>207187.235788491</v>
      </c>
      <c r="Y908" s="423" cm="1">
        <f t="array" ref="Y908">_xlfn.IFERROR(W908*25%,"N/A")</f>
        <v>10359361.7894245</v>
      </c>
      <c r="Z908" s="425" cm="1">
        <f t="array" ref="Z908">IF(B908&gt;0,(SUM(W908:Y908)),"N/A")</f>
        <v>52003996.1829111</v>
      </c>
      <c r="AA908" s="425" cm="1">
        <f t="array" ref="AA908">_xlfn.IFERROR((Z908-Z907),"N/A")</f>
        <v>195780</v>
      </c>
      <c r="AB908" s="424"/>
      <c r="AC908" t="str" s="426" cm="1">
        <f t="array" ref="AC908">IF(B908=6,AVERAGE(Z893:Z898),"N/A")</f>
        <v>N/A</v>
      </c>
      <c r="AD908" s="424"/>
      <c r="AE908" s="423"/>
      <c r="AF908" s="423"/>
      <c r="AG908" s="423"/>
      <c r="AH908" s="423"/>
      <c r="AI908" s="423"/>
      <c r="AJ908" s="423"/>
      <c r="AK908" s="423"/>
      <c r="AL908" s="423"/>
      <c r="AM908" s="423"/>
      <c r="AN908" s="427"/>
    </row>
    <row r="909" ht="15" customHeight="1">
      <c r="A909" s="12"/>
      <c r="B909" s="428" cm="1">
        <f t="array" ref="B909">IF(B908=0,0,IF(B908&lt;VLOOKUP(C890,'Boats Data Sheet 2026'!$C$3:$H$57,6,0),B908+1,0))</f>
        <v>17</v>
      </c>
      <c r="C909" s="423" cm="1">
        <f t="array" ref="C909">_xlfn.IFERROR(IF(B909&gt;0,IF(VLOOKUP($C$890,'Boats Data Sheet 2026'!$C$3:$J$57,8,0)="N/A",0,VLOOKUP($C$890,'Boats Data Sheet 2026'!$C$3:$J$57,8,0)),"N/A"),"N/A")</f>
        <v>34000000</v>
      </c>
      <c r="D909" s="430" cm="1">
        <f t="array" ref="D909">IF(B909&gt;8,2,IF(B909=0,"N/A",1))</f>
        <v>2</v>
      </c>
      <c r="E909" s="423" cm="1">
        <f t="array" ref="E909">_xlfn.IFERROR(SUM('Direct Costs 2026'!$C$4:$C$5)*D909,"N/A")</f>
        <v>1751000</v>
      </c>
      <c r="F909" s="423" cm="1">
        <f t="array" ref="F909">_xlfn.IFERROR('Direct Costs 2026'!$C$43*B909,"N/A")</f>
        <v>102000</v>
      </c>
      <c r="G909" s="423" cm="1">
        <f t="array" ref="G909">IF(B909&gt;0,'Direct Costs 2026'!$C$25,"N/A")</f>
        <v>90000</v>
      </c>
      <c r="H909" s="423">
        <v>0</v>
      </c>
      <c r="I909" s="423">
        <v>0</v>
      </c>
      <c r="J909" s="423">
        <v>0</v>
      </c>
      <c r="K909" s="423">
        <v>0</v>
      </c>
      <c r="L909" s="423">
        <v>0</v>
      </c>
      <c r="M909" s="423" cm="1">
        <f t="array" ref="M909">IF(B909&gt;0,'Direct Costs 2026'!$C$45*B909,"N/A")</f>
        <v>2550000</v>
      </c>
      <c r="N909" t="str" s="431" cm="1">
        <f t="array" ref="N909">IF(B909&gt;0,_xlfn.IFERROR(VLOOKUP(C890,'Boats Data Sheet 2026'!$C$3:$I$57,7,0)*'Direct Costs 2026'!$C$36,"N/A"),"N/A")</f>
        <v>N/A</v>
      </c>
      <c r="O909" t="str" s="431" cm="1">
        <f t="array" ref="O909">IF(B909&gt;0,IF(OR(VLOOKUP(C890,'Boats Data Sheet 2026'!$C$3:$F$57,4,0)="Own",VLOOKUP(C890,'Boats Data Sheet 2026'!$C$3:$F$57,4,0)="Management"),('Direct Costs 2026'!$C$37+'Direct Costs 2026'!$C$39),"N/A"),"N/A")</f>
        <v>N/A</v>
      </c>
      <c r="P909" s="423">
        <v>0</v>
      </c>
      <c r="Q909" s="423" cm="1">
        <f t="array" ref="Q909">_xlfn.IFERROR(C909+SUM(E909:P909),"N/A")</f>
        <v>38493000</v>
      </c>
      <c r="R909" s="424"/>
      <c r="S909" s="423" cm="1">
        <f t="array" ref="S909">IF(B909&gt;0,'Allocation OH and Target 2026'!$E$31,"N/A")</f>
        <v>3100447.15769812</v>
      </c>
      <c r="T909" s="423">
        <v>0</v>
      </c>
      <c r="U909" s="423" cm="1">
        <f t="array" ref="U909">_xlfn.IFERROR((S909+T909),"N/A")</f>
        <v>3100447.15769812</v>
      </c>
      <c r="V909" s="424"/>
      <c r="W909" s="423" cm="1">
        <f t="array" ref="W909">_xlfn.IFERROR(U909+Q909,"N/A")</f>
        <v>41593447.1576981</v>
      </c>
      <c r="X909" s="423" cm="1">
        <f t="array" ref="X909">_xlfn.IFERROR(W909*0.5%,"N/A")</f>
        <v>207967.235788491</v>
      </c>
      <c r="Y909" s="423" cm="1">
        <f t="array" ref="Y909">_xlfn.IFERROR(W909*25%,"N/A")</f>
        <v>10398361.7894245</v>
      </c>
      <c r="Z909" s="425" cm="1">
        <f t="array" ref="Z909">IF(B909&gt;0,(SUM(W909:Y909)),"N/A")</f>
        <v>52199776.1829111</v>
      </c>
      <c r="AA909" s="425" cm="1">
        <f t="array" ref="AA909">_xlfn.IFERROR((Z909-Z908),"N/A")</f>
        <v>195780</v>
      </c>
      <c r="AB909" s="424"/>
      <c r="AC909" t="str" s="426" cm="1">
        <f t="array" ref="AC909">IF(B909=6,AVERAGE(Z893:Z898),"N/A")</f>
        <v>N/A</v>
      </c>
      <c r="AD909" s="424"/>
      <c r="AE909" s="423"/>
      <c r="AF909" s="423"/>
      <c r="AG909" s="423"/>
      <c r="AH909" s="423"/>
      <c r="AI909" s="423"/>
      <c r="AJ909" s="423"/>
      <c r="AK909" s="423"/>
      <c r="AL909" s="423"/>
      <c r="AM909" s="423"/>
      <c r="AN909" s="427"/>
    </row>
    <row r="910" ht="15.5" customHeight="1">
      <c r="A910" s="12"/>
      <c r="B910" s="432" cm="1">
        <f t="array" ref="B910">IF(B909=0,0,IF(B909&lt;VLOOKUP(C890,'Boats Data Sheet 2026'!$C$3:$H$57,6,0),B909+1,0))</f>
        <v>18</v>
      </c>
      <c r="C910" s="434" cm="1">
        <f t="array" ref="C910">_xlfn.IFERROR(IF(B910&gt;0,IF(VLOOKUP($C$890,'Boats Data Sheet 2026'!$C$3:$J$57,8,0)="N/A",0,VLOOKUP($C$890,'Boats Data Sheet 2026'!$C$3:$J$57,8,0)),"N/A"),"N/A")</f>
        <v>34000000</v>
      </c>
      <c r="D910" s="496" cm="1">
        <f t="array" ref="D910">IF(B910&gt;8,2,IF(B910=0,"N/A",1))</f>
        <v>2</v>
      </c>
      <c r="E910" s="434" cm="1">
        <f t="array" ref="E910">_xlfn.IFERROR(SUM('Direct Costs 2026'!$C$4:$C$5)*D910,"N/A")</f>
        <v>1751000</v>
      </c>
      <c r="F910" s="434" cm="1">
        <f t="array" ref="F910">_xlfn.IFERROR('Direct Costs 2026'!$C$43*B910,"N/A")</f>
        <v>108000</v>
      </c>
      <c r="G910" s="434" cm="1">
        <f t="array" ref="G910">IF(B910&gt;0,'Direct Costs 2026'!$C$25,"N/A")</f>
        <v>90000</v>
      </c>
      <c r="H910" s="434">
        <v>0</v>
      </c>
      <c r="I910" s="434">
        <v>0</v>
      </c>
      <c r="J910" s="434">
        <v>0</v>
      </c>
      <c r="K910" s="434">
        <v>0</v>
      </c>
      <c r="L910" s="434">
        <v>0</v>
      </c>
      <c r="M910" s="434" cm="1">
        <f t="array" ref="M910">IF(B910&gt;0,'Direct Costs 2026'!$C$45*B910,"N/A")</f>
        <v>2700000</v>
      </c>
      <c r="N910" t="str" s="433" cm="1">
        <f t="array" ref="N910">IF(B910&gt;0,_xlfn.IFERROR(VLOOKUP(C890,'Boats Data Sheet 2026'!$C$3:$I$57,7,0)*'Direct Costs 2026'!$C$36,"N/A"),"N/A")</f>
        <v>N/A</v>
      </c>
      <c r="O910" t="str" s="433" cm="1">
        <f t="array" ref="O910">IF(B910&gt;0,IF(OR(VLOOKUP(C890,'Boats Data Sheet 2026'!$C$3:$F$57,4,0)="Own",VLOOKUP(C890,'Boats Data Sheet 2026'!$C$3:$F$57,4,0)="Management"),('Direct Costs 2026'!$C$37+'Direct Costs 2026'!$C$39),"N/A"),"N/A")</f>
        <v>N/A</v>
      </c>
      <c r="P910" s="434">
        <v>0</v>
      </c>
      <c r="Q910" s="434" cm="1">
        <f t="array" ref="Q910">_xlfn.IFERROR(C910+SUM(E910:P910),"N/A")</f>
        <v>38649000</v>
      </c>
      <c r="R910" s="435"/>
      <c r="S910" s="434" cm="1">
        <f t="array" ref="S910">IF(B910&gt;0,'Allocation OH and Target 2026'!$E$31,"N/A")</f>
        <v>3100447.15769812</v>
      </c>
      <c r="T910" s="434">
        <v>0</v>
      </c>
      <c r="U910" s="434" cm="1">
        <f t="array" ref="U910">_xlfn.IFERROR((S910+T910),"N/A")</f>
        <v>3100447.15769812</v>
      </c>
      <c r="V910" s="435"/>
      <c r="W910" s="434" cm="1">
        <f t="array" ref="W910">_xlfn.IFERROR(U910+Q910,"N/A")</f>
        <v>41749447.1576981</v>
      </c>
      <c r="X910" s="434" cm="1">
        <f t="array" ref="X910">_xlfn.IFERROR(W910*0.5%,"N/A")</f>
        <v>208747.235788491</v>
      </c>
      <c r="Y910" s="434" cm="1">
        <f t="array" ref="Y910">_xlfn.IFERROR(W910*25%,"N/A")</f>
        <v>10437361.7894245</v>
      </c>
      <c r="Z910" s="497" cm="1">
        <f t="array" ref="Z910">IF(B910&gt;0,(SUM(W910:Y910)),"N/A")</f>
        <v>52395556.1829111</v>
      </c>
      <c r="AA910" s="497" cm="1">
        <f t="array" ref="AA910">_xlfn.IFERROR((Z910-Z909),"N/A")</f>
        <v>195780</v>
      </c>
      <c r="AB910" s="435"/>
      <c r="AC910" t="str" s="436" cm="1">
        <f t="array" ref="AC910">IF(B910=6,AVERAGE(Z893:Z898),"N/A")</f>
        <v>N/A</v>
      </c>
      <c r="AD910" s="435"/>
      <c r="AE910" s="497"/>
      <c r="AF910" s="497"/>
      <c r="AG910" s="497"/>
      <c r="AH910" s="497"/>
      <c r="AI910" s="497"/>
      <c r="AJ910" s="497"/>
      <c r="AK910" s="497"/>
      <c r="AL910" s="434"/>
      <c r="AM910" s="497"/>
      <c r="AN910" s="437"/>
    </row>
    <row r="911" ht="15" customHeight="1">
      <c r="A911" s="32"/>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c r="AH911" s="124"/>
      <c r="AI911" s="124"/>
      <c r="AJ911" s="124"/>
      <c r="AK911" s="124"/>
      <c r="AL911" s="124"/>
      <c r="AM911" s="124"/>
      <c r="AN911" s="313"/>
    </row>
    <row r="912" ht="15" customHeight="1">
      <c r="A912" s="32"/>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c r="AH912" s="35"/>
      <c r="AI912" s="35"/>
      <c r="AJ912" s="35"/>
      <c r="AK912" s="35"/>
      <c r="AL912" s="35"/>
      <c r="AM912" s="35"/>
      <c r="AN912" s="442"/>
    </row>
    <row r="913" ht="15.5" customHeight="1">
      <c r="A913" s="395">
        <v>3</v>
      </c>
      <c r="B913" t="s" s="396">
        <v>506</v>
      </c>
      <c r="C913" t="s" s="397">
        <v>48</v>
      </c>
      <c r="D913" s="398"/>
      <c r="E913" s="398"/>
      <c r="F913" s="398"/>
      <c r="G913" s="398"/>
      <c r="H913" s="398"/>
      <c r="I913" s="398"/>
      <c r="J913" s="398"/>
      <c r="K913" s="398"/>
      <c r="L913" s="398"/>
      <c r="M913" s="398"/>
      <c r="N913" s="398"/>
      <c r="O913" s="398"/>
      <c r="P913" s="398"/>
      <c r="Q913" s="398"/>
      <c r="R913" s="399"/>
      <c r="S913" s="398"/>
      <c r="T913" s="398"/>
      <c r="U913" s="398"/>
      <c r="V913" s="399"/>
      <c r="W913" s="398"/>
      <c r="X913" s="398"/>
      <c r="Y913" s="398"/>
      <c r="Z913" s="398"/>
      <c r="AA913" s="398"/>
      <c r="AB913" s="399"/>
      <c r="AC913" s="398"/>
      <c r="AD913" s="399"/>
      <c r="AE913" t="s" s="397">
        <v>508</v>
      </c>
      <c r="AF913" s="401" cm="1">
        <f t="array" ref="AF913">AVERAGE(Q916:Q921)</f>
        <v>9847333.333333321</v>
      </c>
      <c r="AG913" t="s" s="400">
        <v>509</v>
      </c>
      <c r="AH913" s="401" cm="1">
        <f t="array" ref="AH913">AVERAGE(Q922:Q929)-AF913</f>
        <v>1991928.57142855</v>
      </c>
      <c r="AI913" t="s" s="400">
        <v>510</v>
      </c>
      <c r="AJ913" s="401" cm="1">
        <f t="array" ref="AJ913">AVERAGE(Y916:Y923)</f>
        <v>3312054.49775787</v>
      </c>
      <c r="AK913" t="s" s="397">
        <v>511</v>
      </c>
      <c r="AL913" s="401" cm="1">
        <f t="array" ref="AL913">AVERAGE(W916:W921)</f>
        <v>12947780.4910315</v>
      </c>
      <c r="AM913" t="s" s="400">
        <v>512</v>
      </c>
      <c r="AN913" s="402" cm="1">
        <f t="array" ref="AN913">W916</f>
        <v>12470280.4910315</v>
      </c>
    </row>
    <row r="914" ht="15" customHeight="1">
      <c r="A914" s="12"/>
      <c r="B914" s="403"/>
      <c r="C914" t="s" s="404">
        <v>513</v>
      </c>
      <c r="D914" s="405"/>
      <c r="E914" s="405"/>
      <c r="F914" s="405"/>
      <c r="G914" s="405"/>
      <c r="H914" s="405"/>
      <c r="I914" s="405"/>
      <c r="J914" s="405"/>
      <c r="K914" s="405"/>
      <c r="L914" s="405"/>
      <c r="M914" s="405"/>
      <c r="N914" s="405"/>
      <c r="O914" s="405"/>
      <c r="P914" s="405"/>
      <c r="Q914" s="406"/>
      <c r="R914" s="407"/>
      <c r="S914" t="s" s="404">
        <v>514</v>
      </c>
      <c r="T914" s="405"/>
      <c r="U914" s="406"/>
      <c r="V914" s="407"/>
      <c r="W914" t="s" s="404">
        <v>515</v>
      </c>
      <c r="X914" s="405"/>
      <c r="Y914" s="405"/>
      <c r="Z914" s="405"/>
      <c r="AA914" s="405"/>
      <c r="AB914" s="408"/>
      <c r="AC914" t="s" s="409">
        <v>516</v>
      </c>
      <c r="AD914" s="410"/>
      <c r="AE914" s="443"/>
      <c r="AF914" s="443"/>
      <c r="AG914" s="443"/>
      <c r="AH914" s="443"/>
      <c r="AI914" s="443"/>
      <c r="AJ914" s="443"/>
      <c r="AK914" s="443"/>
      <c r="AL914" s="414"/>
      <c r="AM914" s="415"/>
      <c r="AN914" s="414"/>
    </row>
    <row r="915" ht="46.25" customHeight="1">
      <c r="A915" s="187"/>
      <c r="B915" t="s" s="416">
        <v>517</v>
      </c>
      <c r="C915" t="s" s="417">
        <v>518</v>
      </c>
      <c r="D915" t="s" s="417">
        <v>519</v>
      </c>
      <c r="E915" t="s" s="417">
        <v>520</v>
      </c>
      <c r="F915" t="s" s="159">
        <v>521</v>
      </c>
      <c r="G915" t="s" s="159">
        <v>522</v>
      </c>
      <c r="H915" t="s" s="159">
        <v>553</v>
      </c>
      <c r="I915" t="s" s="159">
        <v>524</v>
      </c>
      <c r="J915" t="s" s="159">
        <v>525</v>
      </c>
      <c r="K915" t="s" s="159">
        <v>526</v>
      </c>
      <c r="L915" t="s" s="159">
        <v>527</v>
      </c>
      <c r="M915" t="s" s="159">
        <v>528</v>
      </c>
      <c r="N915" t="s" s="159">
        <v>529</v>
      </c>
      <c r="O915" t="s" s="159">
        <v>530</v>
      </c>
      <c r="P915" t="s" s="159">
        <v>531</v>
      </c>
      <c r="Q915" t="s" s="159">
        <v>532</v>
      </c>
      <c r="R915" s="418"/>
      <c r="S915" t="s" s="159">
        <v>533</v>
      </c>
      <c r="T915" t="s" s="159">
        <v>534</v>
      </c>
      <c r="U915" t="s" s="159">
        <v>535</v>
      </c>
      <c r="V915" s="418"/>
      <c r="W915" t="s" s="159">
        <v>536</v>
      </c>
      <c r="X915" t="s" s="159">
        <v>537</v>
      </c>
      <c r="Y915" t="s" s="159">
        <v>538</v>
      </c>
      <c r="Z915" t="s" s="159">
        <v>539</v>
      </c>
      <c r="AA915" t="s" s="159">
        <v>121</v>
      </c>
      <c r="AB915" s="419"/>
      <c r="AC915" t="s" s="159">
        <v>39</v>
      </c>
      <c r="AD915" s="419"/>
      <c r="AE915" s="77"/>
      <c r="AF915" s="77"/>
      <c r="AG915" s="77"/>
      <c r="AH915" s="77"/>
      <c r="AI915" s="77"/>
      <c r="AJ915" s="77"/>
      <c r="AK915" s="77"/>
      <c r="AL915" s="77"/>
      <c r="AM915" s="77"/>
      <c r="AN915" s="78"/>
    </row>
    <row r="916" ht="15" customHeight="1">
      <c r="A916" s="12"/>
      <c r="B916" s="420">
        <v>1</v>
      </c>
      <c r="C916" s="421" cm="1">
        <f t="array" ref="C916">IF(B916&gt;0,IF(VLOOKUP(C913,'Boats Data Sheet 2026'!$C$3:$J$57,8,0)="N/A",0,VLOOKUP(C913,'Boats Data Sheet 2026'!$C$3:$J$57,8,0)),"N/A")</f>
        <v>7500000</v>
      </c>
      <c r="D916" s="422" cm="1">
        <f t="array" ref="D916">IF(B916&gt;7,2,IF(B916=0,"N/A",1))</f>
        <v>1</v>
      </c>
      <c r="E916" s="421" cm="1">
        <f t="array" ref="E916">_xlfn.IFERROR(SUM('Direct Costs 2026'!$C$4:$C$5)*D916,"N/A")</f>
        <v>875500</v>
      </c>
      <c r="F916" s="423" cm="1">
        <f t="array" ref="F916">_xlfn.IFERROR('Direct Costs 2026'!$C$43*B916,"N/A")</f>
        <v>6000</v>
      </c>
      <c r="G916" s="423" cm="1">
        <f t="array" ref="G916">IF(B916&gt;0,'Direct Costs 2026'!$C$25,"N/A")</f>
        <v>90000</v>
      </c>
      <c r="H916" s="423" cm="1">
        <f t="array" ref="H916">IF(B916&gt;0,'Direct Costs 2026'!$C$15+'Direct Costs 2026'!$C$14,"N/A")</f>
        <v>230000</v>
      </c>
      <c r="I916" s="423" cm="1">
        <f t="array" ref="I916">IF(B916&gt;0,'Direct Costs 2026'!$C$19+'Direct Costs 2026'!$C$18*B916,"N/A")</f>
        <v>110000</v>
      </c>
      <c r="J916" s="423" cm="1">
        <f t="array" ref="J916">IF(B916&gt;0,SUM('Direct Costs 2026'!$C$20:$C$21),"N/A")</f>
        <v>98333.3333333333</v>
      </c>
      <c r="K916" s="423" cm="1">
        <f t="array" ref="K916">IF(B916&gt;0,'Direct Costs 2026'!$C$26,"N/A")</f>
        <v>20000</v>
      </c>
      <c r="L916" s="423" cm="1">
        <f t="array" ref="L916">IF(B916&gt;0,'Direct Costs 2026'!$C$23,"N/A")</f>
        <v>140000</v>
      </c>
      <c r="M916" s="423" cm="1">
        <f t="array" ref="M916">IF(B916&gt;0,'Direct Costs 2026'!$C$45*B916,"N/A")</f>
        <v>150000</v>
      </c>
      <c r="N916" t="str" s="431" cm="1">
        <f t="array" ref="N916">IF(B916&gt;0,_xlfn.IFERROR(VLOOKUP(C913,'Boats Data Sheet 2026'!$C$3:$I$57,7,0)*'Direct Costs 2026'!$C$36,"N/A"),"N/A")</f>
        <v>N/A</v>
      </c>
      <c r="O916" t="str" s="431" cm="1">
        <f t="array" ref="O916">IF(B916&gt;0,IF(OR(VLOOKUP(C913,'Boats Data Sheet 2026'!$C$3:$F$57,4,0)="Own",VLOOKUP(C913,'Boats Data Sheet 2026'!$C$3:$F$57,4,0)="Management"),('Direct Costs 2026'!$C$37+'Direct Costs 2026'!$C$39),"N/A"),"N/A")</f>
        <v>N/A</v>
      </c>
      <c r="P916" s="423" cm="1">
        <f t="array" ref="P916">_xlfn.IFERROR('Direct Costs 2026'!$C$27*C916,"N/A")</f>
        <v>150000</v>
      </c>
      <c r="Q916" s="423" cm="1">
        <f t="array" ref="Q916">_xlfn.IFERROR(C916+SUM(E916:P916),"N/A")</f>
        <v>9369833.33333333</v>
      </c>
      <c r="R916" s="424"/>
      <c r="S916" s="423" cm="1">
        <f t="array" ref="S916">IF(B916&gt;0,'Allocation OH and Target 2026'!$E$31,"N/A")</f>
        <v>3100447.15769812</v>
      </c>
      <c r="T916" s="423" cm="1">
        <f t="array" ref="T916">IF(B916&gt;0,VLOOKUP(C913,'Allocation OH and Target 2026'!$C$35:$S$87,16,0),"N/A")</f>
        <v>0</v>
      </c>
      <c r="U916" s="423" cm="1">
        <f t="array" ref="U916">_xlfn.IFERROR((S916+T916),"N/A")</f>
        <v>3100447.15769812</v>
      </c>
      <c r="V916" s="424"/>
      <c r="W916" s="423" cm="1">
        <f t="array" ref="W916">_xlfn.IFERROR(U916+Q916,"N/A")</f>
        <v>12470280.4910315</v>
      </c>
      <c r="X916" s="423" cm="1">
        <f t="array" ref="X916">_xlfn.IFERROR(W916*0.5%,"N/A")</f>
        <v>62351.4024551575</v>
      </c>
      <c r="Y916" s="423" cm="1">
        <f t="array" ref="Y916">_xlfn.IFERROR(W916*25%,"N/A")</f>
        <v>3117570.12275788</v>
      </c>
      <c r="Z916" s="425" cm="1">
        <f t="array" ref="Z916">IF(B916&gt;0,SUM(W916:Y916),"N/A")</f>
        <v>15650202.0162445</v>
      </c>
      <c r="AA916" s="425">
        <v>0</v>
      </c>
      <c r="AB916" s="424"/>
      <c r="AC916" t="str" s="426" cm="1">
        <f t="array" ref="AC916">IF(B916=6,AVERAGE(Z916:Z921),"N/A")</f>
        <v>N/A</v>
      </c>
      <c r="AD916" s="424"/>
      <c r="AE916" s="423"/>
      <c r="AF916" s="423"/>
      <c r="AG916" s="423"/>
      <c r="AH916" s="423"/>
      <c r="AI916" s="423"/>
      <c r="AJ916" s="423"/>
      <c r="AK916" s="423"/>
      <c r="AL916" s="423"/>
      <c r="AM916" s="423"/>
      <c r="AN916" s="427"/>
    </row>
    <row r="917" ht="15" customHeight="1">
      <c r="A917" s="12"/>
      <c r="B917" s="428" cm="1">
        <f t="array" ref="B917">IF(B916=0,0,IF(B916&lt;VLOOKUP(C913,'Boats Data Sheet 2026'!$C$3:$H$57,6,0),B916+1,0))</f>
        <v>2</v>
      </c>
      <c r="C917" s="423" cm="1">
        <f t="array" ref="C917">IF(B917&gt;0,IF(VLOOKUP(C913,'Boats Data Sheet 2026'!$C$3:$J$57,8,0)="N/A",0,VLOOKUP(C913,'Boats Data Sheet 2026'!$C$3:$J$57,8,0)),"N/A")</f>
        <v>7500000</v>
      </c>
      <c r="D917" s="429" cm="1">
        <f t="array" ref="D917">IF(B917&gt;7,2,IF(B917=0,"N/A",1))</f>
        <v>1</v>
      </c>
      <c r="E917" s="423" cm="1">
        <f t="array" ref="E917">_xlfn.IFERROR(SUM('Direct Costs 2026'!$C$4:$C$5)*D917,"N/A")</f>
        <v>875500</v>
      </c>
      <c r="F917" s="423" cm="1">
        <f t="array" ref="F917">_xlfn.IFERROR('Direct Costs 2026'!$C$43*B917,"N/A")</f>
        <v>12000</v>
      </c>
      <c r="G917" s="423" cm="1">
        <f t="array" ref="G917">IF(B917&gt;0,'Direct Costs 2026'!$C$25,"N/A")</f>
        <v>90000</v>
      </c>
      <c r="H917" s="423" cm="1">
        <f t="array" ref="H917">IF(B917&gt;0,'Direct Costs 2026'!$C$15+'Direct Costs 2026'!$C$14,"N/A")</f>
        <v>230000</v>
      </c>
      <c r="I917" s="423" cm="1">
        <f t="array" ref="I917">IF(B917&gt;0,'Direct Costs 2026'!$C$19+'Direct Costs 2026'!$C$18*B917,"N/A")</f>
        <v>145000</v>
      </c>
      <c r="J917" s="423" cm="1">
        <f t="array" ref="J917">IF(B917&gt;0,SUM('Direct Costs 2026'!$C$20:$C$21),"N/A")</f>
        <v>98333.3333333333</v>
      </c>
      <c r="K917" s="423" cm="1">
        <f t="array" ref="K917">IF(B917&gt;0,'Direct Costs 2026'!$C$26,"N/A")</f>
        <v>20000</v>
      </c>
      <c r="L917" s="423" cm="1">
        <f t="array" ref="L917">IF(B917&gt;0,'Direct Costs 2026'!$C$23,"N/A")</f>
        <v>140000</v>
      </c>
      <c r="M917" s="423" cm="1">
        <f t="array" ref="M917">IF(B917&gt;0,'Direct Costs 2026'!$C$45*B917,"N/A")</f>
        <v>300000</v>
      </c>
      <c r="N917" t="str" s="431" cm="1">
        <f t="array" ref="N917">IF(B917&gt;0,_xlfn.IFERROR(VLOOKUP(C913,'Boats Data Sheet 2026'!$C$3:$I$57,7,0)*'Direct Costs 2026'!$C$36,"N/A"),"N/A")</f>
        <v>N/A</v>
      </c>
      <c r="O917" t="str" s="431" cm="1">
        <f t="array" ref="O917">IF(B917&gt;0,IF(OR(VLOOKUP(C913,'Boats Data Sheet 2026'!$C$3:$F$57,4,0)="Own",VLOOKUP(C913,'Boats Data Sheet 2026'!$C$3:$F$57,4,0)="Management"),('Direct Costs 2026'!$C$37+'Direct Costs 2026'!$C$39),"N/A"),"N/A")</f>
        <v>N/A</v>
      </c>
      <c r="P917" s="423" cm="1">
        <f t="array" ref="P917">_xlfn.IFERROR('Direct Costs 2026'!$C$27*C917,"N/A")</f>
        <v>150000</v>
      </c>
      <c r="Q917" s="423" cm="1">
        <f t="array" ref="Q917">_xlfn.IFERROR(C917+SUM(E917:P917),"N/A")</f>
        <v>9560833.33333333</v>
      </c>
      <c r="R917" s="424"/>
      <c r="S917" s="423" cm="1">
        <f t="array" ref="S917">IF(B917&gt;0,'Allocation OH and Target 2026'!$E$31,"N/A")</f>
        <v>3100447.15769812</v>
      </c>
      <c r="T917" s="423" cm="1">
        <f t="array" ref="T917">IF(B917&gt;0,VLOOKUP(C913,'Allocation OH and Target 2026'!$C$35:$S$87,16,0),"N/A")</f>
        <v>0</v>
      </c>
      <c r="U917" s="423" cm="1">
        <f t="array" ref="U917">_xlfn.IFERROR((S917+T917),"N/A")</f>
        <v>3100447.15769812</v>
      </c>
      <c r="V917" s="424"/>
      <c r="W917" s="423" cm="1">
        <f t="array" ref="W917">_xlfn.IFERROR(U917+Q917,"N/A")</f>
        <v>12661280.4910315</v>
      </c>
      <c r="X917" s="423" cm="1">
        <f t="array" ref="X917">_xlfn.IFERROR(W917*0.5%,"N/A")</f>
        <v>63306.4024551575</v>
      </c>
      <c r="Y917" s="423" cm="1">
        <f t="array" ref="Y917">_xlfn.IFERROR(W917*25%,"N/A")</f>
        <v>3165320.12275788</v>
      </c>
      <c r="Z917" s="425" cm="1">
        <f t="array" ref="Z917">IF(B917&gt;0,SUM(W917:Y917),"N/A")</f>
        <v>15889907.0162445</v>
      </c>
      <c r="AA917" s="425" cm="1">
        <f t="array" ref="AA917">_xlfn.IFERROR((Z917-Z916),"N/A")</f>
        <v>239705</v>
      </c>
      <c r="AB917" s="424"/>
      <c r="AC917" t="str" s="426" cm="1">
        <f t="array" ref="AC917">IF(B917=6,AVERAGE(Z916:Z921),"N/A")</f>
        <v>N/A</v>
      </c>
      <c r="AD917" s="424"/>
      <c r="AE917" s="423"/>
      <c r="AF917" s="423"/>
      <c r="AG917" s="423"/>
      <c r="AH917" s="423"/>
      <c r="AI917" s="423"/>
      <c r="AJ917" s="423"/>
      <c r="AK917" s="423"/>
      <c r="AL917" s="423"/>
      <c r="AM917" s="423"/>
      <c r="AN917" s="427"/>
    </row>
    <row r="918" ht="15" customHeight="1">
      <c r="A918" s="12"/>
      <c r="B918" s="428" cm="1">
        <f t="array" ref="B918">IF(B917=0,0,IF(B917&lt;VLOOKUP(C913,'Boats Data Sheet 2026'!$C$3:$H$57,6,0),B917+1,0))</f>
        <v>3</v>
      </c>
      <c r="C918" s="423" cm="1">
        <f t="array" ref="C918">IF(B918&gt;0,IF(VLOOKUP(C913,'Boats Data Sheet 2026'!$C$3:$J$57,8,0)="N/A",0,VLOOKUP(C913,'Boats Data Sheet 2026'!$C$3:$J$57,8,0)),"N/A")</f>
        <v>7500000</v>
      </c>
      <c r="D918" s="429" cm="1">
        <f t="array" ref="D918">IF(B918&gt;7,2,IF(B918=0,"N/A",1))</f>
        <v>1</v>
      </c>
      <c r="E918" s="423" cm="1">
        <f t="array" ref="E918">_xlfn.IFERROR(SUM('Direct Costs 2026'!$C$4:$C$5)*D918,"N/A")</f>
        <v>875500</v>
      </c>
      <c r="F918" s="423" cm="1">
        <f t="array" ref="F918">_xlfn.IFERROR('Direct Costs 2026'!$C$43*B918,"N/A")</f>
        <v>18000</v>
      </c>
      <c r="G918" s="423" cm="1">
        <f t="array" ref="G918">IF(B918&gt;0,'Direct Costs 2026'!$C$25,"N/A")</f>
        <v>90000</v>
      </c>
      <c r="H918" s="423" cm="1">
        <f t="array" ref="H918">IF(B918&gt;0,'Direct Costs 2026'!$C$15+'Direct Costs 2026'!$C$14,"N/A")</f>
        <v>230000</v>
      </c>
      <c r="I918" s="423" cm="1">
        <f t="array" ref="I918">IF(B918&gt;0,'Direct Costs 2026'!$C$19+'Direct Costs 2026'!$C$18*B918,"N/A")</f>
        <v>180000</v>
      </c>
      <c r="J918" s="423" cm="1">
        <f t="array" ref="J918">IF(B918&gt;0,SUM('Direct Costs 2026'!$C$20:$C$21),"N/A")</f>
        <v>98333.3333333333</v>
      </c>
      <c r="K918" s="423" cm="1">
        <f t="array" ref="K918">IF(B918&gt;0,'Direct Costs 2026'!$C$26,"N/A")</f>
        <v>20000</v>
      </c>
      <c r="L918" s="423" cm="1">
        <f t="array" ref="L918">IF(B918&gt;0,'Direct Costs 2026'!$C$23,"N/A")</f>
        <v>140000</v>
      </c>
      <c r="M918" s="423" cm="1">
        <f t="array" ref="M918">IF(B918&gt;0,'Direct Costs 2026'!$C$45*B918,"N/A")</f>
        <v>450000</v>
      </c>
      <c r="N918" t="str" s="431" cm="1">
        <f t="array" ref="N918">IF(B918&gt;0,_xlfn.IFERROR(VLOOKUP(C913,'Boats Data Sheet 2026'!$C$3:$I$57,7,0)*'Direct Costs 2026'!$C$36,"N/A"),"N/A")</f>
        <v>N/A</v>
      </c>
      <c r="O918" t="str" s="431" cm="1">
        <f t="array" ref="O918">IF(B918&gt;0,IF(OR(VLOOKUP(C913,'Boats Data Sheet 2026'!$C$3:$F$57,4,0)="Own",VLOOKUP(C913,'Boats Data Sheet 2026'!$C$3:$F$57,4,0)="Management"),('Direct Costs 2026'!$C$37+'Direct Costs 2026'!$C$39),"N/A"),"N/A")</f>
        <v>N/A</v>
      </c>
      <c r="P918" s="423" cm="1">
        <f t="array" ref="P918">_xlfn.IFERROR('Direct Costs 2026'!$C$27*C918,"N/A")</f>
        <v>150000</v>
      </c>
      <c r="Q918" s="423" cm="1">
        <f t="array" ref="Q918">_xlfn.IFERROR(C918+SUM(E918:P918),"N/A")</f>
        <v>9751833.33333333</v>
      </c>
      <c r="R918" s="424"/>
      <c r="S918" s="423" cm="1">
        <f t="array" ref="S918">IF(B918&gt;0,'Allocation OH and Target 2026'!$E$31,"N/A")</f>
        <v>3100447.15769812</v>
      </c>
      <c r="T918" s="423" cm="1">
        <f t="array" ref="T918">IF(B918&gt;0,VLOOKUP(C913,'Allocation OH and Target 2026'!$C$35:$S$87,16,0),"N/A")</f>
        <v>0</v>
      </c>
      <c r="U918" s="423" cm="1">
        <f t="array" ref="U918">_xlfn.IFERROR((S918+T918),"N/A")</f>
        <v>3100447.15769812</v>
      </c>
      <c r="V918" s="424"/>
      <c r="W918" s="423" cm="1">
        <f t="array" ref="W918">_xlfn.IFERROR(U918+Q918,"N/A")</f>
        <v>12852280.4910315</v>
      </c>
      <c r="X918" s="423" cm="1">
        <f t="array" ref="X918">_xlfn.IFERROR(W918*0.5%,"N/A")</f>
        <v>64261.4024551575</v>
      </c>
      <c r="Y918" s="423" cm="1">
        <f t="array" ref="Y918">_xlfn.IFERROR(W918*25%,"N/A")</f>
        <v>3213070.12275788</v>
      </c>
      <c r="Z918" s="425" cm="1">
        <f t="array" ref="Z918">IF(B918&gt;0,SUM(W918:Y918),"N/A")</f>
        <v>16129612.0162445</v>
      </c>
      <c r="AA918" s="425" cm="1">
        <f t="array" ref="AA918">_xlfn.IFERROR((Z918-Z917),"N/A")</f>
        <v>239705</v>
      </c>
      <c r="AB918" s="424"/>
      <c r="AC918" t="str" s="426" cm="1">
        <f t="array" ref="AC918">IF(B918=6,AVERAGE(Z916:Z921),"N/A")</f>
        <v>N/A</v>
      </c>
      <c r="AD918" s="424"/>
      <c r="AE918" s="423"/>
      <c r="AF918" s="423"/>
      <c r="AG918" s="423"/>
      <c r="AH918" s="423"/>
      <c r="AI918" s="423"/>
      <c r="AJ918" s="423"/>
      <c r="AK918" s="423"/>
      <c r="AL918" s="423"/>
      <c r="AM918" s="423"/>
      <c r="AN918" s="427"/>
    </row>
    <row r="919" ht="15" customHeight="1">
      <c r="A919" s="12"/>
      <c r="B919" s="428" cm="1">
        <f t="array" ref="B919">IF(B918=0,0,IF(B918&lt;VLOOKUP(C913,'Boats Data Sheet 2026'!$C$3:$H$57,6,0),B918+1,0))</f>
        <v>4</v>
      </c>
      <c r="C919" s="423" cm="1">
        <f t="array" ref="C919">IF(B919&gt;0,IF(VLOOKUP(C913,'Boats Data Sheet 2026'!$C$3:$J$57,8,0)="N/A",0,VLOOKUP(C913,'Boats Data Sheet 2026'!$C$3:$J$57,8,0)),"N/A")</f>
        <v>7500000</v>
      </c>
      <c r="D919" s="429" cm="1">
        <f t="array" ref="D919">IF(B919&gt;7,2,IF(B919=0,"N/A",1))</f>
        <v>1</v>
      </c>
      <c r="E919" s="423" cm="1">
        <f t="array" ref="E919">_xlfn.IFERROR(SUM('Direct Costs 2026'!$C$4:$C$5)*D919,"N/A")</f>
        <v>875500</v>
      </c>
      <c r="F919" s="423" cm="1">
        <f t="array" ref="F919">_xlfn.IFERROR('Direct Costs 2026'!$C$43*B919,"N/A")</f>
        <v>24000</v>
      </c>
      <c r="G919" s="423" cm="1">
        <f t="array" ref="G919">IF(B919&gt;0,'Direct Costs 2026'!$C$25,"N/A")</f>
        <v>90000</v>
      </c>
      <c r="H919" s="423" cm="1">
        <f t="array" ref="H919">IF(B919&gt;0,'Direct Costs 2026'!$C$15+'Direct Costs 2026'!$C$14,"N/A")</f>
        <v>230000</v>
      </c>
      <c r="I919" s="423" cm="1">
        <f t="array" ref="I919">IF(B919&gt;0,'Direct Costs 2026'!$C$19+'Direct Costs 2026'!$C$18*B919,"N/A")</f>
        <v>215000</v>
      </c>
      <c r="J919" s="423" cm="1">
        <f t="array" ref="J919">IF(B919&gt;0,SUM('Direct Costs 2026'!$C$20:$C$21),"N/A")</f>
        <v>98333.3333333333</v>
      </c>
      <c r="K919" s="423" cm="1">
        <f t="array" ref="K919">IF(B919&gt;0,'Direct Costs 2026'!$C$26,"N/A")</f>
        <v>20000</v>
      </c>
      <c r="L919" s="423" cm="1">
        <f t="array" ref="L919">IF(B919&gt;0,'Direct Costs 2026'!$C$23,"N/A")</f>
        <v>140000</v>
      </c>
      <c r="M919" s="423" cm="1">
        <f t="array" ref="M919">IF(B919&gt;0,'Direct Costs 2026'!$C$45*B919,"N/A")</f>
        <v>600000</v>
      </c>
      <c r="N919" t="str" s="431" cm="1">
        <f t="array" ref="N919">IF(B919&gt;0,_xlfn.IFERROR(VLOOKUP(C913,'Boats Data Sheet 2026'!$C$3:$I$57,7,0)*'Direct Costs 2026'!$C$36,"N/A"),"N/A")</f>
        <v>N/A</v>
      </c>
      <c r="O919" t="str" s="431" cm="1">
        <f t="array" ref="O919">IF(B919&gt;0,IF(OR(VLOOKUP(C913,'Boats Data Sheet 2026'!$C$3:$F$57,4,0)="Own",VLOOKUP(C913,'Boats Data Sheet 2026'!$C$3:$F$57,4,0)="Management"),('Direct Costs 2026'!$C$37+'Direct Costs 2026'!$C$39),"N/A"),"N/A")</f>
        <v>N/A</v>
      </c>
      <c r="P919" s="423" cm="1">
        <f t="array" ref="P919">_xlfn.IFERROR('Direct Costs 2026'!$C$27*C919,"N/A")</f>
        <v>150000</v>
      </c>
      <c r="Q919" s="423" cm="1">
        <f t="array" ref="Q919">_xlfn.IFERROR(C919+SUM(E919:P919),"N/A")</f>
        <v>9942833.33333333</v>
      </c>
      <c r="R919" s="424"/>
      <c r="S919" s="423" cm="1">
        <f t="array" ref="S919">IF(B919&gt;0,'Allocation OH and Target 2026'!$E$31,"N/A")</f>
        <v>3100447.15769812</v>
      </c>
      <c r="T919" s="423" cm="1">
        <f t="array" ref="T919">IF(B919&gt;0,VLOOKUP(C913,'Allocation OH and Target 2026'!$C$35:$S$87,16,0),"N/A")</f>
        <v>0</v>
      </c>
      <c r="U919" s="423" cm="1">
        <f t="array" ref="U919">_xlfn.IFERROR((S919+T919),"N/A")</f>
        <v>3100447.15769812</v>
      </c>
      <c r="V919" s="424"/>
      <c r="W919" s="423" cm="1">
        <f t="array" ref="W919">_xlfn.IFERROR(U919+Q919,"N/A")</f>
        <v>13043280.4910315</v>
      </c>
      <c r="X919" s="423" cm="1">
        <f t="array" ref="X919">_xlfn.IFERROR(W919*0.5%,"N/A")</f>
        <v>65216.4024551575</v>
      </c>
      <c r="Y919" s="423" cm="1">
        <f t="array" ref="Y919">_xlfn.IFERROR(W919*25%,"N/A")</f>
        <v>3260820.12275788</v>
      </c>
      <c r="Z919" s="425" cm="1">
        <f t="array" ref="Z919">IF(B919&gt;0,SUM(W919:Y919),"N/A")</f>
        <v>16369317.0162445</v>
      </c>
      <c r="AA919" s="425" cm="1">
        <f t="array" ref="AA919">_xlfn.IFERROR((Z919-Z918),"N/A")</f>
        <v>239705</v>
      </c>
      <c r="AB919" s="424"/>
      <c r="AC919" t="str" s="426" cm="1">
        <f t="array" ref="AC919">IF(B919=6,AVERAGE(Z916:Z921),"N/A")</f>
        <v>N/A</v>
      </c>
      <c r="AD919" s="424"/>
      <c r="AE919" s="423"/>
      <c r="AF919" s="423"/>
      <c r="AG919" s="423"/>
      <c r="AH919" s="423"/>
      <c r="AI919" s="423"/>
      <c r="AJ919" s="423"/>
      <c r="AK919" s="423"/>
      <c r="AL919" s="423"/>
      <c r="AM919" s="423"/>
      <c r="AN919" s="427"/>
    </row>
    <row r="920" ht="15" customHeight="1">
      <c r="A920" s="12"/>
      <c r="B920" s="428" cm="1">
        <f t="array" ref="B920">IF(B919=0,0,IF(B919&lt;VLOOKUP(C913,'Boats Data Sheet 2026'!$C$3:$H$57,6,0),B919+1,0))</f>
        <v>5</v>
      </c>
      <c r="C920" s="423" cm="1">
        <f t="array" ref="C920">IF(B920&gt;0,IF(VLOOKUP(C913,'Boats Data Sheet 2026'!$C$3:$J$57,8,0)="N/A",0,VLOOKUP(C913,'Boats Data Sheet 2026'!$C$3:$J$57,8,0)),"N/A")</f>
        <v>7500000</v>
      </c>
      <c r="D920" s="429" cm="1">
        <f t="array" ref="D920">IF(B920&gt;7,2,IF(B920=0,"N/A",1))</f>
        <v>1</v>
      </c>
      <c r="E920" s="423" cm="1">
        <f t="array" ref="E920">_xlfn.IFERROR(SUM('Direct Costs 2026'!$C$4:$C$5)*D920,"N/A")</f>
        <v>875500</v>
      </c>
      <c r="F920" s="423" cm="1">
        <f t="array" ref="F920">_xlfn.IFERROR('Direct Costs 2026'!$C$43*B920,"N/A")</f>
        <v>30000</v>
      </c>
      <c r="G920" s="423" cm="1">
        <f t="array" ref="G920">IF(B920&gt;0,'Direct Costs 2026'!$C$25,"N/A")</f>
        <v>90000</v>
      </c>
      <c r="H920" s="423" cm="1">
        <f t="array" ref="H920">IF(B920&gt;0,'Direct Costs 2026'!$C$15+'Direct Costs 2026'!$C$14,"N/A")</f>
        <v>230000</v>
      </c>
      <c r="I920" s="423" cm="1">
        <f t="array" ref="I920">IF(B920&gt;0,'Direct Costs 2026'!$C$19+'Direct Costs 2026'!$C$18*B920,"N/A")</f>
        <v>250000</v>
      </c>
      <c r="J920" s="423" cm="1">
        <f t="array" ref="J920">IF(B920&gt;0,SUM('Direct Costs 2026'!$C$20:$C$21),"N/A")</f>
        <v>98333.3333333333</v>
      </c>
      <c r="K920" s="423" cm="1">
        <f t="array" ref="K920">IF(B920&gt;0,'Direct Costs 2026'!$C$26,"N/A")</f>
        <v>20000</v>
      </c>
      <c r="L920" s="423" cm="1">
        <f t="array" ref="L920">IF(B920&gt;0,'Direct Costs 2026'!$C$23,"N/A")</f>
        <v>140000</v>
      </c>
      <c r="M920" s="423" cm="1">
        <f t="array" ref="M920">IF(B920&gt;0,'Direct Costs 2026'!$C$45*B920,"N/A")</f>
        <v>750000</v>
      </c>
      <c r="N920" t="str" s="431" cm="1">
        <f t="array" ref="N920">IF(B920&gt;0,_xlfn.IFERROR(VLOOKUP(C913,'Boats Data Sheet 2026'!$C$3:$I$57,7,0)*'Direct Costs 2026'!$C$36,"N/A"),"N/A")</f>
        <v>N/A</v>
      </c>
      <c r="O920" t="str" s="431" cm="1">
        <f t="array" ref="O920">IF(B920&gt;0,IF(OR(VLOOKUP(C913,'Boats Data Sheet 2026'!$C$3:$F$57,4,0)="Own",VLOOKUP(C913,'Boats Data Sheet 2026'!$C$3:$F$57,4,0)="Management"),('Direct Costs 2026'!$C$37+'Direct Costs 2026'!$C$39),"N/A"),"N/A")</f>
        <v>N/A</v>
      </c>
      <c r="P920" s="423" cm="1">
        <f t="array" ref="P920">_xlfn.IFERROR('Direct Costs 2026'!$C$27*C920,"N/A")</f>
        <v>150000</v>
      </c>
      <c r="Q920" s="423" cm="1">
        <f t="array" ref="Q920">_xlfn.IFERROR(C920+SUM(E920:P920),"N/A")</f>
        <v>10133833.3333333</v>
      </c>
      <c r="R920" s="424"/>
      <c r="S920" s="423" cm="1">
        <f t="array" ref="S920">IF(B920&gt;0,'Allocation OH and Target 2026'!$E$31,"N/A")</f>
        <v>3100447.15769812</v>
      </c>
      <c r="T920" s="423" cm="1">
        <f t="array" ref="T920">IF(B920&gt;0,VLOOKUP(C913,'Allocation OH and Target 2026'!$C$35:$S$87,16,0),"N/A")</f>
        <v>0</v>
      </c>
      <c r="U920" s="423" cm="1">
        <f t="array" ref="U920">_xlfn.IFERROR((S920+T920),"N/A")</f>
        <v>3100447.15769812</v>
      </c>
      <c r="V920" s="424"/>
      <c r="W920" s="423" cm="1">
        <f t="array" ref="W920">_xlfn.IFERROR(U920+Q920,"N/A")</f>
        <v>13234280.4910314</v>
      </c>
      <c r="X920" s="423" cm="1">
        <f t="array" ref="X920">_xlfn.IFERROR(W920*0.5%,"N/A")</f>
        <v>66171.402455157</v>
      </c>
      <c r="Y920" s="423" cm="1">
        <f t="array" ref="Y920">_xlfn.IFERROR(W920*25%,"N/A")</f>
        <v>3308570.12275785</v>
      </c>
      <c r="Z920" s="425" cm="1">
        <f t="array" ref="Z920">IF(B920&gt;0,SUM(W920:Y920),"N/A")</f>
        <v>16609022.0162444</v>
      </c>
      <c r="AA920" s="425" cm="1">
        <f t="array" ref="AA920">_xlfn.IFERROR((Z920-Z919),"N/A")</f>
        <v>239704.9999999</v>
      </c>
      <c r="AB920" s="424"/>
      <c r="AC920" t="str" s="426" cm="1">
        <f t="array" ref="AC920">IF(B920=6,AVERAGE(Z916:Z921),"N/A")</f>
        <v>N/A</v>
      </c>
      <c r="AD920" s="424"/>
      <c r="AE920" s="423"/>
      <c r="AF920" s="423"/>
      <c r="AG920" s="423"/>
      <c r="AH920" s="423"/>
      <c r="AI920" s="423"/>
      <c r="AJ920" s="423"/>
      <c r="AK920" s="423"/>
      <c r="AL920" s="423"/>
      <c r="AM920" s="423"/>
      <c r="AN920" s="427"/>
    </row>
    <row r="921" ht="15" customHeight="1">
      <c r="A921" s="12"/>
      <c r="B921" s="428" cm="1">
        <f t="array" ref="B921">IF(B920=0,0,IF(B920&lt;VLOOKUP(C913,'Boats Data Sheet 2026'!$C$3:$H$57,6,0),B920+1,0))</f>
        <v>6</v>
      </c>
      <c r="C921" s="423" cm="1">
        <f t="array" ref="C921">IF(B921&gt;0,IF(VLOOKUP(C913,'Boats Data Sheet 2026'!$C$3:$J$57,8,0)="N/A",0,VLOOKUP(C913,'Boats Data Sheet 2026'!$C$3:$J$57,8,0)),"N/A")</f>
        <v>7500000</v>
      </c>
      <c r="D921" s="429" cm="1">
        <f t="array" ref="D921">IF(B921&gt;7,2,IF(B921=0,"N/A",1))</f>
        <v>1</v>
      </c>
      <c r="E921" s="423" cm="1">
        <f t="array" ref="E921">_xlfn.IFERROR(SUM('Direct Costs 2026'!$C$4:$C$5)*D921,"N/A")</f>
        <v>875500</v>
      </c>
      <c r="F921" s="423" cm="1">
        <f t="array" ref="F921">_xlfn.IFERROR('Direct Costs 2026'!$C$43*B921,"N/A")</f>
        <v>36000</v>
      </c>
      <c r="G921" s="423" cm="1">
        <f t="array" ref="G921">IF(B921&gt;0,'Direct Costs 2026'!$C$25,"N/A")</f>
        <v>90000</v>
      </c>
      <c r="H921" s="423" cm="1">
        <f t="array" ref="H921">IF(B921&gt;0,'Direct Costs 2026'!$C$15+'Direct Costs 2026'!$C$14,"N/A")</f>
        <v>230000</v>
      </c>
      <c r="I921" s="423" cm="1">
        <f t="array" ref="I921">IF(B921&gt;0,'Direct Costs 2026'!$C$19+'Direct Costs 2026'!$C$18*B921,"N/A")</f>
        <v>285000</v>
      </c>
      <c r="J921" s="423" cm="1">
        <f t="array" ref="J921">IF(B921&gt;0,SUM('Direct Costs 2026'!$C$20:$C$21),"N/A")</f>
        <v>98333.3333333333</v>
      </c>
      <c r="K921" s="423" cm="1">
        <f t="array" ref="K921">IF(B921&gt;0,'Direct Costs 2026'!$C$26,"N/A")</f>
        <v>20000</v>
      </c>
      <c r="L921" s="423" cm="1">
        <f t="array" ref="L921">IF(B921&gt;0,'Direct Costs 2026'!$C$23,"N/A")</f>
        <v>140000</v>
      </c>
      <c r="M921" s="423" cm="1">
        <f t="array" ref="M921">IF(B921&gt;0,'Direct Costs 2026'!$C$45*B921,"N/A")</f>
        <v>900000</v>
      </c>
      <c r="N921" t="str" s="431" cm="1">
        <f t="array" ref="N921">IF(B921&gt;0,_xlfn.IFERROR(VLOOKUP(C913,'Boats Data Sheet 2026'!$C$3:$I$57,7,0)*'Direct Costs 2026'!$C$36,"N/A"),"N/A")</f>
        <v>N/A</v>
      </c>
      <c r="O921" t="str" s="431" cm="1">
        <f t="array" ref="O921">IF(B921&gt;0,IF(OR(VLOOKUP(C913,'Boats Data Sheet 2026'!$C$3:$F$57,4,0)="Own",VLOOKUP(C913,'Boats Data Sheet 2026'!$C$3:$F$57,4,0)="Management"),('Direct Costs 2026'!$C$37+'Direct Costs 2026'!$C$39),"N/A"),"N/A")</f>
        <v>N/A</v>
      </c>
      <c r="P921" s="423" cm="1">
        <f t="array" ref="P921">_xlfn.IFERROR('Direct Costs 2026'!$C$27*C921,"N/A")</f>
        <v>150000</v>
      </c>
      <c r="Q921" s="423" cm="1">
        <f t="array" ref="Q921">_xlfn.IFERROR(C921+SUM(E921:P921),"N/A")</f>
        <v>10324833.3333333</v>
      </c>
      <c r="R921" s="424"/>
      <c r="S921" s="423" cm="1">
        <f t="array" ref="S921">IF(B921&gt;0,'Allocation OH and Target 2026'!$E$31,"N/A")</f>
        <v>3100447.15769812</v>
      </c>
      <c r="T921" s="423" cm="1">
        <f t="array" ref="T921">IF(B921&gt;0,VLOOKUP(C913,'Allocation OH and Target 2026'!$C$35:$S$87,16,0),"N/A")</f>
        <v>0</v>
      </c>
      <c r="U921" s="423" cm="1">
        <f t="array" ref="U921">_xlfn.IFERROR((S921+T921),"N/A")</f>
        <v>3100447.15769812</v>
      </c>
      <c r="V921" s="424"/>
      <c r="W921" s="423" cm="1">
        <f t="array" ref="W921">_xlfn.IFERROR(U921+Q921,"N/A")</f>
        <v>13425280.4910314</v>
      </c>
      <c r="X921" s="423" cm="1">
        <f t="array" ref="X921">_xlfn.IFERROR(W921*0.5%,"N/A")</f>
        <v>67126.402455157</v>
      </c>
      <c r="Y921" s="423" cm="1">
        <f t="array" ref="Y921">_xlfn.IFERROR(W921*25%,"N/A")</f>
        <v>3356320.12275785</v>
      </c>
      <c r="Z921" s="425" cm="1">
        <f t="array" ref="Z921">IF(B921&gt;0,SUM(W921:Y921),"N/A")</f>
        <v>16848727.0162444</v>
      </c>
      <c r="AA921" s="425" cm="1">
        <f t="array" ref="AA921">_xlfn.IFERROR((Z921-Z920),"N/A")</f>
        <v>239705</v>
      </c>
      <c r="AB921" s="424"/>
      <c r="AC921" s="425" cm="1">
        <f t="array" ref="AC921">IF(B921=6,AVERAGE(Z916:Z921),"N/A")</f>
        <v>16249464.5162445</v>
      </c>
      <c r="AD921" s="424"/>
      <c r="AE921" s="423"/>
      <c r="AF921" s="423"/>
      <c r="AG921" s="423"/>
      <c r="AH921" s="423"/>
      <c r="AI921" s="423"/>
      <c r="AJ921" s="423"/>
      <c r="AK921" s="423"/>
      <c r="AL921" s="423"/>
      <c r="AM921" s="423"/>
      <c r="AN921" s="427"/>
    </row>
    <row r="922" ht="15" customHeight="1">
      <c r="A922" s="12"/>
      <c r="B922" s="428" cm="1">
        <f t="array" ref="B922">IF(B921=0,0,IF(B921&lt;VLOOKUP(C913,'Boats Data Sheet 2026'!$C$3:$H$57,6,0),B921+1,0))</f>
        <v>7</v>
      </c>
      <c r="C922" s="423" cm="1">
        <f t="array" ref="C922">IF(B922&gt;0,IF(VLOOKUP(C913,'Boats Data Sheet 2026'!$C$3:$J$57,8,0)="N/A",0,VLOOKUP(C913,'Boats Data Sheet 2026'!$C$3:$J$57,8,0)),"N/A")</f>
        <v>7500000</v>
      </c>
      <c r="D922" s="429" cm="1">
        <f t="array" ref="D922">IF(B922&gt;7,2,IF(B922=0,"N/A",1))</f>
        <v>1</v>
      </c>
      <c r="E922" s="423" cm="1">
        <f t="array" ref="E922">_xlfn.IFERROR(SUM('Direct Costs 2026'!$C$4:$C$5)*D922,"N/A")</f>
        <v>875500</v>
      </c>
      <c r="F922" s="423" cm="1">
        <f t="array" ref="F922">_xlfn.IFERROR('Direct Costs 2026'!$C$43*B922,"N/A")</f>
        <v>42000</v>
      </c>
      <c r="G922" s="423" cm="1">
        <f t="array" ref="G922">IF(B922&gt;0,'Direct Costs 2026'!$C$25,"N/A")</f>
        <v>90000</v>
      </c>
      <c r="H922" s="423" cm="1">
        <f t="array" ref="H922">IF(B922&gt;0,'Direct Costs 2026'!$C$15+'Direct Costs 2026'!$C$14,"N/A")</f>
        <v>230000</v>
      </c>
      <c r="I922" s="423" cm="1">
        <f t="array" ref="I922">IF(B922&gt;0,'Direct Costs 2026'!$C$19+'Direct Costs 2026'!$C$18*B922,"N/A")</f>
        <v>320000</v>
      </c>
      <c r="J922" s="423" cm="1">
        <f t="array" ref="J922">IF(B922&gt;0,SUM('Direct Costs 2026'!$C$20:$C$21),"N/A")</f>
        <v>98333.3333333333</v>
      </c>
      <c r="K922" s="423" cm="1">
        <f t="array" ref="K922">IF(B922&gt;0,'Direct Costs 2026'!$C$26,"N/A")</f>
        <v>20000</v>
      </c>
      <c r="L922" s="423" cm="1">
        <f t="array" ref="L922">IF(B922&gt;0,'Direct Costs 2026'!$C$23,"N/A")</f>
        <v>140000</v>
      </c>
      <c r="M922" s="423" cm="1">
        <f t="array" ref="M922">IF(B922&gt;0,'Direct Costs 2026'!$C$45*B922,"N/A")</f>
        <v>1050000</v>
      </c>
      <c r="N922" t="str" s="431" cm="1">
        <f t="array" ref="N922">IF(B922&gt;0,_xlfn.IFERROR(VLOOKUP(C913,'Boats Data Sheet 2026'!$C$3:$I$57,7,0)*'Direct Costs 2026'!$C$36,"N/A"),"N/A")</f>
        <v>N/A</v>
      </c>
      <c r="O922" t="str" s="431" cm="1">
        <f t="array" ref="O922">IF(B922&gt;0,IF(OR(VLOOKUP(C913,'Boats Data Sheet 2026'!$C$3:$F$57,4,0)="Own",VLOOKUP(C913,'Boats Data Sheet 2026'!$C$3:$F$57,4,0)="Management"),('Direct Costs 2026'!$C$37+'Direct Costs 2026'!$C$39),"N/A"),"N/A")</f>
        <v>N/A</v>
      </c>
      <c r="P922" s="423" cm="1">
        <f t="array" ref="P922">_xlfn.IFERROR('Direct Costs 2026'!$C$27*C922,"N/A")</f>
        <v>150000</v>
      </c>
      <c r="Q922" s="423" cm="1">
        <f t="array" ref="Q922">_xlfn.IFERROR(C922+SUM(E922:P922),"N/A")</f>
        <v>10515833.3333333</v>
      </c>
      <c r="R922" s="424"/>
      <c r="S922" s="423" cm="1">
        <f t="array" ref="S922">IF(B922&gt;0,'Allocation OH and Target 2026'!$E$31,"N/A")</f>
        <v>3100447.15769812</v>
      </c>
      <c r="T922" s="423" cm="1">
        <f t="array" ref="T922">IF(B922&gt;0,VLOOKUP(C913,'Allocation OH and Target 2026'!$C$35:$S$87,16,0),"N/A")</f>
        <v>0</v>
      </c>
      <c r="U922" s="423" cm="1">
        <f t="array" ref="U922">_xlfn.IFERROR((S922+T922),"N/A")</f>
        <v>3100447.15769812</v>
      </c>
      <c r="V922" s="424"/>
      <c r="W922" s="423" cm="1">
        <f t="array" ref="W922">_xlfn.IFERROR(U922+Q922,"N/A")</f>
        <v>13616280.4910314</v>
      </c>
      <c r="X922" s="423" cm="1">
        <f t="array" ref="X922">_xlfn.IFERROR(W922*0.5%,"N/A")</f>
        <v>68081.402455157</v>
      </c>
      <c r="Y922" s="423" cm="1">
        <f t="array" ref="Y922">_xlfn.IFERROR(W922*25%,"N/A")</f>
        <v>3404070.12275785</v>
      </c>
      <c r="Z922" s="425" cm="1">
        <f t="array" ref="Z922">IF(B922&gt;0,SUM(W922:Y922),"N/A")</f>
        <v>17088432.0162444</v>
      </c>
      <c r="AA922" s="425" cm="1">
        <f t="array" ref="AA922">_xlfn.IFERROR((Z922-Z921),"N/A")</f>
        <v>239705</v>
      </c>
      <c r="AB922" s="424"/>
      <c r="AC922" t="str" s="426" cm="1">
        <f t="array" ref="AC922">IF(B922=6,AVERAGE(Z916:Z921),"N/A")</f>
        <v>N/A</v>
      </c>
      <c r="AD922" s="424"/>
      <c r="AE922" s="423"/>
      <c r="AF922" s="423"/>
      <c r="AG922" s="423"/>
      <c r="AH922" s="423"/>
      <c r="AI922" s="423"/>
      <c r="AJ922" s="423"/>
      <c r="AK922" s="423"/>
      <c r="AL922" s="423"/>
      <c r="AM922" s="423"/>
      <c r="AN922" s="427"/>
    </row>
    <row r="923" ht="15" customHeight="1">
      <c r="A923" s="12"/>
      <c r="B923" s="428" cm="1">
        <f t="array" ref="B923">IF(B922=0,0,IF(B922&lt;VLOOKUP(C913,'Boats Data Sheet 2026'!$C$3:$H$57,6,0),B922+1,0))</f>
        <v>8</v>
      </c>
      <c r="C923" s="423" cm="1">
        <f t="array" ref="C923">IF(B923&gt;0,IF(VLOOKUP(C913,'Boats Data Sheet 2026'!$C$3:$J$57,8,0)="N/A",0,VLOOKUP(C913,'Boats Data Sheet 2026'!$C$3:$J$57,8,0)),"N/A")</f>
        <v>7500000</v>
      </c>
      <c r="D923" s="429" cm="1">
        <f t="array" ref="D923">IF(B923&gt;7,2,IF(B923=0,"N/A",1))</f>
        <v>2</v>
      </c>
      <c r="E923" s="423" cm="1">
        <f t="array" ref="E923">_xlfn.IFERROR(SUM('Direct Costs 2026'!$C$4:$C$5)*D923,"N/A")</f>
        <v>1751000</v>
      </c>
      <c r="F923" s="423" cm="1">
        <f t="array" ref="F923">_xlfn.IFERROR('Direct Costs 2026'!$C$43*B923,"N/A")</f>
        <v>48000</v>
      </c>
      <c r="G923" s="423" cm="1">
        <f t="array" ref="G923">IF(B923&gt;0,'Direct Costs 2026'!$C$25,"N/A")</f>
        <v>90000</v>
      </c>
      <c r="H923" s="423" cm="1">
        <f t="array" ref="H923">IF(B923&gt;0,'Direct Costs 2026'!$C$15+'Direct Costs 2026'!$C$14,"N/A")</f>
        <v>230000</v>
      </c>
      <c r="I923" s="423" cm="1">
        <f t="array" ref="I923">IF(B923&gt;0,'Direct Costs 2026'!$C$19+'Direct Costs 2026'!$C$18*B923,"N/A")</f>
        <v>355000</v>
      </c>
      <c r="J923" s="423" cm="1">
        <f t="array" ref="J923">IF(B923&gt;0,SUM('Direct Costs 2026'!$C$20:$C$21),"N/A")</f>
        <v>98333.3333333333</v>
      </c>
      <c r="K923" s="423" cm="1">
        <f t="array" ref="K923">IF(B923&gt;0,'Direct Costs 2026'!$C$26,"N/A")</f>
        <v>20000</v>
      </c>
      <c r="L923" s="423" cm="1">
        <f t="array" ref="L923">IF(B923&gt;0,'Direct Costs 2026'!$C$23,"N/A")</f>
        <v>140000</v>
      </c>
      <c r="M923" s="423" cm="1">
        <f t="array" ref="M923">IF(B923&gt;0,'Direct Costs 2026'!$C$45*B923,"N/A")</f>
        <v>1200000</v>
      </c>
      <c r="N923" t="str" s="431" cm="1">
        <f t="array" ref="N923">IF(B923&gt;0,_xlfn.IFERROR(VLOOKUP(C913,'Boats Data Sheet 2026'!$C$3:$I$57,7,0)*'Direct Costs 2026'!$C$36,"N/A"),"N/A")</f>
        <v>N/A</v>
      </c>
      <c r="O923" t="str" s="431" cm="1">
        <f t="array" ref="O923">IF(B923&gt;0,IF(OR(VLOOKUP(C913,'Boats Data Sheet 2026'!$C$3:$F$57,4,0)="Own",VLOOKUP(C913,'Boats Data Sheet 2026'!$C$3:$F$57,4,0)="Management"),('Direct Costs 2026'!$C$37+'Direct Costs 2026'!$C$39),"N/A"),"N/A")</f>
        <v>N/A</v>
      </c>
      <c r="P923" s="423" cm="1">
        <f t="array" ref="P923">_xlfn.IFERROR('Direct Costs 2026'!$C$27*C923,"N/A")</f>
        <v>150000</v>
      </c>
      <c r="Q923" s="423" cm="1">
        <f t="array" ref="Q923">_xlfn.IFERROR(C923+SUM(E923:P923),"N/A")</f>
        <v>11582333.3333333</v>
      </c>
      <c r="R923" s="424"/>
      <c r="S923" s="423" cm="1">
        <f t="array" ref="S923">IF(B923&gt;0,'Allocation OH and Target 2026'!$E$31,"N/A")</f>
        <v>3100447.15769812</v>
      </c>
      <c r="T923" s="423" cm="1">
        <f t="array" ref="T923">IF(B923&gt;0,VLOOKUP(C913,'Allocation OH and Target 2026'!$C$35:$S$87,16,0),"N/A")</f>
        <v>0</v>
      </c>
      <c r="U923" s="423" cm="1">
        <f t="array" ref="U923">_xlfn.IFERROR((S923+T923),"N/A")</f>
        <v>3100447.15769812</v>
      </c>
      <c r="V923" s="424"/>
      <c r="W923" s="423" cm="1">
        <f t="array" ref="W923">_xlfn.IFERROR(U923+Q923,"N/A")</f>
        <v>14682780.4910314</v>
      </c>
      <c r="X923" s="423" cm="1">
        <f t="array" ref="X923">_xlfn.IFERROR(W923*0.5%,"N/A")</f>
        <v>73413.902455157</v>
      </c>
      <c r="Y923" s="423" cm="1">
        <f t="array" ref="Y923">_xlfn.IFERROR(W923*25%,"N/A")</f>
        <v>3670695.12275785</v>
      </c>
      <c r="Z923" s="425" cm="1">
        <f t="array" ref="Z923">IF(B923&gt;0,SUM(W923:Y923),"N/A")</f>
        <v>18426889.5162444</v>
      </c>
      <c r="AA923" s="425" cm="1">
        <f t="array" ref="AA923">_xlfn.IFERROR((Z923-Z922),"N/A")</f>
        <v>1338457.5</v>
      </c>
      <c r="AB923" s="424"/>
      <c r="AC923" t="str" s="426" cm="1">
        <f t="array" ref="AC923">IF(B923=6,AVERAGE(Z916:Z921),"N/A")</f>
        <v>N/A</v>
      </c>
      <c r="AD923" s="424"/>
      <c r="AE923" s="423"/>
      <c r="AF923" s="423"/>
      <c r="AG923" s="423"/>
      <c r="AH923" s="423"/>
      <c r="AI923" s="423"/>
      <c r="AJ923" s="423"/>
      <c r="AK923" s="423"/>
      <c r="AL923" s="423"/>
      <c r="AM923" s="423"/>
      <c r="AN923" s="427"/>
    </row>
    <row r="924" ht="15" customHeight="1">
      <c r="A924" s="12"/>
      <c r="B924" s="428" cm="1">
        <f t="array" ref="B924">IF(B923=0,0,IF(B923&lt;VLOOKUP(C913,'Boats Data Sheet 2026'!$C$3:$H$57,6,0),B923+1,0))</f>
        <v>9</v>
      </c>
      <c r="C924" s="423" cm="1">
        <f t="array" ref="C924">IF(B924&gt;0,IF(VLOOKUP(C913,'Boats Data Sheet 2026'!$C$3:$J$57,8,0)="N/A",0,VLOOKUP(C913,'Boats Data Sheet 2026'!$C$3:$J$57,8,0)),"N/A")</f>
        <v>7500000</v>
      </c>
      <c r="D924" s="429" cm="1">
        <f t="array" ref="D924">IF(B924&gt;7,2,IF(B924=0,"N/A",1))</f>
        <v>2</v>
      </c>
      <c r="E924" s="423" cm="1">
        <f t="array" ref="E924">_xlfn.IFERROR(SUM('Direct Costs 2026'!$C$4:$C$5)*D924,"N/A")</f>
        <v>1751000</v>
      </c>
      <c r="F924" s="423" cm="1">
        <f t="array" ref="F924">_xlfn.IFERROR('Direct Costs 2026'!$C$43*B924,"N/A")</f>
        <v>54000</v>
      </c>
      <c r="G924" s="423" cm="1">
        <f t="array" ref="G924">IF(B924&gt;0,'Direct Costs 2026'!$C$25,"N/A")</f>
        <v>90000</v>
      </c>
      <c r="H924" s="423" cm="1">
        <f t="array" ref="H924">IF(B924&gt;0,'Direct Costs 2026'!$C$15+'Direct Costs 2026'!$C$14,"N/A")</f>
        <v>230000</v>
      </c>
      <c r="I924" s="423" cm="1">
        <f t="array" ref="I924">IF(B924&gt;0,'Direct Costs 2026'!$C$19+'Direct Costs 2026'!$C$18*B924,"N/A")</f>
        <v>390000</v>
      </c>
      <c r="J924" s="423" cm="1">
        <f t="array" ref="J924">IF(B924&gt;0,SUM('Direct Costs 2026'!$C$20:$C$21),"N/A")</f>
        <v>98333.3333333333</v>
      </c>
      <c r="K924" s="423" cm="1">
        <f t="array" ref="K924">IF(B924&gt;0,'Direct Costs 2026'!$C$26,"N/A")</f>
        <v>20000</v>
      </c>
      <c r="L924" s="423" cm="1">
        <f t="array" ref="L924">IF(B924&gt;0,'Direct Costs 2026'!$C$23,"N/A")</f>
        <v>140000</v>
      </c>
      <c r="M924" s="423" cm="1">
        <f t="array" ref="M924">IF(B924&gt;0,'Direct Costs 2026'!$C$45*B924,"N/A")</f>
        <v>1350000</v>
      </c>
      <c r="N924" t="str" s="431" cm="1">
        <f t="array" ref="N924">IF(B924&gt;0,_xlfn.IFERROR(VLOOKUP(C913,'Boats Data Sheet 2026'!$C$3:$I$57,7,0)*'Direct Costs 2026'!$C$36,"N/A"),"N/A")</f>
        <v>N/A</v>
      </c>
      <c r="O924" t="str" s="431" cm="1">
        <f t="array" ref="O924">IF(B924&gt;0,IF(OR(VLOOKUP(C913,'Boats Data Sheet 2026'!$C$3:$F$57,4,0)="Own",VLOOKUP(C913,'Boats Data Sheet 2026'!$C$3:$F$57,4,0)="Management"),('Direct Costs 2026'!$C$37+'Direct Costs 2026'!$C$39),"N/A"),"N/A")</f>
        <v>N/A</v>
      </c>
      <c r="P924" s="423" cm="1">
        <f t="array" ref="P924">_xlfn.IFERROR('Direct Costs 2026'!$C$27*C924,"N/A")</f>
        <v>150000</v>
      </c>
      <c r="Q924" s="423" cm="1">
        <f t="array" ref="Q924">_xlfn.IFERROR(C924+SUM(E924:P924),"N/A")</f>
        <v>11773333.3333333</v>
      </c>
      <c r="R924" s="424"/>
      <c r="S924" s="423" cm="1">
        <f t="array" ref="S924">IF(B924&gt;0,'Allocation OH and Target 2026'!$E$31,"N/A")</f>
        <v>3100447.15769812</v>
      </c>
      <c r="T924" s="423" cm="1">
        <f t="array" ref="T924">IF(B924&gt;0,VLOOKUP(C913,'Allocation OH and Target 2026'!$C$35:$S$87,16,0),"N/A")</f>
        <v>0</v>
      </c>
      <c r="U924" s="423" cm="1">
        <f t="array" ref="U924">_xlfn.IFERROR((S924+T924),"N/A")</f>
        <v>3100447.15769812</v>
      </c>
      <c r="V924" s="424"/>
      <c r="W924" s="423" cm="1">
        <f t="array" ref="W924">_xlfn.IFERROR(U924+Q924,"N/A")</f>
        <v>14873780.4910314</v>
      </c>
      <c r="X924" s="423" cm="1">
        <f t="array" ref="X924">_xlfn.IFERROR(W924*0.5%,"N/A")</f>
        <v>74368.902455157</v>
      </c>
      <c r="Y924" s="423" cm="1">
        <f t="array" ref="Y924">_xlfn.IFERROR(W924*25%,"N/A")</f>
        <v>3718445.12275785</v>
      </c>
      <c r="Z924" s="425" cm="1">
        <f t="array" ref="Z924">IF(B924&gt;0,SUM(W924:Y924),"N/A")</f>
        <v>18666594.5162444</v>
      </c>
      <c r="AA924" s="425" cm="1">
        <f t="array" ref="AA924">_xlfn.IFERROR((Z924-Z923),"N/A")</f>
        <v>239705</v>
      </c>
      <c r="AB924" s="424"/>
      <c r="AC924" t="str" s="426" cm="1">
        <f t="array" ref="AC924">IF(B924=6,AVERAGE(Z916:Z921),"N/A")</f>
        <v>N/A</v>
      </c>
      <c r="AD924" s="424"/>
      <c r="AE924" s="423"/>
      <c r="AF924" s="423"/>
      <c r="AG924" s="423"/>
      <c r="AH924" s="423"/>
      <c r="AI924" s="423"/>
      <c r="AJ924" s="423"/>
      <c r="AK924" s="423"/>
      <c r="AL924" s="423"/>
      <c r="AM924" s="423"/>
      <c r="AN924" s="427"/>
    </row>
    <row r="925" ht="15" customHeight="1">
      <c r="A925" s="12"/>
      <c r="B925" s="428" cm="1">
        <f t="array" ref="B925">IF(B924=0,0,IF(B924&lt;VLOOKUP(C913,'Boats Data Sheet 2026'!$C$3:$H$57,6,0),B924+1,0))</f>
        <v>10</v>
      </c>
      <c r="C925" s="423" cm="1">
        <f t="array" ref="C925">IF(B925&gt;0,IF(VLOOKUP(C913,'Boats Data Sheet 2026'!$C$3:$J$57,8,0)="N/A",0,VLOOKUP(C913,'Boats Data Sheet 2026'!$C$3:$J$57,8,0)),"N/A")</f>
        <v>7500000</v>
      </c>
      <c r="D925" s="429" cm="1">
        <f t="array" ref="D925">IF(B925&gt;7,2,IF(B925=0,"N/A",1))</f>
        <v>2</v>
      </c>
      <c r="E925" s="423" cm="1">
        <f t="array" ref="E925">_xlfn.IFERROR(SUM('Direct Costs 2026'!$C$4:$C$5)*D925,"N/A")</f>
        <v>1751000</v>
      </c>
      <c r="F925" s="423" cm="1">
        <f t="array" ref="F925">_xlfn.IFERROR('Direct Costs 2026'!$C$43*B925,"N/A")</f>
        <v>60000</v>
      </c>
      <c r="G925" s="423" cm="1">
        <f t="array" ref="G925">IF(B925&gt;0,'Direct Costs 2026'!$C$25,"N/A")</f>
        <v>90000</v>
      </c>
      <c r="H925" s="423" cm="1">
        <f t="array" ref="H925">IF(B925&gt;0,'Direct Costs 2026'!$C$15+'Direct Costs 2026'!$C$14,"N/A")</f>
        <v>230000</v>
      </c>
      <c r="I925" s="423" cm="1">
        <f t="array" ref="I925">IF(B925&gt;0,'Direct Costs 2026'!$C$19+'Direct Costs 2026'!$C$18*B925,"N/A")</f>
        <v>425000</v>
      </c>
      <c r="J925" s="423" cm="1">
        <f t="array" ref="J925">IF(B925&gt;0,SUM('Direct Costs 2026'!$C$20:$C$21),"N/A")</f>
        <v>98333.3333333333</v>
      </c>
      <c r="K925" s="423" cm="1">
        <f t="array" ref="K925">IF(B925&gt;0,'Direct Costs 2026'!$C$26,"N/A")</f>
        <v>20000</v>
      </c>
      <c r="L925" s="423" cm="1">
        <f t="array" ref="L925">IF(B925&gt;0,'Direct Costs 2026'!$C$23,"N/A")</f>
        <v>140000</v>
      </c>
      <c r="M925" s="423" cm="1">
        <f t="array" ref="M925">IF(B925&gt;0,'Direct Costs 2026'!$C$45*B925,"N/A")</f>
        <v>1500000</v>
      </c>
      <c r="N925" t="str" s="431" cm="1">
        <f t="array" ref="N925">IF(B925&gt;0,_xlfn.IFERROR(VLOOKUP(C913,'Boats Data Sheet 2026'!$C$3:$I$57,7,0)*'Direct Costs 2026'!$C$36,"N/A"),"N/A")</f>
        <v>N/A</v>
      </c>
      <c r="O925" t="str" s="431" cm="1">
        <f t="array" ref="O925">IF(B925&gt;0,IF(OR(VLOOKUP(C913,'Boats Data Sheet 2026'!$C$3:$F$57,4,0)="Own",VLOOKUP(C913,'Boats Data Sheet 2026'!$C$3:$F$57,4,0)="Management"),('Direct Costs 2026'!$C$37+'Direct Costs 2026'!$C$39),"N/A"),"N/A")</f>
        <v>N/A</v>
      </c>
      <c r="P925" s="423" cm="1">
        <f t="array" ref="P925">_xlfn.IFERROR('Direct Costs 2026'!$C$27*C925,"N/A")</f>
        <v>150000</v>
      </c>
      <c r="Q925" s="423" cm="1">
        <f t="array" ref="Q925">_xlfn.IFERROR(C925+SUM(E925:P925),"N/A")</f>
        <v>11964333.3333333</v>
      </c>
      <c r="R925" s="424"/>
      <c r="S925" s="423" cm="1">
        <f t="array" ref="S925">IF(B925&gt;0,'Allocation OH and Target 2026'!$E$31,"N/A")</f>
        <v>3100447.15769812</v>
      </c>
      <c r="T925" s="423" cm="1">
        <f t="array" ref="T925">IF(B925&gt;0,VLOOKUP(C913,'Allocation OH and Target 2026'!$C$35:$S$87,16,0),"N/A")</f>
        <v>0</v>
      </c>
      <c r="U925" s="423" cm="1">
        <f t="array" ref="U925">_xlfn.IFERROR((S925+T925),"N/A")</f>
        <v>3100447.15769812</v>
      </c>
      <c r="V925" s="424"/>
      <c r="W925" s="423" cm="1">
        <f t="array" ref="W925">_xlfn.IFERROR(U925+Q925,"N/A")</f>
        <v>15064780.4910314</v>
      </c>
      <c r="X925" s="423" cm="1">
        <f t="array" ref="X925">_xlfn.IFERROR(W925*0.5%,"N/A")</f>
        <v>75323.902455157</v>
      </c>
      <c r="Y925" s="423" cm="1">
        <f t="array" ref="Y925">_xlfn.IFERROR(W925*25%,"N/A")</f>
        <v>3766195.12275785</v>
      </c>
      <c r="Z925" s="425" cm="1">
        <f t="array" ref="Z925">IF(B925&gt;0,SUM(W925:Y925),"N/A")</f>
        <v>18906299.5162444</v>
      </c>
      <c r="AA925" s="425" cm="1">
        <f t="array" ref="AA925">_xlfn.IFERROR((Z925-Z924),"N/A")</f>
        <v>239705</v>
      </c>
      <c r="AB925" s="424"/>
      <c r="AC925" t="str" s="426" cm="1">
        <f t="array" ref="AC925">IF(B925=6,AVERAGE(Z916:Z921),"N/A")</f>
        <v>N/A</v>
      </c>
      <c r="AD925" s="424"/>
      <c r="AE925" s="423"/>
      <c r="AF925" s="423"/>
      <c r="AG925" s="423"/>
      <c r="AH925" s="423"/>
      <c r="AI925" s="423"/>
      <c r="AJ925" s="423"/>
      <c r="AK925" s="423"/>
      <c r="AL925" s="423"/>
      <c r="AM925" s="423"/>
      <c r="AN925" s="427"/>
    </row>
    <row r="926" ht="15" customHeight="1">
      <c r="A926" s="12"/>
      <c r="B926" s="428" cm="1">
        <f t="array" ref="B926">IF(B925=0,0,IF(B925&lt;VLOOKUP(C913,'Boats Data Sheet 2026'!$C$3:$H$57,6,0),B925+1,0))</f>
        <v>11</v>
      </c>
      <c r="C926" s="423" cm="1">
        <f t="array" ref="C926">IF(B926&gt;0,IF(VLOOKUP(C913,'Boats Data Sheet 2026'!$C$3:$J$57,8,0)="N/A",0,VLOOKUP(C913,'Boats Data Sheet 2026'!$C$3:$J$57,8,0)),"N/A")</f>
        <v>7500000</v>
      </c>
      <c r="D926" s="429" cm="1">
        <f t="array" ref="D926">IF(B926&gt;7,2,IF(B926=0,"N/A",1))</f>
        <v>2</v>
      </c>
      <c r="E926" s="423" cm="1">
        <f t="array" ref="E926">_xlfn.IFERROR(SUM('Direct Costs 2026'!$C$4:$C$5)*D926,"N/A")</f>
        <v>1751000</v>
      </c>
      <c r="F926" s="423" cm="1">
        <f t="array" ref="F926">_xlfn.IFERROR('Direct Costs 2026'!$C$43*B926,"N/A")</f>
        <v>66000</v>
      </c>
      <c r="G926" s="423" cm="1">
        <f t="array" ref="G926">IF(B926&gt;0,'Direct Costs 2026'!$C$25,"N/A")</f>
        <v>90000</v>
      </c>
      <c r="H926" s="423" cm="1">
        <f t="array" ref="H926">IF(B926&gt;0,'Direct Costs 2026'!$C$15+'Direct Costs 2026'!$C$14,"N/A")</f>
        <v>230000</v>
      </c>
      <c r="I926" s="423" cm="1">
        <f t="array" ref="I926">IF(B926&gt;0,'Direct Costs 2026'!$C$19+'Direct Costs 2026'!$C$18*B926,"N/A")</f>
        <v>460000</v>
      </c>
      <c r="J926" s="423" cm="1">
        <f t="array" ref="J926">IF(B926&gt;0,SUM('Direct Costs 2026'!$C$20:$C$21),"N/A")</f>
        <v>98333.3333333333</v>
      </c>
      <c r="K926" s="423" cm="1">
        <f t="array" ref="K926">IF(B926&gt;0,'Direct Costs 2026'!$C$26,"N/A")</f>
        <v>20000</v>
      </c>
      <c r="L926" s="423" cm="1">
        <f t="array" ref="L926">IF(B926&gt;0,'Direct Costs 2026'!$C$23,"N/A")</f>
        <v>140000</v>
      </c>
      <c r="M926" s="423" cm="1">
        <f t="array" ref="M926">IF(B926&gt;0,'Direct Costs 2026'!$C$45*B926,"N/A")</f>
        <v>1650000</v>
      </c>
      <c r="N926" t="str" s="431" cm="1">
        <f t="array" ref="N926">IF(B926&gt;0,_xlfn.IFERROR(VLOOKUP(C913,'Boats Data Sheet 2026'!$C$3:$I$57,7,0)*'Direct Costs 2026'!$C$36,"N/A"),"N/A")</f>
        <v>N/A</v>
      </c>
      <c r="O926" t="str" s="431" cm="1">
        <f t="array" ref="O926">IF(B926&gt;0,IF(OR(VLOOKUP(C913,'Boats Data Sheet 2026'!$C$3:$F$57,4,0)="Own",VLOOKUP(C913,'Boats Data Sheet 2026'!$C$3:$F$57,4,0)="Management"),('Direct Costs 2026'!$C$37+'Direct Costs 2026'!$C$39),"N/A"),"N/A")</f>
        <v>N/A</v>
      </c>
      <c r="P926" s="423" cm="1">
        <f t="array" ref="P926">_xlfn.IFERROR('Direct Costs 2026'!$C$27*C926,"N/A")</f>
        <v>150000</v>
      </c>
      <c r="Q926" s="423" cm="1">
        <f t="array" ref="Q926">_xlfn.IFERROR(C926+SUM(E926:P926),"N/A")</f>
        <v>12155333.3333333</v>
      </c>
      <c r="R926" s="424"/>
      <c r="S926" s="423" cm="1">
        <f t="array" ref="S926">IF(B926&gt;0,'Allocation OH and Target 2026'!$E$31,"N/A")</f>
        <v>3100447.15769812</v>
      </c>
      <c r="T926" s="423" cm="1">
        <f t="array" ref="T926">IF(B926&gt;0,VLOOKUP(C913,'Allocation OH and Target 2026'!$C$35:$S$87,16,0),"N/A")</f>
        <v>0</v>
      </c>
      <c r="U926" s="423" cm="1">
        <f t="array" ref="U926">_xlfn.IFERROR((S926+T926),"N/A")</f>
        <v>3100447.15769812</v>
      </c>
      <c r="V926" s="424"/>
      <c r="W926" s="423" cm="1">
        <f t="array" ref="W926">_xlfn.IFERROR(U926+Q926,"N/A")</f>
        <v>15255780.4910314</v>
      </c>
      <c r="X926" s="423" cm="1">
        <f t="array" ref="X926">_xlfn.IFERROR(W926*0.5%,"N/A")</f>
        <v>76278.902455157</v>
      </c>
      <c r="Y926" s="423" cm="1">
        <f t="array" ref="Y926">_xlfn.IFERROR(W926*25%,"N/A")</f>
        <v>3813945.12275785</v>
      </c>
      <c r="Z926" s="425" cm="1">
        <f t="array" ref="Z926">IF(B926&gt;0,SUM(W926:Y926),"N/A")</f>
        <v>19146004.5162444</v>
      </c>
      <c r="AA926" s="425" cm="1">
        <f t="array" ref="AA926">_xlfn.IFERROR((Z926-Z925),"N/A")</f>
        <v>239705</v>
      </c>
      <c r="AB926" s="424"/>
      <c r="AC926" t="str" s="426" cm="1">
        <f t="array" ref="AC926">IF(B926=6,AVERAGE(Z916:Z921),"N/A")</f>
        <v>N/A</v>
      </c>
      <c r="AD926" s="424"/>
      <c r="AE926" s="423"/>
      <c r="AF926" s="423"/>
      <c r="AG926" s="423"/>
      <c r="AH926" s="423"/>
      <c r="AI926" s="423"/>
      <c r="AJ926" s="423"/>
      <c r="AK926" s="423"/>
      <c r="AL926" s="423"/>
      <c r="AM926" s="423"/>
      <c r="AN926" s="427"/>
    </row>
    <row r="927" ht="15" customHeight="1">
      <c r="A927" s="12"/>
      <c r="B927" s="428" cm="1">
        <f t="array" ref="B927">IF(B926=0,0,IF(B926&lt;VLOOKUP(C913,'Boats Data Sheet 2026'!$C$3:$H$57,6,0),B926+1,0))</f>
        <v>12</v>
      </c>
      <c r="C927" s="423" cm="1">
        <f t="array" ref="C927">IF(B927&gt;0,IF(VLOOKUP(C913,'Boats Data Sheet 2026'!$C$3:$J$57,8,0)="N/A",0,VLOOKUP(C913,'Boats Data Sheet 2026'!$C$3:$J$57,8,0)),"N/A")</f>
        <v>7500000</v>
      </c>
      <c r="D927" s="429" cm="1">
        <f t="array" ref="D927">IF(B927&gt;7,2,IF(B927=0,"N/A",1))</f>
        <v>2</v>
      </c>
      <c r="E927" s="423" cm="1">
        <f t="array" ref="E927">_xlfn.IFERROR(SUM('Direct Costs 2026'!$C$4:$C$5)*D927,"N/A")</f>
        <v>1751000</v>
      </c>
      <c r="F927" s="423" cm="1">
        <f t="array" ref="F927">_xlfn.IFERROR('Direct Costs 2026'!$C$43*B927,"N/A")</f>
        <v>72000</v>
      </c>
      <c r="G927" s="423" cm="1">
        <f t="array" ref="G927">IF(B927&gt;0,'Direct Costs 2026'!$C$25,"N/A")</f>
        <v>90000</v>
      </c>
      <c r="H927" s="423" cm="1">
        <f t="array" ref="H927">IF(B927&gt;0,'Direct Costs 2026'!$C$15+'Direct Costs 2026'!$C$14,"N/A")</f>
        <v>230000</v>
      </c>
      <c r="I927" s="423" cm="1">
        <f t="array" ref="I927">IF(B927&gt;0,'Direct Costs 2026'!$C$19+'Direct Costs 2026'!$C$18*B927,"N/A")</f>
        <v>495000</v>
      </c>
      <c r="J927" s="423" cm="1">
        <f t="array" ref="J927">IF(B927&gt;0,SUM('Direct Costs 2026'!$C$20:$C$21),"N/A")</f>
        <v>98333.3333333333</v>
      </c>
      <c r="K927" s="423" cm="1">
        <f t="array" ref="K927">IF(B927&gt;0,'Direct Costs 2026'!$C$26,"N/A")</f>
        <v>20000</v>
      </c>
      <c r="L927" s="423" cm="1">
        <f t="array" ref="L927">IF(B927&gt;0,'Direct Costs 2026'!$C$23,"N/A")</f>
        <v>140000</v>
      </c>
      <c r="M927" s="423" cm="1">
        <f t="array" ref="M927">IF(B927&gt;0,'Direct Costs 2026'!$C$45*B927,"N/A")</f>
        <v>1800000</v>
      </c>
      <c r="N927" t="str" s="431" cm="1">
        <f t="array" ref="N927">IF(B927&gt;0,_xlfn.IFERROR(VLOOKUP(C913,'Boats Data Sheet 2026'!$C$3:$I$57,7,0)*'Direct Costs 2026'!$C$36,"N/A"),"N/A")</f>
        <v>N/A</v>
      </c>
      <c r="O927" t="str" s="431" cm="1">
        <f t="array" ref="O927">IF(B927&gt;0,IF(OR(VLOOKUP(C913,'Boats Data Sheet 2026'!$C$3:$F$57,4,0)="Own",VLOOKUP(C913,'Boats Data Sheet 2026'!$C$3:$F$57,4,0)="Management"),('Direct Costs 2026'!$C$37+'Direct Costs 2026'!$C$39),"N/A"),"N/A")</f>
        <v>N/A</v>
      </c>
      <c r="P927" s="423" cm="1">
        <f t="array" ref="P927">_xlfn.IFERROR('Direct Costs 2026'!$C$27*C927,"N/A")</f>
        <v>150000</v>
      </c>
      <c r="Q927" s="423" cm="1">
        <f t="array" ref="Q927">_xlfn.IFERROR(C927+SUM(E927:P927),"N/A")</f>
        <v>12346333.3333333</v>
      </c>
      <c r="R927" s="424"/>
      <c r="S927" s="423" cm="1">
        <f t="array" ref="S927">IF(B927&gt;0,'Allocation OH and Target 2026'!$E$31,"N/A")</f>
        <v>3100447.15769812</v>
      </c>
      <c r="T927" s="423" cm="1">
        <f t="array" ref="T927">IF(B927&gt;0,VLOOKUP(C913,'Allocation OH and Target 2026'!$C$35:$S$87,16,0),"N/A")</f>
        <v>0</v>
      </c>
      <c r="U927" s="423" cm="1">
        <f t="array" ref="U927">_xlfn.IFERROR((S927+T927),"N/A")</f>
        <v>3100447.15769812</v>
      </c>
      <c r="V927" s="424"/>
      <c r="W927" s="423" cm="1">
        <f t="array" ref="W927">_xlfn.IFERROR(U927+Q927,"N/A")</f>
        <v>15446780.4910314</v>
      </c>
      <c r="X927" s="423" cm="1">
        <f t="array" ref="X927">_xlfn.IFERROR(W927*0.5%,"N/A")</f>
        <v>77233.902455157</v>
      </c>
      <c r="Y927" s="423" cm="1">
        <f t="array" ref="Y927">_xlfn.IFERROR(W927*25%,"N/A")</f>
        <v>3861695.12275785</v>
      </c>
      <c r="Z927" s="425" cm="1">
        <f t="array" ref="Z927">IF(B927&gt;0,SUM(W927:Y927),"N/A")</f>
        <v>19385709.5162444</v>
      </c>
      <c r="AA927" s="425" cm="1">
        <f t="array" ref="AA927">_xlfn.IFERROR((Z927-Z926),"N/A")</f>
        <v>239705</v>
      </c>
      <c r="AB927" s="424"/>
      <c r="AC927" t="str" s="426" cm="1">
        <f t="array" ref="AC927">IF(B927=6,AVERAGE(Z916:Z921),"N/A")</f>
        <v>N/A</v>
      </c>
      <c r="AD927" s="424"/>
      <c r="AE927" s="423"/>
      <c r="AF927" s="423"/>
      <c r="AG927" s="423"/>
      <c r="AH927" s="423"/>
      <c r="AI927" s="423"/>
      <c r="AJ927" s="423"/>
      <c r="AK927" s="423"/>
      <c r="AL927" s="423"/>
      <c r="AM927" s="423"/>
      <c r="AN927" s="427"/>
    </row>
    <row r="928" ht="15" customHeight="1">
      <c r="A928" s="12"/>
      <c r="B928" s="428" cm="1">
        <f t="array" ref="B928">IF(B927=0,0,IF(B927&lt;VLOOKUP(C913,'Boats Data Sheet 2026'!$C$3:$H$57,6,0),B927+1,0))</f>
        <v>13</v>
      </c>
      <c r="C928" s="423" cm="1">
        <f t="array" ref="C928">IF(B928&gt;0,IF(VLOOKUP(C913,'Boats Data Sheet 2026'!$C$3:$J$57,8,0)="N/A",0,VLOOKUP(C913,'Boats Data Sheet 2026'!$C$3:$J$57,8,0)),"N/A")</f>
        <v>7500000</v>
      </c>
      <c r="D928" s="429" cm="1">
        <f t="array" ref="D928">IF(B928&gt;7,2,IF(B928=0,"N/A",1))</f>
        <v>2</v>
      </c>
      <c r="E928" s="423" cm="1">
        <f t="array" ref="E928">_xlfn.IFERROR(SUM('Direct Costs 2026'!$C$4:$C$5)*D928,"N/A")</f>
        <v>1751000</v>
      </c>
      <c r="F928" s="423" cm="1">
        <f t="array" ref="F928">_xlfn.IFERROR('Direct Costs 2026'!$C$43*B928,"N/A")</f>
        <v>78000</v>
      </c>
      <c r="G928" s="423" cm="1">
        <f t="array" ref="G928">IF(B928&gt;0,'Direct Costs 2026'!$C$25,"N/A")</f>
        <v>90000</v>
      </c>
      <c r="H928" s="423" cm="1">
        <f t="array" ref="H928">IF(B928&gt;0,'Direct Costs 2026'!$C$15+'Direct Costs 2026'!$C$14,"N/A")</f>
        <v>230000</v>
      </c>
      <c r="I928" s="423" cm="1">
        <f t="array" ref="I928">IF(B928&gt;0,'Direct Costs 2026'!$C$19+'Direct Costs 2026'!$C$18*B928,"N/A")</f>
        <v>530000</v>
      </c>
      <c r="J928" s="423" cm="1">
        <f t="array" ref="J928">IF(B928&gt;0,SUM('Direct Costs 2026'!$C$20:$C$21),"N/A")</f>
        <v>98333.3333333333</v>
      </c>
      <c r="K928" s="423" cm="1">
        <f t="array" ref="K928">IF(B928&gt;0,'Direct Costs 2026'!$C$26,"N/A")</f>
        <v>20000</v>
      </c>
      <c r="L928" s="423" cm="1">
        <f t="array" ref="L928">IF(B928&gt;0,'Direct Costs 2026'!$C$23,"N/A")</f>
        <v>140000</v>
      </c>
      <c r="M928" s="423" cm="1">
        <f t="array" ref="M928">IF(B928&gt;0,'Direct Costs 2026'!$C$45*B928,"N/A")</f>
        <v>1950000</v>
      </c>
      <c r="N928" t="str" s="431" cm="1">
        <f t="array" ref="N928">IF(B928&gt;0,_xlfn.IFERROR(VLOOKUP(C913,'Boats Data Sheet 2026'!$C$3:$I$57,7,0)*'Direct Costs 2026'!$C$36,"N/A"),"N/A")</f>
        <v>N/A</v>
      </c>
      <c r="O928" t="str" s="431" cm="1">
        <f t="array" ref="O928">IF(B928&gt;0,IF(OR(VLOOKUP(C913,'Boats Data Sheet 2026'!$C$3:$F$57,4,0)="Own",VLOOKUP(C913,'Boats Data Sheet 2026'!$C$3:$F$57,4,0)="Management"),('Direct Costs 2026'!$C$37+'Direct Costs 2026'!$C$39),"N/A"),"N/A")</f>
        <v>N/A</v>
      </c>
      <c r="P928" s="423" cm="1">
        <f t="array" ref="P928">_xlfn.IFERROR('Direct Costs 2026'!$C$27*C928,"N/A")</f>
        <v>150000</v>
      </c>
      <c r="Q928" s="423" cm="1">
        <f t="array" ref="Q928">_xlfn.IFERROR(C928+SUM(E928:P928),"N/A")</f>
        <v>12537333.3333333</v>
      </c>
      <c r="R928" s="424"/>
      <c r="S928" s="423" cm="1">
        <f t="array" ref="S928">IF(B928&gt;0,'Allocation OH and Target 2026'!$E$31,"N/A")</f>
        <v>3100447.15769812</v>
      </c>
      <c r="T928" s="423" cm="1">
        <f t="array" ref="T928">IF(B928&gt;0,VLOOKUP(C913,'Allocation OH and Target 2026'!$C$35:$S$87,16,0),"N/A")</f>
        <v>0</v>
      </c>
      <c r="U928" s="423" cm="1">
        <f t="array" ref="U928">_xlfn.IFERROR((S928+T928),"N/A")</f>
        <v>3100447.15769812</v>
      </c>
      <c r="V928" s="424"/>
      <c r="W928" s="423" cm="1">
        <f t="array" ref="W928">_xlfn.IFERROR(U928+Q928,"N/A")</f>
        <v>15637780.4910314</v>
      </c>
      <c r="X928" s="423" cm="1">
        <f t="array" ref="X928">_xlfn.IFERROR(W928*0.5%,"N/A")</f>
        <v>78188.902455157</v>
      </c>
      <c r="Y928" s="423" cm="1">
        <f t="array" ref="Y928">_xlfn.IFERROR(W928*25%,"N/A")</f>
        <v>3909445.12275785</v>
      </c>
      <c r="Z928" s="425" cm="1">
        <f t="array" ref="Z928">IF(B928&gt;0,SUM(W928:Y928),"N/A")</f>
        <v>19625414.5162444</v>
      </c>
      <c r="AA928" s="425" cm="1">
        <f t="array" ref="AA928">_xlfn.IFERROR((Z928-Z927),"N/A")</f>
        <v>239705</v>
      </c>
      <c r="AB928" s="424"/>
      <c r="AC928" t="str" s="426" cm="1">
        <f t="array" ref="AC928">IF(B928=6,AVERAGE(Z916:Z921),"N/A")</f>
        <v>N/A</v>
      </c>
      <c r="AD928" s="424"/>
      <c r="AE928" s="423"/>
      <c r="AF928" s="423"/>
      <c r="AG928" s="423"/>
      <c r="AH928" s="423"/>
      <c r="AI928" s="423"/>
      <c r="AJ928" s="423"/>
      <c r="AK928" s="423"/>
      <c r="AL928" s="423"/>
      <c r="AM928" s="423"/>
      <c r="AN928" s="427"/>
    </row>
    <row r="929" ht="15" customHeight="1">
      <c r="A929" s="12"/>
      <c r="B929" s="428" cm="1">
        <f t="array" ref="B929">IF(B928=0,0,IF(B928&lt;VLOOKUP(C913,'Boats Data Sheet 2026'!$C$3:$H$57,6,0),B928+1,0))</f>
        <v>0</v>
      </c>
      <c r="C929" t="str" s="431" cm="1">
        <f t="array" ref="C929">IF(B929&gt;0,IF(VLOOKUP(C913,'Boats Data Sheet 2026'!$C$3:$J$57,8,0)="N/A",0,VLOOKUP(C913,'Boats Data Sheet 2026'!$C$3:$J$57,8,0)),"N/A")</f>
        <v>N/A</v>
      </c>
      <c r="D929" t="str" s="431" cm="1">
        <f t="array" ref="D929">IF(B929&gt;7,2,IF(B929=0,"N/A",1))</f>
        <v>N/A</v>
      </c>
      <c r="E929" t="str" s="431" cm="1">
        <f t="array" ref="E929">_xlfn.IFERROR(SUM('Direct Costs 2026'!$C$4:$C$5)*D929,"N/A")</f>
        <v>N/A</v>
      </c>
      <c r="F929" s="423" cm="1">
        <f t="array" ref="F929">_xlfn.IFERROR('Direct Costs 2026'!$C$43*B929,"N/A")</f>
        <v>0</v>
      </c>
      <c r="G929" t="str" s="431" cm="1">
        <f t="array" ref="G929">IF(B929&gt;0,'Direct Costs 2026'!$C$25,"N/A")</f>
        <v>N/A</v>
      </c>
      <c r="H929" t="str" s="431" cm="1">
        <f t="array" ref="H929">IF(B929&gt;0,'Direct Costs 2026'!$C$15+'Direct Costs 2026'!$C$14,"N/A")</f>
        <v>N/A</v>
      </c>
      <c r="I929" t="str" s="431" cm="1">
        <f t="array" ref="I929">IF(B929&gt;0,'Direct Costs 2026'!$C$19+'Direct Costs 2026'!$C$18*B929,"N/A")</f>
        <v>N/A</v>
      </c>
      <c r="J929" t="str" s="431" cm="1">
        <f t="array" ref="J929">IF(B929&gt;0,SUM('Direct Costs 2026'!$C$20:$C$21),"N/A")</f>
        <v>N/A</v>
      </c>
      <c r="K929" t="str" s="431" cm="1">
        <f t="array" ref="K929">IF(B929&gt;0,'Direct Costs 2026'!$C$26,"N/A")</f>
        <v>N/A</v>
      </c>
      <c r="L929" t="str" s="431" cm="1">
        <f t="array" ref="L929">IF(B929&gt;0,'Direct Costs 2026'!$C$23,"N/A")</f>
        <v>N/A</v>
      </c>
      <c r="M929" t="str" s="431" cm="1">
        <f t="array" ref="M929">IF(B929&gt;0,'Direct Costs 2026'!$C$45*B929,"N/A")</f>
        <v>N/A</v>
      </c>
      <c r="N929" t="str" s="431" cm="1">
        <f t="array" ref="N929">IF(B929&gt;0,_xlfn.IFERROR(VLOOKUP(C913,'Boats Data Sheet 2026'!$C$3:$I$57,7,0)*'Direct Costs 2026'!$C$36,"N/A"),"N/A")</f>
        <v>N/A</v>
      </c>
      <c r="O929" t="str" s="431" cm="1">
        <f t="array" ref="O929">IF(B929&gt;0,IF(OR(VLOOKUP(C913,'Boats Data Sheet 2026'!$C$3:$F$57,4,0)="Own",VLOOKUP(C913,'Boats Data Sheet 2026'!$C$3:$F$57,4,0)="Management"),('Direct Costs 2026'!$C$37+'Direct Costs 2026'!$C$39),"N/A"),"N/A")</f>
        <v>N/A</v>
      </c>
      <c r="P929" t="str" s="431" cm="1">
        <f t="array" ref="P929">_xlfn.IFERROR('Direct Costs 2026'!$C$27*C929,"N/A")</f>
        <v>N/A</v>
      </c>
      <c r="Q929" t="str" s="431" cm="1">
        <f t="array" ref="Q929">_xlfn.IFERROR(C929+SUM(E929:P929),"N/A")</f>
        <v>N/A</v>
      </c>
      <c r="R929" s="424"/>
      <c r="S929" t="str" s="431" cm="1">
        <f t="array" ref="S929">IF(B929&gt;0,'Allocation OH and Target 2026'!$E$31,"N/A")</f>
        <v>N/A</v>
      </c>
      <c r="T929" t="str" s="431" cm="1">
        <f t="array" ref="T929">IF(B929&gt;0,VLOOKUP(C913,'Allocation OH and Target 2026'!$C$35:$S$87,16,0),"N/A")</f>
        <v>N/A</v>
      </c>
      <c r="U929" t="str" s="431" cm="1">
        <f t="array" ref="U929">_xlfn.IFERROR((S929+T929),"N/A")</f>
        <v>N/A</v>
      </c>
      <c r="V929" s="424"/>
      <c r="W929" t="str" s="431" cm="1">
        <f t="array" ref="W929">_xlfn.IFERROR(U929+Q929,"N/A")</f>
        <v>N/A</v>
      </c>
      <c r="X929" t="str" s="431" cm="1">
        <f t="array" ref="X929">_xlfn.IFERROR(W929*0.5%,"N/A")</f>
        <v>N/A</v>
      </c>
      <c r="Y929" t="str" s="431" cm="1">
        <f t="array" ref="Y929">_xlfn.IFERROR(W929*25%,"N/A")</f>
        <v>N/A</v>
      </c>
      <c r="Z929" t="str" s="426" cm="1">
        <f t="array" ref="Z929">IF(B929&gt;0,SUM(W929:Y929),"N/A")</f>
        <v>N/A</v>
      </c>
      <c r="AA929" t="str" s="426" cm="1">
        <f t="array" ref="AA929">_xlfn.IFERROR((Z929-Z928),"N/A")</f>
        <v>N/A</v>
      </c>
      <c r="AB929" s="424"/>
      <c r="AC929" t="str" s="426" cm="1">
        <f t="array" ref="AC929">IF(B929=6,AVERAGE(Z916:Z921),"N/A")</f>
        <v>N/A</v>
      </c>
      <c r="AD929" s="424"/>
      <c r="AE929" s="423"/>
      <c r="AF929" s="423"/>
      <c r="AG929" s="423"/>
      <c r="AH929" s="423"/>
      <c r="AI929" s="423"/>
      <c r="AJ929" s="423"/>
      <c r="AK929" s="423"/>
      <c r="AL929" s="423"/>
      <c r="AM929" s="423"/>
      <c r="AN929" s="427"/>
    </row>
    <row r="930" ht="15" customHeight="1">
      <c r="A930" s="12"/>
      <c r="B930" s="428" cm="1">
        <f t="array" ref="B930">IF(B929=0,0,IF(B929&lt;VLOOKUP(C913,'Boats Data Sheet 2026'!$C$3:$H$57,6,0),B929+1,0))</f>
        <v>0</v>
      </c>
      <c r="C930" t="str" s="431" cm="1">
        <f t="array" ref="C930">IF(B930&gt;0,IF(VLOOKUP(C913,'Boats Data Sheet 2026'!$C$3:$J$57,8,0)="N/A",0,VLOOKUP(C913,'Boats Data Sheet 2026'!$C$3:$J$57,8,0)),"N/A")</f>
        <v>N/A</v>
      </c>
      <c r="D930" t="str" s="431" cm="1">
        <f t="array" ref="D930">IF(B930&gt;7,2,IF(B930=0,"N/A",1))</f>
        <v>N/A</v>
      </c>
      <c r="E930" t="str" s="431" cm="1">
        <f t="array" ref="E930">_xlfn.IFERROR(SUM('Direct Costs 2026'!$C$4:$C$5)*D930,"N/A")</f>
        <v>N/A</v>
      </c>
      <c r="F930" s="423" cm="1">
        <f t="array" ref="F930">_xlfn.IFERROR('Direct Costs 2026'!$C$43*B930,"N/A")</f>
        <v>0</v>
      </c>
      <c r="G930" t="str" s="431" cm="1">
        <f t="array" ref="G930">IF(B930&gt;0,'Direct Costs 2026'!$C$25,"N/A")</f>
        <v>N/A</v>
      </c>
      <c r="H930" t="str" s="431" cm="1">
        <f t="array" ref="H930">IF(B930&gt;0,'Direct Costs 2026'!$C$15+'Direct Costs 2026'!$C$14,"N/A")</f>
        <v>N/A</v>
      </c>
      <c r="I930" t="str" s="431" cm="1">
        <f t="array" ref="I930">IF(B930&gt;0,'Direct Costs 2026'!$C$19+'Direct Costs 2026'!$C$18*B930,"N/A")</f>
        <v>N/A</v>
      </c>
      <c r="J930" t="str" s="431" cm="1">
        <f t="array" ref="J930">IF(B930&gt;0,SUM('Direct Costs 2026'!$C$20:$C$21),"N/A")</f>
        <v>N/A</v>
      </c>
      <c r="K930" t="str" s="431" cm="1">
        <f t="array" ref="K930">IF(B930&gt;0,'Direct Costs 2026'!$C$26,"N/A")</f>
        <v>N/A</v>
      </c>
      <c r="L930" t="str" s="431" cm="1">
        <f t="array" ref="L930">IF(B930&gt;0,'Direct Costs 2026'!$C$23,"N/A")</f>
        <v>N/A</v>
      </c>
      <c r="M930" t="str" s="431" cm="1">
        <f t="array" ref="M930">IF(B930&gt;0,'Direct Costs 2026'!$C$45*B930,"N/A")</f>
        <v>N/A</v>
      </c>
      <c r="N930" t="str" s="431" cm="1">
        <f t="array" ref="N930">IF(B930&gt;0,_xlfn.IFERROR(VLOOKUP(C913,'Boats Data Sheet 2026'!$C$3:$I$57,7,0)*'Direct Costs 2026'!$C$36,"N/A"),"N/A")</f>
        <v>N/A</v>
      </c>
      <c r="O930" t="str" s="431" cm="1">
        <f t="array" ref="O930">IF(B930&gt;0,IF(OR(VLOOKUP(C913,'Boats Data Sheet 2026'!$C$3:$F$57,4,0)="Own",VLOOKUP(C913,'Boats Data Sheet 2026'!$C$3:$F$57,4,0)="Management"),('Direct Costs 2026'!$C$37+'Direct Costs 2026'!$C$39),"N/A"),"N/A")</f>
        <v>N/A</v>
      </c>
      <c r="P930" t="str" s="431" cm="1">
        <f t="array" ref="P930">_xlfn.IFERROR('Direct Costs 2026'!$C$27*C930,"N/A")</f>
        <v>N/A</v>
      </c>
      <c r="Q930" t="str" s="431" cm="1">
        <f t="array" ref="Q930">_xlfn.IFERROR(C930+SUM(E930:P930),"N/A")</f>
        <v>N/A</v>
      </c>
      <c r="R930" s="424"/>
      <c r="S930" t="str" s="431" cm="1">
        <f t="array" ref="S930">IF(B930&gt;0,'Allocation OH and Target 2026'!$E$31,"N/A")</f>
        <v>N/A</v>
      </c>
      <c r="T930" t="str" s="431" cm="1">
        <f t="array" ref="T930">IF(B930&gt;0,VLOOKUP(C913,'Allocation OH and Target 2026'!$C$35:$S$87,16,0),"N/A")</f>
        <v>N/A</v>
      </c>
      <c r="U930" t="str" s="431" cm="1">
        <f t="array" ref="U930">_xlfn.IFERROR((S930+T930),"N/A")</f>
        <v>N/A</v>
      </c>
      <c r="V930" s="424"/>
      <c r="W930" t="str" s="431" cm="1">
        <f t="array" ref="W930">_xlfn.IFERROR(U930+Q930,"N/A")</f>
        <v>N/A</v>
      </c>
      <c r="X930" t="str" s="431" cm="1">
        <f t="array" ref="X930">_xlfn.IFERROR(W930*0.5%,"N/A")</f>
        <v>N/A</v>
      </c>
      <c r="Y930" t="str" s="431" cm="1">
        <f t="array" ref="Y930">_xlfn.IFERROR(W930*25%,"N/A")</f>
        <v>N/A</v>
      </c>
      <c r="Z930" t="str" s="426" cm="1">
        <f t="array" ref="Z930">IF(B930&gt;0,SUM(W930:Y930),"N/A")</f>
        <v>N/A</v>
      </c>
      <c r="AA930" t="str" s="426" cm="1">
        <f t="array" ref="AA930">_xlfn.IFERROR((Z930-Z929),"N/A")</f>
        <v>N/A</v>
      </c>
      <c r="AB930" s="424"/>
      <c r="AC930" t="str" s="426" cm="1">
        <f t="array" ref="AC930">IF(B930=6,AVERAGE(Z916:Z921),"N/A")</f>
        <v>N/A</v>
      </c>
      <c r="AD930" s="424"/>
      <c r="AE930" s="423"/>
      <c r="AF930" s="423"/>
      <c r="AG930" s="423"/>
      <c r="AH930" s="423"/>
      <c r="AI930" s="423"/>
      <c r="AJ930" s="423"/>
      <c r="AK930" s="423"/>
      <c r="AL930" s="423"/>
      <c r="AM930" s="423"/>
      <c r="AN930" s="427"/>
    </row>
    <row r="931" ht="15" customHeight="1">
      <c r="A931" s="12"/>
      <c r="B931" s="428" cm="1">
        <f t="array" ref="B931">IF(B930=0,0,IF(B930&lt;VLOOKUP(C913,'Boats Data Sheet 2026'!$C$3:$H$57,6,0),B930+1,0))</f>
        <v>0</v>
      </c>
      <c r="C931" t="str" s="431" cm="1">
        <f t="array" ref="C931">IF(B931&gt;0,IF(VLOOKUP(C913,'Boats Data Sheet 2026'!$C$3:$J$57,8,0)="N/A",0,VLOOKUP(C913,'Boats Data Sheet 2026'!$C$3:$J$57,8,0)),"N/A")</f>
        <v>N/A</v>
      </c>
      <c r="D931" t="str" s="431" cm="1">
        <f t="array" ref="D931">IF(B931&gt;7,2,IF(B931=0,"N/A",1))</f>
        <v>N/A</v>
      </c>
      <c r="E931" t="str" s="431" cm="1">
        <f t="array" ref="E931">_xlfn.IFERROR(SUM('Direct Costs 2026'!$C$4:$C$5)*D931,"N/A")</f>
        <v>N/A</v>
      </c>
      <c r="F931" s="423" cm="1">
        <f t="array" ref="F931">_xlfn.IFERROR('Direct Costs 2026'!$C$43*B931,"N/A")</f>
        <v>0</v>
      </c>
      <c r="G931" t="str" s="431" cm="1">
        <f t="array" ref="G931">IF(B931&gt;0,'Direct Costs 2026'!$C$25,"N/A")</f>
        <v>N/A</v>
      </c>
      <c r="H931" t="str" s="431" cm="1">
        <f t="array" ref="H931">IF(B931&gt;0,'Direct Costs 2026'!$C$15+'Direct Costs 2026'!$C$14,"N/A")</f>
        <v>N/A</v>
      </c>
      <c r="I931" t="str" s="431" cm="1">
        <f t="array" ref="I931">IF(B931&gt;0,'Direct Costs 2026'!$C$19+'Direct Costs 2026'!$C$18*B931,"N/A")</f>
        <v>N/A</v>
      </c>
      <c r="J931" t="str" s="431" cm="1">
        <f t="array" ref="J931">IF(B931&gt;0,SUM('Direct Costs 2026'!$C$20:$C$21),"N/A")</f>
        <v>N/A</v>
      </c>
      <c r="K931" t="str" s="431" cm="1">
        <f t="array" ref="K931">IF(B931&gt;0,'Direct Costs 2026'!$C$26,"N/A")</f>
        <v>N/A</v>
      </c>
      <c r="L931" t="str" s="431" cm="1">
        <f t="array" ref="L931">IF(B931&gt;0,'Direct Costs 2026'!$C$23,"N/A")</f>
        <v>N/A</v>
      </c>
      <c r="M931" t="str" s="431" cm="1">
        <f t="array" ref="M931">IF(B931&gt;0,'Direct Costs 2026'!$C$45*B931,"N/A")</f>
        <v>N/A</v>
      </c>
      <c r="N931" t="str" s="431" cm="1">
        <f t="array" ref="N931">IF(B931&gt;0,_xlfn.IFERROR(VLOOKUP(C913,'Boats Data Sheet 2026'!$C$3:$I$57,7,0)*'Direct Costs 2026'!$C$36,"N/A"),"N/A")</f>
        <v>N/A</v>
      </c>
      <c r="O931" t="str" s="431" cm="1">
        <f t="array" ref="O931">IF(B931&gt;0,IF(OR(VLOOKUP(C913,'Boats Data Sheet 2026'!$C$3:$F$57,4,0)="Own",VLOOKUP(C913,'Boats Data Sheet 2026'!$C$3:$F$57,4,0)="Management"),('Direct Costs 2026'!$C$37+'Direct Costs 2026'!$C$39),"N/A"),"N/A")</f>
        <v>N/A</v>
      </c>
      <c r="P931" t="str" s="431" cm="1">
        <f t="array" ref="P931">_xlfn.IFERROR('Direct Costs 2026'!$C$27*C931,"N/A")</f>
        <v>N/A</v>
      </c>
      <c r="Q931" t="str" s="431" cm="1">
        <f t="array" ref="Q931">_xlfn.IFERROR(C931+SUM(E931:P931),"N/A")</f>
        <v>N/A</v>
      </c>
      <c r="R931" s="424"/>
      <c r="S931" t="str" s="431" cm="1">
        <f t="array" ref="S931">IF(B931&gt;0,'Allocation OH and Target 2026'!$E$31,"N/A")</f>
        <v>N/A</v>
      </c>
      <c r="T931" t="str" s="431" cm="1">
        <f t="array" ref="T931">IF(B931&gt;0,VLOOKUP(C913,'Allocation OH and Target 2026'!$C$35:$S$87,16,0),"N/A")</f>
        <v>N/A</v>
      </c>
      <c r="U931" t="str" s="431" cm="1">
        <f t="array" ref="U931">_xlfn.IFERROR((S931+T931),"N/A")</f>
        <v>N/A</v>
      </c>
      <c r="V931" s="424"/>
      <c r="W931" t="str" s="431" cm="1">
        <f t="array" ref="W931">_xlfn.IFERROR(U931+Q931,"N/A")</f>
        <v>N/A</v>
      </c>
      <c r="X931" t="str" s="431" cm="1">
        <f t="array" ref="X931">_xlfn.IFERROR(W931*0.5%,"N/A")</f>
        <v>N/A</v>
      </c>
      <c r="Y931" t="str" s="431" cm="1">
        <f t="array" ref="Y931">_xlfn.IFERROR(W931*25%,"N/A")</f>
        <v>N/A</v>
      </c>
      <c r="Z931" t="str" s="426" cm="1">
        <f t="array" ref="Z931">IF(B931&gt;0,SUM(W931:Y931),"N/A")</f>
        <v>N/A</v>
      </c>
      <c r="AA931" t="str" s="426" cm="1">
        <f t="array" ref="AA931">_xlfn.IFERROR((Z931-Z930),"N/A")</f>
        <v>N/A</v>
      </c>
      <c r="AB931" s="424"/>
      <c r="AC931" t="str" s="426" cm="1">
        <f t="array" ref="AC931">IF(B931=6,AVERAGE(Z916:Z921),"N/A")</f>
        <v>N/A</v>
      </c>
      <c r="AD931" s="424"/>
      <c r="AE931" s="423"/>
      <c r="AF931" s="423"/>
      <c r="AG931" s="423"/>
      <c r="AH931" s="423"/>
      <c r="AI931" s="423"/>
      <c r="AJ931" s="423"/>
      <c r="AK931" s="423"/>
      <c r="AL931" s="423"/>
      <c r="AM931" s="423"/>
      <c r="AN931" s="427"/>
    </row>
    <row r="932" ht="15" customHeight="1">
      <c r="A932" s="12"/>
      <c r="B932" s="428" cm="1">
        <f t="array" ref="B932">IF(B931=0,0,IF(B931&lt;VLOOKUP(C913,'Boats Data Sheet 2026'!$C$3:$H$57,6,0),B931+1,0))</f>
        <v>0</v>
      </c>
      <c r="C932" t="str" s="431" cm="1">
        <f t="array" ref="C932">IF(B932&gt;0,IF(VLOOKUP(C913,'Boats Data Sheet 2026'!$C$3:$J$57,8,0)="N/A",0,VLOOKUP(C913,'Boats Data Sheet 2026'!$C$3:$J$57,8,0)),"N/A")</f>
        <v>N/A</v>
      </c>
      <c r="D932" t="str" s="431" cm="1">
        <f t="array" ref="D932">IF(B932&gt;7,2,IF(B932=0,"N/A",1))</f>
        <v>N/A</v>
      </c>
      <c r="E932" t="str" s="431" cm="1">
        <f t="array" ref="E932">_xlfn.IFERROR(SUM('Direct Costs 2026'!$C$4:$C$5)*D932,"N/A")</f>
        <v>N/A</v>
      </c>
      <c r="F932" s="423" cm="1">
        <f t="array" ref="F932">_xlfn.IFERROR('Direct Costs 2026'!$C$43*B932,"N/A")</f>
        <v>0</v>
      </c>
      <c r="G932" t="str" s="431" cm="1">
        <f t="array" ref="G932">IF(B932&gt;0,'Direct Costs 2026'!$C$25,"N/A")</f>
        <v>N/A</v>
      </c>
      <c r="H932" t="str" s="431" cm="1">
        <f t="array" ref="H932">IF(B932&gt;0,'Direct Costs 2026'!$C$15+'Direct Costs 2026'!$C$14,"N/A")</f>
        <v>N/A</v>
      </c>
      <c r="I932" t="str" s="431" cm="1">
        <f t="array" ref="I932">IF(B932&gt;0,'Direct Costs 2026'!$C$19+'Direct Costs 2026'!$C$18*B932,"N/A")</f>
        <v>N/A</v>
      </c>
      <c r="J932" t="str" s="431" cm="1">
        <f t="array" ref="J932">IF(B932&gt;0,SUM('Direct Costs 2026'!$C$20:$C$21),"N/A")</f>
        <v>N/A</v>
      </c>
      <c r="K932" t="str" s="431" cm="1">
        <f t="array" ref="K932">IF(B932&gt;0,'Direct Costs 2026'!$C$26,"N/A")</f>
        <v>N/A</v>
      </c>
      <c r="L932" t="str" s="431" cm="1">
        <f t="array" ref="L932">IF(B932&gt;0,'Direct Costs 2026'!$C$23,"N/A")</f>
        <v>N/A</v>
      </c>
      <c r="M932" t="str" s="431" cm="1">
        <f t="array" ref="M932">IF(B932&gt;0,'Direct Costs 2026'!$C$45*B932,"N/A")</f>
        <v>N/A</v>
      </c>
      <c r="N932" t="str" s="431" cm="1">
        <f t="array" ref="N932">IF(B932&gt;0,_xlfn.IFERROR(VLOOKUP(C913,'Boats Data Sheet 2026'!$C$3:$I$57,7,0)*'Direct Costs 2026'!$C$36,"N/A"),"N/A")</f>
        <v>N/A</v>
      </c>
      <c r="O932" t="str" s="431" cm="1">
        <f t="array" ref="O932">IF(B932&gt;0,IF(OR(VLOOKUP(C913,'Boats Data Sheet 2026'!$C$3:$F$57,4,0)="Own",VLOOKUP(C913,'Boats Data Sheet 2026'!$C$3:$F$57,4,0)="Management"),('Direct Costs 2026'!$C$37+'Direct Costs 2026'!$C$39),"N/A"),"N/A")</f>
        <v>N/A</v>
      </c>
      <c r="P932" t="str" s="431" cm="1">
        <f t="array" ref="P932">_xlfn.IFERROR('Direct Costs 2026'!$C$27*C932,"N/A")</f>
        <v>N/A</v>
      </c>
      <c r="Q932" t="str" s="431" cm="1">
        <f t="array" ref="Q932">_xlfn.IFERROR(C932+SUM(E932:P932),"N/A")</f>
        <v>N/A</v>
      </c>
      <c r="R932" s="424"/>
      <c r="S932" t="str" s="431" cm="1">
        <f t="array" ref="S932">IF(B932&gt;0,'Allocation OH and Target 2026'!$E$31,"N/A")</f>
        <v>N/A</v>
      </c>
      <c r="T932" t="str" s="431" cm="1">
        <f t="array" ref="T932">IF(B932&gt;0,VLOOKUP(C913,'Allocation OH and Target 2026'!$C$35:$S$87,16,0),"N/A")</f>
        <v>N/A</v>
      </c>
      <c r="U932" t="str" s="431" cm="1">
        <f t="array" ref="U932">_xlfn.IFERROR((S932+T932),"N/A")</f>
        <v>N/A</v>
      </c>
      <c r="V932" s="424"/>
      <c r="W932" t="str" s="431" cm="1">
        <f t="array" ref="W932">_xlfn.IFERROR(U932+Q932,"N/A")</f>
        <v>N/A</v>
      </c>
      <c r="X932" t="str" s="431" cm="1">
        <f t="array" ref="X932">_xlfn.IFERROR(W932*0.5%,"N/A")</f>
        <v>N/A</v>
      </c>
      <c r="Y932" t="str" s="431" cm="1">
        <f t="array" ref="Y932">_xlfn.IFERROR(W932*25%,"N/A")</f>
        <v>N/A</v>
      </c>
      <c r="Z932" t="str" s="426" cm="1">
        <f t="array" ref="Z932">IF(B932&gt;0,SUM(W932:Y932),"N/A")</f>
        <v>N/A</v>
      </c>
      <c r="AA932" t="str" s="426" cm="1">
        <f t="array" ref="AA932">_xlfn.IFERROR((Z932-Z931),"N/A")</f>
        <v>N/A</v>
      </c>
      <c r="AB932" s="424"/>
      <c r="AC932" t="str" s="426" cm="1">
        <f t="array" ref="AC932">IF(B932=6,AVERAGE(Z916:Z921),"N/A")</f>
        <v>N/A</v>
      </c>
      <c r="AD932" s="424"/>
      <c r="AE932" s="423"/>
      <c r="AF932" s="423"/>
      <c r="AG932" s="423"/>
      <c r="AH932" s="423"/>
      <c r="AI932" s="423"/>
      <c r="AJ932" s="423"/>
      <c r="AK932" s="423"/>
      <c r="AL932" s="423"/>
      <c r="AM932" s="423"/>
      <c r="AN932" s="427"/>
    </row>
    <row r="933" ht="15.5" customHeight="1">
      <c r="A933" s="12"/>
      <c r="B933" s="432" cm="1">
        <f t="array" ref="B933">IF(B932=0,0,IF(B932&lt;VLOOKUP(C913,'Boats Data Sheet 2026'!$C$3:$H$57,6,0),B932+1,0))</f>
        <v>0</v>
      </c>
      <c r="C933" t="str" s="433" cm="1">
        <f t="array" ref="C933">IF(B933&gt;0,IF(VLOOKUP(C913,'Boats Data Sheet 2026'!$C$3:$J$57,8,0)="N/A",0,VLOOKUP(C913,'Boats Data Sheet 2026'!$C$3:$J$57,8,0)),"N/A")</f>
        <v>N/A</v>
      </c>
      <c r="D933" t="str" s="433" cm="1">
        <f t="array" ref="D933">IF(B933&gt;7,2,IF(B933=0,"N/A",1))</f>
        <v>N/A</v>
      </c>
      <c r="E933" t="str" s="433" cm="1">
        <f t="array" ref="E933">_xlfn.IFERROR(SUM('Direct Costs 2026'!$C$4:$C$5)*D933,"N/A")</f>
        <v>N/A</v>
      </c>
      <c r="F933" s="434" cm="1">
        <f t="array" ref="F933">_xlfn.IFERROR('Direct Costs 2026'!$C$43*B933,"N/A")</f>
        <v>0</v>
      </c>
      <c r="G933" t="str" s="433" cm="1">
        <f t="array" ref="G933">IF(B933&gt;0,'Direct Costs 2026'!$C$25,"N/A")</f>
        <v>N/A</v>
      </c>
      <c r="H933" t="str" s="433" cm="1">
        <f t="array" ref="H933">IF(B933&gt;0,'Direct Costs 2026'!$C$15+'Direct Costs 2026'!$C$14,"N/A")</f>
        <v>N/A</v>
      </c>
      <c r="I933" t="str" s="433" cm="1">
        <f t="array" ref="I933">IF(B933&gt;0,'Direct Costs 2026'!$C$19+'Direct Costs 2026'!$C$18*B933,"N/A")</f>
        <v>N/A</v>
      </c>
      <c r="J933" t="str" s="433" cm="1">
        <f t="array" ref="J933">IF(B933&gt;0,SUM('Direct Costs 2026'!$C$20:$C$21),"N/A")</f>
        <v>N/A</v>
      </c>
      <c r="K933" t="str" s="433" cm="1">
        <f t="array" ref="K933">IF(B933&gt;0,'Direct Costs 2026'!$C$26,"N/A")</f>
        <v>N/A</v>
      </c>
      <c r="L933" t="str" s="433" cm="1">
        <f t="array" ref="L933">IF(B933&gt;0,'Direct Costs 2026'!$C$23,"N/A")</f>
        <v>N/A</v>
      </c>
      <c r="M933" t="str" s="433" cm="1">
        <f t="array" ref="M933">IF(B933&gt;0,'Direct Costs 2026'!$C$45*B933,"N/A")</f>
        <v>N/A</v>
      </c>
      <c r="N933" t="str" s="433" cm="1">
        <f t="array" ref="N933">IF(B933&gt;0,_xlfn.IFERROR(VLOOKUP(C913,'Boats Data Sheet 2026'!$C$3:$I$57,7,0)*'Direct Costs 2026'!$C$36,"N/A"),"N/A")</f>
        <v>N/A</v>
      </c>
      <c r="O933" t="str" s="433" cm="1">
        <f t="array" ref="O933">IF(B933&gt;0,IF(OR(VLOOKUP(C913,'Boats Data Sheet 2026'!$C$3:$F$57,4,0)="Own",VLOOKUP(C913,'Boats Data Sheet 2026'!$C$3:$F$57,4,0)="Management"),('Direct Costs 2026'!$C$37+'Direct Costs 2026'!$C$39),"N/A"),"N/A")</f>
        <v>N/A</v>
      </c>
      <c r="P933" t="str" s="433" cm="1">
        <f t="array" ref="P933">_xlfn.IFERROR('Direct Costs 2026'!$C$27*C933,"N/A")</f>
        <v>N/A</v>
      </c>
      <c r="Q933" t="str" s="433" cm="1">
        <f t="array" ref="Q933">_xlfn.IFERROR(C933+SUM(E933:P933),"N/A")</f>
        <v>N/A</v>
      </c>
      <c r="R933" s="435"/>
      <c r="S933" t="str" s="433" cm="1">
        <f t="array" ref="S933">IF(B933&gt;0,'Allocation OH and Target 2026'!$E$31,"N/A")</f>
        <v>N/A</v>
      </c>
      <c r="T933" t="str" s="433" cm="1">
        <f t="array" ref="T933">IF(B933&gt;0,VLOOKUP(C913,'Allocation OH and Target 2026'!$C$35:$S$87,16,0),"N/A")</f>
        <v>N/A</v>
      </c>
      <c r="U933" t="str" s="433" cm="1">
        <f t="array" ref="U933">_xlfn.IFERROR((S933+T933),"N/A")</f>
        <v>N/A</v>
      </c>
      <c r="V933" s="435"/>
      <c r="W933" t="str" s="433" cm="1">
        <f t="array" ref="W933">_xlfn.IFERROR(U933+Q933,"N/A")</f>
        <v>N/A</v>
      </c>
      <c r="X933" t="str" s="433" cm="1">
        <f t="array" ref="X933">_xlfn.IFERROR(W933*0.5%,"N/A")</f>
        <v>N/A</v>
      </c>
      <c r="Y933" t="str" s="433" cm="1">
        <f t="array" ref="Y933">_xlfn.IFERROR(W933*25%,"N/A")</f>
        <v>N/A</v>
      </c>
      <c r="Z933" t="str" s="436" cm="1">
        <f t="array" ref="Z933">IF(B933&gt;0,SUM(W933:Y933),"N/A")</f>
        <v>N/A</v>
      </c>
      <c r="AA933" t="str" s="436" cm="1">
        <f t="array" ref="AA933">_xlfn.IFERROR((Z933-Z932),"N/A")</f>
        <v>N/A</v>
      </c>
      <c r="AB933" s="435"/>
      <c r="AC933" t="str" s="436" cm="1">
        <f t="array" ref="AC933">IF(B933=6,AVERAGE(Z916:Z921),"N/A")</f>
        <v>N/A</v>
      </c>
      <c r="AD933" s="435"/>
      <c r="AE933" s="434"/>
      <c r="AF933" s="434"/>
      <c r="AG933" s="434"/>
      <c r="AH933" s="434"/>
      <c r="AI933" s="434"/>
      <c r="AJ933" s="434"/>
      <c r="AK933" s="434"/>
      <c r="AL933" s="434"/>
      <c r="AM933" s="434"/>
      <c r="AN933" s="437"/>
    </row>
    <row r="934" ht="15" customHeight="1">
      <c r="A934" s="32"/>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c r="AH934" s="124"/>
      <c r="AI934" s="124"/>
      <c r="AJ934" s="124"/>
      <c r="AK934" s="124"/>
      <c r="AL934" s="124"/>
      <c r="AM934" s="124"/>
      <c r="AN934" s="313"/>
    </row>
    <row r="935" ht="15" customHeight="1">
      <c r="A935" s="32"/>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c r="AH935" s="35"/>
      <c r="AI935" s="35"/>
      <c r="AJ935" s="35"/>
      <c r="AK935" s="35"/>
      <c r="AL935" s="35"/>
      <c r="AM935" s="35"/>
      <c r="AN935" s="442"/>
    </row>
    <row r="936" ht="15.5" customHeight="1">
      <c r="A936" s="395">
        <v>31</v>
      </c>
      <c r="B936" t="s" s="396">
        <v>506</v>
      </c>
      <c r="C936" t="s" s="397">
        <v>109</v>
      </c>
      <c r="D936" s="398"/>
      <c r="E936" s="502"/>
      <c r="F936" s="398"/>
      <c r="G936" s="398"/>
      <c r="H936" s="398"/>
      <c r="I936" s="398"/>
      <c r="J936" s="398"/>
      <c r="K936" s="398"/>
      <c r="L936" s="398"/>
      <c r="M936" s="398"/>
      <c r="N936" s="398"/>
      <c r="O936" s="398"/>
      <c r="P936" s="398"/>
      <c r="Q936" s="398"/>
      <c r="R936" s="399"/>
      <c r="S936" s="398"/>
      <c r="T936" s="398"/>
      <c r="U936" s="398"/>
      <c r="V936" s="399"/>
      <c r="W936" s="398"/>
      <c r="X936" s="398"/>
      <c r="Y936" s="398"/>
      <c r="Z936" s="398"/>
      <c r="AA936" s="398"/>
      <c r="AB936" s="399"/>
      <c r="AC936" s="398"/>
      <c r="AD936" s="399"/>
      <c r="AE936" t="s" s="397">
        <v>508</v>
      </c>
      <c r="AF936" s="401" cm="1">
        <f t="array" ref="AF936">AVERAGE(Q939:Q944)</f>
        <v>31121500</v>
      </c>
      <c r="AG936" t="s" s="400">
        <v>509</v>
      </c>
      <c r="AH936" s="401" cm="1">
        <f t="array" ref="AH936">AVERAGE(Q945:Q952)-AF936</f>
        <v>1639357.14285714</v>
      </c>
      <c r="AI936" t="s" s="400">
        <v>510</v>
      </c>
      <c r="AJ936" s="401" cm="1">
        <f t="array" ref="AJ936">AVERAGE(Y939:Y946)</f>
        <v>8594486.789424529</v>
      </c>
      <c r="AK936" t="s" s="397">
        <v>511</v>
      </c>
      <c r="AL936" s="401" cm="1">
        <f t="array" ref="AL936">AVERAGE(W939:W944)</f>
        <v>34221947.1576981</v>
      </c>
      <c r="AM936" t="s" s="400">
        <v>512</v>
      </c>
      <c r="AN936" s="402" cm="1">
        <f t="array" ref="AN936">W939</f>
        <v>33831947.1576981</v>
      </c>
    </row>
    <row r="937" ht="15" customHeight="1">
      <c r="A937" s="12"/>
      <c r="B937" s="403"/>
      <c r="C937" t="s" s="404">
        <v>513</v>
      </c>
      <c r="D937" s="405"/>
      <c r="E937" s="405"/>
      <c r="F937" s="405"/>
      <c r="G937" s="405"/>
      <c r="H937" s="405"/>
      <c r="I937" s="405"/>
      <c r="J937" s="405"/>
      <c r="K937" s="405"/>
      <c r="L937" s="405"/>
      <c r="M937" s="405"/>
      <c r="N937" s="405"/>
      <c r="O937" s="405"/>
      <c r="P937" s="405"/>
      <c r="Q937" s="406"/>
      <c r="R937" s="407"/>
      <c r="S937" t="s" s="404">
        <v>514</v>
      </c>
      <c r="T937" s="405"/>
      <c r="U937" s="406"/>
      <c r="V937" s="407"/>
      <c r="W937" t="s" s="404">
        <v>515</v>
      </c>
      <c r="X937" s="405"/>
      <c r="Y937" s="405"/>
      <c r="Z937" s="405"/>
      <c r="AA937" s="405"/>
      <c r="AB937" s="408"/>
      <c r="AC937" s="443"/>
      <c r="AD937" s="410"/>
      <c r="AE937" s="443"/>
      <c r="AF937" s="443"/>
      <c r="AG937" s="443"/>
      <c r="AH937" s="443"/>
      <c r="AI937" s="443"/>
      <c r="AJ937" s="443"/>
      <c r="AK937" s="443"/>
      <c r="AL937" s="414"/>
      <c r="AM937" s="415"/>
      <c r="AN937" s="414"/>
    </row>
    <row r="938" ht="46.25" customHeight="1">
      <c r="A938" s="187"/>
      <c r="B938" t="s" s="416">
        <v>517</v>
      </c>
      <c r="C938" t="s" s="417">
        <v>518</v>
      </c>
      <c r="D938" t="s" s="417">
        <v>519</v>
      </c>
      <c r="E938" t="s" s="417">
        <v>520</v>
      </c>
      <c r="F938" t="s" s="159">
        <v>521</v>
      </c>
      <c r="G938" t="s" s="159">
        <v>522</v>
      </c>
      <c r="H938" t="s" s="159">
        <v>553</v>
      </c>
      <c r="I938" t="s" s="159">
        <v>524</v>
      </c>
      <c r="J938" t="s" s="159">
        <v>525</v>
      </c>
      <c r="K938" t="s" s="159">
        <v>526</v>
      </c>
      <c r="L938" t="s" s="159">
        <v>527</v>
      </c>
      <c r="M938" t="s" s="159">
        <v>528</v>
      </c>
      <c r="N938" t="s" s="159">
        <v>529</v>
      </c>
      <c r="O938" t="s" s="159">
        <v>530</v>
      </c>
      <c r="P938" t="s" s="159">
        <v>531</v>
      </c>
      <c r="Q938" t="s" s="159">
        <v>532</v>
      </c>
      <c r="R938" s="418"/>
      <c r="S938" t="s" s="159">
        <v>533</v>
      </c>
      <c r="T938" t="s" s="159">
        <v>534</v>
      </c>
      <c r="U938" t="s" s="159">
        <v>535</v>
      </c>
      <c r="V938" s="418"/>
      <c r="W938" t="s" s="159">
        <v>536</v>
      </c>
      <c r="X938" t="s" s="159">
        <v>537</v>
      </c>
      <c r="Y938" t="s" s="159">
        <v>538</v>
      </c>
      <c r="Z938" t="s" s="159">
        <v>539</v>
      </c>
      <c r="AA938" t="s" s="159">
        <v>121</v>
      </c>
      <c r="AB938" s="419"/>
      <c r="AC938" t="s" s="159">
        <v>39</v>
      </c>
      <c r="AD938" s="419"/>
      <c r="AE938" s="77"/>
      <c r="AF938" s="77"/>
      <c r="AG938" s="77"/>
      <c r="AH938" s="77"/>
      <c r="AI938" s="77"/>
      <c r="AJ938" s="77"/>
      <c r="AK938" s="77"/>
      <c r="AL938" s="77"/>
      <c r="AM938" s="77"/>
      <c r="AN938" s="78"/>
    </row>
    <row r="939" ht="15" customHeight="1">
      <c r="A939" s="12"/>
      <c r="B939" s="420">
        <v>1</v>
      </c>
      <c r="C939" s="421" cm="1">
        <f t="array" ref="C939">_xlfn.IFERROR(IF(B939&gt;0,IF(VLOOKUP($C$936,'Boats Data Sheet 2026'!$C$3:$J$57,8,0)="N/A",0,VLOOKUP($C$936,'Boats Data Sheet 2026'!$C$3:$J$57,8,0)),"N/A"),"N/A")</f>
        <v>29700000</v>
      </c>
      <c r="D939" s="422" cm="1">
        <f t="array" ref="D939">IF(B939&gt;8,2,IF(B939=0,"N/A",1))</f>
        <v>1</v>
      </c>
      <c r="E939" s="421" cm="1">
        <f t="array" ref="E939">_xlfn.IFERROR(SUM('Direct Costs 2026'!$C$4:$C$5)*D939,"N/A")</f>
        <v>875500</v>
      </c>
      <c r="F939" s="423" cm="1">
        <f t="array" ref="F939">_xlfn.IFERROR('Direct Costs 2026'!$C$43*B939,"N/A")</f>
        <v>6000</v>
      </c>
      <c r="G939" s="423">
        <v>0</v>
      </c>
      <c r="H939" s="423">
        <v>0</v>
      </c>
      <c r="I939" s="423">
        <v>0</v>
      </c>
      <c r="J939" s="423">
        <v>0</v>
      </c>
      <c r="K939" s="423">
        <v>0</v>
      </c>
      <c r="L939" s="423">
        <v>0</v>
      </c>
      <c r="M939" s="423" cm="1">
        <f t="array" ref="M939">IF(B939&gt;0,'Direct Costs 2026'!$C$45*B939,"N/A")</f>
        <v>150000</v>
      </c>
      <c r="N939" t="str" s="431" cm="1">
        <f t="array" ref="N939">IF(B939&gt;0,_xlfn.IFERROR(VLOOKUP(C936,'Boats Data Sheet 2026'!$C$3:$I$57,7,0)*'Direct Costs 2026'!$C$36,"N/A"),"N/A")</f>
        <v>N/A</v>
      </c>
      <c r="O939" t="str" s="431" cm="1">
        <f t="array" ref="O939">IF(B939&gt;0,IF(OR(VLOOKUP(C936,'Boats Data Sheet 2026'!$C$3:$F$57,4,0)="Own",VLOOKUP(C936,'Boats Data Sheet 2026'!$C$3:$F$57,4,0)="Management"),('Direct Costs 2026'!$C$37+'Direct Costs 2026'!$C$39),"N/A"),"N/A")</f>
        <v>N/A</v>
      </c>
      <c r="P939" s="423">
        <v>0</v>
      </c>
      <c r="Q939" s="423" cm="1">
        <f t="array" ref="Q939">_xlfn.IFERROR(C939+SUM(E939:P939),"N/A")</f>
        <v>30731500</v>
      </c>
      <c r="R939" s="424"/>
      <c r="S939" s="423" cm="1">
        <f t="array" ref="S939">IF(B939&gt;0,'Allocation OH and Target 2026'!$E$31,"N/A")</f>
        <v>3100447.15769812</v>
      </c>
      <c r="T939" s="423">
        <v>0</v>
      </c>
      <c r="U939" s="423" cm="1">
        <f t="array" ref="U939">_xlfn.IFERROR((S939+T939),"N/A")</f>
        <v>3100447.15769812</v>
      </c>
      <c r="V939" s="424"/>
      <c r="W939" s="423" cm="1">
        <f t="array" ref="W939">_xlfn.IFERROR(U939+Q939,"N/A")</f>
        <v>33831947.1576981</v>
      </c>
      <c r="X939" s="423" cm="1">
        <f t="array" ref="X939">_xlfn.IFERROR(W939*0.5%,"N/A")</f>
        <v>169159.735788491</v>
      </c>
      <c r="Y939" s="423" cm="1">
        <f t="array" ref="Y939">_xlfn.IFERROR(W939*25%,"N/A")</f>
        <v>8457986.789424529</v>
      </c>
      <c r="Z939" s="425" cm="1">
        <f t="array" ref="Z939">IF(B939&gt;0,(SUM(W939:Y939)),"N/A")</f>
        <v>42459093.6829111</v>
      </c>
      <c r="AA939" s="425">
        <v>0</v>
      </c>
      <c r="AB939" s="424"/>
      <c r="AC939" t="str" s="426" cm="1">
        <f t="array" ref="AC939">IF(B939=6,AVERAGE(Z939:Z944),"N/A")</f>
        <v>N/A</v>
      </c>
      <c r="AD939" s="424"/>
      <c r="AE939" s="423"/>
      <c r="AF939" s="505"/>
      <c r="AG939" s="423"/>
      <c r="AH939" s="423"/>
      <c r="AI939" s="423"/>
      <c r="AJ939" s="423"/>
      <c r="AK939" s="423"/>
      <c r="AL939" s="423"/>
      <c r="AM939" s="423"/>
      <c r="AN939" s="427"/>
    </row>
    <row r="940" ht="15" customHeight="1">
      <c r="A940" s="12"/>
      <c r="B940" s="428" cm="1">
        <f t="array" ref="B940">IF(B939=0,0,IF(B939&lt;VLOOKUP(C936,'Boats Data Sheet 2026'!$C$3:$H$57,6,0),B939+1,0))</f>
        <v>2</v>
      </c>
      <c r="C940" s="423" cm="1">
        <f t="array" ref="C940">_xlfn.IFERROR(IF(B940&gt;0,IF(VLOOKUP($C$936,'Boats Data Sheet 2026'!$C$3:$J$57,8,0)="N/A",0,VLOOKUP($C$936,'Boats Data Sheet 2026'!$C$3:$J$57,8,0)),"N/A"),"N/A")</f>
        <v>29700000</v>
      </c>
      <c r="D940" s="429" cm="1">
        <f t="array" ref="D940">IF(B940&gt;8,2,IF(B940=0,"N/A",1))</f>
        <v>1</v>
      </c>
      <c r="E940" s="423" cm="1">
        <f t="array" ref="E940">_xlfn.IFERROR(SUM('Direct Costs 2026'!$C$4:$C$5)*D940,"N/A")</f>
        <v>875500</v>
      </c>
      <c r="F940" s="423" cm="1">
        <f t="array" ref="F940">_xlfn.IFERROR('Direct Costs 2026'!$C$43*B940,"N/A")</f>
        <v>12000</v>
      </c>
      <c r="G940" s="423">
        <v>0</v>
      </c>
      <c r="H940" s="423">
        <v>0</v>
      </c>
      <c r="I940" s="423">
        <v>0</v>
      </c>
      <c r="J940" s="423">
        <v>0</v>
      </c>
      <c r="K940" s="423">
        <v>0</v>
      </c>
      <c r="L940" s="423">
        <v>0</v>
      </c>
      <c r="M940" s="423" cm="1">
        <f t="array" ref="M940">IF(B940&gt;0,'Direct Costs 2026'!$C$45*B940,"N/A")</f>
        <v>300000</v>
      </c>
      <c r="N940" t="str" s="431" cm="1">
        <f t="array" ref="N940">IF(B940&gt;0,_xlfn.IFERROR(VLOOKUP(C936,'Boats Data Sheet 2026'!$C$3:$I$57,7,0)*'Direct Costs 2026'!$C$36,"N/A"),"N/A")</f>
        <v>N/A</v>
      </c>
      <c r="O940" t="str" s="431" cm="1">
        <f t="array" ref="O940">IF(B940&gt;0,IF(OR(VLOOKUP(C936,'Boats Data Sheet 2026'!$C$3:$F$57,4,0)="Own",VLOOKUP(C936,'Boats Data Sheet 2026'!$C$3:$F$57,4,0)="Management"),('Direct Costs 2026'!$C$37+'Direct Costs 2026'!$C$39),"N/A"),"N/A")</f>
        <v>N/A</v>
      </c>
      <c r="P940" s="423">
        <v>0</v>
      </c>
      <c r="Q940" s="423" cm="1">
        <f t="array" ref="Q940">_xlfn.IFERROR(C940+SUM(E940:P940),"N/A")</f>
        <v>30887500</v>
      </c>
      <c r="R940" s="424"/>
      <c r="S940" s="423" cm="1">
        <f t="array" ref="S940">IF(B940&gt;0,'Allocation OH and Target 2026'!$E$31,"N/A")</f>
        <v>3100447.15769812</v>
      </c>
      <c r="T940" s="423">
        <v>0</v>
      </c>
      <c r="U940" s="423" cm="1">
        <f t="array" ref="U940">_xlfn.IFERROR((S940+T940),"N/A")</f>
        <v>3100447.15769812</v>
      </c>
      <c r="V940" s="424"/>
      <c r="W940" s="423" cm="1">
        <f t="array" ref="W940">_xlfn.IFERROR(U940+Q940,"N/A")</f>
        <v>33987947.1576981</v>
      </c>
      <c r="X940" s="423" cm="1">
        <f t="array" ref="X940">_xlfn.IFERROR(W940*0.5%,"N/A")</f>
        <v>169939.735788491</v>
      </c>
      <c r="Y940" s="423" cm="1">
        <f t="array" ref="Y940">_xlfn.IFERROR(W940*25%,"N/A")</f>
        <v>8496986.789424529</v>
      </c>
      <c r="Z940" s="425" cm="1">
        <f t="array" ref="Z940">IF(B940&gt;0,(SUM(W940:Y940)),"N/A")</f>
        <v>42654873.6829111</v>
      </c>
      <c r="AA940" s="425" cm="1">
        <f t="array" ref="AA940">_xlfn.IFERROR((Z940-Z939),"N/A")</f>
        <v>195780</v>
      </c>
      <c r="AB940" s="424"/>
      <c r="AC940" t="str" s="426" cm="1">
        <f t="array" ref="AC940">IF(B940=6,AVERAGE(Z939:Z944),"N/A")</f>
        <v>N/A</v>
      </c>
      <c r="AD940" s="424"/>
      <c r="AE940" s="512"/>
      <c r="AF940" s="423"/>
      <c r="AG940" s="423"/>
      <c r="AH940" s="423"/>
      <c r="AI940" s="423"/>
      <c r="AJ940" s="423"/>
      <c r="AK940" s="423"/>
      <c r="AL940" s="423"/>
      <c r="AM940" s="423"/>
      <c r="AN940" s="427"/>
    </row>
    <row r="941" ht="15" customHeight="1">
      <c r="A941" s="12"/>
      <c r="B941" s="428" cm="1">
        <f t="array" ref="B941">IF(B940=0,0,IF(B940&lt;VLOOKUP(C936,'Boats Data Sheet 2026'!$C$3:$H$57,6,0),B940+1,0))</f>
        <v>3</v>
      </c>
      <c r="C941" s="423" cm="1">
        <f t="array" ref="C941">_xlfn.IFERROR(IF(B941&gt;0,IF(VLOOKUP($C$936,'Boats Data Sheet 2026'!$C$3:$J$57,8,0)="N/A",0,VLOOKUP($C$936,'Boats Data Sheet 2026'!$C$3:$J$57,8,0)),"N/A"),"N/A")</f>
        <v>29700000</v>
      </c>
      <c r="D941" s="429" cm="1">
        <f t="array" ref="D941">IF(B941&gt;8,2,IF(B941=0,"N/A",1))</f>
        <v>1</v>
      </c>
      <c r="E941" s="423" cm="1">
        <f t="array" ref="E941">_xlfn.IFERROR(SUM('Direct Costs 2026'!$C$4:$C$5)*D941,"N/A")</f>
        <v>875500</v>
      </c>
      <c r="F941" s="423" cm="1">
        <f t="array" ref="F941">_xlfn.IFERROR('Direct Costs 2026'!$C$43*B941,"N/A")</f>
        <v>18000</v>
      </c>
      <c r="G941" s="423">
        <v>0</v>
      </c>
      <c r="H941" s="423">
        <v>0</v>
      </c>
      <c r="I941" s="423">
        <v>0</v>
      </c>
      <c r="J941" s="423">
        <v>0</v>
      </c>
      <c r="K941" s="423">
        <v>0</v>
      </c>
      <c r="L941" s="423">
        <v>0</v>
      </c>
      <c r="M941" s="423" cm="1">
        <f t="array" ref="M941">IF(B941&gt;0,'Direct Costs 2026'!$C$45*B941,"N/A")</f>
        <v>450000</v>
      </c>
      <c r="N941" t="str" s="431" cm="1">
        <f t="array" ref="N941">IF(B941&gt;0,_xlfn.IFERROR(VLOOKUP(C936,'Boats Data Sheet 2026'!$C$3:$I$57,7,0)*'Direct Costs 2026'!$C$36,"N/A"),"N/A")</f>
        <v>N/A</v>
      </c>
      <c r="O941" t="str" s="431" cm="1">
        <f t="array" ref="O941">IF(B941&gt;0,IF(OR(VLOOKUP(C936,'Boats Data Sheet 2026'!$C$3:$F$57,4,0)="Own",VLOOKUP(C936,'Boats Data Sheet 2026'!$C$3:$F$57,4,0)="Management"),('Direct Costs 2026'!$C$37+'Direct Costs 2026'!$C$39),"N/A"),"N/A")</f>
        <v>N/A</v>
      </c>
      <c r="P941" s="423">
        <v>0</v>
      </c>
      <c r="Q941" s="423" cm="1">
        <f t="array" ref="Q941">_xlfn.IFERROR(C941+SUM(E941:P941),"N/A")</f>
        <v>31043500</v>
      </c>
      <c r="R941" s="424"/>
      <c r="S941" s="423" cm="1">
        <f t="array" ref="S941">IF(B941&gt;0,'Allocation OH and Target 2026'!$E$31,"N/A")</f>
        <v>3100447.15769812</v>
      </c>
      <c r="T941" s="423">
        <v>0</v>
      </c>
      <c r="U941" s="423" cm="1">
        <f t="array" ref="U941">_xlfn.IFERROR((S941+T941),"N/A")</f>
        <v>3100447.15769812</v>
      </c>
      <c r="V941" s="424"/>
      <c r="W941" s="423" cm="1">
        <f t="array" ref="W941">_xlfn.IFERROR(U941+Q941,"N/A")</f>
        <v>34143947.1576981</v>
      </c>
      <c r="X941" s="423" cm="1">
        <f t="array" ref="X941">_xlfn.IFERROR(W941*0.5%,"N/A")</f>
        <v>170719.735788491</v>
      </c>
      <c r="Y941" s="423" cm="1">
        <f t="array" ref="Y941">_xlfn.IFERROR(W941*25%,"N/A")</f>
        <v>8535986.789424529</v>
      </c>
      <c r="Z941" s="425" cm="1">
        <f t="array" ref="Z941">IF(B941&gt;0,(SUM(W941:Y941)),"N/A")</f>
        <v>42850653.6829111</v>
      </c>
      <c r="AA941" s="425" cm="1">
        <f t="array" ref="AA941">_xlfn.IFERROR((Z941-Z940),"N/A")</f>
        <v>195780</v>
      </c>
      <c r="AB941" s="424"/>
      <c r="AC941" t="str" s="426" cm="1">
        <f t="array" ref="AC941">IF(B941=6,AVERAGE(Z939:Z944),"N/A")</f>
        <v>N/A</v>
      </c>
      <c r="AD941" s="424"/>
      <c r="AE941" s="423"/>
      <c r="AF941" s="423"/>
      <c r="AG941" s="423"/>
      <c r="AH941" s="423"/>
      <c r="AI941" s="423"/>
      <c r="AJ941" s="423"/>
      <c r="AK941" s="423"/>
      <c r="AL941" s="423"/>
      <c r="AM941" s="423"/>
      <c r="AN941" s="427"/>
    </row>
    <row r="942" ht="15" customHeight="1">
      <c r="A942" s="12"/>
      <c r="B942" s="428" cm="1">
        <f t="array" ref="B942">IF(B941=0,0,IF(B941&lt;VLOOKUP(C936,'Boats Data Sheet 2026'!$C$3:$H$57,6,0),B941+1,0))</f>
        <v>4</v>
      </c>
      <c r="C942" s="423" cm="1">
        <f t="array" ref="C942">_xlfn.IFERROR(IF(B942&gt;0,IF(VLOOKUP($C$936,'Boats Data Sheet 2026'!$C$3:$J$57,8,0)="N/A",0,VLOOKUP($C$936,'Boats Data Sheet 2026'!$C$3:$J$57,8,0)),"N/A"),"N/A")</f>
        <v>29700000</v>
      </c>
      <c r="D942" s="429" cm="1">
        <f t="array" ref="D942">IF(B942&gt;8,2,IF(B942=0,"N/A",1))</f>
        <v>1</v>
      </c>
      <c r="E942" s="423" cm="1">
        <f t="array" ref="E942">_xlfn.IFERROR(SUM('Direct Costs 2026'!$C$4:$C$5)*D942,"N/A")</f>
        <v>875500</v>
      </c>
      <c r="F942" s="423" cm="1">
        <f t="array" ref="F942">_xlfn.IFERROR('Direct Costs 2026'!$C$43*B942,"N/A")</f>
        <v>24000</v>
      </c>
      <c r="G942" s="423">
        <v>0</v>
      </c>
      <c r="H942" s="423">
        <v>0</v>
      </c>
      <c r="I942" s="423">
        <v>0</v>
      </c>
      <c r="J942" s="423">
        <v>0</v>
      </c>
      <c r="K942" s="423">
        <v>0</v>
      </c>
      <c r="L942" s="423">
        <v>0</v>
      </c>
      <c r="M942" s="423" cm="1">
        <f t="array" ref="M942">IF(B942&gt;0,'Direct Costs 2026'!$C$45*B942,"N/A")</f>
        <v>600000</v>
      </c>
      <c r="N942" t="str" s="431" cm="1">
        <f t="array" ref="N942">IF(B942&gt;0,_xlfn.IFERROR(VLOOKUP(C936,'Boats Data Sheet 2026'!$C$3:$I$57,7,0)*'Direct Costs 2026'!$C$36,"N/A"),"N/A")</f>
        <v>N/A</v>
      </c>
      <c r="O942" t="str" s="431" cm="1">
        <f t="array" ref="O942">IF(B942&gt;0,IF(OR(VLOOKUP(C936,'Boats Data Sheet 2026'!$C$3:$F$57,4,0)="Own",VLOOKUP(C936,'Boats Data Sheet 2026'!$C$3:$F$57,4,0)="Management"),('Direct Costs 2026'!$C$37+'Direct Costs 2026'!$C$39),"N/A"),"N/A")</f>
        <v>N/A</v>
      </c>
      <c r="P942" s="423">
        <v>0</v>
      </c>
      <c r="Q942" s="423" cm="1">
        <f t="array" ref="Q942">_xlfn.IFERROR(C942+SUM(E942:P942),"N/A")</f>
        <v>31199500</v>
      </c>
      <c r="R942" s="424"/>
      <c r="S942" s="423" cm="1">
        <f t="array" ref="S942">IF(B942&gt;0,'Allocation OH and Target 2026'!$E$31,"N/A")</f>
        <v>3100447.15769812</v>
      </c>
      <c r="T942" s="423">
        <v>0</v>
      </c>
      <c r="U942" s="423" cm="1">
        <f t="array" ref="U942">_xlfn.IFERROR((S942+T942),"N/A")</f>
        <v>3100447.15769812</v>
      </c>
      <c r="V942" s="424"/>
      <c r="W942" s="423" cm="1">
        <f t="array" ref="W942">_xlfn.IFERROR(U942+Q942,"N/A")</f>
        <v>34299947.1576981</v>
      </c>
      <c r="X942" s="423" cm="1">
        <f t="array" ref="X942">_xlfn.IFERROR(W942*0.5%,"N/A")</f>
        <v>171499.735788491</v>
      </c>
      <c r="Y942" s="423" cm="1">
        <f t="array" ref="Y942">_xlfn.IFERROR(W942*25%,"N/A")</f>
        <v>8574986.789424529</v>
      </c>
      <c r="Z942" s="425" cm="1">
        <f t="array" ref="Z942">IF(B942&gt;0,(SUM(W942:Y942)),"N/A")</f>
        <v>43046433.6829111</v>
      </c>
      <c r="AA942" s="425" cm="1">
        <f t="array" ref="AA942">_xlfn.IFERROR((Z942-Z941),"N/A")</f>
        <v>195780</v>
      </c>
      <c r="AB942" s="424"/>
      <c r="AC942" t="str" s="426" cm="1">
        <f t="array" ref="AC942">IF(B942=6,AVERAGE(Z939:Z944),"N/A")</f>
        <v>N/A</v>
      </c>
      <c r="AD942" s="424"/>
      <c r="AE942" s="423"/>
      <c r="AF942" s="423"/>
      <c r="AG942" s="423"/>
      <c r="AH942" s="423"/>
      <c r="AI942" s="423"/>
      <c r="AJ942" s="423"/>
      <c r="AK942" s="423"/>
      <c r="AL942" s="423"/>
      <c r="AM942" s="423"/>
      <c r="AN942" s="427"/>
    </row>
    <row r="943" ht="15" customHeight="1">
      <c r="A943" s="12"/>
      <c r="B943" s="428" cm="1">
        <f t="array" ref="B943">IF(B942=0,0,IF(B942&lt;VLOOKUP(C936,'Boats Data Sheet 2026'!$C$3:$H$57,6,0),B942+1,0))</f>
        <v>5</v>
      </c>
      <c r="C943" s="423" cm="1">
        <f t="array" ref="C943">_xlfn.IFERROR(IF(B943&gt;0,IF(VLOOKUP($C$936,'Boats Data Sheet 2026'!$C$3:$J$57,8,0)="N/A",0,VLOOKUP($C$936,'Boats Data Sheet 2026'!$C$3:$J$57,8,0)),"N/A"),"N/A")</f>
        <v>29700000</v>
      </c>
      <c r="D943" s="429" cm="1">
        <f t="array" ref="D943">IF(B943&gt;8,2,IF(B943=0,"N/A",1))</f>
        <v>1</v>
      </c>
      <c r="E943" s="423" cm="1">
        <f t="array" ref="E943">_xlfn.IFERROR(SUM('Direct Costs 2026'!$C$4:$C$5)*D943,"N/A")</f>
        <v>875500</v>
      </c>
      <c r="F943" s="423" cm="1">
        <f t="array" ref="F943">_xlfn.IFERROR('Direct Costs 2026'!$C$43*B943,"N/A")</f>
        <v>30000</v>
      </c>
      <c r="G943" s="423">
        <v>0</v>
      </c>
      <c r="H943" s="423">
        <v>0</v>
      </c>
      <c r="I943" s="423">
        <v>0</v>
      </c>
      <c r="J943" s="423">
        <v>0</v>
      </c>
      <c r="K943" s="423">
        <v>0</v>
      </c>
      <c r="L943" s="423">
        <v>0</v>
      </c>
      <c r="M943" s="423" cm="1">
        <f t="array" ref="M943">IF(B943&gt;0,'Direct Costs 2026'!$C$45*B943,"N/A")</f>
        <v>750000</v>
      </c>
      <c r="N943" t="str" s="431" cm="1">
        <f t="array" ref="N943">IF(B943&gt;0,_xlfn.IFERROR(VLOOKUP(C936,'Boats Data Sheet 2026'!$C$3:$I$57,7,0)*'Direct Costs 2026'!$C$36,"N/A"),"N/A")</f>
        <v>N/A</v>
      </c>
      <c r="O943" t="str" s="431" cm="1">
        <f t="array" ref="O943">IF(B943&gt;0,IF(OR(VLOOKUP(C936,'Boats Data Sheet 2026'!$C$3:$F$57,4,0)="Own",VLOOKUP(C936,'Boats Data Sheet 2026'!$C$3:$F$57,4,0)="Management"),('Direct Costs 2026'!$C$37+'Direct Costs 2026'!$C$39),"N/A"),"N/A")</f>
        <v>N/A</v>
      </c>
      <c r="P943" s="423">
        <v>0</v>
      </c>
      <c r="Q943" s="423" cm="1">
        <f t="array" ref="Q943">_xlfn.IFERROR(C943+SUM(E943:P943),"N/A")</f>
        <v>31355500</v>
      </c>
      <c r="R943" s="424"/>
      <c r="S943" s="423" cm="1">
        <f t="array" ref="S943">IF(B943&gt;0,'Allocation OH and Target 2026'!$E$31,"N/A")</f>
        <v>3100447.15769812</v>
      </c>
      <c r="T943" s="423">
        <v>0</v>
      </c>
      <c r="U943" s="423" cm="1">
        <f t="array" ref="U943">_xlfn.IFERROR((S943+T943),"N/A")</f>
        <v>3100447.15769812</v>
      </c>
      <c r="V943" s="424"/>
      <c r="W943" s="423" cm="1">
        <f t="array" ref="W943">_xlfn.IFERROR(U943+Q943,"N/A")</f>
        <v>34455947.1576981</v>
      </c>
      <c r="X943" s="423" cm="1">
        <f t="array" ref="X943">_xlfn.IFERROR(W943*0.5%,"N/A")</f>
        <v>172279.735788491</v>
      </c>
      <c r="Y943" s="423" cm="1">
        <f t="array" ref="Y943">_xlfn.IFERROR(W943*25%,"N/A")</f>
        <v>8613986.789424529</v>
      </c>
      <c r="Z943" s="425" cm="1">
        <f t="array" ref="Z943">IF(B943&gt;0,(SUM(W943:Y943)),"N/A")</f>
        <v>43242213.6829111</v>
      </c>
      <c r="AA943" s="425" cm="1">
        <f t="array" ref="AA943">_xlfn.IFERROR((Z943-Z942),"N/A")</f>
        <v>195780</v>
      </c>
      <c r="AB943" s="424"/>
      <c r="AC943" t="str" s="426" cm="1">
        <f t="array" ref="AC943">IF(B943=6,AVERAGE(Z939:Z944),"N/A")</f>
        <v>N/A</v>
      </c>
      <c r="AD943" s="424"/>
      <c r="AE943" s="423"/>
      <c r="AF943" s="423"/>
      <c r="AG943" s="423"/>
      <c r="AH943" s="423"/>
      <c r="AI943" s="425"/>
      <c r="AJ943" s="423"/>
      <c r="AK943" s="423"/>
      <c r="AL943" s="423"/>
      <c r="AM943" s="423"/>
      <c r="AN943" s="427"/>
    </row>
    <row r="944" ht="15" customHeight="1">
      <c r="A944" s="12"/>
      <c r="B944" s="428" cm="1">
        <f t="array" ref="B944">IF(B943=0,0,IF(B943&lt;VLOOKUP(C936,'Boats Data Sheet 2026'!$C$3:$H$57,6,0),B943+1,0))</f>
        <v>6</v>
      </c>
      <c r="C944" s="423" cm="1">
        <f t="array" ref="C944">_xlfn.IFERROR(IF(B944&gt;0,IF(VLOOKUP($C$936,'Boats Data Sheet 2026'!$C$3:$J$57,8,0)="N/A",0,VLOOKUP($C$936,'Boats Data Sheet 2026'!$C$3:$J$57,8,0)),"N/A"),"N/A")</f>
        <v>29700000</v>
      </c>
      <c r="D944" s="429" cm="1">
        <f t="array" ref="D944">IF(B944&gt;8,2,IF(B944=0,"N/A",1))</f>
        <v>1</v>
      </c>
      <c r="E944" s="423" cm="1">
        <f t="array" ref="E944">_xlfn.IFERROR(SUM('Direct Costs 2026'!$C$4:$C$5)*D944,"N/A")</f>
        <v>875500</v>
      </c>
      <c r="F944" s="423" cm="1">
        <f t="array" ref="F944">_xlfn.IFERROR('Direct Costs 2026'!$C$43*B944,"N/A")</f>
        <v>36000</v>
      </c>
      <c r="G944" s="423">
        <v>0</v>
      </c>
      <c r="H944" s="423">
        <v>0</v>
      </c>
      <c r="I944" s="423">
        <v>0</v>
      </c>
      <c r="J944" s="423">
        <v>0</v>
      </c>
      <c r="K944" s="423">
        <v>0</v>
      </c>
      <c r="L944" s="423">
        <v>0</v>
      </c>
      <c r="M944" s="423" cm="1">
        <f t="array" ref="M944">IF(B944&gt;0,'Direct Costs 2026'!$C$45*B944,"N/A")</f>
        <v>900000</v>
      </c>
      <c r="N944" t="str" s="431" cm="1">
        <f t="array" ref="N944">IF(B944&gt;0,_xlfn.IFERROR(VLOOKUP(C936,'Boats Data Sheet 2026'!$C$3:$I$57,7,0)*'Direct Costs 2026'!$C$36,"N/A"),"N/A")</f>
        <v>N/A</v>
      </c>
      <c r="O944" t="str" s="431" cm="1">
        <f t="array" ref="O944">IF(B944&gt;0,IF(OR(VLOOKUP(C936,'Boats Data Sheet 2026'!$C$3:$F$57,4,0)="Own",VLOOKUP(C936,'Boats Data Sheet 2026'!$C$3:$F$57,4,0)="Management"),('Direct Costs 2026'!$C$37+'Direct Costs 2026'!$C$39),"N/A"),"N/A")</f>
        <v>N/A</v>
      </c>
      <c r="P944" s="423">
        <v>0</v>
      </c>
      <c r="Q944" s="423" cm="1">
        <f t="array" ref="Q944">_xlfn.IFERROR(C944+SUM(E944:P944),"N/A")</f>
        <v>31511500</v>
      </c>
      <c r="R944" s="424"/>
      <c r="S944" s="423" cm="1">
        <f t="array" ref="S944">IF(B944&gt;0,'Allocation OH and Target 2026'!$E$31,"N/A")</f>
        <v>3100447.15769812</v>
      </c>
      <c r="T944" s="423">
        <v>0</v>
      </c>
      <c r="U944" s="423" cm="1">
        <f t="array" ref="U944">_xlfn.IFERROR((S944+T944),"N/A")</f>
        <v>3100447.15769812</v>
      </c>
      <c r="V944" s="424"/>
      <c r="W944" s="423" cm="1">
        <f t="array" ref="W944">_xlfn.IFERROR(U944+Q944,"N/A")</f>
        <v>34611947.1576981</v>
      </c>
      <c r="X944" s="423" cm="1">
        <f t="array" ref="X944">_xlfn.IFERROR(W944*0.5%,"N/A")</f>
        <v>173059.735788491</v>
      </c>
      <c r="Y944" s="423" cm="1">
        <f t="array" ref="Y944">_xlfn.IFERROR(W944*25%,"N/A")</f>
        <v>8652986.789424529</v>
      </c>
      <c r="Z944" s="425" cm="1">
        <f t="array" ref="Z944">IF(B944&gt;0,(SUM(W944:Y944)),"N/A")</f>
        <v>43437993.6829111</v>
      </c>
      <c r="AA944" s="425" cm="1">
        <f t="array" ref="AA944">_xlfn.IFERROR((Z944-Z943),"N/A")</f>
        <v>195780</v>
      </c>
      <c r="AB944" s="424"/>
      <c r="AC944" s="425" cm="1">
        <f t="array" ref="AC944">IF(B944=6,AVERAGE(Z939:Z944),"N/A")</f>
        <v>42948543.6829111</v>
      </c>
      <c r="AD944" s="424"/>
      <c r="AE944" s="512"/>
      <c r="AF944" s="423"/>
      <c r="AG944" s="423"/>
      <c r="AH944" s="423"/>
      <c r="AI944" s="423"/>
      <c r="AJ944" s="423"/>
      <c r="AK944" s="423"/>
      <c r="AL944" s="423"/>
      <c r="AM944" s="423"/>
      <c r="AN944" s="427"/>
    </row>
    <row r="945" ht="15" customHeight="1">
      <c r="A945" s="12"/>
      <c r="B945" s="428" cm="1">
        <f t="array" ref="B945">IF(B944=0,0,IF(B944&lt;VLOOKUP(C936,'Boats Data Sheet 2026'!$C$3:$H$57,6,0),B944+1,0))</f>
        <v>7</v>
      </c>
      <c r="C945" s="423" cm="1">
        <f t="array" ref="C945">_xlfn.IFERROR(IF(B945&gt;0,IF(VLOOKUP($C$936,'Boats Data Sheet 2026'!$C$3:$J$57,8,0)="N/A",0,VLOOKUP($C$936,'Boats Data Sheet 2026'!$C$3:$J$57,8,0)),"N/A"),"N/A")</f>
        <v>29700000</v>
      </c>
      <c r="D945" s="429" cm="1">
        <f t="array" ref="D945">IF(B945&gt;8,2,IF(B945=0,"N/A",1))</f>
        <v>1</v>
      </c>
      <c r="E945" s="423" cm="1">
        <f t="array" ref="E945">_xlfn.IFERROR(SUM('Direct Costs 2026'!$C$4:$C$5)*D945,"N/A")</f>
        <v>875500</v>
      </c>
      <c r="F945" s="423" cm="1">
        <f t="array" ref="F945">_xlfn.IFERROR('Direct Costs 2026'!$C$43*B945,"N/A")</f>
        <v>42000</v>
      </c>
      <c r="G945" s="423">
        <v>0</v>
      </c>
      <c r="H945" s="423">
        <v>0</v>
      </c>
      <c r="I945" s="423">
        <v>0</v>
      </c>
      <c r="J945" s="423">
        <v>0</v>
      </c>
      <c r="K945" s="423">
        <v>0</v>
      </c>
      <c r="L945" s="423">
        <v>0</v>
      </c>
      <c r="M945" s="423" cm="1">
        <f t="array" ref="M945">IF(B945&gt;0,'Direct Costs 2026'!$C$45*B945,"N/A")</f>
        <v>1050000</v>
      </c>
      <c r="N945" t="str" s="431" cm="1">
        <f t="array" ref="N945">IF(B945&gt;0,_xlfn.IFERROR(VLOOKUP(C936,'Boats Data Sheet 2026'!$C$3:$I$57,7,0)*'Direct Costs 2026'!$C$36,"N/A"),"N/A")</f>
        <v>N/A</v>
      </c>
      <c r="O945" t="str" s="431" cm="1">
        <f t="array" ref="O945">IF(B945&gt;0,IF(OR(VLOOKUP(C936,'Boats Data Sheet 2026'!$C$3:$F$57,4,0)="Own",VLOOKUP(C936,'Boats Data Sheet 2026'!$C$3:$F$57,4,0)="Management"),('Direct Costs 2026'!$C$37+'Direct Costs 2026'!$C$39),"N/A"),"N/A")</f>
        <v>N/A</v>
      </c>
      <c r="P945" s="423">
        <v>0</v>
      </c>
      <c r="Q945" s="423" cm="1">
        <f t="array" ref="Q945">_xlfn.IFERROR(C945+SUM(E945:P945),"N/A")</f>
        <v>31667500</v>
      </c>
      <c r="R945" s="424"/>
      <c r="S945" s="423" cm="1">
        <f t="array" ref="S945">IF(B945&gt;0,'Allocation OH and Target 2026'!$E$31,"N/A")</f>
        <v>3100447.15769812</v>
      </c>
      <c r="T945" s="423">
        <v>0</v>
      </c>
      <c r="U945" s="423" cm="1">
        <f t="array" ref="U945">_xlfn.IFERROR((S945+T945),"N/A")</f>
        <v>3100447.15769812</v>
      </c>
      <c r="V945" s="424"/>
      <c r="W945" s="423" cm="1">
        <f t="array" ref="W945">_xlfn.IFERROR(U945+Q945,"N/A")</f>
        <v>34767947.1576981</v>
      </c>
      <c r="X945" s="423" cm="1">
        <f t="array" ref="X945">_xlfn.IFERROR(W945*0.5%,"N/A")</f>
        <v>173839.735788491</v>
      </c>
      <c r="Y945" s="423" cm="1">
        <f t="array" ref="Y945">_xlfn.IFERROR(W945*25%,"N/A")</f>
        <v>8691986.789424529</v>
      </c>
      <c r="Z945" s="425" cm="1">
        <f t="array" ref="Z945">IF(B945&gt;0,(SUM(W945:Y945)),"N/A")</f>
        <v>43633773.6829111</v>
      </c>
      <c r="AA945" s="425" cm="1">
        <f t="array" ref="AA945">_xlfn.IFERROR((Z945-Z944),"N/A")</f>
        <v>195780</v>
      </c>
      <c r="AB945" s="424"/>
      <c r="AC945" t="str" s="426" cm="1">
        <f t="array" ref="AC945">IF(B945=6,AVERAGE(Z939:Z944),"N/A")</f>
        <v>N/A</v>
      </c>
      <c r="AD945" s="424"/>
      <c r="AE945" s="423"/>
      <c r="AF945" s="423"/>
      <c r="AG945" s="423"/>
      <c r="AH945" s="423"/>
      <c r="AI945" s="423"/>
      <c r="AJ945" s="423"/>
      <c r="AK945" s="423"/>
      <c r="AL945" s="423"/>
      <c r="AM945" s="423"/>
      <c r="AN945" s="427"/>
    </row>
    <row r="946" ht="15" customHeight="1">
      <c r="A946" s="12"/>
      <c r="B946" s="428" cm="1">
        <f t="array" ref="B946">IF(B945=0,0,IF(B945&lt;VLOOKUP(C936,'Boats Data Sheet 2026'!$C$3:$H$57,6,0),B945+1,0))</f>
        <v>8</v>
      </c>
      <c r="C946" s="423" cm="1">
        <f t="array" ref="C946">_xlfn.IFERROR(IF(B946&gt;0,IF(VLOOKUP($C$936,'Boats Data Sheet 2026'!$C$3:$J$57,8,0)="N/A",0,VLOOKUP($C$936,'Boats Data Sheet 2026'!$C$3:$J$57,8,0)),"N/A"),"N/A")</f>
        <v>29700000</v>
      </c>
      <c r="D946" s="429" cm="1">
        <f t="array" ref="D946">IF(B946&gt;8,2,IF(B946=0,"N/A",1))</f>
        <v>1</v>
      </c>
      <c r="E946" s="423" cm="1">
        <f t="array" ref="E946">_xlfn.IFERROR(SUM('Direct Costs 2026'!$C$4:$C$5)*D946,"N/A")</f>
        <v>875500</v>
      </c>
      <c r="F946" s="423" cm="1">
        <f t="array" ref="F946">_xlfn.IFERROR('Direct Costs 2026'!$C$43*B946,"N/A")</f>
        <v>48000</v>
      </c>
      <c r="G946" s="423">
        <v>0</v>
      </c>
      <c r="H946" s="423">
        <v>0</v>
      </c>
      <c r="I946" s="423">
        <v>0</v>
      </c>
      <c r="J946" s="423">
        <v>0</v>
      </c>
      <c r="K946" s="423">
        <v>0</v>
      </c>
      <c r="L946" s="423">
        <v>0</v>
      </c>
      <c r="M946" s="423" cm="1">
        <f t="array" ref="M946">IF(B946&gt;0,'Direct Costs 2026'!$C$45*B946,"N/A")</f>
        <v>1200000</v>
      </c>
      <c r="N946" t="str" s="431" cm="1">
        <f t="array" ref="N946">IF(B946&gt;0,_xlfn.IFERROR(VLOOKUP(C936,'Boats Data Sheet 2026'!$C$3:$I$57,7,0)*'Direct Costs 2026'!$C$36,"N/A"),"N/A")</f>
        <v>N/A</v>
      </c>
      <c r="O946" t="str" s="431" cm="1">
        <f t="array" ref="O946">IF(B946&gt;0,IF(OR(VLOOKUP(C936,'Boats Data Sheet 2026'!$C$3:$F$57,4,0)="Own",VLOOKUP(C936,'Boats Data Sheet 2026'!$C$3:$F$57,4,0)="Management"),('Direct Costs 2026'!$C$37+'Direct Costs 2026'!$C$39),"N/A"),"N/A")</f>
        <v>N/A</v>
      </c>
      <c r="P946" s="423">
        <v>0</v>
      </c>
      <c r="Q946" s="423" cm="1">
        <f t="array" ref="Q946">_xlfn.IFERROR(C946+SUM(E946:P946),"N/A")</f>
        <v>31823500</v>
      </c>
      <c r="R946" s="424"/>
      <c r="S946" s="423" cm="1">
        <f t="array" ref="S946">IF(B946&gt;0,'Allocation OH and Target 2026'!$E$31,"N/A")</f>
        <v>3100447.15769812</v>
      </c>
      <c r="T946" s="423">
        <v>0</v>
      </c>
      <c r="U946" s="423" cm="1">
        <f t="array" ref="U946">_xlfn.IFERROR((S946+T946),"N/A")</f>
        <v>3100447.15769812</v>
      </c>
      <c r="V946" s="424"/>
      <c r="W946" s="423" cm="1">
        <f t="array" ref="W946">_xlfn.IFERROR(U946+Q946,"N/A")</f>
        <v>34923947.1576981</v>
      </c>
      <c r="X946" s="423" cm="1">
        <f t="array" ref="X946">_xlfn.IFERROR(W946*0.5%,"N/A")</f>
        <v>174619.735788491</v>
      </c>
      <c r="Y946" s="423" cm="1">
        <f t="array" ref="Y946">_xlfn.IFERROR(W946*25%,"N/A")</f>
        <v>8730986.789424529</v>
      </c>
      <c r="Z946" s="425" cm="1">
        <f t="array" ref="Z946">IF(B946&gt;0,(SUM(W946:Y946)),"N/A")</f>
        <v>43829553.6829111</v>
      </c>
      <c r="AA946" s="425" cm="1">
        <f t="array" ref="AA946">_xlfn.IFERROR((Z946-Z945),"N/A")</f>
        <v>195780</v>
      </c>
      <c r="AB946" s="424"/>
      <c r="AC946" t="str" s="426" cm="1">
        <f t="array" ref="AC946">IF(B946=6,AVERAGE(Z939:Z944),"N/A")</f>
        <v>N/A</v>
      </c>
      <c r="AD946" s="424"/>
      <c r="AE946" s="423"/>
      <c r="AF946" s="423"/>
      <c r="AG946" s="423"/>
      <c r="AH946" s="423"/>
      <c r="AI946" s="423"/>
      <c r="AJ946" s="423"/>
      <c r="AK946" s="423"/>
      <c r="AL946" s="423"/>
      <c r="AM946" s="423"/>
      <c r="AN946" s="427"/>
    </row>
    <row r="947" ht="15" customHeight="1">
      <c r="A947" s="12"/>
      <c r="B947" s="428" cm="1">
        <f t="array" ref="B947">IF(B946=0,0,IF(B946&lt;VLOOKUP(C936,'Boats Data Sheet 2026'!$C$3:$H$57,6,0),B946+1,0))</f>
        <v>9</v>
      </c>
      <c r="C947" s="423" cm="1">
        <f t="array" ref="C947">_xlfn.IFERROR(IF(B947&gt;0,IF(VLOOKUP($C$936,'Boats Data Sheet 2026'!$C$3:$J$57,8,0)="N/A",0,VLOOKUP($C$936,'Boats Data Sheet 2026'!$C$3:$J$57,8,0)),"N/A"),"N/A")</f>
        <v>29700000</v>
      </c>
      <c r="D947" s="430" cm="1">
        <f t="array" ref="D947">IF(B947&gt;8,2,IF(B947=0,"N/A",1))</f>
        <v>2</v>
      </c>
      <c r="E947" s="423" cm="1">
        <f t="array" ref="E947">_xlfn.IFERROR(SUM('Direct Costs 2026'!$C$4:$C$5)*D947,"N/A")</f>
        <v>1751000</v>
      </c>
      <c r="F947" s="423" cm="1">
        <f t="array" ref="F947">_xlfn.IFERROR('Direct Costs 2026'!$C$43*B947,"N/A")</f>
        <v>54000</v>
      </c>
      <c r="G947" s="423">
        <v>0</v>
      </c>
      <c r="H947" s="423">
        <v>0</v>
      </c>
      <c r="I947" s="423">
        <v>0</v>
      </c>
      <c r="J947" s="423">
        <v>0</v>
      </c>
      <c r="K947" s="423">
        <v>0</v>
      </c>
      <c r="L947" s="423">
        <v>0</v>
      </c>
      <c r="M947" s="423" cm="1">
        <f t="array" ref="M947">IF(B947&gt;0,'Direct Costs 2026'!$C$45*B947,"N/A")</f>
        <v>1350000</v>
      </c>
      <c r="N947" t="str" s="431" cm="1">
        <f t="array" ref="N947">IF(B947&gt;0,_xlfn.IFERROR(VLOOKUP(C936,'Boats Data Sheet 2026'!$C$3:$I$57,7,0)*'Direct Costs 2026'!$C$36,"N/A"),"N/A")</f>
        <v>N/A</v>
      </c>
      <c r="O947" t="str" s="431" cm="1">
        <f t="array" ref="O947">IF(B947&gt;0,IF(OR(VLOOKUP(C936,'Boats Data Sheet 2026'!$C$3:$F$57,4,0)="Own",VLOOKUP(C936,'Boats Data Sheet 2026'!$C$3:$F$57,4,0)="Management"),('Direct Costs 2026'!$C$37+'Direct Costs 2026'!$C$39),"N/A"),"N/A")</f>
        <v>N/A</v>
      </c>
      <c r="P947" s="423">
        <v>0</v>
      </c>
      <c r="Q947" s="423" cm="1">
        <f t="array" ref="Q947">_xlfn.IFERROR(C947+SUM(E947:P947),"N/A")</f>
        <v>32855000</v>
      </c>
      <c r="R947" s="424"/>
      <c r="S947" s="423" cm="1">
        <f t="array" ref="S947">IF(B947&gt;0,'Allocation OH and Target 2026'!$E$31,"N/A")</f>
        <v>3100447.15769812</v>
      </c>
      <c r="T947" s="423">
        <v>0</v>
      </c>
      <c r="U947" s="423" cm="1">
        <f t="array" ref="U947">_xlfn.IFERROR((S947+T947),"N/A")</f>
        <v>3100447.15769812</v>
      </c>
      <c r="V947" s="424"/>
      <c r="W947" s="423" cm="1">
        <f t="array" ref="W947">_xlfn.IFERROR(U947+Q947,"N/A")</f>
        <v>35955447.1576981</v>
      </c>
      <c r="X947" s="423" cm="1">
        <f t="array" ref="X947">_xlfn.IFERROR(W947*0.5%,"N/A")</f>
        <v>179777.235788491</v>
      </c>
      <c r="Y947" s="423" cm="1">
        <f t="array" ref="Y947">_xlfn.IFERROR(W947*25%,"N/A")</f>
        <v>8988861.789424529</v>
      </c>
      <c r="Z947" s="425" cm="1">
        <f t="array" ref="Z947">IF(B947&gt;0,(SUM(W947:Y947)),"N/A")</f>
        <v>45124086.1829111</v>
      </c>
      <c r="AA947" s="425" cm="1">
        <f t="array" ref="AA947">_xlfn.IFERROR((Z947-Z946),"N/A")</f>
        <v>1294532.5</v>
      </c>
      <c r="AB947" s="424"/>
      <c r="AC947" t="str" s="426" cm="1">
        <f t="array" ref="AC947">IF(B947=6,AVERAGE(Z939:Z944),"N/A")</f>
        <v>N/A</v>
      </c>
      <c r="AD947" s="424"/>
      <c r="AE947" s="512"/>
      <c r="AF947" s="423"/>
      <c r="AG947" s="423"/>
      <c r="AH947" s="423"/>
      <c r="AI947" s="423"/>
      <c r="AJ947" s="423"/>
      <c r="AK947" s="423"/>
      <c r="AL947" s="423"/>
      <c r="AM947" s="423"/>
      <c r="AN947" s="427"/>
    </row>
    <row r="948" ht="15" customHeight="1">
      <c r="A948" s="12"/>
      <c r="B948" s="428" cm="1">
        <f t="array" ref="B948">IF(B947=0,0,IF(B947&lt;VLOOKUP(C936,'Boats Data Sheet 2026'!$C$3:$H$57,6,0),B947+1,0))</f>
        <v>10</v>
      </c>
      <c r="C948" s="423" cm="1">
        <f t="array" ref="C948">_xlfn.IFERROR(IF(B948&gt;0,IF(VLOOKUP($C$936,'Boats Data Sheet 2026'!$C$3:$J$57,8,0)="N/A",0,VLOOKUP($C$936,'Boats Data Sheet 2026'!$C$3:$J$57,8,0)),"N/A"),"N/A")</f>
        <v>29700000</v>
      </c>
      <c r="D948" s="430" cm="1">
        <f t="array" ref="D948">IF(B948&gt;8,2,IF(B948=0,"N/A",1))</f>
        <v>2</v>
      </c>
      <c r="E948" s="423" cm="1">
        <f t="array" ref="E948">_xlfn.IFERROR(SUM('Direct Costs 2026'!$C$4:$C$5)*D948,"N/A")</f>
        <v>1751000</v>
      </c>
      <c r="F948" s="423" cm="1">
        <f t="array" ref="F948">_xlfn.IFERROR('Direct Costs 2026'!$C$43*B948,"N/A")</f>
        <v>60000</v>
      </c>
      <c r="G948" s="423">
        <v>0</v>
      </c>
      <c r="H948" s="423">
        <v>0</v>
      </c>
      <c r="I948" s="423">
        <v>0</v>
      </c>
      <c r="J948" s="423">
        <v>0</v>
      </c>
      <c r="K948" s="423">
        <v>0</v>
      </c>
      <c r="L948" s="423">
        <v>0</v>
      </c>
      <c r="M948" s="423" cm="1">
        <f t="array" ref="M948">IF(B948&gt;0,'Direct Costs 2026'!$C$45*B948,"N/A")</f>
        <v>1500000</v>
      </c>
      <c r="N948" t="str" s="431" cm="1">
        <f t="array" ref="N948">IF(B948&gt;0,_xlfn.IFERROR(VLOOKUP(C936,'Boats Data Sheet 2026'!$C$3:$I$57,7,0)*'Direct Costs 2026'!$C$36,"N/A"),"N/A")</f>
        <v>N/A</v>
      </c>
      <c r="O948" t="str" s="431" cm="1">
        <f t="array" ref="O948">IF(B948&gt;0,IF(OR(VLOOKUP(C936,'Boats Data Sheet 2026'!$C$3:$F$57,4,0)="Own",VLOOKUP(C936,'Boats Data Sheet 2026'!$C$3:$F$57,4,0)="Management"),('Direct Costs 2026'!$C$37+'Direct Costs 2026'!$C$39),"N/A"),"N/A")</f>
        <v>N/A</v>
      </c>
      <c r="P948" s="423">
        <v>0</v>
      </c>
      <c r="Q948" s="423" cm="1">
        <f t="array" ref="Q948">_xlfn.IFERROR(C948+SUM(E948:P948),"N/A")</f>
        <v>33011000</v>
      </c>
      <c r="R948" s="424"/>
      <c r="S948" s="423" cm="1">
        <f t="array" ref="S948">IF(B948&gt;0,'Allocation OH and Target 2026'!$E$31,"N/A")</f>
        <v>3100447.15769812</v>
      </c>
      <c r="T948" s="423">
        <v>0</v>
      </c>
      <c r="U948" s="423" cm="1">
        <f t="array" ref="U948">_xlfn.IFERROR((S948+T948),"N/A")</f>
        <v>3100447.15769812</v>
      </c>
      <c r="V948" s="424"/>
      <c r="W948" s="423" cm="1">
        <f t="array" ref="W948">_xlfn.IFERROR(U948+Q948,"N/A")</f>
        <v>36111447.1576981</v>
      </c>
      <c r="X948" s="423" cm="1">
        <f t="array" ref="X948">_xlfn.IFERROR(W948*0.5%,"N/A")</f>
        <v>180557.235788491</v>
      </c>
      <c r="Y948" s="423" cm="1">
        <f t="array" ref="Y948">_xlfn.IFERROR(W948*25%,"N/A")</f>
        <v>9027861.789424529</v>
      </c>
      <c r="Z948" s="425" cm="1">
        <f t="array" ref="Z948">IF(B948&gt;0,(SUM(W948:Y948)),"N/A")</f>
        <v>45319866.1829111</v>
      </c>
      <c r="AA948" s="425" cm="1">
        <f t="array" ref="AA948">_xlfn.IFERROR((Z948-Z947),"N/A")</f>
        <v>195780</v>
      </c>
      <c r="AB948" s="424"/>
      <c r="AC948" t="str" s="426" cm="1">
        <f t="array" ref="AC948">IF(B948=6,AVERAGE(Z939:Z944),"N/A")</f>
        <v>N/A</v>
      </c>
      <c r="AD948" s="424"/>
      <c r="AE948" s="513"/>
      <c r="AF948" s="423"/>
      <c r="AG948" s="423"/>
      <c r="AH948" s="423"/>
      <c r="AI948" s="423"/>
      <c r="AJ948" s="423"/>
      <c r="AK948" s="423"/>
      <c r="AL948" s="423"/>
      <c r="AM948" s="423"/>
      <c r="AN948" s="427"/>
    </row>
    <row r="949" ht="15" customHeight="1">
      <c r="A949" s="12"/>
      <c r="B949" s="428" cm="1">
        <f t="array" ref="B949">IF(B948=0,0,IF(B948&lt;VLOOKUP(C936,'Boats Data Sheet 2026'!$C$3:$H$57,6,0),B948+1,0))</f>
        <v>11</v>
      </c>
      <c r="C949" s="423" cm="1">
        <f t="array" ref="C949">_xlfn.IFERROR(IF(B949&gt;0,IF(VLOOKUP($C$936,'Boats Data Sheet 2026'!$C$3:$J$57,8,0)="N/A",0,VLOOKUP($C$936,'Boats Data Sheet 2026'!$C$3:$J$57,8,0)),"N/A"),"N/A")</f>
        <v>29700000</v>
      </c>
      <c r="D949" s="430" cm="1">
        <f t="array" ref="D949">IF(B949&gt;8,2,IF(B949=0,"N/A",1))</f>
        <v>2</v>
      </c>
      <c r="E949" s="423" cm="1">
        <f t="array" ref="E949">_xlfn.IFERROR(SUM('Direct Costs 2026'!$C$4:$C$5)*D949,"N/A")</f>
        <v>1751000</v>
      </c>
      <c r="F949" s="423" cm="1">
        <f t="array" ref="F949">_xlfn.IFERROR('Direct Costs 2026'!$C$43*B949,"N/A")</f>
        <v>66000</v>
      </c>
      <c r="G949" s="423">
        <v>0</v>
      </c>
      <c r="H949" s="423">
        <v>0</v>
      </c>
      <c r="I949" s="423">
        <v>0</v>
      </c>
      <c r="J949" s="423">
        <v>0</v>
      </c>
      <c r="K949" s="423">
        <v>0</v>
      </c>
      <c r="L949" s="423">
        <v>0</v>
      </c>
      <c r="M949" s="423" cm="1">
        <f t="array" ref="M949">IF(B949&gt;0,'Direct Costs 2026'!$C$45*B949,"N/A")</f>
        <v>1650000</v>
      </c>
      <c r="N949" t="str" s="431" cm="1">
        <f t="array" ref="N949">IF(B949&gt;0,_xlfn.IFERROR(VLOOKUP(C936,'Boats Data Sheet 2026'!$C$3:$I$57,7,0)*'Direct Costs 2026'!$C$36,"N/A"),"N/A")</f>
        <v>N/A</v>
      </c>
      <c r="O949" t="str" s="431" cm="1">
        <f t="array" ref="O949">IF(B949&gt;0,IF(OR(VLOOKUP(C936,'Boats Data Sheet 2026'!$C$3:$F$57,4,0)="Own",VLOOKUP(C936,'Boats Data Sheet 2026'!$C$3:$F$57,4,0)="Management"),('Direct Costs 2026'!$C$37+'Direct Costs 2026'!$C$39),"N/A"),"N/A")</f>
        <v>N/A</v>
      </c>
      <c r="P949" s="423">
        <v>0</v>
      </c>
      <c r="Q949" s="423" cm="1">
        <f t="array" ref="Q949">_xlfn.IFERROR(C949+SUM(E949:P949),"N/A")</f>
        <v>33167000</v>
      </c>
      <c r="R949" s="424"/>
      <c r="S949" s="423" cm="1">
        <f t="array" ref="S949">IF(B949&gt;0,'Allocation OH and Target 2026'!$E$31,"N/A")</f>
        <v>3100447.15769812</v>
      </c>
      <c r="T949" s="423">
        <v>0</v>
      </c>
      <c r="U949" s="423" cm="1">
        <f t="array" ref="U949">_xlfn.IFERROR((S949+T949),"N/A")</f>
        <v>3100447.15769812</v>
      </c>
      <c r="V949" s="424"/>
      <c r="W949" s="423" cm="1">
        <f t="array" ref="W949">_xlfn.IFERROR(U949+Q949,"N/A")</f>
        <v>36267447.1576981</v>
      </c>
      <c r="X949" s="423" cm="1">
        <f t="array" ref="X949">_xlfn.IFERROR(W949*0.5%,"N/A")</f>
        <v>181337.235788491</v>
      </c>
      <c r="Y949" s="423" cm="1">
        <f t="array" ref="Y949">_xlfn.IFERROR(W949*25%,"N/A")</f>
        <v>9066861.789424529</v>
      </c>
      <c r="Z949" s="425" cm="1">
        <f t="array" ref="Z949">IF(B949&gt;0,(SUM(W949:Y949)),"N/A")</f>
        <v>45515646.1829111</v>
      </c>
      <c r="AA949" s="425" cm="1">
        <f t="array" ref="AA949">_xlfn.IFERROR((Z949-Z948),"N/A")</f>
        <v>195780</v>
      </c>
      <c r="AB949" s="424"/>
      <c r="AC949" t="str" s="426" cm="1">
        <f t="array" ref="AC949">IF(B949=6,AVERAGE(Z939:Z944),"N/A")</f>
        <v>N/A</v>
      </c>
      <c r="AD949" s="424"/>
      <c r="AE949" s="423"/>
      <c r="AF949" s="423"/>
      <c r="AG949" s="423"/>
      <c r="AH949" s="423"/>
      <c r="AI949" s="423"/>
      <c r="AJ949" s="423"/>
      <c r="AK949" s="423"/>
      <c r="AL949" s="423"/>
      <c r="AM949" s="423"/>
      <c r="AN949" s="427"/>
    </row>
    <row r="950" ht="15" customHeight="1">
      <c r="A950" s="12"/>
      <c r="B950" s="428" cm="1">
        <f t="array" ref="B950">IF(B949=0,0,IF(B949&lt;VLOOKUP(C936,'Boats Data Sheet 2026'!$C$3:$H$57,6,0),B949+1,0))</f>
        <v>12</v>
      </c>
      <c r="C950" s="423" cm="1">
        <f t="array" ref="C950">_xlfn.IFERROR(IF(B950&gt;0,IF(VLOOKUP($C$936,'Boats Data Sheet 2026'!$C$3:$J$57,8,0)="N/A",0,VLOOKUP($C$936,'Boats Data Sheet 2026'!$C$3:$J$57,8,0)),"N/A"),"N/A")</f>
        <v>29700000</v>
      </c>
      <c r="D950" s="430" cm="1">
        <f t="array" ref="D950">IF(B950&gt;8,2,IF(B950=0,"N/A",1))</f>
        <v>2</v>
      </c>
      <c r="E950" s="423" cm="1">
        <f t="array" ref="E950">_xlfn.IFERROR(SUM('Direct Costs 2026'!$C$4:$C$5)*D950,"N/A")</f>
        <v>1751000</v>
      </c>
      <c r="F950" s="423" cm="1">
        <f t="array" ref="F950">_xlfn.IFERROR('Direct Costs 2026'!$C$43*B950,"N/A")</f>
        <v>72000</v>
      </c>
      <c r="G950" s="423">
        <v>0</v>
      </c>
      <c r="H950" s="423">
        <v>0</v>
      </c>
      <c r="I950" s="423">
        <v>0</v>
      </c>
      <c r="J950" s="423">
        <v>0</v>
      </c>
      <c r="K950" s="423">
        <v>0</v>
      </c>
      <c r="L950" s="423">
        <v>0</v>
      </c>
      <c r="M950" s="423" cm="1">
        <f t="array" ref="M950">IF(B950&gt;0,'Direct Costs 2026'!$C$45*B950,"N/A")</f>
        <v>1800000</v>
      </c>
      <c r="N950" t="str" s="431" cm="1">
        <f t="array" ref="N950">IF(B950&gt;0,_xlfn.IFERROR(VLOOKUP(C936,'Boats Data Sheet 2026'!$C$3:$I$57,7,0)*'Direct Costs 2026'!$C$36,"N/A"),"N/A")</f>
        <v>N/A</v>
      </c>
      <c r="O950" t="str" s="431" cm="1">
        <f t="array" ref="O950">IF(B950&gt;0,IF(OR(VLOOKUP(C936,'Boats Data Sheet 2026'!$C$3:$F$57,4,0)="Own",VLOOKUP(C936,'Boats Data Sheet 2026'!$C$3:$F$57,4,0)="Management"),('Direct Costs 2026'!$C$37+'Direct Costs 2026'!$C$39),"N/A"),"N/A")</f>
        <v>N/A</v>
      </c>
      <c r="P950" s="423">
        <v>0</v>
      </c>
      <c r="Q950" s="423" cm="1">
        <f t="array" ref="Q950">_xlfn.IFERROR(C950+SUM(E950:P950),"N/A")</f>
        <v>33323000</v>
      </c>
      <c r="R950" s="424"/>
      <c r="S950" s="423" cm="1">
        <f t="array" ref="S950">IF(B950&gt;0,'Allocation OH and Target 2026'!$E$31,"N/A")</f>
        <v>3100447.15769812</v>
      </c>
      <c r="T950" s="423">
        <v>0</v>
      </c>
      <c r="U950" s="423" cm="1">
        <f t="array" ref="U950">_xlfn.IFERROR((S950+T950),"N/A")</f>
        <v>3100447.15769812</v>
      </c>
      <c r="V950" s="424"/>
      <c r="W950" s="423" cm="1">
        <f t="array" ref="W950">_xlfn.IFERROR(U950+Q950,"N/A")</f>
        <v>36423447.1576981</v>
      </c>
      <c r="X950" s="423" cm="1">
        <f t="array" ref="X950">_xlfn.IFERROR(W950*0.5%,"N/A")</f>
        <v>182117.235788491</v>
      </c>
      <c r="Y950" s="423" cm="1">
        <f t="array" ref="Y950">_xlfn.IFERROR(W950*25%,"N/A")</f>
        <v>9105861.789424529</v>
      </c>
      <c r="Z950" s="425" cm="1">
        <f t="array" ref="Z950">IF(B950&gt;0,(SUM(W950:Y950)),"N/A")</f>
        <v>45711426.1829111</v>
      </c>
      <c r="AA950" s="425" cm="1">
        <f t="array" ref="AA950">_xlfn.IFERROR((Z950-Z949),"N/A")</f>
        <v>195780</v>
      </c>
      <c r="AB950" s="424"/>
      <c r="AC950" t="str" s="426" cm="1">
        <f t="array" ref="AC950">IF(B950=6,AVERAGE(Z939:Z944),"N/A")</f>
        <v>N/A</v>
      </c>
      <c r="AD950" s="424"/>
      <c r="AE950" s="423"/>
      <c r="AF950" s="423"/>
      <c r="AG950" s="423"/>
      <c r="AH950" s="423"/>
      <c r="AI950" s="423"/>
      <c r="AJ950" s="423"/>
      <c r="AK950" s="423"/>
      <c r="AL950" s="423"/>
      <c r="AM950" s="423"/>
      <c r="AN950" s="427"/>
    </row>
    <row r="951" ht="15" customHeight="1">
      <c r="A951" s="12"/>
      <c r="B951" s="428" cm="1">
        <f t="array" ref="B951">IF(B950=0,0,IF(B950&lt;VLOOKUP(C936,'Boats Data Sheet 2026'!$C$3:$H$57,6,0),B950+1,0))</f>
        <v>13</v>
      </c>
      <c r="C951" s="423" cm="1">
        <f t="array" ref="C951">_xlfn.IFERROR(IF(B951&gt;0,IF(VLOOKUP($C$936,'Boats Data Sheet 2026'!$C$3:$J$57,8,0)="N/A",0,VLOOKUP($C$936,'Boats Data Sheet 2026'!$C$3:$J$57,8,0)),"N/A"),"N/A")</f>
        <v>29700000</v>
      </c>
      <c r="D951" s="430" cm="1">
        <f t="array" ref="D951">IF(B951&gt;8,2,IF(B951=0,"N/A",1))</f>
        <v>2</v>
      </c>
      <c r="E951" s="423" cm="1">
        <f t="array" ref="E951">_xlfn.IFERROR(SUM('Direct Costs 2026'!$C$4:$C$5)*D951,"N/A")</f>
        <v>1751000</v>
      </c>
      <c r="F951" s="423" cm="1">
        <f t="array" ref="F951">_xlfn.IFERROR('Direct Costs 2026'!$C$43*B951,"N/A")</f>
        <v>78000</v>
      </c>
      <c r="G951" s="423">
        <v>0</v>
      </c>
      <c r="H951" s="423">
        <v>0</v>
      </c>
      <c r="I951" s="423">
        <v>0</v>
      </c>
      <c r="J951" s="423">
        <v>0</v>
      </c>
      <c r="K951" s="423">
        <v>0</v>
      </c>
      <c r="L951" s="423">
        <v>0</v>
      </c>
      <c r="M951" s="423" cm="1">
        <f t="array" ref="M951">IF(B951&gt;0,'Direct Costs 2026'!$C$45*B951,"N/A")</f>
        <v>1950000</v>
      </c>
      <c r="N951" t="str" s="431" cm="1">
        <f t="array" ref="N951">IF(B951&gt;0,_xlfn.IFERROR(VLOOKUP(C936,'Boats Data Sheet 2026'!$C$3:$I$57,7,0)*'Direct Costs 2026'!$C$36,"N/A"),"N/A")</f>
        <v>N/A</v>
      </c>
      <c r="O951" t="str" s="431" cm="1">
        <f t="array" ref="O951">IF(B951&gt;0,IF(OR(VLOOKUP(C936,'Boats Data Sheet 2026'!$C$3:$F$57,4,0)="Own",VLOOKUP(C936,'Boats Data Sheet 2026'!$C$3:$F$57,4,0)="Management"),('Direct Costs 2026'!$C$37+'Direct Costs 2026'!$C$39),"N/A"),"N/A")</f>
        <v>N/A</v>
      </c>
      <c r="P951" s="423">
        <v>0</v>
      </c>
      <c r="Q951" s="423" cm="1">
        <f t="array" ref="Q951">_xlfn.IFERROR(C951+SUM(E951:P951),"N/A")</f>
        <v>33479000</v>
      </c>
      <c r="R951" s="424"/>
      <c r="S951" s="423" cm="1">
        <f t="array" ref="S951">IF(B951&gt;0,'Allocation OH and Target 2026'!$E$31,"N/A")</f>
        <v>3100447.15769812</v>
      </c>
      <c r="T951" s="423">
        <v>0</v>
      </c>
      <c r="U951" s="423" cm="1">
        <f t="array" ref="U951">_xlfn.IFERROR((S951+T951),"N/A")</f>
        <v>3100447.15769812</v>
      </c>
      <c r="V951" s="424"/>
      <c r="W951" s="423" cm="1">
        <f t="array" ref="W951">_xlfn.IFERROR(U951+Q951,"N/A")</f>
        <v>36579447.1576981</v>
      </c>
      <c r="X951" s="423" cm="1">
        <f t="array" ref="X951">_xlfn.IFERROR(W951*0.5%,"N/A")</f>
        <v>182897.235788491</v>
      </c>
      <c r="Y951" s="423" cm="1">
        <f t="array" ref="Y951">_xlfn.IFERROR(W951*25%,"N/A")</f>
        <v>9144861.789424529</v>
      </c>
      <c r="Z951" s="425" cm="1">
        <f t="array" ref="Z951">IF(B951&gt;0,(SUM(W951:Y951)),"N/A")</f>
        <v>45907206.1829111</v>
      </c>
      <c r="AA951" s="425" cm="1">
        <f t="array" ref="AA951">_xlfn.IFERROR((Z951-Z950),"N/A")</f>
        <v>195780</v>
      </c>
      <c r="AB951" s="424"/>
      <c r="AC951" t="str" s="426" cm="1">
        <f t="array" ref="AC951">IF(B951=6,AVERAGE(Z939:Z944),"N/A")</f>
        <v>N/A</v>
      </c>
      <c r="AD951" s="424"/>
      <c r="AE951" s="423"/>
      <c r="AF951" s="423"/>
      <c r="AG951" s="423"/>
      <c r="AH951" s="423"/>
      <c r="AI951" s="423"/>
      <c r="AJ951" s="423"/>
      <c r="AK951" s="423"/>
      <c r="AL951" s="423"/>
      <c r="AM951" s="423"/>
      <c r="AN951" s="427"/>
    </row>
    <row r="952" ht="15" customHeight="1">
      <c r="A952" s="12"/>
      <c r="B952" s="428" cm="1">
        <f t="array" ref="B952">IF(B951=0,0,IF(B951&lt;VLOOKUP(C936,'Boats Data Sheet 2026'!$C$3:$H$57,6,0),B951+1,0))</f>
        <v>0</v>
      </c>
      <c r="C952" t="str" s="431" cm="1">
        <f t="array" ref="C952">_xlfn.IFERROR(IF(B952&gt;0,IF(VLOOKUP($C$936,'Boats Data Sheet 2026'!$C$3:$J$57,8,0)="N/A",0,VLOOKUP($C$936,'Boats Data Sheet 2026'!$C$3:$J$57,8,0)),"N/A"),"N/A")</f>
        <v>N/A</v>
      </c>
      <c r="D952" t="str" s="431" cm="1">
        <f t="array" ref="D952">IF(B952&gt;8,2,IF(B952=0,"N/A",1))</f>
        <v>N/A</v>
      </c>
      <c r="E952" t="str" s="431" cm="1">
        <f t="array" ref="E952">_xlfn.IFERROR(SUM('Direct Costs 2026'!$C$4:$C$5)*D952,"N/A")</f>
        <v>N/A</v>
      </c>
      <c r="F952" s="423" cm="1">
        <f t="array" ref="F952">_xlfn.IFERROR('Direct Costs 2026'!$C$43*B952,"N/A")</f>
        <v>0</v>
      </c>
      <c r="G952" s="423">
        <v>0</v>
      </c>
      <c r="H952" s="423">
        <v>0</v>
      </c>
      <c r="I952" s="423">
        <v>0</v>
      </c>
      <c r="J952" s="423">
        <v>0</v>
      </c>
      <c r="K952" s="423">
        <v>0</v>
      </c>
      <c r="L952" s="423">
        <v>0</v>
      </c>
      <c r="M952" t="str" s="431" cm="1">
        <f t="array" ref="M952">IF(B952&gt;0,'Direct Costs 2026'!$C$45*B952,"N/A")</f>
        <v>N/A</v>
      </c>
      <c r="N952" t="str" s="431" cm="1">
        <f t="array" ref="N952">IF(B952&gt;0,_xlfn.IFERROR(VLOOKUP(C936,'Boats Data Sheet 2026'!$C$3:$I$57,7,0)*'Direct Costs 2026'!$C$36,"N/A"),"N/A")</f>
        <v>N/A</v>
      </c>
      <c r="O952" t="str" s="431" cm="1">
        <f t="array" ref="O952">IF(B952&gt;0,IF(OR(VLOOKUP(C936,'Boats Data Sheet 2026'!$C$3:$F$57,4,0)="Own",VLOOKUP(C936,'Boats Data Sheet 2026'!$C$3:$F$57,4,0)="Management"),('Direct Costs 2026'!$C$37+'Direct Costs 2026'!$C$39),"N/A"),"N/A")</f>
        <v>N/A</v>
      </c>
      <c r="P952" s="423">
        <v>0</v>
      </c>
      <c r="Q952" t="str" s="431" cm="1">
        <f t="array" ref="Q952">_xlfn.IFERROR(C952+SUM(E952:P952),"N/A")</f>
        <v>N/A</v>
      </c>
      <c r="R952" s="424"/>
      <c r="S952" t="str" s="431" cm="1">
        <f t="array" ref="S952">IF(B952&gt;0,'Allocation OH and Target 2026'!$E$31,"N/A")</f>
        <v>N/A</v>
      </c>
      <c r="T952" s="423">
        <v>0</v>
      </c>
      <c r="U952" t="str" s="431" cm="1">
        <f t="array" ref="U952">_xlfn.IFERROR((S952+T952),"N/A")</f>
        <v>N/A</v>
      </c>
      <c r="V952" s="424"/>
      <c r="W952" t="str" s="431" cm="1">
        <f t="array" ref="W952">_xlfn.IFERROR(U952+Q952,"N/A")</f>
        <v>N/A</v>
      </c>
      <c r="X952" t="str" s="431" cm="1">
        <f t="array" ref="X952">_xlfn.IFERROR(W952*0.5%,"N/A")</f>
        <v>N/A</v>
      </c>
      <c r="Y952" t="str" s="431" cm="1">
        <f t="array" ref="Y952">_xlfn.IFERROR(W952*25%,"N/A")</f>
        <v>N/A</v>
      </c>
      <c r="Z952" t="str" s="426" cm="1">
        <f t="array" ref="Z952">IF(B952&gt;0,(SUM(W952:Y952)),"N/A")</f>
        <v>N/A</v>
      </c>
      <c r="AA952" t="str" s="426" cm="1">
        <f t="array" ref="AA952">_xlfn.IFERROR((Z952-Z951),"N/A")</f>
        <v>N/A</v>
      </c>
      <c r="AB952" s="424"/>
      <c r="AC952" t="str" s="426" cm="1">
        <f t="array" ref="AC952">IF(B952=6,AVERAGE(Z939:Z944),"N/A")</f>
        <v>N/A</v>
      </c>
      <c r="AD952" s="424"/>
      <c r="AE952" s="423"/>
      <c r="AF952" s="423"/>
      <c r="AG952" s="423"/>
      <c r="AH952" s="423"/>
      <c r="AI952" s="423"/>
      <c r="AJ952" s="423"/>
      <c r="AK952" s="423"/>
      <c r="AL952" s="423"/>
      <c r="AM952" s="423"/>
      <c r="AN952" s="427"/>
    </row>
    <row r="953" ht="15" customHeight="1">
      <c r="A953" s="12"/>
      <c r="B953" s="428" cm="1">
        <f t="array" ref="B953">IF(B952=0,0,IF(B952&lt;VLOOKUP(C936,'Boats Data Sheet 2026'!$C$3:$H$57,6,0),B952+1,0))</f>
        <v>0</v>
      </c>
      <c r="C953" t="str" s="431" cm="1">
        <f t="array" ref="C953">_xlfn.IFERROR(IF(B953&gt;0,IF(VLOOKUP($C$936,'Boats Data Sheet 2026'!$C$3:$J$57,8,0)="N/A",0,VLOOKUP($C$936,'Boats Data Sheet 2026'!$C$3:$J$57,8,0)),"N/A"),"N/A")</f>
        <v>N/A</v>
      </c>
      <c r="D953" t="str" s="431" cm="1">
        <f t="array" ref="D953">IF(B953&gt;8,2,IF(B953=0,"N/A",1))</f>
        <v>N/A</v>
      </c>
      <c r="E953" t="str" s="431" cm="1">
        <f t="array" ref="E953">_xlfn.IFERROR(SUM('Direct Costs 2026'!$C$4:$C$5)*D953,"N/A")</f>
        <v>N/A</v>
      </c>
      <c r="F953" s="423" cm="1">
        <f t="array" ref="F953">_xlfn.IFERROR('Direct Costs 2026'!$C$43*B953,"N/A")</f>
        <v>0</v>
      </c>
      <c r="G953" s="423">
        <v>0</v>
      </c>
      <c r="H953" s="423">
        <v>0</v>
      </c>
      <c r="I953" s="423">
        <v>0</v>
      </c>
      <c r="J953" s="423">
        <v>0</v>
      </c>
      <c r="K953" s="423">
        <v>0</v>
      </c>
      <c r="L953" s="423">
        <v>0</v>
      </c>
      <c r="M953" t="str" s="431" cm="1">
        <f t="array" ref="M953">IF(B953&gt;0,'Direct Costs 2026'!$C$45*B953,"N/A")</f>
        <v>N/A</v>
      </c>
      <c r="N953" t="str" s="431" cm="1">
        <f t="array" ref="N953">IF(B953&gt;0,_xlfn.IFERROR(VLOOKUP(C936,'Boats Data Sheet 2026'!$C$3:$I$57,7,0)*'Direct Costs 2026'!$C$36,"N/A"),"N/A")</f>
        <v>N/A</v>
      </c>
      <c r="O953" t="str" s="431" cm="1">
        <f t="array" ref="O953">IF(B953&gt;0,IF(OR(VLOOKUP(C936,'Boats Data Sheet 2026'!$C$3:$F$57,4,0)="Own",VLOOKUP(C936,'Boats Data Sheet 2026'!$C$3:$F$57,4,0)="Management"),('Direct Costs 2026'!$C$37+'Direct Costs 2026'!$C$39),"N/A"),"N/A")</f>
        <v>N/A</v>
      </c>
      <c r="P953" s="423">
        <v>0</v>
      </c>
      <c r="Q953" t="str" s="431" cm="1">
        <f t="array" ref="Q953">_xlfn.IFERROR(C953+SUM(E953:P953),"N/A")</f>
        <v>N/A</v>
      </c>
      <c r="R953" s="424"/>
      <c r="S953" t="str" s="431" cm="1">
        <f t="array" ref="S953">IF(B953&gt;0,'Allocation OH and Target 2026'!$E$31,"N/A")</f>
        <v>N/A</v>
      </c>
      <c r="T953" s="423">
        <v>0</v>
      </c>
      <c r="U953" t="str" s="431" cm="1">
        <f t="array" ref="U953">_xlfn.IFERROR((S953+T953),"N/A")</f>
        <v>N/A</v>
      </c>
      <c r="V953" s="424"/>
      <c r="W953" t="str" s="431" cm="1">
        <f t="array" ref="W953">_xlfn.IFERROR(U953+Q953,"N/A")</f>
        <v>N/A</v>
      </c>
      <c r="X953" t="str" s="431" cm="1">
        <f t="array" ref="X953">_xlfn.IFERROR(W953*0.5%,"N/A")</f>
        <v>N/A</v>
      </c>
      <c r="Y953" t="str" s="431" cm="1">
        <f t="array" ref="Y953">_xlfn.IFERROR(W953*25%,"N/A")</f>
        <v>N/A</v>
      </c>
      <c r="Z953" t="str" s="426" cm="1">
        <f t="array" ref="Z953">IF(B953&gt;0,(SUM(W953:Y953)),"N/A")</f>
        <v>N/A</v>
      </c>
      <c r="AA953" t="str" s="426" cm="1">
        <f t="array" ref="AA953">_xlfn.IFERROR((Z953-Z952),"N/A")</f>
        <v>N/A</v>
      </c>
      <c r="AB953" s="424"/>
      <c r="AC953" t="str" s="426" cm="1">
        <f t="array" ref="AC953">IF(B953=6,AVERAGE(Z939:Z944),"N/A")</f>
        <v>N/A</v>
      </c>
      <c r="AD953" s="424"/>
      <c r="AE953" s="423"/>
      <c r="AF953" s="423"/>
      <c r="AG953" s="423"/>
      <c r="AH953" s="423"/>
      <c r="AI953" s="423"/>
      <c r="AJ953" s="423"/>
      <c r="AK953" s="423"/>
      <c r="AL953" s="423"/>
      <c r="AM953" s="423"/>
      <c r="AN953" s="427"/>
    </row>
    <row r="954" ht="15" customHeight="1">
      <c r="A954" s="12"/>
      <c r="B954" s="428" cm="1">
        <f t="array" ref="B954">IF(B953=0,0,IF(B953&lt;VLOOKUP(C936,'Boats Data Sheet 2026'!$C$3:$H$57,6,0),B953+1,0))</f>
        <v>0</v>
      </c>
      <c r="C954" t="str" s="431" cm="1">
        <f t="array" ref="C954">_xlfn.IFERROR(IF(B954&gt;0,IF(VLOOKUP($C$936,'Boats Data Sheet 2026'!$C$3:$J$57,8,0)="N/A",0,VLOOKUP($C$936,'Boats Data Sheet 2026'!$C$3:$J$57,8,0)),"N/A"),"N/A")</f>
        <v>N/A</v>
      </c>
      <c r="D954" t="str" s="431" cm="1">
        <f t="array" ref="D954">IF(B954&gt;8,2,IF(B954=0,"N/A",1))</f>
        <v>N/A</v>
      </c>
      <c r="E954" t="str" s="431" cm="1">
        <f t="array" ref="E954">_xlfn.IFERROR(SUM('Direct Costs 2026'!$C$4:$C$5)*D954,"N/A")</f>
        <v>N/A</v>
      </c>
      <c r="F954" s="423" cm="1">
        <f t="array" ref="F954">_xlfn.IFERROR('Direct Costs 2026'!$C$43*B954,"N/A")</f>
        <v>0</v>
      </c>
      <c r="G954" s="423">
        <v>0</v>
      </c>
      <c r="H954" s="423">
        <v>0</v>
      </c>
      <c r="I954" s="423">
        <v>0</v>
      </c>
      <c r="J954" s="423">
        <v>0</v>
      </c>
      <c r="K954" s="423">
        <v>0</v>
      </c>
      <c r="L954" s="423">
        <v>0</v>
      </c>
      <c r="M954" t="str" s="431" cm="1">
        <f t="array" ref="M954">IF(B954&gt;0,'Direct Costs 2026'!$C$45*B954,"N/A")</f>
        <v>N/A</v>
      </c>
      <c r="N954" t="str" s="431" cm="1">
        <f t="array" ref="N954">IF(B954&gt;0,_xlfn.IFERROR(VLOOKUP(C936,'Boats Data Sheet 2026'!$C$3:$I$57,7,0)*'Direct Costs 2026'!$C$36,"N/A"),"N/A")</f>
        <v>N/A</v>
      </c>
      <c r="O954" t="str" s="431" cm="1">
        <f t="array" ref="O954">IF(B954&gt;0,IF(OR(VLOOKUP(C936,'Boats Data Sheet 2026'!$C$3:$F$57,4,0)="Own",VLOOKUP(C936,'Boats Data Sheet 2026'!$C$3:$F$57,4,0)="Management"),('Direct Costs 2026'!$C$37+'Direct Costs 2026'!$C$39),"N/A"),"N/A")</f>
        <v>N/A</v>
      </c>
      <c r="P954" s="423">
        <v>0</v>
      </c>
      <c r="Q954" t="str" s="431" cm="1">
        <f t="array" ref="Q954">_xlfn.IFERROR(C954+SUM(E954:P954),"N/A")</f>
        <v>N/A</v>
      </c>
      <c r="R954" s="424"/>
      <c r="S954" t="str" s="431" cm="1">
        <f t="array" ref="S954">IF(B954&gt;0,'Allocation OH and Target 2026'!$E$31,"N/A")</f>
        <v>N/A</v>
      </c>
      <c r="T954" s="423">
        <v>0</v>
      </c>
      <c r="U954" t="str" s="431" cm="1">
        <f t="array" ref="U954">_xlfn.IFERROR((S954+T954),"N/A")</f>
        <v>N/A</v>
      </c>
      <c r="V954" s="424"/>
      <c r="W954" t="str" s="431" cm="1">
        <f t="array" ref="W954">_xlfn.IFERROR(U954+Q954,"N/A")</f>
        <v>N/A</v>
      </c>
      <c r="X954" t="str" s="431" cm="1">
        <f t="array" ref="X954">_xlfn.IFERROR(W954*0.5%,"N/A")</f>
        <v>N/A</v>
      </c>
      <c r="Y954" t="str" s="431" cm="1">
        <f t="array" ref="Y954">_xlfn.IFERROR(W954*25%,"N/A")</f>
        <v>N/A</v>
      </c>
      <c r="Z954" t="str" s="426" cm="1">
        <f t="array" ref="Z954">IF(B954&gt;0,(SUM(W954:Y954)),"N/A")</f>
        <v>N/A</v>
      </c>
      <c r="AA954" t="str" s="426" cm="1">
        <f t="array" ref="AA954">_xlfn.IFERROR((Z954-Z953),"N/A")</f>
        <v>N/A</v>
      </c>
      <c r="AB954" s="424"/>
      <c r="AC954" t="str" s="426" cm="1">
        <f t="array" ref="AC954">IF(B954=6,AVERAGE(Z939:Z944),"N/A")</f>
        <v>N/A</v>
      </c>
      <c r="AD954" s="424"/>
      <c r="AE954" s="423"/>
      <c r="AF954" s="423"/>
      <c r="AG954" s="423"/>
      <c r="AH954" s="423"/>
      <c r="AI954" s="423"/>
      <c r="AJ954" s="423"/>
      <c r="AK954" s="423"/>
      <c r="AL954" s="423"/>
      <c r="AM954" s="423"/>
      <c r="AN954" s="427"/>
    </row>
    <row r="955" ht="15" customHeight="1">
      <c r="A955" s="12"/>
      <c r="B955" s="428" cm="1">
        <f t="array" ref="B955">IF(B954=0,0,IF(B954&lt;VLOOKUP(C936,'Boats Data Sheet 2026'!$C$3:$H$57,6,0),B954+1,0))</f>
        <v>0</v>
      </c>
      <c r="C955" t="str" s="431" cm="1">
        <f t="array" ref="C955">_xlfn.IFERROR(IF(B955&gt;0,IF(VLOOKUP($C$936,'Boats Data Sheet 2026'!$C$3:$J$57,8,0)="N/A",0,VLOOKUP($C$936,'Boats Data Sheet 2026'!$C$3:$J$57,8,0)),"N/A"),"N/A")</f>
        <v>N/A</v>
      </c>
      <c r="D955" t="str" s="431" cm="1">
        <f t="array" ref="D955">IF(B955&gt;8,2,IF(B955=0,"N/A",1))</f>
        <v>N/A</v>
      </c>
      <c r="E955" t="str" s="431" cm="1">
        <f t="array" ref="E955">_xlfn.IFERROR(SUM('Direct Costs 2026'!$C$4:$C$5)*D955,"N/A")</f>
        <v>N/A</v>
      </c>
      <c r="F955" s="423" cm="1">
        <f t="array" ref="F955">_xlfn.IFERROR('Direct Costs 2026'!$C$43*B955,"N/A")</f>
        <v>0</v>
      </c>
      <c r="G955" s="423">
        <v>0</v>
      </c>
      <c r="H955" s="423">
        <v>0</v>
      </c>
      <c r="I955" s="423">
        <v>0</v>
      </c>
      <c r="J955" s="423">
        <v>0</v>
      </c>
      <c r="K955" s="423">
        <v>0</v>
      </c>
      <c r="L955" s="423">
        <v>0</v>
      </c>
      <c r="M955" t="str" s="431" cm="1">
        <f t="array" ref="M955">IF(B955&gt;0,'Direct Costs 2026'!$C$45*B955,"N/A")</f>
        <v>N/A</v>
      </c>
      <c r="N955" t="str" s="431" cm="1">
        <f t="array" ref="N955">IF(B955&gt;0,_xlfn.IFERROR(VLOOKUP(C936,'Boats Data Sheet 2026'!$C$3:$I$57,7,0)*'Direct Costs 2026'!$C$36,"N/A"),"N/A")</f>
        <v>N/A</v>
      </c>
      <c r="O955" t="str" s="431" cm="1">
        <f t="array" ref="O955">IF(B955&gt;0,IF(OR(VLOOKUP(C936,'Boats Data Sheet 2026'!$C$3:$F$57,4,0)="Own",VLOOKUP(C936,'Boats Data Sheet 2026'!$C$3:$F$57,4,0)="Management"),('Direct Costs 2026'!$C$37+'Direct Costs 2026'!$C$39),"N/A"),"N/A")</f>
        <v>N/A</v>
      </c>
      <c r="P955" s="423">
        <v>0</v>
      </c>
      <c r="Q955" t="str" s="431" cm="1">
        <f t="array" ref="Q955">_xlfn.IFERROR(C955+SUM(E955:P955),"N/A")</f>
        <v>N/A</v>
      </c>
      <c r="R955" s="424"/>
      <c r="S955" t="str" s="431" cm="1">
        <f t="array" ref="S955">IF(B955&gt;0,'Allocation OH and Target 2026'!$E$31,"N/A")</f>
        <v>N/A</v>
      </c>
      <c r="T955" s="423">
        <v>0</v>
      </c>
      <c r="U955" t="str" s="431" cm="1">
        <f t="array" ref="U955">_xlfn.IFERROR((S955+T955),"N/A")</f>
        <v>N/A</v>
      </c>
      <c r="V955" s="424"/>
      <c r="W955" t="str" s="431" cm="1">
        <f t="array" ref="W955">_xlfn.IFERROR(U955+Q955,"N/A")</f>
        <v>N/A</v>
      </c>
      <c r="X955" t="str" s="431" cm="1">
        <f t="array" ref="X955">_xlfn.IFERROR(W955*0.5%,"N/A")</f>
        <v>N/A</v>
      </c>
      <c r="Y955" t="str" s="431" cm="1">
        <f t="array" ref="Y955">_xlfn.IFERROR(W955*25%,"N/A")</f>
        <v>N/A</v>
      </c>
      <c r="Z955" t="str" s="426" cm="1">
        <f t="array" ref="Z955">IF(B955&gt;0,(SUM(W955:Y955)),"N/A")</f>
        <v>N/A</v>
      </c>
      <c r="AA955" t="str" s="426" cm="1">
        <f t="array" ref="AA955">_xlfn.IFERROR((Z955-Z954),"N/A")</f>
        <v>N/A</v>
      </c>
      <c r="AB955" s="424"/>
      <c r="AC955" t="str" s="426" cm="1">
        <f t="array" ref="AC955">IF(B955=6,AVERAGE(Z939:Z944),"N/A")</f>
        <v>N/A</v>
      </c>
      <c r="AD955" s="424"/>
      <c r="AE955" s="423"/>
      <c r="AF955" s="423"/>
      <c r="AG955" s="423"/>
      <c r="AH955" s="423"/>
      <c r="AI955" s="423"/>
      <c r="AJ955" s="423"/>
      <c r="AK955" s="423"/>
      <c r="AL955" s="423"/>
      <c r="AM955" s="423"/>
      <c r="AN955" s="427"/>
    </row>
    <row r="956" ht="15.5" customHeight="1">
      <c r="A956" s="12"/>
      <c r="B956" s="432" cm="1">
        <f t="array" ref="B956">IF(B955=0,0,IF(B955&lt;VLOOKUP(C936,'Boats Data Sheet 2026'!$C$3:$H$57,6,0),B955+1,0))</f>
        <v>0</v>
      </c>
      <c r="C956" t="str" s="433" cm="1">
        <f t="array" ref="C956">_xlfn.IFERROR(IF(B956&gt;0,IF(VLOOKUP($C$936,'Boats Data Sheet 2026'!$C$3:$J$57,8,0)="N/A",0,VLOOKUP($C$936,'Boats Data Sheet 2026'!$C$3:$J$57,8,0)),"N/A"),"N/A")</f>
        <v>N/A</v>
      </c>
      <c r="D956" t="str" s="433" cm="1">
        <f t="array" ref="D956">IF(B956&gt;8,2,IF(B956=0,"N/A",1))</f>
        <v>N/A</v>
      </c>
      <c r="E956" t="str" s="433" cm="1">
        <f t="array" ref="E956">_xlfn.IFERROR(SUM('Direct Costs 2026'!$C$4:$C$5)*D956,"N/A")</f>
        <v>N/A</v>
      </c>
      <c r="F956" s="434" cm="1">
        <f t="array" ref="F956">_xlfn.IFERROR('Direct Costs 2026'!$C$43*B956,"N/A")</f>
        <v>0</v>
      </c>
      <c r="G956" s="434">
        <v>0</v>
      </c>
      <c r="H956" s="434">
        <v>0</v>
      </c>
      <c r="I956" s="434">
        <v>0</v>
      </c>
      <c r="J956" s="434">
        <v>0</v>
      </c>
      <c r="K956" s="434">
        <v>0</v>
      </c>
      <c r="L956" s="434">
        <v>0</v>
      </c>
      <c r="M956" t="str" s="433" cm="1">
        <f t="array" ref="M956">IF(B956&gt;0,'Direct Costs 2026'!$C$45*B956,"N/A")</f>
        <v>N/A</v>
      </c>
      <c r="N956" t="str" s="433" cm="1">
        <f t="array" ref="N956">IF(B956&gt;0,_xlfn.IFERROR(VLOOKUP(C936,'Boats Data Sheet 2026'!$C$3:$I$57,7,0)*'Direct Costs 2026'!$C$36,"N/A"),"N/A")</f>
        <v>N/A</v>
      </c>
      <c r="O956" t="str" s="433" cm="1">
        <f t="array" ref="O956">IF(B956&gt;0,IF(OR(VLOOKUP(C936,'Boats Data Sheet 2026'!$C$3:$F$57,4,0)="Own",VLOOKUP(C936,'Boats Data Sheet 2026'!$C$3:$F$57,4,0)="Management"),('Direct Costs 2026'!$C$37+'Direct Costs 2026'!$C$39),"N/A"),"N/A")</f>
        <v>N/A</v>
      </c>
      <c r="P956" s="434">
        <v>0</v>
      </c>
      <c r="Q956" t="str" s="433" cm="1">
        <f t="array" ref="Q956">_xlfn.IFERROR(C956+SUM(E956:P956),"N/A")</f>
        <v>N/A</v>
      </c>
      <c r="R956" s="435"/>
      <c r="S956" t="str" s="433" cm="1">
        <f t="array" ref="S956">IF(B956&gt;0,'Allocation OH and Target 2026'!$E$31,"N/A")</f>
        <v>N/A</v>
      </c>
      <c r="T956" s="434">
        <v>0</v>
      </c>
      <c r="U956" t="str" s="433" cm="1">
        <f t="array" ref="U956">_xlfn.IFERROR((S956+T956),"N/A")</f>
        <v>N/A</v>
      </c>
      <c r="V956" s="435"/>
      <c r="W956" t="str" s="433" cm="1">
        <f t="array" ref="W956">_xlfn.IFERROR(U956+Q956,"N/A")</f>
        <v>N/A</v>
      </c>
      <c r="X956" t="str" s="433" cm="1">
        <f t="array" ref="X956">_xlfn.IFERROR(W956*0.5%,"N/A")</f>
        <v>N/A</v>
      </c>
      <c r="Y956" t="str" s="433" cm="1">
        <f t="array" ref="Y956">_xlfn.IFERROR(W956*25%,"N/A")</f>
        <v>N/A</v>
      </c>
      <c r="Z956" t="str" s="436" cm="1">
        <f t="array" ref="Z956">IF(B956&gt;0,(SUM(W956:Y956)),"N/A")</f>
        <v>N/A</v>
      </c>
      <c r="AA956" t="str" s="436" cm="1">
        <f t="array" ref="AA956">_xlfn.IFERROR((Z956-Z955),"N/A")</f>
        <v>N/A</v>
      </c>
      <c r="AB956" s="435"/>
      <c r="AC956" t="str" s="436" cm="1">
        <f t="array" ref="AC956">IF(B956=6,AVERAGE(Z939:Z944),"N/A")</f>
        <v>N/A</v>
      </c>
      <c r="AD956" s="435"/>
      <c r="AE956" s="497"/>
      <c r="AF956" s="497"/>
      <c r="AG956" s="497"/>
      <c r="AH956" s="497"/>
      <c r="AI956" s="497"/>
      <c r="AJ956" s="497"/>
      <c r="AK956" s="497"/>
      <c r="AL956" s="434"/>
      <c r="AM956" s="497"/>
      <c r="AN956" s="437"/>
    </row>
    <row r="957" ht="15" customHeight="1">
      <c r="A957" s="32"/>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c r="AH957" s="124"/>
      <c r="AI957" s="124"/>
      <c r="AJ957" s="124"/>
      <c r="AK957" s="124"/>
      <c r="AL957" s="124"/>
      <c r="AM957" s="124"/>
      <c r="AN957" s="313"/>
    </row>
    <row r="958" ht="15" customHeight="1">
      <c r="A958" s="32"/>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c r="AH958" s="35"/>
      <c r="AI958" s="35"/>
      <c r="AJ958" s="35"/>
      <c r="AK958" s="35"/>
      <c r="AL958" s="35"/>
      <c r="AM958" s="35"/>
      <c r="AN958" s="442"/>
    </row>
    <row r="959" ht="15.5" customHeight="1">
      <c r="A959" s="395">
        <v>32</v>
      </c>
      <c r="B959" t="s" s="396">
        <v>506</v>
      </c>
      <c r="C959" t="s" s="397">
        <v>49</v>
      </c>
      <c r="D959" s="502"/>
      <c r="E959" s="398"/>
      <c r="F959" s="398"/>
      <c r="G959" s="398"/>
      <c r="H959" s="398"/>
      <c r="I959" s="398"/>
      <c r="J959" s="398"/>
      <c r="K959" s="398"/>
      <c r="L959" s="398"/>
      <c r="M959" s="398"/>
      <c r="N959" s="398"/>
      <c r="O959" s="398"/>
      <c r="P959" s="398"/>
      <c r="Q959" s="398"/>
      <c r="R959" s="399"/>
      <c r="S959" s="398"/>
      <c r="T959" s="398"/>
      <c r="U959" s="398"/>
      <c r="V959" s="399"/>
      <c r="W959" s="398"/>
      <c r="X959" s="398"/>
      <c r="Y959" s="398"/>
      <c r="Z959" s="398"/>
      <c r="AA959" s="398"/>
      <c r="AB959" s="399"/>
      <c r="AC959" s="398"/>
      <c r="AD959" s="399"/>
      <c r="AE959" t="s" s="397">
        <v>508</v>
      </c>
      <c r="AF959" s="401" cm="1">
        <f t="array" ref="AF959">AVERAGE(Q962:Q967)</f>
        <v>9847333.333333321</v>
      </c>
      <c r="AG959" t="s" s="400">
        <v>509</v>
      </c>
      <c r="AH959" s="401" cm="1">
        <f t="array" ref="AH959">AVERAGE(Q968:Q975)-AF959</f>
        <v>1991928.57142855</v>
      </c>
      <c r="AI959" t="s" s="400">
        <v>510</v>
      </c>
      <c r="AJ959" s="401" cm="1">
        <f t="array" ref="AJ959">AVERAGE(Y962:Y969)</f>
        <v>3312054.49775787</v>
      </c>
      <c r="AK959" t="s" s="397">
        <v>511</v>
      </c>
      <c r="AL959" s="401" cm="1">
        <f t="array" ref="AL959">AVERAGE(W962:W967)</f>
        <v>12947780.4910315</v>
      </c>
      <c r="AM959" t="s" s="400">
        <v>512</v>
      </c>
      <c r="AN959" s="402" cm="1">
        <f t="array" ref="AN959">W962</f>
        <v>12470280.4910315</v>
      </c>
    </row>
    <row r="960" ht="15" customHeight="1">
      <c r="A960" s="12"/>
      <c r="B960" s="403"/>
      <c r="C960" t="s" s="404">
        <v>513</v>
      </c>
      <c r="D960" s="405"/>
      <c r="E960" s="405"/>
      <c r="F960" s="405"/>
      <c r="G960" s="405"/>
      <c r="H960" s="405"/>
      <c r="I960" s="405"/>
      <c r="J960" s="405"/>
      <c r="K960" s="405"/>
      <c r="L960" s="405"/>
      <c r="M960" s="405"/>
      <c r="N960" s="405"/>
      <c r="O960" s="405"/>
      <c r="P960" s="405"/>
      <c r="Q960" s="406"/>
      <c r="R960" s="407"/>
      <c r="S960" t="s" s="404">
        <v>514</v>
      </c>
      <c r="T960" s="405"/>
      <c r="U960" s="406"/>
      <c r="V960" s="407"/>
      <c r="W960" t="s" s="404">
        <v>515</v>
      </c>
      <c r="X960" s="405"/>
      <c r="Y960" s="405"/>
      <c r="Z960" s="405"/>
      <c r="AA960" s="405"/>
      <c r="AB960" s="408"/>
      <c r="AC960" t="s" s="409">
        <v>516</v>
      </c>
      <c r="AD960" s="410"/>
      <c r="AE960" s="443"/>
      <c r="AF960" s="443"/>
      <c r="AG960" s="443"/>
      <c r="AH960" s="443"/>
      <c r="AI960" s="443"/>
      <c r="AJ960" s="443"/>
      <c r="AK960" s="443"/>
      <c r="AL960" s="414"/>
      <c r="AM960" s="415"/>
      <c r="AN960" s="414"/>
    </row>
    <row r="961" ht="46.25" customHeight="1">
      <c r="A961" s="187"/>
      <c r="B961" t="s" s="416">
        <v>517</v>
      </c>
      <c r="C961" t="s" s="417">
        <v>518</v>
      </c>
      <c r="D961" t="s" s="417">
        <v>519</v>
      </c>
      <c r="E961" t="s" s="417">
        <v>520</v>
      </c>
      <c r="F961" t="s" s="159">
        <v>521</v>
      </c>
      <c r="G961" t="s" s="159">
        <v>522</v>
      </c>
      <c r="H961" t="s" s="159">
        <v>553</v>
      </c>
      <c r="I961" t="s" s="159">
        <v>524</v>
      </c>
      <c r="J961" t="s" s="159">
        <v>525</v>
      </c>
      <c r="K961" t="s" s="159">
        <v>526</v>
      </c>
      <c r="L961" t="s" s="159">
        <v>527</v>
      </c>
      <c r="M961" t="s" s="159">
        <v>528</v>
      </c>
      <c r="N961" t="s" s="159">
        <v>529</v>
      </c>
      <c r="O961" t="s" s="159">
        <v>530</v>
      </c>
      <c r="P961" t="s" s="159">
        <v>531</v>
      </c>
      <c r="Q961" t="s" s="159">
        <v>532</v>
      </c>
      <c r="R961" s="418"/>
      <c r="S961" t="s" s="159">
        <v>533</v>
      </c>
      <c r="T961" t="s" s="159">
        <v>534</v>
      </c>
      <c r="U961" t="s" s="159">
        <v>535</v>
      </c>
      <c r="V961" s="418"/>
      <c r="W961" t="s" s="159">
        <v>536</v>
      </c>
      <c r="X961" t="s" s="159">
        <v>537</v>
      </c>
      <c r="Y961" t="s" s="159">
        <v>538</v>
      </c>
      <c r="Z961" t="s" s="159">
        <v>539</v>
      </c>
      <c r="AA961" t="s" s="159">
        <v>121</v>
      </c>
      <c r="AB961" s="419"/>
      <c r="AC961" t="s" s="159">
        <v>39</v>
      </c>
      <c r="AD961" s="419"/>
      <c r="AE961" s="77"/>
      <c r="AF961" s="77"/>
      <c r="AG961" s="77"/>
      <c r="AH961" s="77"/>
      <c r="AI961" s="77"/>
      <c r="AJ961" s="77"/>
      <c r="AK961" s="77"/>
      <c r="AL961" s="77"/>
      <c r="AM961" s="77"/>
      <c r="AN961" s="78"/>
    </row>
    <row r="962" ht="15" customHeight="1">
      <c r="A962" s="12"/>
      <c r="B962" s="420">
        <v>1</v>
      </c>
      <c r="C962" s="421" cm="1">
        <f t="array" ref="C962">IF(B962&gt;0,IF(VLOOKUP(C959,'Boats Data Sheet 2026'!$C$3:$J$57,8,0)="N/A",0,VLOOKUP(C959,'Boats Data Sheet 2026'!$C$3:$J$57,8,0)),"N/A")</f>
        <v>7500000</v>
      </c>
      <c r="D962" s="422" cm="1">
        <f t="array" ref="D962">IF(B962&gt;7,2,IF(B962=0,"N/A",1))</f>
        <v>1</v>
      </c>
      <c r="E962" s="421" cm="1">
        <f t="array" ref="E962">_xlfn.IFERROR(SUM('Direct Costs 2026'!$C$4:$C$5)*D962,"N/A")</f>
        <v>875500</v>
      </c>
      <c r="F962" s="423" cm="1">
        <f t="array" ref="F962">_xlfn.IFERROR('Direct Costs 2026'!$C$43*B962,"N/A")</f>
        <v>6000</v>
      </c>
      <c r="G962" s="423" cm="1">
        <f t="array" ref="G962">IF(B962&gt;0,'Direct Costs 2026'!$C$25,"N/A")</f>
        <v>90000</v>
      </c>
      <c r="H962" s="423" cm="1">
        <f t="array" ref="H962">IF(B962&gt;0,'Direct Costs 2026'!$C$15+'Direct Costs 2026'!$C$14,"N/A")</f>
        <v>230000</v>
      </c>
      <c r="I962" s="423" cm="1">
        <f t="array" ref="I962">IF(B962&gt;0,'Direct Costs 2026'!$C$19+'Direct Costs 2026'!$C$18*B962,"N/A")</f>
        <v>110000</v>
      </c>
      <c r="J962" s="423" cm="1">
        <f t="array" ref="J962">IF(B962&gt;0,SUM('Direct Costs 2026'!$C$20:$C$21),"N/A")</f>
        <v>98333.3333333333</v>
      </c>
      <c r="K962" s="423" cm="1">
        <f t="array" ref="K962">IF(B962&gt;0,'Direct Costs 2026'!$C$26,"N/A")</f>
        <v>20000</v>
      </c>
      <c r="L962" s="423" cm="1">
        <f t="array" ref="L962">IF(B962&gt;0,'Direct Costs 2026'!$C$23,"N/A")</f>
        <v>140000</v>
      </c>
      <c r="M962" s="423" cm="1">
        <f t="array" ref="M962">IF(B962&gt;0,'Direct Costs 2026'!$C$45*B962,"N/A")</f>
        <v>150000</v>
      </c>
      <c r="N962" t="str" s="431" cm="1">
        <f t="array" ref="N962">IF(B962&gt;0,_xlfn.IFERROR(VLOOKUP(C959,'Boats Data Sheet 2026'!$C$3:$I$57,7,0)*'Direct Costs 2026'!$C$36,"N/A"),"N/A")</f>
        <v>N/A</v>
      </c>
      <c r="O962" t="str" s="431" cm="1">
        <f t="array" ref="O962">IF(B962&gt;0,IF(OR(VLOOKUP(C959,'Boats Data Sheet 2026'!$C$3:$F$57,4,0)="Own",VLOOKUP(C959,'Boats Data Sheet 2026'!$C$3:$F$57,4,0)="Management"),('Direct Costs 2026'!$C$37+'Direct Costs 2026'!$C$39),"N/A"),"N/A")</f>
        <v>N/A</v>
      </c>
      <c r="P962" s="423" cm="1">
        <f t="array" ref="P962">_xlfn.IFERROR('Direct Costs 2026'!$C$27*C962,"N/A")</f>
        <v>150000</v>
      </c>
      <c r="Q962" s="423" cm="1">
        <f t="array" ref="Q962">_xlfn.IFERROR(C962+SUM(E962:P962),"N/A")</f>
        <v>9369833.33333333</v>
      </c>
      <c r="R962" s="424"/>
      <c r="S962" s="423" cm="1">
        <f t="array" ref="S962">IF(B962&gt;0,'Allocation OH and Target 2026'!$E$31,"N/A")</f>
        <v>3100447.15769812</v>
      </c>
      <c r="T962" s="423" cm="1">
        <f t="array" ref="T962">IF(B962&gt;0,VLOOKUP(C959,'Allocation OH and Target 2026'!$C$35:$S$87,16,0),"N/A")</f>
        <v>0</v>
      </c>
      <c r="U962" s="423" cm="1">
        <f t="array" ref="U962">_xlfn.IFERROR((S962+T962),"N/A")</f>
        <v>3100447.15769812</v>
      </c>
      <c r="V962" s="424"/>
      <c r="W962" s="423" cm="1">
        <f t="array" ref="W962">_xlfn.IFERROR(U962+Q962,"N/A")</f>
        <v>12470280.4910315</v>
      </c>
      <c r="X962" s="423" cm="1">
        <f t="array" ref="X962">_xlfn.IFERROR(W962*0.5%,"N/A")</f>
        <v>62351.4024551575</v>
      </c>
      <c r="Y962" s="423" cm="1">
        <f t="array" ref="Y962">_xlfn.IFERROR(W962*25%,"N/A")</f>
        <v>3117570.12275788</v>
      </c>
      <c r="Z962" s="425" cm="1">
        <f t="array" ref="Z962">IF(B962&gt;0,SUM(W962:Y962),"N/A")</f>
        <v>15650202.0162445</v>
      </c>
      <c r="AA962" s="425">
        <v>0</v>
      </c>
      <c r="AB962" s="424"/>
      <c r="AC962" t="str" s="426" cm="1">
        <f t="array" ref="AC962">IF(B962=6,AVERAGE(Z962:Z967),"N/A")</f>
        <v>N/A</v>
      </c>
      <c r="AD962" s="424"/>
      <c r="AE962" s="423"/>
      <c r="AF962" s="423"/>
      <c r="AG962" s="423"/>
      <c r="AH962" s="423"/>
      <c r="AI962" s="423"/>
      <c r="AJ962" s="423"/>
      <c r="AK962" s="423"/>
      <c r="AL962" s="423"/>
      <c r="AM962" s="423"/>
      <c r="AN962" s="427"/>
    </row>
    <row r="963" ht="15" customHeight="1">
      <c r="A963" s="12"/>
      <c r="B963" s="428" cm="1">
        <f t="array" ref="B963">IF(B962=0,0,IF(B962&lt;VLOOKUP(C959,'Boats Data Sheet 2026'!$C$3:$H$57,6,0),B962+1,0))</f>
        <v>2</v>
      </c>
      <c r="C963" s="423" cm="1">
        <f t="array" ref="C963">IF(B963&gt;0,IF(VLOOKUP(C959,'Boats Data Sheet 2026'!$C$3:$J$57,8,0)="N/A",0,VLOOKUP(C959,'Boats Data Sheet 2026'!$C$3:$J$57,8,0)),"N/A")</f>
        <v>7500000</v>
      </c>
      <c r="D963" s="429" cm="1">
        <f t="array" ref="D963">IF(B963&gt;7,2,IF(B963=0,"N/A",1))</f>
        <v>1</v>
      </c>
      <c r="E963" s="423" cm="1">
        <f t="array" ref="E963">_xlfn.IFERROR(SUM('Direct Costs 2026'!$C$4:$C$5)*D963,"N/A")</f>
        <v>875500</v>
      </c>
      <c r="F963" s="423" cm="1">
        <f t="array" ref="F963">_xlfn.IFERROR('Direct Costs 2026'!$C$43*B963,"N/A")</f>
        <v>12000</v>
      </c>
      <c r="G963" s="423" cm="1">
        <f t="array" ref="G963">IF(B963&gt;0,'Direct Costs 2026'!$C$25,"N/A")</f>
        <v>90000</v>
      </c>
      <c r="H963" s="423" cm="1">
        <f t="array" ref="H963">IF(B963&gt;0,'Direct Costs 2026'!$C$15+'Direct Costs 2026'!$C$14,"N/A")</f>
        <v>230000</v>
      </c>
      <c r="I963" s="423" cm="1">
        <f t="array" ref="I963">IF(B963&gt;0,'Direct Costs 2026'!$C$19+'Direct Costs 2026'!$C$18*B963,"N/A")</f>
        <v>145000</v>
      </c>
      <c r="J963" s="423" cm="1">
        <f t="array" ref="J963">IF(B963&gt;0,SUM('Direct Costs 2026'!$C$20:$C$21),"N/A")</f>
        <v>98333.3333333333</v>
      </c>
      <c r="K963" s="423" cm="1">
        <f t="array" ref="K963">IF(B963&gt;0,'Direct Costs 2026'!$C$26,"N/A")</f>
        <v>20000</v>
      </c>
      <c r="L963" s="423" cm="1">
        <f t="array" ref="L963">IF(B963&gt;0,'Direct Costs 2026'!$C$23,"N/A")</f>
        <v>140000</v>
      </c>
      <c r="M963" s="423" cm="1">
        <f t="array" ref="M963">IF(B963&gt;0,'Direct Costs 2026'!$C$45*B963,"N/A")</f>
        <v>300000</v>
      </c>
      <c r="N963" t="str" s="431" cm="1">
        <f t="array" ref="N963">IF(B963&gt;0,_xlfn.IFERROR(VLOOKUP(C959,'Boats Data Sheet 2026'!$C$3:$I$57,7,0)*'Direct Costs 2026'!$C$36,"N/A"),"N/A")</f>
        <v>N/A</v>
      </c>
      <c r="O963" t="str" s="431" cm="1">
        <f t="array" ref="O963">IF(B963&gt;0,IF(OR(VLOOKUP(C959,'Boats Data Sheet 2026'!$C$3:$F$57,4,0)="Own",VLOOKUP(C959,'Boats Data Sheet 2026'!$C$3:$F$57,4,0)="Management"),('Direct Costs 2026'!$C$37+'Direct Costs 2026'!$C$39),"N/A"),"N/A")</f>
        <v>N/A</v>
      </c>
      <c r="P963" s="423" cm="1">
        <f t="array" ref="P963">_xlfn.IFERROR('Direct Costs 2026'!$C$27*C963,"N/A")</f>
        <v>150000</v>
      </c>
      <c r="Q963" s="423" cm="1">
        <f t="array" ref="Q963">_xlfn.IFERROR(C963+SUM(E963:P963),"N/A")</f>
        <v>9560833.33333333</v>
      </c>
      <c r="R963" s="424"/>
      <c r="S963" s="423" cm="1">
        <f t="array" ref="S963">IF(B963&gt;0,'Allocation OH and Target 2026'!$E$31,"N/A")</f>
        <v>3100447.15769812</v>
      </c>
      <c r="T963" s="423" cm="1">
        <f t="array" ref="T963">IF(B963&gt;0,VLOOKUP(C959,'Allocation OH and Target 2026'!$C$35:$S$87,16,0),"N/A")</f>
        <v>0</v>
      </c>
      <c r="U963" s="423" cm="1">
        <f t="array" ref="U963">_xlfn.IFERROR((S963+T963),"N/A")</f>
        <v>3100447.15769812</v>
      </c>
      <c r="V963" s="424"/>
      <c r="W963" s="423" cm="1">
        <f t="array" ref="W963">_xlfn.IFERROR(U963+Q963,"N/A")</f>
        <v>12661280.4910315</v>
      </c>
      <c r="X963" s="423" cm="1">
        <f t="array" ref="X963">_xlfn.IFERROR(W963*0.5%,"N/A")</f>
        <v>63306.4024551575</v>
      </c>
      <c r="Y963" s="423" cm="1">
        <f t="array" ref="Y963">_xlfn.IFERROR(W963*25%,"N/A")</f>
        <v>3165320.12275788</v>
      </c>
      <c r="Z963" s="425" cm="1">
        <f t="array" ref="Z963">IF(B963&gt;0,SUM(W963:Y963),"N/A")</f>
        <v>15889907.0162445</v>
      </c>
      <c r="AA963" s="425" cm="1">
        <f t="array" ref="AA963">_xlfn.IFERROR((Z963-Z962),"N/A")</f>
        <v>239705</v>
      </c>
      <c r="AB963" s="424"/>
      <c r="AC963" t="str" s="426" cm="1">
        <f t="array" ref="AC963">IF(B963=6,AVERAGE(Z962:Z967),"N/A")</f>
        <v>N/A</v>
      </c>
      <c r="AD963" s="424"/>
      <c r="AE963" s="423"/>
      <c r="AF963" s="423"/>
      <c r="AG963" s="423"/>
      <c r="AH963" s="423"/>
      <c r="AI963" s="423"/>
      <c r="AJ963" s="423"/>
      <c r="AK963" s="423"/>
      <c r="AL963" s="423"/>
      <c r="AM963" s="423"/>
      <c r="AN963" s="427"/>
    </row>
    <row r="964" ht="15" customHeight="1">
      <c r="A964" s="12"/>
      <c r="B964" s="428" cm="1">
        <f t="array" ref="B964">IF(B963=0,0,IF(B963&lt;VLOOKUP(C959,'Boats Data Sheet 2026'!$C$3:$H$57,6,0),B963+1,0))</f>
        <v>3</v>
      </c>
      <c r="C964" s="423" cm="1">
        <f t="array" ref="C964">IF(B964&gt;0,IF(VLOOKUP(C959,'Boats Data Sheet 2026'!$C$3:$J$57,8,0)="N/A",0,VLOOKUP(C959,'Boats Data Sheet 2026'!$C$3:$J$57,8,0)),"N/A")</f>
        <v>7500000</v>
      </c>
      <c r="D964" s="429" cm="1">
        <f t="array" ref="D964">IF(B964&gt;7,2,IF(B964=0,"N/A",1))</f>
        <v>1</v>
      </c>
      <c r="E964" s="423" cm="1">
        <f t="array" ref="E964">_xlfn.IFERROR(SUM('Direct Costs 2026'!$C$4:$C$5)*D964,"N/A")</f>
        <v>875500</v>
      </c>
      <c r="F964" s="423" cm="1">
        <f t="array" ref="F964">_xlfn.IFERROR('Direct Costs 2026'!$C$43*B964,"N/A")</f>
        <v>18000</v>
      </c>
      <c r="G964" s="423" cm="1">
        <f t="array" ref="G964">IF(B964&gt;0,'Direct Costs 2026'!$C$25,"N/A")</f>
        <v>90000</v>
      </c>
      <c r="H964" s="423" cm="1">
        <f t="array" ref="H964">IF(B964&gt;0,'Direct Costs 2026'!$C$15+'Direct Costs 2026'!$C$14,"N/A")</f>
        <v>230000</v>
      </c>
      <c r="I964" s="423" cm="1">
        <f t="array" ref="I964">IF(B964&gt;0,'Direct Costs 2026'!$C$19+'Direct Costs 2026'!$C$18*B964,"N/A")</f>
        <v>180000</v>
      </c>
      <c r="J964" s="423" cm="1">
        <f t="array" ref="J964">IF(B964&gt;0,SUM('Direct Costs 2026'!$C$20:$C$21),"N/A")</f>
        <v>98333.3333333333</v>
      </c>
      <c r="K964" s="423" cm="1">
        <f t="array" ref="K964">IF(B964&gt;0,'Direct Costs 2026'!$C$26,"N/A")</f>
        <v>20000</v>
      </c>
      <c r="L964" s="423" cm="1">
        <f t="array" ref="L964">IF(B964&gt;0,'Direct Costs 2026'!$C$23,"N/A")</f>
        <v>140000</v>
      </c>
      <c r="M964" s="423" cm="1">
        <f t="array" ref="M964">IF(B964&gt;0,'Direct Costs 2026'!$C$45*B964,"N/A")</f>
        <v>450000</v>
      </c>
      <c r="N964" t="str" s="431" cm="1">
        <f t="array" ref="N964">IF(B964&gt;0,_xlfn.IFERROR(VLOOKUP(C959,'Boats Data Sheet 2026'!$C$3:$I$57,7,0)*'Direct Costs 2026'!$C$36,"N/A"),"N/A")</f>
        <v>N/A</v>
      </c>
      <c r="O964" t="str" s="431" cm="1">
        <f t="array" ref="O964">IF(B964&gt;0,IF(OR(VLOOKUP(C959,'Boats Data Sheet 2026'!$C$3:$F$57,4,0)="Own",VLOOKUP(C959,'Boats Data Sheet 2026'!$C$3:$F$57,4,0)="Management"),('Direct Costs 2026'!$C$37+'Direct Costs 2026'!$C$39),"N/A"),"N/A")</f>
        <v>N/A</v>
      </c>
      <c r="P964" s="423" cm="1">
        <f t="array" ref="P964">_xlfn.IFERROR('Direct Costs 2026'!$C$27*C964,"N/A")</f>
        <v>150000</v>
      </c>
      <c r="Q964" s="423" cm="1">
        <f t="array" ref="Q964">_xlfn.IFERROR(C964+SUM(E964:P964),"N/A")</f>
        <v>9751833.33333333</v>
      </c>
      <c r="R964" s="424"/>
      <c r="S964" s="423" cm="1">
        <f t="array" ref="S964">IF(B964&gt;0,'Allocation OH and Target 2026'!$E$31,"N/A")</f>
        <v>3100447.15769812</v>
      </c>
      <c r="T964" s="423" cm="1">
        <f t="array" ref="T964">IF(B964&gt;0,VLOOKUP(C959,'Allocation OH and Target 2026'!$C$35:$S$87,16,0),"N/A")</f>
        <v>0</v>
      </c>
      <c r="U964" s="423" cm="1">
        <f t="array" ref="U964">_xlfn.IFERROR((S964+T964),"N/A")</f>
        <v>3100447.15769812</v>
      </c>
      <c r="V964" s="424"/>
      <c r="W964" s="423" cm="1">
        <f t="array" ref="W964">_xlfn.IFERROR(U964+Q964,"N/A")</f>
        <v>12852280.4910315</v>
      </c>
      <c r="X964" s="423" cm="1">
        <f t="array" ref="X964">_xlfn.IFERROR(W964*0.5%,"N/A")</f>
        <v>64261.4024551575</v>
      </c>
      <c r="Y964" s="423" cm="1">
        <f t="array" ref="Y964">_xlfn.IFERROR(W964*25%,"N/A")</f>
        <v>3213070.12275788</v>
      </c>
      <c r="Z964" s="425" cm="1">
        <f t="array" ref="Z964">IF(B964&gt;0,SUM(W964:Y964),"N/A")</f>
        <v>16129612.0162445</v>
      </c>
      <c r="AA964" s="425" cm="1">
        <f t="array" ref="AA964">_xlfn.IFERROR((Z964-Z963),"N/A")</f>
        <v>239705</v>
      </c>
      <c r="AB964" s="424"/>
      <c r="AC964" t="str" s="426" cm="1">
        <f t="array" ref="AC964">IF(B964=6,AVERAGE(Z962:Z967),"N/A")</f>
        <v>N/A</v>
      </c>
      <c r="AD964" s="424"/>
      <c r="AE964" s="423"/>
      <c r="AF964" s="423"/>
      <c r="AG964" s="423"/>
      <c r="AH964" s="423"/>
      <c r="AI964" s="423"/>
      <c r="AJ964" s="423"/>
      <c r="AK964" s="423"/>
      <c r="AL964" s="423"/>
      <c r="AM964" s="423"/>
      <c r="AN964" s="427"/>
    </row>
    <row r="965" ht="15" customHeight="1">
      <c r="A965" s="12"/>
      <c r="B965" s="428" cm="1">
        <f t="array" ref="B965">IF(B964=0,0,IF(B964&lt;VLOOKUP(C959,'Boats Data Sheet 2026'!$C$3:$H$57,6,0),B964+1,0))</f>
        <v>4</v>
      </c>
      <c r="C965" s="423" cm="1">
        <f t="array" ref="C965">IF(B965&gt;0,IF(VLOOKUP(C959,'Boats Data Sheet 2026'!$C$3:$J$57,8,0)="N/A",0,VLOOKUP(C959,'Boats Data Sheet 2026'!$C$3:$J$57,8,0)),"N/A")</f>
        <v>7500000</v>
      </c>
      <c r="D965" s="429" cm="1">
        <f t="array" ref="D965">IF(B965&gt;7,2,IF(B965=0,"N/A",1))</f>
        <v>1</v>
      </c>
      <c r="E965" s="423" cm="1">
        <f t="array" ref="E965">_xlfn.IFERROR(SUM('Direct Costs 2026'!$C$4:$C$5)*D965,"N/A")</f>
        <v>875500</v>
      </c>
      <c r="F965" s="423" cm="1">
        <f t="array" ref="F965">_xlfn.IFERROR('Direct Costs 2026'!$C$43*B965,"N/A")</f>
        <v>24000</v>
      </c>
      <c r="G965" s="423" cm="1">
        <f t="array" ref="G965">IF(B965&gt;0,'Direct Costs 2026'!$C$25,"N/A")</f>
        <v>90000</v>
      </c>
      <c r="H965" s="423" cm="1">
        <f t="array" ref="H965">IF(B965&gt;0,'Direct Costs 2026'!$C$15+'Direct Costs 2026'!$C$14,"N/A")</f>
        <v>230000</v>
      </c>
      <c r="I965" s="423" cm="1">
        <f t="array" ref="I965">IF(B965&gt;0,'Direct Costs 2026'!$C$19+'Direct Costs 2026'!$C$18*B965,"N/A")</f>
        <v>215000</v>
      </c>
      <c r="J965" s="423" cm="1">
        <f t="array" ref="J965">IF(B965&gt;0,SUM('Direct Costs 2026'!$C$20:$C$21),"N/A")</f>
        <v>98333.3333333333</v>
      </c>
      <c r="K965" s="423" cm="1">
        <f t="array" ref="K965">IF(B965&gt;0,'Direct Costs 2026'!$C$26,"N/A")</f>
        <v>20000</v>
      </c>
      <c r="L965" s="423" cm="1">
        <f t="array" ref="L965">IF(B965&gt;0,'Direct Costs 2026'!$C$23,"N/A")</f>
        <v>140000</v>
      </c>
      <c r="M965" s="423" cm="1">
        <f t="array" ref="M965">IF(B965&gt;0,'Direct Costs 2026'!$C$45*B965,"N/A")</f>
        <v>600000</v>
      </c>
      <c r="N965" t="str" s="431" cm="1">
        <f t="array" ref="N965">IF(B965&gt;0,_xlfn.IFERROR(VLOOKUP(C959,'Boats Data Sheet 2026'!$C$3:$I$57,7,0)*'Direct Costs 2026'!$C$36,"N/A"),"N/A")</f>
        <v>N/A</v>
      </c>
      <c r="O965" t="str" s="431" cm="1">
        <f t="array" ref="O965">IF(B965&gt;0,IF(OR(VLOOKUP(C959,'Boats Data Sheet 2026'!$C$3:$F$57,4,0)="Own",VLOOKUP(C959,'Boats Data Sheet 2026'!$C$3:$F$57,4,0)="Management"),('Direct Costs 2026'!$C$37+'Direct Costs 2026'!$C$39),"N/A"),"N/A")</f>
        <v>N/A</v>
      </c>
      <c r="P965" s="423" cm="1">
        <f t="array" ref="P965">_xlfn.IFERROR('Direct Costs 2026'!$C$27*C965,"N/A")</f>
        <v>150000</v>
      </c>
      <c r="Q965" s="423" cm="1">
        <f t="array" ref="Q965">_xlfn.IFERROR(C965+SUM(E965:P965),"N/A")</f>
        <v>9942833.33333333</v>
      </c>
      <c r="R965" s="424"/>
      <c r="S965" s="423" cm="1">
        <f t="array" ref="S965">IF(B965&gt;0,'Allocation OH and Target 2026'!$E$31,"N/A")</f>
        <v>3100447.15769812</v>
      </c>
      <c r="T965" s="423" cm="1">
        <f t="array" ref="T965">IF(B965&gt;0,VLOOKUP(C959,'Allocation OH and Target 2026'!$C$35:$S$87,16,0),"N/A")</f>
        <v>0</v>
      </c>
      <c r="U965" s="423" cm="1">
        <f t="array" ref="U965">_xlfn.IFERROR((S965+T965),"N/A")</f>
        <v>3100447.15769812</v>
      </c>
      <c r="V965" s="424"/>
      <c r="W965" s="423" cm="1">
        <f t="array" ref="W965">_xlfn.IFERROR(U965+Q965,"N/A")</f>
        <v>13043280.4910315</v>
      </c>
      <c r="X965" s="423" cm="1">
        <f t="array" ref="X965">_xlfn.IFERROR(W965*0.5%,"N/A")</f>
        <v>65216.4024551575</v>
      </c>
      <c r="Y965" s="423" cm="1">
        <f t="array" ref="Y965">_xlfn.IFERROR(W965*25%,"N/A")</f>
        <v>3260820.12275788</v>
      </c>
      <c r="Z965" s="425" cm="1">
        <f t="array" ref="Z965">IF(B965&gt;0,SUM(W965:Y965),"N/A")</f>
        <v>16369317.0162445</v>
      </c>
      <c r="AA965" s="425" cm="1">
        <f t="array" ref="AA965">_xlfn.IFERROR((Z965-Z964),"N/A")</f>
        <v>239705</v>
      </c>
      <c r="AB965" s="424"/>
      <c r="AC965" t="str" s="426" cm="1">
        <f t="array" ref="AC965">IF(B965=6,AVERAGE(Z962:Z967),"N/A")</f>
        <v>N/A</v>
      </c>
      <c r="AD965" s="424"/>
      <c r="AE965" s="423"/>
      <c r="AF965" s="423"/>
      <c r="AG965" s="423"/>
      <c r="AH965" s="423"/>
      <c r="AI965" s="423"/>
      <c r="AJ965" s="423"/>
      <c r="AK965" s="423"/>
      <c r="AL965" s="423"/>
      <c r="AM965" s="423"/>
      <c r="AN965" s="427"/>
    </row>
    <row r="966" ht="15" customHeight="1">
      <c r="A966" s="12"/>
      <c r="B966" s="428" cm="1">
        <f t="array" ref="B966">IF(B965=0,0,IF(B965&lt;VLOOKUP(C959,'Boats Data Sheet 2026'!$C$3:$H$57,6,0),B965+1,0))</f>
        <v>5</v>
      </c>
      <c r="C966" s="423" cm="1">
        <f t="array" ref="C966">IF(B966&gt;0,IF(VLOOKUP(C959,'Boats Data Sheet 2026'!$C$3:$J$57,8,0)="N/A",0,VLOOKUP(C959,'Boats Data Sheet 2026'!$C$3:$J$57,8,0)),"N/A")</f>
        <v>7500000</v>
      </c>
      <c r="D966" s="429" cm="1">
        <f t="array" ref="D966">IF(B966&gt;7,2,IF(B966=0,"N/A",1))</f>
        <v>1</v>
      </c>
      <c r="E966" s="423" cm="1">
        <f t="array" ref="E966">_xlfn.IFERROR(SUM('Direct Costs 2026'!$C$4:$C$5)*D966,"N/A")</f>
        <v>875500</v>
      </c>
      <c r="F966" s="423" cm="1">
        <f t="array" ref="F966">_xlfn.IFERROR('Direct Costs 2026'!$C$43*B966,"N/A")</f>
        <v>30000</v>
      </c>
      <c r="G966" s="423" cm="1">
        <f t="array" ref="G966">IF(B966&gt;0,'Direct Costs 2026'!$C$25,"N/A")</f>
        <v>90000</v>
      </c>
      <c r="H966" s="423" cm="1">
        <f t="array" ref="H966">IF(B966&gt;0,'Direct Costs 2026'!$C$15+'Direct Costs 2026'!$C$14,"N/A")</f>
        <v>230000</v>
      </c>
      <c r="I966" s="423" cm="1">
        <f t="array" ref="I966">IF(B966&gt;0,'Direct Costs 2026'!$C$19+'Direct Costs 2026'!$C$18*B966,"N/A")</f>
        <v>250000</v>
      </c>
      <c r="J966" s="423" cm="1">
        <f t="array" ref="J966">IF(B966&gt;0,SUM('Direct Costs 2026'!$C$20:$C$21),"N/A")</f>
        <v>98333.3333333333</v>
      </c>
      <c r="K966" s="423" cm="1">
        <f t="array" ref="K966">IF(B966&gt;0,'Direct Costs 2026'!$C$26,"N/A")</f>
        <v>20000</v>
      </c>
      <c r="L966" s="423" cm="1">
        <f t="array" ref="L966">IF(B966&gt;0,'Direct Costs 2026'!$C$23,"N/A")</f>
        <v>140000</v>
      </c>
      <c r="M966" s="423" cm="1">
        <f t="array" ref="M966">IF(B966&gt;0,'Direct Costs 2026'!$C$45*B966,"N/A")</f>
        <v>750000</v>
      </c>
      <c r="N966" t="str" s="431" cm="1">
        <f t="array" ref="N966">IF(B966&gt;0,_xlfn.IFERROR(VLOOKUP(C959,'Boats Data Sheet 2026'!$C$3:$I$57,7,0)*'Direct Costs 2026'!$C$36,"N/A"),"N/A")</f>
        <v>N/A</v>
      </c>
      <c r="O966" t="str" s="431" cm="1">
        <f t="array" ref="O966">IF(B966&gt;0,IF(OR(VLOOKUP(C959,'Boats Data Sheet 2026'!$C$3:$F$57,4,0)="Own",VLOOKUP(C959,'Boats Data Sheet 2026'!$C$3:$F$57,4,0)="Management"),('Direct Costs 2026'!$C$37+'Direct Costs 2026'!$C$39),"N/A"),"N/A")</f>
        <v>N/A</v>
      </c>
      <c r="P966" s="423" cm="1">
        <f t="array" ref="P966">_xlfn.IFERROR('Direct Costs 2026'!$C$27*C966,"N/A")</f>
        <v>150000</v>
      </c>
      <c r="Q966" s="423" cm="1">
        <f t="array" ref="Q966">_xlfn.IFERROR(C966+SUM(E966:P966),"N/A")</f>
        <v>10133833.3333333</v>
      </c>
      <c r="R966" s="424"/>
      <c r="S966" s="423" cm="1">
        <f t="array" ref="S966">IF(B966&gt;0,'Allocation OH and Target 2026'!$E$31,"N/A")</f>
        <v>3100447.15769812</v>
      </c>
      <c r="T966" s="423" cm="1">
        <f t="array" ref="T966">IF(B966&gt;0,VLOOKUP(C959,'Allocation OH and Target 2026'!$C$35:$S$87,16,0),"N/A")</f>
        <v>0</v>
      </c>
      <c r="U966" s="423" cm="1">
        <f t="array" ref="U966">_xlfn.IFERROR((S966+T966),"N/A")</f>
        <v>3100447.15769812</v>
      </c>
      <c r="V966" s="424"/>
      <c r="W966" s="423" cm="1">
        <f t="array" ref="W966">_xlfn.IFERROR(U966+Q966,"N/A")</f>
        <v>13234280.4910314</v>
      </c>
      <c r="X966" s="423" cm="1">
        <f t="array" ref="X966">_xlfn.IFERROR(W966*0.5%,"N/A")</f>
        <v>66171.402455157</v>
      </c>
      <c r="Y966" s="423" cm="1">
        <f t="array" ref="Y966">_xlfn.IFERROR(W966*25%,"N/A")</f>
        <v>3308570.12275785</v>
      </c>
      <c r="Z966" s="425" cm="1">
        <f t="array" ref="Z966">IF(B966&gt;0,SUM(W966:Y966),"N/A")</f>
        <v>16609022.0162444</v>
      </c>
      <c r="AA966" s="425" cm="1">
        <f t="array" ref="AA966">_xlfn.IFERROR((Z966-Z965),"N/A")</f>
        <v>239704.9999999</v>
      </c>
      <c r="AB966" s="424"/>
      <c r="AC966" t="str" s="426" cm="1">
        <f t="array" ref="AC966">IF(B966=6,AVERAGE(Z962:Z967),"N/A")</f>
        <v>N/A</v>
      </c>
      <c r="AD966" s="424"/>
      <c r="AE966" s="423"/>
      <c r="AF966" s="423"/>
      <c r="AG966" s="423"/>
      <c r="AH966" s="423"/>
      <c r="AI966" s="423"/>
      <c r="AJ966" s="423"/>
      <c r="AK966" s="423"/>
      <c r="AL966" s="423"/>
      <c r="AM966" s="423"/>
      <c r="AN966" s="427"/>
    </row>
    <row r="967" ht="15" customHeight="1">
      <c r="A967" s="12"/>
      <c r="B967" s="428" cm="1">
        <f t="array" ref="B967">IF(B966=0,0,IF(B966&lt;VLOOKUP(C959,'Boats Data Sheet 2026'!$C$3:$H$57,6,0),B966+1,0))</f>
        <v>6</v>
      </c>
      <c r="C967" s="423" cm="1">
        <f t="array" ref="C967">IF(B967&gt;0,IF(VLOOKUP(C959,'Boats Data Sheet 2026'!$C$3:$J$57,8,0)="N/A",0,VLOOKUP(C959,'Boats Data Sheet 2026'!$C$3:$J$57,8,0)),"N/A")</f>
        <v>7500000</v>
      </c>
      <c r="D967" s="429" cm="1">
        <f t="array" ref="D967">IF(B967&gt;7,2,IF(B967=0,"N/A",1))</f>
        <v>1</v>
      </c>
      <c r="E967" s="423" cm="1">
        <f t="array" ref="E967">_xlfn.IFERROR(SUM('Direct Costs 2026'!$C$4:$C$5)*D967,"N/A")</f>
        <v>875500</v>
      </c>
      <c r="F967" s="423" cm="1">
        <f t="array" ref="F967">_xlfn.IFERROR('Direct Costs 2026'!$C$43*B967,"N/A")</f>
        <v>36000</v>
      </c>
      <c r="G967" s="423" cm="1">
        <f t="array" ref="G967">IF(B967&gt;0,'Direct Costs 2026'!$C$25,"N/A")</f>
        <v>90000</v>
      </c>
      <c r="H967" s="423" cm="1">
        <f t="array" ref="H967">IF(B967&gt;0,'Direct Costs 2026'!$C$15+'Direct Costs 2026'!$C$14,"N/A")</f>
        <v>230000</v>
      </c>
      <c r="I967" s="423" cm="1">
        <f t="array" ref="I967">IF(B967&gt;0,'Direct Costs 2026'!$C$19+'Direct Costs 2026'!$C$18*B967,"N/A")</f>
        <v>285000</v>
      </c>
      <c r="J967" s="423" cm="1">
        <f t="array" ref="J967">IF(B967&gt;0,SUM('Direct Costs 2026'!$C$20:$C$21),"N/A")</f>
        <v>98333.3333333333</v>
      </c>
      <c r="K967" s="423" cm="1">
        <f t="array" ref="K967">IF(B967&gt;0,'Direct Costs 2026'!$C$26,"N/A")</f>
        <v>20000</v>
      </c>
      <c r="L967" s="423" cm="1">
        <f t="array" ref="L967">IF(B967&gt;0,'Direct Costs 2026'!$C$23,"N/A")</f>
        <v>140000</v>
      </c>
      <c r="M967" s="423" cm="1">
        <f t="array" ref="M967">IF(B967&gt;0,'Direct Costs 2026'!$C$45*B967,"N/A")</f>
        <v>900000</v>
      </c>
      <c r="N967" t="str" s="431" cm="1">
        <f t="array" ref="N967">IF(B967&gt;0,_xlfn.IFERROR(VLOOKUP(C959,'Boats Data Sheet 2026'!$C$3:$I$57,7,0)*'Direct Costs 2026'!$C$36,"N/A"),"N/A")</f>
        <v>N/A</v>
      </c>
      <c r="O967" t="str" s="431" cm="1">
        <f t="array" ref="O967">IF(B967&gt;0,IF(OR(VLOOKUP(C959,'Boats Data Sheet 2026'!$C$3:$F$57,4,0)="Own",VLOOKUP(C959,'Boats Data Sheet 2026'!$C$3:$F$57,4,0)="Management"),('Direct Costs 2026'!$C$37+'Direct Costs 2026'!$C$39),"N/A"),"N/A")</f>
        <v>N/A</v>
      </c>
      <c r="P967" s="423" cm="1">
        <f t="array" ref="P967">_xlfn.IFERROR('Direct Costs 2026'!$C$27*C967,"N/A")</f>
        <v>150000</v>
      </c>
      <c r="Q967" s="423" cm="1">
        <f t="array" ref="Q967">_xlfn.IFERROR(C967+SUM(E967:P967),"N/A")</f>
        <v>10324833.3333333</v>
      </c>
      <c r="R967" s="424"/>
      <c r="S967" s="423" cm="1">
        <f t="array" ref="S967">IF(B967&gt;0,'Allocation OH and Target 2026'!$E$31,"N/A")</f>
        <v>3100447.15769812</v>
      </c>
      <c r="T967" s="423" cm="1">
        <f t="array" ref="T967">IF(B967&gt;0,VLOOKUP(C959,'Allocation OH and Target 2026'!$C$35:$S$87,16,0),"N/A")</f>
        <v>0</v>
      </c>
      <c r="U967" s="423" cm="1">
        <f t="array" ref="U967">_xlfn.IFERROR((S967+T967),"N/A")</f>
        <v>3100447.15769812</v>
      </c>
      <c r="V967" s="424"/>
      <c r="W967" s="423" cm="1">
        <f t="array" ref="W967">_xlfn.IFERROR(U967+Q967,"N/A")</f>
        <v>13425280.4910314</v>
      </c>
      <c r="X967" s="423" cm="1">
        <f t="array" ref="X967">_xlfn.IFERROR(W967*0.5%,"N/A")</f>
        <v>67126.402455157</v>
      </c>
      <c r="Y967" s="423" cm="1">
        <f t="array" ref="Y967">_xlfn.IFERROR(W967*25%,"N/A")</f>
        <v>3356320.12275785</v>
      </c>
      <c r="Z967" s="425" cm="1">
        <f t="array" ref="Z967">IF(B967&gt;0,SUM(W967:Y967),"N/A")</f>
        <v>16848727.0162444</v>
      </c>
      <c r="AA967" s="425" cm="1">
        <f t="array" ref="AA967">_xlfn.IFERROR((Z967-Z966),"N/A")</f>
        <v>239705</v>
      </c>
      <c r="AB967" s="424"/>
      <c r="AC967" s="425" cm="1">
        <f t="array" ref="AC967">IF(B967=6,AVERAGE(Z962:Z967),"N/A")</f>
        <v>16249464.5162445</v>
      </c>
      <c r="AD967" s="424"/>
      <c r="AE967" s="423"/>
      <c r="AF967" s="423"/>
      <c r="AG967" s="423"/>
      <c r="AH967" s="423"/>
      <c r="AI967" s="423"/>
      <c r="AJ967" s="423"/>
      <c r="AK967" s="423"/>
      <c r="AL967" s="423"/>
      <c r="AM967" s="423"/>
      <c r="AN967" s="427"/>
    </row>
    <row r="968" ht="15" customHeight="1">
      <c r="A968" s="12"/>
      <c r="B968" s="428" cm="1">
        <f t="array" ref="B968">IF(B967=0,0,IF(B967&lt;VLOOKUP(C959,'Boats Data Sheet 2026'!$C$3:$H$57,6,0),B967+1,0))</f>
        <v>7</v>
      </c>
      <c r="C968" s="423" cm="1">
        <f t="array" ref="C968">IF(B968&gt;0,IF(VLOOKUP(C959,'Boats Data Sheet 2026'!$C$3:$J$57,8,0)="N/A",0,VLOOKUP(C959,'Boats Data Sheet 2026'!$C$3:$J$57,8,0)),"N/A")</f>
        <v>7500000</v>
      </c>
      <c r="D968" s="429" cm="1">
        <f t="array" ref="D968">IF(B968&gt;7,2,IF(B968=0,"N/A",1))</f>
        <v>1</v>
      </c>
      <c r="E968" s="423" cm="1">
        <f t="array" ref="E968">_xlfn.IFERROR(SUM('Direct Costs 2026'!$C$4:$C$5)*D968,"N/A")</f>
        <v>875500</v>
      </c>
      <c r="F968" s="423" cm="1">
        <f t="array" ref="F968">_xlfn.IFERROR('Direct Costs 2026'!$C$43*B968,"N/A")</f>
        <v>42000</v>
      </c>
      <c r="G968" s="423" cm="1">
        <f t="array" ref="G968">IF(B968&gt;0,'Direct Costs 2026'!$C$25,"N/A")</f>
        <v>90000</v>
      </c>
      <c r="H968" s="423" cm="1">
        <f t="array" ref="H968">IF(B968&gt;0,'Direct Costs 2026'!$C$15+'Direct Costs 2026'!$C$14,"N/A")</f>
        <v>230000</v>
      </c>
      <c r="I968" s="423" cm="1">
        <f t="array" ref="I968">IF(B968&gt;0,'Direct Costs 2026'!$C$19+'Direct Costs 2026'!$C$18*B968,"N/A")</f>
        <v>320000</v>
      </c>
      <c r="J968" s="423" cm="1">
        <f t="array" ref="J968">IF(B968&gt;0,SUM('Direct Costs 2026'!$C$20:$C$21),"N/A")</f>
        <v>98333.3333333333</v>
      </c>
      <c r="K968" s="423" cm="1">
        <f t="array" ref="K968">IF(B968&gt;0,'Direct Costs 2026'!$C$26,"N/A")</f>
        <v>20000</v>
      </c>
      <c r="L968" s="423" cm="1">
        <f t="array" ref="L968">IF(B968&gt;0,'Direct Costs 2026'!$C$23,"N/A")</f>
        <v>140000</v>
      </c>
      <c r="M968" s="423" cm="1">
        <f t="array" ref="M968">IF(B968&gt;0,'Direct Costs 2026'!$C$45*B968,"N/A")</f>
        <v>1050000</v>
      </c>
      <c r="N968" t="str" s="431" cm="1">
        <f t="array" ref="N968">IF(B968&gt;0,_xlfn.IFERROR(VLOOKUP(C959,'Boats Data Sheet 2026'!$C$3:$I$57,7,0)*'Direct Costs 2026'!$C$36,"N/A"),"N/A")</f>
        <v>N/A</v>
      </c>
      <c r="O968" t="str" s="431" cm="1">
        <f t="array" ref="O968">IF(B968&gt;0,IF(OR(VLOOKUP(C959,'Boats Data Sheet 2026'!$C$3:$F$57,4,0)="Own",VLOOKUP(C959,'Boats Data Sheet 2026'!$C$3:$F$57,4,0)="Management"),('Direct Costs 2026'!$C$37+'Direct Costs 2026'!$C$39),"N/A"),"N/A")</f>
        <v>N/A</v>
      </c>
      <c r="P968" s="423" cm="1">
        <f t="array" ref="P968">_xlfn.IFERROR('Direct Costs 2026'!$C$27*C968,"N/A")</f>
        <v>150000</v>
      </c>
      <c r="Q968" s="423" cm="1">
        <f t="array" ref="Q968">_xlfn.IFERROR(C968+SUM(E968:P968),"N/A")</f>
        <v>10515833.3333333</v>
      </c>
      <c r="R968" s="424"/>
      <c r="S968" s="423" cm="1">
        <f t="array" ref="S968">IF(B968&gt;0,'Allocation OH and Target 2026'!$E$31,"N/A")</f>
        <v>3100447.15769812</v>
      </c>
      <c r="T968" s="423" cm="1">
        <f t="array" ref="T968">IF(B968&gt;0,VLOOKUP(C959,'Allocation OH and Target 2026'!$C$35:$S$87,16,0),"N/A")</f>
        <v>0</v>
      </c>
      <c r="U968" s="423" cm="1">
        <f t="array" ref="U968">_xlfn.IFERROR((S968+T968),"N/A")</f>
        <v>3100447.15769812</v>
      </c>
      <c r="V968" s="424"/>
      <c r="W968" s="423" cm="1">
        <f t="array" ref="W968">_xlfn.IFERROR(U968+Q968,"N/A")</f>
        <v>13616280.4910314</v>
      </c>
      <c r="X968" s="423" cm="1">
        <f t="array" ref="X968">_xlfn.IFERROR(W968*0.5%,"N/A")</f>
        <v>68081.402455157</v>
      </c>
      <c r="Y968" s="423" cm="1">
        <f t="array" ref="Y968">_xlfn.IFERROR(W968*25%,"N/A")</f>
        <v>3404070.12275785</v>
      </c>
      <c r="Z968" s="425" cm="1">
        <f t="array" ref="Z968">IF(B968&gt;0,SUM(W968:Y968),"N/A")</f>
        <v>17088432.0162444</v>
      </c>
      <c r="AA968" s="425" cm="1">
        <f t="array" ref="AA968">_xlfn.IFERROR((Z968-Z967),"N/A")</f>
        <v>239705</v>
      </c>
      <c r="AB968" s="424"/>
      <c r="AC968" t="str" s="426" cm="1">
        <f t="array" ref="AC968">IF(B968=6,AVERAGE(Z962:Z967),"N/A")</f>
        <v>N/A</v>
      </c>
      <c r="AD968" s="424"/>
      <c r="AE968" s="423"/>
      <c r="AF968" s="423"/>
      <c r="AG968" s="423"/>
      <c r="AH968" s="423"/>
      <c r="AI968" s="423"/>
      <c r="AJ968" s="423"/>
      <c r="AK968" s="423"/>
      <c r="AL968" s="423"/>
      <c r="AM968" s="423"/>
      <c r="AN968" s="427"/>
    </row>
    <row r="969" ht="15" customHeight="1">
      <c r="A969" s="12"/>
      <c r="B969" s="428" cm="1">
        <f t="array" ref="B969">IF(B968=0,0,IF(B968&lt;VLOOKUP(C959,'Boats Data Sheet 2026'!$C$3:$H$57,6,0),B968+1,0))</f>
        <v>8</v>
      </c>
      <c r="C969" s="423" cm="1">
        <f t="array" ref="C969">IF(B969&gt;0,IF(VLOOKUP(C959,'Boats Data Sheet 2026'!$C$3:$J$57,8,0)="N/A",0,VLOOKUP(C959,'Boats Data Sheet 2026'!$C$3:$J$57,8,0)),"N/A")</f>
        <v>7500000</v>
      </c>
      <c r="D969" s="429" cm="1">
        <f t="array" ref="D969">IF(B969&gt;7,2,IF(B969=0,"N/A",1))</f>
        <v>2</v>
      </c>
      <c r="E969" s="423" cm="1">
        <f t="array" ref="E969">_xlfn.IFERROR(SUM('Direct Costs 2026'!$C$4:$C$5)*D969,"N/A")</f>
        <v>1751000</v>
      </c>
      <c r="F969" s="423" cm="1">
        <f t="array" ref="F969">_xlfn.IFERROR('Direct Costs 2026'!$C$43*B969,"N/A")</f>
        <v>48000</v>
      </c>
      <c r="G969" s="423" cm="1">
        <f t="array" ref="G969">IF(B969&gt;0,'Direct Costs 2026'!$C$25,"N/A")</f>
        <v>90000</v>
      </c>
      <c r="H969" s="423" cm="1">
        <f t="array" ref="H969">IF(B969&gt;0,'Direct Costs 2026'!$C$15+'Direct Costs 2026'!$C$14,"N/A")</f>
        <v>230000</v>
      </c>
      <c r="I969" s="423" cm="1">
        <f t="array" ref="I969">IF(B969&gt;0,'Direct Costs 2026'!$C$19+'Direct Costs 2026'!$C$18*B969,"N/A")</f>
        <v>355000</v>
      </c>
      <c r="J969" s="423" cm="1">
        <f t="array" ref="J969">IF(B969&gt;0,SUM('Direct Costs 2026'!$C$20:$C$21),"N/A")</f>
        <v>98333.3333333333</v>
      </c>
      <c r="K969" s="423" cm="1">
        <f t="array" ref="K969">IF(B969&gt;0,'Direct Costs 2026'!$C$26,"N/A")</f>
        <v>20000</v>
      </c>
      <c r="L969" s="423" cm="1">
        <f t="array" ref="L969">IF(B969&gt;0,'Direct Costs 2026'!$C$23,"N/A")</f>
        <v>140000</v>
      </c>
      <c r="M969" s="423" cm="1">
        <f t="array" ref="M969">IF(B969&gt;0,'Direct Costs 2026'!$C$45*B969,"N/A")</f>
        <v>1200000</v>
      </c>
      <c r="N969" t="str" s="431" cm="1">
        <f t="array" ref="N969">IF(B969&gt;0,_xlfn.IFERROR(VLOOKUP(C959,'Boats Data Sheet 2026'!$C$3:$I$57,7,0)*'Direct Costs 2026'!$C$36,"N/A"),"N/A")</f>
        <v>N/A</v>
      </c>
      <c r="O969" t="str" s="431" cm="1">
        <f t="array" ref="O969">IF(B969&gt;0,IF(OR(VLOOKUP(C959,'Boats Data Sheet 2026'!$C$3:$F$57,4,0)="Own",VLOOKUP(C959,'Boats Data Sheet 2026'!$C$3:$F$57,4,0)="Management"),('Direct Costs 2026'!$C$37+'Direct Costs 2026'!$C$39),"N/A"),"N/A")</f>
        <v>N/A</v>
      </c>
      <c r="P969" s="423" cm="1">
        <f t="array" ref="P969">_xlfn.IFERROR('Direct Costs 2026'!$C$27*C969,"N/A")</f>
        <v>150000</v>
      </c>
      <c r="Q969" s="423" cm="1">
        <f t="array" ref="Q969">_xlfn.IFERROR(C969+SUM(E969:P969),"N/A")</f>
        <v>11582333.3333333</v>
      </c>
      <c r="R969" s="424"/>
      <c r="S969" s="423" cm="1">
        <f t="array" ref="S969">IF(B969&gt;0,'Allocation OH and Target 2026'!$E$31,"N/A")</f>
        <v>3100447.15769812</v>
      </c>
      <c r="T969" s="423" cm="1">
        <f t="array" ref="T969">IF(B969&gt;0,VLOOKUP(C959,'Allocation OH and Target 2026'!$C$35:$S$87,16,0),"N/A")</f>
        <v>0</v>
      </c>
      <c r="U969" s="423" cm="1">
        <f t="array" ref="U969">_xlfn.IFERROR((S969+T969),"N/A")</f>
        <v>3100447.15769812</v>
      </c>
      <c r="V969" s="424"/>
      <c r="W969" s="423" cm="1">
        <f t="array" ref="W969">_xlfn.IFERROR(U969+Q969,"N/A")</f>
        <v>14682780.4910314</v>
      </c>
      <c r="X969" s="423" cm="1">
        <f t="array" ref="X969">_xlfn.IFERROR(W969*0.5%,"N/A")</f>
        <v>73413.902455157</v>
      </c>
      <c r="Y969" s="423" cm="1">
        <f t="array" ref="Y969">_xlfn.IFERROR(W969*25%,"N/A")</f>
        <v>3670695.12275785</v>
      </c>
      <c r="Z969" s="425" cm="1">
        <f t="array" ref="Z969">IF(B969&gt;0,SUM(W969:Y969),"N/A")</f>
        <v>18426889.5162444</v>
      </c>
      <c r="AA969" s="425" cm="1">
        <f t="array" ref="AA969">_xlfn.IFERROR((Z969-Z968),"N/A")</f>
        <v>1338457.5</v>
      </c>
      <c r="AB969" s="424"/>
      <c r="AC969" t="str" s="426" cm="1">
        <f t="array" ref="AC969">IF(B969=6,AVERAGE(Z962:Z967),"N/A")</f>
        <v>N/A</v>
      </c>
      <c r="AD969" s="424"/>
      <c r="AE969" s="423"/>
      <c r="AF969" s="423"/>
      <c r="AG969" s="423"/>
      <c r="AH969" s="423"/>
      <c r="AI969" s="423"/>
      <c r="AJ969" s="423"/>
      <c r="AK969" s="423"/>
      <c r="AL969" s="423"/>
      <c r="AM969" s="423"/>
      <c r="AN969" s="427"/>
    </row>
    <row r="970" ht="15" customHeight="1">
      <c r="A970" s="12"/>
      <c r="B970" s="428" cm="1">
        <f t="array" ref="B970">IF(B969=0,0,IF(B969&lt;VLOOKUP(C959,'Boats Data Sheet 2026'!$C$3:$H$57,6,0),B969+1,0))</f>
        <v>9</v>
      </c>
      <c r="C970" s="423" cm="1">
        <f t="array" ref="C970">IF(B970&gt;0,IF(VLOOKUP(C959,'Boats Data Sheet 2026'!$C$3:$J$57,8,0)="N/A",0,VLOOKUP(C959,'Boats Data Sheet 2026'!$C$3:$J$57,8,0)),"N/A")</f>
        <v>7500000</v>
      </c>
      <c r="D970" s="429" cm="1">
        <f t="array" ref="D970">IF(B970&gt;7,2,IF(B970=0,"N/A",1))</f>
        <v>2</v>
      </c>
      <c r="E970" s="423" cm="1">
        <f t="array" ref="E970">_xlfn.IFERROR(SUM('Direct Costs 2026'!$C$4:$C$5)*D970,"N/A")</f>
        <v>1751000</v>
      </c>
      <c r="F970" s="423" cm="1">
        <f t="array" ref="F970">_xlfn.IFERROR('Direct Costs 2026'!$C$43*B970,"N/A")</f>
        <v>54000</v>
      </c>
      <c r="G970" s="423" cm="1">
        <f t="array" ref="G970">IF(B970&gt;0,'Direct Costs 2026'!$C$25,"N/A")</f>
        <v>90000</v>
      </c>
      <c r="H970" s="423" cm="1">
        <f t="array" ref="H970">IF(B970&gt;0,'Direct Costs 2026'!$C$15+'Direct Costs 2026'!$C$14,"N/A")</f>
        <v>230000</v>
      </c>
      <c r="I970" s="423" cm="1">
        <f t="array" ref="I970">IF(B970&gt;0,'Direct Costs 2026'!$C$19+'Direct Costs 2026'!$C$18*B970,"N/A")</f>
        <v>390000</v>
      </c>
      <c r="J970" s="423" cm="1">
        <f t="array" ref="J970">IF(B970&gt;0,SUM('Direct Costs 2026'!$C$20:$C$21),"N/A")</f>
        <v>98333.3333333333</v>
      </c>
      <c r="K970" s="423" cm="1">
        <f t="array" ref="K970">IF(B970&gt;0,'Direct Costs 2026'!$C$26,"N/A")</f>
        <v>20000</v>
      </c>
      <c r="L970" s="423" cm="1">
        <f t="array" ref="L970">IF(B970&gt;0,'Direct Costs 2026'!$C$23,"N/A")</f>
        <v>140000</v>
      </c>
      <c r="M970" s="423" cm="1">
        <f t="array" ref="M970">IF(B970&gt;0,'Direct Costs 2026'!$C$45*B970,"N/A")</f>
        <v>1350000</v>
      </c>
      <c r="N970" t="str" s="431" cm="1">
        <f t="array" ref="N970">IF(B970&gt;0,_xlfn.IFERROR(VLOOKUP(C959,'Boats Data Sheet 2026'!$C$3:$I$57,7,0)*'Direct Costs 2026'!$C$36,"N/A"),"N/A")</f>
        <v>N/A</v>
      </c>
      <c r="O970" t="str" s="431" cm="1">
        <f t="array" ref="O970">IF(B970&gt;0,IF(OR(VLOOKUP(C959,'Boats Data Sheet 2026'!$C$3:$F$57,4,0)="Own",VLOOKUP(C959,'Boats Data Sheet 2026'!$C$3:$F$57,4,0)="Management"),('Direct Costs 2026'!$C$37+'Direct Costs 2026'!$C$39),"N/A"),"N/A")</f>
        <v>N/A</v>
      </c>
      <c r="P970" s="423" cm="1">
        <f t="array" ref="P970">_xlfn.IFERROR('Direct Costs 2026'!$C$27*C970,"N/A")</f>
        <v>150000</v>
      </c>
      <c r="Q970" s="423" cm="1">
        <f t="array" ref="Q970">_xlfn.IFERROR(C970+SUM(E970:P970),"N/A")</f>
        <v>11773333.3333333</v>
      </c>
      <c r="R970" s="424"/>
      <c r="S970" s="423" cm="1">
        <f t="array" ref="S970">IF(B970&gt;0,'Allocation OH and Target 2026'!$E$31,"N/A")</f>
        <v>3100447.15769812</v>
      </c>
      <c r="T970" s="423" cm="1">
        <f t="array" ref="T970">IF(B970&gt;0,VLOOKUP(C959,'Allocation OH and Target 2026'!$C$35:$S$87,16,0),"N/A")</f>
        <v>0</v>
      </c>
      <c r="U970" s="423" cm="1">
        <f t="array" ref="U970">_xlfn.IFERROR((S970+T970),"N/A")</f>
        <v>3100447.15769812</v>
      </c>
      <c r="V970" s="424"/>
      <c r="W970" s="423" cm="1">
        <f t="array" ref="W970">_xlfn.IFERROR(U970+Q970,"N/A")</f>
        <v>14873780.4910314</v>
      </c>
      <c r="X970" s="423" cm="1">
        <f t="array" ref="X970">_xlfn.IFERROR(W970*0.5%,"N/A")</f>
        <v>74368.902455157</v>
      </c>
      <c r="Y970" s="423" cm="1">
        <f t="array" ref="Y970">_xlfn.IFERROR(W970*25%,"N/A")</f>
        <v>3718445.12275785</v>
      </c>
      <c r="Z970" s="425" cm="1">
        <f t="array" ref="Z970">IF(B970&gt;0,SUM(W970:Y970),"N/A")</f>
        <v>18666594.5162444</v>
      </c>
      <c r="AA970" s="425" cm="1">
        <f t="array" ref="AA970">_xlfn.IFERROR((Z970-Z969),"N/A")</f>
        <v>239705</v>
      </c>
      <c r="AB970" s="424"/>
      <c r="AC970" t="str" s="426" cm="1">
        <f t="array" ref="AC970">IF(B970=6,AVERAGE(Z962:Z967),"N/A")</f>
        <v>N/A</v>
      </c>
      <c r="AD970" s="424"/>
      <c r="AE970" s="423"/>
      <c r="AF970" s="423"/>
      <c r="AG970" s="423"/>
      <c r="AH970" s="423"/>
      <c r="AI970" s="423"/>
      <c r="AJ970" s="423"/>
      <c r="AK970" s="423"/>
      <c r="AL970" s="423"/>
      <c r="AM970" s="423"/>
      <c r="AN970" s="427"/>
    </row>
    <row r="971" ht="15" customHeight="1">
      <c r="A971" s="12"/>
      <c r="B971" s="428" cm="1">
        <f t="array" ref="B971">IF(B970=0,0,IF(B970&lt;VLOOKUP(C959,'Boats Data Sheet 2026'!$C$3:$H$57,6,0),B970+1,0))</f>
        <v>10</v>
      </c>
      <c r="C971" s="423" cm="1">
        <f t="array" ref="C971">IF(B971&gt;0,IF(VLOOKUP(C959,'Boats Data Sheet 2026'!$C$3:$J$57,8,0)="N/A",0,VLOOKUP(C959,'Boats Data Sheet 2026'!$C$3:$J$57,8,0)),"N/A")</f>
        <v>7500000</v>
      </c>
      <c r="D971" s="429" cm="1">
        <f t="array" ref="D971">IF(B971&gt;7,2,IF(B971=0,"N/A",1))</f>
        <v>2</v>
      </c>
      <c r="E971" s="423" cm="1">
        <f t="array" ref="E971">_xlfn.IFERROR(SUM('Direct Costs 2026'!$C$4:$C$5)*D971,"N/A")</f>
        <v>1751000</v>
      </c>
      <c r="F971" s="423" cm="1">
        <f t="array" ref="F971">_xlfn.IFERROR('Direct Costs 2026'!$C$43*B971,"N/A")</f>
        <v>60000</v>
      </c>
      <c r="G971" s="423" cm="1">
        <f t="array" ref="G971">IF(B971&gt;0,'Direct Costs 2026'!$C$25,"N/A")</f>
        <v>90000</v>
      </c>
      <c r="H971" s="423" cm="1">
        <f t="array" ref="H971">IF(B971&gt;0,'Direct Costs 2026'!$C$15+'Direct Costs 2026'!$C$14,"N/A")</f>
        <v>230000</v>
      </c>
      <c r="I971" s="423" cm="1">
        <f t="array" ref="I971">IF(B971&gt;0,'Direct Costs 2026'!$C$19+'Direct Costs 2026'!$C$18*B971,"N/A")</f>
        <v>425000</v>
      </c>
      <c r="J971" s="423" cm="1">
        <f t="array" ref="J971">IF(B971&gt;0,SUM('Direct Costs 2026'!$C$20:$C$21),"N/A")</f>
        <v>98333.3333333333</v>
      </c>
      <c r="K971" s="423" cm="1">
        <f t="array" ref="K971">IF(B971&gt;0,'Direct Costs 2026'!$C$26,"N/A")</f>
        <v>20000</v>
      </c>
      <c r="L971" s="423" cm="1">
        <f t="array" ref="L971">IF(B971&gt;0,'Direct Costs 2026'!$C$23,"N/A")</f>
        <v>140000</v>
      </c>
      <c r="M971" s="423" cm="1">
        <f t="array" ref="M971">IF(B971&gt;0,'Direct Costs 2026'!$C$45*B971,"N/A")</f>
        <v>1500000</v>
      </c>
      <c r="N971" t="str" s="431" cm="1">
        <f t="array" ref="N971">IF(B971&gt;0,_xlfn.IFERROR(VLOOKUP(C959,'Boats Data Sheet 2026'!$C$3:$I$57,7,0)*'Direct Costs 2026'!$C$36,"N/A"),"N/A")</f>
        <v>N/A</v>
      </c>
      <c r="O971" t="str" s="431" cm="1">
        <f t="array" ref="O971">IF(B971&gt;0,IF(OR(VLOOKUP(C959,'Boats Data Sheet 2026'!$C$3:$F$57,4,0)="Own",VLOOKUP(C959,'Boats Data Sheet 2026'!$C$3:$F$57,4,0)="Management"),('Direct Costs 2026'!$C$37+'Direct Costs 2026'!$C$39),"N/A"),"N/A")</f>
        <v>N/A</v>
      </c>
      <c r="P971" s="423" cm="1">
        <f t="array" ref="P971">_xlfn.IFERROR('Direct Costs 2026'!$C$27*C971,"N/A")</f>
        <v>150000</v>
      </c>
      <c r="Q971" s="423" cm="1">
        <f t="array" ref="Q971">_xlfn.IFERROR(C971+SUM(E971:P971),"N/A")</f>
        <v>11964333.3333333</v>
      </c>
      <c r="R971" s="424"/>
      <c r="S971" s="423" cm="1">
        <f t="array" ref="S971">IF(B971&gt;0,'Allocation OH and Target 2026'!$E$31,"N/A")</f>
        <v>3100447.15769812</v>
      </c>
      <c r="T971" s="423" cm="1">
        <f t="array" ref="T971">IF(B971&gt;0,VLOOKUP(C959,'Allocation OH and Target 2026'!$C$35:$S$87,16,0),"N/A")</f>
        <v>0</v>
      </c>
      <c r="U971" s="423" cm="1">
        <f t="array" ref="U971">_xlfn.IFERROR((S971+T971),"N/A")</f>
        <v>3100447.15769812</v>
      </c>
      <c r="V971" s="424"/>
      <c r="W971" s="423" cm="1">
        <f t="array" ref="W971">_xlfn.IFERROR(U971+Q971,"N/A")</f>
        <v>15064780.4910314</v>
      </c>
      <c r="X971" s="423" cm="1">
        <f t="array" ref="X971">_xlfn.IFERROR(W971*0.5%,"N/A")</f>
        <v>75323.902455157</v>
      </c>
      <c r="Y971" s="423" cm="1">
        <f t="array" ref="Y971">_xlfn.IFERROR(W971*25%,"N/A")</f>
        <v>3766195.12275785</v>
      </c>
      <c r="Z971" s="425" cm="1">
        <f t="array" ref="Z971">IF(B971&gt;0,SUM(W971:Y971),"N/A")</f>
        <v>18906299.5162444</v>
      </c>
      <c r="AA971" s="425" cm="1">
        <f t="array" ref="AA971">_xlfn.IFERROR((Z971-Z970),"N/A")</f>
        <v>239705</v>
      </c>
      <c r="AB971" s="424"/>
      <c r="AC971" t="str" s="426" cm="1">
        <f t="array" ref="AC971">IF(B971=6,AVERAGE(Z962:Z967),"N/A")</f>
        <v>N/A</v>
      </c>
      <c r="AD971" s="424"/>
      <c r="AE971" s="423"/>
      <c r="AF971" s="423"/>
      <c r="AG971" s="423"/>
      <c r="AH971" s="423"/>
      <c r="AI971" s="423"/>
      <c r="AJ971" s="423"/>
      <c r="AK971" s="423"/>
      <c r="AL971" s="423"/>
      <c r="AM971" s="423"/>
      <c r="AN971" s="427"/>
    </row>
    <row r="972" ht="15" customHeight="1">
      <c r="A972" s="12"/>
      <c r="B972" s="428" cm="1">
        <f t="array" ref="B972">IF(B971=0,0,IF(B971&lt;VLOOKUP(C959,'Boats Data Sheet 2026'!$C$3:$H$57,6,0),B971+1,0))</f>
        <v>11</v>
      </c>
      <c r="C972" s="423" cm="1">
        <f t="array" ref="C972">IF(B972&gt;0,IF(VLOOKUP(C959,'Boats Data Sheet 2026'!$C$3:$J$57,8,0)="N/A",0,VLOOKUP(C959,'Boats Data Sheet 2026'!$C$3:$J$57,8,0)),"N/A")</f>
        <v>7500000</v>
      </c>
      <c r="D972" s="429" cm="1">
        <f t="array" ref="D972">IF(B972&gt;7,2,IF(B972=0,"N/A",1))</f>
        <v>2</v>
      </c>
      <c r="E972" s="423" cm="1">
        <f t="array" ref="E972">_xlfn.IFERROR(SUM('Direct Costs 2026'!$C$4:$C$5)*D972,"N/A")</f>
        <v>1751000</v>
      </c>
      <c r="F972" s="423" cm="1">
        <f t="array" ref="F972">_xlfn.IFERROR('Direct Costs 2026'!$C$43*B972,"N/A")</f>
        <v>66000</v>
      </c>
      <c r="G972" s="423" cm="1">
        <f t="array" ref="G972">IF(B972&gt;0,'Direct Costs 2026'!$C$25,"N/A")</f>
        <v>90000</v>
      </c>
      <c r="H972" s="423" cm="1">
        <f t="array" ref="H972">IF(B972&gt;0,'Direct Costs 2026'!$C$15+'Direct Costs 2026'!$C$14,"N/A")</f>
        <v>230000</v>
      </c>
      <c r="I972" s="423" cm="1">
        <f t="array" ref="I972">IF(B972&gt;0,'Direct Costs 2026'!$C$19+'Direct Costs 2026'!$C$18*B972,"N/A")</f>
        <v>460000</v>
      </c>
      <c r="J972" s="423" cm="1">
        <f t="array" ref="J972">IF(B972&gt;0,SUM('Direct Costs 2026'!$C$20:$C$21),"N/A")</f>
        <v>98333.3333333333</v>
      </c>
      <c r="K972" s="423" cm="1">
        <f t="array" ref="K972">IF(B972&gt;0,'Direct Costs 2026'!$C$26,"N/A")</f>
        <v>20000</v>
      </c>
      <c r="L972" s="423" cm="1">
        <f t="array" ref="L972">IF(B972&gt;0,'Direct Costs 2026'!$C$23,"N/A")</f>
        <v>140000</v>
      </c>
      <c r="M972" s="423" cm="1">
        <f t="array" ref="M972">IF(B972&gt;0,'Direct Costs 2026'!$C$45*B972,"N/A")</f>
        <v>1650000</v>
      </c>
      <c r="N972" t="str" s="431" cm="1">
        <f t="array" ref="N972">IF(B972&gt;0,_xlfn.IFERROR(VLOOKUP(C959,'Boats Data Sheet 2026'!$C$3:$I$57,7,0)*'Direct Costs 2026'!$C$36,"N/A"),"N/A")</f>
        <v>N/A</v>
      </c>
      <c r="O972" t="str" s="431" cm="1">
        <f t="array" ref="O972">IF(B972&gt;0,IF(OR(VLOOKUP(C959,'Boats Data Sheet 2026'!$C$3:$F$57,4,0)="Own",VLOOKUP(C959,'Boats Data Sheet 2026'!$C$3:$F$57,4,0)="Management"),('Direct Costs 2026'!$C$37+'Direct Costs 2026'!$C$39),"N/A"),"N/A")</f>
        <v>N/A</v>
      </c>
      <c r="P972" s="423" cm="1">
        <f t="array" ref="P972">_xlfn.IFERROR('Direct Costs 2026'!$C$27*C972,"N/A")</f>
        <v>150000</v>
      </c>
      <c r="Q972" s="423" cm="1">
        <f t="array" ref="Q972">_xlfn.IFERROR(C972+SUM(E972:P972),"N/A")</f>
        <v>12155333.3333333</v>
      </c>
      <c r="R972" s="424"/>
      <c r="S972" s="423" cm="1">
        <f t="array" ref="S972">IF(B972&gt;0,'Allocation OH and Target 2026'!$E$31,"N/A")</f>
        <v>3100447.15769812</v>
      </c>
      <c r="T972" s="423" cm="1">
        <f t="array" ref="T972">IF(B972&gt;0,VLOOKUP(C959,'Allocation OH and Target 2026'!$C$35:$S$87,16,0),"N/A")</f>
        <v>0</v>
      </c>
      <c r="U972" s="423" cm="1">
        <f t="array" ref="U972">_xlfn.IFERROR((S972+T972),"N/A")</f>
        <v>3100447.15769812</v>
      </c>
      <c r="V972" s="424"/>
      <c r="W972" s="423" cm="1">
        <f t="array" ref="W972">_xlfn.IFERROR(U972+Q972,"N/A")</f>
        <v>15255780.4910314</v>
      </c>
      <c r="X972" s="423" cm="1">
        <f t="array" ref="X972">_xlfn.IFERROR(W972*0.5%,"N/A")</f>
        <v>76278.902455157</v>
      </c>
      <c r="Y972" s="423" cm="1">
        <f t="array" ref="Y972">_xlfn.IFERROR(W972*25%,"N/A")</f>
        <v>3813945.12275785</v>
      </c>
      <c r="Z972" s="425" cm="1">
        <f t="array" ref="Z972">IF(B972&gt;0,SUM(W972:Y972),"N/A")</f>
        <v>19146004.5162444</v>
      </c>
      <c r="AA972" s="425" cm="1">
        <f t="array" ref="AA972">_xlfn.IFERROR((Z972-Z971),"N/A")</f>
        <v>239705</v>
      </c>
      <c r="AB972" s="424"/>
      <c r="AC972" t="str" s="426" cm="1">
        <f t="array" ref="AC972">IF(B972=6,AVERAGE(Z962:Z967),"N/A")</f>
        <v>N/A</v>
      </c>
      <c r="AD972" s="424"/>
      <c r="AE972" s="423"/>
      <c r="AF972" s="423"/>
      <c r="AG972" s="423"/>
      <c r="AH972" s="423"/>
      <c r="AI972" s="423"/>
      <c r="AJ972" s="423"/>
      <c r="AK972" s="423"/>
      <c r="AL972" s="423"/>
      <c r="AM972" s="423"/>
      <c r="AN972" s="427"/>
    </row>
    <row r="973" ht="15" customHeight="1">
      <c r="A973" s="12"/>
      <c r="B973" s="428" cm="1">
        <f t="array" ref="B973">IF(B972=0,0,IF(B972&lt;VLOOKUP(C959,'Boats Data Sheet 2026'!$C$3:$H$57,6,0),B972+1,0))</f>
        <v>12</v>
      </c>
      <c r="C973" s="423" cm="1">
        <f t="array" ref="C973">IF(B973&gt;0,IF(VLOOKUP(C959,'Boats Data Sheet 2026'!$C$3:$J$57,8,0)="N/A",0,VLOOKUP(C959,'Boats Data Sheet 2026'!$C$3:$J$57,8,0)),"N/A")</f>
        <v>7500000</v>
      </c>
      <c r="D973" s="429" cm="1">
        <f t="array" ref="D973">IF(B973&gt;7,2,IF(B973=0,"N/A",1))</f>
        <v>2</v>
      </c>
      <c r="E973" s="423" cm="1">
        <f t="array" ref="E973">_xlfn.IFERROR(SUM('Direct Costs 2026'!$C$4:$C$5)*D973,"N/A")</f>
        <v>1751000</v>
      </c>
      <c r="F973" s="423" cm="1">
        <f t="array" ref="F973">_xlfn.IFERROR('Direct Costs 2026'!$C$43*B973,"N/A")</f>
        <v>72000</v>
      </c>
      <c r="G973" s="423" cm="1">
        <f t="array" ref="G973">IF(B973&gt;0,'Direct Costs 2026'!$C$25,"N/A")</f>
        <v>90000</v>
      </c>
      <c r="H973" s="423" cm="1">
        <f t="array" ref="H973">IF(B973&gt;0,'Direct Costs 2026'!$C$15+'Direct Costs 2026'!$C$14,"N/A")</f>
        <v>230000</v>
      </c>
      <c r="I973" s="423" cm="1">
        <f t="array" ref="I973">IF(B973&gt;0,'Direct Costs 2026'!$C$19+'Direct Costs 2026'!$C$18*B973,"N/A")</f>
        <v>495000</v>
      </c>
      <c r="J973" s="423" cm="1">
        <f t="array" ref="J973">IF(B973&gt;0,SUM('Direct Costs 2026'!$C$20:$C$21),"N/A")</f>
        <v>98333.3333333333</v>
      </c>
      <c r="K973" s="423" cm="1">
        <f t="array" ref="K973">IF(B973&gt;0,'Direct Costs 2026'!$C$26,"N/A")</f>
        <v>20000</v>
      </c>
      <c r="L973" s="423" cm="1">
        <f t="array" ref="L973">IF(B973&gt;0,'Direct Costs 2026'!$C$23,"N/A")</f>
        <v>140000</v>
      </c>
      <c r="M973" s="423" cm="1">
        <f t="array" ref="M973">IF(B973&gt;0,'Direct Costs 2026'!$C$45*B973,"N/A")</f>
        <v>1800000</v>
      </c>
      <c r="N973" t="str" s="431" cm="1">
        <f t="array" ref="N973">IF(B973&gt;0,_xlfn.IFERROR(VLOOKUP(C959,'Boats Data Sheet 2026'!$C$3:$I$57,7,0)*'Direct Costs 2026'!$C$36,"N/A"),"N/A")</f>
        <v>N/A</v>
      </c>
      <c r="O973" t="str" s="431" cm="1">
        <f t="array" ref="O973">IF(B973&gt;0,IF(OR(VLOOKUP(C959,'Boats Data Sheet 2026'!$C$3:$F$57,4,0)="Own",VLOOKUP(C959,'Boats Data Sheet 2026'!$C$3:$F$57,4,0)="Management"),('Direct Costs 2026'!$C$37+'Direct Costs 2026'!$C$39),"N/A"),"N/A")</f>
        <v>N/A</v>
      </c>
      <c r="P973" s="423" cm="1">
        <f t="array" ref="P973">_xlfn.IFERROR('Direct Costs 2026'!$C$27*C973,"N/A")</f>
        <v>150000</v>
      </c>
      <c r="Q973" s="423" cm="1">
        <f t="array" ref="Q973">_xlfn.IFERROR(C973+SUM(E973:P973),"N/A")</f>
        <v>12346333.3333333</v>
      </c>
      <c r="R973" s="424"/>
      <c r="S973" s="423" cm="1">
        <f t="array" ref="S973">IF(B973&gt;0,'Allocation OH and Target 2026'!$E$31,"N/A")</f>
        <v>3100447.15769812</v>
      </c>
      <c r="T973" s="423" cm="1">
        <f t="array" ref="T973">IF(B973&gt;0,VLOOKUP(C959,'Allocation OH and Target 2026'!$C$35:$S$87,16,0),"N/A")</f>
        <v>0</v>
      </c>
      <c r="U973" s="423" cm="1">
        <f t="array" ref="U973">_xlfn.IFERROR((S973+T973),"N/A")</f>
        <v>3100447.15769812</v>
      </c>
      <c r="V973" s="424"/>
      <c r="W973" s="423" cm="1">
        <f t="array" ref="W973">_xlfn.IFERROR(U973+Q973,"N/A")</f>
        <v>15446780.4910314</v>
      </c>
      <c r="X973" s="423" cm="1">
        <f t="array" ref="X973">_xlfn.IFERROR(W973*0.5%,"N/A")</f>
        <v>77233.902455157</v>
      </c>
      <c r="Y973" s="423" cm="1">
        <f t="array" ref="Y973">_xlfn.IFERROR(W973*25%,"N/A")</f>
        <v>3861695.12275785</v>
      </c>
      <c r="Z973" s="425" cm="1">
        <f t="array" ref="Z973">IF(B973&gt;0,SUM(W973:Y973),"N/A")</f>
        <v>19385709.5162444</v>
      </c>
      <c r="AA973" s="425" cm="1">
        <f t="array" ref="AA973">_xlfn.IFERROR((Z973-Z972),"N/A")</f>
        <v>239705</v>
      </c>
      <c r="AB973" s="424"/>
      <c r="AC973" t="str" s="426" cm="1">
        <f t="array" ref="AC973">IF(B973=6,AVERAGE(Z962:Z967),"N/A")</f>
        <v>N/A</v>
      </c>
      <c r="AD973" s="424"/>
      <c r="AE973" s="423"/>
      <c r="AF973" s="423"/>
      <c r="AG973" s="423"/>
      <c r="AH973" s="423"/>
      <c r="AI973" s="423"/>
      <c r="AJ973" s="423"/>
      <c r="AK973" s="423"/>
      <c r="AL973" s="423"/>
      <c r="AM973" s="423"/>
      <c r="AN973" s="427"/>
    </row>
    <row r="974" ht="15" customHeight="1">
      <c r="A974" s="12"/>
      <c r="B974" s="428" cm="1">
        <f t="array" ref="B974">IF(B973=0,0,IF(B973&lt;VLOOKUP(C959,'Boats Data Sheet 2026'!$C$3:$H$57,6,0),B973+1,0))</f>
        <v>13</v>
      </c>
      <c r="C974" s="423" cm="1">
        <f t="array" ref="C974">IF(B974&gt;0,IF(VLOOKUP(C959,'Boats Data Sheet 2026'!$C$3:$J$57,8,0)="N/A",0,VLOOKUP(C959,'Boats Data Sheet 2026'!$C$3:$J$57,8,0)),"N/A")</f>
        <v>7500000</v>
      </c>
      <c r="D974" s="429" cm="1">
        <f t="array" ref="D974">IF(B974&gt;7,2,IF(B974=0,"N/A",1))</f>
        <v>2</v>
      </c>
      <c r="E974" s="423" cm="1">
        <f t="array" ref="E974">_xlfn.IFERROR(SUM('Direct Costs 2026'!$C$4:$C$5)*D974,"N/A")</f>
        <v>1751000</v>
      </c>
      <c r="F974" s="423" cm="1">
        <f t="array" ref="F974">_xlfn.IFERROR('Direct Costs 2026'!$C$43*B974,"N/A")</f>
        <v>78000</v>
      </c>
      <c r="G974" s="423" cm="1">
        <f t="array" ref="G974">IF(B974&gt;0,'Direct Costs 2026'!$C$25,"N/A")</f>
        <v>90000</v>
      </c>
      <c r="H974" s="423" cm="1">
        <f t="array" ref="H974">IF(B974&gt;0,'Direct Costs 2026'!$C$15+'Direct Costs 2026'!$C$14,"N/A")</f>
        <v>230000</v>
      </c>
      <c r="I974" s="423" cm="1">
        <f t="array" ref="I974">IF(B974&gt;0,'Direct Costs 2026'!$C$19+'Direct Costs 2026'!$C$18*B974,"N/A")</f>
        <v>530000</v>
      </c>
      <c r="J974" s="423" cm="1">
        <f t="array" ref="J974">IF(B974&gt;0,SUM('Direct Costs 2026'!$C$20:$C$21),"N/A")</f>
        <v>98333.3333333333</v>
      </c>
      <c r="K974" s="423" cm="1">
        <f t="array" ref="K974">IF(B974&gt;0,'Direct Costs 2026'!$C$26,"N/A")</f>
        <v>20000</v>
      </c>
      <c r="L974" s="423" cm="1">
        <f t="array" ref="L974">IF(B974&gt;0,'Direct Costs 2026'!$C$23,"N/A")</f>
        <v>140000</v>
      </c>
      <c r="M974" s="423" cm="1">
        <f t="array" ref="M974">IF(B974&gt;0,'Direct Costs 2026'!$C$45*B974,"N/A")</f>
        <v>1950000</v>
      </c>
      <c r="N974" t="str" s="431" cm="1">
        <f t="array" ref="N974">IF(B974&gt;0,_xlfn.IFERROR(VLOOKUP(C959,'Boats Data Sheet 2026'!$C$3:$I$57,7,0)*'Direct Costs 2026'!$C$36,"N/A"),"N/A")</f>
        <v>N/A</v>
      </c>
      <c r="O974" t="str" s="431" cm="1">
        <f t="array" ref="O974">IF(B974&gt;0,IF(OR(VLOOKUP(C959,'Boats Data Sheet 2026'!$C$3:$F$57,4,0)="Own",VLOOKUP(C959,'Boats Data Sheet 2026'!$C$3:$F$57,4,0)="Management"),('Direct Costs 2026'!$C$37+'Direct Costs 2026'!$C$39),"N/A"),"N/A")</f>
        <v>N/A</v>
      </c>
      <c r="P974" s="423" cm="1">
        <f t="array" ref="P974">_xlfn.IFERROR('Direct Costs 2026'!$C$27*C974,"N/A")</f>
        <v>150000</v>
      </c>
      <c r="Q974" s="423" cm="1">
        <f t="array" ref="Q974">_xlfn.IFERROR(C974+SUM(E974:P974),"N/A")</f>
        <v>12537333.3333333</v>
      </c>
      <c r="R974" s="424"/>
      <c r="S974" s="423" cm="1">
        <f t="array" ref="S974">IF(B974&gt;0,'Allocation OH and Target 2026'!$E$31,"N/A")</f>
        <v>3100447.15769812</v>
      </c>
      <c r="T974" s="423" cm="1">
        <f t="array" ref="T974">IF(B974&gt;0,VLOOKUP(C959,'Allocation OH and Target 2026'!$C$35:$S$87,16,0),"N/A")</f>
        <v>0</v>
      </c>
      <c r="U974" s="423" cm="1">
        <f t="array" ref="U974">_xlfn.IFERROR((S974+T974),"N/A")</f>
        <v>3100447.15769812</v>
      </c>
      <c r="V974" s="424"/>
      <c r="W974" s="423" cm="1">
        <f t="array" ref="W974">_xlfn.IFERROR(U974+Q974,"N/A")</f>
        <v>15637780.4910314</v>
      </c>
      <c r="X974" s="423" cm="1">
        <f t="array" ref="X974">_xlfn.IFERROR(W974*0.5%,"N/A")</f>
        <v>78188.902455157</v>
      </c>
      <c r="Y974" s="423" cm="1">
        <f t="array" ref="Y974">_xlfn.IFERROR(W974*25%,"N/A")</f>
        <v>3909445.12275785</v>
      </c>
      <c r="Z974" s="425" cm="1">
        <f t="array" ref="Z974">IF(B974&gt;0,SUM(W974:Y974),"N/A")</f>
        <v>19625414.5162444</v>
      </c>
      <c r="AA974" s="425" cm="1">
        <f t="array" ref="AA974">_xlfn.IFERROR((Z974-Z973),"N/A")</f>
        <v>239705</v>
      </c>
      <c r="AB974" s="424"/>
      <c r="AC974" t="str" s="426" cm="1">
        <f t="array" ref="AC974">IF(B974=6,AVERAGE(Z962:Z967),"N/A")</f>
        <v>N/A</v>
      </c>
      <c r="AD974" s="424"/>
      <c r="AE974" s="423"/>
      <c r="AF974" s="423"/>
      <c r="AG974" s="423"/>
      <c r="AH974" s="423"/>
      <c r="AI974" s="423"/>
      <c r="AJ974" s="423"/>
      <c r="AK974" s="423"/>
      <c r="AL974" s="423"/>
      <c r="AM974" s="423"/>
      <c r="AN974" s="427"/>
    </row>
    <row r="975" ht="15" customHeight="1">
      <c r="A975" s="12"/>
      <c r="B975" s="428" cm="1">
        <f t="array" ref="B975">IF(B974=0,0,IF(B974&lt;VLOOKUP(C959,'Boats Data Sheet 2026'!$C$3:$H$57,6,0),B974+1,0))</f>
        <v>0</v>
      </c>
      <c r="C975" t="str" s="431" cm="1">
        <f t="array" ref="C975">IF(B975&gt;0,IF(VLOOKUP(C959,'Boats Data Sheet 2026'!$C$3:$J$57,8,0)="N/A",0,VLOOKUP(C959,'Boats Data Sheet 2026'!$C$3:$J$57,8,0)),"N/A")</f>
        <v>N/A</v>
      </c>
      <c r="D975" t="str" s="431" cm="1">
        <f t="array" ref="D975">IF(B975&gt;7,2,IF(B975=0,"N/A",1))</f>
        <v>N/A</v>
      </c>
      <c r="E975" t="str" s="431" cm="1">
        <f t="array" ref="E975">_xlfn.IFERROR(SUM('Direct Costs 2026'!$C$4:$C$5)*D975,"N/A")</f>
        <v>N/A</v>
      </c>
      <c r="F975" s="423" cm="1">
        <f t="array" ref="F975">_xlfn.IFERROR('Direct Costs 2026'!$C$43*B975,"N/A")</f>
        <v>0</v>
      </c>
      <c r="G975" t="str" s="431" cm="1">
        <f t="array" ref="G975">IF(B975&gt;0,'Direct Costs 2026'!$C$25,"N/A")</f>
        <v>N/A</v>
      </c>
      <c r="H975" t="str" s="431" cm="1">
        <f t="array" ref="H975">IF(B975&gt;0,'Direct Costs 2026'!$C$15+'Direct Costs 2026'!$C$14,"N/A")</f>
        <v>N/A</v>
      </c>
      <c r="I975" t="str" s="431" cm="1">
        <f t="array" ref="I975">IF(B975&gt;0,'Direct Costs 2026'!$C$19+'Direct Costs 2026'!$C$18*B975,"N/A")</f>
        <v>N/A</v>
      </c>
      <c r="J975" t="str" s="431" cm="1">
        <f t="array" ref="J975">IF(B975&gt;0,SUM('Direct Costs 2026'!$C$20:$C$21),"N/A")</f>
        <v>N/A</v>
      </c>
      <c r="K975" t="str" s="431" cm="1">
        <f t="array" ref="K975">IF(B975&gt;0,'Direct Costs 2026'!$C$26,"N/A")</f>
        <v>N/A</v>
      </c>
      <c r="L975" t="str" s="431" cm="1">
        <f t="array" ref="L975">IF(B975&gt;0,'Direct Costs 2026'!$C$23,"N/A")</f>
        <v>N/A</v>
      </c>
      <c r="M975" t="str" s="431" cm="1">
        <f t="array" ref="M975">IF(B975&gt;0,'Direct Costs 2026'!$C$45*B975,"N/A")</f>
        <v>N/A</v>
      </c>
      <c r="N975" t="str" s="431" cm="1">
        <f t="array" ref="N975">IF(B975&gt;0,_xlfn.IFERROR(VLOOKUP(C959,'Boats Data Sheet 2026'!$C$3:$I$57,7,0)*'Direct Costs 2026'!$C$36,"N/A"),"N/A")</f>
        <v>N/A</v>
      </c>
      <c r="O975" t="str" s="431" cm="1">
        <f t="array" ref="O975">IF(B975&gt;0,IF(OR(VLOOKUP(C959,'Boats Data Sheet 2026'!$C$3:$F$57,4,0)="Own",VLOOKUP(C959,'Boats Data Sheet 2026'!$C$3:$F$57,4,0)="Management"),('Direct Costs 2026'!$C$37+'Direct Costs 2026'!$C$39),"N/A"),"N/A")</f>
        <v>N/A</v>
      </c>
      <c r="P975" t="str" s="431" cm="1">
        <f t="array" ref="P975">_xlfn.IFERROR('Direct Costs 2026'!$C$27*C975,"N/A")</f>
        <v>N/A</v>
      </c>
      <c r="Q975" t="str" s="431" cm="1">
        <f t="array" ref="Q975">_xlfn.IFERROR(C975+SUM(E975:P975),"N/A")</f>
        <v>N/A</v>
      </c>
      <c r="R975" s="424"/>
      <c r="S975" t="str" s="431" cm="1">
        <f t="array" ref="S975">IF(B975&gt;0,'Allocation OH and Target 2026'!$E$31,"N/A")</f>
        <v>N/A</v>
      </c>
      <c r="T975" t="str" s="431" cm="1">
        <f t="array" ref="T975">IF(B975&gt;0,VLOOKUP(C959,'Allocation OH and Target 2026'!$C$35:$S$87,16,0),"N/A")</f>
        <v>N/A</v>
      </c>
      <c r="U975" t="str" s="431" cm="1">
        <f t="array" ref="U975">_xlfn.IFERROR((S975+T975),"N/A")</f>
        <v>N/A</v>
      </c>
      <c r="V975" s="424"/>
      <c r="W975" t="str" s="431" cm="1">
        <f t="array" ref="W975">_xlfn.IFERROR(U975+Q975,"N/A")</f>
        <v>N/A</v>
      </c>
      <c r="X975" t="str" s="431" cm="1">
        <f t="array" ref="X975">_xlfn.IFERROR(W975*0.5%,"N/A")</f>
        <v>N/A</v>
      </c>
      <c r="Y975" t="str" s="431" cm="1">
        <f t="array" ref="Y975">_xlfn.IFERROR(W975*25%,"N/A")</f>
        <v>N/A</v>
      </c>
      <c r="Z975" t="str" s="426" cm="1">
        <f t="array" ref="Z975">IF(B975&gt;0,SUM(W975:Y975),"N/A")</f>
        <v>N/A</v>
      </c>
      <c r="AA975" t="str" s="426" cm="1">
        <f t="array" ref="AA975">_xlfn.IFERROR((Z975-Z974),"N/A")</f>
        <v>N/A</v>
      </c>
      <c r="AB975" s="424"/>
      <c r="AC975" t="str" s="426" cm="1">
        <f t="array" ref="AC975">IF(B975=6,AVERAGE(Z962:Z967),"N/A")</f>
        <v>N/A</v>
      </c>
      <c r="AD975" s="424"/>
      <c r="AE975" s="423"/>
      <c r="AF975" s="423"/>
      <c r="AG975" s="423"/>
      <c r="AH975" s="423"/>
      <c r="AI975" s="423"/>
      <c r="AJ975" s="423"/>
      <c r="AK975" s="423"/>
      <c r="AL975" s="423"/>
      <c r="AM975" s="423"/>
      <c r="AN975" s="427"/>
    </row>
    <row r="976" ht="15" customHeight="1">
      <c r="A976" s="12"/>
      <c r="B976" s="428" cm="1">
        <f t="array" ref="B976">IF(B975=0,0,IF(B975&lt;VLOOKUP(C959,'Boats Data Sheet 2026'!$C$3:$H$57,6,0),B975+1,0))</f>
        <v>0</v>
      </c>
      <c r="C976" t="str" s="431" cm="1">
        <f t="array" ref="C976">IF(B976&gt;0,IF(VLOOKUP(C959,'Boats Data Sheet 2026'!$C$3:$J$57,8,0)="N/A",0,VLOOKUP(C959,'Boats Data Sheet 2026'!$C$3:$J$57,8,0)),"N/A")</f>
        <v>N/A</v>
      </c>
      <c r="D976" t="str" s="431" cm="1">
        <f t="array" ref="D976">IF(B976&gt;7,2,IF(B976=0,"N/A",1))</f>
        <v>N/A</v>
      </c>
      <c r="E976" t="str" s="431" cm="1">
        <f t="array" ref="E976">_xlfn.IFERROR(SUM('Direct Costs 2026'!$C$4:$C$5)*D976,"N/A")</f>
        <v>N/A</v>
      </c>
      <c r="F976" s="423" cm="1">
        <f t="array" ref="F976">_xlfn.IFERROR('Direct Costs 2026'!$C$43*B976,"N/A")</f>
        <v>0</v>
      </c>
      <c r="G976" t="str" s="431" cm="1">
        <f t="array" ref="G976">IF(B976&gt;0,'Direct Costs 2026'!$C$25,"N/A")</f>
        <v>N/A</v>
      </c>
      <c r="H976" t="str" s="431" cm="1">
        <f t="array" ref="H976">IF(B976&gt;0,'Direct Costs 2026'!$C$15+'Direct Costs 2026'!$C$14,"N/A")</f>
        <v>N/A</v>
      </c>
      <c r="I976" t="str" s="431" cm="1">
        <f t="array" ref="I976">IF(B976&gt;0,'Direct Costs 2026'!$C$19+'Direct Costs 2026'!$C$18*B976,"N/A")</f>
        <v>N/A</v>
      </c>
      <c r="J976" t="str" s="431" cm="1">
        <f t="array" ref="J976">IF(B976&gt;0,SUM('Direct Costs 2026'!$C$20:$C$21),"N/A")</f>
        <v>N/A</v>
      </c>
      <c r="K976" t="str" s="431" cm="1">
        <f t="array" ref="K976">IF(B976&gt;0,'Direct Costs 2026'!$C$26,"N/A")</f>
        <v>N/A</v>
      </c>
      <c r="L976" t="str" s="431" cm="1">
        <f t="array" ref="L976">IF(B976&gt;0,'Direct Costs 2026'!$C$23,"N/A")</f>
        <v>N/A</v>
      </c>
      <c r="M976" t="str" s="431" cm="1">
        <f t="array" ref="M976">IF(B976&gt;0,'Direct Costs 2026'!$C$45*B976,"N/A")</f>
        <v>N/A</v>
      </c>
      <c r="N976" t="str" s="431" cm="1">
        <f t="array" ref="N976">IF(B976&gt;0,_xlfn.IFERROR(VLOOKUP(C959,'Boats Data Sheet 2026'!$C$3:$I$57,7,0)*'Direct Costs 2026'!$C$36,"N/A"),"N/A")</f>
        <v>N/A</v>
      </c>
      <c r="O976" t="str" s="431" cm="1">
        <f t="array" ref="O976">IF(B976&gt;0,IF(OR(VLOOKUP(C959,'Boats Data Sheet 2026'!$C$3:$F$57,4,0)="Own",VLOOKUP(C959,'Boats Data Sheet 2026'!$C$3:$F$57,4,0)="Management"),('Direct Costs 2026'!$C$37+'Direct Costs 2026'!$C$39),"N/A"),"N/A")</f>
        <v>N/A</v>
      </c>
      <c r="P976" t="str" s="431" cm="1">
        <f t="array" ref="P976">_xlfn.IFERROR('Direct Costs 2026'!$C$27*C976,"N/A")</f>
        <v>N/A</v>
      </c>
      <c r="Q976" t="str" s="431" cm="1">
        <f t="array" ref="Q976">_xlfn.IFERROR(C976+SUM(E976:P976),"N/A")</f>
        <v>N/A</v>
      </c>
      <c r="R976" s="424"/>
      <c r="S976" t="str" s="431" cm="1">
        <f t="array" ref="S976">IF(B976&gt;0,'Allocation OH and Target 2026'!$E$31,"N/A")</f>
        <v>N/A</v>
      </c>
      <c r="T976" t="str" s="431" cm="1">
        <f t="array" ref="T976">IF(B976&gt;0,VLOOKUP(C959,'Allocation OH and Target 2026'!$C$35:$S$87,16,0),"N/A")</f>
        <v>N/A</v>
      </c>
      <c r="U976" t="str" s="431" cm="1">
        <f t="array" ref="U976">_xlfn.IFERROR((S976+T976),"N/A")</f>
        <v>N/A</v>
      </c>
      <c r="V976" s="424"/>
      <c r="W976" t="str" s="431" cm="1">
        <f t="array" ref="W976">_xlfn.IFERROR(U976+Q976,"N/A")</f>
        <v>N/A</v>
      </c>
      <c r="X976" t="str" s="431" cm="1">
        <f t="array" ref="X976">_xlfn.IFERROR(W976*0.5%,"N/A")</f>
        <v>N/A</v>
      </c>
      <c r="Y976" t="str" s="431" cm="1">
        <f t="array" ref="Y976">_xlfn.IFERROR(W976*25%,"N/A")</f>
        <v>N/A</v>
      </c>
      <c r="Z976" t="str" s="426" cm="1">
        <f t="array" ref="Z976">IF(B976&gt;0,SUM(W976:Y976),"N/A")</f>
        <v>N/A</v>
      </c>
      <c r="AA976" t="str" s="426" cm="1">
        <f t="array" ref="AA976">_xlfn.IFERROR((Z976-Z975),"N/A")</f>
        <v>N/A</v>
      </c>
      <c r="AB976" s="424"/>
      <c r="AC976" t="str" s="426" cm="1">
        <f t="array" ref="AC976">IF(B976=6,AVERAGE(Z962:Z967),"N/A")</f>
        <v>N/A</v>
      </c>
      <c r="AD976" s="424"/>
      <c r="AE976" s="423"/>
      <c r="AF976" s="423"/>
      <c r="AG976" s="423"/>
      <c r="AH976" s="423"/>
      <c r="AI976" s="423"/>
      <c r="AJ976" s="423"/>
      <c r="AK976" s="423"/>
      <c r="AL976" s="423"/>
      <c r="AM976" s="423"/>
      <c r="AN976" s="427"/>
    </row>
    <row r="977" ht="15" customHeight="1">
      <c r="A977" s="12"/>
      <c r="B977" s="428" cm="1">
        <f t="array" ref="B977">IF(B976=0,0,IF(B976&lt;VLOOKUP(C959,'Boats Data Sheet 2026'!$C$3:$H$57,6,0),B976+1,0))</f>
        <v>0</v>
      </c>
      <c r="C977" t="str" s="431" cm="1">
        <f t="array" ref="C977">IF(B977&gt;0,IF(VLOOKUP(C959,'Boats Data Sheet 2026'!$C$3:$J$57,8,0)="N/A",0,VLOOKUP(C959,'Boats Data Sheet 2026'!$C$3:$J$57,8,0)),"N/A")</f>
        <v>N/A</v>
      </c>
      <c r="D977" t="str" s="431" cm="1">
        <f t="array" ref="D977">IF(B977&gt;7,2,IF(B977=0,"N/A",1))</f>
        <v>N/A</v>
      </c>
      <c r="E977" t="str" s="431" cm="1">
        <f t="array" ref="E977">_xlfn.IFERROR(SUM('Direct Costs 2026'!$C$4:$C$5)*D977,"N/A")</f>
        <v>N/A</v>
      </c>
      <c r="F977" s="423" cm="1">
        <f t="array" ref="F977">_xlfn.IFERROR('Direct Costs 2026'!$C$43*B977,"N/A")</f>
        <v>0</v>
      </c>
      <c r="G977" t="str" s="431" cm="1">
        <f t="array" ref="G977">IF(B977&gt;0,'Direct Costs 2026'!$C$25,"N/A")</f>
        <v>N/A</v>
      </c>
      <c r="H977" t="str" s="431" cm="1">
        <f t="array" ref="H977">IF(B977&gt;0,'Direct Costs 2026'!$C$15+'Direct Costs 2026'!$C$14,"N/A")</f>
        <v>N/A</v>
      </c>
      <c r="I977" t="str" s="431" cm="1">
        <f t="array" ref="I977">IF(B977&gt;0,'Direct Costs 2026'!$C$19+'Direct Costs 2026'!$C$18*B977,"N/A")</f>
        <v>N/A</v>
      </c>
      <c r="J977" t="str" s="431" cm="1">
        <f t="array" ref="J977">IF(B977&gt;0,SUM('Direct Costs 2026'!$C$20:$C$21),"N/A")</f>
        <v>N/A</v>
      </c>
      <c r="K977" t="str" s="431" cm="1">
        <f t="array" ref="K977">IF(B977&gt;0,'Direct Costs 2026'!$C$26,"N/A")</f>
        <v>N/A</v>
      </c>
      <c r="L977" t="str" s="431" cm="1">
        <f t="array" ref="L977">IF(B977&gt;0,'Direct Costs 2026'!$C$23,"N/A")</f>
        <v>N/A</v>
      </c>
      <c r="M977" t="str" s="431" cm="1">
        <f t="array" ref="M977">IF(B977&gt;0,'Direct Costs 2026'!$C$45*B977,"N/A")</f>
        <v>N/A</v>
      </c>
      <c r="N977" t="str" s="431" cm="1">
        <f t="array" ref="N977">IF(B977&gt;0,_xlfn.IFERROR(VLOOKUP(C959,'Boats Data Sheet 2026'!$C$3:$I$57,7,0)*'Direct Costs 2026'!$C$36,"N/A"),"N/A")</f>
        <v>N/A</v>
      </c>
      <c r="O977" t="str" s="431" cm="1">
        <f t="array" ref="O977">IF(B977&gt;0,IF(OR(VLOOKUP(C959,'Boats Data Sheet 2026'!$C$3:$F$57,4,0)="Own",VLOOKUP(C959,'Boats Data Sheet 2026'!$C$3:$F$57,4,0)="Management"),('Direct Costs 2026'!$C$37+'Direct Costs 2026'!$C$39),"N/A"),"N/A")</f>
        <v>N/A</v>
      </c>
      <c r="P977" t="str" s="431" cm="1">
        <f t="array" ref="P977">_xlfn.IFERROR('Direct Costs 2026'!$C$27*C977,"N/A")</f>
        <v>N/A</v>
      </c>
      <c r="Q977" t="str" s="431" cm="1">
        <f t="array" ref="Q977">_xlfn.IFERROR(C977+SUM(E977:P977),"N/A")</f>
        <v>N/A</v>
      </c>
      <c r="R977" s="424"/>
      <c r="S977" t="str" s="431" cm="1">
        <f t="array" ref="S977">IF(B977&gt;0,'Allocation OH and Target 2026'!$E$31,"N/A")</f>
        <v>N/A</v>
      </c>
      <c r="T977" t="str" s="431" cm="1">
        <f t="array" ref="T977">IF(B977&gt;0,VLOOKUP(C959,'Allocation OH and Target 2026'!$C$35:$S$87,16,0),"N/A")</f>
        <v>N/A</v>
      </c>
      <c r="U977" t="str" s="431" cm="1">
        <f t="array" ref="U977">_xlfn.IFERROR((S977+T977),"N/A")</f>
        <v>N/A</v>
      </c>
      <c r="V977" s="424"/>
      <c r="W977" t="str" s="431" cm="1">
        <f t="array" ref="W977">_xlfn.IFERROR(U977+Q977,"N/A")</f>
        <v>N/A</v>
      </c>
      <c r="X977" t="str" s="431" cm="1">
        <f t="array" ref="X977">_xlfn.IFERROR(W977*0.5%,"N/A")</f>
        <v>N/A</v>
      </c>
      <c r="Y977" t="str" s="431" cm="1">
        <f t="array" ref="Y977">_xlfn.IFERROR(W977*25%,"N/A")</f>
        <v>N/A</v>
      </c>
      <c r="Z977" t="str" s="426" cm="1">
        <f t="array" ref="Z977">IF(B977&gt;0,SUM(W977:Y977),"N/A")</f>
        <v>N/A</v>
      </c>
      <c r="AA977" t="str" s="426" cm="1">
        <f t="array" ref="AA977">_xlfn.IFERROR((Z977-Z976),"N/A")</f>
        <v>N/A</v>
      </c>
      <c r="AB977" s="424"/>
      <c r="AC977" t="str" s="426" cm="1">
        <f t="array" ref="AC977">IF(B977=6,AVERAGE(Z962:Z967),"N/A")</f>
        <v>N/A</v>
      </c>
      <c r="AD977" s="424"/>
      <c r="AE977" s="423"/>
      <c r="AF977" s="423"/>
      <c r="AG977" s="423"/>
      <c r="AH977" s="423"/>
      <c r="AI977" s="423"/>
      <c r="AJ977" s="423"/>
      <c r="AK977" s="423"/>
      <c r="AL977" s="423"/>
      <c r="AM977" s="423"/>
      <c r="AN977" s="427"/>
    </row>
    <row r="978" ht="15" customHeight="1">
      <c r="A978" s="12"/>
      <c r="B978" s="428" cm="1">
        <f t="array" ref="B978">IF(B977=0,0,IF(B977&lt;VLOOKUP(C959,'Boats Data Sheet 2026'!$C$3:$H$57,6,0),B977+1,0))</f>
        <v>0</v>
      </c>
      <c r="C978" t="str" s="431" cm="1">
        <f t="array" ref="C978">IF(B978&gt;0,IF(VLOOKUP(C959,'Boats Data Sheet 2026'!$C$3:$J$57,8,0)="N/A",0,VLOOKUP(C959,'Boats Data Sheet 2026'!$C$3:$J$57,8,0)),"N/A")</f>
        <v>N/A</v>
      </c>
      <c r="D978" t="str" s="431" cm="1">
        <f t="array" ref="D978">IF(B978&gt;7,2,IF(B978=0,"N/A",1))</f>
        <v>N/A</v>
      </c>
      <c r="E978" t="str" s="431" cm="1">
        <f t="array" ref="E978">_xlfn.IFERROR(SUM('Direct Costs 2026'!$C$4:$C$5)*D978,"N/A")</f>
        <v>N/A</v>
      </c>
      <c r="F978" s="423" cm="1">
        <f t="array" ref="F978">_xlfn.IFERROR('Direct Costs 2026'!$C$43*B978,"N/A")</f>
        <v>0</v>
      </c>
      <c r="G978" t="str" s="431" cm="1">
        <f t="array" ref="G978">IF(B978&gt;0,'Direct Costs 2026'!$C$25,"N/A")</f>
        <v>N/A</v>
      </c>
      <c r="H978" t="str" s="431" cm="1">
        <f t="array" ref="H978">IF(B978&gt;0,'Direct Costs 2026'!$C$15+'Direct Costs 2026'!$C$14,"N/A")</f>
        <v>N/A</v>
      </c>
      <c r="I978" t="str" s="431" cm="1">
        <f t="array" ref="I978">IF(B978&gt;0,'Direct Costs 2026'!$C$19+'Direct Costs 2026'!$C$18*B978,"N/A")</f>
        <v>N/A</v>
      </c>
      <c r="J978" t="str" s="431" cm="1">
        <f t="array" ref="J978">IF(B978&gt;0,SUM('Direct Costs 2026'!$C$20:$C$21),"N/A")</f>
        <v>N/A</v>
      </c>
      <c r="K978" t="str" s="431" cm="1">
        <f t="array" ref="K978">IF(B978&gt;0,'Direct Costs 2026'!$C$26,"N/A")</f>
        <v>N/A</v>
      </c>
      <c r="L978" t="str" s="431" cm="1">
        <f t="array" ref="L978">IF(B978&gt;0,'Direct Costs 2026'!$C$23,"N/A")</f>
        <v>N/A</v>
      </c>
      <c r="M978" t="str" s="431" cm="1">
        <f t="array" ref="M978">IF(B978&gt;0,'Direct Costs 2026'!$C$45*B978,"N/A")</f>
        <v>N/A</v>
      </c>
      <c r="N978" t="str" s="431" cm="1">
        <f t="array" ref="N978">IF(B978&gt;0,_xlfn.IFERROR(VLOOKUP(C959,'Boats Data Sheet 2026'!$C$3:$I$57,7,0)*'Direct Costs 2026'!$C$36,"N/A"),"N/A")</f>
        <v>N/A</v>
      </c>
      <c r="O978" t="str" s="431" cm="1">
        <f t="array" ref="O978">IF(B978&gt;0,IF(OR(VLOOKUP(C959,'Boats Data Sheet 2026'!$C$3:$F$57,4,0)="Own",VLOOKUP(C959,'Boats Data Sheet 2026'!$C$3:$F$57,4,0)="Management"),('Direct Costs 2026'!$C$37+'Direct Costs 2026'!$C$39),"N/A"),"N/A")</f>
        <v>N/A</v>
      </c>
      <c r="P978" t="str" s="431" cm="1">
        <f t="array" ref="P978">_xlfn.IFERROR('Direct Costs 2026'!$C$27*C978,"N/A")</f>
        <v>N/A</v>
      </c>
      <c r="Q978" t="str" s="431" cm="1">
        <f t="array" ref="Q978">_xlfn.IFERROR(C978+SUM(E978:P978),"N/A")</f>
        <v>N/A</v>
      </c>
      <c r="R978" s="424"/>
      <c r="S978" t="str" s="431" cm="1">
        <f t="array" ref="S978">IF(B978&gt;0,'Allocation OH and Target 2026'!$E$31,"N/A")</f>
        <v>N/A</v>
      </c>
      <c r="T978" t="str" s="431" cm="1">
        <f t="array" ref="T978">IF(B978&gt;0,VLOOKUP(C959,'Allocation OH and Target 2026'!$C$35:$S$87,16,0),"N/A")</f>
        <v>N/A</v>
      </c>
      <c r="U978" t="str" s="431" cm="1">
        <f t="array" ref="U978">_xlfn.IFERROR((S978+T978),"N/A")</f>
        <v>N/A</v>
      </c>
      <c r="V978" s="424"/>
      <c r="W978" t="str" s="431" cm="1">
        <f t="array" ref="W978">_xlfn.IFERROR(U978+Q978,"N/A")</f>
        <v>N/A</v>
      </c>
      <c r="X978" t="str" s="431" cm="1">
        <f t="array" ref="X978">_xlfn.IFERROR(W978*0.5%,"N/A")</f>
        <v>N/A</v>
      </c>
      <c r="Y978" t="str" s="431" cm="1">
        <f t="array" ref="Y978">_xlfn.IFERROR(W978*25%,"N/A")</f>
        <v>N/A</v>
      </c>
      <c r="Z978" t="str" s="426" cm="1">
        <f t="array" ref="Z978">IF(B978&gt;0,SUM(W978:Y978),"N/A")</f>
        <v>N/A</v>
      </c>
      <c r="AA978" t="str" s="426" cm="1">
        <f t="array" ref="AA978">_xlfn.IFERROR((Z978-Z977),"N/A")</f>
        <v>N/A</v>
      </c>
      <c r="AB978" s="424"/>
      <c r="AC978" t="str" s="426" cm="1">
        <f t="array" ref="AC978">IF(B978=6,AVERAGE(Z962:Z967),"N/A")</f>
        <v>N/A</v>
      </c>
      <c r="AD978" s="424"/>
      <c r="AE978" s="423"/>
      <c r="AF978" s="423"/>
      <c r="AG978" s="423"/>
      <c r="AH978" s="423"/>
      <c r="AI978" s="423"/>
      <c r="AJ978" s="423"/>
      <c r="AK978" s="423"/>
      <c r="AL978" s="423"/>
      <c r="AM978" s="423"/>
      <c r="AN978" s="427"/>
    </row>
    <row r="979" ht="15.5" customHeight="1">
      <c r="A979" s="12"/>
      <c r="B979" s="432" cm="1">
        <f t="array" ref="B979">IF(B978=0,0,IF(B978&lt;VLOOKUP(C959,'Boats Data Sheet 2026'!$C$3:$H$57,6,0),B978+1,0))</f>
        <v>0</v>
      </c>
      <c r="C979" t="str" s="433" cm="1">
        <f t="array" ref="C979">IF(B979&gt;0,IF(VLOOKUP(C959,'Boats Data Sheet 2026'!$C$3:$J$57,8,0)="N/A",0,VLOOKUP(C959,'Boats Data Sheet 2026'!$C$3:$J$57,8,0)),"N/A")</f>
        <v>N/A</v>
      </c>
      <c r="D979" t="str" s="433" cm="1">
        <f t="array" ref="D979">IF(B979&gt;7,2,IF(B979=0,"N/A",1))</f>
        <v>N/A</v>
      </c>
      <c r="E979" t="str" s="433" cm="1">
        <f t="array" ref="E979">_xlfn.IFERROR(SUM('Direct Costs 2026'!$C$4:$C$5)*D979,"N/A")</f>
        <v>N/A</v>
      </c>
      <c r="F979" s="434" cm="1">
        <f t="array" ref="F979">_xlfn.IFERROR('Direct Costs 2026'!$C$43*B979,"N/A")</f>
        <v>0</v>
      </c>
      <c r="G979" t="str" s="433" cm="1">
        <f t="array" ref="G979">IF(B979&gt;0,'Direct Costs 2026'!$C$25,"N/A")</f>
        <v>N/A</v>
      </c>
      <c r="H979" t="str" s="433" cm="1">
        <f t="array" ref="H979">IF(B979&gt;0,'Direct Costs 2026'!$C$15+'Direct Costs 2026'!$C$14,"N/A")</f>
        <v>N/A</v>
      </c>
      <c r="I979" t="str" s="433" cm="1">
        <f t="array" ref="I979">IF(B979&gt;0,'Direct Costs 2026'!$C$19+'Direct Costs 2026'!$C$18*B979,"N/A")</f>
        <v>N/A</v>
      </c>
      <c r="J979" t="str" s="433" cm="1">
        <f t="array" ref="J979">IF(B979&gt;0,SUM('Direct Costs 2026'!$C$20:$C$21),"N/A")</f>
        <v>N/A</v>
      </c>
      <c r="K979" t="str" s="433" cm="1">
        <f t="array" ref="K979">IF(B979&gt;0,'Direct Costs 2026'!$C$26,"N/A")</f>
        <v>N/A</v>
      </c>
      <c r="L979" t="str" s="433" cm="1">
        <f t="array" ref="L979">IF(B979&gt;0,'Direct Costs 2026'!$C$23,"N/A")</f>
        <v>N/A</v>
      </c>
      <c r="M979" t="str" s="433" cm="1">
        <f t="array" ref="M979">IF(B979&gt;0,'Direct Costs 2026'!$C$45*B979,"N/A")</f>
        <v>N/A</v>
      </c>
      <c r="N979" t="str" s="433" cm="1">
        <f t="array" ref="N979">IF(B979&gt;0,_xlfn.IFERROR(VLOOKUP(C959,'Boats Data Sheet 2026'!$C$3:$I$57,7,0)*'Direct Costs 2026'!$C$36,"N/A"),"N/A")</f>
        <v>N/A</v>
      </c>
      <c r="O979" t="str" s="433" cm="1">
        <f t="array" ref="O979">IF(B979&gt;0,IF(OR(VLOOKUP(C959,'Boats Data Sheet 2026'!$C$3:$F$57,4,0)="Own",VLOOKUP(C959,'Boats Data Sheet 2026'!$C$3:$F$57,4,0)="Management"),('Direct Costs 2026'!$C$37+'Direct Costs 2026'!$C$39),"N/A"),"N/A")</f>
        <v>N/A</v>
      </c>
      <c r="P979" t="str" s="433" cm="1">
        <f t="array" ref="P979">_xlfn.IFERROR('Direct Costs 2026'!$C$27*C979,"N/A")</f>
        <v>N/A</v>
      </c>
      <c r="Q979" t="str" s="433" cm="1">
        <f t="array" ref="Q979">_xlfn.IFERROR(C979+SUM(E979:P979),"N/A")</f>
        <v>N/A</v>
      </c>
      <c r="R979" s="435"/>
      <c r="S979" t="str" s="433" cm="1">
        <f t="array" ref="S979">IF(B979&gt;0,'Allocation OH and Target 2026'!$E$31,"N/A")</f>
        <v>N/A</v>
      </c>
      <c r="T979" t="str" s="433" cm="1">
        <f t="array" ref="T979">IF(B979&gt;0,VLOOKUP(C959,'Allocation OH and Target 2026'!$C$35:$S$87,16,0),"N/A")</f>
        <v>N/A</v>
      </c>
      <c r="U979" t="str" s="433" cm="1">
        <f t="array" ref="U979">_xlfn.IFERROR((S979+T979),"N/A")</f>
        <v>N/A</v>
      </c>
      <c r="V979" s="435"/>
      <c r="W979" t="str" s="433" cm="1">
        <f t="array" ref="W979">_xlfn.IFERROR(U979+Q979,"N/A")</f>
        <v>N/A</v>
      </c>
      <c r="X979" t="str" s="433" cm="1">
        <f t="array" ref="X979">_xlfn.IFERROR(W979*0.5%,"N/A")</f>
        <v>N/A</v>
      </c>
      <c r="Y979" t="str" s="433" cm="1">
        <f t="array" ref="Y979">_xlfn.IFERROR(W979*25%,"N/A")</f>
        <v>N/A</v>
      </c>
      <c r="Z979" t="str" s="436" cm="1">
        <f t="array" ref="Z979">IF(B979&gt;0,SUM(W979:Y979),"N/A")</f>
        <v>N/A</v>
      </c>
      <c r="AA979" t="str" s="436" cm="1">
        <f t="array" ref="AA979">_xlfn.IFERROR((Z979-Z978),"N/A")</f>
        <v>N/A</v>
      </c>
      <c r="AB979" s="435"/>
      <c r="AC979" t="str" s="436" cm="1">
        <f t="array" ref="AC979">IF(B979=6,AVERAGE(Z962:Z967),"N/A")</f>
        <v>N/A</v>
      </c>
      <c r="AD979" s="435"/>
      <c r="AE979" s="434"/>
      <c r="AF979" s="434"/>
      <c r="AG979" s="434"/>
      <c r="AH979" s="434"/>
      <c r="AI979" s="434"/>
      <c r="AJ979" s="434"/>
      <c r="AK979" s="434"/>
      <c r="AL979" s="434"/>
      <c r="AM979" s="434"/>
      <c r="AN979" s="437"/>
    </row>
    <row r="980" ht="15" customHeight="1">
      <c r="A980" s="32"/>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c r="AH980" s="124"/>
      <c r="AI980" s="124"/>
      <c r="AJ980" s="124"/>
      <c r="AK980" s="124"/>
      <c r="AL980" s="124"/>
      <c r="AM980" s="124"/>
      <c r="AN980" s="313"/>
    </row>
    <row r="981" ht="15" customHeight="1">
      <c r="A981" s="32"/>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c r="AH981" s="35"/>
      <c r="AI981" s="35"/>
      <c r="AJ981" s="35"/>
      <c r="AK981" s="35"/>
      <c r="AL981" s="35"/>
      <c r="AM981" s="35"/>
      <c r="AN981" s="442"/>
    </row>
    <row r="982" ht="15.5" customHeight="1">
      <c r="A982" s="395">
        <v>33</v>
      </c>
      <c r="B982" t="s" s="396">
        <v>506</v>
      </c>
      <c r="C982" t="s" s="397">
        <v>107</v>
      </c>
      <c r="D982" s="502"/>
      <c r="E982" s="398"/>
      <c r="F982" s="398"/>
      <c r="G982" s="398"/>
      <c r="H982" s="398"/>
      <c r="I982" s="398"/>
      <c r="J982" s="398"/>
      <c r="K982" s="398"/>
      <c r="L982" s="398"/>
      <c r="M982" s="398"/>
      <c r="N982" s="398"/>
      <c r="O982" s="398"/>
      <c r="P982" s="398"/>
      <c r="Q982" s="398"/>
      <c r="R982" s="399"/>
      <c r="S982" s="398"/>
      <c r="T982" s="398"/>
      <c r="U982" s="398"/>
      <c r="V982" s="399"/>
      <c r="W982" s="398"/>
      <c r="X982" s="398"/>
      <c r="Y982" s="398"/>
      <c r="Z982" s="398"/>
      <c r="AA982" s="398"/>
      <c r="AB982" s="399"/>
      <c r="AC982" s="398"/>
      <c r="AD982" s="399"/>
      <c r="AE982" t="s" s="397">
        <v>508</v>
      </c>
      <c r="AF982" s="401" cm="1">
        <f t="array" ref="AF982">AVERAGE(Q985:Q990)</f>
        <v>13581500</v>
      </c>
      <c r="AG982" t="s" s="400">
        <v>509</v>
      </c>
      <c r="AH982" s="401" cm="1">
        <f t="array" ref="AH982">AVERAGE(Q991:Q998)-AF982</f>
        <v>1436625</v>
      </c>
      <c r="AI982" t="s" s="400">
        <v>510</v>
      </c>
      <c r="AJ982" s="401" cm="1">
        <f t="array" ref="AJ982">AVERAGE(Y985:Y992)</f>
        <v>4236846.16442453</v>
      </c>
      <c r="AK982" t="s" s="397">
        <v>511</v>
      </c>
      <c r="AL982" s="401" cm="1">
        <f t="array" ref="AL982">AVERAGE(W985:W990)</f>
        <v>16681947.1576981</v>
      </c>
      <c r="AM982" t="s" s="400">
        <v>512</v>
      </c>
      <c r="AN982" s="402" cm="1">
        <f t="array" ref="AN982">W985</f>
        <v>16291947.1576981</v>
      </c>
    </row>
    <row r="983" ht="15" customHeight="1">
      <c r="A983" s="12"/>
      <c r="B983" s="403"/>
      <c r="C983" t="s" s="404">
        <v>513</v>
      </c>
      <c r="D983" s="405"/>
      <c r="E983" s="405"/>
      <c r="F983" s="405"/>
      <c r="G983" s="405"/>
      <c r="H983" s="405"/>
      <c r="I983" s="405"/>
      <c r="J983" s="405"/>
      <c r="K983" s="405"/>
      <c r="L983" s="405"/>
      <c r="M983" s="405"/>
      <c r="N983" s="405"/>
      <c r="O983" s="405"/>
      <c r="P983" s="405"/>
      <c r="Q983" s="406"/>
      <c r="R983" s="407"/>
      <c r="S983" t="s" s="404">
        <v>514</v>
      </c>
      <c r="T983" s="405"/>
      <c r="U983" s="406"/>
      <c r="V983" s="407"/>
      <c r="W983" t="s" s="404">
        <v>515</v>
      </c>
      <c r="X983" s="405"/>
      <c r="Y983" s="405"/>
      <c r="Z983" s="405"/>
      <c r="AA983" s="405"/>
      <c r="AB983" s="408"/>
      <c r="AC983" s="443"/>
      <c r="AD983" s="410"/>
      <c r="AE983" s="443"/>
      <c r="AF983" s="443"/>
      <c r="AG983" s="443"/>
      <c r="AH983" s="443"/>
      <c r="AI983" s="443"/>
      <c r="AJ983" s="443"/>
      <c r="AK983" s="443"/>
      <c r="AL983" s="414"/>
      <c r="AM983" s="415"/>
      <c r="AN983" s="414"/>
    </row>
    <row r="984" ht="46.25" customHeight="1">
      <c r="A984" s="187"/>
      <c r="B984" t="s" s="416">
        <v>517</v>
      </c>
      <c r="C984" t="s" s="417">
        <v>518</v>
      </c>
      <c r="D984" t="s" s="417">
        <v>519</v>
      </c>
      <c r="E984" t="s" s="417">
        <v>520</v>
      </c>
      <c r="F984" t="s" s="159">
        <v>521</v>
      </c>
      <c r="G984" t="s" s="159">
        <v>522</v>
      </c>
      <c r="H984" t="s" s="159">
        <v>553</v>
      </c>
      <c r="I984" t="s" s="159">
        <v>524</v>
      </c>
      <c r="J984" t="s" s="159">
        <v>525</v>
      </c>
      <c r="K984" t="s" s="159">
        <v>526</v>
      </c>
      <c r="L984" t="s" s="159">
        <v>527</v>
      </c>
      <c r="M984" t="s" s="159">
        <v>528</v>
      </c>
      <c r="N984" t="s" s="159">
        <v>529</v>
      </c>
      <c r="O984" t="s" s="159">
        <v>530</v>
      </c>
      <c r="P984" t="s" s="159">
        <v>531</v>
      </c>
      <c r="Q984" t="s" s="159">
        <v>532</v>
      </c>
      <c r="R984" s="418"/>
      <c r="S984" t="s" s="159">
        <v>533</v>
      </c>
      <c r="T984" t="s" s="159">
        <v>534</v>
      </c>
      <c r="U984" t="s" s="159">
        <v>535</v>
      </c>
      <c r="V984" s="418"/>
      <c r="W984" t="s" s="159">
        <v>536</v>
      </c>
      <c r="X984" t="s" s="159">
        <v>537</v>
      </c>
      <c r="Y984" t="s" s="159">
        <v>538</v>
      </c>
      <c r="Z984" t="s" s="159">
        <v>539</v>
      </c>
      <c r="AA984" t="s" s="159">
        <v>121</v>
      </c>
      <c r="AB984" s="419"/>
      <c r="AC984" t="s" s="159">
        <v>39</v>
      </c>
      <c r="AD984" s="419"/>
      <c r="AE984" s="77"/>
      <c r="AF984" s="77"/>
      <c r="AG984" s="77"/>
      <c r="AH984" s="77"/>
      <c r="AI984" s="77"/>
      <c r="AJ984" s="77"/>
      <c r="AK984" s="77"/>
      <c r="AL984" s="77"/>
      <c r="AM984" s="77"/>
      <c r="AN984" s="78"/>
    </row>
    <row r="985" ht="15" customHeight="1">
      <c r="A985" s="12"/>
      <c r="B985" s="420">
        <v>1</v>
      </c>
      <c r="C985" s="421" cm="1">
        <f t="array" ref="C985">IF(B985&gt;0,IF(VLOOKUP(C982,'Boats Data Sheet 2026'!$C$3:$J$57,8,0)="N/A",0,VLOOKUP(C982,'Boats Data Sheet 2026'!$C$3:$J$57,8,0)),"N/A")</f>
        <v>12000000</v>
      </c>
      <c r="D985" s="422" cm="1">
        <f t="array" ref="D985">IF(B985&gt;7,2,IF(B985=0,"N/A",1))</f>
        <v>1</v>
      </c>
      <c r="E985" s="421" cm="1">
        <f t="array" ref="E985">_xlfn.IFERROR(SUM('Direct Costs 2026'!$C$4:$C$5)*D985,"N/A")</f>
        <v>875500</v>
      </c>
      <c r="F985" s="423" cm="1">
        <f t="array" ref="F985">_xlfn.IFERROR('Direct Costs 2026'!$C$43*B985,"N/A")</f>
        <v>6000</v>
      </c>
      <c r="G985" s="423">
        <v>0</v>
      </c>
      <c r="H985" s="423">
        <v>0</v>
      </c>
      <c r="I985" s="423">
        <v>0</v>
      </c>
      <c r="J985" s="423">
        <v>0</v>
      </c>
      <c r="K985" s="423" cm="1">
        <f t="array" ref="K985">IF(B985&gt;0,'Direct Costs 2026'!$C$26,"N/A")</f>
        <v>20000</v>
      </c>
      <c r="L985" s="423" cm="1">
        <f t="array" ref="L985">IF(B985&gt;0,'Direct Costs 2026'!$C$23,"N/A")</f>
        <v>140000</v>
      </c>
      <c r="M985" s="423" cm="1">
        <f t="array" ref="M985">IF(B985&gt;0,'Direct Costs 2026'!$C$45*B985,"N/A")</f>
        <v>150000</v>
      </c>
      <c r="N985" t="str" s="431" cm="1">
        <f t="array" ref="N985">IF(B985&gt;0,_xlfn.IFERROR(VLOOKUP(C982,'Boats Data Sheet 2026'!$C$3:$I$57,7,0)*'Direct Costs 2026'!$C$36,"N/A"),"N/A")</f>
        <v>N/A</v>
      </c>
      <c r="O985" t="str" s="431" cm="1">
        <f t="array" ref="O985">IF(B985&gt;0,IF(OR(VLOOKUP(C982,'Boats Data Sheet 2026'!$C$3:$F$57,4,0)="Own",VLOOKUP(C982,'Boats Data Sheet 2026'!$C$3:$F$57,4,0)="Management"),('Direct Costs 2026'!$C$37+'Direct Costs 2026'!$C$39),"N/A"),"N/A")</f>
        <v>N/A</v>
      </c>
      <c r="P985" s="423">
        <v>0</v>
      </c>
      <c r="Q985" s="423" cm="1">
        <f t="array" ref="Q985">_xlfn.IFERROR(C985+SUM(E985:P985),"N/A")</f>
        <v>13191500</v>
      </c>
      <c r="R985" s="424"/>
      <c r="S985" s="423" cm="1">
        <f t="array" ref="S985">IF(B985&gt;0,'Allocation OH and Target 2026'!$E$31,"N/A")</f>
        <v>3100447.15769812</v>
      </c>
      <c r="T985" s="423" cm="1">
        <f t="array" ref="T985">IF(B985&gt;0,VLOOKUP(C982,'Allocation OH and Target 2026'!$C$35:$S$87,16,0),"N/A")</f>
        <v>0</v>
      </c>
      <c r="U985" s="423" cm="1">
        <f t="array" ref="U985">_xlfn.IFERROR((S985+T985),"N/A")</f>
        <v>3100447.15769812</v>
      </c>
      <c r="V985" s="424"/>
      <c r="W985" s="423" cm="1">
        <f t="array" ref="W985">_xlfn.IFERROR(U985+Q985,"N/A")</f>
        <v>16291947.1576981</v>
      </c>
      <c r="X985" s="423" cm="1">
        <f t="array" ref="X985">_xlfn.IFERROR(W985*0.5%,"N/A")</f>
        <v>81459.735788490507</v>
      </c>
      <c r="Y985" s="423" cm="1">
        <f t="array" ref="Y985">_xlfn.IFERROR(W985*25%,"N/A")</f>
        <v>4072986.78942453</v>
      </c>
      <c r="Z985" s="425" cm="1">
        <f t="array" ref="Z985">IF(B985&gt;0,SUM(W985:Y985),"N/A")</f>
        <v>20446393.6829111</v>
      </c>
      <c r="AA985" s="425">
        <v>0</v>
      </c>
      <c r="AB985" s="424"/>
      <c r="AC985" t="str" s="426" cm="1">
        <f t="array" ref="AC985">IF(B985=6,AVERAGE(Z985:Z990),"N/A")</f>
        <v>N/A</v>
      </c>
      <c r="AD985" s="424"/>
      <c r="AE985" s="423"/>
      <c r="AF985" s="423"/>
      <c r="AG985" s="423"/>
      <c r="AH985" s="423"/>
      <c r="AI985" s="423"/>
      <c r="AJ985" s="423"/>
      <c r="AK985" s="423"/>
      <c r="AL985" s="423"/>
      <c r="AM985" s="423"/>
      <c r="AN985" s="427"/>
    </row>
    <row r="986" ht="15" customHeight="1">
      <c r="A986" s="12"/>
      <c r="B986" s="428" cm="1">
        <f t="array" ref="B986">IF(B985=0,0,IF(B985&lt;VLOOKUP(C982,'Boats Data Sheet 2026'!$C$3:$H$57,6,0),B985+1,0))</f>
        <v>2</v>
      </c>
      <c r="C986" s="423" cm="1">
        <f t="array" ref="C986">IF(B986&gt;0,IF(VLOOKUP(C982,'Boats Data Sheet 2026'!$C$3:$J$57,8,0)="N/A",0,VLOOKUP(C982,'Boats Data Sheet 2026'!$C$3:$J$57,8,0)),"N/A")</f>
        <v>12000000</v>
      </c>
      <c r="D986" s="429" cm="1">
        <f t="array" ref="D986">IF(B986&gt;7,2,IF(B986=0,"N/A",1))</f>
        <v>1</v>
      </c>
      <c r="E986" s="423" cm="1">
        <f t="array" ref="E986">_xlfn.IFERROR(SUM('Direct Costs 2026'!$C$4:$C$5)*D986,"N/A")</f>
        <v>875500</v>
      </c>
      <c r="F986" s="423" cm="1">
        <f t="array" ref="F986">_xlfn.IFERROR('Direct Costs 2026'!$C$43*B986,"N/A")</f>
        <v>12000</v>
      </c>
      <c r="G986" s="423">
        <v>0</v>
      </c>
      <c r="H986" s="423">
        <v>0</v>
      </c>
      <c r="I986" s="423">
        <v>0</v>
      </c>
      <c r="J986" s="423">
        <v>0</v>
      </c>
      <c r="K986" s="423" cm="1">
        <f t="array" ref="K986">IF(B986&gt;0,'Direct Costs 2026'!$C$26,"N/A")</f>
        <v>20000</v>
      </c>
      <c r="L986" s="423" cm="1">
        <f t="array" ref="L986">IF(B986&gt;0,'Direct Costs 2026'!$C$23,"N/A")</f>
        <v>140000</v>
      </c>
      <c r="M986" s="423" cm="1">
        <f t="array" ref="M986">IF(B986&gt;0,'Direct Costs 2026'!$C$45*B986,"N/A")</f>
        <v>300000</v>
      </c>
      <c r="N986" t="str" s="431" cm="1">
        <f t="array" ref="N986">IF(B986&gt;0,_xlfn.IFERROR(VLOOKUP(C982,'Boats Data Sheet 2026'!$C$3:$I$57,7,0)*'Direct Costs 2026'!$C$36,"N/A"),"N/A")</f>
        <v>N/A</v>
      </c>
      <c r="O986" t="str" s="431" cm="1">
        <f t="array" ref="O986">IF(B986&gt;0,IF(OR(VLOOKUP(C982,'Boats Data Sheet 2026'!$C$3:$F$57,4,0)="Own",VLOOKUP(C982,'Boats Data Sheet 2026'!$C$3:$F$57,4,0)="Management"),('Direct Costs 2026'!$C$37+'Direct Costs 2026'!$C$39),"N/A"),"N/A")</f>
        <v>N/A</v>
      </c>
      <c r="P986" s="423">
        <v>0</v>
      </c>
      <c r="Q986" s="423" cm="1">
        <f t="array" ref="Q986">_xlfn.IFERROR(C986+SUM(E986:P986),"N/A")</f>
        <v>13347500</v>
      </c>
      <c r="R986" s="424"/>
      <c r="S986" s="423" cm="1">
        <f t="array" ref="S986">IF(B986&gt;0,'Allocation OH and Target 2026'!$E$31,"N/A")</f>
        <v>3100447.15769812</v>
      </c>
      <c r="T986" s="423" cm="1">
        <f t="array" ref="T986">IF(B986&gt;0,VLOOKUP(C982,'Allocation OH and Target 2026'!$C$35:$S$87,16,0),"N/A")</f>
        <v>0</v>
      </c>
      <c r="U986" s="423" cm="1">
        <f t="array" ref="U986">_xlfn.IFERROR((S986+T986),"N/A")</f>
        <v>3100447.15769812</v>
      </c>
      <c r="V986" s="424"/>
      <c r="W986" s="423" cm="1">
        <f t="array" ref="W986">_xlfn.IFERROR(U986+Q986,"N/A")</f>
        <v>16447947.1576981</v>
      </c>
      <c r="X986" s="423" cm="1">
        <f t="array" ref="X986">_xlfn.IFERROR(W986*0.5%,"N/A")</f>
        <v>82239.735788490507</v>
      </c>
      <c r="Y986" s="423" cm="1">
        <f t="array" ref="Y986">_xlfn.IFERROR(W986*25%,"N/A")</f>
        <v>4111986.78942453</v>
      </c>
      <c r="Z986" s="425" cm="1">
        <f t="array" ref="Z986">IF(B986&gt;0,SUM(W986:Y986),"N/A")</f>
        <v>20642173.6829111</v>
      </c>
      <c r="AA986" s="425" cm="1">
        <f t="array" ref="AA986">_xlfn.IFERROR((Z986-Z985),"N/A")</f>
        <v>195780</v>
      </c>
      <c r="AB986" s="424"/>
      <c r="AC986" t="str" s="426" cm="1">
        <f t="array" ref="AC986">IF(B986=6,AVERAGE(Z985:Z990),"N/A")</f>
        <v>N/A</v>
      </c>
      <c r="AD986" s="424"/>
      <c r="AE986" s="423"/>
      <c r="AF986" s="423"/>
      <c r="AG986" s="423"/>
      <c r="AH986" s="423"/>
      <c r="AI986" s="423"/>
      <c r="AJ986" s="423"/>
      <c r="AK986" s="423"/>
      <c r="AL986" s="423"/>
      <c r="AM986" s="423"/>
      <c r="AN986" s="427"/>
    </row>
    <row r="987" ht="15" customHeight="1">
      <c r="A987" s="12"/>
      <c r="B987" s="428" cm="1">
        <f t="array" ref="B987">IF(B986=0,0,IF(B986&lt;VLOOKUP(C982,'Boats Data Sheet 2026'!$C$3:$H$57,6,0),B986+1,0))</f>
        <v>3</v>
      </c>
      <c r="C987" s="423" cm="1">
        <f t="array" ref="C987">IF(B987&gt;0,IF(VLOOKUP(C982,'Boats Data Sheet 2026'!$C$3:$J$57,8,0)="N/A",0,VLOOKUP(C982,'Boats Data Sheet 2026'!$C$3:$J$57,8,0)),"N/A")</f>
        <v>12000000</v>
      </c>
      <c r="D987" s="429" cm="1">
        <f t="array" ref="D987">IF(B987&gt;7,2,IF(B987=0,"N/A",1))</f>
        <v>1</v>
      </c>
      <c r="E987" s="423" cm="1">
        <f t="array" ref="E987">_xlfn.IFERROR(SUM('Direct Costs 2026'!$C$4:$C$5)*D987,"N/A")</f>
        <v>875500</v>
      </c>
      <c r="F987" s="423" cm="1">
        <f t="array" ref="F987">_xlfn.IFERROR('Direct Costs 2026'!$C$43*B987,"N/A")</f>
        <v>18000</v>
      </c>
      <c r="G987" s="423">
        <v>0</v>
      </c>
      <c r="H987" s="423">
        <v>0</v>
      </c>
      <c r="I987" s="423">
        <v>0</v>
      </c>
      <c r="J987" s="423">
        <v>0</v>
      </c>
      <c r="K987" s="423" cm="1">
        <f t="array" ref="K987">IF(B987&gt;0,'Direct Costs 2026'!$C$26,"N/A")</f>
        <v>20000</v>
      </c>
      <c r="L987" s="423" cm="1">
        <f t="array" ref="L987">IF(B987&gt;0,'Direct Costs 2026'!$C$23,"N/A")</f>
        <v>140000</v>
      </c>
      <c r="M987" s="423" cm="1">
        <f t="array" ref="M987">IF(B987&gt;0,'Direct Costs 2026'!$C$45*B987,"N/A")</f>
        <v>450000</v>
      </c>
      <c r="N987" t="str" s="431" cm="1">
        <f t="array" ref="N987">IF(B987&gt;0,_xlfn.IFERROR(VLOOKUP(C982,'Boats Data Sheet 2026'!$C$3:$I$57,7,0)*'Direct Costs 2026'!$C$36,"N/A"),"N/A")</f>
        <v>N/A</v>
      </c>
      <c r="O987" t="str" s="431" cm="1">
        <f t="array" ref="O987">IF(B987&gt;0,IF(OR(VLOOKUP(C982,'Boats Data Sheet 2026'!$C$3:$F$57,4,0)="Own",VLOOKUP(C982,'Boats Data Sheet 2026'!$C$3:$F$57,4,0)="Management"),('Direct Costs 2026'!$C$37+'Direct Costs 2026'!$C$39),"N/A"),"N/A")</f>
        <v>N/A</v>
      </c>
      <c r="P987" s="423">
        <v>0</v>
      </c>
      <c r="Q987" s="423" cm="1">
        <f t="array" ref="Q987">_xlfn.IFERROR(C987+SUM(E987:P987),"N/A")</f>
        <v>13503500</v>
      </c>
      <c r="R987" s="424"/>
      <c r="S987" s="423" cm="1">
        <f t="array" ref="S987">IF(B987&gt;0,'Allocation OH and Target 2026'!$E$31,"N/A")</f>
        <v>3100447.15769812</v>
      </c>
      <c r="T987" s="423" cm="1">
        <f t="array" ref="T987">IF(B987&gt;0,VLOOKUP(C982,'Allocation OH and Target 2026'!$C$35:$S$87,16,0),"N/A")</f>
        <v>0</v>
      </c>
      <c r="U987" s="423" cm="1">
        <f t="array" ref="U987">_xlfn.IFERROR((S987+T987),"N/A")</f>
        <v>3100447.15769812</v>
      </c>
      <c r="V987" s="424"/>
      <c r="W987" s="423" cm="1">
        <f t="array" ref="W987">_xlfn.IFERROR(U987+Q987,"N/A")</f>
        <v>16603947.1576981</v>
      </c>
      <c r="X987" s="423" cm="1">
        <f t="array" ref="X987">_xlfn.IFERROR(W987*0.5%,"N/A")</f>
        <v>83019.735788490507</v>
      </c>
      <c r="Y987" s="423" cm="1">
        <f t="array" ref="Y987">_xlfn.IFERROR(W987*25%,"N/A")</f>
        <v>4150986.78942453</v>
      </c>
      <c r="Z987" s="425" cm="1">
        <f t="array" ref="Z987">IF(B987&gt;0,SUM(W987:Y987),"N/A")</f>
        <v>20837953.6829111</v>
      </c>
      <c r="AA987" s="425" cm="1">
        <f t="array" ref="AA987">_xlfn.IFERROR((Z987-Z986),"N/A")</f>
        <v>195780</v>
      </c>
      <c r="AB987" s="424"/>
      <c r="AC987" t="str" s="426" cm="1">
        <f t="array" ref="AC987">IF(B987=6,AVERAGE(Z985:Z990),"N/A")</f>
        <v>N/A</v>
      </c>
      <c r="AD987" s="424"/>
      <c r="AE987" s="423"/>
      <c r="AF987" s="423"/>
      <c r="AG987" s="423"/>
      <c r="AH987" s="423"/>
      <c r="AI987" s="423"/>
      <c r="AJ987" s="423"/>
      <c r="AK987" s="423"/>
      <c r="AL987" s="423"/>
      <c r="AM987" s="423"/>
      <c r="AN987" s="427"/>
    </row>
    <row r="988" ht="15" customHeight="1">
      <c r="A988" s="12"/>
      <c r="B988" s="428" cm="1">
        <f t="array" ref="B988">IF(B987=0,0,IF(B987&lt;VLOOKUP(C982,'Boats Data Sheet 2026'!$C$3:$H$57,6,0),B987+1,0))</f>
        <v>4</v>
      </c>
      <c r="C988" s="423" cm="1">
        <f t="array" ref="C988">IF(B988&gt;0,IF(VLOOKUP(C982,'Boats Data Sheet 2026'!$C$3:$J$57,8,0)="N/A",0,VLOOKUP(C982,'Boats Data Sheet 2026'!$C$3:$J$57,8,0)),"N/A")</f>
        <v>12000000</v>
      </c>
      <c r="D988" s="429" cm="1">
        <f t="array" ref="D988">IF(B988&gt;7,2,IF(B988=0,"N/A",1))</f>
        <v>1</v>
      </c>
      <c r="E988" s="423" cm="1">
        <f t="array" ref="E988">_xlfn.IFERROR(SUM('Direct Costs 2026'!$C$4:$C$5)*D988,"N/A")</f>
        <v>875500</v>
      </c>
      <c r="F988" s="423" cm="1">
        <f t="array" ref="F988">_xlfn.IFERROR('Direct Costs 2026'!$C$43*B988,"N/A")</f>
        <v>24000</v>
      </c>
      <c r="G988" s="423">
        <v>0</v>
      </c>
      <c r="H988" s="423">
        <v>0</v>
      </c>
      <c r="I988" s="423">
        <v>0</v>
      </c>
      <c r="J988" s="423">
        <v>0</v>
      </c>
      <c r="K988" s="423" cm="1">
        <f t="array" ref="K988">IF(B988&gt;0,'Direct Costs 2026'!$C$26,"N/A")</f>
        <v>20000</v>
      </c>
      <c r="L988" s="423" cm="1">
        <f t="array" ref="L988">IF(B988&gt;0,'Direct Costs 2026'!$C$23,"N/A")</f>
        <v>140000</v>
      </c>
      <c r="M988" s="423" cm="1">
        <f t="array" ref="M988">IF(B988&gt;0,'Direct Costs 2026'!$C$45*B988,"N/A")</f>
        <v>600000</v>
      </c>
      <c r="N988" t="str" s="431" cm="1">
        <f t="array" ref="N988">IF(B988&gt;0,_xlfn.IFERROR(VLOOKUP(C982,'Boats Data Sheet 2026'!$C$3:$I$57,7,0)*'Direct Costs 2026'!$C$36,"N/A"),"N/A")</f>
        <v>N/A</v>
      </c>
      <c r="O988" t="str" s="431" cm="1">
        <f t="array" ref="O988">IF(B988&gt;0,IF(OR(VLOOKUP(C982,'Boats Data Sheet 2026'!$C$3:$F$57,4,0)="Own",VLOOKUP(C982,'Boats Data Sheet 2026'!$C$3:$F$57,4,0)="Management"),('Direct Costs 2026'!$C$37+'Direct Costs 2026'!$C$39),"N/A"),"N/A")</f>
        <v>N/A</v>
      </c>
      <c r="P988" s="423">
        <v>0</v>
      </c>
      <c r="Q988" s="423" cm="1">
        <f t="array" ref="Q988">_xlfn.IFERROR(C988+SUM(E988:P988),"N/A")</f>
        <v>13659500</v>
      </c>
      <c r="R988" s="424"/>
      <c r="S988" s="423" cm="1">
        <f t="array" ref="S988">IF(B988&gt;0,'Allocation OH and Target 2026'!$E$31,"N/A")</f>
        <v>3100447.15769812</v>
      </c>
      <c r="T988" s="423" cm="1">
        <f t="array" ref="T988">IF(B988&gt;0,VLOOKUP(C982,'Allocation OH and Target 2026'!$C$35:$S$87,16,0),"N/A")</f>
        <v>0</v>
      </c>
      <c r="U988" s="423" cm="1">
        <f t="array" ref="U988">_xlfn.IFERROR((S988+T988),"N/A")</f>
        <v>3100447.15769812</v>
      </c>
      <c r="V988" s="424"/>
      <c r="W988" s="423" cm="1">
        <f t="array" ref="W988">_xlfn.IFERROR(U988+Q988,"N/A")</f>
        <v>16759947.1576981</v>
      </c>
      <c r="X988" s="423" cm="1">
        <f t="array" ref="X988">_xlfn.IFERROR(W988*0.5%,"N/A")</f>
        <v>83799.735788490507</v>
      </c>
      <c r="Y988" s="423" cm="1">
        <f t="array" ref="Y988">_xlfn.IFERROR(W988*25%,"N/A")</f>
        <v>4189986.78942453</v>
      </c>
      <c r="Z988" s="425" cm="1">
        <f t="array" ref="Z988">IF(B988&gt;0,SUM(W988:Y988),"N/A")</f>
        <v>21033733.6829111</v>
      </c>
      <c r="AA988" s="425" cm="1">
        <f t="array" ref="AA988">_xlfn.IFERROR((Z988-Z987),"N/A")</f>
        <v>195780</v>
      </c>
      <c r="AB988" s="424"/>
      <c r="AC988" t="str" s="426" cm="1">
        <f t="array" ref="AC988">IF(B988=6,AVERAGE(Z985:Z990),"N/A")</f>
        <v>N/A</v>
      </c>
      <c r="AD988" s="424"/>
      <c r="AE988" s="423"/>
      <c r="AF988" s="423"/>
      <c r="AG988" s="423"/>
      <c r="AH988" s="423"/>
      <c r="AI988" s="423"/>
      <c r="AJ988" s="423"/>
      <c r="AK988" s="423"/>
      <c r="AL988" s="423"/>
      <c r="AM988" s="423"/>
      <c r="AN988" s="427"/>
    </row>
    <row r="989" ht="15" customHeight="1">
      <c r="A989" s="12"/>
      <c r="B989" s="428" cm="1">
        <f t="array" ref="B989">IF(B988=0,0,IF(B988&lt;VLOOKUP(C982,'Boats Data Sheet 2026'!$C$3:$H$57,6,0),B988+1,0))</f>
        <v>5</v>
      </c>
      <c r="C989" s="423" cm="1">
        <f t="array" ref="C989">IF(B989&gt;0,IF(VLOOKUP(C982,'Boats Data Sheet 2026'!$C$3:$J$57,8,0)="N/A",0,VLOOKUP(C982,'Boats Data Sheet 2026'!$C$3:$J$57,8,0)),"N/A")</f>
        <v>12000000</v>
      </c>
      <c r="D989" s="429" cm="1">
        <f t="array" ref="D989">IF(B989&gt;7,2,IF(B989=0,"N/A",1))</f>
        <v>1</v>
      </c>
      <c r="E989" s="423" cm="1">
        <f t="array" ref="E989">_xlfn.IFERROR(SUM('Direct Costs 2026'!$C$4:$C$5)*D989,"N/A")</f>
        <v>875500</v>
      </c>
      <c r="F989" s="423" cm="1">
        <f t="array" ref="F989">_xlfn.IFERROR('Direct Costs 2026'!$C$43*B989,"N/A")</f>
        <v>30000</v>
      </c>
      <c r="G989" s="423">
        <v>0</v>
      </c>
      <c r="H989" s="423">
        <v>0</v>
      </c>
      <c r="I989" s="423">
        <v>0</v>
      </c>
      <c r="J989" s="423">
        <v>0</v>
      </c>
      <c r="K989" s="423" cm="1">
        <f t="array" ref="K989">IF(B989&gt;0,'Direct Costs 2026'!$C$26,"N/A")</f>
        <v>20000</v>
      </c>
      <c r="L989" s="423" cm="1">
        <f t="array" ref="L989">IF(B989&gt;0,'Direct Costs 2026'!$C$23,"N/A")</f>
        <v>140000</v>
      </c>
      <c r="M989" s="423" cm="1">
        <f t="array" ref="M989">IF(B989&gt;0,'Direct Costs 2026'!$C$45*B989,"N/A")</f>
        <v>750000</v>
      </c>
      <c r="N989" t="str" s="431" cm="1">
        <f t="array" ref="N989">IF(B989&gt;0,_xlfn.IFERROR(VLOOKUP(C982,'Boats Data Sheet 2026'!$C$3:$I$57,7,0)*'Direct Costs 2026'!$C$36,"N/A"),"N/A")</f>
        <v>N/A</v>
      </c>
      <c r="O989" t="str" s="431" cm="1">
        <f t="array" ref="O989">IF(B989&gt;0,IF(OR(VLOOKUP(C982,'Boats Data Sheet 2026'!$C$3:$F$57,4,0)="Own",VLOOKUP(C982,'Boats Data Sheet 2026'!$C$3:$F$57,4,0)="Management"),('Direct Costs 2026'!$C$37+'Direct Costs 2026'!$C$39),"N/A"),"N/A")</f>
        <v>N/A</v>
      </c>
      <c r="P989" s="423">
        <v>0</v>
      </c>
      <c r="Q989" s="423" cm="1">
        <f t="array" ref="Q989">_xlfn.IFERROR(C989+SUM(E989:P989),"N/A")</f>
        <v>13815500</v>
      </c>
      <c r="R989" s="424"/>
      <c r="S989" s="423" cm="1">
        <f t="array" ref="S989">IF(B989&gt;0,'Allocation OH and Target 2026'!$E$31,"N/A")</f>
        <v>3100447.15769812</v>
      </c>
      <c r="T989" s="423" cm="1">
        <f t="array" ref="T989">IF(B989&gt;0,VLOOKUP(C982,'Allocation OH and Target 2026'!$C$35:$S$87,16,0),"N/A")</f>
        <v>0</v>
      </c>
      <c r="U989" s="423" cm="1">
        <f t="array" ref="U989">_xlfn.IFERROR((S989+T989),"N/A")</f>
        <v>3100447.15769812</v>
      </c>
      <c r="V989" s="424"/>
      <c r="W989" s="423" cm="1">
        <f t="array" ref="W989">_xlfn.IFERROR(U989+Q989,"N/A")</f>
        <v>16915947.1576981</v>
      </c>
      <c r="X989" s="423" cm="1">
        <f t="array" ref="X989">_xlfn.IFERROR(W989*0.5%,"N/A")</f>
        <v>84579.735788490507</v>
      </c>
      <c r="Y989" s="423" cm="1">
        <f t="array" ref="Y989">_xlfn.IFERROR(W989*25%,"N/A")</f>
        <v>4228986.78942453</v>
      </c>
      <c r="Z989" s="425" cm="1">
        <f t="array" ref="Z989">IF(B989&gt;0,SUM(W989:Y989),"N/A")</f>
        <v>21229513.6829111</v>
      </c>
      <c r="AA989" s="425" cm="1">
        <f t="array" ref="AA989">_xlfn.IFERROR((Z989-Z988),"N/A")</f>
        <v>195780</v>
      </c>
      <c r="AB989" s="424"/>
      <c r="AC989" t="str" s="426" cm="1">
        <f t="array" ref="AC989">IF(B989=6,AVERAGE(Z985:Z990),"N/A")</f>
        <v>N/A</v>
      </c>
      <c r="AD989" s="424"/>
      <c r="AE989" s="423"/>
      <c r="AF989" s="423"/>
      <c r="AG989" s="423"/>
      <c r="AH989" s="423"/>
      <c r="AI989" s="423"/>
      <c r="AJ989" s="423"/>
      <c r="AK989" s="423"/>
      <c r="AL989" s="423"/>
      <c r="AM989" s="423"/>
      <c r="AN989" s="427"/>
    </row>
    <row r="990" ht="15" customHeight="1">
      <c r="A990" s="12"/>
      <c r="B990" s="428" cm="1">
        <f t="array" ref="B990">IF(B989=0,0,IF(B989&lt;VLOOKUP(C982,'Boats Data Sheet 2026'!$C$3:$H$57,6,0),B989+1,0))</f>
        <v>6</v>
      </c>
      <c r="C990" s="423" cm="1">
        <f t="array" ref="C990">IF(B990&gt;0,IF(VLOOKUP(C982,'Boats Data Sheet 2026'!$C$3:$J$57,8,0)="N/A",0,VLOOKUP(C982,'Boats Data Sheet 2026'!$C$3:$J$57,8,0)),"N/A")</f>
        <v>12000000</v>
      </c>
      <c r="D990" s="429" cm="1">
        <f t="array" ref="D990">IF(B990&gt;7,2,IF(B990=0,"N/A",1))</f>
        <v>1</v>
      </c>
      <c r="E990" s="423" cm="1">
        <f t="array" ref="E990">_xlfn.IFERROR(SUM('Direct Costs 2026'!$C$4:$C$5)*D990,"N/A")</f>
        <v>875500</v>
      </c>
      <c r="F990" s="423" cm="1">
        <f t="array" ref="F990">_xlfn.IFERROR('Direct Costs 2026'!$C$43*B990,"N/A")</f>
        <v>36000</v>
      </c>
      <c r="G990" s="423">
        <v>0</v>
      </c>
      <c r="H990" s="423">
        <v>0</v>
      </c>
      <c r="I990" s="423">
        <v>0</v>
      </c>
      <c r="J990" s="423">
        <v>0</v>
      </c>
      <c r="K990" s="423" cm="1">
        <f t="array" ref="K990">IF(B990&gt;0,'Direct Costs 2026'!$C$26,"N/A")</f>
        <v>20000</v>
      </c>
      <c r="L990" s="423" cm="1">
        <f t="array" ref="L990">IF(B990&gt;0,'Direct Costs 2026'!$C$23,"N/A")</f>
        <v>140000</v>
      </c>
      <c r="M990" s="423" cm="1">
        <f t="array" ref="M990">IF(B990&gt;0,'Direct Costs 2026'!$C$45*B990,"N/A")</f>
        <v>900000</v>
      </c>
      <c r="N990" t="str" s="431" cm="1">
        <f t="array" ref="N990">IF(B990&gt;0,_xlfn.IFERROR(VLOOKUP(C982,'Boats Data Sheet 2026'!$C$3:$I$57,7,0)*'Direct Costs 2026'!$C$36,"N/A"),"N/A")</f>
        <v>N/A</v>
      </c>
      <c r="O990" t="str" s="431" cm="1">
        <f t="array" ref="O990">IF(B990&gt;0,IF(OR(VLOOKUP(C982,'Boats Data Sheet 2026'!$C$3:$F$57,4,0)="Own",VLOOKUP(C982,'Boats Data Sheet 2026'!$C$3:$F$57,4,0)="Management"),('Direct Costs 2026'!$C$37+'Direct Costs 2026'!$C$39),"N/A"),"N/A")</f>
        <v>N/A</v>
      </c>
      <c r="P990" s="423">
        <v>0</v>
      </c>
      <c r="Q990" s="423" cm="1">
        <f t="array" ref="Q990">_xlfn.IFERROR(C990+SUM(E990:P990),"N/A")</f>
        <v>13971500</v>
      </c>
      <c r="R990" s="424"/>
      <c r="S990" s="423" cm="1">
        <f t="array" ref="S990">IF(B990&gt;0,'Allocation OH and Target 2026'!$E$31,"N/A")</f>
        <v>3100447.15769812</v>
      </c>
      <c r="T990" s="423" cm="1">
        <f t="array" ref="T990">IF(B990&gt;0,VLOOKUP(C982,'Allocation OH and Target 2026'!$C$35:$S$87,16,0),"N/A")</f>
        <v>0</v>
      </c>
      <c r="U990" s="423" cm="1">
        <f t="array" ref="U990">_xlfn.IFERROR((S990+T990),"N/A")</f>
        <v>3100447.15769812</v>
      </c>
      <c r="V990" s="424"/>
      <c r="W990" s="423" cm="1">
        <f t="array" ref="W990">_xlfn.IFERROR(U990+Q990,"N/A")</f>
        <v>17071947.1576981</v>
      </c>
      <c r="X990" s="423" cm="1">
        <f t="array" ref="X990">_xlfn.IFERROR(W990*0.5%,"N/A")</f>
        <v>85359.735788490507</v>
      </c>
      <c r="Y990" s="423" cm="1">
        <f t="array" ref="Y990">_xlfn.IFERROR(W990*25%,"N/A")</f>
        <v>4267986.78942453</v>
      </c>
      <c r="Z990" s="425" cm="1">
        <f t="array" ref="Z990">IF(B990&gt;0,SUM(W990:Y990),"N/A")</f>
        <v>21425293.6829111</v>
      </c>
      <c r="AA990" s="425" cm="1">
        <f t="array" ref="AA990">_xlfn.IFERROR((Z990-Z989),"N/A")</f>
        <v>195780</v>
      </c>
      <c r="AB990" s="424"/>
      <c r="AC990" s="425" cm="1">
        <f t="array" ref="AC990">IF(B990=6,AVERAGE(Z985:Z990),"N/A")</f>
        <v>20935843.6829111</v>
      </c>
      <c r="AD990" s="424"/>
      <c r="AE990" s="423"/>
      <c r="AF990" s="423"/>
      <c r="AG990" s="423"/>
      <c r="AH990" s="423"/>
      <c r="AI990" s="423"/>
      <c r="AJ990" s="423"/>
      <c r="AK990" s="423"/>
      <c r="AL990" s="423"/>
      <c r="AM990" s="423"/>
      <c r="AN990" s="427"/>
    </row>
    <row r="991" ht="15" customHeight="1">
      <c r="A991" s="12"/>
      <c r="B991" s="428" cm="1">
        <f t="array" ref="B991">IF(B990=0,0,IF(B990&lt;VLOOKUP(C982,'Boats Data Sheet 2026'!$C$3:$H$57,6,0),B990+1,0))</f>
        <v>7</v>
      </c>
      <c r="C991" s="423" cm="1">
        <f t="array" ref="C991">IF(B991&gt;0,IF(VLOOKUP(C982,'Boats Data Sheet 2026'!$C$3:$J$57,8,0)="N/A",0,VLOOKUP(C982,'Boats Data Sheet 2026'!$C$3:$J$57,8,0)),"N/A")</f>
        <v>12000000</v>
      </c>
      <c r="D991" s="429" cm="1">
        <f t="array" ref="D991">IF(B991&gt;7,2,IF(B991=0,"N/A",1))</f>
        <v>1</v>
      </c>
      <c r="E991" s="423" cm="1">
        <f t="array" ref="E991">_xlfn.IFERROR(SUM('Direct Costs 2026'!$C$4:$C$5)*D991,"N/A")</f>
        <v>875500</v>
      </c>
      <c r="F991" s="423" cm="1">
        <f t="array" ref="F991">_xlfn.IFERROR('Direct Costs 2026'!$C$43*B991,"N/A")</f>
        <v>42000</v>
      </c>
      <c r="G991" s="423">
        <v>0</v>
      </c>
      <c r="H991" s="423">
        <v>0</v>
      </c>
      <c r="I991" s="423">
        <v>0</v>
      </c>
      <c r="J991" s="423">
        <v>0</v>
      </c>
      <c r="K991" s="423" cm="1">
        <f t="array" ref="K991">IF(B991&gt;0,'Direct Costs 2026'!$C$26,"N/A")</f>
        <v>20000</v>
      </c>
      <c r="L991" s="423" cm="1">
        <f t="array" ref="L991">IF(B991&gt;0,'Direct Costs 2026'!$C$23,"N/A")</f>
        <v>140000</v>
      </c>
      <c r="M991" s="423" cm="1">
        <f t="array" ref="M991">IF(B991&gt;0,'Direct Costs 2026'!$C$45*B991,"N/A")</f>
        <v>1050000</v>
      </c>
      <c r="N991" t="str" s="431" cm="1">
        <f t="array" ref="N991">IF(B991&gt;0,_xlfn.IFERROR(VLOOKUP(C982,'Boats Data Sheet 2026'!$C$3:$I$57,7,0)*'Direct Costs 2026'!$C$36,"N/A"),"N/A")</f>
        <v>N/A</v>
      </c>
      <c r="O991" t="str" s="431" cm="1">
        <f t="array" ref="O991">IF(B991&gt;0,IF(OR(VLOOKUP(C982,'Boats Data Sheet 2026'!$C$3:$F$57,4,0)="Own",VLOOKUP(C982,'Boats Data Sheet 2026'!$C$3:$F$57,4,0)="Management"),('Direct Costs 2026'!$C$37+'Direct Costs 2026'!$C$39),"N/A"),"N/A")</f>
        <v>N/A</v>
      </c>
      <c r="P991" s="423">
        <v>0</v>
      </c>
      <c r="Q991" s="423" cm="1">
        <f t="array" ref="Q991">_xlfn.IFERROR(C991+SUM(E991:P991),"N/A")</f>
        <v>14127500</v>
      </c>
      <c r="R991" s="424"/>
      <c r="S991" s="423" cm="1">
        <f t="array" ref="S991">IF(B991&gt;0,'Allocation OH and Target 2026'!$E$31,"N/A")</f>
        <v>3100447.15769812</v>
      </c>
      <c r="T991" s="423" cm="1">
        <f t="array" ref="T991">IF(B991&gt;0,VLOOKUP(C982,'Allocation OH and Target 2026'!$C$35:$S$87,16,0),"N/A")</f>
        <v>0</v>
      </c>
      <c r="U991" s="423" cm="1">
        <f t="array" ref="U991">_xlfn.IFERROR((S991+T991),"N/A")</f>
        <v>3100447.15769812</v>
      </c>
      <c r="V991" s="424"/>
      <c r="W991" s="423" cm="1">
        <f t="array" ref="W991">_xlfn.IFERROR(U991+Q991,"N/A")</f>
        <v>17227947.1576981</v>
      </c>
      <c r="X991" s="423" cm="1">
        <f t="array" ref="X991">_xlfn.IFERROR(W991*0.5%,"N/A")</f>
        <v>86139.735788490507</v>
      </c>
      <c r="Y991" s="423" cm="1">
        <f t="array" ref="Y991">_xlfn.IFERROR(W991*25%,"N/A")</f>
        <v>4306986.78942453</v>
      </c>
      <c r="Z991" s="425" cm="1">
        <f t="array" ref="Z991">IF(B991&gt;0,SUM(W991:Y991),"N/A")</f>
        <v>21621073.6829111</v>
      </c>
      <c r="AA991" s="425" cm="1">
        <f t="array" ref="AA991">_xlfn.IFERROR((Z991-Z990),"N/A")</f>
        <v>195780</v>
      </c>
      <c r="AB991" s="424"/>
      <c r="AC991" t="str" s="426" cm="1">
        <f t="array" ref="AC991">IF(B991=6,AVERAGE(Z985:Z990),"N/A")</f>
        <v>N/A</v>
      </c>
      <c r="AD991" s="424"/>
      <c r="AE991" s="423"/>
      <c r="AF991" s="423"/>
      <c r="AG991" s="423"/>
      <c r="AH991" s="423"/>
      <c r="AI991" s="423"/>
      <c r="AJ991" s="423"/>
      <c r="AK991" s="423"/>
      <c r="AL991" s="423"/>
      <c r="AM991" s="423"/>
      <c r="AN991" s="427"/>
    </row>
    <row r="992" ht="15" customHeight="1">
      <c r="A992" s="12"/>
      <c r="B992" s="428" cm="1">
        <f t="array" ref="B992">IF(B991=0,0,IF(B991&lt;VLOOKUP(C982,'Boats Data Sheet 2026'!$C$3:$H$57,6,0),B991+1,0))</f>
        <v>8</v>
      </c>
      <c r="C992" s="423" cm="1">
        <f t="array" ref="C992">IF(B992&gt;0,IF(VLOOKUP(C982,'Boats Data Sheet 2026'!$C$3:$J$57,8,0)="N/A",0,VLOOKUP(C982,'Boats Data Sheet 2026'!$C$3:$J$57,8,0)),"N/A")</f>
        <v>12000000</v>
      </c>
      <c r="D992" s="429" cm="1">
        <f t="array" ref="D992">IF(B992&gt;7,2,IF(B992=0,"N/A",1))</f>
        <v>2</v>
      </c>
      <c r="E992" s="423" cm="1">
        <f t="array" ref="E992">_xlfn.IFERROR(SUM('Direct Costs 2026'!$C$4:$C$5)*D992,"N/A")</f>
        <v>1751000</v>
      </c>
      <c r="F992" s="423" cm="1">
        <f t="array" ref="F992">_xlfn.IFERROR('Direct Costs 2026'!$C$43*B992,"N/A")</f>
        <v>48000</v>
      </c>
      <c r="G992" s="423">
        <v>0</v>
      </c>
      <c r="H992" s="423">
        <v>0</v>
      </c>
      <c r="I992" s="423">
        <v>0</v>
      </c>
      <c r="J992" s="423">
        <v>0</v>
      </c>
      <c r="K992" s="423" cm="1">
        <f t="array" ref="K992">IF(B992&gt;0,'Direct Costs 2026'!$C$26,"N/A")</f>
        <v>20000</v>
      </c>
      <c r="L992" s="423" cm="1">
        <f t="array" ref="L992">IF(B992&gt;0,'Direct Costs 2026'!$C$23,"N/A")</f>
        <v>140000</v>
      </c>
      <c r="M992" s="423" cm="1">
        <f t="array" ref="M992">IF(B992&gt;0,'Direct Costs 2026'!$C$45*B992,"N/A")</f>
        <v>1200000</v>
      </c>
      <c r="N992" t="str" s="431" cm="1">
        <f t="array" ref="N992">IF(B992&gt;0,_xlfn.IFERROR(VLOOKUP(C982,'Boats Data Sheet 2026'!$C$3:$I$57,7,0)*'Direct Costs 2026'!$C$36,"N/A"),"N/A")</f>
        <v>N/A</v>
      </c>
      <c r="O992" t="str" s="431" cm="1">
        <f t="array" ref="O992">IF(B992&gt;0,IF(OR(VLOOKUP(C982,'Boats Data Sheet 2026'!$C$3:$F$57,4,0)="Own",VLOOKUP(C982,'Boats Data Sheet 2026'!$C$3:$F$57,4,0)="Management"),('Direct Costs 2026'!$C$37+'Direct Costs 2026'!$C$39),"N/A"),"N/A")</f>
        <v>N/A</v>
      </c>
      <c r="P992" s="423">
        <v>0</v>
      </c>
      <c r="Q992" s="423" cm="1">
        <f t="array" ref="Q992">_xlfn.IFERROR(C992+SUM(E992:P992),"N/A")</f>
        <v>15159000</v>
      </c>
      <c r="R992" s="424"/>
      <c r="S992" s="423" cm="1">
        <f t="array" ref="S992">IF(B992&gt;0,'Allocation OH and Target 2026'!$E$31,"N/A")</f>
        <v>3100447.15769812</v>
      </c>
      <c r="T992" s="423" cm="1">
        <f t="array" ref="T992">IF(B992&gt;0,VLOOKUP(C982,'Allocation OH and Target 2026'!$C$35:$S$87,16,0),"N/A")</f>
        <v>0</v>
      </c>
      <c r="U992" s="423" cm="1">
        <f t="array" ref="U992">_xlfn.IFERROR((S992+T992),"N/A")</f>
        <v>3100447.15769812</v>
      </c>
      <c r="V992" s="424"/>
      <c r="W992" s="423" cm="1">
        <f t="array" ref="W992">_xlfn.IFERROR(U992+Q992,"N/A")</f>
        <v>18259447.1576981</v>
      </c>
      <c r="X992" s="423" cm="1">
        <f t="array" ref="X992">_xlfn.IFERROR(W992*0.5%,"N/A")</f>
        <v>91297.235788490507</v>
      </c>
      <c r="Y992" s="423" cm="1">
        <f t="array" ref="Y992">_xlfn.IFERROR(W992*25%,"N/A")</f>
        <v>4564861.78942453</v>
      </c>
      <c r="Z992" s="425" cm="1">
        <f t="array" ref="Z992">IF(B992&gt;0,SUM(W992:Y992),"N/A")</f>
        <v>22915606.1829111</v>
      </c>
      <c r="AA992" s="425" cm="1">
        <f t="array" ref="AA992">_xlfn.IFERROR((Z992-Z991),"N/A")</f>
        <v>1294532.5</v>
      </c>
      <c r="AB992" s="424"/>
      <c r="AC992" t="str" s="426" cm="1">
        <f t="array" ref="AC992">IF(B992=6,AVERAGE(Z985:Z990),"N/A")</f>
        <v>N/A</v>
      </c>
      <c r="AD992" s="424"/>
      <c r="AE992" s="423"/>
      <c r="AF992" s="423"/>
      <c r="AG992" s="423"/>
      <c r="AH992" s="423"/>
      <c r="AI992" s="423"/>
      <c r="AJ992" s="423"/>
      <c r="AK992" s="423"/>
      <c r="AL992" s="423"/>
      <c r="AM992" s="423"/>
      <c r="AN992" s="427"/>
    </row>
    <row r="993" ht="15" customHeight="1">
      <c r="A993" s="12"/>
      <c r="B993" s="428" cm="1">
        <f t="array" ref="B993">IF(B992=0,0,IF(B992&lt;VLOOKUP(C982,'Boats Data Sheet 2026'!$C$3:$H$57,6,0),B992+1,0))</f>
        <v>9</v>
      </c>
      <c r="C993" s="423" cm="1">
        <f t="array" ref="C993">IF(B993&gt;0,IF(VLOOKUP(C982,'Boats Data Sheet 2026'!$C$3:$J$57,8,0)="N/A",0,VLOOKUP(C982,'Boats Data Sheet 2026'!$C$3:$J$57,8,0)),"N/A")</f>
        <v>12000000</v>
      </c>
      <c r="D993" s="429" cm="1">
        <f t="array" ref="D993">IF(B993&gt;7,2,IF(B993=0,"N/A",1))</f>
        <v>2</v>
      </c>
      <c r="E993" s="423" cm="1">
        <f t="array" ref="E993">_xlfn.IFERROR(SUM('Direct Costs 2026'!$C$4:$C$5)*D993,"N/A")</f>
        <v>1751000</v>
      </c>
      <c r="F993" s="423" cm="1">
        <f t="array" ref="F993">_xlfn.IFERROR('Direct Costs 2026'!$C$43*B993,"N/A")</f>
        <v>54000</v>
      </c>
      <c r="G993" s="423">
        <v>0</v>
      </c>
      <c r="H993" s="423">
        <v>0</v>
      </c>
      <c r="I993" s="423">
        <v>0</v>
      </c>
      <c r="J993" s="423">
        <v>0</v>
      </c>
      <c r="K993" s="423" cm="1">
        <f t="array" ref="K993">IF(B993&gt;0,'Direct Costs 2026'!$C$26,"N/A")</f>
        <v>20000</v>
      </c>
      <c r="L993" s="423" cm="1">
        <f t="array" ref="L993">IF(B993&gt;0,'Direct Costs 2026'!$C$23,"N/A")</f>
        <v>140000</v>
      </c>
      <c r="M993" s="423" cm="1">
        <f t="array" ref="M993">IF(B993&gt;0,'Direct Costs 2026'!$C$45*B993,"N/A")</f>
        <v>1350000</v>
      </c>
      <c r="N993" t="str" s="431" cm="1">
        <f t="array" ref="N993">IF(B993&gt;0,_xlfn.IFERROR(VLOOKUP(C982,'Boats Data Sheet 2026'!$C$3:$I$57,7,0)*'Direct Costs 2026'!$C$36,"N/A"),"N/A")</f>
        <v>N/A</v>
      </c>
      <c r="O993" t="str" s="431" cm="1">
        <f t="array" ref="O993">IF(B993&gt;0,IF(OR(VLOOKUP(C982,'Boats Data Sheet 2026'!$C$3:$F$57,4,0)="Own",VLOOKUP(C982,'Boats Data Sheet 2026'!$C$3:$F$57,4,0)="Management"),('Direct Costs 2026'!$C$37+'Direct Costs 2026'!$C$39),"N/A"),"N/A")</f>
        <v>N/A</v>
      </c>
      <c r="P993" s="423">
        <v>0</v>
      </c>
      <c r="Q993" s="423" cm="1">
        <f t="array" ref="Q993">_xlfn.IFERROR(C993+SUM(E993:P993),"N/A")</f>
        <v>15315000</v>
      </c>
      <c r="R993" s="424"/>
      <c r="S993" s="423" cm="1">
        <f t="array" ref="S993">IF(B993&gt;0,'Allocation OH and Target 2026'!$E$31,"N/A")</f>
        <v>3100447.15769812</v>
      </c>
      <c r="T993" s="423" cm="1">
        <f t="array" ref="T993">IF(B993&gt;0,VLOOKUP(C982,'Allocation OH and Target 2026'!$C$35:$S$87,16,0),"N/A")</f>
        <v>0</v>
      </c>
      <c r="U993" s="423" cm="1">
        <f t="array" ref="U993">_xlfn.IFERROR((S993+T993),"N/A")</f>
        <v>3100447.15769812</v>
      </c>
      <c r="V993" s="424"/>
      <c r="W993" s="423" cm="1">
        <f t="array" ref="W993">_xlfn.IFERROR(U993+Q993,"N/A")</f>
        <v>18415447.1576981</v>
      </c>
      <c r="X993" s="423" cm="1">
        <f t="array" ref="X993">_xlfn.IFERROR(W993*0.5%,"N/A")</f>
        <v>92077.235788490507</v>
      </c>
      <c r="Y993" s="423" cm="1">
        <f t="array" ref="Y993">_xlfn.IFERROR(W993*25%,"N/A")</f>
        <v>4603861.78942453</v>
      </c>
      <c r="Z993" s="425" cm="1">
        <f t="array" ref="Z993">IF(B993&gt;0,SUM(W993:Y993),"N/A")</f>
        <v>23111386.1829111</v>
      </c>
      <c r="AA993" s="425" cm="1">
        <f t="array" ref="AA993">_xlfn.IFERROR((Z993-Z992),"N/A")</f>
        <v>195780</v>
      </c>
      <c r="AB993" s="424"/>
      <c r="AC993" t="str" s="426" cm="1">
        <f t="array" ref="AC993">IF(B993=6,AVERAGE(Z985:Z990),"N/A")</f>
        <v>N/A</v>
      </c>
      <c r="AD993" s="424"/>
      <c r="AE993" s="423"/>
      <c r="AF993" s="423"/>
      <c r="AG993" s="423"/>
      <c r="AH993" s="423"/>
      <c r="AI993" s="423"/>
      <c r="AJ993" s="423"/>
      <c r="AK993" s="423"/>
      <c r="AL993" s="423"/>
      <c r="AM993" s="423"/>
      <c r="AN993" s="427"/>
    </row>
    <row r="994" ht="15" customHeight="1">
      <c r="A994" s="12"/>
      <c r="B994" s="428" cm="1">
        <f t="array" ref="B994">IF(B993=0,0,IF(B993&lt;VLOOKUP(C982,'Boats Data Sheet 2026'!$C$3:$H$57,6,0),B993+1,0))</f>
        <v>10</v>
      </c>
      <c r="C994" s="423" cm="1">
        <f t="array" ref="C994">IF(B994&gt;0,IF(VLOOKUP(C982,'Boats Data Sheet 2026'!$C$3:$J$57,8,0)="N/A",0,VLOOKUP(C982,'Boats Data Sheet 2026'!$C$3:$J$57,8,0)),"N/A")</f>
        <v>12000000</v>
      </c>
      <c r="D994" s="429" cm="1">
        <f t="array" ref="D994">IF(B994&gt;7,2,IF(B994=0,"N/A",1))</f>
        <v>2</v>
      </c>
      <c r="E994" s="423" cm="1">
        <f t="array" ref="E994">_xlfn.IFERROR(SUM('Direct Costs 2026'!$C$4:$C$5)*D994,"N/A")</f>
        <v>1751000</v>
      </c>
      <c r="F994" s="423" cm="1">
        <f t="array" ref="F994">_xlfn.IFERROR('Direct Costs 2026'!$C$43*B994,"N/A")</f>
        <v>60000</v>
      </c>
      <c r="G994" s="423">
        <v>0</v>
      </c>
      <c r="H994" s="423">
        <v>0</v>
      </c>
      <c r="I994" s="423">
        <v>0</v>
      </c>
      <c r="J994" s="423">
        <v>0</v>
      </c>
      <c r="K994" s="423" cm="1">
        <f t="array" ref="K994">IF(B994&gt;0,'Direct Costs 2026'!$C$26,"N/A")</f>
        <v>20000</v>
      </c>
      <c r="L994" s="423" cm="1">
        <f t="array" ref="L994">IF(B994&gt;0,'Direct Costs 2026'!$C$23,"N/A")</f>
        <v>140000</v>
      </c>
      <c r="M994" s="423" cm="1">
        <f t="array" ref="M994">IF(B994&gt;0,'Direct Costs 2026'!$C$45*B994,"N/A")</f>
        <v>1500000</v>
      </c>
      <c r="N994" t="str" s="431" cm="1">
        <f t="array" ref="N994">IF(B994&gt;0,_xlfn.IFERROR(VLOOKUP(C982,'Boats Data Sheet 2026'!$C$3:$I$57,7,0)*'Direct Costs 2026'!$C$36,"N/A"),"N/A")</f>
        <v>N/A</v>
      </c>
      <c r="O994" t="str" s="431" cm="1">
        <f t="array" ref="O994">IF(B994&gt;0,IF(OR(VLOOKUP(C982,'Boats Data Sheet 2026'!$C$3:$F$57,4,0)="Own",VLOOKUP(C982,'Boats Data Sheet 2026'!$C$3:$F$57,4,0)="Management"),('Direct Costs 2026'!$C$37+'Direct Costs 2026'!$C$39),"N/A"),"N/A")</f>
        <v>N/A</v>
      </c>
      <c r="P994" s="423">
        <v>0</v>
      </c>
      <c r="Q994" s="423" cm="1">
        <f t="array" ref="Q994">_xlfn.IFERROR(C994+SUM(E994:P994),"N/A")</f>
        <v>15471000</v>
      </c>
      <c r="R994" s="424"/>
      <c r="S994" s="423" cm="1">
        <f t="array" ref="S994">IF(B994&gt;0,'Allocation OH and Target 2026'!$E$31,"N/A")</f>
        <v>3100447.15769812</v>
      </c>
      <c r="T994" s="423" cm="1">
        <f t="array" ref="T994">IF(B994&gt;0,VLOOKUP(C982,'Allocation OH and Target 2026'!$C$35:$S$87,16,0),"N/A")</f>
        <v>0</v>
      </c>
      <c r="U994" s="423" cm="1">
        <f t="array" ref="U994">_xlfn.IFERROR((S994+T994),"N/A")</f>
        <v>3100447.15769812</v>
      </c>
      <c r="V994" s="424"/>
      <c r="W994" s="423" cm="1">
        <f t="array" ref="W994">_xlfn.IFERROR(U994+Q994,"N/A")</f>
        <v>18571447.1576981</v>
      </c>
      <c r="X994" s="423" cm="1">
        <f t="array" ref="X994">_xlfn.IFERROR(W994*0.5%,"N/A")</f>
        <v>92857.235788490507</v>
      </c>
      <c r="Y994" s="423" cm="1">
        <f t="array" ref="Y994">_xlfn.IFERROR(W994*25%,"N/A")</f>
        <v>4642861.78942453</v>
      </c>
      <c r="Z994" s="425" cm="1">
        <f t="array" ref="Z994">IF(B994&gt;0,SUM(W994:Y994),"N/A")</f>
        <v>23307166.1829111</v>
      </c>
      <c r="AA994" s="425" cm="1">
        <f t="array" ref="AA994">_xlfn.IFERROR((Z994-Z993),"N/A")</f>
        <v>195780</v>
      </c>
      <c r="AB994" s="424"/>
      <c r="AC994" t="str" s="426" cm="1">
        <f t="array" ref="AC994">IF(B994=6,AVERAGE(Z985:Z990),"N/A")</f>
        <v>N/A</v>
      </c>
      <c r="AD994" s="424"/>
      <c r="AE994" s="423"/>
      <c r="AF994" s="423"/>
      <c r="AG994" s="423"/>
      <c r="AH994" s="423"/>
      <c r="AI994" s="423"/>
      <c r="AJ994" s="423"/>
      <c r="AK994" s="423"/>
      <c r="AL994" s="423"/>
      <c r="AM994" s="423"/>
      <c r="AN994" s="427"/>
    </row>
    <row r="995" ht="15" customHeight="1">
      <c r="A995" s="12"/>
      <c r="B995" s="428" cm="1">
        <f t="array" ref="B995">IF(B994=0,0,IF(B994&lt;VLOOKUP(C982,'Boats Data Sheet 2026'!$C$3:$H$57,6,0),B994+1,0))</f>
        <v>0</v>
      </c>
      <c r="C995" t="str" s="431" cm="1">
        <f t="array" ref="C995">IF(B995&gt;0,IF(VLOOKUP(C982,'Boats Data Sheet 2026'!$C$3:$J$57,8,0)="N/A",0,VLOOKUP(C982,'Boats Data Sheet 2026'!$C$3:$J$57,8,0)),"N/A")</f>
        <v>N/A</v>
      </c>
      <c r="D995" t="str" s="511" cm="1">
        <f t="array" ref="D995">IF(B995&gt;7,2,IF(B995=0,"N/A",1))</f>
        <v>N/A</v>
      </c>
      <c r="E995" t="str" s="431" cm="1">
        <f t="array" ref="E995">_xlfn.IFERROR(SUM('Direct Costs 2026'!$C$4:$C$5)*D995,"N/A")</f>
        <v>N/A</v>
      </c>
      <c r="F995" s="423" cm="1">
        <f t="array" ref="F995">_xlfn.IFERROR('Direct Costs 2026'!$C$43*B995,"N/A")</f>
        <v>0</v>
      </c>
      <c r="G995" t="str" s="431" cm="1">
        <f t="array" ref="G995">IF(B995&gt;0,'Direct Costs 2026'!$C$25,"N/A")</f>
        <v>N/A</v>
      </c>
      <c r="H995" t="str" s="431" cm="1">
        <f t="array" ref="H995">IF(B995&gt;0,'Direct Costs 2026'!$C$15+'Direct Costs 2026'!$C$14,"N/A")</f>
        <v>N/A</v>
      </c>
      <c r="I995" s="423">
        <v>0</v>
      </c>
      <c r="J995" s="423">
        <v>0</v>
      </c>
      <c r="K995" t="str" s="431" cm="1">
        <f t="array" ref="K995">IF(B995&gt;0,'Direct Costs 2026'!$C$26,"N/A")</f>
        <v>N/A</v>
      </c>
      <c r="L995" t="str" s="431" cm="1">
        <f t="array" ref="L995">IF(B995&gt;0,'Direct Costs 2026'!$C$23,"N/A")</f>
        <v>N/A</v>
      </c>
      <c r="M995" t="str" s="431" cm="1">
        <f t="array" ref="M995">IF(B995&gt;0,'Direct Costs 2026'!$C$45*B995,"N/A")</f>
        <v>N/A</v>
      </c>
      <c r="N995" t="str" s="431" cm="1">
        <f t="array" ref="N995">IF(B995&gt;0,_xlfn.IFERROR(VLOOKUP(C982,'Boats Data Sheet 2026'!$C$3:$I$57,7,0)*'Direct Costs 2026'!$C$36,"N/A"),"N/A")</f>
        <v>N/A</v>
      </c>
      <c r="O995" t="str" s="431" cm="1">
        <f t="array" ref="O995">IF(B995&gt;0,IF(OR(VLOOKUP(C982,'Boats Data Sheet 2026'!$C$3:$F$57,4,0)="Own",VLOOKUP(C982,'Boats Data Sheet 2026'!$C$3:$F$57,4,0)="Management"),('Direct Costs 2026'!$C$37+'Direct Costs 2026'!$C$39),"N/A"),"N/A")</f>
        <v>N/A</v>
      </c>
      <c r="P995" t="str" s="431" cm="1">
        <f t="array" ref="P995">_xlfn.IFERROR('Direct Costs 2026'!$C$27*C995,"N/A")</f>
        <v>N/A</v>
      </c>
      <c r="Q995" t="str" s="431" cm="1">
        <f t="array" ref="Q995">_xlfn.IFERROR(C995+SUM(E995:P995),"N/A")</f>
        <v>N/A</v>
      </c>
      <c r="R995" s="424"/>
      <c r="S995" t="str" s="431" cm="1">
        <f t="array" ref="S995">IF(B995&gt;0,'Allocation OH and Target 2026'!$E$31,"N/A")</f>
        <v>N/A</v>
      </c>
      <c r="T995" t="str" s="431" cm="1">
        <f t="array" ref="T995">IF(B995&gt;0,VLOOKUP(C982,'Allocation OH and Target 2026'!$C$35:$S$87,16,0),"N/A")</f>
        <v>N/A</v>
      </c>
      <c r="U995" t="str" s="431" cm="1">
        <f t="array" ref="U995">_xlfn.IFERROR((S995+T995),"N/A")</f>
        <v>N/A</v>
      </c>
      <c r="V995" s="424"/>
      <c r="W995" t="str" s="431" cm="1">
        <f t="array" ref="W995">_xlfn.IFERROR(U995+Q995,"N/A")</f>
        <v>N/A</v>
      </c>
      <c r="X995" t="str" s="431" cm="1">
        <f t="array" ref="X995">_xlfn.IFERROR(W995*0.5%,"N/A")</f>
        <v>N/A</v>
      </c>
      <c r="Y995" t="str" s="431" cm="1">
        <f t="array" ref="Y995">_xlfn.IFERROR(W995*25%,"N/A")</f>
        <v>N/A</v>
      </c>
      <c r="Z995" t="str" s="426" cm="1">
        <f t="array" ref="Z995">IF(B995&gt;0,SUM(W995:Y995),"N/A")</f>
        <v>N/A</v>
      </c>
      <c r="AA995" t="str" s="426" cm="1">
        <f t="array" ref="AA995">_xlfn.IFERROR((Z995-Z994),"N/A")</f>
        <v>N/A</v>
      </c>
      <c r="AB995" s="424"/>
      <c r="AC995" t="str" s="426" cm="1">
        <f t="array" ref="AC995">IF(B995=6,AVERAGE(Z985:Z990),"N/A")</f>
        <v>N/A</v>
      </c>
      <c r="AD995" s="424"/>
      <c r="AE995" s="423"/>
      <c r="AF995" s="423"/>
      <c r="AG995" s="423"/>
      <c r="AH995" s="423"/>
      <c r="AI995" s="423"/>
      <c r="AJ995" s="423"/>
      <c r="AK995" s="423"/>
      <c r="AL995" s="423"/>
      <c r="AM995" s="423"/>
      <c r="AN995" s="427"/>
    </row>
    <row r="996" ht="15" customHeight="1">
      <c r="A996" s="12"/>
      <c r="B996" s="428" cm="1">
        <f t="array" ref="B996">IF(B995=0,0,IF(B995&lt;VLOOKUP(C982,'Boats Data Sheet 2026'!$C$3:$H$57,6,0),B995+1,0))</f>
        <v>0</v>
      </c>
      <c r="C996" t="str" s="431" cm="1">
        <f t="array" ref="C996">IF(B996&gt;0,IF(VLOOKUP(C982,'Boats Data Sheet 2026'!$C$3:$J$57,8,0)="N/A",0,VLOOKUP(C982,'Boats Data Sheet 2026'!$C$3:$J$57,8,0)),"N/A")</f>
        <v>N/A</v>
      </c>
      <c r="D996" t="str" s="511" cm="1">
        <f t="array" ref="D996">IF(B996&gt;7,2,IF(B996=0,"N/A",1))</f>
        <v>N/A</v>
      </c>
      <c r="E996" t="str" s="431" cm="1">
        <f t="array" ref="E996">_xlfn.IFERROR(SUM('Direct Costs 2026'!$C$4:$C$5)*D996,"N/A")</f>
        <v>N/A</v>
      </c>
      <c r="F996" s="423" cm="1">
        <f t="array" ref="F996">_xlfn.IFERROR('Direct Costs 2026'!$C$43*B996,"N/A")</f>
        <v>0</v>
      </c>
      <c r="G996" t="str" s="431" cm="1">
        <f t="array" ref="G996">IF(B996&gt;0,'Direct Costs 2026'!$C$25,"N/A")</f>
        <v>N/A</v>
      </c>
      <c r="H996" t="str" s="431" cm="1">
        <f t="array" ref="H996">IF(B996&gt;0,'Direct Costs 2026'!$C$15+'Direct Costs 2026'!$C$14,"N/A")</f>
        <v>N/A</v>
      </c>
      <c r="I996" s="423">
        <v>0</v>
      </c>
      <c r="J996" s="423">
        <v>0</v>
      </c>
      <c r="K996" t="str" s="431" cm="1">
        <f t="array" ref="K996">IF(B996&gt;0,'Direct Costs 2026'!$C$26,"N/A")</f>
        <v>N/A</v>
      </c>
      <c r="L996" t="str" s="431" cm="1">
        <f t="array" ref="L996">IF(B996&gt;0,'Direct Costs 2026'!$C$23,"N/A")</f>
        <v>N/A</v>
      </c>
      <c r="M996" t="str" s="431" cm="1">
        <f t="array" ref="M996">IF(B996&gt;0,'Direct Costs 2026'!$C$45*B996,"N/A")</f>
        <v>N/A</v>
      </c>
      <c r="N996" t="str" s="431" cm="1">
        <f t="array" ref="N996">IF(B996&gt;0,_xlfn.IFERROR(VLOOKUP(C982,'Boats Data Sheet 2026'!$C$3:$I$57,7,0)*'Direct Costs 2026'!$C$36,"N/A"),"N/A")</f>
        <v>N/A</v>
      </c>
      <c r="O996" t="str" s="431" cm="1">
        <f t="array" ref="O996">IF(B996&gt;0,IF(OR(VLOOKUP(C982,'Boats Data Sheet 2026'!$C$3:$F$57,4,0)="Own",VLOOKUP(C982,'Boats Data Sheet 2026'!$C$3:$F$57,4,0)="Management"),('Direct Costs 2026'!$C$37+'Direct Costs 2026'!$C$39),"N/A"),"N/A")</f>
        <v>N/A</v>
      </c>
      <c r="P996" t="str" s="431" cm="1">
        <f t="array" ref="P996">_xlfn.IFERROR('Direct Costs 2026'!$C$27*C996,"N/A")</f>
        <v>N/A</v>
      </c>
      <c r="Q996" t="str" s="431" cm="1">
        <f t="array" ref="Q996">_xlfn.IFERROR(C996+SUM(E996:P996),"N/A")</f>
        <v>N/A</v>
      </c>
      <c r="R996" s="424"/>
      <c r="S996" t="str" s="431" cm="1">
        <f t="array" ref="S996">IF(B996&gt;0,'Allocation OH and Target 2026'!$E$31,"N/A")</f>
        <v>N/A</v>
      </c>
      <c r="T996" t="str" s="431" cm="1">
        <f t="array" ref="T996">IF(B996&gt;0,VLOOKUP(C982,'Allocation OH and Target 2026'!$C$35:$S$87,16,0),"N/A")</f>
        <v>N/A</v>
      </c>
      <c r="U996" t="str" s="431" cm="1">
        <f t="array" ref="U996">_xlfn.IFERROR((S996+T996),"N/A")</f>
        <v>N/A</v>
      </c>
      <c r="V996" s="424"/>
      <c r="W996" t="str" s="431" cm="1">
        <f t="array" ref="W996">_xlfn.IFERROR(U996+Q996,"N/A")</f>
        <v>N/A</v>
      </c>
      <c r="X996" t="str" s="431" cm="1">
        <f t="array" ref="X996">_xlfn.IFERROR(W996*0.5%,"N/A")</f>
        <v>N/A</v>
      </c>
      <c r="Y996" t="str" s="431" cm="1">
        <f t="array" ref="Y996">_xlfn.IFERROR(W996*25%,"N/A")</f>
        <v>N/A</v>
      </c>
      <c r="Z996" t="str" s="426" cm="1">
        <f t="array" ref="Z996">IF(B996&gt;0,SUM(W996:Y996),"N/A")</f>
        <v>N/A</v>
      </c>
      <c r="AA996" t="str" s="426" cm="1">
        <f t="array" ref="AA996">_xlfn.IFERROR((Z996-Z995),"N/A")</f>
        <v>N/A</v>
      </c>
      <c r="AB996" s="424"/>
      <c r="AC996" t="str" s="426" cm="1">
        <f t="array" ref="AC996">IF(B996=6,AVERAGE(Z985:Z990),"N/A")</f>
        <v>N/A</v>
      </c>
      <c r="AD996" s="424"/>
      <c r="AE996" s="423"/>
      <c r="AF996" s="423"/>
      <c r="AG996" s="423"/>
      <c r="AH996" s="423"/>
      <c r="AI996" s="423"/>
      <c r="AJ996" s="423"/>
      <c r="AK996" s="423"/>
      <c r="AL996" s="423"/>
      <c r="AM996" s="423"/>
      <c r="AN996" s="427"/>
    </row>
    <row r="997" ht="15" customHeight="1">
      <c r="A997" s="12"/>
      <c r="B997" s="428" cm="1">
        <f t="array" ref="B997">IF(B996=0,0,IF(B996&lt;VLOOKUP(C982,'Boats Data Sheet 2026'!$C$3:$H$57,6,0),B996+1,0))</f>
        <v>0</v>
      </c>
      <c r="C997" t="str" s="431" cm="1">
        <f t="array" ref="C997">IF(B997&gt;0,IF(VLOOKUP(C982,'Boats Data Sheet 2026'!$C$3:$J$57,8,0)="N/A",0,VLOOKUP(C982,'Boats Data Sheet 2026'!$C$3:$J$57,8,0)),"N/A")</f>
        <v>N/A</v>
      </c>
      <c r="D997" t="str" s="511" cm="1">
        <f t="array" ref="D997">IF(B997&gt;7,2,IF(B997=0,"N/A",1))</f>
        <v>N/A</v>
      </c>
      <c r="E997" t="str" s="431" cm="1">
        <f t="array" ref="E997">_xlfn.IFERROR(SUM('Direct Costs 2026'!$C$4:$C$5)*D997,"N/A")</f>
        <v>N/A</v>
      </c>
      <c r="F997" s="423" cm="1">
        <f t="array" ref="F997">_xlfn.IFERROR('Direct Costs 2026'!$C$43*B997,"N/A")</f>
        <v>0</v>
      </c>
      <c r="G997" t="str" s="431" cm="1">
        <f t="array" ref="G997">IF(B997&gt;0,'Direct Costs 2026'!$C$25,"N/A")</f>
        <v>N/A</v>
      </c>
      <c r="H997" t="str" s="431" cm="1">
        <f t="array" ref="H997">IF(B997&gt;0,'Direct Costs 2026'!$C$15+'Direct Costs 2026'!$C$14,"N/A")</f>
        <v>N/A</v>
      </c>
      <c r="I997" s="423">
        <v>0</v>
      </c>
      <c r="J997" s="423">
        <v>0</v>
      </c>
      <c r="K997" t="str" s="431" cm="1">
        <f t="array" ref="K997">IF(B997&gt;0,'Direct Costs 2026'!$C$26,"N/A")</f>
        <v>N/A</v>
      </c>
      <c r="L997" t="str" s="431" cm="1">
        <f t="array" ref="L997">IF(B997&gt;0,'Direct Costs 2026'!$C$23,"N/A")</f>
        <v>N/A</v>
      </c>
      <c r="M997" t="str" s="431" cm="1">
        <f t="array" ref="M997">IF(B997&gt;0,'Direct Costs 2026'!$C$45*B997,"N/A")</f>
        <v>N/A</v>
      </c>
      <c r="N997" t="str" s="431" cm="1">
        <f t="array" ref="N997">IF(B997&gt;0,_xlfn.IFERROR(VLOOKUP(C982,'Boats Data Sheet 2026'!$C$3:$I$57,7,0)*'Direct Costs 2026'!$C$36,"N/A"),"N/A")</f>
        <v>N/A</v>
      </c>
      <c r="O997" t="str" s="431" cm="1">
        <f t="array" ref="O997">IF(B997&gt;0,IF(OR(VLOOKUP(C982,'Boats Data Sheet 2026'!$C$3:$F$57,4,0)="Own",VLOOKUP(C982,'Boats Data Sheet 2026'!$C$3:$F$57,4,0)="Management"),('Direct Costs 2026'!$C$37+'Direct Costs 2026'!$C$39),"N/A"),"N/A")</f>
        <v>N/A</v>
      </c>
      <c r="P997" t="str" s="431" cm="1">
        <f t="array" ref="P997">_xlfn.IFERROR('Direct Costs 2026'!$C$27*C997,"N/A")</f>
        <v>N/A</v>
      </c>
      <c r="Q997" t="str" s="431" cm="1">
        <f t="array" ref="Q997">_xlfn.IFERROR(C997+SUM(E997:P997),"N/A")</f>
        <v>N/A</v>
      </c>
      <c r="R997" s="424"/>
      <c r="S997" t="str" s="431" cm="1">
        <f t="array" ref="S997">IF(B997&gt;0,'Allocation OH and Target 2026'!$E$31,"N/A")</f>
        <v>N/A</v>
      </c>
      <c r="T997" t="str" s="431" cm="1">
        <f t="array" ref="T997">IF(B997&gt;0,VLOOKUP(C982,'Allocation OH and Target 2026'!$C$35:$S$87,16,0),"N/A")</f>
        <v>N/A</v>
      </c>
      <c r="U997" t="str" s="431" cm="1">
        <f t="array" ref="U997">_xlfn.IFERROR((S997+T997),"N/A")</f>
        <v>N/A</v>
      </c>
      <c r="V997" s="424"/>
      <c r="W997" t="str" s="431" cm="1">
        <f t="array" ref="W997">_xlfn.IFERROR(U997+Q997,"N/A")</f>
        <v>N/A</v>
      </c>
      <c r="X997" t="str" s="431" cm="1">
        <f t="array" ref="X997">_xlfn.IFERROR(W997*0.5%,"N/A")</f>
        <v>N/A</v>
      </c>
      <c r="Y997" t="str" s="431" cm="1">
        <f t="array" ref="Y997">_xlfn.IFERROR(W997*25%,"N/A")</f>
        <v>N/A</v>
      </c>
      <c r="Z997" t="str" s="426" cm="1">
        <f t="array" ref="Z997">IF(B997&gt;0,SUM(W997:Y997),"N/A")</f>
        <v>N/A</v>
      </c>
      <c r="AA997" t="str" s="426" cm="1">
        <f t="array" ref="AA997">_xlfn.IFERROR((Z997-Z996),"N/A")</f>
        <v>N/A</v>
      </c>
      <c r="AB997" s="424"/>
      <c r="AC997" t="str" s="426" cm="1">
        <f t="array" ref="AC997">IF(B997=6,AVERAGE(Z985:Z990),"N/A")</f>
        <v>N/A</v>
      </c>
      <c r="AD997" s="424"/>
      <c r="AE997" s="423"/>
      <c r="AF997" s="423"/>
      <c r="AG997" s="423"/>
      <c r="AH997" s="423"/>
      <c r="AI997" s="423"/>
      <c r="AJ997" s="423"/>
      <c r="AK997" s="423"/>
      <c r="AL997" s="423"/>
      <c r="AM997" s="423"/>
      <c r="AN997" s="427"/>
    </row>
    <row r="998" ht="15" customHeight="1">
      <c r="A998" s="12"/>
      <c r="B998" s="428" cm="1">
        <f t="array" ref="B998">IF(B997=0,0,IF(B997&lt;VLOOKUP(C982,'Boats Data Sheet 2026'!$C$3:$H$57,6,0),B997+1,0))</f>
        <v>0</v>
      </c>
      <c r="C998" t="str" s="431" cm="1">
        <f t="array" ref="C998">IF(B998&gt;0,IF(VLOOKUP(C982,'Boats Data Sheet 2026'!$C$3:$J$57,8,0)="N/A",0,VLOOKUP(C982,'Boats Data Sheet 2026'!$C$3:$J$57,8,0)),"N/A")</f>
        <v>N/A</v>
      </c>
      <c r="D998" t="str" s="431" cm="1">
        <f t="array" ref="D998">IF(B998&gt;7,2,IF(B998=0,"N/A",1))</f>
        <v>N/A</v>
      </c>
      <c r="E998" t="str" s="431" cm="1">
        <f t="array" ref="E998">_xlfn.IFERROR(SUM('Direct Costs 2026'!$C$4:$C$5)*D998,"N/A")</f>
        <v>N/A</v>
      </c>
      <c r="F998" s="423" cm="1">
        <f t="array" ref="F998">_xlfn.IFERROR('Direct Costs 2026'!$C$43*B998,"N/A")</f>
        <v>0</v>
      </c>
      <c r="G998" t="str" s="431" cm="1">
        <f t="array" ref="G998">IF(B998&gt;0,'Direct Costs 2026'!$C$25,"N/A")</f>
        <v>N/A</v>
      </c>
      <c r="H998" t="str" s="431" cm="1">
        <f t="array" ref="H998">IF(B998&gt;0,'Direct Costs 2026'!$C$15+'Direct Costs 2026'!$C$14,"N/A")</f>
        <v>N/A</v>
      </c>
      <c r="I998" s="423">
        <v>0</v>
      </c>
      <c r="J998" s="423">
        <v>0</v>
      </c>
      <c r="K998" t="str" s="431" cm="1">
        <f t="array" ref="K998">IF(B998&gt;0,'Direct Costs 2026'!$C$26,"N/A")</f>
        <v>N/A</v>
      </c>
      <c r="L998" t="str" s="431" cm="1">
        <f t="array" ref="L998">IF(B998&gt;0,'Direct Costs 2026'!$C$23,"N/A")</f>
        <v>N/A</v>
      </c>
      <c r="M998" t="str" s="431" cm="1">
        <f t="array" ref="M998">IF(B998&gt;0,'Direct Costs 2026'!$C$45*B998,"N/A")</f>
        <v>N/A</v>
      </c>
      <c r="N998" t="str" s="431" cm="1">
        <f t="array" ref="N998">IF(B998&gt;0,_xlfn.IFERROR(VLOOKUP(C982,'Boats Data Sheet 2026'!$C$3:$I$57,7,0)*'Direct Costs 2026'!$C$36,"N/A"),"N/A")</f>
        <v>N/A</v>
      </c>
      <c r="O998" t="str" s="431" cm="1">
        <f t="array" ref="O998">IF(B998&gt;0,IF(OR(VLOOKUP(C982,'Boats Data Sheet 2026'!$C$3:$F$57,4,0)="Own",VLOOKUP(C982,'Boats Data Sheet 2026'!$C$3:$F$57,4,0)="Management"),('Direct Costs 2026'!$C$37+'Direct Costs 2026'!$C$39),"N/A"),"N/A")</f>
        <v>N/A</v>
      </c>
      <c r="P998" t="str" s="431" cm="1">
        <f t="array" ref="P998">_xlfn.IFERROR('Direct Costs 2026'!$C$27*C998,"N/A")</f>
        <v>N/A</v>
      </c>
      <c r="Q998" t="str" s="431" cm="1">
        <f t="array" ref="Q998">_xlfn.IFERROR(C998+SUM(E998:P998),"N/A")</f>
        <v>N/A</v>
      </c>
      <c r="R998" s="424"/>
      <c r="S998" t="str" s="431" cm="1">
        <f t="array" ref="S998">IF(B998&gt;0,'Allocation OH and Target 2026'!$E$31,"N/A")</f>
        <v>N/A</v>
      </c>
      <c r="T998" t="str" s="431" cm="1">
        <f t="array" ref="T998">IF(B998&gt;0,VLOOKUP(C982,'Allocation OH and Target 2026'!$C$35:$S$87,16,0),"N/A")</f>
        <v>N/A</v>
      </c>
      <c r="U998" t="str" s="431" cm="1">
        <f t="array" ref="U998">_xlfn.IFERROR((S998+T998),"N/A")</f>
        <v>N/A</v>
      </c>
      <c r="V998" s="424"/>
      <c r="W998" t="str" s="431" cm="1">
        <f t="array" ref="W998">_xlfn.IFERROR(U998+Q998,"N/A")</f>
        <v>N/A</v>
      </c>
      <c r="X998" t="str" s="431" cm="1">
        <f t="array" ref="X998">_xlfn.IFERROR(W998*0.5%,"N/A")</f>
        <v>N/A</v>
      </c>
      <c r="Y998" t="str" s="431" cm="1">
        <f t="array" ref="Y998">_xlfn.IFERROR(W998*25%,"N/A")</f>
        <v>N/A</v>
      </c>
      <c r="Z998" t="str" s="426" cm="1">
        <f t="array" ref="Z998">IF(B998&gt;0,SUM(W998:Y998),"N/A")</f>
        <v>N/A</v>
      </c>
      <c r="AA998" t="str" s="426" cm="1">
        <f t="array" ref="AA998">_xlfn.IFERROR((Z998-Z997),"N/A")</f>
        <v>N/A</v>
      </c>
      <c r="AB998" s="424"/>
      <c r="AC998" t="str" s="426" cm="1">
        <f t="array" ref="AC998">IF(B998=6,AVERAGE(Z985:Z990),"N/A")</f>
        <v>N/A</v>
      </c>
      <c r="AD998" s="424"/>
      <c r="AE998" s="423"/>
      <c r="AF998" s="423"/>
      <c r="AG998" s="423"/>
      <c r="AH998" s="423"/>
      <c r="AI998" s="423"/>
      <c r="AJ998" s="423"/>
      <c r="AK998" s="423"/>
      <c r="AL998" s="423"/>
      <c r="AM998" s="423"/>
      <c r="AN998" s="427"/>
    </row>
    <row r="999" ht="15" customHeight="1">
      <c r="A999" s="12"/>
      <c r="B999" s="428" cm="1">
        <f t="array" ref="B999">IF(B998=0,0,IF(B998&lt;VLOOKUP(C982,'Boats Data Sheet 2026'!$C$3:$H$57,6,0),B998+1,0))</f>
        <v>0</v>
      </c>
      <c r="C999" t="str" s="431" cm="1">
        <f t="array" ref="C999">IF(B999&gt;0,IF(VLOOKUP(C982,'Boats Data Sheet 2026'!$C$3:$J$57,8,0)="N/A",0,VLOOKUP(C982,'Boats Data Sheet 2026'!$C$3:$J$57,8,0)),"N/A")</f>
        <v>N/A</v>
      </c>
      <c r="D999" t="str" s="431" cm="1">
        <f t="array" ref="D999">IF(B999&gt;7,2,IF(B999=0,"N/A",1))</f>
        <v>N/A</v>
      </c>
      <c r="E999" t="str" s="431" cm="1">
        <f t="array" ref="E999">_xlfn.IFERROR(SUM('Direct Costs 2026'!$C$4:$C$5)*D999,"N/A")</f>
        <v>N/A</v>
      </c>
      <c r="F999" s="423" cm="1">
        <f t="array" ref="F999">_xlfn.IFERROR('Direct Costs 2026'!$C$43*B999,"N/A")</f>
        <v>0</v>
      </c>
      <c r="G999" t="str" s="431" cm="1">
        <f t="array" ref="G999">IF(B999&gt;0,'Direct Costs 2026'!$C$25,"N/A")</f>
        <v>N/A</v>
      </c>
      <c r="H999" t="str" s="431" cm="1">
        <f t="array" ref="H999">IF(B999&gt;0,'Direct Costs 2026'!$C$15+'Direct Costs 2026'!$C$14,"N/A")</f>
        <v>N/A</v>
      </c>
      <c r="I999" s="423">
        <v>0</v>
      </c>
      <c r="J999" s="423">
        <v>0</v>
      </c>
      <c r="K999" t="str" s="431" cm="1">
        <f t="array" ref="K999">IF(B999&gt;0,'Direct Costs 2026'!$C$26,"N/A")</f>
        <v>N/A</v>
      </c>
      <c r="L999" t="str" s="431" cm="1">
        <f t="array" ref="L999">IF(B999&gt;0,'Direct Costs 2026'!$C$23,"N/A")</f>
        <v>N/A</v>
      </c>
      <c r="M999" t="str" s="431" cm="1">
        <f t="array" ref="M999">IF(B999&gt;0,'Direct Costs 2026'!$C$45*B999,"N/A")</f>
        <v>N/A</v>
      </c>
      <c r="N999" t="str" s="431" cm="1">
        <f t="array" ref="N999">IF(B999&gt;0,_xlfn.IFERROR(VLOOKUP(C982,'Boats Data Sheet 2026'!$C$3:$I$57,7,0)*'Direct Costs 2026'!$C$36,"N/A"),"N/A")</f>
        <v>N/A</v>
      </c>
      <c r="O999" t="str" s="431" cm="1">
        <f t="array" ref="O999">IF(B999&gt;0,IF(OR(VLOOKUP(C982,'Boats Data Sheet 2026'!$C$3:$F$57,4,0)="Own",VLOOKUP(C982,'Boats Data Sheet 2026'!$C$3:$F$57,4,0)="Management"),('Direct Costs 2026'!$C$37+'Direct Costs 2026'!$C$39),"N/A"),"N/A")</f>
        <v>N/A</v>
      </c>
      <c r="P999" t="str" s="431" cm="1">
        <f t="array" ref="P999">_xlfn.IFERROR('Direct Costs 2026'!$C$27*C999,"N/A")</f>
        <v>N/A</v>
      </c>
      <c r="Q999" t="str" s="431" cm="1">
        <f t="array" ref="Q999">_xlfn.IFERROR(C999+SUM(E999:P999),"N/A")</f>
        <v>N/A</v>
      </c>
      <c r="R999" s="424"/>
      <c r="S999" t="str" s="431" cm="1">
        <f t="array" ref="S999">IF(B999&gt;0,'Allocation OH and Target 2026'!$E$31,"N/A")</f>
        <v>N/A</v>
      </c>
      <c r="T999" t="str" s="431" cm="1">
        <f t="array" ref="T999">IF(B999&gt;0,VLOOKUP(C982,'Allocation OH and Target 2026'!$C$35:$S$87,16,0),"N/A")</f>
        <v>N/A</v>
      </c>
      <c r="U999" t="str" s="431" cm="1">
        <f t="array" ref="U999">_xlfn.IFERROR((S999+T999),"N/A")</f>
        <v>N/A</v>
      </c>
      <c r="V999" s="424"/>
      <c r="W999" t="str" s="431" cm="1">
        <f t="array" ref="W999">_xlfn.IFERROR(U999+Q999,"N/A")</f>
        <v>N/A</v>
      </c>
      <c r="X999" t="str" s="431" cm="1">
        <f t="array" ref="X999">_xlfn.IFERROR(W999*0.5%,"N/A")</f>
        <v>N/A</v>
      </c>
      <c r="Y999" t="str" s="431" cm="1">
        <f t="array" ref="Y999">_xlfn.IFERROR(W999*25%,"N/A")</f>
        <v>N/A</v>
      </c>
      <c r="Z999" t="str" s="426" cm="1">
        <f t="array" ref="Z999">IF(B999&gt;0,SUM(W999:Y999),"N/A")</f>
        <v>N/A</v>
      </c>
      <c r="AA999" t="str" s="426" cm="1">
        <f t="array" ref="AA999">_xlfn.IFERROR((Z999-Z998),"N/A")</f>
        <v>N/A</v>
      </c>
      <c r="AB999" s="424"/>
      <c r="AC999" t="str" s="426" cm="1">
        <f t="array" ref="AC999">IF(B999=6,AVERAGE(Z985:Z990),"N/A")</f>
        <v>N/A</v>
      </c>
      <c r="AD999" s="424"/>
      <c r="AE999" s="423"/>
      <c r="AF999" s="423"/>
      <c r="AG999" s="423"/>
      <c r="AH999" s="423"/>
      <c r="AI999" s="423"/>
      <c r="AJ999" s="423"/>
      <c r="AK999" s="423"/>
      <c r="AL999" s="423"/>
      <c r="AM999" s="423"/>
      <c r="AN999" s="427"/>
    </row>
    <row r="1000" ht="15" customHeight="1">
      <c r="A1000" s="12"/>
      <c r="B1000" s="428" cm="1">
        <f t="array" ref="B1000">IF(B999=0,0,IF(B999&lt;VLOOKUP(C982,'Boats Data Sheet 2026'!$C$3:$H$57,6,0),B999+1,0))</f>
        <v>0</v>
      </c>
      <c r="C1000" t="str" s="431" cm="1">
        <f t="array" ref="C1000">IF(B1000&gt;0,IF(VLOOKUP(C982,'Boats Data Sheet 2026'!$C$3:$J$57,8,0)="N/A",0,VLOOKUP(C982,'Boats Data Sheet 2026'!$C$3:$J$57,8,0)),"N/A")</f>
        <v>N/A</v>
      </c>
      <c r="D1000" t="str" s="431" cm="1">
        <f t="array" ref="D1000">IF(B1000&gt;7,2,IF(B1000=0,"N/A",1))</f>
        <v>N/A</v>
      </c>
      <c r="E1000" t="str" s="431" cm="1">
        <f t="array" ref="E1000">_xlfn.IFERROR(SUM('Direct Costs 2026'!$C$4:$C$5)*D1000,"N/A")</f>
        <v>N/A</v>
      </c>
      <c r="F1000" s="423" cm="1">
        <f t="array" ref="F1000">_xlfn.IFERROR('Direct Costs 2026'!$C$43*B1000,"N/A")</f>
        <v>0</v>
      </c>
      <c r="G1000" t="str" s="431" cm="1">
        <f t="array" ref="G1000">IF(B1000&gt;0,'Direct Costs 2026'!$C$25,"N/A")</f>
        <v>N/A</v>
      </c>
      <c r="H1000" t="str" s="431" cm="1">
        <f t="array" ref="H1000">IF(B1000&gt;0,'Direct Costs 2026'!$C$15+'Direct Costs 2026'!$C$14,"N/A")</f>
        <v>N/A</v>
      </c>
      <c r="I1000" s="423">
        <v>0</v>
      </c>
      <c r="J1000" s="423">
        <v>0</v>
      </c>
      <c r="K1000" t="str" s="431" cm="1">
        <f t="array" ref="K1000">IF(B1000&gt;0,'Direct Costs 2026'!$C$26,"N/A")</f>
        <v>N/A</v>
      </c>
      <c r="L1000" t="str" s="431" cm="1">
        <f t="array" ref="L1000">IF(B1000&gt;0,'Direct Costs 2026'!$C$23,"N/A")</f>
        <v>N/A</v>
      </c>
      <c r="M1000" t="str" s="431" cm="1">
        <f t="array" ref="M1000">IF(B1000&gt;0,'Direct Costs 2026'!$C$45*B1000,"N/A")</f>
        <v>N/A</v>
      </c>
      <c r="N1000" t="str" s="431" cm="1">
        <f t="array" ref="N1000">IF(B1000&gt;0,_xlfn.IFERROR(VLOOKUP(C982,'Boats Data Sheet 2026'!$C$3:$I$57,7,0)*'Direct Costs 2026'!$C$36,"N/A"),"N/A")</f>
        <v>N/A</v>
      </c>
      <c r="O1000" t="str" s="431" cm="1">
        <f t="array" ref="O1000">IF(B1000&gt;0,IF(OR(VLOOKUP(C982,'Boats Data Sheet 2026'!$C$3:$F$57,4,0)="Own",VLOOKUP(C982,'Boats Data Sheet 2026'!$C$3:$F$57,4,0)="Management"),('Direct Costs 2026'!$C$37+'Direct Costs 2026'!$C$39),"N/A"),"N/A")</f>
        <v>N/A</v>
      </c>
      <c r="P1000" t="str" s="431" cm="1">
        <f t="array" ref="P1000">_xlfn.IFERROR('Direct Costs 2026'!$C$27*C1000,"N/A")</f>
        <v>N/A</v>
      </c>
      <c r="Q1000" t="str" s="431" cm="1">
        <f t="array" ref="Q1000">_xlfn.IFERROR(C1000+SUM(E1000:P1000),"N/A")</f>
        <v>N/A</v>
      </c>
      <c r="R1000" s="424"/>
      <c r="S1000" t="str" s="431" cm="1">
        <f t="array" ref="S1000">IF(B1000&gt;0,'Allocation OH and Target 2026'!$E$31,"N/A")</f>
        <v>N/A</v>
      </c>
      <c r="T1000" t="str" s="431" cm="1">
        <f t="array" ref="T1000">IF(B1000&gt;0,VLOOKUP(C982,'Allocation OH and Target 2026'!$C$35:$S$87,16,0),"N/A")</f>
        <v>N/A</v>
      </c>
      <c r="U1000" t="str" s="431" cm="1">
        <f t="array" ref="U1000">_xlfn.IFERROR((S1000+T1000),"N/A")</f>
        <v>N/A</v>
      </c>
      <c r="V1000" s="424"/>
      <c r="W1000" t="str" s="431" cm="1">
        <f t="array" ref="W1000">_xlfn.IFERROR(U1000+Q1000,"N/A")</f>
        <v>N/A</v>
      </c>
      <c r="X1000" t="str" s="431" cm="1">
        <f t="array" ref="X1000">_xlfn.IFERROR(W1000*0.5%,"N/A")</f>
        <v>N/A</v>
      </c>
      <c r="Y1000" t="str" s="431" cm="1">
        <f t="array" ref="Y1000">_xlfn.IFERROR(W1000*25%,"N/A")</f>
        <v>N/A</v>
      </c>
      <c r="Z1000" t="str" s="426" cm="1">
        <f t="array" ref="Z1000">IF(B1000&gt;0,SUM(W1000:Y1000),"N/A")</f>
        <v>N/A</v>
      </c>
      <c r="AA1000" t="str" s="426" cm="1">
        <f t="array" ref="AA1000">_xlfn.IFERROR((Z1000-Z999),"N/A")</f>
        <v>N/A</v>
      </c>
      <c r="AB1000" s="424"/>
      <c r="AC1000" t="str" s="426" cm="1">
        <f t="array" ref="AC1000">IF(B1000=6,AVERAGE(Z985:Z990),"N/A")</f>
        <v>N/A</v>
      </c>
      <c r="AD1000" s="424"/>
      <c r="AE1000" s="423"/>
      <c r="AF1000" s="423"/>
      <c r="AG1000" s="423"/>
      <c r="AH1000" s="423"/>
      <c r="AI1000" s="423"/>
      <c r="AJ1000" s="423"/>
      <c r="AK1000" s="423"/>
      <c r="AL1000" s="423"/>
      <c r="AM1000" s="423"/>
      <c r="AN1000" s="427"/>
    </row>
    <row r="1001" ht="15" customHeight="1">
      <c r="A1001" s="12"/>
      <c r="B1001" s="428" cm="1">
        <f t="array" ref="B1001">IF(B1000=0,0,IF(B1000&lt;VLOOKUP(C982,'Boats Data Sheet 2026'!$C$3:$H$57,6,0),B1000+1,0))</f>
        <v>0</v>
      </c>
      <c r="C1001" t="str" s="431" cm="1">
        <f t="array" ref="C1001">IF(B1001&gt;0,IF(VLOOKUP(C982,'Boats Data Sheet 2026'!$C$3:$J$57,8,0)="N/A",0,VLOOKUP(C982,'Boats Data Sheet 2026'!$C$3:$J$57,8,0)),"N/A")</f>
        <v>N/A</v>
      </c>
      <c r="D1001" t="str" s="431" cm="1">
        <f t="array" ref="D1001">IF(B1001&gt;7,2,IF(B1001=0,"N/A",1))</f>
        <v>N/A</v>
      </c>
      <c r="E1001" t="str" s="431" cm="1">
        <f t="array" ref="E1001">_xlfn.IFERROR(SUM('Direct Costs 2026'!$C$4:$C$5)*D1001,"N/A")</f>
        <v>N/A</v>
      </c>
      <c r="F1001" s="423" cm="1">
        <f t="array" ref="F1001">_xlfn.IFERROR('Direct Costs 2026'!$C$43*B1001,"N/A")</f>
        <v>0</v>
      </c>
      <c r="G1001" t="str" s="431" cm="1">
        <f t="array" ref="G1001">IF(B1001&gt;0,'Direct Costs 2026'!$C$25,"N/A")</f>
        <v>N/A</v>
      </c>
      <c r="H1001" t="str" s="431" cm="1">
        <f t="array" ref="H1001">IF(B1001&gt;0,'Direct Costs 2026'!$C$15+'Direct Costs 2026'!$C$14,"N/A")</f>
        <v>N/A</v>
      </c>
      <c r="I1001" s="423">
        <v>0</v>
      </c>
      <c r="J1001" s="423">
        <v>0</v>
      </c>
      <c r="K1001" t="str" s="431" cm="1">
        <f t="array" ref="K1001">IF(B1001&gt;0,'Direct Costs 2026'!$C$26,"N/A")</f>
        <v>N/A</v>
      </c>
      <c r="L1001" t="str" s="431" cm="1">
        <f t="array" ref="L1001">IF(B1001&gt;0,'Direct Costs 2026'!$C$23,"N/A")</f>
        <v>N/A</v>
      </c>
      <c r="M1001" t="str" s="431" cm="1">
        <f t="array" ref="M1001">IF(B1001&gt;0,'Direct Costs 2026'!$C$45*B1001,"N/A")</f>
        <v>N/A</v>
      </c>
      <c r="N1001" t="str" s="431" cm="1">
        <f t="array" ref="N1001">IF(B1001&gt;0,_xlfn.IFERROR(VLOOKUP(C982,'Boats Data Sheet 2026'!$C$3:$I$57,7,0)*'Direct Costs 2026'!$C$36,"N/A"),"N/A")</f>
        <v>N/A</v>
      </c>
      <c r="O1001" t="str" s="431" cm="1">
        <f t="array" ref="O1001">IF(B1001&gt;0,IF(OR(VLOOKUP(C982,'Boats Data Sheet 2026'!$C$3:$F$57,4,0)="Own",VLOOKUP(C982,'Boats Data Sheet 2026'!$C$3:$F$57,4,0)="Management"),('Direct Costs 2026'!$C$37+'Direct Costs 2026'!$C$39),"N/A"),"N/A")</f>
        <v>N/A</v>
      </c>
      <c r="P1001" t="str" s="431" cm="1">
        <f t="array" ref="P1001">_xlfn.IFERROR('Direct Costs 2026'!$C$27*C1001,"N/A")</f>
        <v>N/A</v>
      </c>
      <c r="Q1001" t="str" s="431" cm="1">
        <f t="array" ref="Q1001">_xlfn.IFERROR(C1001+SUM(E1001:P1001),"N/A")</f>
        <v>N/A</v>
      </c>
      <c r="R1001" s="424"/>
      <c r="S1001" t="str" s="431" cm="1">
        <f t="array" ref="S1001">IF(B1001&gt;0,'Allocation OH and Target 2026'!$E$31,"N/A")</f>
        <v>N/A</v>
      </c>
      <c r="T1001" t="str" s="431" cm="1">
        <f t="array" ref="T1001">IF(B1001&gt;0,VLOOKUP(C982,'Allocation OH and Target 2026'!$C$35:$S$87,16,0),"N/A")</f>
        <v>N/A</v>
      </c>
      <c r="U1001" t="str" s="431" cm="1">
        <f t="array" ref="U1001">_xlfn.IFERROR((S1001+T1001),"N/A")</f>
        <v>N/A</v>
      </c>
      <c r="V1001" s="424"/>
      <c r="W1001" t="str" s="431" cm="1">
        <f t="array" ref="W1001">_xlfn.IFERROR(U1001+Q1001,"N/A")</f>
        <v>N/A</v>
      </c>
      <c r="X1001" t="str" s="431" cm="1">
        <f t="array" ref="X1001">_xlfn.IFERROR(W1001*0.5%,"N/A")</f>
        <v>N/A</v>
      </c>
      <c r="Y1001" t="str" s="431" cm="1">
        <f t="array" ref="Y1001">_xlfn.IFERROR(W1001*25%,"N/A")</f>
        <v>N/A</v>
      </c>
      <c r="Z1001" t="str" s="426" cm="1">
        <f t="array" ref="Z1001">IF(B1001&gt;0,SUM(W1001:Y1001),"N/A")</f>
        <v>N/A</v>
      </c>
      <c r="AA1001" t="str" s="426" cm="1">
        <f t="array" ref="AA1001">_xlfn.IFERROR((Z1001-Z1000),"N/A")</f>
        <v>N/A</v>
      </c>
      <c r="AB1001" s="424"/>
      <c r="AC1001" t="str" s="426" cm="1">
        <f t="array" ref="AC1001">IF(B1001=6,AVERAGE(Z985:Z990),"N/A")</f>
        <v>N/A</v>
      </c>
      <c r="AD1001" s="424"/>
      <c r="AE1001" s="423"/>
      <c r="AF1001" s="423"/>
      <c r="AG1001" s="423"/>
      <c r="AH1001" s="423"/>
      <c r="AI1001" s="423"/>
      <c r="AJ1001" s="423"/>
      <c r="AK1001" s="423"/>
      <c r="AL1001" s="423"/>
      <c r="AM1001" s="423"/>
      <c r="AN1001" s="427"/>
    </row>
    <row r="1002" ht="15.5" customHeight="1">
      <c r="A1002" s="12"/>
      <c r="B1002" s="432" cm="1">
        <f t="array" ref="B1002">IF(B1001=0,0,IF(B1001&lt;VLOOKUP(C982,'Boats Data Sheet 2026'!$C$3:$H$57,6,0),B1001+1,0))</f>
        <v>0</v>
      </c>
      <c r="C1002" t="str" s="433" cm="1">
        <f t="array" ref="C1002">IF(B1002&gt;0,IF(VLOOKUP(C982,'Boats Data Sheet 2026'!$C$3:$J$57,8,0)="N/A",0,VLOOKUP(C982,'Boats Data Sheet 2026'!$C$3:$J$57,8,0)),"N/A")</f>
        <v>N/A</v>
      </c>
      <c r="D1002" t="str" s="433" cm="1">
        <f t="array" ref="D1002">IF(B1002&gt;7,2,IF(B1002=0,"N/A",1))</f>
        <v>N/A</v>
      </c>
      <c r="E1002" t="str" s="433" cm="1">
        <f t="array" ref="E1002">_xlfn.IFERROR(SUM('Direct Costs 2026'!$C$4:$C$5)*D1002,"N/A")</f>
        <v>N/A</v>
      </c>
      <c r="F1002" s="434" cm="1">
        <f t="array" ref="F1002">_xlfn.IFERROR('Direct Costs 2026'!$C$43*B1002,"N/A")</f>
        <v>0</v>
      </c>
      <c r="G1002" t="str" s="433" cm="1">
        <f t="array" ref="G1002">IF(B1002&gt;0,'Direct Costs 2026'!$C$25,"N/A")</f>
        <v>N/A</v>
      </c>
      <c r="H1002" t="str" s="433" cm="1">
        <f t="array" ref="H1002">IF(B1002&gt;0,'Direct Costs 2026'!$C$15+'Direct Costs 2026'!$C$14,"N/A")</f>
        <v>N/A</v>
      </c>
      <c r="I1002" s="434">
        <v>0</v>
      </c>
      <c r="J1002" s="434">
        <v>0</v>
      </c>
      <c r="K1002" t="str" s="433" cm="1">
        <f t="array" ref="K1002">IF(B1002&gt;0,'Direct Costs 2026'!$C$26,"N/A")</f>
        <v>N/A</v>
      </c>
      <c r="L1002" t="str" s="433" cm="1">
        <f t="array" ref="L1002">IF(B1002&gt;0,'Direct Costs 2026'!$C$23,"N/A")</f>
        <v>N/A</v>
      </c>
      <c r="M1002" t="str" s="433" cm="1">
        <f t="array" ref="M1002">IF(B1002&gt;0,'Direct Costs 2026'!$C$45*B1002,"N/A")</f>
        <v>N/A</v>
      </c>
      <c r="N1002" t="str" s="433" cm="1">
        <f t="array" ref="N1002">IF(B1002&gt;0,_xlfn.IFERROR(VLOOKUP(C982,'Boats Data Sheet 2026'!$C$3:$I$57,7,0)*'Direct Costs 2026'!$C$36,"N/A"),"N/A")</f>
        <v>N/A</v>
      </c>
      <c r="O1002" t="str" s="433" cm="1">
        <f t="array" ref="O1002">IF(B1002&gt;0,IF(OR(VLOOKUP(C982,'Boats Data Sheet 2026'!$C$3:$F$57,4,0)="Own",VLOOKUP(C982,'Boats Data Sheet 2026'!$C$3:$F$57,4,0)="Management"),('Direct Costs 2026'!$C$37+'Direct Costs 2026'!$C$39),"N/A"),"N/A")</f>
        <v>N/A</v>
      </c>
      <c r="P1002" t="str" s="433" cm="1">
        <f t="array" ref="P1002">_xlfn.IFERROR('Direct Costs 2026'!$C$27*C1002,"N/A")</f>
        <v>N/A</v>
      </c>
      <c r="Q1002" t="str" s="433" cm="1">
        <f t="array" ref="Q1002">_xlfn.IFERROR(C1002+SUM(E1002:P1002),"N/A")</f>
        <v>N/A</v>
      </c>
      <c r="R1002" s="435"/>
      <c r="S1002" t="str" s="433" cm="1">
        <f t="array" ref="S1002">IF(B1002&gt;0,'Allocation OH and Target 2026'!$E$31,"N/A")</f>
        <v>N/A</v>
      </c>
      <c r="T1002" t="str" s="433" cm="1">
        <f t="array" ref="T1002">IF(B1002&gt;0,VLOOKUP(C982,'Allocation OH and Target 2026'!$C$35:$S$87,16,0),"N/A")</f>
        <v>N/A</v>
      </c>
      <c r="U1002" t="str" s="433" cm="1">
        <f t="array" ref="U1002">_xlfn.IFERROR((S1002+T1002),"N/A")</f>
        <v>N/A</v>
      </c>
      <c r="V1002" s="435"/>
      <c r="W1002" t="str" s="433" cm="1">
        <f t="array" ref="W1002">_xlfn.IFERROR(U1002+Q1002,"N/A")</f>
        <v>N/A</v>
      </c>
      <c r="X1002" t="str" s="433" cm="1">
        <f t="array" ref="X1002">_xlfn.IFERROR(W1002*0.5%,"N/A")</f>
        <v>N/A</v>
      </c>
      <c r="Y1002" t="str" s="433" cm="1">
        <f t="array" ref="Y1002">_xlfn.IFERROR(W1002*25%,"N/A")</f>
        <v>N/A</v>
      </c>
      <c r="Z1002" t="str" s="436" cm="1">
        <f t="array" ref="Z1002">IF(B1002&gt;0,SUM(W1002:Y1002),"N/A")</f>
        <v>N/A</v>
      </c>
      <c r="AA1002" t="str" s="436" cm="1">
        <f t="array" ref="AA1002">_xlfn.IFERROR((Z1002-Z1001),"N/A")</f>
        <v>N/A</v>
      </c>
      <c r="AB1002" s="435"/>
      <c r="AC1002" t="str" s="436" cm="1">
        <f t="array" ref="AC1002">IF(B1002=6,AVERAGE(Z985:Z990),"N/A")</f>
        <v>N/A</v>
      </c>
      <c r="AD1002" s="435"/>
      <c r="AE1002" s="434"/>
      <c r="AF1002" s="434"/>
      <c r="AG1002" s="434"/>
      <c r="AH1002" s="434"/>
      <c r="AI1002" s="434"/>
      <c r="AJ1002" s="434"/>
      <c r="AK1002" s="434"/>
      <c r="AL1002" s="434"/>
      <c r="AM1002" s="434"/>
      <c r="AN1002" s="437"/>
    </row>
    <row r="1003" ht="15" customHeight="1">
      <c r="A1003" s="32"/>
      <c r="B1003" s="124"/>
      <c r="C1003" s="124"/>
      <c r="D1003" s="124"/>
      <c r="E1003" s="124"/>
      <c r="F1003" s="124"/>
      <c r="G1003" s="124"/>
      <c r="H1003" s="124"/>
      <c r="I1003" s="124"/>
      <c r="J1003" s="124"/>
      <c r="K1003" s="124"/>
      <c r="L1003" s="124"/>
      <c r="M1003" s="124"/>
      <c r="N1003" s="124"/>
      <c r="O1003" s="124"/>
      <c r="P1003" s="124"/>
      <c r="Q1003" s="124"/>
      <c r="R1003" s="124"/>
      <c r="S1003" s="124"/>
      <c r="T1003" s="124"/>
      <c r="U1003" s="124"/>
      <c r="V1003" s="124"/>
      <c r="W1003" s="124"/>
      <c r="X1003" s="124"/>
      <c r="Y1003" s="124"/>
      <c r="Z1003" s="124"/>
      <c r="AA1003" s="124"/>
      <c r="AB1003" s="124"/>
      <c r="AC1003" s="124"/>
      <c r="AD1003" s="124"/>
      <c r="AE1003" s="124"/>
      <c r="AF1003" s="124"/>
      <c r="AG1003" s="124"/>
      <c r="AH1003" s="124"/>
      <c r="AI1003" s="124"/>
      <c r="AJ1003" s="124"/>
      <c r="AK1003" s="124"/>
      <c r="AL1003" s="124"/>
      <c r="AM1003" s="124"/>
      <c r="AN1003" s="313"/>
    </row>
    <row r="1004" ht="15" customHeight="1">
      <c r="A1004" s="32"/>
      <c r="B1004" s="35"/>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5"/>
      <c r="AA1004" s="35"/>
      <c r="AB1004" s="35"/>
      <c r="AC1004" s="35"/>
      <c r="AD1004" s="35"/>
      <c r="AE1004" s="35"/>
      <c r="AF1004" s="35"/>
      <c r="AG1004" s="35"/>
      <c r="AH1004" s="35"/>
      <c r="AI1004" s="35"/>
      <c r="AJ1004" s="35"/>
      <c r="AK1004" s="35"/>
      <c r="AL1004" s="35"/>
      <c r="AM1004" s="35"/>
      <c r="AN1004" s="442"/>
    </row>
    <row r="1005" ht="15.5" customHeight="1">
      <c r="A1005" s="395">
        <v>34</v>
      </c>
      <c r="B1005" t="s" s="396">
        <v>506</v>
      </c>
      <c r="C1005" t="s" s="397">
        <v>50</v>
      </c>
      <c r="D1005" s="398"/>
      <c r="E1005" s="398"/>
      <c r="F1005" s="398"/>
      <c r="G1005" s="398"/>
      <c r="H1005" s="398"/>
      <c r="I1005" s="398"/>
      <c r="J1005" s="398"/>
      <c r="K1005" s="398"/>
      <c r="L1005" s="398"/>
      <c r="M1005" s="398"/>
      <c r="N1005" s="398"/>
      <c r="O1005" s="398"/>
      <c r="P1005" s="398"/>
      <c r="Q1005" s="398"/>
      <c r="R1005" s="399"/>
      <c r="S1005" s="398"/>
      <c r="T1005" s="398"/>
      <c r="U1005" s="398"/>
      <c r="V1005" s="399"/>
      <c r="W1005" s="398"/>
      <c r="X1005" s="398"/>
      <c r="Y1005" s="398"/>
      <c r="Z1005" s="398"/>
      <c r="AA1005" s="398"/>
      <c r="AB1005" s="399"/>
      <c r="AC1005" s="398"/>
      <c r="AD1005" s="399"/>
      <c r="AE1005" t="s" s="400">
        <v>508</v>
      </c>
      <c r="AF1005" s="401" cm="1">
        <f t="array" ref="AF1005">AVERAGE(Q1008:Q1013)</f>
        <v>6984733.33333333</v>
      </c>
      <c r="AG1005" t="s" s="400">
        <v>509</v>
      </c>
      <c r="AH1005" s="401" cm="1">
        <f t="array" ref="AH1005">AVERAGE(Q1014:Q1021)-AF1005</f>
        <v>1991928.57142857</v>
      </c>
      <c r="AI1005" t="s" s="400">
        <v>510</v>
      </c>
      <c r="AJ1005" s="401" cm="1">
        <f t="array" ref="AJ1005">AVERAGE(Y1008:Y1015)</f>
        <v>2858956.2347949</v>
      </c>
      <c r="AK1005" t="s" s="397">
        <v>511</v>
      </c>
      <c r="AL1005" s="401" cm="1">
        <f t="array" ref="AL1005">AVERAGE(W1008:W1013)</f>
        <v>11135387.4391796</v>
      </c>
      <c r="AM1005" t="s" s="400">
        <v>512</v>
      </c>
      <c r="AN1005" s="402" cm="1">
        <f t="array" ref="AN1005">W1008</f>
        <v>10657887.4391796</v>
      </c>
    </row>
    <row r="1006" ht="15" customHeight="1">
      <c r="A1006" s="12"/>
      <c r="B1006" s="403"/>
      <c r="C1006" t="s" s="404">
        <v>513</v>
      </c>
      <c r="D1006" s="405"/>
      <c r="E1006" s="405"/>
      <c r="F1006" s="405"/>
      <c r="G1006" s="405"/>
      <c r="H1006" s="405"/>
      <c r="I1006" s="405"/>
      <c r="J1006" s="405"/>
      <c r="K1006" s="405"/>
      <c r="L1006" s="405"/>
      <c r="M1006" s="405"/>
      <c r="N1006" s="405"/>
      <c r="O1006" s="405"/>
      <c r="P1006" s="405"/>
      <c r="Q1006" s="406"/>
      <c r="R1006" s="407"/>
      <c r="S1006" t="s" s="404">
        <v>514</v>
      </c>
      <c r="T1006" s="405"/>
      <c r="U1006" s="406"/>
      <c r="V1006" s="407"/>
      <c r="W1006" t="s" s="404">
        <v>515</v>
      </c>
      <c r="X1006" s="405"/>
      <c r="Y1006" s="405"/>
      <c r="Z1006" s="405"/>
      <c r="AA1006" s="405"/>
      <c r="AB1006" s="408"/>
      <c r="AC1006" t="s" s="409">
        <v>516</v>
      </c>
      <c r="AD1006" s="410"/>
      <c r="AE1006" s="411"/>
      <c r="AF1006" s="412"/>
      <c r="AG1006" s="412"/>
      <c r="AH1006" s="412"/>
      <c r="AI1006" s="412"/>
      <c r="AJ1006" s="412"/>
      <c r="AK1006" s="413"/>
      <c r="AL1006" s="414"/>
      <c r="AM1006" s="415"/>
      <c r="AN1006" s="414"/>
    </row>
    <row r="1007" ht="46.25" customHeight="1">
      <c r="A1007" s="187"/>
      <c r="B1007" t="s" s="416">
        <v>517</v>
      </c>
      <c r="C1007" t="s" s="417">
        <v>518</v>
      </c>
      <c r="D1007" t="s" s="417">
        <v>519</v>
      </c>
      <c r="E1007" t="s" s="417">
        <v>520</v>
      </c>
      <c r="F1007" t="s" s="159">
        <v>521</v>
      </c>
      <c r="G1007" t="s" s="159">
        <v>522</v>
      </c>
      <c r="H1007" t="s" s="159">
        <v>523</v>
      </c>
      <c r="I1007" t="s" s="159">
        <v>524</v>
      </c>
      <c r="J1007" t="s" s="159">
        <v>525</v>
      </c>
      <c r="K1007" t="s" s="159">
        <v>526</v>
      </c>
      <c r="L1007" t="s" s="159">
        <v>527</v>
      </c>
      <c r="M1007" t="s" s="159">
        <v>528</v>
      </c>
      <c r="N1007" t="s" s="159">
        <v>529</v>
      </c>
      <c r="O1007" t="s" s="159">
        <v>530</v>
      </c>
      <c r="P1007" t="s" s="159">
        <v>531</v>
      </c>
      <c r="Q1007" t="s" s="159">
        <v>532</v>
      </c>
      <c r="R1007" s="418"/>
      <c r="S1007" t="s" s="159">
        <v>533</v>
      </c>
      <c r="T1007" t="s" s="159">
        <v>534</v>
      </c>
      <c r="U1007" t="s" s="159">
        <v>535</v>
      </c>
      <c r="V1007" s="418"/>
      <c r="W1007" t="s" s="159">
        <v>536</v>
      </c>
      <c r="X1007" t="s" s="159">
        <v>537</v>
      </c>
      <c r="Y1007" t="s" s="159">
        <v>538</v>
      </c>
      <c r="Z1007" t="s" s="159">
        <v>539</v>
      </c>
      <c r="AA1007" t="s" s="159">
        <v>121</v>
      </c>
      <c r="AB1007" s="419"/>
      <c r="AC1007" t="s" s="159">
        <v>39</v>
      </c>
      <c r="AD1007" s="419"/>
      <c r="AE1007" t="s" s="159">
        <v>562</v>
      </c>
      <c r="AF1007" t="s" s="159">
        <v>544</v>
      </c>
      <c r="AG1007" s="77"/>
      <c r="AH1007" s="77"/>
      <c r="AI1007" s="77"/>
      <c r="AJ1007" s="77"/>
      <c r="AK1007" s="77"/>
      <c r="AL1007" s="77"/>
      <c r="AM1007" s="77"/>
      <c r="AN1007" s="78"/>
    </row>
    <row r="1008" ht="15" customHeight="1">
      <c r="A1008" s="12"/>
      <c r="B1008" s="420">
        <v>1</v>
      </c>
      <c r="C1008" s="421" cm="1">
        <f t="array" ref="C1008">IF(B1008&gt;0,IF(VLOOKUP(C1005,'Boats Data Sheet 2026'!$C$3:$J$57,8,0)="N/A",0,VLOOKUP(C1005,'Boats Data Sheet 2026'!$C$3:$J$57,8,0)),"N/A")</f>
        <v>0</v>
      </c>
      <c r="D1008" s="422" cm="1">
        <f t="array" ref="D1008">IF(B1008&gt;7,2,IF(B1008=0,"N/A",1))</f>
        <v>1</v>
      </c>
      <c r="E1008" s="421" cm="1">
        <f t="array" ref="E1008">_xlfn.IFERROR(SUM('Direct Costs 2026'!$C$4:$C$5)*D1008,"N/A")</f>
        <v>875500</v>
      </c>
      <c r="F1008" s="423" cm="1">
        <f t="array" ref="F1008">_xlfn.IFERROR('Direct Costs 2026'!$C$43*B1008,"N/A")</f>
        <v>6000</v>
      </c>
      <c r="G1008" s="423" cm="1">
        <f t="array" ref="G1008">IF(B1008&gt;0,'Direct Costs 2026'!$C$25,"N/A")</f>
        <v>90000</v>
      </c>
      <c r="H1008" s="423" cm="1">
        <f t="array" ref="H1008">IF(B1008&gt;0,('Direct Costs 2026'!$C$15+'Direct Costs 2026'!$C$17+'Direct Costs 2026'!$C$14),"N/A")</f>
        <v>580000</v>
      </c>
      <c r="I1008" s="423" cm="1">
        <f t="array" ref="I1008">IF(B1008&gt;0,'Direct Costs 2026'!$C$19+'Direct Costs 2026'!$C$18*B1008,"N/A")</f>
        <v>110000</v>
      </c>
      <c r="J1008" s="423" cm="1">
        <f t="array" ref="J1008">IF(B1008&gt;0,SUM('Direct Costs 2026'!$C$20:$C$21),"N/A")</f>
        <v>98333.3333333333</v>
      </c>
      <c r="K1008" s="423" cm="1">
        <f t="array" ref="K1008">IF(B1008&gt;0,'Direct Costs 2026'!$C$26,"N/A")</f>
        <v>20000</v>
      </c>
      <c r="L1008" s="423" cm="1">
        <f t="array" ref="L1008">IF(B1008&gt;0,'Direct Costs 2026'!$C$23,"N/A")</f>
        <v>140000</v>
      </c>
      <c r="M1008" s="423" cm="1">
        <f t="array" ref="M1008">IF(B1008&gt;0,'Direct Costs 2026'!$C$45*B1008,"N/A")</f>
        <v>150000</v>
      </c>
      <c r="N1008" s="423" cm="1">
        <f t="array" ref="N1008">IF(B1008&gt;0,_xlfn.IFERROR(VLOOKUP(C1005,'Boats Data Sheet 2026'!$C$3:$I$57,7,0)*'Direct Costs 2026'!$C$36,"N/A"),"N/A")</f>
        <v>3325000</v>
      </c>
      <c r="O1008" s="423" cm="1">
        <f t="array" ref="O1008">IF(B1008&gt;0,IF(OR(VLOOKUP(C1005,'Boats Data Sheet 2026'!$C$3:$F$57,4,0)="Own",VLOOKUP(C1005,'Boats Data Sheet 2026'!$C$3:$F$57,4,0)="Management"),('Direct Costs 2026'!$C$37+'Direct Costs 2026'!$C$39),"N/A"),"N/A")</f>
        <v>1112400</v>
      </c>
      <c r="P1008" s="423" cm="1">
        <f t="array" ref="P1008">_xlfn.IFERROR('Direct Costs 2026'!$C$27*C1008,"N/A")</f>
        <v>0</v>
      </c>
      <c r="Q1008" s="423" cm="1">
        <f t="array" ref="Q1008">_xlfn.IFERROR(C1008+SUM(E1008:P1008),"N/A")</f>
        <v>6507233.33333333</v>
      </c>
      <c r="R1008" s="424"/>
      <c r="S1008" s="423" cm="1">
        <f t="array" ref="S1008">IF(B1008&gt;0,'Allocation OH and Target 2026'!$E$31,"N/A")</f>
        <v>3100447.15769812</v>
      </c>
      <c r="T1008" s="423" cm="1">
        <f t="array" ref="T1008">IF(B1008&gt;0,VLOOKUP(C1005,'Allocation OH and Target 2026'!$C$35:$S$87,17,0),"N/A")</f>
        <v>1050206.94814815</v>
      </c>
      <c r="U1008" s="423" cm="1">
        <f t="array" ref="U1008">_xlfn.IFERROR((S1008+T1008),"N/A")</f>
        <v>4150654.10584627</v>
      </c>
      <c r="V1008" s="424"/>
      <c r="W1008" s="423" cm="1">
        <f t="array" ref="W1008">_xlfn.IFERROR(U1008+Q1008,"N/A")</f>
        <v>10657887.4391796</v>
      </c>
      <c r="X1008" s="423" cm="1">
        <f t="array" ref="X1008">_xlfn.IFERROR(W1008*0.5%,"N/A")</f>
        <v>53289.437195898</v>
      </c>
      <c r="Y1008" s="423" cm="1">
        <f t="array" ref="Y1008">_xlfn.IFERROR(W1008*25%,"N/A")</f>
        <v>2664471.8597949</v>
      </c>
      <c r="Z1008" s="425" cm="1">
        <f t="array" ref="Z1008">IF(B1008&gt;0,SUM(W1008:Y1008),"N/A")</f>
        <v>13375648.7361704</v>
      </c>
      <c r="AA1008" s="425">
        <v>0</v>
      </c>
      <c r="AB1008" s="424"/>
      <c r="AC1008" t="str" s="426" cm="1">
        <f t="array" ref="AC1008">IF(B1008=6,AVERAGE(Z1008:Z1013),"N/A")</f>
        <v>N/A</v>
      </c>
      <c r="AD1008" s="424"/>
      <c r="AE1008" t="s" s="504">
        <v>563</v>
      </c>
      <c r="AF1008" s="505" cm="1">
        <f t="array" ref="AF1008">VLOOKUP(C1005,'Allocation OH and Target 2026'!$C$35:$K$87,9,0)</f>
        <v>54</v>
      </c>
      <c r="AG1008" s="423"/>
      <c r="AH1008" s="423"/>
      <c r="AI1008" s="423"/>
      <c r="AJ1008" s="423"/>
      <c r="AK1008" s="423"/>
      <c r="AL1008" s="423"/>
      <c r="AM1008" s="423"/>
      <c r="AN1008" s="427"/>
    </row>
    <row r="1009" ht="15" customHeight="1">
      <c r="A1009" s="12"/>
      <c r="B1009" s="428" cm="1">
        <f t="array" ref="B1009">IF(B1008=0,0,IF(B1008&lt;VLOOKUP(C1005,'Boats Data Sheet 2026'!$C$3:$H$57,6,0),B1008+1,0))</f>
        <v>2</v>
      </c>
      <c r="C1009" s="423" cm="1">
        <f t="array" ref="C1009">IF(B1009&gt;0,IF(VLOOKUP(C1005,'Boats Data Sheet 2026'!$C$3:$J$57,8,0)="N/A",0,VLOOKUP(C1005,'Boats Data Sheet 2026'!$C$3:$J$57,8,0)),"N/A")</f>
        <v>0</v>
      </c>
      <c r="D1009" s="429" cm="1">
        <f t="array" ref="D1009">IF(B1009&gt;7,2,IF(B1009=0,"N/A",1))</f>
        <v>1</v>
      </c>
      <c r="E1009" s="423" cm="1">
        <f t="array" ref="E1009">_xlfn.IFERROR(SUM('Direct Costs 2026'!$C$4:$C$5)*D1009,"N/A")</f>
        <v>875500</v>
      </c>
      <c r="F1009" s="423" cm="1">
        <f t="array" ref="F1009">_xlfn.IFERROR('Direct Costs 2026'!$C$43*B1009,"N/A")</f>
        <v>12000</v>
      </c>
      <c r="G1009" s="423" cm="1">
        <f t="array" ref="G1009">IF(B1009&gt;0,'Direct Costs 2026'!$C$25,"N/A")</f>
        <v>90000</v>
      </c>
      <c r="H1009" s="423" cm="1">
        <f t="array" ref="H1009">IF(B1009&gt;0,('Direct Costs 2026'!$C$15+'Direct Costs 2026'!$C$17+'Direct Costs 2026'!$C$14),"N/A")</f>
        <v>580000</v>
      </c>
      <c r="I1009" s="423" cm="1">
        <f t="array" ref="I1009">IF(B1009&gt;0,'Direct Costs 2026'!$C$19+'Direct Costs 2026'!$C$18*B1009,"N/A")</f>
        <v>145000</v>
      </c>
      <c r="J1009" s="423" cm="1">
        <f t="array" ref="J1009">IF(B1009&gt;0,SUM('Direct Costs 2026'!$C$20:$C$21),"N/A")</f>
        <v>98333.3333333333</v>
      </c>
      <c r="K1009" s="423" cm="1">
        <f t="array" ref="K1009">IF(B1009&gt;0,'Direct Costs 2026'!$C$26,"N/A")</f>
        <v>20000</v>
      </c>
      <c r="L1009" s="423" cm="1">
        <f t="array" ref="L1009">IF(B1009&gt;0,'Direct Costs 2026'!$C$23,"N/A")</f>
        <v>140000</v>
      </c>
      <c r="M1009" s="423" cm="1">
        <f t="array" ref="M1009">IF(B1009&gt;0,'Direct Costs 2026'!$C$45*B1009,"N/A")</f>
        <v>300000</v>
      </c>
      <c r="N1009" s="423" cm="1">
        <f t="array" ref="N1009">IF(B1009&gt;0,_xlfn.IFERROR(VLOOKUP(C1005,'Boats Data Sheet 2026'!$C$3:$I$57,7,0)*'Direct Costs 2026'!$C$36,"N/A"),"N/A")</f>
        <v>3325000</v>
      </c>
      <c r="O1009" s="423" cm="1">
        <f t="array" ref="O1009">IF(B1009&gt;0,IF(OR(VLOOKUP(C1005,'Boats Data Sheet 2026'!$C$3:$F$57,4,0)="Own",VLOOKUP(C1005,'Boats Data Sheet 2026'!$C$3:$F$57,4,0)="Management"),('Direct Costs 2026'!$C$37+'Direct Costs 2026'!$C$39),"N/A"),"N/A")</f>
        <v>1112400</v>
      </c>
      <c r="P1009" s="423" cm="1">
        <f t="array" ref="P1009">_xlfn.IFERROR('Direct Costs 2026'!$C$27*C1009,"N/A")</f>
        <v>0</v>
      </c>
      <c r="Q1009" s="423" cm="1">
        <f t="array" ref="Q1009">_xlfn.IFERROR(C1009+SUM(E1009:P1009),"N/A")</f>
        <v>6698233.33333333</v>
      </c>
      <c r="R1009" s="424"/>
      <c r="S1009" s="423" cm="1">
        <f t="array" ref="S1009">IF(B1009&gt;0,'Allocation OH and Target 2026'!$E$31,"N/A")</f>
        <v>3100447.15769812</v>
      </c>
      <c r="T1009" s="423" cm="1">
        <f t="array" ref="T1009">IF(B1009&gt;0,VLOOKUP(C1005,'Allocation OH and Target 2026'!$C$35:$S$87,17,0),"N/A")</f>
        <v>1050206.94814815</v>
      </c>
      <c r="U1009" s="423" cm="1">
        <f t="array" ref="U1009">_xlfn.IFERROR((S1009+T1009),"N/A")</f>
        <v>4150654.10584627</v>
      </c>
      <c r="V1009" s="424"/>
      <c r="W1009" s="423" cm="1">
        <f t="array" ref="W1009">_xlfn.IFERROR(U1009+Q1009,"N/A")</f>
        <v>10848887.4391796</v>
      </c>
      <c r="X1009" s="423" cm="1">
        <f t="array" ref="X1009">_xlfn.IFERROR(W1009*0.5%,"N/A")</f>
        <v>54244.437195898</v>
      </c>
      <c r="Y1009" s="423" cm="1">
        <f t="array" ref="Y1009">_xlfn.IFERROR(W1009*25%,"N/A")</f>
        <v>2712221.8597949</v>
      </c>
      <c r="Z1009" s="425" cm="1">
        <f t="array" ref="Z1009">IF(B1009&gt;0,SUM(W1009:Y1009),"N/A")</f>
        <v>13615353.7361704</v>
      </c>
      <c r="AA1009" s="425" cm="1">
        <f t="array" ref="AA1009">_xlfn.IFERROR((Z1009-Z1008),"N/A")</f>
        <v>239705</v>
      </c>
      <c r="AB1009" s="424"/>
      <c r="AC1009" t="str" s="426" cm="1">
        <f t="array" ref="AC1009">IF(B1009=6,AVERAGE(Z1008:Z1013),"N/A")</f>
        <v>N/A</v>
      </c>
      <c r="AD1009" s="424"/>
      <c r="AE1009" t="s" s="506">
        <v>546</v>
      </c>
      <c r="AF1009" s="423"/>
      <c r="AG1009" s="423"/>
      <c r="AH1009" s="423"/>
      <c r="AI1009" s="423"/>
      <c r="AJ1009" s="423"/>
      <c r="AK1009" s="423"/>
      <c r="AL1009" s="423"/>
      <c r="AM1009" s="423"/>
      <c r="AN1009" s="427"/>
    </row>
    <row r="1010" ht="15" customHeight="1">
      <c r="A1010" s="12"/>
      <c r="B1010" s="428" cm="1">
        <f t="array" ref="B1010">IF(B1009=0,0,IF(B1009&lt;VLOOKUP(C1005,'Boats Data Sheet 2026'!$C$3:$H$57,6,0),B1009+1,0))</f>
        <v>3</v>
      </c>
      <c r="C1010" s="423" cm="1">
        <f t="array" ref="C1010">IF(B1010&gt;0,IF(VLOOKUP(C1005,'Boats Data Sheet 2026'!$C$3:$J$57,8,0)="N/A",0,VLOOKUP(C1005,'Boats Data Sheet 2026'!$C$3:$J$57,8,0)),"N/A")</f>
        <v>0</v>
      </c>
      <c r="D1010" s="429" cm="1">
        <f t="array" ref="D1010">IF(B1010&gt;7,2,IF(B1010=0,"N/A",1))</f>
        <v>1</v>
      </c>
      <c r="E1010" s="423" cm="1">
        <f t="array" ref="E1010">_xlfn.IFERROR(SUM('Direct Costs 2026'!$C$4:$C$5)*D1010,"N/A")</f>
        <v>875500</v>
      </c>
      <c r="F1010" s="423" cm="1">
        <f t="array" ref="F1010">_xlfn.IFERROR('Direct Costs 2026'!$C$43*B1010,"N/A")</f>
        <v>18000</v>
      </c>
      <c r="G1010" s="423" cm="1">
        <f t="array" ref="G1010">IF(B1010&gt;0,'Direct Costs 2026'!$C$25,"N/A")</f>
        <v>90000</v>
      </c>
      <c r="H1010" s="423" cm="1">
        <f t="array" ref="H1010">IF(B1010&gt;0,('Direct Costs 2026'!$C$15+'Direct Costs 2026'!$C$17+'Direct Costs 2026'!$C$14),"N/A")</f>
        <v>580000</v>
      </c>
      <c r="I1010" s="423" cm="1">
        <f t="array" ref="I1010">IF(B1010&gt;0,'Direct Costs 2026'!$C$19+'Direct Costs 2026'!$C$18*B1010,"N/A")</f>
        <v>180000</v>
      </c>
      <c r="J1010" s="423" cm="1">
        <f t="array" ref="J1010">IF(B1010&gt;0,SUM('Direct Costs 2026'!$C$20:$C$21),"N/A")</f>
        <v>98333.3333333333</v>
      </c>
      <c r="K1010" s="423" cm="1">
        <f t="array" ref="K1010">IF(B1010&gt;0,'Direct Costs 2026'!$C$26,"N/A")</f>
        <v>20000</v>
      </c>
      <c r="L1010" s="423" cm="1">
        <f t="array" ref="L1010">IF(B1010&gt;0,'Direct Costs 2026'!$C$23,"N/A")</f>
        <v>140000</v>
      </c>
      <c r="M1010" s="423" cm="1">
        <f t="array" ref="M1010">IF(B1010&gt;0,'Direct Costs 2026'!$C$45*B1010,"N/A")</f>
        <v>450000</v>
      </c>
      <c r="N1010" s="423" cm="1">
        <f t="array" ref="N1010">IF(B1010&gt;0,_xlfn.IFERROR(VLOOKUP(C1005,'Boats Data Sheet 2026'!$C$3:$I$57,7,0)*'Direct Costs 2026'!$C$36,"N/A"),"N/A")</f>
        <v>3325000</v>
      </c>
      <c r="O1010" s="423" cm="1">
        <f t="array" ref="O1010">IF(B1010&gt;0,IF(OR(VLOOKUP(C1005,'Boats Data Sheet 2026'!$C$3:$F$57,4,0)="Own",VLOOKUP(C1005,'Boats Data Sheet 2026'!$C$3:$F$57,4,0)="Management"),('Direct Costs 2026'!$C$37+'Direct Costs 2026'!$C$39),"N/A"),"N/A")</f>
        <v>1112400</v>
      </c>
      <c r="P1010" s="423" cm="1">
        <f t="array" ref="P1010">_xlfn.IFERROR('Direct Costs 2026'!$C$27*C1010,"N/A")</f>
        <v>0</v>
      </c>
      <c r="Q1010" s="423" cm="1">
        <f t="array" ref="Q1010">_xlfn.IFERROR(C1010+SUM(E1010:P1010),"N/A")</f>
        <v>6889233.33333333</v>
      </c>
      <c r="R1010" s="424"/>
      <c r="S1010" s="423" cm="1">
        <f t="array" ref="S1010">IF(B1010&gt;0,'Allocation OH and Target 2026'!$E$31,"N/A")</f>
        <v>3100447.15769812</v>
      </c>
      <c r="T1010" s="423" cm="1">
        <f t="array" ref="T1010">IF(B1010&gt;0,VLOOKUP(C1005,'Allocation OH and Target 2026'!$C$35:$S$87,17,0),"N/A")</f>
        <v>1050206.94814815</v>
      </c>
      <c r="U1010" s="423" cm="1">
        <f t="array" ref="U1010">_xlfn.IFERROR((S1010+T1010),"N/A")</f>
        <v>4150654.10584627</v>
      </c>
      <c r="V1010" s="424"/>
      <c r="W1010" s="423" cm="1">
        <f t="array" ref="W1010">_xlfn.IFERROR(U1010+Q1010,"N/A")</f>
        <v>11039887.4391796</v>
      </c>
      <c r="X1010" s="423" cm="1">
        <f t="array" ref="X1010">_xlfn.IFERROR(W1010*0.5%,"N/A")</f>
        <v>55199.437195898</v>
      </c>
      <c r="Y1010" s="423" cm="1">
        <f t="array" ref="Y1010">_xlfn.IFERROR(W1010*25%,"N/A")</f>
        <v>2759971.8597949</v>
      </c>
      <c r="Z1010" s="425" cm="1">
        <f t="array" ref="Z1010">IF(B1010&gt;0,SUM(W1010:Y1010),"N/A")</f>
        <v>13855058.7361704</v>
      </c>
      <c r="AA1010" s="425" cm="1">
        <f t="array" ref="AA1010">_xlfn.IFERROR((Z1010-Z1009),"N/A")</f>
        <v>239705</v>
      </c>
      <c r="AB1010" s="424"/>
      <c r="AC1010" t="str" s="426" cm="1">
        <f t="array" ref="AC1010">IF(B1010=6,AVERAGE(Z1008:Z1013),"N/A")</f>
        <v>N/A</v>
      </c>
      <c r="AD1010" s="424"/>
      <c r="AE1010" t="s" s="504">
        <v>547</v>
      </c>
      <c r="AF1010" s="423" cm="1">
        <f t="array" ref="AF1010">AF1008*'RECOMMENDED PRICES'!$D$17</f>
        <v>663930000</v>
      </c>
      <c r="AG1010" s="423"/>
      <c r="AH1010" s="423"/>
      <c r="AI1010" s="423"/>
      <c r="AJ1010" s="423"/>
      <c r="AK1010" s="423"/>
      <c r="AL1010" s="423"/>
      <c r="AM1010" s="423"/>
      <c r="AN1010" s="427"/>
    </row>
    <row r="1011" ht="15" customHeight="1">
      <c r="A1011" s="12"/>
      <c r="B1011" s="428" cm="1">
        <f t="array" ref="B1011">IF(B1010=0,0,IF(B1010&lt;VLOOKUP(C1005,'Boats Data Sheet 2026'!$C$3:$H$57,6,0),B1010+1,0))</f>
        <v>4</v>
      </c>
      <c r="C1011" s="423" cm="1">
        <f t="array" ref="C1011">IF(B1011&gt;0,IF(VLOOKUP(C1005,'Boats Data Sheet 2026'!$C$3:$J$57,8,0)="N/A",0,VLOOKUP(C1005,'Boats Data Sheet 2026'!$C$3:$J$57,8,0)),"N/A")</f>
        <v>0</v>
      </c>
      <c r="D1011" s="429" cm="1">
        <f t="array" ref="D1011">IF(B1011&gt;7,2,IF(B1011=0,"N/A",1))</f>
        <v>1</v>
      </c>
      <c r="E1011" s="423" cm="1">
        <f t="array" ref="E1011">_xlfn.IFERROR(SUM('Direct Costs 2026'!$C$4:$C$5)*D1011,"N/A")</f>
        <v>875500</v>
      </c>
      <c r="F1011" s="423" cm="1">
        <f t="array" ref="F1011">_xlfn.IFERROR('Direct Costs 2026'!$C$43*B1011,"N/A")</f>
        <v>24000</v>
      </c>
      <c r="G1011" s="423" cm="1">
        <f t="array" ref="G1011">IF(B1011&gt;0,'Direct Costs 2026'!$C$25,"N/A")</f>
        <v>90000</v>
      </c>
      <c r="H1011" s="423" cm="1">
        <f t="array" ref="H1011">IF(B1011&gt;0,('Direct Costs 2026'!$C$15+'Direct Costs 2026'!$C$17+'Direct Costs 2026'!$C$14),"N/A")</f>
        <v>580000</v>
      </c>
      <c r="I1011" s="423" cm="1">
        <f t="array" ref="I1011">IF(B1011&gt;0,'Direct Costs 2026'!$C$19+'Direct Costs 2026'!$C$18*B1011,"N/A")</f>
        <v>215000</v>
      </c>
      <c r="J1011" s="423" cm="1">
        <f t="array" ref="J1011">IF(B1011&gt;0,SUM('Direct Costs 2026'!$C$20:$C$21),"N/A")</f>
        <v>98333.3333333333</v>
      </c>
      <c r="K1011" s="423" cm="1">
        <f t="array" ref="K1011">IF(B1011&gt;0,'Direct Costs 2026'!$C$26,"N/A")</f>
        <v>20000</v>
      </c>
      <c r="L1011" s="423" cm="1">
        <f t="array" ref="L1011">IF(B1011&gt;0,'Direct Costs 2026'!$C$23,"N/A")</f>
        <v>140000</v>
      </c>
      <c r="M1011" s="423" cm="1">
        <f t="array" ref="M1011">IF(B1011&gt;0,'Direct Costs 2026'!$C$45*B1011,"N/A")</f>
        <v>600000</v>
      </c>
      <c r="N1011" s="423" cm="1">
        <f t="array" ref="N1011">IF(B1011&gt;0,_xlfn.IFERROR(VLOOKUP(C1005,'Boats Data Sheet 2026'!$C$3:$I$57,7,0)*'Direct Costs 2026'!$C$36,"N/A"),"N/A")</f>
        <v>3325000</v>
      </c>
      <c r="O1011" s="423" cm="1">
        <f t="array" ref="O1011">IF(B1011&gt;0,IF(OR(VLOOKUP(C1005,'Boats Data Sheet 2026'!$C$3:$F$57,4,0)="Own",VLOOKUP(C1005,'Boats Data Sheet 2026'!$C$3:$F$57,4,0)="Management"),('Direct Costs 2026'!$C$37+'Direct Costs 2026'!$C$39),"N/A"),"N/A")</f>
        <v>1112400</v>
      </c>
      <c r="P1011" s="423" cm="1">
        <f t="array" ref="P1011">_xlfn.IFERROR('Direct Costs 2026'!$C$27*C1011,"N/A")</f>
        <v>0</v>
      </c>
      <c r="Q1011" s="423" cm="1">
        <f t="array" ref="Q1011">_xlfn.IFERROR(C1011+SUM(E1011:P1011),"N/A")</f>
        <v>7080233.33333333</v>
      </c>
      <c r="R1011" s="424"/>
      <c r="S1011" s="423" cm="1">
        <f t="array" ref="S1011">IF(B1011&gt;0,'Allocation OH and Target 2026'!$E$31,"N/A")</f>
        <v>3100447.15769812</v>
      </c>
      <c r="T1011" s="423" cm="1">
        <f t="array" ref="T1011">IF(B1011&gt;0,VLOOKUP(C1005,'Allocation OH and Target 2026'!$C$35:$S$87,17,0),"N/A")</f>
        <v>1050206.94814815</v>
      </c>
      <c r="U1011" s="423" cm="1">
        <f t="array" ref="U1011">_xlfn.IFERROR((S1011+T1011),"N/A")</f>
        <v>4150654.10584627</v>
      </c>
      <c r="V1011" s="424"/>
      <c r="W1011" s="423" cm="1">
        <f t="array" ref="W1011">_xlfn.IFERROR(U1011+Q1011,"N/A")</f>
        <v>11230887.4391796</v>
      </c>
      <c r="X1011" s="423" cm="1">
        <f t="array" ref="X1011">_xlfn.IFERROR(W1011*0.5%,"N/A")</f>
        <v>56154.437195898</v>
      </c>
      <c r="Y1011" s="423" cm="1">
        <f t="array" ref="Y1011">_xlfn.IFERROR(W1011*25%,"N/A")</f>
        <v>2807721.8597949</v>
      </c>
      <c r="Z1011" s="425" cm="1">
        <f t="array" ref="Z1011">IF(B1011&gt;0,SUM(W1011:Y1011),"N/A")</f>
        <v>14094763.7361704</v>
      </c>
      <c r="AA1011" s="425" cm="1">
        <f t="array" ref="AA1011">_xlfn.IFERROR((Z1011-Z1010),"N/A")</f>
        <v>239705</v>
      </c>
      <c r="AB1011" s="424"/>
      <c r="AC1011" t="str" s="426" cm="1">
        <f t="array" ref="AC1011">IF(B1011=6,AVERAGE(Z1008:Z1013),"N/A")</f>
        <v>N/A</v>
      </c>
      <c r="AD1011" s="424"/>
      <c r="AE1011" t="s" s="504">
        <v>548</v>
      </c>
      <c r="AF1011" s="423" cm="1">
        <f t="array" ref="AF1011">AF1008*VLOOKUP(C1005,'RECOMMENDED PRICES'!$B$20:$F$76,5,0)</f>
        <v>224640000</v>
      </c>
      <c r="AG1011" s="423"/>
      <c r="AH1011" s="423"/>
      <c r="AI1011" s="423"/>
      <c r="AJ1011" s="423"/>
      <c r="AK1011" s="423"/>
      <c r="AL1011" s="423"/>
      <c r="AM1011" s="423"/>
      <c r="AN1011" s="427"/>
    </row>
    <row r="1012" ht="15" customHeight="1">
      <c r="A1012" s="12"/>
      <c r="B1012" s="428" cm="1">
        <f t="array" ref="B1012">IF(B1011=0,0,IF(B1011&lt;VLOOKUP(C1005,'Boats Data Sheet 2026'!$C$3:$H$57,6,0),B1011+1,0))</f>
        <v>5</v>
      </c>
      <c r="C1012" s="423" cm="1">
        <f t="array" ref="C1012">IF(B1012&gt;0,IF(VLOOKUP(C1005,'Boats Data Sheet 2026'!$C$3:$J$57,8,0)="N/A",0,VLOOKUP(C1005,'Boats Data Sheet 2026'!$C$3:$J$57,8,0)),"N/A")</f>
        <v>0</v>
      </c>
      <c r="D1012" s="429" cm="1">
        <f t="array" ref="D1012">IF(B1012&gt;7,2,IF(B1012=0,"N/A",1))</f>
        <v>1</v>
      </c>
      <c r="E1012" s="423" cm="1">
        <f t="array" ref="E1012">_xlfn.IFERROR(SUM('Direct Costs 2026'!$C$4:$C$5)*D1012,"N/A")</f>
        <v>875500</v>
      </c>
      <c r="F1012" s="423" cm="1">
        <f t="array" ref="F1012">_xlfn.IFERROR('Direct Costs 2026'!$C$43*B1012,"N/A")</f>
        <v>30000</v>
      </c>
      <c r="G1012" s="423" cm="1">
        <f t="array" ref="G1012">IF(B1012&gt;0,'Direct Costs 2026'!$C$25,"N/A")</f>
        <v>90000</v>
      </c>
      <c r="H1012" s="423" cm="1">
        <f t="array" ref="H1012">IF(B1012&gt;0,('Direct Costs 2026'!$C$15+'Direct Costs 2026'!$C$17+'Direct Costs 2026'!$C$14),"N/A")</f>
        <v>580000</v>
      </c>
      <c r="I1012" s="423" cm="1">
        <f t="array" ref="I1012">IF(B1012&gt;0,'Direct Costs 2026'!$C$19+'Direct Costs 2026'!$C$18*B1012,"N/A")</f>
        <v>250000</v>
      </c>
      <c r="J1012" s="423" cm="1">
        <f t="array" ref="J1012">IF(B1012&gt;0,SUM('Direct Costs 2026'!$C$20:$C$21),"N/A")</f>
        <v>98333.3333333333</v>
      </c>
      <c r="K1012" s="423" cm="1">
        <f t="array" ref="K1012">IF(B1012&gt;0,'Direct Costs 2026'!$C$26,"N/A")</f>
        <v>20000</v>
      </c>
      <c r="L1012" s="423" cm="1">
        <f t="array" ref="L1012">IF(B1012&gt;0,'Direct Costs 2026'!$C$23,"N/A")</f>
        <v>140000</v>
      </c>
      <c r="M1012" s="423" cm="1">
        <f t="array" ref="M1012">IF(B1012&gt;0,'Direct Costs 2026'!$C$45*B1012,"N/A")</f>
        <v>750000</v>
      </c>
      <c r="N1012" s="423" cm="1">
        <f t="array" ref="N1012">IF(B1012&gt;0,_xlfn.IFERROR(VLOOKUP(C1005,'Boats Data Sheet 2026'!$C$3:$I$57,7,0)*'Direct Costs 2026'!$C$36,"N/A"),"N/A")</f>
        <v>3325000</v>
      </c>
      <c r="O1012" s="423" cm="1">
        <f t="array" ref="O1012">IF(B1012&gt;0,IF(OR(VLOOKUP(C1005,'Boats Data Sheet 2026'!$C$3:$F$57,4,0)="Own",VLOOKUP(C1005,'Boats Data Sheet 2026'!$C$3:$F$57,4,0)="Management"),('Direct Costs 2026'!$C$37+'Direct Costs 2026'!$C$39),"N/A"),"N/A")</f>
        <v>1112400</v>
      </c>
      <c r="P1012" s="423" cm="1">
        <f t="array" ref="P1012">_xlfn.IFERROR('Direct Costs 2026'!$C$27*C1012,"N/A")</f>
        <v>0</v>
      </c>
      <c r="Q1012" s="423" cm="1">
        <f t="array" ref="Q1012">_xlfn.IFERROR(C1012+SUM(E1012:P1012),"N/A")</f>
        <v>7271233.33333333</v>
      </c>
      <c r="R1012" s="424"/>
      <c r="S1012" s="423" cm="1">
        <f t="array" ref="S1012">IF(B1012&gt;0,'Allocation OH and Target 2026'!$E$31,"N/A")</f>
        <v>3100447.15769812</v>
      </c>
      <c r="T1012" s="423" cm="1">
        <f t="array" ref="T1012">IF(B1012&gt;0,VLOOKUP(C1005,'Allocation OH and Target 2026'!$C$35:$S$87,17,0),"N/A")</f>
        <v>1050206.94814815</v>
      </c>
      <c r="U1012" s="423" cm="1">
        <f t="array" ref="U1012">_xlfn.IFERROR((S1012+T1012),"N/A")</f>
        <v>4150654.10584627</v>
      </c>
      <c r="V1012" s="424"/>
      <c r="W1012" s="423" cm="1">
        <f t="array" ref="W1012">_xlfn.IFERROR(U1012+Q1012,"N/A")</f>
        <v>11421887.4391796</v>
      </c>
      <c r="X1012" s="423" cm="1">
        <f t="array" ref="X1012">_xlfn.IFERROR(W1012*0.5%,"N/A")</f>
        <v>57109.437195898</v>
      </c>
      <c r="Y1012" s="423" cm="1">
        <f t="array" ref="Y1012">_xlfn.IFERROR(W1012*25%,"N/A")</f>
        <v>2855471.8597949</v>
      </c>
      <c r="Z1012" s="425" cm="1">
        <f t="array" ref="Z1012">IF(B1012&gt;0,SUM(W1012:Y1012),"N/A")</f>
        <v>14334468.7361704</v>
      </c>
      <c r="AA1012" s="425" cm="1">
        <f t="array" ref="AA1012">_xlfn.IFERROR((Z1012-Z1011),"N/A")</f>
        <v>239705</v>
      </c>
      <c r="AB1012" s="424"/>
      <c r="AC1012" t="str" s="426" cm="1">
        <f t="array" ref="AC1012">IF(B1012=6,AVERAGE(Z1008:Z1013),"N/A")</f>
        <v>N/A</v>
      </c>
      <c r="AD1012" s="424"/>
      <c r="AE1012" t="s" s="504">
        <v>549</v>
      </c>
      <c r="AF1012" s="423">
        <v>0</v>
      </c>
      <c r="AG1012" s="423"/>
      <c r="AH1012" s="423"/>
      <c r="AI1012" s="423"/>
      <c r="AJ1012" s="423"/>
      <c r="AK1012" s="423"/>
      <c r="AL1012" s="423"/>
      <c r="AM1012" s="423"/>
      <c r="AN1012" s="427"/>
    </row>
    <row r="1013" ht="15" customHeight="1">
      <c r="A1013" s="12"/>
      <c r="B1013" s="428" cm="1">
        <f t="array" ref="B1013">IF(B1012=0,0,IF(B1012&lt;VLOOKUP(C1005,'Boats Data Sheet 2026'!$C$3:$H$57,6,0),B1012+1,0))</f>
        <v>6</v>
      </c>
      <c r="C1013" s="423" cm="1">
        <f t="array" ref="C1013">IF(B1013&gt;0,IF(VLOOKUP(C1005,'Boats Data Sheet 2026'!$C$3:$J$57,8,0)="N/A",0,VLOOKUP(C1005,'Boats Data Sheet 2026'!$C$3:$J$57,8,0)),"N/A")</f>
        <v>0</v>
      </c>
      <c r="D1013" s="429" cm="1">
        <f t="array" ref="D1013">IF(B1013&gt;7,2,IF(B1013=0,"N/A",1))</f>
        <v>1</v>
      </c>
      <c r="E1013" s="423" cm="1">
        <f t="array" ref="E1013">_xlfn.IFERROR(SUM('Direct Costs 2026'!$C$4:$C$5)*D1013,"N/A")</f>
        <v>875500</v>
      </c>
      <c r="F1013" s="423" cm="1">
        <f t="array" ref="F1013">_xlfn.IFERROR('Direct Costs 2026'!$C$43*B1013,"N/A")</f>
        <v>36000</v>
      </c>
      <c r="G1013" s="423" cm="1">
        <f t="array" ref="G1013">IF(B1013&gt;0,'Direct Costs 2026'!$C$25,"N/A")</f>
        <v>90000</v>
      </c>
      <c r="H1013" s="423" cm="1">
        <f t="array" ref="H1013">IF(B1013&gt;0,('Direct Costs 2026'!$C$15+'Direct Costs 2026'!$C$17+'Direct Costs 2026'!$C$14),"N/A")</f>
        <v>580000</v>
      </c>
      <c r="I1013" s="423" cm="1">
        <f t="array" ref="I1013">IF(B1013&gt;0,'Direct Costs 2026'!$C$19+'Direct Costs 2026'!$C$18*B1013,"N/A")</f>
        <v>285000</v>
      </c>
      <c r="J1013" s="423" cm="1">
        <f t="array" ref="J1013">IF(B1013&gt;0,SUM('Direct Costs 2026'!$C$20:$C$21),"N/A")</f>
        <v>98333.3333333333</v>
      </c>
      <c r="K1013" s="423" cm="1">
        <f t="array" ref="K1013">IF(B1013&gt;0,'Direct Costs 2026'!$C$26,"N/A")</f>
        <v>20000</v>
      </c>
      <c r="L1013" s="423" cm="1">
        <f t="array" ref="L1013">IF(B1013&gt;0,'Direct Costs 2026'!$C$23,"N/A")</f>
        <v>140000</v>
      </c>
      <c r="M1013" s="423" cm="1">
        <f t="array" ref="M1013">IF(B1013&gt;0,'Direct Costs 2026'!$C$45*B1013,"N/A")</f>
        <v>900000</v>
      </c>
      <c r="N1013" s="423" cm="1">
        <f t="array" ref="N1013">IF(B1013&gt;0,_xlfn.IFERROR(VLOOKUP(C1005,'Boats Data Sheet 2026'!$C$3:$I$57,7,0)*'Direct Costs 2026'!$C$36,"N/A"),"N/A")</f>
        <v>3325000</v>
      </c>
      <c r="O1013" s="423" cm="1">
        <f t="array" ref="O1013">IF(B1013&gt;0,IF(OR(VLOOKUP(C1005,'Boats Data Sheet 2026'!$C$3:$F$57,4,0)="Own",VLOOKUP(C1005,'Boats Data Sheet 2026'!$C$3:$F$57,4,0)="Management"),('Direct Costs 2026'!$C$37+'Direct Costs 2026'!$C$39),"N/A"),"N/A")</f>
        <v>1112400</v>
      </c>
      <c r="P1013" s="423" cm="1">
        <f t="array" ref="P1013">_xlfn.IFERROR('Direct Costs 2026'!$C$27*C1013,"N/A")</f>
        <v>0</v>
      </c>
      <c r="Q1013" s="423" cm="1">
        <f t="array" ref="Q1013">_xlfn.IFERROR(C1013+SUM(E1013:P1013),"N/A")</f>
        <v>7462233.33333333</v>
      </c>
      <c r="R1013" s="424"/>
      <c r="S1013" s="423" cm="1">
        <f t="array" ref="S1013">IF(B1013&gt;0,'Allocation OH and Target 2026'!$E$31,"N/A")</f>
        <v>3100447.15769812</v>
      </c>
      <c r="T1013" s="423" cm="1">
        <f t="array" ref="T1013">IF(B1013&gt;0,VLOOKUP(C1005,'Allocation OH and Target 2026'!$C$35:$S$87,17,0),"N/A")</f>
        <v>1050206.94814815</v>
      </c>
      <c r="U1013" s="423" cm="1">
        <f t="array" ref="U1013">_xlfn.IFERROR((S1013+T1013),"N/A")</f>
        <v>4150654.10584627</v>
      </c>
      <c r="V1013" s="424"/>
      <c r="W1013" s="423" cm="1">
        <f t="array" ref="W1013">_xlfn.IFERROR(U1013+Q1013,"N/A")</f>
        <v>11612887.4391796</v>
      </c>
      <c r="X1013" s="423" cm="1">
        <f t="array" ref="X1013">_xlfn.IFERROR(W1013*0.5%,"N/A")</f>
        <v>58064.437195898</v>
      </c>
      <c r="Y1013" s="423" cm="1">
        <f t="array" ref="Y1013">_xlfn.IFERROR(W1013*25%,"N/A")</f>
        <v>2903221.8597949</v>
      </c>
      <c r="Z1013" s="425" cm="1">
        <f t="array" ref="Z1013">IF(B1013&gt;0,SUM(W1013:Y1013),"N/A")</f>
        <v>14574173.7361704</v>
      </c>
      <c r="AA1013" s="425" cm="1">
        <f t="array" ref="AA1013">_xlfn.IFERROR((Z1013-Z1012),"N/A")</f>
        <v>239705</v>
      </c>
      <c r="AB1013" s="424"/>
      <c r="AC1013" s="425" cm="1">
        <f t="array" ref="AC1013">IF(B1013=6,AVERAGE(Z1008:Z1013),"N/A")</f>
        <v>13974911.2361704</v>
      </c>
      <c r="AD1013" s="424"/>
      <c r="AE1013" t="s" s="506">
        <v>550</v>
      </c>
      <c r="AF1013" s="423"/>
      <c r="AG1013" s="423"/>
      <c r="AH1013" s="423"/>
      <c r="AI1013" s="423"/>
      <c r="AJ1013" s="423"/>
      <c r="AK1013" s="423"/>
      <c r="AL1013" s="423"/>
      <c r="AM1013" s="423"/>
      <c r="AN1013" s="427"/>
    </row>
    <row r="1014" ht="15" customHeight="1">
      <c r="A1014" s="12"/>
      <c r="B1014" s="428" cm="1">
        <f t="array" ref="B1014">IF(B1013=0,0,IF(B1013&lt;VLOOKUP(C1005,'Boats Data Sheet 2026'!$C$3:$H$57,6,0),B1013+1,0))</f>
        <v>7</v>
      </c>
      <c r="C1014" s="423" cm="1">
        <f t="array" ref="C1014">IF(B1014&gt;0,IF(VLOOKUP(C1005,'Boats Data Sheet 2026'!$C$3:$J$57,8,0)="N/A",0,VLOOKUP(C1005,'Boats Data Sheet 2026'!$C$3:$J$57,8,0)),"N/A")</f>
        <v>0</v>
      </c>
      <c r="D1014" s="429" cm="1">
        <f t="array" ref="D1014">IF(B1014&gt;7,2,IF(B1014=0,"N/A",1))</f>
        <v>1</v>
      </c>
      <c r="E1014" s="423" cm="1">
        <f t="array" ref="E1014">_xlfn.IFERROR(SUM('Direct Costs 2026'!$C$4:$C$5)*D1014,"N/A")</f>
        <v>875500</v>
      </c>
      <c r="F1014" s="423" cm="1">
        <f t="array" ref="F1014">_xlfn.IFERROR('Direct Costs 2026'!$C$43*B1014,"N/A")</f>
        <v>42000</v>
      </c>
      <c r="G1014" s="423" cm="1">
        <f t="array" ref="G1014">IF(B1014&gt;0,'Direct Costs 2026'!$C$25,"N/A")</f>
        <v>90000</v>
      </c>
      <c r="H1014" s="423" cm="1">
        <f t="array" ref="H1014">IF(B1014&gt;0,('Direct Costs 2026'!$C$15+'Direct Costs 2026'!$C$17+'Direct Costs 2026'!$C$14),"N/A")</f>
        <v>580000</v>
      </c>
      <c r="I1014" s="423" cm="1">
        <f t="array" ref="I1014">IF(B1014&gt;0,'Direct Costs 2026'!$C$19+'Direct Costs 2026'!$C$18*B1014,"N/A")</f>
        <v>320000</v>
      </c>
      <c r="J1014" s="423" cm="1">
        <f t="array" ref="J1014">IF(B1014&gt;0,SUM('Direct Costs 2026'!$C$20:$C$21),"N/A")</f>
        <v>98333.3333333333</v>
      </c>
      <c r="K1014" s="423" cm="1">
        <f t="array" ref="K1014">IF(B1014&gt;0,'Direct Costs 2026'!$C$26,"N/A")</f>
        <v>20000</v>
      </c>
      <c r="L1014" s="423" cm="1">
        <f t="array" ref="L1014">IF(B1014&gt;0,'Direct Costs 2026'!$C$23,"N/A")</f>
        <v>140000</v>
      </c>
      <c r="M1014" s="423" cm="1">
        <f t="array" ref="M1014">IF(B1014&gt;0,'Direct Costs 2026'!$C$45*B1014,"N/A")</f>
        <v>1050000</v>
      </c>
      <c r="N1014" s="423" cm="1">
        <f t="array" ref="N1014">IF(B1014&gt;0,_xlfn.IFERROR(VLOOKUP(C1005,'Boats Data Sheet 2026'!$C$3:$I$57,7,0)*'Direct Costs 2026'!$C$36,"N/A"),"N/A")</f>
        <v>3325000</v>
      </c>
      <c r="O1014" s="423" cm="1">
        <f t="array" ref="O1014">IF(B1014&gt;0,IF(OR(VLOOKUP(C1005,'Boats Data Sheet 2026'!$C$3:$F$57,4,0)="Own",VLOOKUP(C1005,'Boats Data Sheet 2026'!$C$3:$F$57,4,0)="Management"),('Direct Costs 2026'!$C$37+'Direct Costs 2026'!$C$39),"N/A"),"N/A")</f>
        <v>1112400</v>
      </c>
      <c r="P1014" s="423" cm="1">
        <f t="array" ref="P1014">_xlfn.IFERROR('Direct Costs 2026'!$C$27*C1014,"N/A")</f>
        <v>0</v>
      </c>
      <c r="Q1014" s="423" cm="1">
        <f t="array" ref="Q1014">_xlfn.IFERROR(C1014+SUM(E1014:P1014),"N/A")</f>
        <v>7653233.33333333</v>
      </c>
      <c r="R1014" s="424"/>
      <c r="S1014" s="423" cm="1">
        <f t="array" ref="S1014">IF(B1014&gt;0,'Allocation OH and Target 2026'!$E$31,"N/A")</f>
        <v>3100447.15769812</v>
      </c>
      <c r="T1014" s="423" cm="1">
        <f t="array" ref="T1014">IF(B1014&gt;0,VLOOKUP(C1005,'Allocation OH and Target 2026'!$C$35:$S$87,17,0),"N/A")</f>
        <v>1050206.94814815</v>
      </c>
      <c r="U1014" s="423" cm="1">
        <f t="array" ref="U1014">_xlfn.IFERROR((S1014+T1014),"N/A")</f>
        <v>4150654.10584627</v>
      </c>
      <c r="V1014" s="424"/>
      <c r="W1014" s="423" cm="1">
        <f t="array" ref="W1014">_xlfn.IFERROR(U1014+Q1014,"N/A")</f>
        <v>11803887.4391796</v>
      </c>
      <c r="X1014" s="423" cm="1">
        <f t="array" ref="X1014">_xlfn.IFERROR(W1014*0.5%,"N/A")</f>
        <v>59019.437195898</v>
      </c>
      <c r="Y1014" s="423" cm="1">
        <f t="array" ref="Y1014">_xlfn.IFERROR(W1014*25%,"N/A")</f>
        <v>2950971.8597949</v>
      </c>
      <c r="Z1014" s="425" cm="1">
        <f t="array" ref="Z1014">IF(B1014&gt;0,SUM(W1014:Y1014),"N/A")</f>
        <v>14813878.7361704</v>
      </c>
      <c r="AA1014" s="425" cm="1">
        <f t="array" ref="AA1014">_xlfn.IFERROR((Z1014-Z1013),"N/A")</f>
        <v>239705</v>
      </c>
      <c r="AB1014" s="424"/>
      <c r="AC1014" t="str" s="426" cm="1">
        <f t="array" ref="AC1014">IF(B1014=6,AVERAGE(Z1008:Z1013),"N/A")</f>
        <v>N/A</v>
      </c>
      <c r="AD1014" s="424"/>
      <c r="AE1014" t="s" s="504">
        <v>551</v>
      </c>
      <c r="AF1014" s="507" cm="1">
        <f t="array" ref="AF1014">-AVERAGE(W1008:W1020)*AF1008</f>
        <v>-659230075.561852</v>
      </c>
      <c r="AG1014" s="423"/>
      <c r="AH1014" s="423"/>
      <c r="AI1014" s="423"/>
      <c r="AJ1014" s="423"/>
      <c r="AK1014" s="423"/>
      <c r="AL1014" s="423"/>
      <c r="AM1014" s="423"/>
      <c r="AN1014" s="427"/>
    </row>
    <row r="1015" ht="15" customHeight="1">
      <c r="A1015" s="12"/>
      <c r="B1015" s="428" cm="1">
        <f t="array" ref="B1015">IF(B1014=0,0,IF(B1014&lt;VLOOKUP(C1005,'Boats Data Sheet 2026'!$C$3:$H$57,6,0),B1014+1,0))</f>
        <v>8</v>
      </c>
      <c r="C1015" s="423" cm="1">
        <f t="array" ref="C1015">IF(B1015&gt;0,IF(VLOOKUP(C1005,'Boats Data Sheet 2026'!$C$3:$J$57,8,0)="N/A",0,VLOOKUP(C1005,'Boats Data Sheet 2026'!$C$3:$J$57,8,0)),"N/A")</f>
        <v>0</v>
      </c>
      <c r="D1015" s="429" cm="1">
        <f t="array" ref="D1015">IF(B1015&gt;7,2,IF(B1015=0,"N/A",1))</f>
        <v>2</v>
      </c>
      <c r="E1015" s="423" cm="1">
        <f t="array" ref="E1015">_xlfn.IFERROR(SUM('Direct Costs 2026'!$C$4:$C$5)*D1015,"N/A")</f>
        <v>1751000</v>
      </c>
      <c r="F1015" s="423" cm="1">
        <f t="array" ref="F1015">_xlfn.IFERROR('Direct Costs 2026'!$C$43*B1015,"N/A")</f>
        <v>48000</v>
      </c>
      <c r="G1015" s="423" cm="1">
        <f t="array" ref="G1015">IF(B1015&gt;0,'Direct Costs 2026'!$C$25,"N/A")</f>
        <v>90000</v>
      </c>
      <c r="H1015" s="423" cm="1">
        <f t="array" ref="H1015">IF(B1015&gt;0,('Direct Costs 2026'!$C$15+'Direct Costs 2026'!$C$17+'Direct Costs 2026'!$C$14),"N/A")</f>
        <v>580000</v>
      </c>
      <c r="I1015" s="423" cm="1">
        <f t="array" ref="I1015">IF(B1015&gt;0,'Direct Costs 2026'!$C$19+'Direct Costs 2026'!$C$18*B1015,"N/A")</f>
        <v>355000</v>
      </c>
      <c r="J1015" s="423" cm="1">
        <f t="array" ref="J1015">IF(B1015&gt;0,SUM('Direct Costs 2026'!$C$20:$C$21),"N/A")</f>
        <v>98333.3333333333</v>
      </c>
      <c r="K1015" s="423" cm="1">
        <f t="array" ref="K1015">IF(B1015&gt;0,'Direct Costs 2026'!$C$26,"N/A")</f>
        <v>20000</v>
      </c>
      <c r="L1015" s="423" cm="1">
        <f t="array" ref="L1015">IF(B1015&gt;0,'Direct Costs 2026'!$C$23,"N/A")</f>
        <v>140000</v>
      </c>
      <c r="M1015" s="423" cm="1">
        <f t="array" ref="M1015">IF(B1015&gt;0,'Direct Costs 2026'!$C$45*B1015,"N/A")</f>
        <v>1200000</v>
      </c>
      <c r="N1015" s="423" cm="1">
        <f t="array" ref="N1015">IF(B1015&gt;0,_xlfn.IFERROR(VLOOKUP(C1005,'Boats Data Sheet 2026'!$C$3:$I$57,7,0)*'Direct Costs 2026'!$C$36,"N/A"),"N/A")</f>
        <v>3325000</v>
      </c>
      <c r="O1015" s="423" cm="1">
        <f t="array" ref="O1015">IF(B1015&gt;0,IF(OR(VLOOKUP(C1005,'Boats Data Sheet 2026'!$C$3:$F$57,4,0)="Own",VLOOKUP(C1005,'Boats Data Sheet 2026'!$C$3:$F$57,4,0)="Management"),('Direct Costs 2026'!$C$37+'Direct Costs 2026'!$C$39),"N/A"),"N/A")</f>
        <v>1112400</v>
      </c>
      <c r="P1015" s="423" cm="1">
        <f t="array" ref="P1015">_xlfn.IFERROR('Direct Costs 2026'!$C$27*C1015,"N/A")</f>
        <v>0</v>
      </c>
      <c r="Q1015" s="423" cm="1">
        <f t="array" ref="Q1015">_xlfn.IFERROR(C1015+SUM(E1015:P1015),"N/A")</f>
        <v>8719733.33333333</v>
      </c>
      <c r="R1015" s="424"/>
      <c r="S1015" s="423" cm="1">
        <f t="array" ref="S1015">IF(B1015&gt;0,'Allocation OH and Target 2026'!$E$31,"N/A")</f>
        <v>3100447.15769812</v>
      </c>
      <c r="T1015" s="423" cm="1">
        <f t="array" ref="T1015">IF(B1015&gt;0,VLOOKUP(C1005,'Allocation OH and Target 2026'!$C$35:$S$87,17,0),"N/A")</f>
        <v>1050206.94814815</v>
      </c>
      <c r="U1015" s="423" cm="1">
        <f t="array" ref="U1015">_xlfn.IFERROR((S1015+T1015),"N/A")</f>
        <v>4150654.10584627</v>
      </c>
      <c r="V1015" s="424"/>
      <c r="W1015" s="423" cm="1">
        <f t="array" ref="W1015">_xlfn.IFERROR(U1015+Q1015,"N/A")</f>
        <v>12870387.4391796</v>
      </c>
      <c r="X1015" s="423" cm="1">
        <f t="array" ref="X1015">_xlfn.IFERROR(W1015*0.5%,"N/A")</f>
        <v>64351.937195898</v>
      </c>
      <c r="Y1015" s="423" cm="1">
        <f t="array" ref="Y1015">_xlfn.IFERROR(W1015*25%,"N/A")</f>
        <v>3217596.8597949</v>
      </c>
      <c r="Z1015" s="425" cm="1">
        <f t="array" ref="Z1015">IF(B1015&gt;0,SUM(W1015:Y1015),"N/A")</f>
        <v>16152336.2361704</v>
      </c>
      <c r="AA1015" s="425" cm="1">
        <f t="array" ref="AA1015">_xlfn.IFERROR((Z1015-Z1014),"N/A")</f>
        <v>1338457.5</v>
      </c>
      <c r="AB1015" s="424"/>
      <c r="AC1015" t="str" s="426" cm="1">
        <f t="array" ref="AC1015">IF(B1015=6,AVERAGE(Z1008:Z1013),"N/A")</f>
        <v>N/A</v>
      </c>
      <c r="AD1015" s="424"/>
      <c r="AE1015" t="s" s="506">
        <v>394</v>
      </c>
      <c r="AF1015" s="508" cm="1">
        <f t="array" ref="AF1015">SUM(AF1010:AF1014)</f>
        <v>229339924.438148</v>
      </c>
      <c r="AG1015" s="423"/>
      <c r="AH1015" s="423"/>
      <c r="AI1015" s="423"/>
      <c r="AJ1015" s="423"/>
      <c r="AK1015" s="423"/>
      <c r="AL1015" s="423"/>
      <c r="AM1015" s="423"/>
      <c r="AN1015" s="427"/>
    </row>
    <row r="1016" ht="15" customHeight="1">
      <c r="A1016" s="12"/>
      <c r="B1016" s="428" cm="1">
        <f t="array" ref="B1016">IF(B1015=0,0,IF(B1015&lt;VLOOKUP(C1005,'Boats Data Sheet 2026'!$C$3:$H$57,6,0),B1015+1,0))</f>
        <v>9</v>
      </c>
      <c r="C1016" s="423" cm="1">
        <f t="array" ref="C1016">IF(B1016&gt;0,IF(VLOOKUP(C1005,'Boats Data Sheet 2026'!$C$3:$J$57,8,0)="N/A",0,VLOOKUP(C1005,'Boats Data Sheet 2026'!$C$3:$J$57,8,0)),"N/A")</f>
        <v>0</v>
      </c>
      <c r="D1016" s="429" cm="1">
        <f t="array" ref="D1016">IF(B1016&gt;7,2,IF(B1016=0,"N/A",1))</f>
        <v>2</v>
      </c>
      <c r="E1016" s="423" cm="1">
        <f t="array" ref="E1016">_xlfn.IFERROR(SUM('Direct Costs 2026'!$C$4:$C$5)*D1016,"N/A")</f>
        <v>1751000</v>
      </c>
      <c r="F1016" s="423" cm="1">
        <f t="array" ref="F1016">_xlfn.IFERROR('Direct Costs 2026'!$C$43*B1016,"N/A")</f>
        <v>54000</v>
      </c>
      <c r="G1016" s="423" cm="1">
        <f t="array" ref="G1016">IF(B1016&gt;0,'Direct Costs 2026'!$C$25,"N/A")</f>
        <v>90000</v>
      </c>
      <c r="H1016" s="423" cm="1">
        <f t="array" ref="H1016">IF(B1016&gt;0,('Direct Costs 2026'!$C$15+'Direct Costs 2026'!$C$17+'Direct Costs 2026'!$C$14),"N/A")</f>
        <v>580000</v>
      </c>
      <c r="I1016" s="423" cm="1">
        <f t="array" ref="I1016">IF(B1016&gt;0,'Direct Costs 2026'!$C$19+'Direct Costs 2026'!$C$18*B1016,"N/A")</f>
        <v>390000</v>
      </c>
      <c r="J1016" s="423" cm="1">
        <f t="array" ref="J1016">IF(B1016&gt;0,SUM('Direct Costs 2026'!$C$20:$C$21),"N/A")</f>
        <v>98333.3333333333</v>
      </c>
      <c r="K1016" s="423" cm="1">
        <f t="array" ref="K1016">IF(B1016&gt;0,'Direct Costs 2026'!$C$26,"N/A")</f>
        <v>20000</v>
      </c>
      <c r="L1016" s="423" cm="1">
        <f t="array" ref="L1016">IF(B1016&gt;0,'Direct Costs 2026'!$C$23,"N/A")</f>
        <v>140000</v>
      </c>
      <c r="M1016" s="423" cm="1">
        <f t="array" ref="M1016">IF(B1016&gt;0,'Direct Costs 2026'!$C$45*B1016,"N/A")</f>
        <v>1350000</v>
      </c>
      <c r="N1016" s="423" cm="1">
        <f t="array" ref="N1016">IF(B1016&gt;0,_xlfn.IFERROR(VLOOKUP(C1005,'Boats Data Sheet 2026'!$C$3:$I$57,7,0)*'Direct Costs 2026'!$C$36,"N/A"),"N/A")</f>
        <v>3325000</v>
      </c>
      <c r="O1016" s="423" cm="1">
        <f t="array" ref="O1016">IF(B1016&gt;0,IF(OR(VLOOKUP(C1005,'Boats Data Sheet 2026'!$C$3:$F$57,4,0)="Own",VLOOKUP(C1005,'Boats Data Sheet 2026'!$C$3:$F$57,4,0)="Management"),('Direct Costs 2026'!$C$37+'Direct Costs 2026'!$C$39),"N/A"),"N/A")</f>
        <v>1112400</v>
      </c>
      <c r="P1016" s="423" cm="1">
        <f t="array" ref="P1016">_xlfn.IFERROR('Direct Costs 2026'!$C$27*C1016,"N/A")</f>
        <v>0</v>
      </c>
      <c r="Q1016" s="423" cm="1">
        <f t="array" ref="Q1016">_xlfn.IFERROR(C1016+SUM(E1016:P1016),"N/A")</f>
        <v>8910733.33333333</v>
      </c>
      <c r="R1016" s="424"/>
      <c r="S1016" s="423" cm="1">
        <f t="array" ref="S1016">IF(B1016&gt;0,'Allocation OH and Target 2026'!$E$31,"N/A")</f>
        <v>3100447.15769812</v>
      </c>
      <c r="T1016" s="423" cm="1">
        <f t="array" ref="T1016">IF(B1016&gt;0,VLOOKUP(C1005,'Allocation OH and Target 2026'!$C$35:$S$87,17,0),"N/A")</f>
        <v>1050206.94814815</v>
      </c>
      <c r="U1016" s="423" cm="1">
        <f t="array" ref="U1016">_xlfn.IFERROR((S1016+T1016),"N/A")</f>
        <v>4150654.10584627</v>
      </c>
      <c r="V1016" s="424"/>
      <c r="W1016" s="423" cm="1">
        <f t="array" ref="W1016">_xlfn.IFERROR(U1016+Q1016,"N/A")</f>
        <v>13061387.4391796</v>
      </c>
      <c r="X1016" s="423" cm="1">
        <f t="array" ref="X1016">_xlfn.IFERROR(W1016*0.5%,"N/A")</f>
        <v>65306.937195898</v>
      </c>
      <c r="Y1016" s="423" cm="1">
        <f t="array" ref="Y1016">_xlfn.IFERROR(W1016*25%,"N/A")</f>
        <v>3265346.8597949</v>
      </c>
      <c r="Z1016" s="425" cm="1">
        <f t="array" ref="Z1016">IF(B1016&gt;0,SUM(W1016:Y1016),"N/A")</f>
        <v>16392041.2361704</v>
      </c>
      <c r="AA1016" s="425" cm="1">
        <f t="array" ref="AA1016">_xlfn.IFERROR((Z1016-Z1015),"N/A")</f>
        <v>239705</v>
      </c>
      <c r="AB1016" s="424"/>
      <c r="AC1016" t="str" s="426" cm="1">
        <f t="array" ref="AC1016">IF(B1016=6,AVERAGE(Z1008:Z1013),"N/A")</f>
        <v>N/A</v>
      </c>
      <c r="AD1016" s="424"/>
      <c r="AE1016" t="s" s="509">
        <v>562</v>
      </c>
      <c r="AF1016" s="510" cm="1">
        <f t="array" ref="AF1016">AF1015*37%</f>
        <v>84855772.04211479</v>
      </c>
      <c r="AG1016" s="423"/>
      <c r="AH1016" s="423"/>
      <c r="AI1016" s="423"/>
      <c r="AJ1016" s="423"/>
      <c r="AK1016" s="423"/>
      <c r="AL1016" s="423"/>
      <c r="AM1016" s="423"/>
      <c r="AN1016" s="427"/>
    </row>
    <row r="1017" ht="15" customHeight="1">
      <c r="A1017" s="12"/>
      <c r="B1017" s="428" cm="1">
        <f t="array" ref="B1017">IF(B1016=0,0,IF(B1016&lt;VLOOKUP(C1005,'Boats Data Sheet 2026'!$C$3:$H$57,6,0),B1016+1,0))</f>
        <v>10</v>
      </c>
      <c r="C1017" s="423" cm="1">
        <f t="array" ref="C1017">IF(B1017&gt;0,IF(VLOOKUP(C1005,'Boats Data Sheet 2026'!$C$3:$J$57,8,0)="N/A",0,VLOOKUP(C1005,'Boats Data Sheet 2026'!$C$3:$J$57,8,0)),"N/A")</f>
        <v>0</v>
      </c>
      <c r="D1017" s="429" cm="1">
        <f t="array" ref="D1017">IF(B1017&gt;7,2,IF(B1017=0,"N/A",1))</f>
        <v>2</v>
      </c>
      <c r="E1017" s="423" cm="1">
        <f t="array" ref="E1017">_xlfn.IFERROR(SUM('Direct Costs 2026'!$C$4:$C$5)*D1017,"N/A")</f>
        <v>1751000</v>
      </c>
      <c r="F1017" s="423" cm="1">
        <f t="array" ref="F1017">_xlfn.IFERROR('Direct Costs 2026'!$C$43*B1017,"N/A")</f>
        <v>60000</v>
      </c>
      <c r="G1017" s="423" cm="1">
        <f t="array" ref="G1017">IF(B1017&gt;0,'Direct Costs 2026'!$C$25,"N/A")</f>
        <v>90000</v>
      </c>
      <c r="H1017" s="423" cm="1">
        <f t="array" ref="H1017">IF(B1017&gt;0,('Direct Costs 2026'!$C$15+'Direct Costs 2026'!$C$17+'Direct Costs 2026'!$C$14),"N/A")</f>
        <v>580000</v>
      </c>
      <c r="I1017" s="423" cm="1">
        <f t="array" ref="I1017">IF(B1017&gt;0,'Direct Costs 2026'!$C$19+'Direct Costs 2026'!$C$18*B1017,"N/A")</f>
        <v>425000</v>
      </c>
      <c r="J1017" s="423" cm="1">
        <f t="array" ref="J1017">IF(B1017&gt;0,SUM('Direct Costs 2026'!$C$20:$C$21),"N/A")</f>
        <v>98333.3333333333</v>
      </c>
      <c r="K1017" s="423" cm="1">
        <f t="array" ref="K1017">IF(B1017&gt;0,'Direct Costs 2026'!$C$26,"N/A")</f>
        <v>20000</v>
      </c>
      <c r="L1017" s="423" cm="1">
        <f t="array" ref="L1017">IF(B1017&gt;0,'Direct Costs 2026'!$C$23,"N/A")</f>
        <v>140000</v>
      </c>
      <c r="M1017" s="423" cm="1">
        <f t="array" ref="M1017">IF(B1017&gt;0,'Direct Costs 2026'!$C$45*B1017,"N/A")</f>
        <v>1500000</v>
      </c>
      <c r="N1017" s="423" cm="1">
        <f t="array" ref="N1017">IF(B1017&gt;0,_xlfn.IFERROR(VLOOKUP(C1005,'Boats Data Sheet 2026'!$C$3:$I$57,7,0)*'Direct Costs 2026'!$C$36,"N/A"),"N/A")</f>
        <v>3325000</v>
      </c>
      <c r="O1017" s="423" cm="1">
        <f t="array" ref="O1017">IF(B1017&gt;0,IF(OR(VLOOKUP(C1005,'Boats Data Sheet 2026'!$C$3:$F$57,4,0)="Own",VLOOKUP(C1005,'Boats Data Sheet 2026'!$C$3:$F$57,4,0)="Management"),('Direct Costs 2026'!$C$37+'Direct Costs 2026'!$C$39),"N/A"),"N/A")</f>
        <v>1112400</v>
      </c>
      <c r="P1017" s="423" cm="1">
        <f t="array" ref="P1017">_xlfn.IFERROR('Direct Costs 2026'!$C$27*C1017,"N/A")</f>
        <v>0</v>
      </c>
      <c r="Q1017" s="423" cm="1">
        <f t="array" ref="Q1017">_xlfn.IFERROR(C1017+SUM(E1017:P1017),"N/A")</f>
        <v>9101733.33333333</v>
      </c>
      <c r="R1017" s="424"/>
      <c r="S1017" s="423" cm="1">
        <f t="array" ref="S1017">IF(B1017&gt;0,'Allocation OH and Target 2026'!$E$31,"N/A")</f>
        <v>3100447.15769812</v>
      </c>
      <c r="T1017" s="423" cm="1">
        <f t="array" ref="T1017">IF(B1017&gt;0,VLOOKUP(C1005,'Allocation OH and Target 2026'!$C$35:$S$87,17,0),"N/A")</f>
        <v>1050206.94814815</v>
      </c>
      <c r="U1017" s="423" cm="1">
        <f t="array" ref="U1017">_xlfn.IFERROR((S1017+T1017),"N/A")</f>
        <v>4150654.10584627</v>
      </c>
      <c r="V1017" s="424"/>
      <c r="W1017" s="423" cm="1">
        <f t="array" ref="W1017">_xlfn.IFERROR(U1017+Q1017,"N/A")</f>
        <v>13252387.4391796</v>
      </c>
      <c r="X1017" s="423" cm="1">
        <f t="array" ref="X1017">_xlfn.IFERROR(W1017*0.5%,"N/A")</f>
        <v>66261.937195898</v>
      </c>
      <c r="Y1017" s="423" cm="1">
        <f t="array" ref="Y1017">_xlfn.IFERROR(W1017*25%,"N/A")</f>
        <v>3313096.8597949</v>
      </c>
      <c r="Z1017" s="425" cm="1">
        <f t="array" ref="Z1017">IF(B1017&gt;0,SUM(W1017:Y1017),"N/A")</f>
        <v>16631746.2361704</v>
      </c>
      <c r="AA1017" s="425" cm="1">
        <f t="array" ref="AA1017">_xlfn.IFERROR((Z1017-Z1016),"N/A")</f>
        <v>239705</v>
      </c>
      <c r="AB1017" s="424"/>
      <c r="AC1017" t="str" s="426" cm="1">
        <f t="array" ref="AC1017">IF(B1017=6,AVERAGE(Z1008:Z1013),"N/A")</f>
        <v>N/A</v>
      </c>
      <c r="AD1017" s="424"/>
      <c r="AE1017" s="423"/>
      <c r="AF1017" s="423"/>
      <c r="AG1017" s="423"/>
      <c r="AH1017" s="423"/>
      <c r="AI1017" s="423"/>
      <c r="AJ1017" s="423"/>
      <c r="AK1017" s="423"/>
      <c r="AL1017" s="423"/>
      <c r="AM1017" s="423"/>
      <c r="AN1017" s="427"/>
    </row>
    <row r="1018" ht="15" customHeight="1">
      <c r="A1018" s="12"/>
      <c r="B1018" s="428" cm="1">
        <f t="array" ref="B1018">IF(B1017=0,0,IF(B1017&lt;VLOOKUP(C1005,'Boats Data Sheet 2026'!$C$3:$H$57,6,0),B1017+1,0))</f>
        <v>11</v>
      </c>
      <c r="C1018" s="423" cm="1">
        <f t="array" ref="C1018">IF(B1018&gt;0,IF(VLOOKUP(C1005,'Boats Data Sheet 2026'!$C$3:$J$57,8,0)="N/A",0,VLOOKUP(C1005,'Boats Data Sheet 2026'!$C$3:$J$57,8,0)),"N/A")</f>
        <v>0</v>
      </c>
      <c r="D1018" s="429" cm="1">
        <f t="array" ref="D1018">IF(B1018&gt;7,2,IF(B1018=0,"N/A",1))</f>
        <v>2</v>
      </c>
      <c r="E1018" s="423" cm="1">
        <f t="array" ref="E1018">_xlfn.IFERROR(SUM('Direct Costs 2026'!$C$4:$C$5)*D1018,"N/A")</f>
        <v>1751000</v>
      </c>
      <c r="F1018" s="423" cm="1">
        <f t="array" ref="F1018">_xlfn.IFERROR('Direct Costs 2026'!$C$43*B1018,"N/A")</f>
        <v>66000</v>
      </c>
      <c r="G1018" s="423" cm="1">
        <f t="array" ref="G1018">IF(B1018&gt;0,'Direct Costs 2026'!$C$25,"N/A")</f>
        <v>90000</v>
      </c>
      <c r="H1018" s="423" cm="1">
        <f t="array" ref="H1018">IF(B1018&gt;0,('Direct Costs 2026'!$C$15+'Direct Costs 2026'!$C$17+'Direct Costs 2026'!$C$14),"N/A")</f>
        <v>580000</v>
      </c>
      <c r="I1018" s="423" cm="1">
        <f t="array" ref="I1018">IF(B1018&gt;0,'Direct Costs 2026'!$C$19+'Direct Costs 2026'!$C$18*B1018,"N/A")</f>
        <v>460000</v>
      </c>
      <c r="J1018" s="423" cm="1">
        <f t="array" ref="J1018">IF(B1018&gt;0,SUM('Direct Costs 2026'!$C$20:$C$21),"N/A")</f>
        <v>98333.3333333333</v>
      </c>
      <c r="K1018" s="423" cm="1">
        <f t="array" ref="K1018">IF(B1018&gt;0,'Direct Costs 2026'!$C$26,"N/A")</f>
        <v>20000</v>
      </c>
      <c r="L1018" s="423" cm="1">
        <f t="array" ref="L1018">IF(B1018&gt;0,'Direct Costs 2026'!$C$23,"N/A")</f>
        <v>140000</v>
      </c>
      <c r="M1018" s="423" cm="1">
        <f t="array" ref="M1018">IF(B1018&gt;0,'Direct Costs 2026'!$C$45*B1018,"N/A")</f>
        <v>1650000</v>
      </c>
      <c r="N1018" s="423" cm="1">
        <f t="array" ref="N1018">IF(B1018&gt;0,_xlfn.IFERROR(VLOOKUP(C1005,'Boats Data Sheet 2026'!$C$3:$I$57,7,0)*'Direct Costs 2026'!$C$36,"N/A"),"N/A")</f>
        <v>3325000</v>
      </c>
      <c r="O1018" s="423" cm="1">
        <f t="array" ref="O1018">IF(B1018&gt;0,IF(OR(VLOOKUP(C1005,'Boats Data Sheet 2026'!$C$3:$F$57,4,0)="Own",VLOOKUP(C1005,'Boats Data Sheet 2026'!$C$3:$F$57,4,0)="Management"),('Direct Costs 2026'!$C$37+'Direct Costs 2026'!$C$39),"N/A"),"N/A")</f>
        <v>1112400</v>
      </c>
      <c r="P1018" s="423" cm="1">
        <f t="array" ref="P1018">_xlfn.IFERROR('Direct Costs 2026'!$C$27*C1018,"N/A")</f>
        <v>0</v>
      </c>
      <c r="Q1018" s="423" cm="1">
        <f t="array" ref="Q1018">_xlfn.IFERROR(C1018+SUM(E1018:P1018),"N/A")</f>
        <v>9292733.33333333</v>
      </c>
      <c r="R1018" s="424"/>
      <c r="S1018" s="423" cm="1">
        <f t="array" ref="S1018">IF(B1018&gt;0,'Allocation OH and Target 2026'!$E$31,"N/A")</f>
        <v>3100447.15769812</v>
      </c>
      <c r="T1018" s="423" cm="1">
        <f t="array" ref="T1018">IF(B1018&gt;0,VLOOKUP(C1005,'Allocation OH and Target 2026'!$C$35:$S$87,17,0),"N/A")</f>
        <v>1050206.94814815</v>
      </c>
      <c r="U1018" s="423" cm="1">
        <f t="array" ref="U1018">_xlfn.IFERROR((S1018+T1018),"N/A")</f>
        <v>4150654.10584627</v>
      </c>
      <c r="V1018" s="424"/>
      <c r="W1018" s="423" cm="1">
        <f t="array" ref="W1018">_xlfn.IFERROR(U1018+Q1018,"N/A")</f>
        <v>13443387.4391796</v>
      </c>
      <c r="X1018" s="423" cm="1">
        <f t="array" ref="X1018">_xlfn.IFERROR(W1018*0.5%,"N/A")</f>
        <v>67216.937195898</v>
      </c>
      <c r="Y1018" s="423" cm="1">
        <f t="array" ref="Y1018">_xlfn.IFERROR(W1018*25%,"N/A")</f>
        <v>3360846.8597949</v>
      </c>
      <c r="Z1018" s="425" cm="1">
        <f t="array" ref="Z1018">IF(B1018&gt;0,SUM(W1018:Y1018),"N/A")</f>
        <v>16871451.2361704</v>
      </c>
      <c r="AA1018" s="425" cm="1">
        <f t="array" ref="AA1018">_xlfn.IFERROR((Z1018-Z1017),"N/A")</f>
        <v>239705</v>
      </c>
      <c r="AB1018" s="424"/>
      <c r="AC1018" t="str" s="426" cm="1">
        <f t="array" ref="AC1018">IF(B1018=6,AVERAGE(Z1008:Z1013),"N/A")</f>
        <v>N/A</v>
      </c>
      <c r="AD1018" s="424"/>
      <c r="AE1018" s="423"/>
      <c r="AF1018" s="423"/>
      <c r="AG1018" s="423"/>
      <c r="AH1018" s="423"/>
      <c r="AI1018" s="423"/>
      <c r="AJ1018" s="423"/>
      <c r="AK1018" s="423"/>
      <c r="AL1018" s="423"/>
      <c r="AM1018" s="423"/>
      <c r="AN1018" s="427"/>
    </row>
    <row r="1019" ht="15" customHeight="1">
      <c r="A1019" s="12"/>
      <c r="B1019" s="428" cm="1">
        <f t="array" ref="B1019">IF(B1018=0,0,IF(B1018&lt;VLOOKUP(C1005,'Boats Data Sheet 2026'!$C$3:$H$57,6,0),B1018+1,0))</f>
        <v>12</v>
      </c>
      <c r="C1019" s="423" cm="1">
        <f t="array" ref="C1019">IF(B1019&gt;0,IF(VLOOKUP(C1005,'Boats Data Sheet 2026'!$C$3:$J$57,8,0)="N/A",0,VLOOKUP(C1005,'Boats Data Sheet 2026'!$C$3:$J$57,8,0)),"N/A")</f>
        <v>0</v>
      </c>
      <c r="D1019" s="429" cm="1">
        <f t="array" ref="D1019">IF(B1019&gt;7,2,IF(B1019=0,"N/A",1))</f>
        <v>2</v>
      </c>
      <c r="E1019" s="423" cm="1">
        <f t="array" ref="E1019">_xlfn.IFERROR(SUM('Direct Costs 2026'!$C$4:$C$5)*D1019,"N/A")</f>
        <v>1751000</v>
      </c>
      <c r="F1019" s="423" cm="1">
        <f t="array" ref="F1019">_xlfn.IFERROR('Direct Costs 2026'!$C$43*B1019,"N/A")</f>
        <v>72000</v>
      </c>
      <c r="G1019" s="423" cm="1">
        <f t="array" ref="G1019">IF(B1019&gt;0,'Direct Costs 2026'!$C$25,"N/A")</f>
        <v>90000</v>
      </c>
      <c r="H1019" s="423" cm="1">
        <f t="array" ref="H1019">IF(B1019&gt;0,('Direct Costs 2026'!$C$15+'Direct Costs 2026'!$C$17+'Direct Costs 2026'!$C$14),"N/A")</f>
        <v>580000</v>
      </c>
      <c r="I1019" s="423" cm="1">
        <f t="array" ref="I1019">IF(B1019&gt;0,'Direct Costs 2026'!$C$19+'Direct Costs 2026'!$C$18*B1019,"N/A")</f>
        <v>495000</v>
      </c>
      <c r="J1019" s="423" cm="1">
        <f t="array" ref="J1019">IF(B1019&gt;0,SUM('Direct Costs 2026'!$C$20:$C$21),"N/A")</f>
        <v>98333.3333333333</v>
      </c>
      <c r="K1019" s="423" cm="1">
        <f t="array" ref="K1019">IF(B1019&gt;0,'Direct Costs 2026'!$C$26,"N/A")</f>
        <v>20000</v>
      </c>
      <c r="L1019" s="423" cm="1">
        <f t="array" ref="L1019">IF(B1019&gt;0,'Direct Costs 2026'!$C$23,"N/A")</f>
        <v>140000</v>
      </c>
      <c r="M1019" s="423" cm="1">
        <f t="array" ref="M1019">IF(B1019&gt;0,'Direct Costs 2026'!$C$45*B1019,"N/A")</f>
        <v>1800000</v>
      </c>
      <c r="N1019" s="423" cm="1">
        <f t="array" ref="N1019">IF(B1019&gt;0,_xlfn.IFERROR(VLOOKUP(C1005,'Boats Data Sheet 2026'!$C$3:$I$57,7,0)*'Direct Costs 2026'!$C$36,"N/A"),"N/A")</f>
        <v>3325000</v>
      </c>
      <c r="O1019" s="423" cm="1">
        <f t="array" ref="O1019">IF(B1019&gt;0,IF(OR(VLOOKUP(C1005,'Boats Data Sheet 2026'!$C$3:$F$57,4,0)="Own",VLOOKUP(C1005,'Boats Data Sheet 2026'!$C$3:$F$57,4,0)="Management"),('Direct Costs 2026'!$C$37+'Direct Costs 2026'!$C$39),"N/A"),"N/A")</f>
        <v>1112400</v>
      </c>
      <c r="P1019" s="423" cm="1">
        <f t="array" ref="P1019">_xlfn.IFERROR('Direct Costs 2026'!$C$27*C1019,"N/A")</f>
        <v>0</v>
      </c>
      <c r="Q1019" s="423" cm="1">
        <f t="array" ref="Q1019">_xlfn.IFERROR(C1019+SUM(E1019:P1019),"N/A")</f>
        <v>9483733.33333333</v>
      </c>
      <c r="R1019" s="424"/>
      <c r="S1019" s="423" cm="1">
        <f t="array" ref="S1019">IF(B1019&gt;0,'Allocation OH and Target 2026'!$E$31,"N/A")</f>
        <v>3100447.15769812</v>
      </c>
      <c r="T1019" s="423" cm="1">
        <f t="array" ref="T1019">IF(B1020&gt;0,VLOOKUP(C1005,'Allocation OH and Target 2026'!$C$35:$S$87,17,0),"N/A")</f>
        <v>1050206.94814815</v>
      </c>
      <c r="U1019" s="423" cm="1">
        <f t="array" ref="U1019">_xlfn.IFERROR((S1019+T1019),"N/A")</f>
        <v>4150654.10584627</v>
      </c>
      <c r="V1019" s="424"/>
      <c r="W1019" s="423" cm="1">
        <f t="array" ref="W1019">_xlfn.IFERROR(U1019+Q1019,"N/A")</f>
        <v>13634387.4391796</v>
      </c>
      <c r="X1019" s="423" cm="1">
        <f t="array" ref="X1019">_xlfn.IFERROR(W1019*0.5%,"N/A")</f>
        <v>68171.937195898</v>
      </c>
      <c r="Y1019" s="423" cm="1">
        <f t="array" ref="Y1019">_xlfn.IFERROR(W1019*25%,"N/A")</f>
        <v>3408596.8597949</v>
      </c>
      <c r="Z1019" s="425" cm="1">
        <f t="array" ref="Z1019">IF(B1019&gt;0,SUM(W1019:Y1019),"N/A")</f>
        <v>17111156.2361704</v>
      </c>
      <c r="AA1019" s="425" cm="1">
        <f t="array" ref="AA1019">_xlfn.IFERROR((Z1019-Z1018),"N/A")</f>
        <v>239705</v>
      </c>
      <c r="AB1019" s="424"/>
      <c r="AC1019" t="str" s="426" cm="1">
        <f t="array" ref="AC1019">IF(B1019=6,AVERAGE(Z1008:Z1013),"N/A")</f>
        <v>N/A</v>
      </c>
      <c r="AD1019" s="424"/>
      <c r="AE1019" s="423"/>
      <c r="AF1019" s="423"/>
      <c r="AG1019" s="423"/>
      <c r="AH1019" s="423"/>
      <c r="AI1019" s="423"/>
      <c r="AJ1019" s="423"/>
      <c r="AK1019" s="423"/>
      <c r="AL1019" s="423"/>
      <c r="AM1019" s="423"/>
      <c r="AN1019" s="427"/>
    </row>
    <row r="1020" ht="15" customHeight="1">
      <c r="A1020" s="12"/>
      <c r="B1020" s="428" cm="1">
        <f t="array" ref="B1020">IF(B1019=0,0,IF(B1019&lt;VLOOKUP(C1005,'Boats Data Sheet 2026'!$C$3:$H$57,6,0),B1019+1,0))</f>
        <v>13</v>
      </c>
      <c r="C1020" s="423" cm="1">
        <f t="array" ref="C1020">IF(B1020&gt;0,IF(VLOOKUP(C1005,'Boats Data Sheet 2026'!$C$3:$J$57,8,0)="N/A",0,VLOOKUP(C1005,'Boats Data Sheet 2026'!$C$3:$J$57,8,0)),"N/A")</f>
        <v>0</v>
      </c>
      <c r="D1020" s="429" cm="1">
        <f t="array" ref="D1020">IF(B1020&gt;7,2,IF(B1020=0,"N/A",1))</f>
        <v>2</v>
      </c>
      <c r="E1020" s="423" cm="1">
        <f t="array" ref="E1020">_xlfn.IFERROR(SUM('Direct Costs 2026'!$C$4:$C$5)*D1020,"N/A")</f>
        <v>1751000</v>
      </c>
      <c r="F1020" s="423" cm="1">
        <f t="array" ref="F1020">_xlfn.IFERROR('Direct Costs 2026'!$C$43*B1020,"N/A")</f>
        <v>78000</v>
      </c>
      <c r="G1020" s="423" cm="1">
        <f t="array" ref="G1020">IF(B1020&gt;0,'Direct Costs 2026'!$C$25,"N/A")</f>
        <v>90000</v>
      </c>
      <c r="H1020" s="423" cm="1">
        <f t="array" ref="H1020">IF(B1020&gt;0,('Direct Costs 2026'!$C$15+'Direct Costs 2026'!$C$17+'Direct Costs 2026'!$C$14),"N/A")</f>
        <v>580000</v>
      </c>
      <c r="I1020" s="423" cm="1">
        <f t="array" ref="I1020">IF(B1020&gt;0,'Direct Costs 2026'!$C$19+'Direct Costs 2026'!$C$18*B1020,"N/A")</f>
        <v>530000</v>
      </c>
      <c r="J1020" s="423" cm="1">
        <f t="array" ref="J1020">IF(B1020&gt;0,SUM('Direct Costs 2026'!$C$20:$C$21),"N/A")</f>
        <v>98333.3333333333</v>
      </c>
      <c r="K1020" s="423" cm="1">
        <f t="array" ref="K1020">IF(B1020&gt;0,'Direct Costs 2026'!$C$26,"N/A")</f>
        <v>20000</v>
      </c>
      <c r="L1020" s="423" cm="1">
        <f t="array" ref="L1020">IF(B1020&gt;0,'Direct Costs 2026'!$C$23,"N/A")</f>
        <v>140000</v>
      </c>
      <c r="M1020" s="423" cm="1">
        <f t="array" ref="M1020">IF(B1020&gt;0,'Direct Costs 2026'!$C$45*B1020,"N/A")</f>
        <v>1950000</v>
      </c>
      <c r="N1020" s="423" cm="1">
        <f t="array" ref="N1020">IF(B1020&gt;0,_xlfn.IFERROR(VLOOKUP(C1005,'Boats Data Sheet 2026'!$C$3:$I$57,7,0)*'Direct Costs 2026'!$C$36,"N/A"),"N/A")</f>
        <v>3325000</v>
      </c>
      <c r="O1020" s="423" cm="1">
        <f t="array" ref="O1020">IF(B1020&gt;0,IF(OR(VLOOKUP(C1005,'Boats Data Sheet 2026'!$C$3:$F$57,4,0)="Own",VLOOKUP(C1005,'Boats Data Sheet 2026'!$C$3:$F$57,4,0)="Management"),('Direct Costs 2026'!$C$37+'Direct Costs 2026'!$C$39),"N/A"),"N/A")</f>
        <v>1112400</v>
      </c>
      <c r="P1020" s="423" cm="1">
        <f t="array" ref="P1020">_xlfn.IFERROR('Direct Costs 2026'!$C$27*C1020,"N/A")</f>
        <v>0</v>
      </c>
      <c r="Q1020" s="423" cm="1">
        <f t="array" ref="Q1020">_xlfn.IFERROR(C1020+SUM(E1020:P1020),"N/A")</f>
        <v>9674733.33333333</v>
      </c>
      <c r="R1020" s="424"/>
      <c r="S1020" s="423" cm="1">
        <f t="array" ref="S1020">IF(B1020&gt;0,'Allocation OH and Target 2026'!$E$31,"N/A")</f>
        <v>3100447.15769812</v>
      </c>
      <c r="T1020" s="423" cm="1">
        <f t="array" ref="T1020">IF(B1020&gt;0,VLOOKUP(C1005,'Allocation OH and Target 2026'!$C$35:$S$87,17,0),"N/A")</f>
        <v>1050206.94814815</v>
      </c>
      <c r="U1020" s="423" cm="1">
        <f t="array" ref="U1020">_xlfn.IFERROR((S1020+T1020),"N/A")</f>
        <v>4150654.10584627</v>
      </c>
      <c r="V1020" s="424"/>
      <c r="W1020" s="423" cm="1">
        <f t="array" ref="W1020">_xlfn.IFERROR(U1020+Q1020,"N/A")</f>
        <v>13825387.4391796</v>
      </c>
      <c r="X1020" s="423" cm="1">
        <f t="array" ref="X1020">_xlfn.IFERROR(W1020*0.5%,"N/A")</f>
        <v>69126.937195898</v>
      </c>
      <c r="Y1020" s="423" cm="1">
        <f t="array" ref="Y1020">_xlfn.IFERROR(W1020*25%,"N/A")</f>
        <v>3456346.8597949</v>
      </c>
      <c r="Z1020" s="425" cm="1">
        <f t="array" ref="Z1020">IF(B1020&gt;0,SUM(W1020:Y1020),"N/A")</f>
        <v>17350861.2361704</v>
      </c>
      <c r="AA1020" s="425" cm="1">
        <f t="array" ref="AA1020">_xlfn.IFERROR((Z1020-Z1019),"N/A")</f>
        <v>239705</v>
      </c>
      <c r="AB1020" s="424"/>
      <c r="AC1020" t="str" s="426" cm="1">
        <f t="array" ref="AC1020">IF(B1020=6,AVERAGE(Z1008:Z1013),"N/A")</f>
        <v>N/A</v>
      </c>
      <c r="AD1020" s="424"/>
      <c r="AE1020" s="423"/>
      <c r="AF1020" s="423"/>
      <c r="AG1020" s="423"/>
      <c r="AH1020" s="423"/>
      <c r="AI1020" s="423"/>
      <c r="AJ1020" s="423"/>
      <c r="AK1020" s="423"/>
      <c r="AL1020" s="423"/>
      <c r="AM1020" s="423"/>
      <c r="AN1020" s="427"/>
    </row>
    <row r="1021" ht="15" customHeight="1">
      <c r="A1021" s="12"/>
      <c r="B1021" s="428" cm="1">
        <f t="array" ref="B1021">IF(B1020=0,0,IF(B1020&lt;VLOOKUP(C1005,'Boats Data Sheet 2026'!$C$3:$H$57,6,0),B1020+1,0))</f>
        <v>0</v>
      </c>
      <c r="C1021" t="str" s="431" cm="1">
        <f t="array" ref="C1021">IF(B1021&gt;0,IF(VLOOKUP(C1005,'Boats Data Sheet 2026'!$C$3:$J$57,8,0)="N/A",0,VLOOKUP(C1005,'Boats Data Sheet 2026'!$C$3:$J$57,8,0)),"N/A")</f>
        <v>N/A</v>
      </c>
      <c r="D1021" t="str" s="431" cm="1">
        <f t="array" ref="D1021">IF(B1021&gt;7,2,IF(B1021=0,"N/A",1))</f>
        <v>N/A</v>
      </c>
      <c r="E1021" t="str" s="431" cm="1">
        <f t="array" ref="E1021">_xlfn.IFERROR(SUM('Direct Costs 2026'!$C$4:$C$5)*D1021,"N/A")</f>
        <v>N/A</v>
      </c>
      <c r="F1021" s="423" cm="1">
        <f t="array" ref="F1021">_xlfn.IFERROR('Direct Costs 2026'!$C$43*B1021,"N/A")</f>
        <v>0</v>
      </c>
      <c r="G1021" t="str" s="431" cm="1">
        <f t="array" ref="G1021">IF(B1021&gt;0,'Direct Costs 2026'!$C$25,"N/A")</f>
        <v>N/A</v>
      </c>
      <c r="H1021" t="str" s="431" cm="1">
        <f t="array" ref="H1021">IF(B1021&gt;0,('Direct Costs 2026'!$C$15+'Direct Costs 2026'!$C$17+'Direct Costs 2026'!$C$14),"N/A")</f>
        <v>N/A</v>
      </c>
      <c r="I1021" t="str" s="431" cm="1">
        <f t="array" ref="I1021">IF(B1021&gt;0,'Direct Costs 2026'!$C$19+'Direct Costs 2026'!$C$18*B1021,"N/A")</f>
        <v>N/A</v>
      </c>
      <c r="J1021" t="str" s="431" cm="1">
        <f t="array" ref="J1021">IF(B1021&gt;0,SUM('Direct Costs 2026'!$C$20:$C$21),"N/A")</f>
        <v>N/A</v>
      </c>
      <c r="K1021" t="str" s="431" cm="1">
        <f t="array" ref="K1021">IF(B1021&gt;0,'Direct Costs 2026'!$C$26,"N/A")</f>
        <v>N/A</v>
      </c>
      <c r="L1021" t="str" s="431" cm="1">
        <f t="array" ref="L1021">IF(B1021&gt;0,'Direct Costs 2026'!$C$23,"N/A")</f>
        <v>N/A</v>
      </c>
      <c r="M1021" t="str" s="431" cm="1">
        <f t="array" ref="M1021">IF(B1021&gt;0,'Direct Costs 2026'!$C$45*B1021,"N/A")</f>
        <v>N/A</v>
      </c>
      <c r="N1021" t="str" s="431" cm="1">
        <f t="array" ref="N1021">IF(B1021&gt;0,_xlfn.IFERROR(VLOOKUP(C1005,'Boats Data Sheet 2026'!$C$3:$I$57,7,0)*'Direct Costs 2026'!$C$36,"N/A"),"N/A")</f>
        <v>N/A</v>
      </c>
      <c r="O1021" t="str" s="431" cm="1">
        <f t="array" ref="O1021">IF(B1021&gt;0,IF(OR(VLOOKUP(C1005,'Boats Data Sheet 2026'!$C$3:$F$57,4,0)="Own",VLOOKUP(C1005,'Boats Data Sheet 2026'!$C$3:$F$57,4,0)="Management"),('Direct Costs 2026'!$C$37+'Direct Costs 2026'!$C$39),"N/A"),"N/A")</f>
        <v>N/A</v>
      </c>
      <c r="P1021" t="str" s="431" cm="1">
        <f t="array" ref="P1021">_xlfn.IFERROR('Direct Costs 2026'!$C$27*C1021,"N/A")</f>
        <v>N/A</v>
      </c>
      <c r="Q1021" t="str" s="431" cm="1">
        <f t="array" ref="Q1021">_xlfn.IFERROR(C1021+SUM(E1021:P1021),"N/A")</f>
        <v>N/A</v>
      </c>
      <c r="R1021" s="424"/>
      <c r="S1021" t="str" s="431" cm="1">
        <f t="array" ref="S1021">IF(B1021&gt;0,'Allocation OH and Target 2026'!$E$31,"N/A")</f>
        <v>N/A</v>
      </c>
      <c r="T1021" t="str" s="431" cm="1">
        <f t="array" ref="T1021">IF(B1021&gt;0,VLOOKUP(C1005,'Allocation OH and Target 2026'!$C$35:$S$87,17,0),"N/A")</f>
        <v>N/A</v>
      </c>
      <c r="U1021" t="str" s="431" cm="1">
        <f t="array" ref="U1021">_xlfn.IFERROR((S1021+T1021),"N/A")</f>
        <v>N/A</v>
      </c>
      <c r="V1021" s="424"/>
      <c r="W1021" t="str" s="431" cm="1">
        <f t="array" ref="W1021">_xlfn.IFERROR(U1021+Q1021,"N/A")</f>
        <v>N/A</v>
      </c>
      <c r="X1021" t="str" s="431" cm="1">
        <f t="array" ref="X1021">_xlfn.IFERROR(W1021*0.5%,"N/A")</f>
        <v>N/A</v>
      </c>
      <c r="Y1021" t="str" s="431" cm="1">
        <f t="array" ref="Y1021">_xlfn.IFERROR(W1021*25%,"N/A")</f>
        <v>N/A</v>
      </c>
      <c r="Z1021" t="str" s="426" cm="1">
        <f t="array" ref="Z1021">IF(B1021&gt;0,SUM(W1021:Y1021),"N/A")</f>
        <v>N/A</v>
      </c>
      <c r="AA1021" t="str" s="426" cm="1">
        <f t="array" ref="AA1021">_xlfn.IFERROR((Z1021-Z1020),"N/A")</f>
        <v>N/A</v>
      </c>
      <c r="AB1021" s="424"/>
      <c r="AC1021" t="str" s="426" cm="1">
        <f t="array" ref="AC1021">IF(B1021=6,AVERAGE(Z1008:Z1013),"N/A")</f>
        <v>N/A</v>
      </c>
      <c r="AD1021" s="424"/>
      <c r="AE1021" s="423"/>
      <c r="AF1021" s="423"/>
      <c r="AG1021" s="423"/>
      <c r="AH1021" s="423"/>
      <c r="AI1021" s="423"/>
      <c r="AJ1021" s="423"/>
      <c r="AK1021" s="423"/>
      <c r="AL1021" s="423"/>
      <c r="AM1021" s="423"/>
      <c r="AN1021" s="427"/>
    </row>
    <row r="1022" ht="15" customHeight="1">
      <c r="A1022" s="12"/>
      <c r="B1022" s="428" cm="1">
        <f t="array" ref="B1022">IF(B1021=0,0,IF(B1021&lt;VLOOKUP(C1005,'Boats Data Sheet 2026'!$C$3:$H$57,6,0),B1021+1,0))</f>
        <v>0</v>
      </c>
      <c r="C1022" t="str" s="431" cm="1">
        <f t="array" ref="C1022">IF(B1022&gt;0,IF(VLOOKUP(C1005,'Boats Data Sheet 2026'!$C$3:$J$57,8,0)="N/A",0,VLOOKUP(C1005,'Boats Data Sheet 2026'!$C$3:$J$57,8,0)),"N/A")</f>
        <v>N/A</v>
      </c>
      <c r="D1022" t="str" s="431" cm="1">
        <f t="array" ref="D1022">IF(B1022&gt;7,2,IF(B1022=0,"N/A",1))</f>
        <v>N/A</v>
      </c>
      <c r="E1022" t="str" s="431" cm="1">
        <f t="array" ref="E1022">_xlfn.IFERROR(SUM('Direct Costs 2026'!$C$4:$C$5)*D1022,"N/A")</f>
        <v>N/A</v>
      </c>
      <c r="F1022" s="423" cm="1">
        <f t="array" ref="F1022">_xlfn.IFERROR('Direct Costs 2026'!$C$43*B1022,"N/A")</f>
        <v>0</v>
      </c>
      <c r="G1022" t="str" s="431" cm="1">
        <f t="array" ref="G1022">IF(B1022&gt;0,'Direct Costs 2026'!$C$25,"N/A")</f>
        <v>N/A</v>
      </c>
      <c r="H1022" t="str" s="431" cm="1">
        <f t="array" ref="H1022">IF(B1022&gt;0,('Direct Costs 2026'!$C$15+'Direct Costs 2026'!$C$17+'Direct Costs 2026'!$C$14),"N/A")</f>
        <v>N/A</v>
      </c>
      <c r="I1022" t="str" s="431" cm="1">
        <f t="array" ref="I1022">IF(B1022&gt;0,'Direct Costs 2026'!$C$19+'Direct Costs 2026'!$C$18*B1022,"N/A")</f>
        <v>N/A</v>
      </c>
      <c r="J1022" t="str" s="431" cm="1">
        <f t="array" ref="J1022">IF(B1022&gt;0,SUM('Direct Costs 2026'!$C$20:$C$21),"N/A")</f>
        <v>N/A</v>
      </c>
      <c r="K1022" t="str" s="431" cm="1">
        <f t="array" ref="K1022">IF(B1022&gt;0,'Direct Costs 2026'!$C$26,"N/A")</f>
        <v>N/A</v>
      </c>
      <c r="L1022" t="str" s="431" cm="1">
        <f t="array" ref="L1022">IF(B1022&gt;0,'Direct Costs 2026'!$C$23,"N/A")</f>
        <v>N/A</v>
      </c>
      <c r="M1022" t="str" s="431" cm="1">
        <f t="array" ref="M1022">IF(B1022&gt;0,'Direct Costs 2026'!$C$45*B1022,"N/A")</f>
        <v>N/A</v>
      </c>
      <c r="N1022" t="str" s="431" cm="1">
        <f t="array" ref="N1022">IF(B1022&gt;0,_xlfn.IFERROR(VLOOKUP(C1005,'Boats Data Sheet 2026'!$C$3:$I$57,7,0)*'Direct Costs 2026'!$C$36,"N/A"),"N/A")</f>
        <v>N/A</v>
      </c>
      <c r="O1022" t="str" s="431" cm="1">
        <f t="array" ref="O1022">IF(B1022&gt;0,IF(OR(VLOOKUP(C1005,'Boats Data Sheet 2026'!$C$3:$F$57,4,0)="Own",VLOOKUP(C1005,'Boats Data Sheet 2026'!$C$3:$F$57,4,0)="Management"),('Direct Costs 2026'!$C$37+'Direct Costs 2026'!$C$39),"N/A"),"N/A")</f>
        <v>N/A</v>
      </c>
      <c r="P1022" t="str" s="431" cm="1">
        <f t="array" ref="P1022">_xlfn.IFERROR('Direct Costs 2026'!$C$27*C1022,"N/A")</f>
        <v>N/A</v>
      </c>
      <c r="Q1022" t="str" s="431" cm="1">
        <f t="array" ref="Q1022">_xlfn.IFERROR(C1022+SUM(E1022:P1022),"N/A")</f>
        <v>N/A</v>
      </c>
      <c r="R1022" s="424"/>
      <c r="S1022" t="str" s="431" cm="1">
        <f t="array" ref="S1022">IF(B1022&gt;0,'Allocation OH and Target 2026'!$E$31,"N/A")</f>
        <v>N/A</v>
      </c>
      <c r="T1022" t="str" s="431" cm="1">
        <f t="array" ref="T1022">IF(B1022&gt;0,VLOOKUP(C1005,'Allocation OH and Target 2026'!$C$35:$S$87,16,0),"N/A")</f>
        <v>N/A</v>
      </c>
      <c r="U1022" t="str" s="431" cm="1">
        <f t="array" ref="U1022">_xlfn.IFERROR((S1022+T1022),"N/A")</f>
        <v>N/A</v>
      </c>
      <c r="V1022" s="424"/>
      <c r="W1022" t="str" s="431" cm="1">
        <f t="array" ref="W1022">_xlfn.IFERROR(U1022+Q1022,"N/A")</f>
        <v>N/A</v>
      </c>
      <c r="X1022" t="str" s="431" cm="1">
        <f t="array" ref="X1022">_xlfn.IFERROR(W1022*0.5%,"N/A")</f>
        <v>N/A</v>
      </c>
      <c r="Y1022" t="str" s="431" cm="1">
        <f t="array" ref="Y1022">_xlfn.IFERROR(W1022*25%,"N/A")</f>
        <v>N/A</v>
      </c>
      <c r="Z1022" t="str" s="426" cm="1">
        <f t="array" ref="Z1022">IF(B1022&gt;0,SUM(W1022:Y1022),"N/A")</f>
        <v>N/A</v>
      </c>
      <c r="AA1022" t="str" s="426" cm="1">
        <f t="array" ref="AA1022">_xlfn.IFERROR((Z1022-Z1021),"N/A")</f>
        <v>N/A</v>
      </c>
      <c r="AB1022" s="424"/>
      <c r="AC1022" t="str" s="426" cm="1">
        <f t="array" ref="AC1022">IF(B1022=6,AVERAGE(Z1008:Z1013),"N/A")</f>
        <v>N/A</v>
      </c>
      <c r="AD1022" s="424"/>
      <c r="AE1022" s="423"/>
      <c r="AF1022" s="423"/>
      <c r="AG1022" s="423"/>
      <c r="AH1022" s="423"/>
      <c r="AI1022" s="423"/>
      <c r="AJ1022" s="423"/>
      <c r="AK1022" s="423"/>
      <c r="AL1022" s="423"/>
      <c r="AM1022" s="423"/>
      <c r="AN1022" s="427"/>
    </row>
    <row r="1023" ht="15" customHeight="1">
      <c r="A1023" s="12"/>
      <c r="B1023" s="428" cm="1">
        <f t="array" ref="B1023">IF(B1022=0,0,IF(B1022&lt;VLOOKUP(C1005,'Boats Data Sheet 2026'!$C$3:$H$57,6,0),B1022+1,0))</f>
        <v>0</v>
      </c>
      <c r="C1023" t="str" s="431" cm="1">
        <f t="array" ref="C1023">IF(B1023&gt;0,IF(VLOOKUP(C1005,'Boats Data Sheet 2026'!$C$3:$J$57,8,0)="N/A",0,VLOOKUP(C1005,'Boats Data Sheet 2026'!$C$3:$J$57,8,0)),"N/A")</f>
        <v>N/A</v>
      </c>
      <c r="D1023" t="str" s="431" cm="1">
        <f t="array" ref="D1023">IF(B1023&gt;7,2,IF(B1023=0,"N/A",1))</f>
        <v>N/A</v>
      </c>
      <c r="E1023" t="str" s="431" cm="1">
        <f t="array" ref="E1023">_xlfn.IFERROR(SUM('Direct Costs 2026'!$C$4:$C$5)*D1023,"N/A")</f>
        <v>N/A</v>
      </c>
      <c r="F1023" s="423" cm="1">
        <f t="array" ref="F1023">_xlfn.IFERROR('Direct Costs 2026'!$C$43*B1023,"N/A")</f>
        <v>0</v>
      </c>
      <c r="G1023" t="str" s="431" cm="1">
        <f t="array" ref="G1023">IF(B1023&gt;0,'Direct Costs 2026'!$C$25,"N/A")</f>
        <v>N/A</v>
      </c>
      <c r="H1023" t="str" s="431" cm="1">
        <f t="array" ref="H1023">IF(B1023&gt;0,('Direct Costs 2026'!$C$15+'Direct Costs 2026'!$C$17+'Direct Costs 2026'!$C$14),"N/A")</f>
        <v>N/A</v>
      </c>
      <c r="I1023" t="str" s="431" cm="1">
        <f t="array" ref="I1023">IF(B1023&gt;0,'Direct Costs 2026'!$C$19+'Direct Costs 2026'!$C$18*B1023,"N/A")</f>
        <v>N/A</v>
      </c>
      <c r="J1023" t="str" s="431" cm="1">
        <f t="array" ref="J1023">IF(B1023&gt;0,SUM('Direct Costs 2026'!$C$20:$C$21),"N/A")</f>
        <v>N/A</v>
      </c>
      <c r="K1023" t="str" s="431" cm="1">
        <f t="array" ref="K1023">IF(B1023&gt;0,'Direct Costs 2026'!$C$26,"N/A")</f>
        <v>N/A</v>
      </c>
      <c r="L1023" t="str" s="431" cm="1">
        <f t="array" ref="L1023">IF(B1023&gt;0,'Direct Costs 2026'!$C$23,"N/A")</f>
        <v>N/A</v>
      </c>
      <c r="M1023" t="str" s="431" cm="1">
        <f t="array" ref="M1023">IF(B1023&gt;0,'Direct Costs 2026'!$C$45*B1023,"N/A")</f>
        <v>N/A</v>
      </c>
      <c r="N1023" t="str" s="431" cm="1">
        <f t="array" ref="N1023">IF(B1023&gt;0,_xlfn.IFERROR(VLOOKUP(C1005,'Boats Data Sheet 2026'!$C$3:$I$57,7,0)*'Direct Costs 2026'!$C$36,"N/A"),"N/A")</f>
        <v>N/A</v>
      </c>
      <c r="O1023" t="str" s="431" cm="1">
        <f t="array" ref="O1023">IF(B1023&gt;0,IF(OR(VLOOKUP(C1005,'Boats Data Sheet 2026'!$C$3:$F$57,4,0)="Own",VLOOKUP(C1005,'Boats Data Sheet 2026'!$C$3:$F$57,4,0)="Management"),('Direct Costs 2026'!$C$37+'Direct Costs 2026'!$C$39),"N/A"),"N/A")</f>
        <v>N/A</v>
      </c>
      <c r="P1023" t="str" s="431" cm="1">
        <f t="array" ref="P1023">_xlfn.IFERROR('Direct Costs 2026'!$C$27*C1023,"N/A")</f>
        <v>N/A</v>
      </c>
      <c r="Q1023" t="str" s="431" cm="1">
        <f t="array" ref="Q1023">_xlfn.IFERROR(C1023+SUM(E1023:P1023),"N/A")</f>
        <v>N/A</v>
      </c>
      <c r="R1023" s="424"/>
      <c r="S1023" t="str" s="431" cm="1">
        <f t="array" ref="S1023">IF(B1023&gt;0,'Allocation OH and Target 2026'!$E$31,"N/A")</f>
        <v>N/A</v>
      </c>
      <c r="T1023" t="str" s="431" cm="1">
        <f t="array" ref="T1023">IF(B1023&gt;0,VLOOKUP(C1005,'Allocation OH and Target 2026'!$C$35:$S$87,16,0),"N/A")</f>
        <v>N/A</v>
      </c>
      <c r="U1023" t="str" s="431" cm="1">
        <f t="array" ref="U1023">_xlfn.IFERROR((S1023+T1023),"N/A")</f>
        <v>N/A</v>
      </c>
      <c r="V1023" s="424"/>
      <c r="W1023" t="str" s="431" cm="1">
        <f t="array" ref="W1023">_xlfn.IFERROR(U1023+Q1023,"N/A")</f>
        <v>N/A</v>
      </c>
      <c r="X1023" t="str" s="431" cm="1">
        <f t="array" ref="X1023">_xlfn.IFERROR(W1023*0.5%,"N/A")</f>
        <v>N/A</v>
      </c>
      <c r="Y1023" t="str" s="431" cm="1">
        <f t="array" ref="Y1023">_xlfn.IFERROR(W1023*25%,"N/A")</f>
        <v>N/A</v>
      </c>
      <c r="Z1023" t="str" s="426" cm="1">
        <f t="array" ref="Z1023">IF(B1023&gt;0,SUM(W1023:Y1023),"N/A")</f>
        <v>N/A</v>
      </c>
      <c r="AA1023" t="str" s="426" cm="1">
        <f t="array" ref="AA1023">_xlfn.IFERROR((Z1023-Z1022),"N/A")</f>
        <v>N/A</v>
      </c>
      <c r="AB1023" s="424"/>
      <c r="AC1023" t="str" s="426" cm="1">
        <f t="array" ref="AC1023">IF(B1023=6,AVERAGE(Z1008:Z1013),"N/A")</f>
        <v>N/A</v>
      </c>
      <c r="AD1023" s="424"/>
      <c r="AE1023" s="423"/>
      <c r="AF1023" s="423"/>
      <c r="AG1023" s="423"/>
      <c r="AH1023" s="423"/>
      <c r="AI1023" s="423"/>
      <c r="AJ1023" s="423"/>
      <c r="AK1023" s="423"/>
      <c r="AL1023" s="423"/>
      <c r="AM1023" s="423"/>
      <c r="AN1023" s="427"/>
    </row>
    <row r="1024" ht="15" customHeight="1">
      <c r="A1024" s="12"/>
      <c r="B1024" s="428" cm="1">
        <f t="array" ref="B1024">IF(B1023=0,0,IF(B1023&lt;VLOOKUP(C1005,'Boats Data Sheet 2026'!$C$3:$H$57,6,0),B1023+1,0))</f>
        <v>0</v>
      </c>
      <c r="C1024" t="str" s="431" cm="1">
        <f t="array" ref="C1024">IF(B1024&gt;0,IF(VLOOKUP(C1005,'Boats Data Sheet 2026'!$C$3:$J$57,8,0)="N/A",0,VLOOKUP(C1005,'Boats Data Sheet 2026'!$C$3:$J$57,8,0)),"N/A")</f>
        <v>N/A</v>
      </c>
      <c r="D1024" t="str" s="431" cm="1">
        <f t="array" ref="D1024">IF(B1024&gt;7,2,IF(B1024=0,"N/A",1))</f>
        <v>N/A</v>
      </c>
      <c r="E1024" t="str" s="431" cm="1">
        <f t="array" ref="E1024">_xlfn.IFERROR(SUM('Direct Costs 2026'!$C$4:$C$5)*D1024,"N/A")</f>
        <v>N/A</v>
      </c>
      <c r="F1024" s="423" cm="1">
        <f t="array" ref="F1024">_xlfn.IFERROR('Direct Costs 2026'!$C$43*B1024,"N/A")</f>
        <v>0</v>
      </c>
      <c r="G1024" t="str" s="431" cm="1">
        <f t="array" ref="G1024">IF(B1024&gt;0,'Direct Costs 2026'!$C$25,"N/A")</f>
        <v>N/A</v>
      </c>
      <c r="H1024" t="str" s="431" cm="1">
        <f t="array" ref="H1024">IF(B1024&gt;0,('Direct Costs 2026'!$C$15+'Direct Costs 2026'!$C$17+'Direct Costs 2026'!$C$14),"N/A")</f>
        <v>N/A</v>
      </c>
      <c r="I1024" t="str" s="431" cm="1">
        <f t="array" ref="I1024">IF(B1024&gt;0,'Direct Costs 2026'!$C$19+'Direct Costs 2026'!$C$18*B1024,"N/A")</f>
        <v>N/A</v>
      </c>
      <c r="J1024" t="str" s="431" cm="1">
        <f t="array" ref="J1024">IF(B1024&gt;0,SUM('Direct Costs 2026'!$C$20:$C$21),"N/A")</f>
        <v>N/A</v>
      </c>
      <c r="K1024" t="str" s="431" cm="1">
        <f t="array" ref="K1024">IF(B1024&gt;0,'Direct Costs 2026'!$C$26,"N/A")</f>
        <v>N/A</v>
      </c>
      <c r="L1024" t="str" s="431" cm="1">
        <f t="array" ref="L1024">IF(B1024&gt;0,'Direct Costs 2026'!$C$23,"N/A")</f>
        <v>N/A</v>
      </c>
      <c r="M1024" t="str" s="431" cm="1">
        <f t="array" ref="M1024">IF(B1024&gt;0,'Direct Costs 2026'!$C$45*B1024,"N/A")</f>
        <v>N/A</v>
      </c>
      <c r="N1024" t="str" s="431" cm="1">
        <f t="array" ref="N1024">IF(B1024&gt;0,_xlfn.IFERROR(VLOOKUP(C1005,'Boats Data Sheet 2026'!$C$3:$I$57,7,0)*'Direct Costs 2026'!$C$36,"N/A"),"N/A")</f>
        <v>N/A</v>
      </c>
      <c r="O1024" t="str" s="431" cm="1">
        <f t="array" ref="O1024">IF(B1024&gt;0,IF(OR(VLOOKUP(C1005,'Boats Data Sheet 2026'!$C$3:$F$57,4,0)="Own",VLOOKUP(C1005,'Boats Data Sheet 2026'!$C$3:$F$57,4,0)="Management"),('Direct Costs 2026'!$C$37+'Direct Costs 2026'!$C$39),"N/A"),"N/A")</f>
        <v>N/A</v>
      </c>
      <c r="P1024" t="str" s="431" cm="1">
        <f t="array" ref="P1024">_xlfn.IFERROR('Direct Costs 2026'!$C$27*C1024,"N/A")</f>
        <v>N/A</v>
      </c>
      <c r="Q1024" t="str" s="431" cm="1">
        <f t="array" ref="Q1024">_xlfn.IFERROR(C1024+SUM(E1024:P1024),"N/A")</f>
        <v>N/A</v>
      </c>
      <c r="R1024" s="424"/>
      <c r="S1024" t="str" s="431" cm="1">
        <f t="array" ref="S1024">IF(B1024&gt;0,'Allocation OH and Target 2026'!$E$31,"N/A")</f>
        <v>N/A</v>
      </c>
      <c r="T1024" t="str" s="431" cm="1">
        <f t="array" ref="T1024">IF(B1024&gt;0,VLOOKUP(C1005,'Allocation OH and Target 2026'!$C$35:$S$87,16,0),"N/A")</f>
        <v>N/A</v>
      </c>
      <c r="U1024" t="str" s="431" cm="1">
        <f t="array" ref="U1024">_xlfn.IFERROR((S1024+T1024),"N/A")</f>
        <v>N/A</v>
      </c>
      <c r="V1024" s="424"/>
      <c r="W1024" t="str" s="431" cm="1">
        <f t="array" ref="W1024">_xlfn.IFERROR(U1024+Q1024,"N/A")</f>
        <v>N/A</v>
      </c>
      <c r="X1024" t="str" s="431" cm="1">
        <f t="array" ref="X1024">_xlfn.IFERROR(W1024*0.5%,"N/A")</f>
        <v>N/A</v>
      </c>
      <c r="Y1024" t="str" s="431" cm="1">
        <f t="array" ref="Y1024">_xlfn.IFERROR(W1024*25%,"N/A")</f>
        <v>N/A</v>
      </c>
      <c r="Z1024" t="str" s="426" cm="1">
        <f t="array" ref="Z1024">IF(B1024&gt;0,SUM(W1024:Y1024),"N/A")</f>
        <v>N/A</v>
      </c>
      <c r="AA1024" t="str" s="426" cm="1">
        <f t="array" ref="AA1024">_xlfn.IFERROR((Z1024-Z1023),"N/A")</f>
        <v>N/A</v>
      </c>
      <c r="AB1024" s="424"/>
      <c r="AC1024" t="str" s="426" cm="1">
        <f t="array" ref="AC1024">IF(B1024=6,AVERAGE(Z1008:Z1013),"N/A")</f>
        <v>N/A</v>
      </c>
      <c r="AD1024" s="424"/>
      <c r="AE1024" s="423"/>
      <c r="AF1024" s="423"/>
      <c r="AG1024" s="423"/>
      <c r="AH1024" s="423"/>
      <c r="AI1024" s="423"/>
      <c r="AJ1024" s="423"/>
      <c r="AK1024" s="423"/>
      <c r="AL1024" s="423"/>
      <c r="AM1024" s="423"/>
      <c r="AN1024" s="427"/>
    </row>
    <row r="1025" ht="15.5" customHeight="1">
      <c r="A1025" s="12"/>
      <c r="B1025" s="432" cm="1">
        <f t="array" ref="B1025">IF(B1024=0,0,IF(B1024&lt;VLOOKUP(C1005,'Boats Data Sheet 2026'!$C$3:$H$57,6,0),B1024+1,0))</f>
        <v>0</v>
      </c>
      <c r="C1025" t="str" s="433" cm="1">
        <f t="array" ref="C1025">IF(B1025&gt;0,IF(VLOOKUP(C1005,'Boats Data Sheet 2026'!$C$3:$J$57,8,0)="N/A",0,VLOOKUP(C1005,'Boats Data Sheet 2026'!$C$3:$J$57,8,0)),"N/A")</f>
        <v>N/A</v>
      </c>
      <c r="D1025" t="str" s="433" cm="1">
        <f t="array" ref="D1025">IF(B1025&gt;7,2,IF(B1025=0,"N/A",1))</f>
        <v>N/A</v>
      </c>
      <c r="E1025" t="str" s="433" cm="1">
        <f t="array" ref="E1025">_xlfn.IFERROR(SUM('Direct Costs 2026'!$C$4:$C$5)*D1025,"N/A")</f>
        <v>N/A</v>
      </c>
      <c r="F1025" s="434" cm="1">
        <f t="array" ref="F1025">_xlfn.IFERROR('Direct Costs 2026'!$C$43*B1025,"N/A")</f>
        <v>0</v>
      </c>
      <c r="G1025" t="str" s="433" cm="1">
        <f t="array" ref="G1025">IF(B1025&gt;0,'Direct Costs 2026'!$C$25,"N/A")</f>
        <v>N/A</v>
      </c>
      <c r="H1025" t="str" s="433" cm="1">
        <f t="array" ref="H1025">IF(B1025&gt;0,('Direct Costs 2026'!$C$15+'Direct Costs 2026'!$C$17+'Direct Costs 2026'!$C$14),"N/A")</f>
        <v>N/A</v>
      </c>
      <c r="I1025" t="str" s="433" cm="1">
        <f t="array" ref="I1025">IF(B1025&gt;0,'Direct Costs 2026'!$C$19+'Direct Costs 2026'!$C$18*B1025,"N/A")</f>
        <v>N/A</v>
      </c>
      <c r="J1025" t="str" s="433" cm="1">
        <f t="array" ref="J1025">IF(B1025&gt;0,SUM('Direct Costs 2026'!$C$20:$C$21),"N/A")</f>
        <v>N/A</v>
      </c>
      <c r="K1025" t="str" s="433" cm="1">
        <f t="array" ref="K1025">IF(B1025&gt;0,'Direct Costs 2026'!$C$26,"N/A")</f>
        <v>N/A</v>
      </c>
      <c r="L1025" t="str" s="433" cm="1">
        <f t="array" ref="L1025">IF(B1025&gt;0,'Direct Costs 2026'!$C$23,"N/A")</f>
        <v>N/A</v>
      </c>
      <c r="M1025" t="str" s="433" cm="1">
        <f t="array" ref="M1025">IF(B1025&gt;0,'Direct Costs 2026'!$C$45*B1025,"N/A")</f>
        <v>N/A</v>
      </c>
      <c r="N1025" t="str" s="433" cm="1">
        <f t="array" ref="N1025">IF(B1025&gt;0,_xlfn.IFERROR(VLOOKUP(C1005,'Boats Data Sheet 2026'!$C$3:$I$57,7,0)*'Direct Costs 2026'!$C$36,"N/A"),"N/A")</f>
        <v>N/A</v>
      </c>
      <c r="O1025" t="str" s="433" cm="1">
        <f t="array" ref="O1025">IF(B1025&gt;0,IF(OR(VLOOKUP(C1005,'Boats Data Sheet 2026'!$C$3:$F$57,4,0)="Own",VLOOKUP(C1005,'Boats Data Sheet 2026'!$C$3:$F$57,4,0)="Management"),('Direct Costs 2026'!$C$37+'Direct Costs 2026'!$C$39),"N/A"),"N/A")</f>
        <v>N/A</v>
      </c>
      <c r="P1025" t="str" s="433" cm="1">
        <f t="array" ref="P1025">_xlfn.IFERROR('Direct Costs 2026'!$C$27*C1025,"N/A")</f>
        <v>N/A</v>
      </c>
      <c r="Q1025" t="str" s="433" cm="1">
        <f t="array" ref="Q1025">_xlfn.IFERROR(C1025+SUM(E1025:P1025),"N/A")</f>
        <v>N/A</v>
      </c>
      <c r="R1025" s="435"/>
      <c r="S1025" t="str" s="433" cm="1">
        <f t="array" ref="S1025">IF(B1025&gt;0,'Allocation OH and Target 2026'!$E$31,"N/A")</f>
        <v>N/A</v>
      </c>
      <c r="T1025" t="str" s="433" cm="1">
        <f t="array" ref="T1025">IF(B1025&gt;0,VLOOKUP(C1005,'Allocation OH and Target 2026'!$C$35:$S$87,16,0),"N/A")</f>
        <v>N/A</v>
      </c>
      <c r="U1025" t="str" s="433" cm="1">
        <f t="array" ref="U1025">_xlfn.IFERROR((S1025+T1025),"N/A")</f>
        <v>N/A</v>
      </c>
      <c r="V1025" s="435"/>
      <c r="W1025" t="str" s="433" cm="1">
        <f t="array" ref="W1025">_xlfn.IFERROR(U1025+Q1025,"N/A")</f>
        <v>N/A</v>
      </c>
      <c r="X1025" t="str" s="433" cm="1">
        <f t="array" ref="X1025">_xlfn.IFERROR(W1025*0.5%,"N/A")</f>
        <v>N/A</v>
      </c>
      <c r="Y1025" t="str" s="433" cm="1">
        <f t="array" ref="Y1025">_xlfn.IFERROR(W1025*25%,"N/A")</f>
        <v>N/A</v>
      </c>
      <c r="Z1025" t="str" s="436" cm="1">
        <f t="array" ref="Z1025">IF(B1025&gt;0,SUM(W1025:Y1025),"N/A")</f>
        <v>N/A</v>
      </c>
      <c r="AA1025" t="str" s="436" cm="1">
        <f t="array" ref="AA1025">_xlfn.IFERROR((Z1025-Z1024),"N/A")</f>
        <v>N/A</v>
      </c>
      <c r="AB1025" s="435"/>
      <c r="AC1025" t="str" s="436" cm="1">
        <f t="array" ref="AC1025">IF(B1025=6,AVERAGE(Z1008:Z1013),"N/A")</f>
        <v>N/A</v>
      </c>
      <c r="AD1025" s="435"/>
      <c r="AE1025" s="434"/>
      <c r="AF1025" s="434"/>
      <c r="AG1025" s="434"/>
      <c r="AH1025" s="434"/>
      <c r="AI1025" s="434"/>
      <c r="AJ1025" s="434"/>
      <c r="AK1025" s="434"/>
      <c r="AL1025" s="434"/>
      <c r="AM1025" s="434"/>
      <c r="AN1025" s="437"/>
    </row>
    <row r="1026" ht="15" customHeight="1">
      <c r="A1026" s="32"/>
      <c r="B1026" s="124"/>
      <c r="C1026" s="124"/>
      <c r="D1026" s="124"/>
      <c r="E1026" s="124"/>
      <c r="F1026" s="124"/>
      <c r="G1026" s="124"/>
      <c r="H1026" s="124"/>
      <c r="I1026" s="124"/>
      <c r="J1026" s="124"/>
      <c r="K1026" s="124"/>
      <c r="L1026" s="124"/>
      <c r="M1026" s="124"/>
      <c r="N1026" s="124"/>
      <c r="O1026" s="124"/>
      <c r="P1026" s="124"/>
      <c r="Q1026" s="124"/>
      <c r="R1026" s="124"/>
      <c r="S1026" s="124"/>
      <c r="T1026" s="124"/>
      <c r="U1026" s="124"/>
      <c r="V1026" s="124"/>
      <c r="W1026" s="124"/>
      <c r="X1026" s="124"/>
      <c r="Y1026" s="124"/>
      <c r="Z1026" s="124"/>
      <c r="AA1026" s="124"/>
      <c r="AB1026" s="124"/>
      <c r="AC1026" s="124"/>
      <c r="AD1026" s="124"/>
      <c r="AE1026" s="124"/>
      <c r="AF1026" s="124"/>
      <c r="AG1026" s="124"/>
      <c r="AH1026" s="124"/>
      <c r="AI1026" s="124"/>
      <c r="AJ1026" s="124"/>
      <c r="AK1026" s="124"/>
      <c r="AL1026" s="124"/>
      <c r="AM1026" s="124"/>
      <c r="AN1026" s="313"/>
    </row>
    <row r="1027" ht="15" customHeight="1">
      <c r="A1027" s="32"/>
      <c r="B1027" s="35"/>
      <c r="C1027" s="35"/>
      <c r="D1027" s="35"/>
      <c r="E1027" s="35"/>
      <c r="F1027" s="35"/>
      <c r="G1027" s="35"/>
      <c r="H1027" s="35"/>
      <c r="I1027" s="35"/>
      <c r="J1027" s="35"/>
      <c r="K1027" s="35"/>
      <c r="L1027" s="35"/>
      <c r="M1027" s="35"/>
      <c r="N1027" s="35"/>
      <c r="O1027" s="35"/>
      <c r="P1027" s="35"/>
      <c r="Q1027" s="35"/>
      <c r="R1027" s="35"/>
      <c r="S1027" s="35"/>
      <c r="T1027" s="35"/>
      <c r="U1027" s="35"/>
      <c r="V1027" s="35"/>
      <c r="W1027" s="35"/>
      <c r="X1027" s="35"/>
      <c r="Y1027" s="35"/>
      <c r="Z1027" s="35"/>
      <c r="AA1027" s="35"/>
      <c r="AB1027" s="35"/>
      <c r="AC1027" s="35"/>
      <c r="AD1027" s="35"/>
      <c r="AE1027" s="35"/>
      <c r="AF1027" s="35"/>
      <c r="AG1027" s="35"/>
      <c r="AH1027" s="35"/>
      <c r="AI1027" s="35"/>
      <c r="AJ1027" s="35"/>
      <c r="AK1027" s="35"/>
      <c r="AL1027" s="35"/>
      <c r="AM1027" s="35"/>
      <c r="AN1027" s="442"/>
    </row>
    <row r="1028" ht="15.5" customHeight="1">
      <c r="A1028" s="395">
        <v>35</v>
      </c>
      <c r="B1028" t="s" s="396">
        <v>506</v>
      </c>
      <c r="C1028" t="s" s="397">
        <v>51</v>
      </c>
      <c r="D1028" s="398"/>
      <c r="E1028" s="398"/>
      <c r="F1028" s="398"/>
      <c r="G1028" s="398"/>
      <c r="H1028" s="398"/>
      <c r="I1028" s="398"/>
      <c r="J1028" s="398"/>
      <c r="K1028" s="398"/>
      <c r="L1028" s="398"/>
      <c r="M1028" s="398"/>
      <c r="N1028" s="398"/>
      <c r="O1028" s="398"/>
      <c r="P1028" s="398"/>
      <c r="Q1028" s="398"/>
      <c r="R1028" s="399"/>
      <c r="S1028" s="398"/>
      <c r="T1028" s="398"/>
      <c r="U1028" s="398"/>
      <c r="V1028" s="399"/>
      <c r="W1028" s="398"/>
      <c r="X1028" s="398"/>
      <c r="Y1028" s="398"/>
      <c r="Z1028" s="398"/>
      <c r="AA1028" s="398"/>
      <c r="AB1028" s="399"/>
      <c r="AC1028" s="398"/>
      <c r="AD1028" s="399"/>
      <c r="AE1028" t="s" s="400">
        <v>508</v>
      </c>
      <c r="AF1028" s="401" cm="1">
        <f t="array" ref="AF1028">AVERAGE(Q1031:Q1036)</f>
        <v>6984733.33333333</v>
      </c>
      <c r="AG1028" t="s" s="400">
        <v>509</v>
      </c>
      <c r="AH1028" s="401" cm="1">
        <f t="array" ref="AH1028">AVERAGE(Q1037:Q1044)-AF1028</f>
        <v>1991928.57142857</v>
      </c>
      <c r="AI1028" t="s" s="400">
        <v>510</v>
      </c>
      <c r="AJ1028" s="401" cm="1">
        <f t="array" ref="AJ1028">AVERAGE(Y1031:Y1038)</f>
        <v>2858956.2347949</v>
      </c>
      <c r="AK1028" t="s" s="397">
        <v>511</v>
      </c>
      <c r="AL1028" s="401" cm="1">
        <f t="array" ref="AL1028">AVERAGE(W1031:W1036)</f>
        <v>11135387.4391796</v>
      </c>
      <c r="AM1028" t="s" s="400">
        <v>512</v>
      </c>
      <c r="AN1028" s="402" cm="1">
        <f t="array" ref="AN1028">W1031</f>
        <v>10657887.4391796</v>
      </c>
    </row>
    <row r="1029" ht="15" customHeight="1">
      <c r="A1029" s="12"/>
      <c r="B1029" s="403"/>
      <c r="C1029" t="s" s="404">
        <v>513</v>
      </c>
      <c r="D1029" s="405"/>
      <c r="E1029" s="405"/>
      <c r="F1029" s="405"/>
      <c r="G1029" s="405"/>
      <c r="H1029" s="405"/>
      <c r="I1029" s="405"/>
      <c r="J1029" s="405"/>
      <c r="K1029" s="405"/>
      <c r="L1029" s="405"/>
      <c r="M1029" s="405"/>
      <c r="N1029" s="405"/>
      <c r="O1029" s="405"/>
      <c r="P1029" s="405"/>
      <c r="Q1029" s="406"/>
      <c r="R1029" s="407"/>
      <c r="S1029" t="s" s="404">
        <v>514</v>
      </c>
      <c r="T1029" s="405"/>
      <c r="U1029" s="406"/>
      <c r="V1029" s="407"/>
      <c r="W1029" t="s" s="404">
        <v>515</v>
      </c>
      <c r="X1029" s="405"/>
      <c r="Y1029" s="405"/>
      <c r="Z1029" s="405"/>
      <c r="AA1029" s="405"/>
      <c r="AB1029" s="408"/>
      <c r="AC1029" t="s" s="409">
        <v>516</v>
      </c>
      <c r="AD1029" s="410"/>
      <c r="AE1029" s="411"/>
      <c r="AF1029" s="412"/>
      <c r="AG1029" s="412"/>
      <c r="AH1029" s="412"/>
      <c r="AI1029" s="412"/>
      <c r="AJ1029" s="412"/>
      <c r="AK1029" s="413"/>
      <c r="AL1029" s="414"/>
      <c r="AM1029" s="415"/>
      <c r="AN1029" s="414"/>
    </row>
    <row r="1030" ht="46.25" customHeight="1">
      <c r="A1030" s="187"/>
      <c r="B1030" t="s" s="416">
        <v>517</v>
      </c>
      <c r="C1030" t="s" s="417">
        <v>518</v>
      </c>
      <c r="D1030" t="s" s="417">
        <v>519</v>
      </c>
      <c r="E1030" t="s" s="417">
        <v>520</v>
      </c>
      <c r="F1030" t="s" s="159">
        <v>521</v>
      </c>
      <c r="G1030" t="s" s="159">
        <v>522</v>
      </c>
      <c r="H1030" t="s" s="159">
        <v>523</v>
      </c>
      <c r="I1030" t="s" s="159">
        <v>524</v>
      </c>
      <c r="J1030" t="s" s="159">
        <v>525</v>
      </c>
      <c r="K1030" t="s" s="159">
        <v>526</v>
      </c>
      <c r="L1030" t="s" s="159">
        <v>527</v>
      </c>
      <c r="M1030" t="s" s="159">
        <v>528</v>
      </c>
      <c r="N1030" t="s" s="159">
        <v>529</v>
      </c>
      <c r="O1030" t="s" s="159">
        <v>530</v>
      </c>
      <c r="P1030" t="s" s="159">
        <v>531</v>
      </c>
      <c r="Q1030" t="s" s="159">
        <v>532</v>
      </c>
      <c r="R1030" s="418"/>
      <c r="S1030" t="s" s="159">
        <v>533</v>
      </c>
      <c r="T1030" t="s" s="159">
        <v>534</v>
      </c>
      <c r="U1030" t="s" s="159">
        <v>535</v>
      </c>
      <c r="V1030" s="418"/>
      <c r="W1030" t="s" s="159">
        <v>536</v>
      </c>
      <c r="X1030" t="s" s="159">
        <v>537</v>
      </c>
      <c r="Y1030" t="s" s="159">
        <v>538</v>
      </c>
      <c r="Z1030" t="s" s="159">
        <v>539</v>
      </c>
      <c r="AA1030" t="s" s="159">
        <v>121</v>
      </c>
      <c r="AB1030" s="419"/>
      <c r="AC1030" t="s" s="159">
        <v>39</v>
      </c>
      <c r="AD1030" s="419"/>
      <c r="AE1030" t="s" s="159">
        <v>564</v>
      </c>
      <c r="AF1030" t="s" s="159">
        <v>544</v>
      </c>
      <c r="AG1030" s="77"/>
      <c r="AH1030" s="77"/>
      <c r="AI1030" s="77"/>
      <c r="AJ1030" s="77"/>
      <c r="AK1030" s="77"/>
      <c r="AL1030" s="77"/>
      <c r="AM1030" s="77"/>
      <c r="AN1030" s="78"/>
    </row>
    <row r="1031" ht="15" customHeight="1">
      <c r="A1031" s="12"/>
      <c r="B1031" s="420">
        <v>1</v>
      </c>
      <c r="C1031" s="421" cm="1">
        <f t="array" ref="C1031">IF(B1031&gt;0,IF(VLOOKUP(C1028,'Boats Data Sheet 2026'!$C$3:$J$57,8,0)="N/A",0,VLOOKUP(C1028,'Boats Data Sheet 2026'!$C$3:$J$57,8,0)),"N/A")</f>
        <v>0</v>
      </c>
      <c r="D1031" s="422" cm="1">
        <f t="array" ref="D1031">IF(B1031&gt;7,2,IF(B1031=0,"N/A",1))</f>
        <v>1</v>
      </c>
      <c r="E1031" s="421" cm="1">
        <f t="array" ref="E1031">_xlfn.IFERROR(SUM('Direct Costs 2026'!$C$4:$C$5)*D1031,"N/A")</f>
        <v>875500</v>
      </c>
      <c r="F1031" s="423" cm="1">
        <f t="array" ref="F1031">_xlfn.IFERROR('Direct Costs 2026'!$C$43*B1031,"N/A")</f>
        <v>6000</v>
      </c>
      <c r="G1031" s="423" cm="1">
        <f t="array" ref="G1031">IF(B1031&gt;0,'Direct Costs 2026'!$C$25,"N/A")</f>
        <v>90000</v>
      </c>
      <c r="H1031" s="423" cm="1">
        <f t="array" ref="H1031">IF(B1031&gt;0,('Direct Costs 2026'!$C$15+'Direct Costs 2026'!$C$17+'Direct Costs 2026'!$C$14),"N/A")</f>
        <v>580000</v>
      </c>
      <c r="I1031" s="423" cm="1">
        <f t="array" ref="I1031">IF(B1031&gt;0,'Direct Costs 2026'!$C$19+'Direct Costs 2026'!$C$18*B1031,"N/A")</f>
        <v>110000</v>
      </c>
      <c r="J1031" s="423" cm="1">
        <f t="array" ref="J1031">IF(B1031&gt;0,SUM('Direct Costs 2026'!$C$20:$C$21),"N/A")</f>
        <v>98333.3333333333</v>
      </c>
      <c r="K1031" s="423" cm="1">
        <f t="array" ref="K1031">IF(B1031&gt;0,'Direct Costs 2026'!$C$26,"N/A")</f>
        <v>20000</v>
      </c>
      <c r="L1031" s="423" cm="1">
        <f t="array" ref="L1031">IF(B1031&gt;0,'Direct Costs 2026'!$C$23,"N/A")</f>
        <v>140000</v>
      </c>
      <c r="M1031" s="423" cm="1">
        <f t="array" ref="M1031">IF(B1031&gt;0,'Direct Costs 2026'!$C$45*B1031,"N/A")</f>
        <v>150000</v>
      </c>
      <c r="N1031" s="423" cm="1">
        <f t="array" ref="N1031">IF(B1031&gt;0,_xlfn.IFERROR(VLOOKUP(C1028,'Boats Data Sheet 2026'!$C$3:$I$57,7,0)*'Direct Costs 2026'!$C$36,"N/A"),"N/A")</f>
        <v>3325000</v>
      </c>
      <c r="O1031" s="423" cm="1">
        <f t="array" ref="O1031">IF(B1031&gt;0,IF(OR(VLOOKUP(C1028,'Boats Data Sheet 2026'!$C$3:$F$57,4,0)="Own",VLOOKUP(C1028,'Boats Data Sheet 2026'!$C$3:$F$57,4,0)="Management"),('Direct Costs 2026'!$C$37+'Direct Costs 2026'!$C$39),"N/A"),"N/A")</f>
        <v>1112400</v>
      </c>
      <c r="P1031" s="423" cm="1">
        <f t="array" ref="P1031">_xlfn.IFERROR('Direct Costs 2026'!$C$27*C1031,"N/A")</f>
        <v>0</v>
      </c>
      <c r="Q1031" s="423" cm="1">
        <f t="array" ref="Q1031">_xlfn.IFERROR(C1031+SUM(E1031:P1031),"N/A")</f>
        <v>6507233.33333333</v>
      </c>
      <c r="R1031" s="424"/>
      <c r="S1031" s="423" cm="1">
        <f t="array" ref="S1031">IF(B1031&gt;0,'Allocation OH and Target 2026'!$E$31,"N/A")</f>
        <v>3100447.15769812</v>
      </c>
      <c r="T1031" s="423" cm="1">
        <f t="array" ref="T1031">IF(B1031&gt;0,VLOOKUP(C1028,'Allocation OH and Target 2026'!$C$35:$S$87,17,0),"N/A")</f>
        <v>1050206.94814815</v>
      </c>
      <c r="U1031" s="423" cm="1">
        <f t="array" ref="U1031">_xlfn.IFERROR((S1031+T1031),"N/A")</f>
        <v>4150654.10584627</v>
      </c>
      <c r="V1031" s="424"/>
      <c r="W1031" s="423" cm="1">
        <f t="array" ref="W1031">_xlfn.IFERROR(U1031+Q1031,"N/A")</f>
        <v>10657887.4391796</v>
      </c>
      <c r="X1031" s="423" cm="1">
        <f t="array" ref="X1031">_xlfn.IFERROR(W1031*0.5%,"N/A")</f>
        <v>53289.437195898</v>
      </c>
      <c r="Y1031" s="423" cm="1">
        <f t="array" ref="Y1031">_xlfn.IFERROR(W1031*25%,"N/A")</f>
        <v>2664471.8597949</v>
      </c>
      <c r="Z1031" s="425" cm="1">
        <f t="array" ref="Z1031">IF(B1031&gt;0,SUM(W1031:Y1031),"N/A")</f>
        <v>13375648.7361704</v>
      </c>
      <c r="AA1031" s="425">
        <v>0</v>
      </c>
      <c r="AB1031" s="424"/>
      <c r="AC1031" t="str" s="426" cm="1">
        <f t="array" ref="AC1031">IF(B1031=6,AVERAGE(Z1031:Z1036),"N/A")</f>
        <v>N/A</v>
      </c>
      <c r="AD1031" s="424"/>
      <c r="AE1031" t="s" s="504">
        <v>563</v>
      </c>
      <c r="AF1031" s="505" cm="1">
        <f t="array" ref="AF1031">VLOOKUP(C1028,'Allocation OH and Target 2026'!$C$35:$K$87,9,0)</f>
        <v>54</v>
      </c>
      <c r="AG1031" s="423"/>
      <c r="AH1031" s="423"/>
      <c r="AI1031" s="423"/>
      <c r="AJ1031" s="423"/>
      <c r="AK1031" s="423"/>
      <c r="AL1031" s="423"/>
      <c r="AM1031" s="423"/>
      <c r="AN1031" s="427"/>
    </row>
    <row r="1032" ht="15" customHeight="1">
      <c r="A1032" s="12"/>
      <c r="B1032" s="428" cm="1">
        <f t="array" ref="B1032">IF(B1031=0,0,IF(B1031&lt;VLOOKUP(C1028,'Boats Data Sheet 2026'!$C$3:$H$57,6,0),B1031+1,0))</f>
        <v>2</v>
      </c>
      <c r="C1032" s="423" cm="1">
        <f t="array" ref="C1032">IF(B1032&gt;0,IF(VLOOKUP(C1028,'Boats Data Sheet 2026'!$C$3:$J$57,8,0)="N/A",0,VLOOKUP(C1028,'Boats Data Sheet 2026'!$C$3:$J$57,8,0)),"N/A")</f>
        <v>0</v>
      </c>
      <c r="D1032" s="429" cm="1">
        <f t="array" ref="D1032">IF(B1032&gt;7,2,IF(B1032=0,"N/A",1))</f>
        <v>1</v>
      </c>
      <c r="E1032" s="423" cm="1">
        <f t="array" ref="E1032">_xlfn.IFERROR(SUM('Direct Costs 2026'!$C$4:$C$5)*D1032,"N/A")</f>
        <v>875500</v>
      </c>
      <c r="F1032" s="423" cm="1">
        <f t="array" ref="F1032">_xlfn.IFERROR('Direct Costs 2026'!$C$43*B1032,"N/A")</f>
        <v>12000</v>
      </c>
      <c r="G1032" s="423" cm="1">
        <f t="array" ref="G1032">IF(B1032&gt;0,'Direct Costs 2026'!$C$25,"N/A")</f>
        <v>90000</v>
      </c>
      <c r="H1032" s="423" cm="1">
        <f t="array" ref="H1032">IF(B1032&gt;0,('Direct Costs 2026'!$C$15+'Direct Costs 2026'!$C$17+'Direct Costs 2026'!$C$14),"N/A")</f>
        <v>580000</v>
      </c>
      <c r="I1032" s="423" cm="1">
        <f t="array" ref="I1032">IF(B1032&gt;0,'Direct Costs 2026'!$C$19+'Direct Costs 2026'!$C$18*B1032,"N/A")</f>
        <v>145000</v>
      </c>
      <c r="J1032" s="423" cm="1">
        <f t="array" ref="J1032">IF(B1032&gt;0,SUM('Direct Costs 2026'!$C$20:$C$21),"N/A")</f>
        <v>98333.3333333333</v>
      </c>
      <c r="K1032" s="423" cm="1">
        <f t="array" ref="K1032">IF(B1032&gt;0,'Direct Costs 2026'!$C$26,"N/A")</f>
        <v>20000</v>
      </c>
      <c r="L1032" s="423" cm="1">
        <f t="array" ref="L1032">IF(B1032&gt;0,'Direct Costs 2026'!$C$23,"N/A")</f>
        <v>140000</v>
      </c>
      <c r="M1032" s="423" cm="1">
        <f t="array" ref="M1032">IF(B1032&gt;0,'Direct Costs 2026'!$C$45*B1032,"N/A")</f>
        <v>300000</v>
      </c>
      <c r="N1032" s="423" cm="1">
        <f t="array" ref="N1032">IF(B1032&gt;0,_xlfn.IFERROR(VLOOKUP(C1028,'Boats Data Sheet 2026'!$C$3:$I$57,7,0)*'Direct Costs 2026'!$C$36,"N/A"),"N/A")</f>
        <v>3325000</v>
      </c>
      <c r="O1032" s="423" cm="1">
        <f t="array" ref="O1032">IF(B1032&gt;0,IF(OR(VLOOKUP(C1028,'Boats Data Sheet 2026'!$C$3:$F$57,4,0)="Own",VLOOKUP(C1028,'Boats Data Sheet 2026'!$C$3:$F$57,4,0)="Management"),('Direct Costs 2026'!$C$37+'Direct Costs 2026'!$C$39),"N/A"),"N/A")</f>
        <v>1112400</v>
      </c>
      <c r="P1032" s="423" cm="1">
        <f t="array" ref="P1032">_xlfn.IFERROR('Direct Costs 2026'!$C$27*C1032,"N/A")</f>
        <v>0</v>
      </c>
      <c r="Q1032" s="423" cm="1">
        <f t="array" ref="Q1032">_xlfn.IFERROR(C1032+SUM(E1032:P1032),"N/A")</f>
        <v>6698233.33333333</v>
      </c>
      <c r="R1032" s="424"/>
      <c r="S1032" s="423" cm="1">
        <f t="array" ref="S1032">IF(B1032&gt;0,'Allocation OH and Target 2026'!$E$31,"N/A")</f>
        <v>3100447.15769812</v>
      </c>
      <c r="T1032" s="423" cm="1">
        <f t="array" ref="T1032">IF(B1032&gt;0,VLOOKUP(C1028,'Allocation OH and Target 2026'!$C$35:$S$87,17,0),"N/A")</f>
        <v>1050206.94814815</v>
      </c>
      <c r="U1032" s="423" cm="1">
        <f t="array" ref="U1032">_xlfn.IFERROR((S1032+T1032),"N/A")</f>
        <v>4150654.10584627</v>
      </c>
      <c r="V1032" s="424"/>
      <c r="W1032" s="423" cm="1">
        <f t="array" ref="W1032">_xlfn.IFERROR(U1032+Q1032,"N/A")</f>
        <v>10848887.4391796</v>
      </c>
      <c r="X1032" s="423" cm="1">
        <f t="array" ref="X1032">_xlfn.IFERROR(W1032*0.5%,"N/A")</f>
        <v>54244.437195898</v>
      </c>
      <c r="Y1032" s="423" cm="1">
        <f t="array" ref="Y1032">_xlfn.IFERROR(W1032*25%,"N/A")</f>
        <v>2712221.8597949</v>
      </c>
      <c r="Z1032" s="425" cm="1">
        <f t="array" ref="Z1032">IF(B1032&gt;0,SUM(W1032:Y1032),"N/A")</f>
        <v>13615353.7361704</v>
      </c>
      <c r="AA1032" s="425" cm="1">
        <f t="array" ref="AA1032">_xlfn.IFERROR((Z1032-Z1031),"N/A")</f>
        <v>239705</v>
      </c>
      <c r="AB1032" s="424"/>
      <c r="AC1032" t="str" s="426" cm="1">
        <f t="array" ref="AC1032">IF(B1032=6,AVERAGE(Z1031:Z1036),"N/A")</f>
        <v>N/A</v>
      </c>
      <c r="AD1032" s="424"/>
      <c r="AE1032" t="s" s="506">
        <v>546</v>
      </c>
      <c r="AF1032" s="423"/>
      <c r="AG1032" s="423"/>
      <c r="AH1032" s="423"/>
      <c r="AI1032" s="423"/>
      <c r="AJ1032" s="423"/>
      <c r="AK1032" s="423"/>
      <c r="AL1032" s="423"/>
      <c r="AM1032" s="423"/>
      <c r="AN1032" s="427"/>
    </row>
    <row r="1033" ht="15" customHeight="1">
      <c r="A1033" s="12"/>
      <c r="B1033" s="428" cm="1">
        <f t="array" ref="B1033">IF(B1032=0,0,IF(B1032&lt;VLOOKUP(C1028,'Boats Data Sheet 2026'!$C$3:$H$57,6,0),B1032+1,0))</f>
        <v>3</v>
      </c>
      <c r="C1033" s="423" cm="1">
        <f t="array" ref="C1033">IF(B1033&gt;0,IF(VLOOKUP(C1028,'Boats Data Sheet 2026'!$C$3:$J$57,8,0)="N/A",0,VLOOKUP(C1028,'Boats Data Sheet 2026'!$C$3:$J$57,8,0)),"N/A")</f>
        <v>0</v>
      </c>
      <c r="D1033" s="429" cm="1">
        <f t="array" ref="D1033">IF(B1033&gt;7,2,IF(B1033=0,"N/A",1))</f>
        <v>1</v>
      </c>
      <c r="E1033" s="423" cm="1">
        <f t="array" ref="E1033">_xlfn.IFERROR(SUM('Direct Costs 2026'!$C$4:$C$5)*D1033,"N/A")</f>
        <v>875500</v>
      </c>
      <c r="F1033" s="423" cm="1">
        <f t="array" ref="F1033">_xlfn.IFERROR('Direct Costs 2026'!$C$43*B1033,"N/A")</f>
        <v>18000</v>
      </c>
      <c r="G1033" s="423" cm="1">
        <f t="array" ref="G1033">IF(B1033&gt;0,'Direct Costs 2026'!$C$25,"N/A")</f>
        <v>90000</v>
      </c>
      <c r="H1033" s="423" cm="1">
        <f t="array" ref="H1033">IF(B1033&gt;0,('Direct Costs 2026'!$C$15+'Direct Costs 2026'!$C$17+'Direct Costs 2026'!$C$14),"N/A")</f>
        <v>580000</v>
      </c>
      <c r="I1033" s="423" cm="1">
        <f t="array" ref="I1033">IF(B1033&gt;0,'Direct Costs 2026'!$C$19+'Direct Costs 2026'!$C$18*B1033,"N/A")</f>
        <v>180000</v>
      </c>
      <c r="J1033" s="423" cm="1">
        <f t="array" ref="J1033">IF(B1033&gt;0,SUM('Direct Costs 2026'!$C$20:$C$21),"N/A")</f>
        <v>98333.3333333333</v>
      </c>
      <c r="K1033" s="423" cm="1">
        <f t="array" ref="K1033">IF(B1033&gt;0,'Direct Costs 2026'!$C$26,"N/A")</f>
        <v>20000</v>
      </c>
      <c r="L1033" s="423" cm="1">
        <f t="array" ref="L1033">IF(B1033&gt;0,'Direct Costs 2026'!$C$23,"N/A")</f>
        <v>140000</v>
      </c>
      <c r="M1033" s="423" cm="1">
        <f t="array" ref="M1033">IF(B1033&gt;0,'Direct Costs 2026'!$C$45*B1033,"N/A")</f>
        <v>450000</v>
      </c>
      <c r="N1033" s="423" cm="1">
        <f t="array" ref="N1033">IF(B1033&gt;0,_xlfn.IFERROR(VLOOKUP(C1028,'Boats Data Sheet 2026'!$C$3:$I$57,7,0)*'Direct Costs 2026'!$C$36,"N/A"),"N/A")</f>
        <v>3325000</v>
      </c>
      <c r="O1033" s="423" cm="1">
        <f t="array" ref="O1033">IF(B1033&gt;0,IF(OR(VLOOKUP(C1028,'Boats Data Sheet 2026'!$C$3:$F$57,4,0)="Own",VLOOKUP(C1028,'Boats Data Sheet 2026'!$C$3:$F$57,4,0)="Management"),('Direct Costs 2026'!$C$37+'Direct Costs 2026'!$C$39),"N/A"),"N/A")</f>
        <v>1112400</v>
      </c>
      <c r="P1033" s="423" cm="1">
        <f t="array" ref="P1033">_xlfn.IFERROR('Direct Costs 2026'!$C$27*C1033,"N/A")</f>
        <v>0</v>
      </c>
      <c r="Q1033" s="423" cm="1">
        <f t="array" ref="Q1033">_xlfn.IFERROR(C1033+SUM(E1033:P1033),"N/A")</f>
        <v>6889233.33333333</v>
      </c>
      <c r="R1033" s="424"/>
      <c r="S1033" s="423" cm="1">
        <f t="array" ref="S1033">IF(B1033&gt;0,'Allocation OH and Target 2026'!$E$31,"N/A")</f>
        <v>3100447.15769812</v>
      </c>
      <c r="T1033" s="423" cm="1">
        <f t="array" ref="T1033">IF(B1033&gt;0,VLOOKUP(C1028,'Allocation OH and Target 2026'!$C$35:$S$87,17,0),"N/A")</f>
        <v>1050206.94814815</v>
      </c>
      <c r="U1033" s="423" cm="1">
        <f t="array" ref="U1033">_xlfn.IFERROR((S1033+T1033),"N/A")</f>
        <v>4150654.10584627</v>
      </c>
      <c r="V1033" s="424"/>
      <c r="W1033" s="423" cm="1">
        <f t="array" ref="W1033">_xlfn.IFERROR(U1033+Q1033,"N/A")</f>
        <v>11039887.4391796</v>
      </c>
      <c r="X1033" s="423" cm="1">
        <f t="array" ref="X1033">_xlfn.IFERROR(W1033*0.5%,"N/A")</f>
        <v>55199.437195898</v>
      </c>
      <c r="Y1033" s="423" cm="1">
        <f t="array" ref="Y1033">_xlfn.IFERROR(W1033*25%,"N/A")</f>
        <v>2759971.8597949</v>
      </c>
      <c r="Z1033" s="425" cm="1">
        <f t="array" ref="Z1033">IF(B1033&gt;0,SUM(W1033:Y1033),"N/A")</f>
        <v>13855058.7361704</v>
      </c>
      <c r="AA1033" s="425" cm="1">
        <f t="array" ref="AA1033">_xlfn.IFERROR((Z1033-Z1032),"N/A")</f>
        <v>239705</v>
      </c>
      <c r="AB1033" s="424"/>
      <c r="AC1033" t="str" s="426" cm="1">
        <f t="array" ref="AC1033">IF(B1033=6,AVERAGE(Z1031:Z1036),"N/A")</f>
        <v>N/A</v>
      </c>
      <c r="AD1033" s="424"/>
      <c r="AE1033" t="s" s="504">
        <v>547</v>
      </c>
      <c r="AF1033" s="423" cm="1">
        <f t="array" ref="AF1033">AF1031*'RECOMMENDED PRICES'!$D$17</f>
        <v>663930000</v>
      </c>
      <c r="AG1033" s="423"/>
      <c r="AH1033" s="423"/>
      <c r="AI1033" s="423"/>
      <c r="AJ1033" s="423"/>
      <c r="AK1033" s="423"/>
      <c r="AL1033" s="423"/>
      <c r="AM1033" s="423"/>
      <c r="AN1033" s="427"/>
    </row>
    <row r="1034" ht="15" customHeight="1">
      <c r="A1034" s="12"/>
      <c r="B1034" s="428" cm="1">
        <f t="array" ref="B1034">IF(B1033=0,0,IF(B1033&lt;VLOOKUP(C1028,'Boats Data Sheet 2026'!$C$3:$H$57,6,0),B1033+1,0))</f>
        <v>4</v>
      </c>
      <c r="C1034" s="423" cm="1">
        <f t="array" ref="C1034">IF(B1034&gt;0,IF(VLOOKUP(C1028,'Boats Data Sheet 2026'!$C$3:$J$57,8,0)="N/A",0,VLOOKUP(C1028,'Boats Data Sheet 2026'!$C$3:$J$57,8,0)),"N/A")</f>
        <v>0</v>
      </c>
      <c r="D1034" s="429" cm="1">
        <f t="array" ref="D1034">IF(B1034&gt;7,2,IF(B1034=0,"N/A",1))</f>
        <v>1</v>
      </c>
      <c r="E1034" s="423" cm="1">
        <f t="array" ref="E1034">_xlfn.IFERROR(SUM('Direct Costs 2026'!$C$4:$C$5)*D1034,"N/A")</f>
        <v>875500</v>
      </c>
      <c r="F1034" s="423" cm="1">
        <f t="array" ref="F1034">_xlfn.IFERROR('Direct Costs 2026'!$C$43*B1034,"N/A")</f>
        <v>24000</v>
      </c>
      <c r="G1034" s="423" cm="1">
        <f t="array" ref="G1034">IF(B1034&gt;0,'Direct Costs 2026'!$C$25,"N/A")</f>
        <v>90000</v>
      </c>
      <c r="H1034" s="423" cm="1">
        <f t="array" ref="H1034">IF(B1034&gt;0,('Direct Costs 2026'!$C$15+'Direct Costs 2026'!$C$17+'Direct Costs 2026'!$C$14),"N/A")</f>
        <v>580000</v>
      </c>
      <c r="I1034" s="423" cm="1">
        <f t="array" ref="I1034">IF(B1034&gt;0,'Direct Costs 2026'!$C$19+'Direct Costs 2026'!$C$18*B1034,"N/A")</f>
        <v>215000</v>
      </c>
      <c r="J1034" s="423" cm="1">
        <f t="array" ref="J1034">IF(B1034&gt;0,SUM('Direct Costs 2026'!$C$20:$C$21),"N/A")</f>
        <v>98333.3333333333</v>
      </c>
      <c r="K1034" s="423" cm="1">
        <f t="array" ref="K1034">IF(B1034&gt;0,'Direct Costs 2026'!$C$26,"N/A")</f>
        <v>20000</v>
      </c>
      <c r="L1034" s="423" cm="1">
        <f t="array" ref="L1034">IF(B1034&gt;0,'Direct Costs 2026'!$C$23,"N/A")</f>
        <v>140000</v>
      </c>
      <c r="M1034" s="423" cm="1">
        <f t="array" ref="M1034">IF(B1034&gt;0,'Direct Costs 2026'!$C$45*B1034,"N/A")</f>
        <v>600000</v>
      </c>
      <c r="N1034" s="423" cm="1">
        <f t="array" ref="N1034">IF(B1034&gt;0,_xlfn.IFERROR(VLOOKUP(C1028,'Boats Data Sheet 2026'!$C$3:$I$57,7,0)*'Direct Costs 2026'!$C$36,"N/A"),"N/A")</f>
        <v>3325000</v>
      </c>
      <c r="O1034" s="423" cm="1">
        <f t="array" ref="O1034">IF(B1034&gt;0,IF(OR(VLOOKUP(C1028,'Boats Data Sheet 2026'!$C$3:$F$57,4,0)="Own",VLOOKUP(C1028,'Boats Data Sheet 2026'!$C$3:$F$57,4,0)="Management"),('Direct Costs 2026'!$C$37+'Direct Costs 2026'!$C$39),"N/A"),"N/A")</f>
        <v>1112400</v>
      </c>
      <c r="P1034" s="423" cm="1">
        <f t="array" ref="P1034">_xlfn.IFERROR('Direct Costs 2026'!$C$27*C1034,"N/A")</f>
        <v>0</v>
      </c>
      <c r="Q1034" s="423" cm="1">
        <f t="array" ref="Q1034">_xlfn.IFERROR(C1034+SUM(E1034:P1034),"N/A")</f>
        <v>7080233.33333333</v>
      </c>
      <c r="R1034" s="424"/>
      <c r="S1034" s="423" cm="1">
        <f t="array" ref="S1034">IF(B1034&gt;0,'Allocation OH and Target 2026'!$E$31,"N/A")</f>
        <v>3100447.15769812</v>
      </c>
      <c r="T1034" s="423" cm="1">
        <f t="array" ref="T1034">IF(B1034&gt;0,VLOOKUP(C1028,'Allocation OH and Target 2026'!$C$35:$S$87,17,0),"N/A")</f>
        <v>1050206.94814815</v>
      </c>
      <c r="U1034" s="423" cm="1">
        <f t="array" ref="U1034">_xlfn.IFERROR((S1034+T1034),"N/A")</f>
        <v>4150654.10584627</v>
      </c>
      <c r="V1034" s="424"/>
      <c r="W1034" s="423" cm="1">
        <f t="array" ref="W1034">_xlfn.IFERROR(U1034+Q1034,"N/A")</f>
        <v>11230887.4391796</v>
      </c>
      <c r="X1034" s="423" cm="1">
        <f t="array" ref="X1034">_xlfn.IFERROR(W1034*0.5%,"N/A")</f>
        <v>56154.437195898</v>
      </c>
      <c r="Y1034" s="423" cm="1">
        <f t="array" ref="Y1034">_xlfn.IFERROR(W1034*25%,"N/A")</f>
        <v>2807721.8597949</v>
      </c>
      <c r="Z1034" s="425" cm="1">
        <f t="array" ref="Z1034">IF(B1034&gt;0,SUM(W1034:Y1034),"N/A")</f>
        <v>14094763.7361704</v>
      </c>
      <c r="AA1034" s="425" cm="1">
        <f t="array" ref="AA1034">_xlfn.IFERROR((Z1034-Z1033),"N/A")</f>
        <v>239705</v>
      </c>
      <c r="AB1034" s="424"/>
      <c r="AC1034" t="str" s="426" cm="1">
        <f t="array" ref="AC1034">IF(B1034=6,AVERAGE(Z1031:Z1036),"N/A")</f>
        <v>N/A</v>
      </c>
      <c r="AD1034" s="424"/>
      <c r="AE1034" t="s" s="504">
        <v>548</v>
      </c>
      <c r="AF1034" s="423" cm="1">
        <f t="array" ref="AF1034">AF1031*VLOOKUP(C1028,'RECOMMENDED PRICES'!$B$20:$F$76,5,0)</f>
        <v>224640000</v>
      </c>
      <c r="AG1034" s="423"/>
      <c r="AH1034" s="423"/>
      <c r="AI1034" s="423"/>
      <c r="AJ1034" s="423"/>
      <c r="AK1034" s="423"/>
      <c r="AL1034" s="423"/>
      <c r="AM1034" s="423"/>
      <c r="AN1034" s="427"/>
    </row>
    <row r="1035" ht="15" customHeight="1">
      <c r="A1035" s="12"/>
      <c r="B1035" s="428" cm="1">
        <f t="array" ref="B1035">IF(B1034=0,0,IF(B1034&lt;VLOOKUP(C1028,'Boats Data Sheet 2026'!$C$3:$H$57,6,0),B1034+1,0))</f>
        <v>5</v>
      </c>
      <c r="C1035" s="423" cm="1">
        <f t="array" ref="C1035">IF(B1035&gt;0,IF(VLOOKUP(C1028,'Boats Data Sheet 2026'!$C$3:$J$57,8,0)="N/A",0,VLOOKUP(C1028,'Boats Data Sheet 2026'!$C$3:$J$57,8,0)),"N/A")</f>
        <v>0</v>
      </c>
      <c r="D1035" s="429" cm="1">
        <f t="array" ref="D1035">IF(B1035&gt;7,2,IF(B1035=0,"N/A",1))</f>
        <v>1</v>
      </c>
      <c r="E1035" s="423" cm="1">
        <f t="array" ref="E1035">_xlfn.IFERROR(SUM('Direct Costs 2026'!$C$4:$C$5)*D1035,"N/A")</f>
        <v>875500</v>
      </c>
      <c r="F1035" s="423" cm="1">
        <f t="array" ref="F1035">_xlfn.IFERROR('Direct Costs 2026'!$C$43*B1035,"N/A")</f>
        <v>30000</v>
      </c>
      <c r="G1035" s="423" cm="1">
        <f t="array" ref="G1035">IF(B1035&gt;0,'Direct Costs 2026'!$C$25,"N/A")</f>
        <v>90000</v>
      </c>
      <c r="H1035" s="423" cm="1">
        <f t="array" ref="H1035">IF(B1035&gt;0,('Direct Costs 2026'!$C$15+'Direct Costs 2026'!$C$17+'Direct Costs 2026'!$C$14),"N/A")</f>
        <v>580000</v>
      </c>
      <c r="I1035" s="423" cm="1">
        <f t="array" ref="I1035">IF(B1035&gt;0,'Direct Costs 2026'!$C$19+'Direct Costs 2026'!$C$18*B1035,"N/A")</f>
        <v>250000</v>
      </c>
      <c r="J1035" s="423" cm="1">
        <f t="array" ref="J1035">IF(B1035&gt;0,SUM('Direct Costs 2026'!$C$20:$C$21),"N/A")</f>
        <v>98333.3333333333</v>
      </c>
      <c r="K1035" s="423" cm="1">
        <f t="array" ref="K1035">IF(B1035&gt;0,'Direct Costs 2026'!$C$26,"N/A")</f>
        <v>20000</v>
      </c>
      <c r="L1035" s="423" cm="1">
        <f t="array" ref="L1035">IF(B1035&gt;0,'Direct Costs 2026'!$C$23,"N/A")</f>
        <v>140000</v>
      </c>
      <c r="M1035" s="423" cm="1">
        <f t="array" ref="M1035">IF(B1035&gt;0,'Direct Costs 2026'!$C$45*B1035,"N/A")</f>
        <v>750000</v>
      </c>
      <c r="N1035" s="423" cm="1">
        <f t="array" ref="N1035">IF(B1035&gt;0,_xlfn.IFERROR(VLOOKUP(C1028,'Boats Data Sheet 2026'!$C$3:$I$57,7,0)*'Direct Costs 2026'!$C$36,"N/A"),"N/A")</f>
        <v>3325000</v>
      </c>
      <c r="O1035" s="423" cm="1">
        <f t="array" ref="O1035">IF(B1035&gt;0,IF(OR(VLOOKUP(C1028,'Boats Data Sheet 2026'!$C$3:$F$57,4,0)="Own",VLOOKUP(C1028,'Boats Data Sheet 2026'!$C$3:$F$57,4,0)="Management"),('Direct Costs 2026'!$C$37+'Direct Costs 2026'!$C$39),"N/A"),"N/A")</f>
        <v>1112400</v>
      </c>
      <c r="P1035" s="423" cm="1">
        <f t="array" ref="P1035">_xlfn.IFERROR('Direct Costs 2026'!$C$27*C1035,"N/A")</f>
        <v>0</v>
      </c>
      <c r="Q1035" s="423" cm="1">
        <f t="array" ref="Q1035">_xlfn.IFERROR(C1035+SUM(E1035:P1035),"N/A")</f>
        <v>7271233.33333333</v>
      </c>
      <c r="R1035" s="424"/>
      <c r="S1035" s="423" cm="1">
        <f t="array" ref="S1035">IF(B1035&gt;0,'Allocation OH and Target 2026'!$E$31,"N/A")</f>
        <v>3100447.15769812</v>
      </c>
      <c r="T1035" s="423" cm="1">
        <f t="array" ref="T1035">IF(B1035&gt;0,VLOOKUP(C1028,'Allocation OH and Target 2026'!$C$35:$S$87,17,0),"N/A")</f>
        <v>1050206.94814815</v>
      </c>
      <c r="U1035" s="423" cm="1">
        <f t="array" ref="U1035">_xlfn.IFERROR((S1035+T1035),"N/A")</f>
        <v>4150654.10584627</v>
      </c>
      <c r="V1035" s="424"/>
      <c r="W1035" s="423" cm="1">
        <f t="array" ref="W1035">_xlfn.IFERROR(U1035+Q1035,"N/A")</f>
        <v>11421887.4391796</v>
      </c>
      <c r="X1035" s="423" cm="1">
        <f t="array" ref="X1035">_xlfn.IFERROR(W1035*0.5%,"N/A")</f>
        <v>57109.437195898</v>
      </c>
      <c r="Y1035" s="423" cm="1">
        <f t="array" ref="Y1035">_xlfn.IFERROR(W1035*25%,"N/A")</f>
        <v>2855471.8597949</v>
      </c>
      <c r="Z1035" s="425" cm="1">
        <f t="array" ref="Z1035">IF(B1035&gt;0,SUM(W1035:Y1035),"N/A")</f>
        <v>14334468.7361704</v>
      </c>
      <c r="AA1035" s="425" cm="1">
        <f t="array" ref="AA1035">_xlfn.IFERROR((Z1035-Z1034),"N/A")</f>
        <v>239705</v>
      </c>
      <c r="AB1035" s="424"/>
      <c r="AC1035" t="str" s="426" cm="1">
        <f t="array" ref="AC1035">IF(B1035=6,AVERAGE(Z1031:Z1036),"N/A")</f>
        <v>N/A</v>
      </c>
      <c r="AD1035" s="424"/>
      <c r="AE1035" t="s" s="504">
        <v>549</v>
      </c>
      <c r="AF1035" s="423">
        <v>0</v>
      </c>
      <c r="AG1035" s="423"/>
      <c r="AH1035" s="423"/>
      <c r="AI1035" s="423"/>
      <c r="AJ1035" s="423"/>
      <c r="AK1035" s="423"/>
      <c r="AL1035" s="423"/>
      <c r="AM1035" s="423"/>
      <c r="AN1035" s="427"/>
    </row>
    <row r="1036" ht="15" customHeight="1">
      <c r="A1036" s="12"/>
      <c r="B1036" s="428" cm="1">
        <f t="array" ref="B1036">IF(B1035=0,0,IF(B1035&lt;VLOOKUP(C1028,'Boats Data Sheet 2026'!$C$3:$H$57,6,0),B1035+1,0))</f>
        <v>6</v>
      </c>
      <c r="C1036" s="423" cm="1">
        <f t="array" ref="C1036">IF(B1036&gt;0,IF(VLOOKUP(C1028,'Boats Data Sheet 2026'!$C$3:$J$57,8,0)="N/A",0,VLOOKUP(C1028,'Boats Data Sheet 2026'!$C$3:$J$57,8,0)),"N/A")</f>
        <v>0</v>
      </c>
      <c r="D1036" s="429" cm="1">
        <f t="array" ref="D1036">IF(B1036&gt;7,2,IF(B1036=0,"N/A",1))</f>
        <v>1</v>
      </c>
      <c r="E1036" s="423" cm="1">
        <f t="array" ref="E1036">_xlfn.IFERROR(SUM('Direct Costs 2026'!$C$4:$C$5)*D1036,"N/A")</f>
        <v>875500</v>
      </c>
      <c r="F1036" s="423" cm="1">
        <f t="array" ref="F1036">_xlfn.IFERROR('Direct Costs 2026'!$C$43*B1036,"N/A")</f>
        <v>36000</v>
      </c>
      <c r="G1036" s="423" cm="1">
        <f t="array" ref="G1036">IF(B1036&gt;0,'Direct Costs 2026'!$C$25,"N/A")</f>
        <v>90000</v>
      </c>
      <c r="H1036" s="423" cm="1">
        <f t="array" ref="H1036">IF(B1036&gt;0,('Direct Costs 2026'!$C$15+'Direct Costs 2026'!$C$17+'Direct Costs 2026'!$C$14),"N/A")</f>
        <v>580000</v>
      </c>
      <c r="I1036" s="423" cm="1">
        <f t="array" ref="I1036">IF(B1036&gt;0,'Direct Costs 2026'!$C$19+'Direct Costs 2026'!$C$18*B1036,"N/A")</f>
        <v>285000</v>
      </c>
      <c r="J1036" s="423" cm="1">
        <f t="array" ref="J1036">IF(B1036&gt;0,SUM('Direct Costs 2026'!$C$20:$C$21),"N/A")</f>
        <v>98333.3333333333</v>
      </c>
      <c r="K1036" s="423" cm="1">
        <f t="array" ref="K1036">IF(B1036&gt;0,'Direct Costs 2026'!$C$26,"N/A")</f>
        <v>20000</v>
      </c>
      <c r="L1036" s="423" cm="1">
        <f t="array" ref="L1036">IF(B1036&gt;0,'Direct Costs 2026'!$C$23,"N/A")</f>
        <v>140000</v>
      </c>
      <c r="M1036" s="423" cm="1">
        <f t="array" ref="M1036">IF(B1036&gt;0,'Direct Costs 2026'!$C$45*B1036,"N/A")</f>
        <v>900000</v>
      </c>
      <c r="N1036" s="423" cm="1">
        <f t="array" ref="N1036">IF(B1036&gt;0,_xlfn.IFERROR(VLOOKUP(C1028,'Boats Data Sheet 2026'!$C$3:$I$57,7,0)*'Direct Costs 2026'!$C$36,"N/A"),"N/A")</f>
        <v>3325000</v>
      </c>
      <c r="O1036" s="423" cm="1">
        <f t="array" ref="O1036">IF(B1036&gt;0,IF(OR(VLOOKUP(C1028,'Boats Data Sheet 2026'!$C$3:$F$57,4,0)="Own",VLOOKUP(C1028,'Boats Data Sheet 2026'!$C$3:$F$57,4,0)="Management"),('Direct Costs 2026'!$C$37+'Direct Costs 2026'!$C$39),"N/A"),"N/A")</f>
        <v>1112400</v>
      </c>
      <c r="P1036" s="423" cm="1">
        <f t="array" ref="P1036">_xlfn.IFERROR('Direct Costs 2026'!$C$27*C1036,"N/A")</f>
        <v>0</v>
      </c>
      <c r="Q1036" s="423" cm="1">
        <f t="array" ref="Q1036">_xlfn.IFERROR(C1036+SUM(E1036:P1036),"N/A")</f>
        <v>7462233.33333333</v>
      </c>
      <c r="R1036" s="424"/>
      <c r="S1036" s="423" cm="1">
        <f t="array" ref="S1036">IF(B1036&gt;0,'Allocation OH and Target 2026'!$E$31,"N/A")</f>
        <v>3100447.15769812</v>
      </c>
      <c r="T1036" s="423" cm="1">
        <f t="array" ref="T1036">IF(B1036&gt;0,VLOOKUP(C1028,'Allocation OH and Target 2026'!$C$35:$S$87,17,0),"N/A")</f>
        <v>1050206.94814815</v>
      </c>
      <c r="U1036" s="423" cm="1">
        <f t="array" ref="U1036">_xlfn.IFERROR((S1036+T1036),"N/A")</f>
        <v>4150654.10584627</v>
      </c>
      <c r="V1036" s="424"/>
      <c r="W1036" s="423" cm="1">
        <f t="array" ref="W1036">_xlfn.IFERROR(U1036+Q1036,"N/A")</f>
        <v>11612887.4391796</v>
      </c>
      <c r="X1036" s="423" cm="1">
        <f t="array" ref="X1036">_xlfn.IFERROR(W1036*0.5%,"N/A")</f>
        <v>58064.437195898</v>
      </c>
      <c r="Y1036" s="423" cm="1">
        <f t="array" ref="Y1036">_xlfn.IFERROR(W1036*25%,"N/A")</f>
        <v>2903221.8597949</v>
      </c>
      <c r="Z1036" s="425" cm="1">
        <f t="array" ref="Z1036">IF(B1036&gt;0,SUM(W1036:Y1036),"N/A")</f>
        <v>14574173.7361704</v>
      </c>
      <c r="AA1036" s="425" cm="1">
        <f t="array" ref="AA1036">_xlfn.IFERROR((Z1036-Z1035),"N/A")</f>
        <v>239705</v>
      </c>
      <c r="AB1036" s="424"/>
      <c r="AC1036" s="425" cm="1">
        <f t="array" ref="AC1036">IF(B1036=6,AVERAGE(Z1031:Z1036),"N/A")</f>
        <v>13974911.2361704</v>
      </c>
      <c r="AD1036" s="424"/>
      <c r="AE1036" t="s" s="506">
        <v>550</v>
      </c>
      <c r="AF1036" s="423"/>
      <c r="AG1036" s="423"/>
      <c r="AH1036" s="423"/>
      <c r="AI1036" s="423"/>
      <c r="AJ1036" s="423"/>
      <c r="AK1036" s="423"/>
      <c r="AL1036" s="423"/>
      <c r="AM1036" s="423"/>
      <c r="AN1036" s="427"/>
    </row>
    <row r="1037" ht="15" customHeight="1">
      <c r="A1037" s="12"/>
      <c r="B1037" s="428" cm="1">
        <f t="array" ref="B1037">IF(B1036=0,0,IF(B1036&lt;VLOOKUP(C1028,'Boats Data Sheet 2026'!$C$3:$H$57,6,0),B1036+1,0))</f>
        <v>7</v>
      </c>
      <c r="C1037" s="423" cm="1">
        <f t="array" ref="C1037">IF(B1037&gt;0,IF(VLOOKUP(C1028,'Boats Data Sheet 2026'!$C$3:$J$57,8,0)="N/A",0,VLOOKUP(C1028,'Boats Data Sheet 2026'!$C$3:$J$57,8,0)),"N/A")</f>
        <v>0</v>
      </c>
      <c r="D1037" s="429" cm="1">
        <f t="array" ref="D1037">IF(B1037&gt;7,2,IF(B1037=0,"N/A",1))</f>
        <v>1</v>
      </c>
      <c r="E1037" s="423" cm="1">
        <f t="array" ref="E1037">_xlfn.IFERROR(SUM('Direct Costs 2026'!$C$4:$C$5)*D1037,"N/A")</f>
        <v>875500</v>
      </c>
      <c r="F1037" s="423" cm="1">
        <f t="array" ref="F1037">_xlfn.IFERROR('Direct Costs 2026'!$C$43*B1037,"N/A")</f>
        <v>42000</v>
      </c>
      <c r="G1037" s="423" cm="1">
        <f t="array" ref="G1037">IF(B1037&gt;0,'Direct Costs 2026'!$C$25,"N/A")</f>
        <v>90000</v>
      </c>
      <c r="H1037" s="423" cm="1">
        <f t="array" ref="H1037">IF(B1037&gt;0,('Direct Costs 2026'!$C$15+'Direct Costs 2026'!$C$17+'Direct Costs 2026'!$C$14),"N/A")</f>
        <v>580000</v>
      </c>
      <c r="I1037" s="423" cm="1">
        <f t="array" ref="I1037">IF(B1037&gt;0,'Direct Costs 2026'!$C$19+'Direct Costs 2026'!$C$18*B1037,"N/A")</f>
        <v>320000</v>
      </c>
      <c r="J1037" s="423" cm="1">
        <f t="array" ref="J1037">IF(B1037&gt;0,SUM('Direct Costs 2026'!$C$20:$C$21),"N/A")</f>
        <v>98333.3333333333</v>
      </c>
      <c r="K1037" s="423" cm="1">
        <f t="array" ref="K1037">IF(B1037&gt;0,'Direct Costs 2026'!$C$26,"N/A")</f>
        <v>20000</v>
      </c>
      <c r="L1037" s="423" cm="1">
        <f t="array" ref="L1037">IF(B1037&gt;0,'Direct Costs 2026'!$C$23,"N/A")</f>
        <v>140000</v>
      </c>
      <c r="M1037" s="423" cm="1">
        <f t="array" ref="M1037">IF(B1037&gt;0,'Direct Costs 2026'!$C$45*B1037,"N/A")</f>
        <v>1050000</v>
      </c>
      <c r="N1037" s="423" cm="1">
        <f t="array" ref="N1037">IF(B1037&gt;0,_xlfn.IFERROR(VLOOKUP(C1028,'Boats Data Sheet 2026'!$C$3:$I$57,7,0)*'Direct Costs 2026'!$C$36,"N/A"),"N/A")</f>
        <v>3325000</v>
      </c>
      <c r="O1037" s="423" cm="1">
        <f t="array" ref="O1037">IF(B1037&gt;0,IF(OR(VLOOKUP(C1028,'Boats Data Sheet 2026'!$C$3:$F$57,4,0)="Own",VLOOKUP(C1028,'Boats Data Sheet 2026'!$C$3:$F$57,4,0)="Management"),('Direct Costs 2026'!$C$37+'Direct Costs 2026'!$C$39),"N/A"),"N/A")</f>
        <v>1112400</v>
      </c>
      <c r="P1037" s="423" cm="1">
        <f t="array" ref="P1037">_xlfn.IFERROR('Direct Costs 2026'!$C$27*C1037,"N/A")</f>
        <v>0</v>
      </c>
      <c r="Q1037" s="423" cm="1">
        <f t="array" ref="Q1037">_xlfn.IFERROR(C1037+SUM(E1037:P1037),"N/A")</f>
        <v>7653233.33333333</v>
      </c>
      <c r="R1037" s="424"/>
      <c r="S1037" s="423" cm="1">
        <f t="array" ref="S1037">IF(B1037&gt;0,'Allocation OH and Target 2026'!$E$31,"N/A")</f>
        <v>3100447.15769812</v>
      </c>
      <c r="T1037" s="423" cm="1">
        <f t="array" ref="T1037">IF(B1037&gt;0,VLOOKUP(C1028,'Allocation OH and Target 2026'!$C$35:$S$87,17,0),"N/A")</f>
        <v>1050206.94814815</v>
      </c>
      <c r="U1037" s="423" cm="1">
        <f t="array" ref="U1037">_xlfn.IFERROR((S1037+T1037),"N/A")</f>
        <v>4150654.10584627</v>
      </c>
      <c r="V1037" s="424"/>
      <c r="W1037" s="423" cm="1">
        <f t="array" ref="W1037">_xlfn.IFERROR(U1037+Q1037,"N/A")</f>
        <v>11803887.4391796</v>
      </c>
      <c r="X1037" s="423" cm="1">
        <f t="array" ref="X1037">_xlfn.IFERROR(W1037*0.5%,"N/A")</f>
        <v>59019.437195898</v>
      </c>
      <c r="Y1037" s="423" cm="1">
        <f t="array" ref="Y1037">_xlfn.IFERROR(W1037*25%,"N/A")</f>
        <v>2950971.8597949</v>
      </c>
      <c r="Z1037" s="425" cm="1">
        <f t="array" ref="Z1037">IF(B1037&gt;0,SUM(W1037:Y1037),"N/A")</f>
        <v>14813878.7361704</v>
      </c>
      <c r="AA1037" s="425" cm="1">
        <f t="array" ref="AA1037">_xlfn.IFERROR((Z1037-Z1036),"N/A")</f>
        <v>239705</v>
      </c>
      <c r="AB1037" s="424"/>
      <c r="AC1037" t="str" s="426" cm="1">
        <f t="array" ref="AC1037">IF(B1037=6,AVERAGE(Z1031:Z1036),"N/A")</f>
        <v>N/A</v>
      </c>
      <c r="AD1037" s="424"/>
      <c r="AE1037" t="s" s="504">
        <v>551</v>
      </c>
      <c r="AF1037" s="507" cm="1">
        <f t="array" ref="AF1037">-AVERAGE(W1031:W1043)*AF1031</f>
        <v>-659230075.561852</v>
      </c>
      <c r="AG1037" s="423"/>
      <c r="AH1037" s="423"/>
      <c r="AI1037" s="423"/>
      <c r="AJ1037" s="423"/>
      <c r="AK1037" s="423"/>
      <c r="AL1037" s="423"/>
      <c r="AM1037" s="423"/>
      <c r="AN1037" s="427"/>
    </row>
    <row r="1038" ht="15" customHeight="1">
      <c r="A1038" s="12"/>
      <c r="B1038" s="428" cm="1">
        <f t="array" ref="B1038">IF(B1037=0,0,IF(B1037&lt;VLOOKUP(C1028,'Boats Data Sheet 2026'!$C$3:$H$57,6,0),B1037+1,0))</f>
        <v>8</v>
      </c>
      <c r="C1038" s="423" cm="1">
        <f t="array" ref="C1038">IF(B1038&gt;0,IF(VLOOKUP(C1028,'Boats Data Sheet 2026'!$C$3:$J$57,8,0)="N/A",0,VLOOKUP(C1028,'Boats Data Sheet 2026'!$C$3:$J$57,8,0)),"N/A")</f>
        <v>0</v>
      </c>
      <c r="D1038" s="429" cm="1">
        <f t="array" ref="D1038">IF(B1038&gt;7,2,IF(B1038=0,"N/A",1))</f>
        <v>2</v>
      </c>
      <c r="E1038" s="423" cm="1">
        <f t="array" ref="E1038">_xlfn.IFERROR(SUM('Direct Costs 2026'!$C$4:$C$5)*D1038,"N/A")</f>
        <v>1751000</v>
      </c>
      <c r="F1038" s="423" cm="1">
        <f t="array" ref="F1038">_xlfn.IFERROR('Direct Costs 2026'!$C$43*B1038,"N/A")</f>
        <v>48000</v>
      </c>
      <c r="G1038" s="423" cm="1">
        <f t="array" ref="G1038">IF(B1038&gt;0,'Direct Costs 2026'!$C$25,"N/A")</f>
        <v>90000</v>
      </c>
      <c r="H1038" s="423" cm="1">
        <f t="array" ref="H1038">IF(B1038&gt;0,('Direct Costs 2026'!$C$15+'Direct Costs 2026'!$C$17+'Direct Costs 2026'!$C$14),"N/A")</f>
        <v>580000</v>
      </c>
      <c r="I1038" s="423" cm="1">
        <f t="array" ref="I1038">IF(B1038&gt;0,'Direct Costs 2026'!$C$19+'Direct Costs 2026'!$C$18*B1038,"N/A")</f>
        <v>355000</v>
      </c>
      <c r="J1038" s="423" cm="1">
        <f t="array" ref="J1038">IF(B1038&gt;0,SUM('Direct Costs 2026'!$C$20:$C$21),"N/A")</f>
        <v>98333.3333333333</v>
      </c>
      <c r="K1038" s="423" cm="1">
        <f t="array" ref="K1038">IF(B1038&gt;0,'Direct Costs 2026'!$C$26,"N/A")</f>
        <v>20000</v>
      </c>
      <c r="L1038" s="423" cm="1">
        <f t="array" ref="L1038">IF(B1038&gt;0,'Direct Costs 2026'!$C$23,"N/A")</f>
        <v>140000</v>
      </c>
      <c r="M1038" s="423" cm="1">
        <f t="array" ref="M1038">IF(B1038&gt;0,'Direct Costs 2026'!$C$45*B1038,"N/A")</f>
        <v>1200000</v>
      </c>
      <c r="N1038" s="423" cm="1">
        <f t="array" ref="N1038">IF(B1038&gt;0,_xlfn.IFERROR(VLOOKUP(C1028,'Boats Data Sheet 2026'!$C$3:$I$57,7,0)*'Direct Costs 2026'!$C$36,"N/A"),"N/A")</f>
        <v>3325000</v>
      </c>
      <c r="O1038" s="423" cm="1">
        <f t="array" ref="O1038">IF(B1038&gt;0,IF(OR(VLOOKUP(C1028,'Boats Data Sheet 2026'!$C$3:$F$57,4,0)="Own",VLOOKUP(C1028,'Boats Data Sheet 2026'!$C$3:$F$57,4,0)="Management"),('Direct Costs 2026'!$C$37+'Direct Costs 2026'!$C$39),"N/A"),"N/A")</f>
        <v>1112400</v>
      </c>
      <c r="P1038" s="423" cm="1">
        <f t="array" ref="P1038">_xlfn.IFERROR('Direct Costs 2026'!$C$27*C1038,"N/A")</f>
        <v>0</v>
      </c>
      <c r="Q1038" s="423" cm="1">
        <f t="array" ref="Q1038">_xlfn.IFERROR(C1038+SUM(E1038:P1038),"N/A")</f>
        <v>8719733.33333333</v>
      </c>
      <c r="R1038" s="424"/>
      <c r="S1038" s="423" cm="1">
        <f t="array" ref="S1038">IF(B1038&gt;0,'Allocation OH and Target 2026'!$E$31,"N/A")</f>
        <v>3100447.15769812</v>
      </c>
      <c r="T1038" s="423" cm="1">
        <f t="array" ref="T1038">IF(B1038&gt;0,VLOOKUP(C1028,'Allocation OH and Target 2026'!$C$35:$S$87,17,0),"N/A")</f>
        <v>1050206.94814815</v>
      </c>
      <c r="U1038" s="423" cm="1">
        <f t="array" ref="U1038">_xlfn.IFERROR((S1038+T1038),"N/A")</f>
        <v>4150654.10584627</v>
      </c>
      <c r="V1038" s="424"/>
      <c r="W1038" s="423" cm="1">
        <f t="array" ref="W1038">_xlfn.IFERROR(U1038+Q1038,"N/A")</f>
        <v>12870387.4391796</v>
      </c>
      <c r="X1038" s="423" cm="1">
        <f t="array" ref="X1038">_xlfn.IFERROR(W1038*0.5%,"N/A")</f>
        <v>64351.937195898</v>
      </c>
      <c r="Y1038" s="423" cm="1">
        <f t="array" ref="Y1038">_xlfn.IFERROR(W1038*25%,"N/A")</f>
        <v>3217596.8597949</v>
      </c>
      <c r="Z1038" s="425" cm="1">
        <f t="array" ref="Z1038">IF(B1038&gt;0,SUM(W1038:Y1038),"N/A")</f>
        <v>16152336.2361704</v>
      </c>
      <c r="AA1038" s="425" cm="1">
        <f t="array" ref="AA1038">_xlfn.IFERROR((Z1038-Z1037),"N/A")</f>
        <v>1338457.5</v>
      </c>
      <c r="AB1038" s="424"/>
      <c r="AC1038" t="str" s="426" cm="1">
        <f t="array" ref="AC1038">IF(B1038=6,AVERAGE(Z1031:Z1036),"N/A")</f>
        <v>N/A</v>
      </c>
      <c r="AD1038" s="424"/>
      <c r="AE1038" t="s" s="506">
        <v>394</v>
      </c>
      <c r="AF1038" s="508" cm="1">
        <f t="array" ref="AF1038">SUM(AF1033:AF1037)</f>
        <v>229339924.438148</v>
      </c>
      <c r="AG1038" s="423"/>
      <c r="AH1038" s="423"/>
      <c r="AI1038" s="423"/>
      <c r="AJ1038" s="423"/>
      <c r="AK1038" s="423"/>
      <c r="AL1038" s="423"/>
      <c r="AM1038" s="423"/>
      <c r="AN1038" s="427"/>
    </row>
    <row r="1039" ht="15" customHeight="1">
      <c r="A1039" s="12"/>
      <c r="B1039" s="428" cm="1">
        <f t="array" ref="B1039">IF(B1038=0,0,IF(B1038&lt;VLOOKUP(C1028,'Boats Data Sheet 2026'!$C$3:$H$57,6,0),B1038+1,0))</f>
        <v>9</v>
      </c>
      <c r="C1039" s="423" cm="1">
        <f t="array" ref="C1039">IF(B1039&gt;0,IF(VLOOKUP(C1028,'Boats Data Sheet 2026'!$C$3:$J$57,8,0)="N/A",0,VLOOKUP(C1028,'Boats Data Sheet 2026'!$C$3:$J$57,8,0)),"N/A")</f>
        <v>0</v>
      </c>
      <c r="D1039" s="429" cm="1">
        <f t="array" ref="D1039">IF(B1039&gt;7,2,IF(B1039=0,"N/A",1))</f>
        <v>2</v>
      </c>
      <c r="E1039" s="423" cm="1">
        <f t="array" ref="E1039">_xlfn.IFERROR(SUM('Direct Costs 2026'!$C$4:$C$5)*D1039,"N/A")</f>
        <v>1751000</v>
      </c>
      <c r="F1039" s="423" cm="1">
        <f t="array" ref="F1039">_xlfn.IFERROR('Direct Costs 2026'!$C$43*B1039,"N/A")</f>
        <v>54000</v>
      </c>
      <c r="G1039" s="423" cm="1">
        <f t="array" ref="G1039">IF(B1039&gt;0,'Direct Costs 2026'!$C$25,"N/A")</f>
        <v>90000</v>
      </c>
      <c r="H1039" s="423" cm="1">
        <f t="array" ref="H1039">IF(B1039&gt;0,('Direct Costs 2026'!$C$15+'Direct Costs 2026'!$C$17+'Direct Costs 2026'!$C$14),"N/A")</f>
        <v>580000</v>
      </c>
      <c r="I1039" s="423" cm="1">
        <f t="array" ref="I1039">IF(B1039&gt;0,'Direct Costs 2026'!$C$19+'Direct Costs 2026'!$C$18*B1039,"N/A")</f>
        <v>390000</v>
      </c>
      <c r="J1039" s="423" cm="1">
        <f t="array" ref="J1039">IF(B1039&gt;0,SUM('Direct Costs 2026'!$C$20:$C$21),"N/A")</f>
        <v>98333.3333333333</v>
      </c>
      <c r="K1039" s="423" cm="1">
        <f t="array" ref="K1039">IF(B1039&gt;0,'Direct Costs 2026'!$C$26,"N/A")</f>
        <v>20000</v>
      </c>
      <c r="L1039" s="423" cm="1">
        <f t="array" ref="L1039">IF(B1039&gt;0,'Direct Costs 2026'!$C$23,"N/A")</f>
        <v>140000</v>
      </c>
      <c r="M1039" s="423" cm="1">
        <f t="array" ref="M1039">IF(B1039&gt;0,'Direct Costs 2026'!$C$45*B1039,"N/A")</f>
        <v>1350000</v>
      </c>
      <c r="N1039" s="423" cm="1">
        <f t="array" ref="N1039">IF(B1039&gt;0,_xlfn.IFERROR(VLOOKUP(C1028,'Boats Data Sheet 2026'!$C$3:$I$57,7,0)*'Direct Costs 2026'!$C$36,"N/A"),"N/A")</f>
        <v>3325000</v>
      </c>
      <c r="O1039" s="423" cm="1">
        <f t="array" ref="O1039">IF(B1039&gt;0,IF(OR(VLOOKUP(C1028,'Boats Data Sheet 2026'!$C$3:$F$57,4,0)="Own",VLOOKUP(C1028,'Boats Data Sheet 2026'!$C$3:$F$57,4,0)="Management"),('Direct Costs 2026'!$C$37+'Direct Costs 2026'!$C$39),"N/A"),"N/A")</f>
        <v>1112400</v>
      </c>
      <c r="P1039" s="423" cm="1">
        <f t="array" ref="P1039">_xlfn.IFERROR('Direct Costs 2026'!$C$27*C1039,"N/A")</f>
        <v>0</v>
      </c>
      <c r="Q1039" s="423" cm="1">
        <f t="array" ref="Q1039">_xlfn.IFERROR(C1039+SUM(E1039:P1039),"N/A")</f>
        <v>8910733.33333333</v>
      </c>
      <c r="R1039" s="424"/>
      <c r="S1039" s="423" cm="1">
        <f t="array" ref="S1039">IF(B1039&gt;0,'Allocation OH and Target 2026'!$E$31,"N/A")</f>
        <v>3100447.15769812</v>
      </c>
      <c r="T1039" s="423" cm="1">
        <f t="array" ref="T1039">IF(B1039&gt;0,VLOOKUP(C1028,'Allocation OH and Target 2026'!$C$35:$S$87,17,0),"N/A")</f>
        <v>1050206.94814815</v>
      </c>
      <c r="U1039" s="423" cm="1">
        <f t="array" ref="U1039">_xlfn.IFERROR((S1039+T1039),"N/A")</f>
        <v>4150654.10584627</v>
      </c>
      <c r="V1039" s="424"/>
      <c r="W1039" s="423" cm="1">
        <f t="array" ref="W1039">_xlfn.IFERROR(U1039+Q1039,"N/A")</f>
        <v>13061387.4391796</v>
      </c>
      <c r="X1039" s="423" cm="1">
        <f t="array" ref="X1039">_xlfn.IFERROR(W1039*0.5%,"N/A")</f>
        <v>65306.937195898</v>
      </c>
      <c r="Y1039" s="423" cm="1">
        <f t="array" ref="Y1039">_xlfn.IFERROR(W1039*25%,"N/A")</f>
        <v>3265346.8597949</v>
      </c>
      <c r="Z1039" s="425" cm="1">
        <f t="array" ref="Z1039">IF(B1039&gt;0,SUM(W1039:Y1039),"N/A")</f>
        <v>16392041.2361704</v>
      </c>
      <c r="AA1039" s="425" cm="1">
        <f t="array" ref="AA1039">_xlfn.IFERROR((Z1039-Z1038),"N/A")</f>
        <v>239705</v>
      </c>
      <c r="AB1039" s="424"/>
      <c r="AC1039" t="str" s="426" cm="1">
        <f t="array" ref="AC1039">IF(B1039=6,AVERAGE(Z1031:Z1036),"N/A")</f>
        <v>N/A</v>
      </c>
      <c r="AD1039" s="424"/>
      <c r="AE1039" t="s" s="509">
        <v>564</v>
      </c>
      <c r="AF1039" s="510" cm="1">
        <f t="array" ref="AF1039">AF1038*37%</f>
        <v>84855772.04211479</v>
      </c>
      <c r="AG1039" s="423"/>
      <c r="AH1039" s="423"/>
      <c r="AI1039" s="423"/>
      <c r="AJ1039" s="423"/>
      <c r="AK1039" s="423"/>
      <c r="AL1039" s="423"/>
      <c r="AM1039" s="423"/>
      <c r="AN1039" s="427"/>
    </row>
    <row r="1040" ht="15" customHeight="1">
      <c r="A1040" s="12"/>
      <c r="B1040" s="428" cm="1">
        <f t="array" ref="B1040">IF(B1039=0,0,IF(B1039&lt;VLOOKUP(C1028,'Boats Data Sheet 2026'!$C$3:$H$57,6,0),B1039+1,0))</f>
        <v>10</v>
      </c>
      <c r="C1040" s="423" cm="1">
        <f t="array" ref="C1040">IF(B1040&gt;0,IF(VLOOKUP(C1028,'Boats Data Sheet 2026'!$C$3:$J$57,8,0)="N/A",0,VLOOKUP(C1028,'Boats Data Sheet 2026'!$C$3:$J$57,8,0)),"N/A")</f>
        <v>0</v>
      </c>
      <c r="D1040" s="429" cm="1">
        <f t="array" ref="D1040">IF(B1040&gt;7,2,IF(B1040=0,"N/A",1))</f>
        <v>2</v>
      </c>
      <c r="E1040" s="423" cm="1">
        <f t="array" ref="E1040">_xlfn.IFERROR(SUM('Direct Costs 2026'!$C$4:$C$5)*D1040,"N/A")</f>
        <v>1751000</v>
      </c>
      <c r="F1040" s="423" cm="1">
        <f t="array" ref="F1040">_xlfn.IFERROR('Direct Costs 2026'!$C$43*B1040,"N/A")</f>
        <v>60000</v>
      </c>
      <c r="G1040" s="423" cm="1">
        <f t="array" ref="G1040">IF(B1040&gt;0,'Direct Costs 2026'!$C$25,"N/A")</f>
        <v>90000</v>
      </c>
      <c r="H1040" s="423" cm="1">
        <f t="array" ref="H1040">IF(B1040&gt;0,('Direct Costs 2026'!$C$15+'Direct Costs 2026'!$C$17+'Direct Costs 2026'!$C$14),"N/A")</f>
        <v>580000</v>
      </c>
      <c r="I1040" s="423" cm="1">
        <f t="array" ref="I1040">IF(B1040&gt;0,'Direct Costs 2026'!$C$19+'Direct Costs 2026'!$C$18*B1040,"N/A")</f>
        <v>425000</v>
      </c>
      <c r="J1040" s="423" cm="1">
        <f t="array" ref="J1040">IF(B1040&gt;0,SUM('Direct Costs 2026'!$C$20:$C$21),"N/A")</f>
        <v>98333.3333333333</v>
      </c>
      <c r="K1040" s="423" cm="1">
        <f t="array" ref="K1040">IF(B1040&gt;0,'Direct Costs 2026'!$C$26,"N/A")</f>
        <v>20000</v>
      </c>
      <c r="L1040" s="423" cm="1">
        <f t="array" ref="L1040">IF(B1040&gt;0,'Direct Costs 2026'!$C$23,"N/A")</f>
        <v>140000</v>
      </c>
      <c r="M1040" s="423" cm="1">
        <f t="array" ref="M1040">IF(B1040&gt;0,'Direct Costs 2026'!$C$45*B1040,"N/A")</f>
        <v>1500000</v>
      </c>
      <c r="N1040" s="423" cm="1">
        <f t="array" ref="N1040">IF(B1040&gt;0,_xlfn.IFERROR(VLOOKUP(C1028,'Boats Data Sheet 2026'!$C$3:$I$57,7,0)*'Direct Costs 2026'!$C$36,"N/A"),"N/A")</f>
        <v>3325000</v>
      </c>
      <c r="O1040" s="423" cm="1">
        <f t="array" ref="O1040">IF(B1040&gt;0,IF(OR(VLOOKUP(C1028,'Boats Data Sheet 2026'!$C$3:$F$57,4,0)="Own",VLOOKUP(C1028,'Boats Data Sheet 2026'!$C$3:$F$57,4,0)="Management"),('Direct Costs 2026'!$C$37+'Direct Costs 2026'!$C$39),"N/A"),"N/A")</f>
        <v>1112400</v>
      </c>
      <c r="P1040" s="423" cm="1">
        <f t="array" ref="P1040">_xlfn.IFERROR('Direct Costs 2026'!$C$27*C1040,"N/A")</f>
        <v>0</v>
      </c>
      <c r="Q1040" s="423" cm="1">
        <f t="array" ref="Q1040">_xlfn.IFERROR(C1040+SUM(E1040:P1040),"N/A")</f>
        <v>9101733.33333333</v>
      </c>
      <c r="R1040" s="424"/>
      <c r="S1040" s="423" cm="1">
        <f t="array" ref="S1040">IF(B1040&gt;0,'Allocation OH and Target 2026'!$E$31,"N/A")</f>
        <v>3100447.15769812</v>
      </c>
      <c r="T1040" s="423" cm="1">
        <f t="array" ref="T1040">IF(B1040&gt;0,VLOOKUP(C1028,'Allocation OH and Target 2026'!$C$35:$S$87,17,0),"N/A")</f>
        <v>1050206.94814815</v>
      </c>
      <c r="U1040" s="423" cm="1">
        <f t="array" ref="U1040">_xlfn.IFERROR((S1040+T1040),"N/A")</f>
        <v>4150654.10584627</v>
      </c>
      <c r="V1040" s="424"/>
      <c r="W1040" s="423" cm="1">
        <f t="array" ref="W1040">_xlfn.IFERROR(U1040+Q1040,"N/A")</f>
        <v>13252387.4391796</v>
      </c>
      <c r="X1040" s="423" cm="1">
        <f t="array" ref="X1040">_xlfn.IFERROR(W1040*0.5%,"N/A")</f>
        <v>66261.937195898</v>
      </c>
      <c r="Y1040" s="423" cm="1">
        <f t="array" ref="Y1040">_xlfn.IFERROR(W1040*25%,"N/A")</f>
        <v>3313096.8597949</v>
      </c>
      <c r="Z1040" s="425" cm="1">
        <f t="array" ref="Z1040">IF(B1040&gt;0,SUM(W1040:Y1040),"N/A")</f>
        <v>16631746.2361704</v>
      </c>
      <c r="AA1040" s="425" cm="1">
        <f t="array" ref="AA1040">_xlfn.IFERROR((Z1040-Z1039),"N/A")</f>
        <v>239705</v>
      </c>
      <c r="AB1040" s="424"/>
      <c r="AC1040" t="str" s="426" cm="1">
        <f t="array" ref="AC1040">IF(B1040=6,AVERAGE(Z1031:Z1036),"N/A")</f>
        <v>N/A</v>
      </c>
      <c r="AD1040" s="424"/>
      <c r="AE1040" s="423"/>
      <c r="AF1040" s="423"/>
      <c r="AG1040" s="423"/>
      <c r="AH1040" s="423"/>
      <c r="AI1040" s="423"/>
      <c r="AJ1040" s="423"/>
      <c r="AK1040" s="423"/>
      <c r="AL1040" s="423"/>
      <c r="AM1040" s="423"/>
      <c r="AN1040" s="427"/>
    </row>
    <row r="1041" ht="15" customHeight="1">
      <c r="A1041" s="12"/>
      <c r="B1041" s="428" cm="1">
        <f t="array" ref="B1041">IF(B1040=0,0,IF(B1040&lt;VLOOKUP(C1028,'Boats Data Sheet 2026'!$C$3:$H$57,6,0),B1040+1,0))</f>
        <v>11</v>
      </c>
      <c r="C1041" s="423" cm="1">
        <f t="array" ref="C1041">IF(B1041&gt;0,IF(VLOOKUP(C1028,'Boats Data Sheet 2026'!$C$3:$J$57,8,0)="N/A",0,VLOOKUP(C1028,'Boats Data Sheet 2026'!$C$3:$J$57,8,0)),"N/A")</f>
        <v>0</v>
      </c>
      <c r="D1041" s="429" cm="1">
        <f t="array" ref="D1041">IF(B1041&gt;7,2,IF(B1041=0,"N/A",1))</f>
        <v>2</v>
      </c>
      <c r="E1041" s="423" cm="1">
        <f t="array" ref="E1041">_xlfn.IFERROR(SUM('Direct Costs 2026'!$C$4:$C$5)*D1041,"N/A")</f>
        <v>1751000</v>
      </c>
      <c r="F1041" s="423" cm="1">
        <f t="array" ref="F1041">_xlfn.IFERROR('Direct Costs 2026'!$C$43*B1041,"N/A")</f>
        <v>66000</v>
      </c>
      <c r="G1041" s="423" cm="1">
        <f t="array" ref="G1041">IF(B1041&gt;0,'Direct Costs 2026'!$C$25,"N/A")</f>
        <v>90000</v>
      </c>
      <c r="H1041" s="423" cm="1">
        <f t="array" ref="H1041">IF(B1041&gt;0,('Direct Costs 2026'!$C$15+'Direct Costs 2026'!$C$17+'Direct Costs 2026'!$C$14),"N/A")</f>
        <v>580000</v>
      </c>
      <c r="I1041" s="423" cm="1">
        <f t="array" ref="I1041">IF(B1041&gt;0,'Direct Costs 2026'!$C$19+'Direct Costs 2026'!$C$18*B1041,"N/A")</f>
        <v>460000</v>
      </c>
      <c r="J1041" s="423" cm="1">
        <f t="array" ref="J1041">IF(B1041&gt;0,SUM('Direct Costs 2026'!$C$20:$C$21),"N/A")</f>
        <v>98333.3333333333</v>
      </c>
      <c r="K1041" s="423" cm="1">
        <f t="array" ref="K1041">IF(B1041&gt;0,'Direct Costs 2026'!$C$26,"N/A")</f>
        <v>20000</v>
      </c>
      <c r="L1041" s="423" cm="1">
        <f t="array" ref="L1041">IF(B1041&gt;0,'Direct Costs 2026'!$C$23,"N/A")</f>
        <v>140000</v>
      </c>
      <c r="M1041" s="423" cm="1">
        <f t="array" ref="M1041">IF(B1041&gt;0,'Direct Costs 2026'!$C$45*B1041,"N/A")</f>
        <v>1650000</v>
      </c>
      <c r="N1041" s="423" cm="1">
        <f t="array" ref="N1041">IF(B1041&gt;0,_xlfn.IFERROR(VLOOKUP(C1028,'Boats Data Sheet 2026'!$C$3:$I$57,7,0)*'Direct Costs 2026'!$C$36,"N/A"),"N/A")</f>
        <v>3325000</v>
      </c>
      <c r="O1041" s="423" cm="1">
        <f t="array" ref="O1041">IF(B1041&gt;0,IF(OR(VLOOKUP(C1028,'Boats Data Sheet 2026'!$C$3:$F$57,4,0)="Own",VLOOKUP(C1028,'Boats Data Sheet 2026'!$C$3:$F$57,4,0)="Management"),('Direct Costs 2026'!$C$37+'Direct Costs 2026'!$C$39),"N/A"),"N/A")</f>
        <v>1112400</v>
      </c>
      <c r="P1041" s="423" cm="1">
        <f t="array" ref="P1041">_xlfn.IFERROR('Direct Costs 2026'!$C$27*C1041,"N/A")</f>
        <v>0</v>
      </c>
      <c r="Q1041" s="423" cm="1">
        <f t="array" ref="Q1041">_xlfn.IFERROR(C1041+SUM(E1041:P1041),"N/A")</f>
        <v>9292733.33333333</v>
      </c>
      <c r="R1041" s="424"/>
      <c r="S1041" s="423" cm="1">
        <f t="array" ref="S1041">IF(B1041&gt;0,'Allocation OH and Target 2026'!$E$31,"N/A")</f>
        <v>3100447.15769812</v>
      </c>
      <c r="T1041" s="423" cm="1">
        <f t="array" ref="T1041">IF(B1041&gt;0,VLOOKUP(C1028,'Allocation OH and Target 2026'!$C$35:$S$87,17,0),"N/A")</f>
        <v>1050206.94814815</v>
      </c>
      <c r="U1041" s="423" cm="1">
        <f t="array" ref="U1041">_xlfn.IFERROR((S1041+T1041),"N/A")</f>
        <v>4150654.10584627</v>
      </c>
      <c r="V1041" s="424"/>
      <c r="W1041" s="423" cm="1">
        <f t="array" ref="W1041">_xlfn.IFERROR(U1041+Q1041,"N/A")</f>
        <v>13443387.4391796</v>
      </c>
      <c r="X1041" s="423" cm="1">
        <f t="array" ref="X1041">_xlfn.IFERROR(W1041*0.5%,"N/A")</f>
        <v>67216.937195898</v>
      </c>
      <c r="Y1041" s="423" cm="1">
        <f t="array" ref="Y1041">_xlfn.IFERROR(W1041*25%,"N/A")</f>
        <v>3360846.8597949</v>
      </c>
      <c r="Z1041" s="425" cm="1">
        <f t="array" ref="Z1041">IF(B1041&gt;0,SUM(W1041:Y1041),"N/A")</f>
        <v>16871451.2361704</v>
      </c>
      <c r="AA1041" s="425" cm="1">
        <f t="array" ref="AA1041">_xlfn.IFERROR((Z1041-Z1040),"N/A")</f>
        <v>239705</v>
      </c>
      <c r="AB1041" s="424"/>
      <c r="AC1041" t="str" s="426" cm="1">
        <f t="array" ref="AC1041">IF(B1041=6,AVERAGE(Z1031:Z1036),"N/A")</f>
        <v>N/A</v>
      </c>
      <c r="AD1041" s="424"/>
      <c r="AE1041" s="423"/>
      <c r="AF1041" s="423"/>
      <c r="AG1041" s="423"/>
      <c r="AH1041" s="423"/>
      <c r="AI1041" s="423"/>
      <c r="AJ1041" s="423"/>
      <c r="AK1041" s="423"/>
      <c r="AL1041" s="423"/>
      <c r="AM1041" s="423"/>
      <c r="AN1041" s="427"/>
    </row>
    <row r="1042" ht="15" customHeight="1">
      <c r="A1042" s="12"/>
      <c r="B1042" s="428" cm="1">
        <f t="array" ref="B1042">IF(B1041=0,0,IF(B1041&lt;VLOOKUP(C1028,'Boats Data Sheet 2026'!$C$3:$H$57,6,0),B1041+1,0))</f>
        <v>12</v>
      </c>
      <c r="C1042" s="423" cm="1">
        <f t="array" ref="C1042">IF(B1042&gt;0,IF(VLOOKUP(C1028,'Boats Data Sheet 2026'!$C$3:$J$57,8,0)="N/A",0,VLOOKUP(C1028,'Boats Data Sheet 2026'!$C$3:$J$57,8,0)),"N/A")</f>
        <v>0</v>
      </c>
      <c r="D1042" s="429" cm="1">
        <f t="array" ref="D1042">IF(B1042&gt;7,2,IF(B1042=0,"N/A",1))</f>
        <v>2</v>
      </c>
      <c r="E1042" s="423" cm="1">
        <f t="array" ref="E1042">_xlfn.IFERROR(SUM('Direct Costs 2026'!$C$4:$C$5)*D1042,"N/A")</f>
        <v>1751000</v>
      </c>
      <c r="F1042" s="423" cm="1">
        <f t="array" ref="F1042">_xlfn.IFERROR('Direct Costs 2026'!$C$43*B1042,"N/A")</f>
        <v>72000</v>
      </c>
      <c r="G1042" s="423" cm="1">
        <f t="array" ref="G1042">IF(B1042&gt;0,'Direct Costs 2026'!$C$25,"N/A")</f>
        <v>90000</v>
      </c>
      <c r="H1042" s="423" cm="1">
        <f t="array" ref="H1042">IF(B1042&gt;0,('Direct Costs 2026'!$C$15+'Direct Costs 2026'!$C$17+'Direct Costs 2026'!$C$14),"N/A")</f>
        <v>580000</v>
      </c>
      <c r="I1042" s="423" cm="1">
        <f t="array" ref="I1042">IF(B1042&gt;0,'Direct Costs 2026'!$C$19+'Direct Costs 2026'!$C$18*B1042,"N/A")</f>
        <v>495000</v>
      </c>
      <c r="J1042" s="423" cm="1">
        <f t="array" ref="J1042">IF(B1042&gt;0,SUM('Direct Costs 2026'!$C$20:$C$21),"N/A")</f>
        <v>98333.3333333333</v>
      </c>
      <c r="K1042" s="423" cm="1">
        <f t="array" ref="K1042">IF(B1042&gt;0,'Direct Costs 2026'!$C$26,"N/A")</f>
        <v>20000</v>
      </c>
      <c r="L1042" s="423" cm="1">
        <f t="array" ref="L1042">IF(B1042&gt;0,'Direct Costs 2026'!$C$23,"N/A")</f>
        <v>140000</v>
      </c>
      <c r="M1042" s="423" cm="1">
        <f t="array" ref="M1042">IF(B1042&gt;0,'Direct Costs 2026'!$C$45*B1042,"N/A")</f>
        <v>1800000</v>
      </c>
      <c r="N1042" s="423" cm="1">
        <f t="array" ref="N1042">IF(B1042&gt;0,_xlfn.IFERROR(VLOOKUP(C1028,'Boats Data Sheet 2026'!$C$3:$I$57,7,0)*'Direct Costs 2026'!$C$36,"N/A"),"N/A")</f>
        <v>3325000</v>
      </c>
      <c r="O1042" s="423" cm="1">
        <f t="array" ref="O1042">IF(B1042&gt;0,IF(OR(VLOOKUP(C1028,'Boats Data Sheet 2026'!$C$3:$F$57,4,0)="Own",VLOOKUP(C1028,'Boats Data Sheet 2026'!$C$3:$F$57,4,0)="Management"),('Direct Costs 2026'!$C$37+'Direct Costs 2026'!$C$39),"N/A"),"N/A")</f>
        <v>1112400</v>
      </c>
      <c r="P1042" s="423" cm="1">
        <f t="array" ref="P1042">_xlfn.IFERROR('Direct Costs 2026'!$C$27*C1042,"N/A")</f>
        <v>0</v>
      </c>
      <c r="Q1042" s="423" cm="1">
        <f t="array" ref="Q1042">_xlfn.IFERROR(C1042+SUM(E1042:P1042),"N/A")</f>
        <v>9483733.33333333</v>
      </c>
      <c r="R1042" s="424"/>
      <c r="S1042" s="423" cm="1">
        <f t="array" ref="S1042">IF(B1042&gt;0,'Allocation OH and Target 2026'!$E$31,"N/A")</f>
        <v>3100447.15769812</v>
      </c>
      <c r="T1042" s="423" cm="1">
        <f t="array" ref="T1042">IF(B1043&gt;0,VLOOKUP(C1028,'Allocation OH and Target 2026'!$C$35:$S$87,17,0),"N/A")</f>
        <v>1050206.94814815</v>
      </c>
      <c r="U1042" s="423" cm="1">
        <f t="array" ref="U1042">_xlfn.IFERROR((S1042+T1042),"N/A")</f>
        <v>4150654.10584627</v>
      </c>
      <c r="V1042" s="424"/>
      <c r="W1042" s="423" cm="1">
        <f t="array" ref="W1042">_xlfn.IFERROR(U1042+Q1042,"N/A")</f>
        <v>13634387.4391796</v>
      </c>
      <c r="X1042" s="423" cm="1">
        <f t="array" ref="X1042">_xlfn.IFERROR(W1042*0.5%,"N/A")</f>
        <v>68171.937195898</v>
      </c>
      <c r="Y1042" s="423" cm="1">
        <f t="array" ref="Y1042">_xlfn.IFERROR(W1042*25%,"N/A")</f>
        <v>3408596.8597949</v>
      </c>
      <c r="Z1042" s="425" cm="1">
        <f t="array" ref="Z1042">IF(B1042&gt;0,SUM(W1042:Y1042),"N/A")</f>
        <v>17111156.2361704</v>
      </c>
      <c r="AA1042" s="425" cm="1">
        <f t="array" ref="AA1042">_xlfn.IFERROR((Z1042-Z1041),"N/A")</f>
        <v>239705</v>
      </c>
      <c r="AB1042" s="424"/>
      <c r="AC1042" t="str" s="426" cm="1">
        <f t="array" ref="AC1042">IF(B1042=6,AVERAGE(Z1031:Z1036),"N/A")</f>
        <v>N/A</v>
      </c>
      <c r="AD1042" s="424"/>
      <c r="AE1042" s="423"/>
      <c r="AF1042" s="423"/>
      <c r="AG1042" s="423"/>
      <c r="AH1042" s="423"/>
      <c r="AI1042" s="423"/>
      <c r="AJ1042" s="423"/>
      <c r="AK1042" s="423"/>
      <c r="AL1042" s="423"/>
      <c r="AM1042" s="423"/>
      <c r="AN1042" s="427"/>
    </row>
    <row r="1043" ht="15" customHeight="1">
      <c r="A1043" s="12"/>
      <c r="B1043" s="428" cm="1">
        <f t="array" ref="B1043">IF(B1042=0,0,IF(B1042&lt;VLOOKUP(C1028,'Boats Data Sheet 2026'!$C$3:$H$57,6,0),B1042+1,0))</f>
        <v>13</v>
      </c>
      <c r="C1043" s="423" cm="1">
        <f t="array" ref="C1043">IF(B1043&gt;0,IF(VLOOKUP(C1028,'Boats Data Sheet 2026'!$C$3:$J$57,8,0)="N/A",0,VLOOKUP(C1028,'Boats Data Sheet 2026'!$C$3:$J$57,8,0)),"N/A")</f>
        <v>0</v>
      </c>
      <c r="D1043" s="429" cm="1">
        <f t="array" ref="D1043">IF(B1043&gt;7,2,IF(B1043=0,"N/A",1))</f>
        <v>2</v>
      </c>
      <c r="E1043" s="423" cm="1">
        <f t="array" ref="E1043">_xlfn.IFERROR(SUM('Direct Costs 2026'!$C$4:$C$5)*D1043,"N/A")</f>
        <v>1751000</v>
      </c>
      <c r="F1043" s="423" cm="1">
        <f t="array" ref="F1043">_xlfn.IFERROR('Direct Costs 2026'!$C$43*B1043,"N/A")</f>
        <v>78000</v>
      </c>
      <c r="G1043" s="423" cm="1">
        <f t="array" ref="G1043">IF(B1043&gt;0,'Direct Costs 2026'!$C$25,"N/A")</f>
        <v>90000</v>
      </c>
      <c r="H1043" s="423" cm="1">
        <f t="array" ref="H1043">IF(B1043&gt;0,('Direct Costs 2026'!$C$15+'Direct Costs 2026'!$C$17+'Direct Costs 2026'!$C$14),"N/A")</f>
        <v>580000</v>
      </c>
      <c r="I1043" s="423" cm="1">
        <f t="array" ref="I1043">IF(B1043&gt;0,'Direct Costs 2026'!$C$19+'Direct Costs 2026'!$C$18*B1043,"N/A")</f>
        <v>530000</v>
      </c>
      <c r="J1043" s="423" cm="1">
        <f t="array" ref="J1043">IF(B1043&gt;0,SUM('Direct Costs 2026'!$C$20:$C$21),"N/A")</f>
        <v>98333.3333333333</v>
      </c>
      <c r="K1043" s="423" cm="1">
        <f t="array" ref="K1043">IF(B1043&gt;0,'Direct Costs 2026'!$C$26,"N/A")</f>
        <v>20000</v>
      </c>
      <c r="L1043" s="423" cm="1">
        <f t="array" ref="L1043">IF(B1043&gt;0,'Direct Costs 2026'!$C$23,"N/A")</f>
        <v>140000</v>
      </c>
      <c r="M1043" s="423" cm="1">
        <f t="array" ref="M1043">IF(B1043&gt;0,'Direct Costs 2026'!$C$45*B1043,"N/A")</f>
        <v>1950000</v>
      </c>
      <c r="N1043" s="423" cm="1">
        <f t="array" ref="N1043">IF(B1043&gt;0,_xlfn.IFERROR(VLOOKUP(C1028,'Boats Data Sheet 2026'!$C$3:$I$57,7,0)*'Direct Costs 2026'!$C$36,"N/A"),"N/A")</f>
        <v>3325000</v>
      </c>
      <c r="O1043" s="423" cm="1">
        <f t="array" ref="O1043">IF(B1043&gt;0,IF(OR(VLOOKUP(C1028,'Boats Data Sheet 2026'!$C$3:$F$57,4,0)="Own",VLOOKUP(C1028,'Boats Data Sheet 2026'!$C$3:$F$57,4,0)="Management"),('Direct Costs 2026'!$C$37+'Direct Costs 2026'!$C$39),"N/A"),"N/A")</f>
        <v>1112400</v>
      </c>
      <c r="P1043" s="423" cm="1">
        <f t="array" ref="P1043">_xlfn.IFERROR('Direct Costs 2026'!$C$27*C1043,"N/A")</f>
        <v>0</v>
      </c>
      <c r="Q1043" s="423" cm="1">
        <f t="array" ref="Q1043">_xlfn.IFERROR(C1043+SUM(E1043:P1043),"N/A")</f>
        <v>9674733.33333333</v>
      </c>
      <c r="R1043" s="424"/>
      <c r="S1043" s="423" cm="1">
        <f t="array" ref="S1043">IF(B1043&gt;0,'Allocation OH and Target 2026'!$E$31,"N/A")</f>
        <v>3100447.15769812</v>
      </c>
      <c r="T1043" s="423" cm="1">
        <f t="array" ref="T1043">IF(B1043&gt;0,VLOOKUP(C1028,'Allocation OH and Target 2026'!$C$35:$S$87,17,0),"N/A")</f>
        <v>1050206.94814815</v>
      </c>
      <c r="U1043" s="423" cm="1">
        <f t="array" ref="U1043">_xlfn.IFERROR((S1043+T1043),"N/A")</f>
        <v>4150654.10584627</v>
      </c>
      <c r="V1043" s="424"/>
      <c r="W1043" s="423" cm="1">
        <f t="array" ref="W1043">_xlfn.IFERROR(U1043+Q1043,"N/A")</f>
        <v>13825387.4391796</v>
      </c>
      <c r="X1043" s="423" cm="1">
        <f t="array" ref="X1043">_xlfn.IFERROR(W1043*0.5%,"N/A")</f>
        <v>69126.937195898</v>
      </c>
      <c r="Y1043" s="423" cm="1">
        <f t="array" ref="Y1043">_xlfn.IFERROR(W1043*25%,"N/A")</f>
        <v>3456346.8597949</v>
      </c>
      <c r="Z1043" s="425" cm="1">
        <f t="array" ref="Z1043">IF(B1043&gt;0,SUM(W1043:Y1043),"N/A")</f>
        <v>17350861.2361704</v>
      </c>
      <c r="AA1043" s="425" cm="1">
        <f t="array" ref="AA1043">_xlfn.IFERROR((Z1043-Z1042),"N/A")</f>
        <v>239705</v>
      </c>
      <c r="AB1043" s="424"/>
      <c r="AC1043" t="str" s="426" cm="1">
        <f t="array" ref="AC1043">IF(B1043=6,AVERAGE(Z1031:Z1036),"N/A")</f>
        <v>N/A</v>
      </c>
      <c r="AD1043" s="424"/>
      <c r="AE1043" s="423"/>
      <c r="AF1043" s="423"/>
      <c r="AG1043" s="423"/>
      <c r="AH1043" s="423"/>
      <c r="AI1043" s="423"/>
      <c r="AJ1043" s="423"/>
      <c r="AK1043" s="423"/>
      <c r="AL1043" s="423"/>
      <c r="AM1043" s="423"/>
      <c r="AN1043" s="427"/>
    </row>
    <row r="1044" ht="15" customHeight="1">
      <c r="A1044" s="12"/>
      <c r="B1044" s="428" cm="1">
        <f t="array" ref="B1044">IF(B1043=0,0,IF(B1043&lt;VLOOKUP(C1028,'Boats Data Sheet 2026'!$C$3:$H$57,6,0),B1043+1,0))</f>
        <v>0</v>
      </c>
      <c r="C1044" t="str" s="431" cm="1">
        <f t="array" ref="C1044">IF(B1044&gt;0,IF(VLOOKUP(C1028,'Boats Data Sheet 2026'!$C$3:$J$57,8,0)="N/A",0,VLOOKUP(C1028,'Boats Data Sheet 2026'!$C$3:$J$57,8,0)),"N/A")</f>
        <v>N/A</v>
      </c>
      <c r="D1044" t="str" s="431" cm="1">
        <f t="array" ref="D1044">IF(B1044&gt;7,2,IF(B1044=0,"N/A",1))</f>
        <v>N/A</v>
      </c>
      <c r="E1044" t="str" s="431" cm="1">
        <f t="array" ref="E1044">_xlfn.IFERROR(SUM('Direct Costs 2026'!$C$4:$C$5)*D1044,"N/A")</f>
        <v>N/A</v>
      </c>
      <c r="F1044" s="423" cm="1">
        <f t="array" ref="F1044">_xlfn.IFERROR('Direct Costs 2026'!$C$43*B1044,"N/A")</f>
        <v>0</v>
      </c>
      <c r="G1044" t="str" s="431" cm="1">
        <f t="array" ref="G1044">IF(B1044&gt;0,'Direct Costs 2026'!$C$25,"N/A")</f>
        <v>N/A</v>
      </c>
      <c r="H1044" t="str" s="431" cm="1">
        <f t="array" ref="H1044">IF(B1044&gt;0,('Direct Costs 2026'!$C$15+'Direct Costs 2026'!$C$17+'Direct Costs 2026'!$C$14),"N/A")</f>
        <v>N/A</v>
      </c>
      <c r="I1044" t="str" s="431" cm="1">
        <f t="array" ref="I1044">IF(B1044&gt;0,'Direct Costs 2026'!$C$19+'Direct Costs 2026'!$C$18*B1044,"N/A")</f>
        <v>N/A</v>
      </c>
      <c r="J1044" t="str" s="431" cm="1">
        <f t="array" ref="J1044">IF(B1044&gt;0,SUM('Direct Costs 2026'!$C$20:$C$21),"N/A")</f>
        <v>N/A</v>
      </c>
      <c r="K1044" t="str" s="431" cm="1">
        <f t="array" ref="K1044">IF(B1044&gt;0,'Direct Costs 2026'!$C$26,"N/A")</f>
        <v>N/A</v>
      </c>
      <c r="L1044" t="str" s="431" cm="1">
        <f t="array" ref="L1044">IF(B1044&gt;0,'Direct Costs 2026'!$C$23,"N/A")</f>
        <v>N/A</v>
      </c>
      <c r="M1044" t="str" s="431" cm="1">
        <f t="array" ref="M1044">IF(B1044&gt;0,'Direct Costs 2026'!$C$45*B1044,"N/A")</f>
        <v>N/A</v>
      </c>
      <c r="N1044" t="str" s="431" cm="1">
        <f t="array" ref="N1044">IF(B1044&gt;0,_xlfn.IFERROR(VLOOKUP(C1028,'Boats Data Sheet 2026'!$C$3:$I$57,7,0)*'Direct Costs 2026'!$C$36,"N/A"),"N/A")</f>
        <v>N/A</v>
      </c>
      <c r="O1044" t="str" s="431" cm="1">
        <f t="array" ref="O1044">IF(B1044&gt;0,IF(OR(VLOOKUP(C1028,'Boats Data Sheet 2026'!$C$3:$F$57,4,0)="Own",VLOOKUP(C1028,'Boats Data Sheet 2026'!$C$3:$F$57,4,0)="Management"),('Direct Costs 2026'!$C$37+'Direct Costs 2026'!$C$39),"N/A"),"N/A")</f>
        <v>N/A</v>
      </c>
      <c r="P1044" t="str" s="431" cm="1">
        <f t="array" ref="P1044">_xlfn.IFERROR('Direct Costs 2026'!$C$27*C1044,"N/A")</f>
        <v>N/A</v>
      </c>
      <c r="Q1044" t="str" s="431" cm="1">
        <f t="array" ref="Q1044">_xlfn.IFERROR(C1044+SUM(E1044:P1044),"N/A")</f>
        <v>N/A</v>
      </c>
      <c r="R1044" s="424"/>
      <c r="S1044" t="str" s="431" cm="1">
        <f t="array" ref="S1044">IF(B1044&gt;0,'Allocation OH and Target 2026'!$E$31,"N/A")</f>
        <v>N/A</v>
      </c>
      <c r="T1044" t="str" s="431" cm="1">
        <f t="array" ref="T1044">IF(B1044&gt;0,VLOOKUP(C1028,'Allocation OH and Target 2026'!$C$35:$S$87,17,0),"N/A")</f>
        <v>N/A</v>
      </c>
      <c r="U1044" t="str" s="431" cm="1">
        <f t="array" ref="U1044">_xlfn.IFERROR((S1044+T1044),"N/A")</f>
        <v>N/A</v>
      </c>
      <c r="V1044" s="424"/>
      <c r="W1044" t="str" s="431" cm="1">
        <f t="array" ref="W1044">_xlfn.IFERROR(U1044+Q1044,"N/A")</f>
        <v>N/A</v>
      </c>
      <c r="X1044" t="str" s="431" cm="1">
        <f t="array" ref="X1044">_xlfn.IFERROR(W1044*0.5%,"N/A")</f>
        <v>N/A</v>
      </c>
      <c r="Y1044" t="str" s="431" cm="1">
        <f t="array" ref="Y1044">_xlfn.IFERROR(W1044*25%,"N/A")</f>
        <v>N/A</v>
      </c>
      <c r="Z1044" t="str" s="426" cm="1">
        <f t="array" ref="Z1044">IF(B1044&gt;0,SUM(W1044:Y1044),"N/A")</f>
        <v>N/A</v>
      </c>
      <c r="AA1044" t="str" s="426" cm="1">
        <f t="array" ref="AA1044">_xlfn.IFERROR((Z1044-Z1043),"N/A")</f>
        <v>N/A</v>
      </c>
      <c r="AB1044" s="424"/>
      <c r="AC1044" t="str" s="426" cm="1">
        <f t="array" ref="AC1044">IF(B1044=6,AVERAGE(Z1031:Z1036),"N/A")</f>
        <v>N/A</v>
      </c>
      <c r="AD1044" s="424"/>
      <c r="AE1044" s="423"/>
      <c r="AF1044" s="423"/>
      <c r="AG1044" s="423"/>
      <c r="AH1044" s="423"/>
      <c r="AI1044" s="423"/>
      <c r="AJ1044" s="423"/>
      <c r="AK1044" s="423"/>
      <c r="AL1044" s="423"/>
      <c r="AM1044" s="423"/>
      <c r="AN1044" s="427"/>
    </row>
    <row r="1045" ht="15" customHeight="1">
      <c r="A1045" s="12"/>
      <c r="B1045" s="428" cm="1">
        <f t="array" ref="B1045">IF(B1044=0,0,IF(B1044&lt;VLOOKUP(C1028,'Boats Data Sheet 2026'!$C$3:$H$57,6,0),B1044+1,0))</f>
        <v>0</v>
      </c>
      <c r="C1045" t="str" s="431" cm="1">
        <f t="array" ref="C1045">IF(B1045&gt;0,IF(VLOOKUP(C1028,'Boats Data Sheet 2026'!$C$3:$J$57,8,0)="N/A",0,VLOOKUP(C1028,'Boats Data Sheet 2026'!$C$3:$J$57,8,0)),"N/A")</f>
        <v>N/A</v>
      </c>
      <c r="D1045" t="str" s="431" cm="1">
        <f t="array" ref="D1045">IF(B1045&gt;7,2,IF(B1045=0,"N/A",1))</f>
        <v>N/A</v>
      </c>
      <c r="E1045" t="str" s="431" cm="1">
        <f t="array" ref="E1045">_xlfn.IFERROR(SUM('Direct Costs 2026'!$C$4:$C$5)*D1045,"N/A")</f>
        <v>N/A</v>
      </c>
      <c r="F1045" s="423" cm="1">
        <f t="array" ref="F1045">_xlfn.IFERROR('Direct Costs 2026'!$C$43*B1045,"N/A")</f>
        <v>0</v>
      </c>
      <c r="G1045" t="str" s="431" cm="1">
        <f t="array" ref="G1045">IF(B1045&gt;0,'Direct Costs 2026'!$C$25,"N/A")</f>
        <v>N/A</v>
      </c>
      <c r="H1045" t="str" s="431" cm="1">
        <f t="array" ref="H1045">IF(B1045&gt;0,('Direct Costs 2026'!$C$15+'Direct Costs 2026'!$C$17+'Direct Costs 2026'!$C$14),"N/A")</f>
        <v>N/A</v>
      </c>
      <c r="I1045" t="str" s="431" cm="1">
        <f t="array" ref="I1045">IF(B1045&gt;0,'Direct Costs 2026'!$C$19+'Direct Costs 2026'!$C$18*B1045,"N/A")</f>
        <v>N/A</v>
      </c>
      <c r="J1045" t="str" s="431" cm="1">
        <f t="array" ref="J1045">IF(B1045&gt;0,SUM('Direct Costs 2026'!$C$20:$C$21),"N/A")</f>
        <v>N/A</v>
      </c>
      <c r="K1045" t="str" s="431" cm="1">
        <f t="array" ref="K1045">IF(B1045&gt;0,'Direct Costs 2026'!$C$26,"N/A")</f>
        <v>N/A</v>
      </c>
      <c r="L1045" t="str" s="431" cm="1">
        <f t="array" ref="L1045">IF(B1045&gt;0,'Direct Costs 2026'!$C$23,"N/A")</f>
        <v>N/A</v>
      </c>
      <c r="M1045" t="str" s="431" cm="1">
        <f t="array" ref="M1045">IF(B1045&gt;0,'Direct Costs 2026'!$C$45*B1045,"N/A")</f>
        <v>N/A</v>
      </c>
      <c r="N1045" t="str" s="431" cm="1">
        <f t="array" ref="N1045">IF(B1045&gt;0,_xlfn.IFERROR(VLOOKUP(C1028,'Boats Data Sheet 2026'!$C$3:$I$57,7,0)*'Direct Costs 2026'!$C$36,"N/A"),"N/A")</f>
        <v>N/A</v>
      </c>
      <c r="O1045" t="str" s="431" cm="1">
        <f t="array" ref="O1045">IF(B1045&gt;0,IF(OR(VLOOKUP(C1028,'Boats Data Sheet 2026'!$C$3:$F$57,4,0)="Own",VLOOKUP(C1028,'Boats Data Sheet 2026'!$C$3:$F$57,4,0)="Management"),('Direct Costs 2026'!$C$37+'Direct Costs 2026'!$C$39),"N/A"),"N/A")</f>
        <v>N/A</v>
      </c>
      <c r="P1045" t="str" s="431" cm="1">
        <f t="array" ref="P1045">_xlfn.IFERROR('Direct Costs 2026'!$C$27*C1045,"N/A")</f>
        <v>N/A</v>
      </c>
      <c r="Q1045" t="str" s="431" cm="1">
        <f t="array" ref="Q1045">_xlfn.IFERROR(C1045+SUM(E1045:P1045),"N/A")</f>
        <v>N/A</v>
      </c>
      <c r="R1045" s="424"/>
      <c r="S1045" t="str" s="431" cm="1">
        <f t="array" ref="S1045">IF(B1045&gt;0,'Allocation OH and Target 2026'!$E$31,"N/A")</f>
        <v>N/A</v>
      </c>
      <c r="T1045" t="str" s="431" cm="1">
        <f t="array" ref="T1045">IF(B1045&gt;0,VLOOKUP(C1028,'Allocation OH and Target 2026'!$C$35:$S$87,16,0),"N/A")</f>
        <v>N/A</v>
      </c>
      <c r="U1045" t="str" s="431" cm="1">
        <f t="array" ref="U1045">_xlfn.IFERROR((S1045+T1045),"N/A")</f>
        <v>N/A</v>
      </c>
      <c r="V1045" s="424"/>
      <c r="W1045" t="str" s="431" cm="1">
        <f t="array" ref="W1045">_xlfn.IFERROR(U1045+Q1045,"N/A")</f>
        <v>N/A</v>
      </c>
      <c r="X1045" t="str" s="431" cm="1">
        <f t="array" ref="X1045">_xlfn.IFERROR(W1045*0.5%,"N/A")</f>
        <v>N/A</v>
      </c>
      <c r="Y1045" t="str" s="431" cm="1">
        <f t="array" ref="Y1045">_xlfn.IFERROR(W1045*25%,"N/A")</f>
        <v>N/A</v>
      </c>
      <c r="Z1045" t="str" s="426" cm="1">
        <f t="array" ref="Z1045">IF(B1045&gt;0,SUM(W1045:Y1045),"N/A")</f>
        <v>N/A</v>
      </c>
      <c r="AA1045" t="str" s="426" cm="1">
        <f t="array" ref="AA1045">_xlfn.IFERROR((Z1045-Z1044),"N/A")</f>
        <v>N/A</v>
      </c>
      <c r="AB1045" s="424"/>
      <c r="AC1045" t="str" s="426" cm="1">
        <f t="array" ref="AC1045">IF(B1045=6,AVERAGE(Z1031:Z1036),"N/A")</f>
        <v>N/A</v>
      </c>
      <c r="AD1045" s="424"/>
      <c r="AE1045" s="423"/>
      <c r="AF1045" s="423"/>
      <c r="AG1045" s="423"/>
      <c r="AH1045" s="423"/>
      <c r="AI1045" s="423"/>
      <c r="AJ1045" s="423"/>
      <c r="AK1045" s="423"/>
      <c r="AL1045" s="423"/>
      <c r="AM1045" s="423"/>
      <c r="AN1045" s="427"/>
    </row>
    <row r="1046" ht="15" customHeight="1">
      <c r="A1046" s="12"/>
      <c r="B1046" s="428" cm="1">
        <f t="array" ref="B1046">IF(B1045=0,0,IF(B1045&lt;VLOOKUP(C1028,'Boats Data Sheet 2026'!$C$3:$H$57,6,0),B1045+1,0))</f>
        <v>0</v>
      </c>
      <c r="C1046" t="str" s="431" cm="1">
        <f t="array" ref="C1046">IF(B1046&gt;0,IF(VLOOKUP(C1028,'Boats Data Sheet 2026'!$C$3:$J$57,8,0)="N/A",0,VLOOKUP(C1028,'Boats Data Sheet 2026'!$C$3:$J$57,8,0)),"N/A")</f>
        <v>N/A</v>
      </c>
      <c r="D1046" t="str" s="431" cm="1">
        <f t="array" ref="D1046">IF(B1046&gt;7,2,IF(B1046=0,"N/A",1))</f>
        <v>N/A</v>
      </c>
      <c r="E1046" t="str" s="431" cm="1">
        <f t="array" ref="E1046">_xlfn.IFERROR(SUM('Direct Costs 2026'!$C$4:$C$5)*D1046,"N/A")</f>
        <v>N/A</v>
      </c>
      <c r="F1046" s="423" cm="1">
        <f t="array" ref="F1046">_xlfn.IFERROR('Direct Costs 2026'!$C$43*B1046,"N/A")</f>
        <v>0</v>
      </c>
      <c r="G1046" t="str" s="431" cm="1">
        <f t="array" ref="G1046">IF(B1046&gt;0,'Direct Costs 2026'!$C$25,"N/A")</f>
        <v>N/A</v>
      </c>
      <c r="H1046" t="str" s="431" cm="1">
        <f t="array" ref="H1046">IF(B1046&gt;0,('Direct Costs 2026'!$C$15+'Direct Costs 2026'!$C$17+'Direct Costs 2026'!$C$14),"N/A")</f>
        <v>N/A</v>
      </c>
      <c r="I1046" t="str" s="431" cm="1">
        <f t="array" ref="I1046">IF(B1046&gt;0,'Direct Costs 2026'!$C$19+'Direct Costs 2026'!$C$18*B1046,"N/A")</f>
        <v>N/A</v>
      </c>
      <c r="J1046" t="str" s="431" cm="1">
        <f t="array" ref="J1046">IF(B1046&gt;0,SUM('Direct Costs 2026'!$C$20:$C$21),"N/A")</f>
        <v>N/A</v>
      </c>
      <c r="K1046" t="str" s="431" cm="1">
        <f t="array" ref="K1046">IF(B1046&gt;0,'Direct Costs 2026'!$C$26,"N/A")</f>
        <v>N/A</v>
      </c>
      <c r="L1046" t="str" s="431" cm="1">
        <f t="array" ref="L1046">IF(B1046&gt;0,'Direct Costs 2026'!$C$23,"N/A")</f>
        <v>N/A</v>
      </c>
      <c r="M1046" t="str" s="431" cm="1">
        <f t="array" ref="M1046">IF(B1046&gt;0,'Direct Costs 2026'!$C$45*B1046,"N/A")</f>
        <v>N/A</v>
      </c>
      <c r="N1046" t="str" s="431" cm="1">
        <f t="array" ref="N1046">IF(B1046&gt;0,_xlfn.IFERROR(VLOOKUP(C1028,'Boats Data Sheet 2026'!$C$3:$I$57,7,0)*'Direct Costs 2026'!$C$36,"N/A"),"N/A")</f>
        <v>N/A</v>
      </c>
      <c r="O1046" t="str" s="431" cm="1">
        <f t="array" ref="O1046">IF(B1046&gt;0,IF(OR(VLOOKUP(C1028,'Boats Data Sheet 2026'!$C$3:$F$57,4,0)="Own",VLOOKUP(C1028,'Boats Data Sheet 2026'!$C$3:$F$57,4,0)="Management"),('Direct Costs 2026'!$C$37+'Direct Costs 2026'!$C$39),"N/A"),"N/A")</f>
        <v>N/A</v>
      </c>
      <c r="P1046" t="str" s="431" cm="1">
        <f t="array" ref="P1046">_xlfn.IFERROR('Direct Costs 2026'!$C$27*C1046,"N/A")</f>
        <v>N/A</v>
      </c>
      <c r="Q1046" t="str" s="431" cm="1">
        <f t="array" ref="Q1046">_xlfn.IFERROR(C1046+SUM(E1046:P1046),"N/A")</f>
        <v>N/A</v>
      </c>
      <c r="R1046" s="424"/>
      <c r="S1046" t="str" s="431" cm="1">
        <f t="array" ref="S1046">IF(B1046&gt;0,'Allocation OH and Target 2026'!$E$31,"N/A")</f>
        <v>N/A</v>
      </c>
      <c r="T1046" t="str" s="431" cm="1">
        <f t="array" ref="T1046">IF(B1046&gt;0,VLOOKUP(C1028,'Allocation OH and Target 2026'!$C$35:$S$87,16,0),"N/A")</f>
        <v>N/A</v>
      </c>
      <c r="U1046" t="str" s="431" cm="1">
        <f t="array" ref="U1046">_xlfn.IFERROR((S1046+T1046),"N/A")</f>
        <v>N/A</v>
      </c>
      <c r="V1046" s="424"/>
      <c r="W1046" t="str" s="431" cm="1">
        <f t="array" ref="W1046">_xlfn.IFERROR(U1046+Q1046,"N/A")</f>
        <v>N/A</v>
      </c>
      <c r="X1046" t="str" s="431" cm="1">
        <f t="array" ref="X1046">_xlfn.IFERROR(W1046*0.5%,"N/A")</f>
        <v>N/A</v>
      </c>
      <c r="Y1046" t="str" s="431" cm="1">
        <f t="array" ref="Y1046">_xlfn.IFERROR(W1046*25%,"N/A")</f>
        <v>N/A</v>
      </c>
      <c r="Z1046" t="str" s="426" cm="1">
        <f t="array" ref="Z1046">IF(B1046&gt;0,SUM(W1046:Y1046),"N/A")</f>
        <v>N/A</v>
      </c>
      <c r="AA1046" t="str" s="426" cm="1">
        <f t="array" ref="AA1046">_xlfn.IFERROR((Z1046-Z1045),"N/A")</f>
        <v>N/A</v>
      </c>
      <c r="AB1046" s="424"/>
      <c r="AC1046" t="str" s="426" cm="1">
        <f t="array" ref="AC1046">IF(B1046=6,AVERAGE(Z1031:Z1036),"N/A")</f>
        <v>N/A</v>
      </c>
      <c r="AD1046" s="424"/>
      <c r="AE1046" s="423"/>
      <c r="AF1046" s="423"/>
      <c r="AG1046" s="423"/>
      <c r="AH1046" s="423"/>
      <c r="AI1046" s="423"/>
      <c r="AJ1046" s="423"/>
      <c r="AK1046" s="423"/>
      <c r="AL1046" s="423"/>
      <c r="AM1046" s="423"/>
      <c r="AN1046" s="427"/>
    </row>
    <row r="1047" ht="15" customHeight="1">
      <c r="A1047" s="12"/>
      <c r="B1047" s="428" cm="1">
        <f t="array" ref="B1047">IF(B1046=0,0,IF(B1046&lt;VLOOKUP(C1028,'Boats Data Sheet 2026'!$C$3:$H$57,6,0),B1046+1,0))</f>
        <v>0</v>
      </c>
      <c r="C1047" t="str" s="431" cm="1">
        <f t="array" ref="C1047">IF(B1047&gt;0,IF(VLOOKUP(C1028,'Boats Data Sheet 2026'!$C$3:$J$57,8,0)="N/A",0,VLOOKUP(C1028,'Boats Data Sheet 2026'!$C$3:$J$57,8,0)),"N/A")</f>
        <v>N/A</v>
      </c>
      <c r="D1047" t="str" s="431" cm="1">
        <f t="array" ref="D1047">IF(B1047&gt;7,2,IF(B1047=0,"N/A",1))</f>
        <v>N/A</v>
      </c>
      <c r="E1047" t="str" s="431" cm="1">
        <f t="array" ref="E1047">_xlfn.IFERROR(SUM('Direct Costs 2026'!$C$4:$C$5)*D1047,"N/A")</f>
        <v>N/A</v>
      </c>
      <c r="F1047" s="423" cm="1">
        <f t="array" ref="F1047">_xlfn.IFERROR('Direct Costs 2026'!$C$43*B1047,"N/A")</f>
        <v>0</v>
      </c>
      <c r="G1047" t="str" s="431" cm="1">
        <f t="array" ref="G1047">IF(B1047&gt;0,'Direct Costs 2026'!$C$25,"N/A")</f>
        <v>N/A</v>
      </c>
      <c r="H1047" t="str" s="431" cm="1">
        <f t="array" ref="H1047">IF(B1047&gt;0,('Direct Costs 2026'!$C$15+'Direct Costs 2026'!$C$17+'Direct Costs 2026'!$C$14),"N/A")</f>
        <v>N/A</v>
      </c>
      <c r="I1047" t="str" s="431" cm="1">
        <f t="array" ref="I1047">IF(B1047&gt;0,'Direct Costs 2026'!$C$19+'Direct Costs 2026'!$C$18*B1047,"N/A")</f>
        <v>N/A</v>
      </c>
      <c r="J1047" t="str" s="431" cm="1">
        <f t="array" ref="J1047">IF(B1047&gt;0,SUM('Direct Costs 2026'!$C$20:$C$21),"N/A")</f>
        <v>N/A</v>
      </c>
      <c r="K1047" t="str" s="431" cm="1">
        <f t="array" ref="K1047">IF(B1047&gt;0,'Direct Costs 2026'!$C$26,"N/A")</f>
        <v>N/A</v>
      </c>
      <c r="L1047" t="str" s="431" cm="1">
        <f t="array" ref="L1047">IF(B1047&gt;0,'Direct Costs 2026'!$C$23,"N/A")</f>
        <v>N/A</v>
      </c>
      <c r="M1047" t="str" s="431" cm="1">
        <f t="array" ref="M1047">IF(B1047&gt;0,'Direct Costs 2026'!$C$45*B1047,"N/A")</f>
        <v>N/A</v>
      </c>
      <c r="N1047" t="str" s="431" cm="1">
        <f t="array" ref="N1047">IF(B1047&gt;0,_xlfn.IFERROR(VLOOKUP(C1028,'Boats Data Sheet 2026'!$C$3:$I$57,7,0)*'Direct Costs 2026'!$C$36,"N/A"),"N/A")</f>
        <v>N/A</v>
      </c>
      <c r="O1047" t="str" s="431" cm="1">
        <f t="array" ref="O1047">IF(B1047&gt;0,IF(OR(VLOOKUP(C1028,'Boats Data Sheet 2026'!$C$3:$F$57,4,0)="Own",VLOOKUP(C1028,'Boats Data Sheet 2026'!$C$3:$F$57,4,0)="Management"),('Direct Costs 2026'!$C$37+'Direct Costs 2026'!$C$39),"N/A"),"N/A")</f>
        <v>N/A</v>
      </c>
      <c r="P1047" t="str" s="431" cm="1">
        <f t="array" ref="P1047">_xlfn.IFERROR('Direct Costs 2026'!$C$27*C1047,"N/A")</f>
        <v>N/A</v>
      </c>
      <c r="Q1047" t="str" s="431" cm="1">
        <f t="array" ref="Q1047">_xlfn.IFERROR(C1047+SUM(E1047:P1047),"N/A")</f>
        <v>N/A</v>
      </c>
      <c r="R1047" s="424"/>
      <c r="S1047" t="str" s="431" cm="1">
        <f t="array" ref="S1047">IF(B1047&gt;0,'Allocation OH and Target 2026'!$E$31,"N/A")</f>
        <v>N/A</v>
      </c>
      <c r="T1047" t="str" s="431" cm="1">
        <f t="array" ref="T1047">IF(B1047&gt;0,VLOOKUP(C1028,'Allocation OH and Target 2026'!$C$35:$S$87,16,0),"N/A")</f>
        <v>N/A</v>
      </c>
      <c r="U1047" t="str" s="431" cm="1">
        <f t="array" ref="U1047">_xlfn.IFERROR((S1047+T1047),"N/A")</f>
        <v>N/A</v>
      </c>
      <c r="V1047" s="424"/>
      <c r="W1047" t="str" s="431" cm="1">
        <f t="array" ref="W1047">_xlfn.IFERROR(U1047+Q1047,"N/A")</f>
        <v>N/A</v>
      </c>
      <c r="X1047" t="str" s="431" cm="1">
        <f t="array" ref="X1047">_xlfn.IFERROR(W1047*0.5%,"N/A")</f>
        <v>N/A</v>
      </c>
      <c r="Y1047" t="str" s="431" cm="1">
        <f t="array" ref="Y1047">_xlfn.IFERROR(W1047*25%,"N/A")</f>
        <v>N/A</v>
      </c>
      <c r="Z1047" t="str" s="426" cm="1">
        <f t="array" ref="Z1047">IF(B1047&gt;0,SUM(W1047:Y1047),"N/A")</f>
        <v>N/A</v>
      </c>
      <c r="AA1047" t="str" s="426" cm="1">
        <f t="array" ref="AA1047">_xlfn.IFERROR((Z1047-Z1046),"N/A")</f>
        <v>N/A</v>
      </c>
      <c r="AB1047" s="424"/>
      <c r="AC1047" t="str" s="426" cm="1">
        <f t="array" ref="AC1047">IF(B1047=6,AVERAGE(Z1031:Z1036),"N/A")</f>
        <v>N/A</v>
      </c>
      <c r="AD1047" s="424"/>
      <c r="AE1047" s="423"/>
      <c r="AF1047" s="423"/>
      <c r="AG1047" s="423"/>
      <c r="AH1047" s="423"/>
      <c r="AI1047" s="423"/>
      <c r="AJ1047" s="423"/>
      <c r="AK1047" s="423"/>
      <c r="AL1047" s="423"/>
      <c r="AM1047" s="423"/>
      <c r="AN1047" s="427"/>
    </row>
    <row r="1048" ht="15.5" customHeight="1">
      <c r="A1048" s="12"/>
      <c r="B1048" s="432" cm="1">
        <f t="array" ref="B1048">IF(B1047=0,0,IF(B1047&lt;VLOOKUP(C1028,'Boats Data Sheet 2026'!$C$3:$H$57,6,0),B1047+1,0))</f>
        <v>0</v>
      </c>
      <c r="C1048" t="str" s="433" cm="1">
        <f t="array" ref="C1048">IF(B1048&gt;0,IF(VLOOKUP(C1028,'Boats Data Sheet 2026'!$C$3:$J$57,8,0)="N/A",0,VLOOKUP(C1028,'Boats Data Sheet 2026'!$C$3:$J$57,8,0)),"N/A")</f>
        <v>N/A</v>
      </c>
      <c r="D1048" t="str" s="433" cm="1">
        <f t="array" ref="D1048">IF(B1048&gt;7,2,IF(B1048=0,"N/A",1))</f>
        <v>N/A</v>
      </c>
      <c r="E1048" t="str" s="433" cm="1">
        <f t="array" ref="E1048">_xlfn.IFERROR(SUM('Direct Costs 2026'!$C$4:$C$5)*D1048,"N/A")</f>
        <v>N/A</v>
      </c>
      <c r="F1048" s="434" cm="1">
        <f t="array" ref="F1048">_xlfn.IFERROR('Direct Costs 2026'!$C$43*B1048,"N/A")</f>
        <v>0</v>
      </c>
      <c r="G1048" t="str" s="433" cm="1">
        <f t="array" ref="G1048">IF(B1048&gt;0,'Direct Costs 2026'!$C$25,"N/A")</f>
        <v>N/A</v>
      </c>
      <c r="H1048" t="str" s="433" cm="1">
        <f t="array" ref="H1048">IF(B1048&gt;0,('Direct Costs 2026'!$C$15+'Direct Costs 2026'!$C$17+'Direct Costs 2026'!$C$14),"N/A")</f>
        <v>N/A</v>
      </c>
      <c r="I1048" t="str" s="433" cm="1">
        <f t="array" ref="I1048">IF(B1048&gt;0,'Direct Costs 2026'!$C$19+'Direct Costs 2026'!$C$18*B1048,"N/A")</f>
        <v>N/A</v>
      </c>
      <c r="J1048" t="str" s="433" cm="1">
        <f t="array" ref="J1048">IF(B1048&gt;0,SUM('Direct Costs 2026'!$C$20:$C$21),"N/A")</f>
        <v>N/A</v>
      </c>
      <c r="K1048" t="str" s="433" cm="1">
        <f t="array" ref="K1048">IF(B1048&gt;0,'Direct Costs 2026'!$C$26,"N/A")</f>
        <v>N/A</v>
      </c>
      <c r="L1048" t="str" s="433" cm="1">
        <f t="array" ref="L1048">IF(B1048&gt;0,'Direct Costs 2026'!$C$23,"N/A")</f>
        <v>N/A</v>
      </c>
      <c r="M1048" t="str" s="433" cm="1">
        <f t="array" ref="M1048">IF(B1048&gt;0,'Direct Costs 2026'!$C$45*B1048,"N/A")</f>
        <v>N/A</v>
      </c>
      <c r="N1048" t="str" s="433" cm="1">
        <f t="array" ref="N1048">IF(B1048&gt;0,_xlfn.IFERROR(VLOOKUP(C1028,'Boats Data Sheet 2026'!$C$3:$I$57,7,0)*'Direct Costs 2026'!$C$36,"N/A"),"N/A")</f>
        <v>N/A</v>
      </c>
      <c r="O1048" t="str" s="433" cm="1">
        <f t="array" ref="O1048">IF(B1048&gt;0,IF(OR(VLOOKUP(C1028,'Boats Data Sheet 2026'!$C$3:$F$57,4,0)="Own",VLOOKUP(C1028,'Boats Data Sheet 2026'!$C$3:$F$57,4,0)="Management"),('Direct Costs 2026'!$C$37+'Direct Costs 2026'!$C$39),"N/A"),"N/A")</f>
        <v>N/A</v>
      </c>
      <c r="P1048" t="str" s="433" cm="1">
        <f t="array" ref="P1048">_xlfn.IFERROR('Direct Costs 2026'!$C$27*C1048,"N/A")</f>
        <v>N/A</v>
      </c>
      <c r="Q1048" t="str" s="433" cm="1">
        <f t="array" ref="Q1048">_xlfn.IFERROR(C1048+SUM(E1048:P1048),"N/A")</f>
        <v>N/A</v>
      </c>
      <c r="R1048" s="435"/>
      <c r="S1048" t="str" s="433" cm="1">
        <f t="array" ref="S1048">IF(B1048&gt;0,'Allocation OH and Target 2026'!$E$31,"N/A")</f>
        <v>N/A</v>
      </c>
      <c r="T1048" t="str" s="433" cm="1">
        <f t="array" ref="T1048">IF(B1048&gt;0,VLOOKUP(C1028,'Allocation OH and Target 2026'!$C$35:$S$87,16,0),"N/A")</f>
        <v>N/A</v>
      </c>
      <c r="U1048" t="str" s="433" cm="1">
        <f t="array" ref="U1048">_xlfn.IFERROR((S1048+T1048),"N/A")</f>
        <v>N/A</v>
      </c>
      <c r="V1048" s="435"/>
      <c r="W1048" t="str" s="433" cm="1">
        <f t="array" ref="W1048">_xlfn.IFERROR(U1048+Q1048,"N/A")</f>
        <v>N/A</v>
      </c>
      <c r="X1048" t="str" s="433" cm="1">
        <f t="array" ref="X1048">_xlfn.IFERROR(W1048*0.5%,"N/A")</f>
        <v>N/A</v>
      </c>
      <c r="Y1048" t="str" s="433" cm="1">
        <f t="array" ref="Y1048">_xlfn.IFERROR(W1048*25%,"N/A")</f>
        <v>N/A</v>
      </c>
      <c r="Z1048" t="str" s="436" cm="1">
        <f t="array" ref="Z1048">IF(B1048&gt;0,SUM(W1048:Y1048),"N/A")</f>
        <v>N/A</v>
      </c>
      <c r="AA1048" t="str" s="436" cm="1">
        <f t="array" ref="AA1048">_xlfn.IFERROR((Z1048-Z1047),"N/A")</f>
        <v>N/A</v>
      </c>
      <c r="AB1048" s="435"/>
      <c r="AC1048" t="str" s="436" cm="1">
        <f t="array" ref="AC1048">IF(B1048=6,AVERAGE(Z1031:Z1036),"N/A")</f>
        <v>N/A</v>
      </c>
      <c r="AD1048" s="435"/>
      <c r="AE1048" s="434"/>
      <c r="AF1048" s="434"/>
      <c r="AG1048" s="434"/>
      <c r="AH1048" s="434"/>
      <c r="AI1048" s="434"/>
      <c r="AJ1048" s="434"/>
      <c r="AK1048" s="434"/>
      <c r="AL1048" s="434"/>
      <c r="AM1048" s="434"/>
      <c r="AN1048" s="437"/>
    </row>
    <row r="1049" ht="15" customHeight="1">
      <c r="A1049" s="32"/>
      <c r="B1049" s="124"/>
      <c r="C1049" s="124"/>
      <c r="D1049" s="124"/>
      <c r="E1049" s="124"/>
      <c r="F1049" s="124"/>
      <c r="G1049" s="124"/>
      <c r="H1049" s="124"/>
      <c r="I1049" s="124"/>
      <c r="J1049" s="124"/>
      <c r="K1049" s="124"/>
      <c r="L1049" s="124"/>
      <c r="M1049" s="124"/>
      <c r="N1049" s="124"/>
      <c r="O1049" s="124"/>
      <c r="P1049" s="124"/>
      <c r="Q1049" s="124"/>
      <c r="R1049" s="124"/>
      <c r="S1049" s="124"/>
      <c r="T1049" s="124"/>
      <c r="U1049" s="124"/>
      <c r="V1049" s="124"/>
      <c r="W1049" s="124"/>
      <c r="X1049" s="124"/>
      <c r="Y1049" s="124"/>
      <c r="Z1049" s="124"/>
      <c r="AA1049" s="124"/>
      <c r="AB1049" s="124"/>
      <c r="AC1049" s="124"/>
      <c r="AD1049" s="124"/>
      <c r="AE1049" s="124"/>
      <c r="AF1049" s="124"/>
      <c r="AG1049" s="124"/>
      <c r="AH1049" s="124"/>
      <c r="AI1049" s="124"/>
      <c r="AJ1049" s="124"/>
      <c r="AK1049" s="124"/>
      <c r="AL1049" s="124"/>
      <c r="AM1049" s="124"/>
      <c r="AN1049" s="313"/>
    </row>
    <row r="1050" ht="15" customHeight="1">
      <c r="A1050" s="32"/>
      <c r="B1050" s="35"/>
      <c r="C1050" s="35"/>
      <c r="D1050" s="35"/>
      <c r="E1050" s="35"/>
      <c r="F1050" s="35"/>
      <c r="G1050" s="35"/>
      <c r="H1050" s="35"/>
      <c r="I1050" s="35"/>
      <c r="J1050" s="35"/>
      <c r="K1050" s="35"/>
      <c r="L1050" s="35"/>
      <c r="M1050" s="35"/>
      <c r="N1050" s="35"/>
      <c r="O1050" s="35"/>
      <c r="P1050" s="35"/>
      <c r="Q1050" s="35"/>
      <c r="R1050" s="35"/>
      <c r="S1050" s="35"/>
      <c r="T1050" s="35"/>
      <c r="U1050" s="35"/>
      <c r="V1050" s="35"/>
      <c r="W1050" s="35"/>
      <c r="X1050" s="35"/>
      <c r="Y1050" s="35"/>
      <c r="Z1050" s="35"/>
      <c r="AA1050" s="35"/>
      <c r="AB1050" s="35"/>
      <c r="AC1050" s="35"/>
      <c r="AD1050" s="35"/>
      <c r="AE1050" s="35"/>
      <c r="AF1050" s="35"/>
      <c r="AG1050" s="35"/>
      <c r="AH1050" s="35"/>
      <c r="AI1050" s="35"/>
      <c r="AJ1050" s="35"/>
      <c r="AK1050" s="35"/>
      <c r="AL1050" s="35"/>
      <c r="AM1050" s="35"/>
      <c r="AN1050" s="442"/>
    </row>
    <row r="1051" ht="15.5" customHeight="1">
      <c r="A1051" s="395">
        <v>36</v>
      </c>
      <c r="B1051" t="s" s="396">
        <v>506</v>
      </c>
      <c r="C1051" t="s" s="397">
        <v>52</v>
      </c>
      <c r="D1051" s="398"/>
      <c r="E1051" s="398"/>
      <c r="F1051" s="398"/>
      <c r="G1051" s="398"/>
      <c r="H1051" s="398"/>
      <c r="I1051" s="398"/>
      <c r="J1051" s="398"/>
      <c r="K1051" s="398"/>
      <c r="L1051" s="398"/>
      <c r="M1051" s="398"/>
      <c r="N1051" s="398"/>
      <c r="O1051" s="398"/>
      <c r="P1051" s="398"/>
      <c r="Q1051" s="398"/>
      <c r="R1051" s="399"/>
      <c r="S1051" s="398"/>
      <c r="T1051" s="398"/>
      <c r="U1051" s="398"/>
      <c r="V1051" s="399"/>
      <c r="W1051" s="398"/>
      <c r="X1051" s="398"/>
      <c r="Y1051" s="398"/>
      <c r="Z1051" s="398"/>
      <c r="AA1051" s="398"/>
      <c r="AB1051" s="399"/>
      <c r="AC1051" s="398"/>
      <c r="AD1051" s="399"/>
      <c r="AE1051" t="s" s="400">
        <v>508</v>
      </c>
      <c r="AF1051" s="401" cm="1">
        <f t="array" ref="AF1051">AVERAGE(Q1054:Q1059)</f>
        <v>6984733.33333333</v>
      </c>
      <c r="AG1051" t="s" s="400">
        <v>509</v>
      </c>
      <c r="AH1051" s="401" cm="1">
        <f t="array" ref="AH1051">AVERAGE(Q1060:Q1067)-AF1051</f>
        <v>1991928.57142857</v>
      </c>
      <c r="AI1051" t="s" s="400">
        <v>510</v>
      </c>
      <c r="AJ1051" s="401" cm="1">
        <f t="array" ref="AJ1051">AVERAGE(Y1054:Y1061)</f>
        <v>2791370.02588288</v>
      </c>
      <c r="AK1051" t="s" s="397">
        <v>511</v>
      </c>
      <c r="AL1051" s="401" cm="1">
        <f t="array" ref="AL1051">AVERAGE(W1054:W1059)</f>
        <v>10865042.6035315</v>
      </c>
      <c r="AM1051" t="s" s="400">
        <v>512</v>
      </c>
      <c r="AN1051" s="402" cm="1">
        <f t="array" ref="AN1051">W1054</f>
        <v>10387542.6035315</v>
      </c>
    </row>
    <row r="1052" ht="15" customHeight="1">
      <c r="A1052" s="12"/>
      <c r="B1052" s="403"/>
      <c r="C1052" t="s" s="404">
        <v>513</v>
      </c>
      <c r="D1052" s="405"/>
      <c r="E1052" s="405"/>
      <c r="F1052" s="405"/>
      <c r="G1052" s="405"/>
      <c r="H1052" s="405"/>
      <c r="I1052" s="405"/>
      <c r="J1052" s="405"/>
      <c r="K1052" s="405"/>
      <c r="L1052" s="405"/>
      <c r="M1052" s="405"/>
      <c r="N1052" s="405"/>
      <c r="O1052" s="405"/>
      <c r="P1052" s="405"/>
      <c r="Q1052" s="406"/>
      <c r="R1052" s="407"/>
      <c r="S1052" t="s" s="404">
        <v>514</v>
      </c>
      <c r="T1052" s="405"/>
      <c r="U1052" s="406"/>
      <c r="V1052" s="407"/>
      <c r="W1052" t="s" s="404">
        <v>515</v>
      </c>
      <c r="X1052" s="405"/>
      <c r="Y1052" s="405"/>
      <c r="Z1052" s="405"/>
      <c r="AA1052" s="405"/>
      <c r="AB1052" s="408"/>
      <c r="AC1052" s="489"/>
      <c r="AD1052" s="410"/>
      <c r="AE1052" s="411"/>
      <c r="AF1052" s="412"/>
      <c r="AG1052" s="412"/>
      <c r="AH1052" s="412"/>
      <c r="AI1052" s="412"/>
      <c r="AJ1052" s="412"/>
      <c r="AK1052" s="413"/>
      <c r="AL1052" s="414"/>
      <c r="AM1052" s="415"/>
      <c r="AN1052" s="414"/>
    </row>
    <row r="1053" ht="46.25" customHeight="1">
      <c r="A1053" s="187"/>
      <c r="B1053" t="s" s="416">
        <v>517</v>
      </c>
      <c r="C1053" t="s" s="417">
        <v>518</v>
      </c>
      <c r="D1053" t="s" s="417">
        <v>519</v>
      </c>
      <c r="E1053" t="s" s="417">
        <v>520</v>
      </c>
      <c r="F1053" t="s" s="159">
        <v>521</v>
      </c>
      <c r="G1053" t="s" s="159">
        <v>522</v>
      </c>
      <c r="H1053" t="s" s="159">
        <v>523</v>
      </c>
      <c r="I1053" t="s" s="159">
        <v>524</v>
      </c>
      <c r="J1053" t="s" s="159">
        <v>525</v>
      </c>
      <c r="K1053" t="s" s="159">
        <v>526</v>
      </c>
      <c r="L1053" t="s" s="159">
        <v>527</v>
      </c>
      <c r="M1053" t="s" s="159">
        <v>528</v>
      </c>
      <c r="N1053" t="s" s="159">
        <v>529</v>
      </c>
      <c r="O1053" t="s" s="159">
        <v>530</v>
      </c>
      <c r="P1053" t="s" s="159">
        <v>531</v>
      </c>
      <c r="Q1053" t="s" s="159">
        <v>532</v>
      </c>
      <c r="R1053" s="418"/>
      <c r="S1053" t="s" s="159">
        <v>533</v>
      </c>
      <c r="T1053" t="s" s="159">
        <v>534</v>
      </c>
      <c r="U1053" t="s" s="159">
        <v>535</v>
      </c>
      <c r="V1053" s="418"/>
      <c r="W1053" t="s" s="159">
        <v>536</v>
      </c>
      <c r="X1053" t="s" s="159">
        <v>537</v>
      </c>
      <c r="Y1053" t="s" s="159">
        <v>538</v>
      </c>
      <c r="Z1053" t="s" s="159">
        <v>539</v>
      </c>
      <c r="AA1053" t="s" s="159">
        <v>121</v>
      </c>
      <c r="AB1053" s="419"/>
      <c r="AC1053" t="s" s="159">
        <v>39</v>
      </c>
      <c r="AD1053" s="419"/>
      <c r="AE1053" s="77"/>
      <c r="AF1053" s="77"/>
      <c r="AG1053" s="77"/>
      <c r="AH1053" s="77"/>
      <c r="AI1053" s="77"/>
      <c r="AJ1053" s="77"/>
      <c r="AK1053" s="77"/>
      <c r="AL1053" s="77"/>
      <c r="AM1053" s="77"/>
      <c r="AN1053" s="78"/>
    </row>
    <row r="1054" ht="15" customHeight="1">
      <c r="A1054" s="12"/>
      <c r="B1054" s="420">
        <v>1</v>
      </c>
      <c r="C1054" s="421" cm="1">
        <f t="array" ref="C1054">IF(B1054&gt;0,IF(VLOOKUP(C1051,'Boats Data Sheet 2026'!$C$3:$J$57,8,0)="N/A",0,VLOOKUP(C1051,'Boats Data Sheet 2026'!$C$3:$J$57,8,0)),"N/A")</f>
        <v>0</v>
      </c>
      <c r="D1054" s="422" cm="1">
        <f t="array" ref="D1054">IF(B1054&gt;7,2,IF(B1054=0,"N/A",1))</f>
        <v>1</v>
      </c>
      <c r="E1054" s="421" cm="1">
        <f t="array" ref="E1054">_xlfn.IFERROR(SUM('Direct Costs 2026'!$C$4:$C$5)*D1054,"N/A")</f>
        <v>875500</v>
      </c>
      <c r="F1054" s="423" cm="1">
        <f t="array" ref="F1054">_xlfn.IFERROR('Direct Costs 2026'!$C$43*B1054,"N/A")</f>
        <v>6000</v>
      </c>
      <c r="G1054" s="423" cm="1">
        <f t="array" ref="G1054">IF(B1054&gt;0,'Direct Costs 2026'!$C$25,"N/A")</f>
        <v>90000</v>
      </c>
      <c r="H1054" s="423" cm="1">
        <f t="array" ref="H1054">IF(B1054&gt;0,('Direct Costs 2026'!$C$15+'Direct Costs 2026'!$C$17+'Direct Costs 2026'!$C$14),"N/A")</f>
        <v>580000</v>
      </c>
      <c r="I1054" s="423" cm="1">
        <f t="array" ref="I1054">IF(B1054&gt;0,'Direct Costs 2026'!$C$19+'Direct Costs 2026'!$C$18*B1054,"N/A")</f>
        <v>110000</v>
      </c>
      <c r="J1054" s="423" cm="1">
        <f t="array" ref="J1054">IF(B1054&gt;0,SUM('Direct Costs 2026'!$C$20:$C$21),"N/A")</f>
        <v>98333.3333333333</v>
      </c>
      <c r="K1054" s="423" cm="1">
        <f t="array" ref="K1054">IF(B1054&gt;0,'Direct Costs 2026'!$C$26,"N/A")</f>
        <v>20000</v>
      </c>
      <c r="L1054" s="423" cm="1">
        <f t="array" ref="L1054">IF(B1054&gt;0,'Direct Costs 2026'!$C$23,"N/A")</f>
        <v>140000</v>
      </c>
      <c r="M1054" s="423" cm="1">
        <f t="array" ref="M1054">IF(B1054&gt;0,'Direct Costs 2026'!$C$45*B1054,"N/A")</f>
        <v>150000</v>
      </c>
      <c r="N1054" s="423" cm="1">
        <f t="array" ref="N1054">IF(B1054&gt;0,_xlfn.IFERROR(VLOOKUP(C1051,'Boats Data Sheet 2026'!$C$3:$I$57,7,0)*'Direct Costs 2026'!$C$36,"N/A"),"N/A")</f>
        <v>3325000</v>
      </c>
      <c r="O1054" s="423" cm="1">
        <f t="array" ref="O1054">IF(B1054&gt;0,IF(OR(VLOOKUP(C1051,'Boats Data Sheet 2026'!$C$3:$F$57,4,0)="Own",VLOOKUP(C1051,'Boats Data Sheet 2026'!$C$3:$F$57,4,0)="Management"),('Direct Costs 2026'!$C$37+'Direct Costs 2026'!$C$39),"N/A"),"N/A")</f>
        <v>1112400</v>
      </c>
      <c r="P1054" s="423" cm="1">
        <f t="array" ref="P1054">_xlfn.IFERROR('Direct Costs 2026'!$C$27*C1054,"N/A")</f>
        <v>0</v>
      </c>
      <c r="Q1054" s="423" cm="1">
        <f t="array" ref="Q1054">_xlfn.IFERROR(C1054+SUM(E1054:P1054),"N/A")</f>
        <v>6507233.33333333</v>
      </c>
      <c r="R1054" s="424"/>
      <c r="S1054" s="423" cm="1">
        <f t="array" ref="S1054">IF(B1054&gt;0,'Allocation OH and Target 2026'!$E$31,"N/A")</f>
        <v>3100447.15769812</v>
      </c>
      <c r="T1054" s="423" cm="1">
        <f t="array" ref="T1054">IF(B1054&gt;0,VLOOKUP(C1051,'Allocation OH and Target 2026'!$C$35:$S$87,17,0),"N/A")</f>
        <v>779862.1125</v>
      </c>
      <c r="U1054" s="423" cm="1">
        <f t="array" ref="U1054">_xlfn.IFERROR((S1054+T1054),"N/A")</f>
        <v>3880309.27019812</v>
      </c>
      <c r="V1054" s="424"/>
      <c r="W1054" s="423" cm="1">
        <f t="array" ref="W1054">_xlfn.IFERROR(U1054+Q1054,"N/A")</f>
        <v>10387542.6035315</v>
      </c>
      <c r="X1054" s="423" cm="1">
        <f t="array" ref="X1054">_xlfn.IFERROR(W1054*0.5%,"N/A")</f>
        <v>51937.7130176575</v>
      </c>
      <c r="Y1054" s="423" cm="1">
        <f t="array" ref="Y1054">_xlfn.IFERROR(W1054*25%,"N/A")</f>
        <v>2596885.65088288</v>
      </c>
      <c r="Z1054" s="425" cm="1">
        <f t="array" ref="Z1054">IF(B1054&gt;0,SUM(W1054:Y1054),"N/A")</f>
        <v>13036365.967432</v>
      </c>
      <c r="AA1054" s="425">
        <v>0</v>
      </c>
      <c r="AB1054" s="424"/>
      <c r="AC1054" t="str" s="426" cm="1">
        <f t="array" ref="AC1054">IF(B1054=6,AVERAGE(Z1054:Z1059),"N/A")</f>
        <v>N/A</v>
      </c>
      <c r="AD1054" s="424"/>
      <c r="AE1054" s="423"/>
      <c r="AF1054" s="423"/>
      <c r="AG1054" s="423"/>
      <c r="AH1054" s="423"/>
      <c r="AI1054" s="423"/>
      <c r="AJ1054" s="423"/>
      <c r="AK1054" s="423"/>
      <c r="AL1054" s="423"/>
      <c r="AM1054" s="423"/>
      <c r="AN1054" s="427"/>
    </row>
    <row r="1055" ht="15" customHeight="1">
      <c r="A1055" s="12"/>
      <c r="B1055" s="428" cm="1">
        <f t="array" ref="B1055">IF(B1054=0,0,IF(B1054&lt;VLOOKUP(C1051,'Boats Data Sheet 2026'!$C$3:$H$57,6,0),B1054+1,0))</f>
        <v>2</v>
      </c>
      <c r="C1055" s="423" cm="1">
        <f t="array" ref="C1055">IF(B1055&gt;0,IF(VLOOKUP(C1051,'Boats Data Sheet 2026'!$C$3:$J$57,8,0)="N/A",0,VLOOKUP(C1051,'Boats Data Sheet 2026'!$C$3:$J$57,8,0)),"N/A")</f>
        <v>0</v>
      </c>
      <c r="D1055" s="429" cm="1">
        <f t="array" ref="D1055">IF(B1055&gt;7,2,IF(B1055=0,"N/A",1))</f>
        <v>1</v>
      </c>
      <c r="E1055" s="423" cm="1">
        <f t="array" ref="E1055">_xlfn.IFERROR(SUM('Direct Costs 2026'!$C$4:$C$5)*D1055,"N/A")</f>
        <v>875500</v>
      </c>
      <c r="F1055" s="423" cm="1">
        <f t="array" ref="F1055">_xlfn.IFERROR('Direct Costs 2026'!$C$43*B1055,"N/A")</f>
        <v>12000</v>
      </c>
      <c r="G1055" s="423" cm="1">
        <f t="array" ref="G1055">IF(B1055&gt;0,'Direct Costs 2026'!$C$25,"N/A")</f>
        <v>90000</v>
      </c>
      <c r="H1055" s="423" cm="1">
        <f t="array" ref="H1055">IF(B1055&gt;0,('Direct Costs 2026'!$C$15+'Direct Costs 2026'!$C$17+'Direct Costs 2026'!$C$14),"N/A")</f>
        <v>580000</v>
      </c>
      <c r="I1055" s="423" cm="1">
        <f t="array" ref="I1055">IF(B1055&gt;0,'Direct Costs 2026'!$C$19+'Direct Costs 2026'!$C$18*B1055,"N/A")</f>
        <v>145000</v>
      </c>
      <c r="J1055" s="423" cm="1">
        <f t="array" ref="J1055">IF(B1055&gt;0,SUM('Direct Costs 2026'!$C$20:$C$21),"N/A")</f>
        <v>98333.3333333333</v>
      </c>
      <c r="K1055" s="423" cm="1">
        <f t="array" ref="K1055">IF(B1055&gt;0,'Direct Costs 2026'!$C$26,"N/A")</f>
        <v>20000</v>
      </c>
      <c r="L1055" s="423" cm="1">
        <f t="array" ref="L1055">IF(B1055&gt;0,'Direct Costs 2026'!$C$23,"N/A")</f>
        <v>140000</v>
      </c>
      <c r="M1055" s="423" cm="1">
        <f t="array" ref="M1055">IF(B1055&gt;0,'Direct Costs 2026'!$C$45*B1055,"N/A")</f>
        <v>300000</v>
      </c>
      <c r="N1055" s="423" cm="1">
        <f t="array" ref="N1055">IF(B1055&gt;0,_xlfn.IFERROR(VLOOKUP(C1051,'Boats Data Sheet 2026'!$C$3:$I$57,7,0)*'Direct Costs 2026'!$C$36,"N/A"),"N/A")</f>
        <v>3325000</v>
      </c>
      <c r="O1055" s="423" cm="1">
        <f t="array" ref="O1055">IF(B1055&gt;0,IF(OR(VLOOKUP(C1051,'Boats Data Sheet 2026'!$C$3:$F$57,4,0)="Own",VLOOKUP(C1051,'Boats Data Sheet 2026'!$C$3:$F$57,4,0)="Management"),('Direct Costs 2026'!$C$37+'Direct Costs 2026'!$C$39),"N/A"),"N/A")</f>
        <v>1112400</v>
      </c>
      <c r="P1055" s="423" cm="1">
        <f t="array" ref="P1055">_xlfn.IFERROR('Direct Costs 2026'!$C$27*C1055,"N/A")</f>
        <v>0</v>
      </c>
      <c r="Q1055" s="423" cm="1">
        <f t="array" ref="Q1055">_xlfn.IFERROR(C1055+SUM(E1055:P1055),"N/A")</f>
        <v>6698233.33333333</v>
      </c>
      <c r="R1055" s="424"/>
      <c r="S1055" s="423" cm="1">
        <f t="array" ref="S1055">IF(B1055&gt;0,'Allocation OH and Target 2026'!$E$31,"N/A")</f>
        <v>3100447.15769812</v>
      </c>
      <c r="T1055" s="423" cm="1">
        <f t="array" ref="T1055">IF(B1055&gt;0,VLOOKUP(C1051,'Allocation OH and Target 2026'!$C$35:$S$87,17,0),"N/A")</f>
        <v>779862.1125</v>
      </c>
      <c r="U1055" s="423" cm="1">
        <f t="array" ref="U1055">_xlfn.IFERROR((S1055+T1055),"N/A")</f>
        <v>3880309.27019812</v>
      </c>
      <c r="V1055" s="424"/>
      <c r="W1055" s="423" cm="1">
        <f t="array" ref="W1055">_xlfn.IFERROR(U1055+Q1055,"N/A")</f>
        <v>10578542.6035315</v>
      </c>
      <c r="X1055" s="423" cm="1">
        <f t="array" ref="X1055">_xlfn.IFERROR(W1055*0.5%,"N/A")</f>
        <v>52892.7130176575</v>
      </c>
      <c r="Y1055" s="423" cm="1">
        <f t="array" ref="Y1055">_xlfn.IFERROR(W1055*25%,"N/A")</f>
        <v>2644635.65088288</v>
      </c>
      <c r="Z1055" s="425" cm="1">
        <f t="array" ref="Z1055">IF(B1055&gt;0,SUM(W1055:Y1055),"N/A")</f>
        <v>13276070.967432</v>
      </c>
      <c r="AA1055" s="425" cm="1">
        <f t="array" ref="AA1055">_xlfn.IFERROR((Z1055-Z1054),"N/A")</f>
        <v>239705</v>
      </c>
      <c r="AB1055" s="424"/>
      <c r="AC1055" t="str" s="426" cm="1">
        <f t="array" ref="AC1055">IF(B1055=6,AVERAGE(Z1054:Z1059),"N/A")</f>
        <v>N/A</v>
      </c>
      <c r="AD1055" s="424"/>
      <c r="AE1055" s="423"/>
      <c r="AF1055" s="423"/>
      <c r="AG1055" s="423"/>
      <c r="AH1055" s="423"/>
      <c r="AI1055" s="423"/>
      <c r="AJ1055" s="423"/>
      <c r="AK1055" s="423"/>
      <c r="AL1055" s="423"/>
      <c r="AM1055" s="423"/>
      <c r="AN1055" s="427"/>
    </row>
    <row r="1056" ht="15" customHeight="1">
      <c r="A1056" s="12"/>
      <c r="B1056" s="428" cm="1">
        <f t="array" ref="B1056">IF(B1055=0,0,IF(B1055&lt;VLOOKUP(C1051,'Boats Data Sheet 2026'!$C$3:$H$57,6,0),B1055+1,0))</f>
        <v>3</v>
      </c>
      <c r="C1056" s="423" cm="1">
        <f t="array" ref="C1056">IF(B1056&gt;0,IF(VLOOKUP(C1051,'Boats Data Sheet 2026'!$C$3:$J$57,8,0)="N/A",0,VLOOKUP(C1051,'Boats Data Sheet 2026'!$C$3:$J$57,8,0)),"N/A")</f>
        <v>0</v>
      </c>
      <c r="D1056" s="429" cm="1">
        <f t="array" ref="D1056">IF(B1056&gt;7,2,IF(B1056=0,"N/A",1))</f>
        <v>1</v>
      </c>
      <c r="E1056" s="423" cm="1">
        <f t="array" ref="E1056">_xlfn.IFERROR(SUM('Direct Costs 2026'!$C$4:$C$5)*D1056,"N/A")</f>
        <v>875500</v>
      </c>
      <c r="F1056" s="423" cm="1">
        <f t="array" ref="F1056">_xlfn.IFERROR('Direct Costs 2026'!$C$43*B1056,"N/A")</f>
        <v>18000</v>
      </c>
      <c r="G1056" s="423" cm="1">
        <f t="array" ref="G1056">IF(B1056&gt;0,'Direct Costs 2026'!$C$25,"N/A")</f>
        <v>90000</v>
      </c>
      <c r="H1056" s="423" cm="1">
        <f t="array" ref="H1056">IF(B1056&gt;0,('Direct Costs 2026'!$C$15+'Direct Costs 2026'!$C$17+'Direct Costs 2026'!$C$14),"N/A")</f>
        <v>580000</v>
      </c>
      <c r="I1056" s="423" cm="1">
        <f t="array" ref="I1056">IF(B1056&gt;0,'Direct Costs 2026'!$C$19+'Direct Costs 2026'!$C$18*B1056,"N/A")</f>
        <v>180000</v>
      </c>
      <c r="J1056" s="423" cm="1">
        <f t="array" ref="J1056">IF(B1056&gt;0,SUM('Direct Costs 2026'!$C$20:$C$21),"N/A")</f>
        <v>98333.3333333333</v>
      </c>
      <c r="K1056" s="423" cm="1">
        <f t="array" ref="K1056">IF(B1056&gt;0,'Direct Costs 2026'!$C$26,"N/A")</f>
        <v>20000</v>
      </c>
      <c r="L1056" s="423" cm="1">
        <f t="array" ref="L1056">IF(B1056&gt;0,'Direct Costs 2026'!$C$23,"N/A")</f>
        <v>140000</v>
      </c>
      <c r="M1056" s="423" cm="1">
        <f t="array" ref="M1056">IF(B1056&gt;0,'Direct Costs 2026'!$C$45*B1056,"N/A")</f>
        <v>450000</v>
      </c>
      <c r="N1056" s="423" cm="1">
        <f t="array" ref="N1056">IF(B1056&gt;0,_xlfn.IFERROR(VLOOKUP(C1051,'Boats Data Sheet 2026'!$C$3:$I$57,7,0)*'Direct Costs 2026'!$C$36,"N/A"),"N/A")</f>
        <v>3325000</v>
      </c>
      <c r="O1056" s="423" cm="1">
        <f t="array" ref="O1056">IF(B1056&gt;0,IF(OR(VLOOKUP(C1051,'Boats Data Sheet 2026'!$C$3:$F$57,4,0)="Own",VLOOKUP(C1051,'Boats Data Sheet 2026'!$C$3:$F$57,4,0)="Management"),('Direct Costs 2026'!$C$37+'Direct Costs 2026'!$C$39),"N/A"),"N/A")</f>
        <v>1112400</v>
      </c>
      <c r="P1056" s="423" cm="1">
        <f t="array" ref="P1056">_xlfn.IFERROR('Direct Costs 2026'!$C$27*C1056,"N/A")</f>
        <v>0</v>
      </c>
      <c r="Q1056" s="423" cm="1">
        <f t="array" ref="Q1056">_xlfn.IFERROR(C1056+SUM(E1056:P1056),"N/A")</f>
        <v>6889233.33333333</v>
      </c>
      <c r="R1056" s="424"/>
      <c r="S1056" s="423" cm="1">
        <f t="array" ref="S1056">IF(B1056&gt;0,'Allocation OH and Target 2026'!$E$31,"N/A")</f>
        <v>3100447.15769812</v>
      </c>
      <c r="T1056" s="423" cm="1">
        <f t="array" ref="T1056">IF(B1056&gt;0,VLOOKUP(C1051,'Allocation OH and Target 2026'!$C$35:$S$87,17,0),"N/A")</f>
        <v>779862.1125</v>
      </c>
      <c r="U1056" s="423" cm="1">
        <f t="array" ref="U1056">_xlfn.IFERROR((S1056+T1056),"N/A")</f>
        <v>3880309.27019812</v>
      </c>
      <c r="V1056" s="424"/>
      <c r="W1056" s="423" cm="1">
        <f t="array" ref="W1056">_xlfn.IFERROR(U1056+Q1056,"N/A")</f>
        <v>10769542.6035315</v>
      </c>
      <c r="X1056" s="423" cm="1">
        <f t="array" ref="X1056">_xlfn.IFERROR(W1056*0.5%,"N/A")</f>
        <v>53847.7130176575</v>
      </c>
      <c r="Y1056" s="423" cm="1">
        <f t="array" ref="Y1056">_xlfn.IFERROR(W1056*25%,"N/A")</f>
        <v>2692385.65088288</v>
      </c>
      <c r="Z1056" s="425" cm="1">
        <f t="array" ref="Z1056">IF(B1056&gt;0,SUM(W1056:Y1056),"N/A")</f>
        <v>13515775.967432</v>
      </c>
      <c r="AA1056" s="425" cm="1">
        <f t="array" ref="AA1056">_xlfn.IFERROR((Z1056-Z1055),"N/A")</f>
        <v>239705</v>
      </c>
      <c r="AB1056" s="424"/>
      <c r="AC1056" t="str" s="426" cm="1">
        <f t="array" ref="AC1056">IF(B1056=6,AVERAGE(Z1054:Z1059),"N/A")</f>
        <v>N/A</v>
      </c>
      <c r="AD1056" s="424"/>
      <c r="AE1056" s="423"/>
      <c r="AF1056" s="423"/>
      <c r="AG1056" s="423"/>
      <c r="AH1056" s="423"/>
      <c r="AI1056" s="423"/>
      <c r="AJ1056" s="423"/>
      <c r="AK1056" s="423"/>
      <c r="AL1056" s="423"/>
      <c r="AM1056" s="423"/>
      <c r="AN1056" s="427"/>
    </row>
    <row r="1057" ht="15" customHeight="1">
      <c r="A1057" s="12"/>
      <c r="B1057" s="428" cm="1">
        <f t="array" ref="B1057">IF(B1056=0,0,IF(B1056&lt;VLOOKUP(C1051,'Boats Data Sheet 2026'!$C$3:$H$57,6,0),B1056+1,0))</f>
        <v>4</v>
      </c>
      <c r="C1057" s="423" cm="1">
        <f t="array" ref="C1057">IF(B1057&gt;0,IF(VLOOKUP(C1051,'Boats Data Sheet 2026'!$C$3:$J$57,8,0)="N/A",0,VLOOKUP(C1051,'Boats Data Sheet 2026'!$C$3:$J$57,8,0)),"N/A")</f>
        <v>0</v>
      </c>
      <c r="D1057" s="429" cm="1">
        <f t="array" ref="D1057">IF(B1057&gt;7,2,IF(B1057=0,"N/A",1))</f>
        <v>1</v>
      </c>
      <c r="E1057" s="423" cm="1">
        <f t="array" ref="E1057">_xlfn.IFERROR(SUM('Direct Costs 2026'!$C$4:$C$5)*D1057,"N/A")</f>
        <v>875500</v>
      </c>
      <c r="F1057" s="423" cm="1">
        <f t="array" ref="F1057">_xlfn.IFERROR('Direct Costs 2026'!$C$43*B1057,"N/A")</f>
        <v>24000</v>
      </c>
      <c r="G1057" s="423" cm="1">
        <f t="array" ref="G1057">IF(B1057&gt;0,'Direct Costs 2026'!$C$25,"N/A")</f>
        <v>90000</v>
      </c>
      <c r="H1057" s="423" cm="1">
        <f t="array" ref="H1057">IF(B1057&gt;0,('Direct Costs 2026'!$C$15+'Direct Costs 2026'!$C$17+'Direct Costs 2026'!$C$14),"N/A")</f>
        <v>580000</v>
      </c>
      <c r="I1057" s="423" cm="1">
        <f t="array" ref="I1057">IF(B1057&gt;0,'Direct Costs 2026'!$C$19+'Direct Costs 2026'!$C$18*B1057,"N/A")</f>
        <v>215000</v>
      </c>
      <c r="J1057" s="423" cm="1">
        <f t="array" ref="J1057">IF(B1057&gt;0,SUM('Direct Costs 2026'!$C$20:$C$21),"N/A")</f>
        <v>98333.3333333333</v>
      </c>
      <c r="K1057" s="423" cm="1">
        <f t="array" ref="K1057">IF(B1057&gt;0,'Direct Costs 2026'!$C$26,"N/A")</f>
        <v>20000</v>
      </c>
      <c r="L1057" s="423" cm="1">
        <f t="array" ref="L1057">IF(B1057&gt;0,'Direct Costs 2026'!$C$23,"N/A")</f>
        <v>140000</v>
      </c>
      <c r="M1057" s="423" cm="1">
        <f t="array" ref="M1057">IF(B1057&gt;0,'Direct Costs 2026'!$C$45*B1057,"N/A")</f>
        <v>600000</v>
      </c>
      <c r="N1057" s="423" cm="1">
        <f t="array" ref="N1057">IF(B1057&gt;0,_xlfn.IFERROR(VLOOKUP(C1051,'Boats Data Sheet 2026'!$C$3:$I$57,7,0)*'Direct Costs 2026'!$C$36,"N/A"),"N/A")</f>
        <v>3325000</v>
      </c>
      <c r="O1057" s="423" cm="1">
        <f t="array" ref="O1057">IF(B1057&gt;0,IF(OR(VLOOKUP(C1051,'Boats Data Sheet 2026'!$C$3:$F$57,4,0)="Own",VLOOKUP(C1051,'Boats Data Sheet 2026'!$C$3:$F$57,4,0)="Management"),('Direct Costs 2026'!$C$37+'Direct Costs 2026'!$C$39),"N/A"),"N/A")</f>
        <v>1112400</v>
      </c>
      <c r="P1057" s="423" cm="1">
        <f t="array" ref="P1057">_xlfn.IFERROR('Direct Costs 2026'!$C$27*C1057,"N/A")</f>
        <v>0</v>
      </c>
      <c r="Q1057" s="423" cm="1">
        <f t="array" ref="Q1057">_xlfn.IFERROR(C1057+SUM(E1057:P1057),"N/A")</f>
        <v>7080233.33333333</v>
      </c>
      <c r="R1057" s="424"/>
      <c r="S1057" s="423" cm="1">
        <f t="array" ref="S1057">IF(B1057&gt;0,'Allocation OH and Target 2026'!$E$31,"N/A")</f>
        <v>3100447.15769812</v>
      </c>
      <c r="T1057" s="423" cm="1">
        <f t="array" ref="T1057">IF(B1057&gt;0,VLOOKUP(C1051,'Allocation OH and Target 2026'!$C$35:$S$87,17,0),"N/A")</f>
        <v>779862.1125</v>
      </c>
      <c r="U1057" s="423" cm="1">
        <f t="array" ref="U1057">_xlfn.IFERROR((S1057+T1057),"N/A")</f>
        <v>3880309.27019812</v>
      </c>
      <c r="V1057" s="424"/>
      <c r="W1057" s="423" cm="1">
        <f t="array" ref="W1057">_xlfn.IFERROR(U1057+Q1057,"N/A")</f>
        <v>10960542.6035315</v>
      </c>
      <c r="X1057" s="423" cm="1">
        <f t="array" ref="X1057">_xlfn.IFERROR(W1057*0.5%,"N/A")</f>
        <v>54802.7130176575</v>
      </c>
      <c r="Y1057" s="423" cm="1">
        <f t="array" ref="Y1057">_xlfn.IFERROR(W1057*25%,"N/A")</f>
        <v>2740135.65088288</v>
      </c>
      <c r="Z1057" s="425" cm="1">
        <f t="array" ref="Z1057">IF(B1057&gt;0,SUM(W1057:Y1057),"N/A")</f>
        <v>13755480.967432</v>
      </c>
      <c r="AA1057" s="425" cm="1">
        <f t="array" ref="AA1057">_xlfn.IFERROR((Z1057-Z1056),"N/A")</f>
        <v>239705</v>
      </c>
      <c r="AB1057" s="424"/>
      <c r="AC1057" t="str" s="426" cm="1">
        <f t="array" ref="AC1057">IF(B1057=6,AVERAGE(Z1054:Z1059),"N/A")</f>
        <v>N/A</v>
      </c>
      <c r="AD1057" s="424"/>
      <c r="AE1057" s="423"/>
      <c r="AF1057" s="423"/>
      <c r="AG1057" s="423"/>
      <c r="AH1057" s="423"/>
      <c r="AI1057" s="423"/>
      <c r="AJ1057" s="423"/>
      <c r="AK1057" s="423"/>
      <c r="AL1057" s="423"/>
      <c r="AM1057" s="423"/>
      <c r="AN1057" s="427"/>
    </row>
    <row r="1058" ht="15" customHeight="1">
      <c r="A1058" s="12"/>
      <c r="B1058" s="428" cm="1">
        <f t="array" ref="B1058">IF(B1057=0,0,IF(B1057&lt;VLOOKUP(C1051,'Boats Data Sheet 2026'!$C$3:$H$57,6,0),B1057+1,0))</f>
        <v>5</v>
      </c>
      <c r="C1058" s="423" cm="1">
        <f t="array" ref="C1058">IF(B1058&gt;0,IF(VLOOKUP(C1051,'Boats Data Sheet 2026'!$C$3:$J$57,8,0)="N/A",0,VLOOKUP(C1051,'Boats Data Sheet 2026'!$C$3:$J$57,8,0)),"N/A")</f>
        <v>0</v>
      </c>
      <c r="D1058" s="429" cm="1">
        <f t="array" ref="D1058">IF(B1058&gt;7,2,IF(B1058=0,"N/A",1))</f>
        <v>1</v>
      </c>
      <c r="E1058" s="423" cm="1">
        <f t="array" ref="E1058">_xlfn.IFERROR(SUM('Direct Costs 2026'!$C$4:$C$5)*D1058,"N/A")</f>
        <v>875500</v>
      </c>
      <c r="F1058" s="423" cm="1">
        <f t="array" ref="F1058">_xlfn.IFERROR('Direct Costs 2026'!$C$43*B1058,"N/A")</f>
        <v>30000</v>
      </c>
      <c r="G1058" s="423" cm="1">
        <f t="array" ref="G1058">IF(B1058&gt;0,'Direct Costs 2026'!$C$25,"N/A")</f>
        <v>90000</v>
      </c>
      <c r="H1058" s="423" cm="1">
        <f t="array" ref="H1058">IF(B1058&gt;0,('Direct Costs 2026'!$C$15+'Direct Costs 2026'!$C$17+'Direct Costs 2026'!$C$14),"N/A")</f>
        <v>580000</v>
      </c>
      <c r="I1058" s="423" cm="1">
        <f t="array" ref="I1058">IF(B1058&gt;0,'Direct Costs 2026'!$C$19+'Direct Costs 2026'!$C$18*B1058,"N/A")</f>
        <v>250000</v>
      </c>
      <c r="J1058" s="423" cm="1">
        <f t="array" ref="J1058">IF(B1058&gt;0,SUM('Direct Costs 2026'!$C$20:$C$21),"N/A")</f>
        <v>98333.3333333333</v>
      </c>
      <c r="K1058" s="423" cm="1">
        <f t="array" ref="K1058">IF(B1058&gt;0,'Direct Costs 2026'!$C$26,"N/A")</f>
        <v>20000</v>
      </c>
      <c r="L1058" s="423" cm="1">
        <f t="array" ref="L1058">IF(B1058&gt;0,'Direct Costs 2026'!$C$23,"N/A")</f>
        <v>140000</v>
      </c>
      <c r="M1058" s="423" cm="1">
        <f t="array" ref="M1058">IF(B1058&gt;0,'Direct Costs 2026'!$C$45*B1058,"N/A")</f>
        <v>750000</v>
      </c>
      <c r="N1058" s="423" cm="1">
        <f t="array" ref="N1058">IF(B1058&gt;0,_xlfn.IFERROR(VLOOKUP(C1051,'Boats Data Sheet 2026'!$C$3:$I$57,7,0)*'Direct Costs 2026'!$C$36,"N/A"),"N/A")</f>
        <v>3325000</v>
      </c>
      <c r="O1058" s="423" cm="1">
        <f t="array" ref="O1058">IF(B1058&gt;0,IF(OR(VLOOKUP(C1051,'Boats Data Sheet 2026'!$C$3:$F$57,4,0)="Own",VLOOKUP(C1051,'Boats Data Sheet 2026'!$C$3:$F$57,4,0)="Management"),('Direct Costs 2026'!$C$37+'Direct Costs 2026'!$C$39),"N/A"),"N/A")</f>
        <v>1112400</v>
      </c>
      <c r="P1058" s="423" cm="1">
        <f t="array" ref="P1058">_xlfn.IFERROR('Direct Costs 2026'!$C$27*C1058,"N/A")</f>
        <v>0</v>
      </c>
      <c r="Q1058" s="423" cm="1">
        <f t="array" ref="Q1058">_xlfn.IFERROR(C1058+SUM(E1058:P1058),"N/A")</f>
        <v>7271233.33333333</v>
      </c>
      <c r="R1058" s="424"/>
      <c r="S1058" s="423" cm="1">
        <f t="array" ref="S1058">IF(B1058&gt;0,'Allocation OH and Target 2026'!$E$31,"N/A")</f>
        <v>3100447.15769812</v>
      </c>
      <c r="T1058" s="423" cm="1">
        <f t="array" ref="T1058">IF(B1058&gt;0,VLOOKUP(C1051,'Allocation OH and Target 2026'!$C$35:$S$87,17,0),"N/A")</f>
        <v>779862.1125</v>
      </c>
      <c r="U1058" s="423" cm="1">
        <f t="array" ref="U1058">_xlfn.IFERROR((S1058+T1058),"N/A")</f>
        <v>3880309.27019812</v>
      </c>
      <c r="V1058" s="424"/>
      <c r="W1058" s="423" cm="1">
        <f t="array" ref="W1058">_xlfn.IFERROR(U1058+Q1058,"N/A")</f>
        <v>11151542.6035315</v>
      </c>
      <c r="X1058" s="423" cm="1">
        <f t="array" ref="X1058">_xlfn.IFERROR(W1058*0.5%,"N/A")</f>
        <v>55757.7130176575</v>
      </c>
      <c r="Y1058" s="423" cm="1">
        <f t="array" ref="Y1058">_xlfn.IFERROR(W1058*25%,"N/A")</f>
        <v>2787885.65088288</v>
      </c>
      <c r="Z1058" s="425" cm="1">
        <f t="array" ref="Z1058">IF(B1058&gt;0,SUM(W1058:Y1058),"N/A")</f>
        <v>13995185.967432</v>
      </c>
      <c r="AA1058" s="425" cm="1">
        <f t="array" ref="AA1058">_xlfn.IFERROR((Z1058-Z1057),"N/A")</f>
        <v>239705</v>
      </c>
      <c r="AB1058" s="424"/>
      <c r="AC1058" t="str" s="426" cm="1">
        <f t="array" ref="AC1058">IF(B1058=6,AVERAGE(Z1054:Z1059),"N/A")</f>
        <v>N/A</v>
      </c>
      <c r="AD1058" s="424"/>
      <c r="AE1058" s="423"/>
      <c r="AF1058" s="423"/>
      <c r="AG1058" s="423"/>
      <c r="AH1058" s="423"/>
      <c r="AI1058" s="423"/>
      <c r="AJ1058" s="423"/>
      <c r="AK1058" s="423"/>
      <c r="AL1058" s="423"/>
      <c r="AM1058" s="423"/>
      <c r="AN1058" s="427"/>
    </row>
    <row r="1059" ht="15" customHeight="1">
      <c r="A1059" s="12"/>
      <c r="B1059" s="428" cm="1">
        <f t="array" ref="B1059">IF(B1058=0,0,IF(B1058&lt;VLOOKUP(C1051,'Boats Data Sheet 2026'!$C$3:$H$57,6,0),B1058+1,0))</f>
        <v>6</v>
      </c>
      <c r="C1059" s="423" cm="1">
        <f t="array" ref="C1059">IF(B1059&gt;0,IF(VLOOKUP(C1051,'Boats Data Sheet 2026'!$C$3:$J$57,8,0)="N/A",0,VLOOKUP(C1051,'Boats Data Sheet 2026'!$C$3:$J$57,8,0)),"N/A")</f>
        <v>0</v>
      </c>
      <c r="D1059" s="429" cm="1">
        <f t="array" ref="D1059">IF(B1059&gt;7,2,IF(B1059=0,"N/A",1))</f>
        <v>1</v>
      </c>
      <c r="E1059" s="423" cm="1">
        <f t="array" ref="E1059">_xlfn.IFERROR(SUM('Direct Costs 2026'!$C$4:$C$5)*D1059,"N/A")</f>
        <v>875500</v>
      </c>
      <c r="F1059" s="423" cm="1">
        <f t="array" ref="F1059">_xlfn.IFERROR('Direct Costs 2026'!$C$43*B1059,"N/A")</f>
        <v>36000</v>
      </c>
      <c r="G1059" s="423" cm="1">
        <f t="array" ref="G1059">IF(B1059&gt;0,'Direct Costs 2026'!$C$25,"N/A")</f>
        <v>90000</v>
      </c>
      <c r="H1059" s="423" cm="1">
        <f t="array" ref="H1059">IF(B1059&gt;0,('Direct Costs 2026'!$C$15+'Direct Costs 2026'!$C$17+'Direct Costs 2026'!$C$14),"N/A")</f>
        <v>580000</v>
      </c>
      <c r="I1059" s="423" cm="1">
        <f t="array" ref="I1059">IF(B1059&gt;0,'Direct Costs 2026'!$C$19+'Direct Costs 2026'!$C$18*B1059,"N/A")</f>
        <v>285000</v>
      </c>
      <c r="J1059" s="423" cm="1">
        <f t="array" ref="J1059">IF(B1059&gt;0,SUM('Direct Costs 2026'!$C$20:$C$21),"N/A")</f>
        <v>98333.3333333333</v>
      </c>
      <c r="K1059" s="423" cm="1">
        <f t="array" ref="K1059">IF(B1059&gt;0,'Direct Costs 2026'!$C$26,"N/A")</f>
        <v>20000</v>
      </c>
      <c r="L1059" s="423" cm="1">
        <f t="array" ref="L1059">IF(B1059&gt;0,'Direct Costs 2026'!$C$23,"N/A")</f>
        <v>140000</v>
      </c>
      <c r="M1059" s="423" cm="1">
        <f t="array" ref="M1059">IF(B1059&gt;0,'Direct Costs 2026'!$C$45*B1059,"N/A")</f>
        <v>900000</v>
      </c>
      <c r="N1059" s="423" cm="1">
        <f t="array" ref="N1059">IF(B1059&gt;0,_xlfn.IFERROR(VLOOKUP(C1051,'Boats Data Sheet 2026'!$C$3:$I$57,7,0)*'Direct Costs 2026'!$C$36,"N/A"),"N/A")</f>
        <v>3325000</v>
      </c>
      <c r="O1059" s="423" cm="1">
        <f t="array" ref="O1059">IF(B1059&gt;0,IF(OR(VLOOKUP(C1051,'Boats Data Sheet 2026'!$C$3:$F$57,4,0)="Own",VLOOKUP(C1051,'Boats Data Sheet 2026'!$C$3:$F$57,4,0)="Management"),('Direct Costs 2026'!$C$37+'Direct Costs 2026'!$C$39),"N/A"),"N/A")</f>
        <v>1112400</v>
      </c>
      <c r="P1059" s="423" cm="1">
        <f t="array" ref="P1059">_xlfn.IFERROR('Direct Costs 2026'!$C$27*C1059,"N/A")</f>
        <v>0</v>
      </c>
      <c r="Q1059" s="423" cm="1">
        <f t="array" ref="Q1059">_xlfn.IFERROR(C1059+SUM(E1059:P1059),"N/A")</f>
        <v>7462233.33333333</v>
      </c>
      <c r="R1059" s="424"/>
      <c r="S1059" s="423" cm="1">
        <f t="array" ref="S1059">IF(B1059&gt;0,'Allocation OH and Target 2026'!$E$31,"N/A")</f>
        <v>3100447.15769812</v>
      </c>
      <c r="T1059" s="423" cm="1">
        <f t="array" ref="T1059">IF(B1059&gt;0,VLOOKUP(C1051,'Allocation OH and Target 2026'!$C$35:$S$87,17,0),"N/A")</f>
        <v>779862.1125</v>
      </c>
      <c r="U1059" s="423" cm="1">
        <f t="array" ref="U1059">_xlfn.IFERROR((S1059+T1059),"N/A")</f>
        <v>3880309.27019812</v>
      </c>
      <c r="V1059" s="424"/>
      <c r="W1059" s="423" cm="1">
        <f t="array" ref="W1059">_xlfn.IFERROR(U1059+Q1059,"N/A")</f>
        <v>11342542.6035315</v>
      </c>
      <c r="X1059" s="423" cm="1">
        <f t="array" ref="X1059">_xlfn.IFERROR(W1059*0.5%,"N/A")</f>
        <v>56712.7130176575</v>
      </c>
      <c r="Y1059" s="423" cm="1">
        <f t="array" ref="Y1059">_xlfn.IFERROR(W1059*25%,"N/A")</f>
        <v>2835635.65088288</v>
      </c>
      <c r="Z1059" s="425" cm="1">
        <f t="array" ref="Z1059">IF(B1059&gt;0,SUM(W1059:Y1059),"N/A")</f>
        <v>14234890.967432</v>
      </c>
      <c r="AA1059" s="425" cm="1">
        <f t="array" ref="AA1059">_xlfn.IFERROR((Z1059-Z1058),"N/A")</f>
        <v>239705</v>
      </c>
      <c r="AB1059" s="424"/>
      <c r="AC1059" s="425" cm="1">
        <f t="array" ref="AC1059">IF(B1059=6,AVERAGE(Z1054:Z1059),"N/A")</f>
        <v>13635628.467432</v>
      </c>
      <c r="AD1059" s="424"/>
      <c r="AE1059" s="423"/>
      <c r="AF1059" s="423"/>
      <c r="AG1059" s="423"/>
      <c r="AH1059" s="423"/>
      <c r="AI1059" s="423"/>
      <c r="AJ1059" s="423"/>
      <c r="AK1059" s="423"/>
      <c r="AL1059" s="423"/>
      <c r="AM1059" s="423"/>
      <c r="AN1059" s="427"/>
    </row>
    <row r="1060" ht="15" customHeight="1">
      <c r="A1060" s="12"/>
      <c r="B1060" s="428" cm="1">
        <f t="array" ref="B1060">IF(B1059=0,0,IF(B1059&lt;VLOOKUP(C1051,'Boats Data Sheet 2026'!$C$3:$H$57,6,0),B1059+1,0))</f>
        <v>7</v>
      </c>
      <c r="C1060" s="423" cm="1">
        <f t="array" ref="C1060">IF(B1060&gt;0,IF(VLOOKUP(C1051,'Boats Data Sheet 2026'!$C$3:$J$57,8,0)="N/A",0,VLOOKUP(C1051,'Boats Data Sheet 2026'!$C$3:$J$57,8,0)),"N/A")</f>
        <v>0</v>
      </c>
      <c r="D1060" s="429" cm="1">
        <f t="array" ref="D1060">IF(B1060&gt;7,2,IF(B1060=0,"N/A",1))</f>
        <v>1</v>
      </c>
      <c r="E1060" s="423" cm="1">
        <f t="array" ref="E1060">_xlfn.IFERROR(SUM('Direct Costs 2026'!$C$4:$C$5)*D1060,"N/A")</f>
        <v>875500</v>
      </c>
      <c r="F1060" s="423" cm="1">
        <f t="array" ref="F1060">_xlfn.IFERROR('Direct Costs 2026'!$C$43*B1060,"N/A")</f>
        <v>42000</v>
      </c>
      <c r="G1060" s="423" cm="1">
        <f t="array" ref="G1060">IF(B1060&gt;0,'Direct Costs 2026'!$C$25,"N/A")</f>
        <v>90000</v>
      </c>
      <c r="H1060" s="423" cm="1">
        <f t="array" ref="H1060">IF(B1060&gt;0,('Direct Costs 2026'!$C$15+'Direct Costs 2026'!$C$17+'Direct Costs 2026'!$C$14),"N/A")</f>
        <v>580000</v>
      </c>
      <c r="I1060" s="423" cm="1">
        <f t="array" ref="I1060">IF(B1060&gt;0,'Direct Costs 2026'!$C$19+'Direct Costs 2026'!$C$18*B1060,"N/A")</f>
        <v>320000</v>
      </c>
      <c r="J1060" s="423" cm="1">
        <f t="array" ref="J1060">IF(B1060&gt;0,SUM('Direct Costs 2026'!$C$20:$C$21),"N/A")</f>
        <v>98333.3333333333</v>
      </c>
      <c r="K1060" s="423" cm="1">
        <f t="array" ref="K1060">IF(B1060&gt;0,'Direct Costs 2026'!$C$26,"N/A")</f>
        <v>20000</v>
      </c>
      <c r="L1060" s="423" cm="1">
        <f t="array" ref="L1060">IF(B1060&gt;0,'Direct Costs 2026'!$C$23,"N/A")</f>
        <v>140000</v>
      </c>
      <c r="M1060" s="423" cm="1">
        <f t="array" ref="M1060">IF(B1060&gt;0,'Direct Costs 2026'!$C$45*B1060,"N/A")</f>
        <v>1050000</v>
      </c>
      <c r="N1060" s="423" cm="1">
        <f t="array" ref="N1060">IF(B1060&gt;0,_xlfn.IFERROR(VLOOKUP(C1051,'Boats Data Sheet 2026'!$C$3:$I$57,7,0)*'Direct Costs 2026'!$C$36,"N/A"),"N/A")</f>
        <v>3325000</v>
      </c>
      <c r="O1060" s="423" cm="1">
        <f t="array" ref="O1060">IF(B1060&gt;0,IF(OR(VLOOKUP(C1051,'Boats Data Sheet 2026'!$C$3:$F$57,4,0)="Own",VLOOKUP(C1051,'Boats Data Sheet 2026'!$C$3:$F$57,4,0)="Management"),('Direct Costs 2026'!$C$37+'Direct Costs 2026'!$C$39),"N/A"),"N/A")</f>
        <v>1112400</v>
      </c>
      <c r="P1060" s="423" cm="1">
        <f t="array" ref="P1060">_xlfn.IFERROR('Direct Costs 2026'!$C$27*C1060,"N/A")</f>
        <v>0</v>
      </c>
      <c r="Q1060" s="423" cm="1">
        <f t="array" ref="Q1060">_xlfn.IFERROR(C1060+SUM(E1060:P1060),"N/A")</f>
        <v>7653233.33333333</v>
      </c>
      <c r="R1060" s="424"/>
      <c r="S1060" s="423" cm="1">
        <f t="array" ref="S1060">IF(B1060&gt;0,'Allocation OH and Target 2026'!$E$31,"N/A")</f>
        <v>3100447.15769812</v>
      </c>
      <c r="T1060" s="423" cm="1">
        <f t="array" ref="T1060">IF(B1060&gt;0,VLOOKUP(C1051,'Allocation OH and Target 2026'!$C$35:$S$87,17,0),"N/A")</f>
        <v>779862.1125</v>
      </c>
      <c r="U1060" s="423" cm="1">
        <f t="array" ref="U1060">_xlfn.IFERROR((S1060+T1060),"N/A")</f>
        <v>3880309.27019812</v>
      </c>
      <c r="V1060" s="424"/>
      <c r="W1060" s="423" cm="1">
        <f t="array" ref="W1060">_xlfn.IFERROR(U1060+Q1060,"N/A")</f>
        <v>11533542.6035315</v>
      </c>
      <c r="X1060" s="423" cm="1">
        <f t="array" ref="X1060">_xlfn.IFERROR(W1060*0.5%,"N/A")</f>
        <v>57667.7130176575</v>
      </c>
      <c r="Y1060" s="423" cm="1">
        <f t="array" ref="Y1060">_xlfn.IFERROR(W1060*25%,"N/A")</f>
        <v>2883385.65088288</v>
      </c>
      <c r="Z1060" s="425" cm="1">
        <f t="array" ref="Z1060">IF(B1060&gt;0,SUM(W1060:Y1060),"N/A")</f>
        <v>14474595.967432</v>
      </c>
      <c r="AA1060" s="425" cm="1">
        <f t="array" ref="AA1060">_xlfn.IFERROR((Z1060-Z1059),"N/A")</f>
        <v>239705</v>
      </c>
      <c r="AB1060" s="424"/>
      <c r="AC1060" t="str" s="426" cm="1">
        <f t="array" ref="AC1060">IF(B1060=6,AVERAGE(Z1054:Z1059),"N/A")</f>
        <v>N/A</v>
      </c>
      <c r="AD1060" s="424"/>
      <c r="AE1060" s="423"/>
      <c r="AF1060" s="423"/>
      <c r="AG1060" s="423"/>
      <c r="AH1060" s="423"/>
      <c r="AI1060" s="423"/>
      <c r="AJ1060" s="423"/>
      <c r="AK1060" s="423"/>
      <c r="AL1060" s="423"/>
      <c r="AM1060" s="423"/>
      <c r="AN1060" s="427"/>
    </row>
    <row r="1061" ht="15" customHeight="1">
      <c r="A1061" s="12"/>
      <c r="B1061" s="428" cm="1">
        <f t="array" ref="B1061">IF(B1060=0,0,IF(B1060&lt;VLOOKUP(C1051,'Boats Data Sheet 2026'!$C$3:$H$57,6,0),B1060+1,0))</f>
        <v>8</v>
      </c>
      <c r="C1061" s="423" cm="1">
        <f t="array" ref="C1061">IF(B1061&gt;0,IF(VLOOKUP(C1051,'Boats Data Sheet 2026'!$C$3:$J$57,8,0)="N/A",0,VLOOKUP(C1051,'Boats Data Sheet 2026'!$C$3:$J$57,8,0)),"N/A")</f>
        <v>0</v>
      </c>
      <c r="D1061" s="429" cm="1">
        <f t="array" ref="D1061">IF(B1061&gt;7,2,IF(B1061=0,"N/A",1))</f>
        <v>2</v>
      </c>
      <c r="E1061" s="423" cm="1">
        <f t="array" ref="E1061">_xlfn.IFERROR(SUM('Direct Costs 2026'!$C$4:$C$5)*D1061,"N/A")</f>
        <v>1751000</v>
      </c>
      <c r="F1061" s="423" cm="1">
        <f t="array" ref="F1061">_xlfn.IFERROR('Direct Costs 2026'!$C$43*B1061,"N/A")</f>
        <v>48000</v>
      </c>
      <c r="G1061" s="423" cm="1">
        <f t="array" ref="G1061">IF(B1061&gt;0,'Direct Costs 2026'!$C$25,"N/A")</f>
        <v>90000</v>
      </c>
      <c r="H1061" s="423" cm="1">
        <f t="array" ref="H1061">IF(B1061&gt;0,('Direct Costs 2026'!$C$15+'Direct Costs 2026'!$C$17+'Direct Costs 2026'!$C$14),"N/A")</f>
        <v>580000</v>
      </c>
      <c r="I1061" s="423" cm="1">
        <f t="array" ref="I1061">IF(B1061&gt;0,'Direct Costs 2026'!$C$19+'Direct Costs 2026'!$C$18*B1061,"N/A")</f>
        <v>355000</v>
      </c>
      <c r="J1061" s="423" cm="1">
        <f t="array" ref="J1061">IF(B1061&gt;0,SUM('Direct Costs 2026'!$C$20:$C$21),"N/A")</f>
        <v>98333.3333333333</v>
      </c>
      <c r="K1061" s="423" cm="1">
        <f t="array" ref="K1061">IF(B1061&gt;0,'Direct Costs 2026'!$C$26,"N/A")</f>
        <v>20000</v>
      </c>
      <c r="L1061" s="423" cm="1">
        <f t="array" ref="L1061">IF(B1061&gt;0,'Direct Costs 2026'!$C$23,"N/A")</f>
        <v>140000</v>
      </c>
      <c r="M1061" s="423" cm="1">
        <f t="array" ref="M1061">IF(B1061&gt;0,'Direct Costs 2026'!$C$45*B1061,"N/A")</f>
        <v>1200000</v>
      </c>
      <c r="N1061" s="423" cm="1">
        <f t="array" ref="N1061">IF(B1061&gt;0,_xlfn.IFERROR(VLOOKUP(C1051,'Boats Data Sheet 2026'!$C$3:$I$57,7,0)*'Direct Costs 2026'!$C$36,"N/A"),"N/A")</f>
        <v>3325000</v>
      </c>
      <c r="O1061" s="423" cm="1">
        <f t="array" ref="O1061">IF(B1061&gt;0,IF(OR(VLOOKUP(C1051,'Boats Data Sheet 2026'!$C$3:$F$57,4,0)="Own",VLOOKUP(C1051,'Boats Data Sheet 2026'!$C$3:$F$57,4,0)="Management"),('Direct Costs 2026'!$C$37+'Direct Costs 2026'!$C$39),"N/A"),"N/A")</f>
        <v>1112400</v>
      </c>
      <c r="P1061" s="423" cm="1">
        <f t="array" ref="P1061">_xlfn.IFERROR('Direct Costs 2026'!$C$27*C1061,"N/A")</f>
        <v>0</v>
      </c>
      <c r="Q1061" s="423" cm="1">
        <f t="array" ref="Q1061">_xlfn.IFERROR(C1061+SUM(E1061:P1061),"N/A")</f>
        <v>8719733.33333333</v>
      </c>
      <c r="R1061" s="424"/>
      <c r="S1061" s="423" cm="1">
        <f t="array" ref="S1061">IF(B1061&gt;0,'Allocation OH and Target 2026'!$E$31,"N/A")</f>
        <v>3100447.15769812</v>
      </c>
      <c r="T1061" s="423" cm="1">
        <f t="array" ref="T1061">IF(B1061&gt;0,VLOOKUP(C1051,'Allocation OH and Target 2026'!$C$35:$S$87,17,0),"N/A")</f>
        <v>779862.1125</v>
      </c>
      <c r="U1061" s="423" cm="1">
        <f t="array" ref="U1061">_xlfn.IFERROR((S1061+T1061),"N/A")</f>
        <v>3880309.27019812</v>
      </c>
      <c r="V1061" s="424"/>
      <c r="W1061" s="423" cm="1">
        <f t="array" ref="W1061">_xlfn.IFERROR(U1061+Q1061,"N/A")</f>
        <v>12600042.6035315</v>
      </c>
      <c r="X1061" s="423" cm="1">
        <f t="array" ref="X1061">_xlfn.IFERROR(W1061*0.5%,"N/A")</f>
        <v>63000.2130176575</v>
      </c>
      <c r="Y1061" s="423" cm="1">
        <f t="array" ref="Y1061">_xlfn.IFERROR(W1061*25%,"N/A")</f>
        <v>3150010.65088288</v>
      </c>
      <c r="Z1061" s="425" cm="1">
        <f t="array" ref="Z1061">IF(B1061&gt;0,SUM(W1061:Y1061),"N/A")</f>
        <v>15813053.467432</v>
      </c>
      <c r="AA1061" s="425" cm="1">
        <f t="array" ref="AA1061">_xlfn.IFERROR((Z1061-Z1060),"N/A")</f>
        <v>1338457.5</v>
      </c>
      <c r="AB1061" s="424"/>
      <c r="AC1061" t="str" s="426" cm="1">
        <f t="array" ref="AC1061">IF(B1061=6,AVERAGE(Z1054:Z1059),"N/A")</f>
        <v>N/A</v>
      </c>
      <c r="AD1061" s="424"/>
      <c r="AE1061" s="423"/>
      <c r="AF1061" s="423"/>
      <c r="AG1061" s="423"/>
      <c r="AH1061" s="423"/>
      <c r="AI1061" s="423"/>
      <c r="AJ1061" s="423"/>
      <c r="AK1061" s="423"/>
      <c r="AL1061" s="423"/>
      <c r="AM1061" s="423"/>
      <c r="AN1061" s="427"/>
    </row>
    <row r="1062" ht="15" customHeight="1">
      <c r="A1062" s="12"/>
      <c r="B1062" s="428" cm="1">
        <f t="array" ref="B1062">IF(B1061=0,0,IF(B1061&lt;VLOOKUP(C1051,'Boats Data Sheet 2026'!$C$3:$H$57,6,0),B1061+1,0))</f>
        <v>9</v>
      </c>
      <c r="C1062" s="423" cm="1">
        <f t="array" ref="C1062">IF(B1062&gt;0,IF(VLOOKUP(C1051,'Boats Data Sheet 2026'!$C$3:$J$57,8,0)="N/A",0,VLOOKUP(C1051,'Boats Data Sheet 2026'!$C$3:$J$57,8,0)),"N/A")</f>
        <v>0</v>
      </c>
      <c r="D1062" s="429" cm="1">
        <f t="array" ref="D1062">IF(B1062&gt;7,2,IF(B1062=0,"N/A",1))</f>
        <v>2</v>
      </c>
      <c r="E1062" s="423" cm="1">
        <f t="array" ref="E1062">_xlfn.IFERROR(SUM('Direct Costs 2026'!$C$4:$C$5)*D1062,"N/A")</f>
        <v>1751000</v>
      </c>
      <c r="F1062" s="423" cm="1">
        <f t="array" ref="F1062">_xlfn.IFERROR('Direct Costs 2026'!$C$43*B1062,"N/A")</f>
        <v>54000</v>
      </c>
      <c r="G1062" s="423" cm="1">
        <f t="array" ref="G1062">IF(B1062&gt;0,'Direct Costs 2026'!$C$25,"N/A")</f>
        <v>90000</v>
      </c>
      <c r="H1062" s="423" cm="1">
        <f t="array" ref="H1062">IF(B1062&gt;0,('Direct Costs 2026'!$C$15+'Direct Costs 2026'!$C$17+'Direct Costs 2026'!$C$14),"N/A")</f>
        <v>580000</v>
      </c>
      <c r="I1062" s="423" cm="1">
        <f t="array" ref="I1062">IF(B1062&gt;0,'Direct Costs 2026'!$C$19+'Direct Costs 2026'!$C$18*B1062,"N/A")</f>
        <v>390000</v>
      </c>
      <c r="J1062" s="423" cm="1">
        <f t="array" ref="J1062">IF(B1062&gt;0,SUM('Direct Costs 2026'!$C$20:$C$21),"N/A")</f>
        <v>98333.3333333333</v>
      </c>
      <c r="K1062" s="423" cm="1">
        <f t="array" ref="K1062">IF(B1062&gt;0,'Direct Costs 2026'!$C$26,"N/A")</f>
        <v>20000</v>
      </c>
      <c r="L1062" s="423" cm="1">
        <f t="array" ref="L1062">IF(B1062&gt;0,'Direct Costs 2026'!$C$23,"N/A")</f>
        <v>140000</v>
      </c>
      <c r="M1062" s="423" cm="1">
        <f t="array" ref="M1062">IF(B1062&gt;0,'Direct Costs 2026'!$C$45*B1062,"N/A")</f>
        <v>1350000</v>
      </c>
      <c r="N1062" s="423" cm="1">
        <f t="array" ref="N1062">IF(B1062&gt;0,_xlfn.IFERROR(VLOOKUP(C1051,'Boats Data Sheet 2026'!$C$3:$I$57,7,0)*'Direct Costs 2026'!$C$36,"N/A"),"N/A")</f>
        <v>3325000</v>
      </c>
      <c r="O1062" s="423" cm="1">
        <f t="array" ref="O1062">IF(B1062&gt;0,IF(OR(VLOOKUP(C1051,'Boats Data Sheet 2026'!$C$3:$F$57,4,0)="Own",VLOOKUP(C1051,'Boats Data Sheet 2026'!$C$3:$F$57,4,0)="Management"),('Direct Costs 2026'!$C$37+'Direct Costs 2026'!$C$39),"N/A"),"N/A")</f>
        <v>1112400</v>
      </c>
      <c r="P1062" s="423" cm="1">
        <f t="array" ref="P1062">_xlfn.IFERROR('Direct Costs 2026'!$C$27*C1062,"N/A")</f>
        <v>0</v>
      </c>
      <c r="Q1062" s="423" cm="1">
        <f t="array" ref="Q1062">_xlfn.IFERROR(C1062+SUM(E1062:P1062),"N/A")</f>
        <v>8910733.33333333</v>
      </c>
      <c r="R1062" s="424"/>
      <c r="S1062" s="423" cm="1">
        <f t="array" ref="S1062">IF(B1062&gt;0,'Allocation OH and Target 2026'!$E$31,"N/A")</f>
        <v>3100447.15769812</v>
      </c>
      <c r="T1062" s="423" cm="1">
        <f t="array" ref="T1062">IF(B1062&gt;0,VLOOKUP(C1051,'Allocation OH and Target 2026'!$C$35:$S$87,17,0),"N/A")</f>
        <v>779862.1125</v>
      </c>
      <c r="U1062" s="423" cm="1">
        <f t="array" ref="U1062">_xlfn.IFERROR((S1062+T1062),"N/A")</f>
        <v>3880309.27019812</v>
      </c>
      <c r="V1062" s="424"/>
      <c r="W1062" s="423" cm="1">
        <f t="array" ref="W1062">_xlfn.IFERROR(U1062+Q1062,"N/A")</f>
        <v>12791042.6035315</v>
      </c>
      <c r="X1062" s="423" cm="1">
        <f t="array" ref="X1062">_xlfn.IFERROR(W1062*0.5%,"N/A")</f>
        <v>63955.2130176575</v>
      </c>
      <c r="Y1062" s="423" cm="1">
        <f t="array" ref="Y1062">_xlfn.IFERROR(W1062*25%,"N/A")</f>
        <v>3197760.65088288</v>
      </c>
      <c r="Z1062" s="425" cm="1">
        <f t="array" ref="Z1062">IF(B1062&gt;0,SUM(W1062:Y1062),"N/A")</f>
        <v>16052758.467432</v>
      </c>
      <c r="AA1062" s="425" cm="1">
        <f t="array" ref="AA1062">_xlfn.IFERROR((Z1062-Z1061),"N/A")</f>
        <v>239705</v>
      </c>
      <c r="AB1062" s="424"/>
      <c r="AC1062" t="str" s="426" cm="1">
        <f t="array" ref="AC1062">IF(B1062=6,AVERAGE(Z1054:Z1059),"N/A")</f>
        <v>N/A</v>
      </c>
      <c r="AD1062" s="424"/>
      <c r="AE1062" s="423"/>
      <c r="AF1062" s="423"/>
      <c r="AG1062" s="423"/>
      <c r="AH1062" s="423"/>
      <c r="AI1062" s="423"/>
      <c r="AJ1062" s="423"/>
      <c r="AK1062" s="423"/>
      <c r="AL1062" s="423"/>
      <c r="AM1062" s="423"/>
      <c r="AN1062" s="427"/>
    </row>
    <row r="1063" ht="15" customHeight="1">
      <c r="A1063" s="12"/>
      <c r="B1063" s="428" cm="1">
        <f t="array" ref="B1063">IF(B1062=0,0,IF(B1062&lt;VLOOKUP(C1051,'Boats Data Sheet 2026'!$C$3:$H$57,6,0),B1062+1,0))</f>
        <v>10</v>
      </c>
      <c r="C1063" s="423" cm="1">
        <f t="array" ref="C1063">IF(B1063&gt;0,IF(VLOOKUP(C1051,'Boats Data Sheet 2026'!$C$3:$J$57,8,0)="N/A",0,VLOOKUP(C1051,'Boats Data Sheet 2026'!$C$3:$J$57,8,0)),"N/A")</f>
        <v>0</v>
      </c>
      <c r="D1063" s="429" cm="1">
        <f t="array" ref="D1063">IF(B1063&gt;7,2,IF(B1063=0,"N/A",1))</f>
        <v>2</v>
      </c>
      <c r="E1063" s="423" cm="1">
        <f t="array" ref="E1063">_xlfn.IFERROR(SUM('Direct Costs 2026'!$C$4:$C$5)*D1063,"N/A")</f>
        <v>1751000</v>
      </c>
      <c r="F1063" s="423" cm="1">
        <f t="array" ref="F1063">_xlfn.IFERROR('Direct Costs 2026'!$C$43*B1063,"N/A")</f>
        <v>60000</v>
      </c>
      <c r="G1063" s="423" cm="1">
        <f t="array" ref="G1063">IF(B1063&gt;0,'Direct Costs 2026'!$C$25,"N/A")</f>
        <v>90000</v>
      </c>
      <c r="H1063" s="423" cm="1">
        <f t="array" ref="H1063">IF(B1063&gt;0,('Direct Costs 2026'!$C$15+'Direct Costs 2026'!$C$17+'Direct Costs 2026'!$C$14),"N/A")</f>
        <v>580000</v>
      </c>
      <c r="I1063" s="423" cm="1">
        <f t="array" ref="I1063">IF(B1063&gt;0,'Direct Costs 2026'!$C$19+'Direct Costs 2026'!$C$18*B1063,"N/A")</f>
        <v>425000</v>
      </c>
      <c r="J1063" s="423" cm="1">
        <f t="array" ref="J1063">IF(B1063&gt;0,SUM('Direct Costs 2026'!$C$20:$C$21),"N/A")</f>
        <v>98333.3333333333</v>
      </c>
      <c r="K1063" s="423" cm="1">
        <f t="array" ref="K1063">IF(B1063&gt;0,'Direct Costs 2026'!$C$26,"N/A")</f>
        <v>20000</v>
      </c>
      <c r="L1063" s="423" cm="1">
        <f t="array" ref="L1063">IF(B1063&gt;0,'Direct Costs 2026'!$C$23,"N/A")</f>
        <v>140000</v>
      </c>
      <c r="M1063" s="423" cm="1">
        <f t="array" ref="M1063">IF(B1063&gt;0,'Direct Costs 2026'!$C$45*B1063,"N/A")</f>
        <v>1500000</v>
      </c>
      <c r="N1063" s="423" cm="1">
        <f t="array" ref="N1063">IF(B1063&gt;0,_xlfn.IFERROR(VLOOKUP(C1051,'Boats Data Sheet 2026'!$C$3:$I$57,7,0)*'Direct Costs 2026'!$C$36,"N/A"),"N/A")</f>
        <v>3325000</v>
      </c>
      <c r="O1063" s="423" cm="1">
        <f t="array" ref="O1063">IF(B1063&gt;0,IF(OR(VLOOKUP(C1051,'Boats Data Sheet 2026'!$C$3:$F$57,4,0)="Own",VLOOKUP(C1051,'Boats Data Sheet 2026'!$C$3:$F$57,4,0)="Management"),('Direct Costs 2026'!$C$37+'Direct Costs 2026'!$C$39),"N/A"),"N/A")</f>
        <v>1112400</v>
      </c>
      <c r="P1063" s="423" cm="1">
        <f t="array" ref="P1063">_xlfn.IFERROR('Direct Costs 2026'!$C$27*C1063,"N/A")</f>
        <v>0</v>
      </c>
      <c r="Q1063" s="423" cm="1">
        <f t="array" ref="Q1063">_xlfn.IFERROR(C1063+SUM(E1063:P1063),"N/A")</f>
        <v>9101733.33333333</v>
      </c>
      <c r="R1063" s="424"/>
      <c r="S1063" s="423" cm="1">
        <f t="array" ref="S1063">IF(B1063&gt;0,'Allocation OH and Target 2026'!$E$31,"N/A")</f>
        <v>3100447.15769812</v>
      </c>
      <c r="T1063" s="423" cm="1">
        <f t="array" ref="T1063">IF(B1063&gt;0,VLOOKUP(C1051,'Allocation OH and Target 2026'!$C$35:$S$87,17,0),"N/A")</f>
        <v>779862.1125</v>
      </c>
      <c r="U1063" s="423" cm="1">
        <f t="array" ref="U1063">_xlfn.IFERROR((S1063+T1063),"N/A")</f>
        <v>3880309.27019812</v>
      </c>
      <c r="V1063" s="424"/>
      <c r="W1063" s="423" cm="1">
        <f t="array" ref="W1063">_xlfn.IFERROR(U1063+Q1063,"N/A")</f>
        <v>12982042.6035315</v>
      </c>
      <c r="X1063" s="423" cm="1">
        <f t="array" ref="X1063">_xlfn.IFERROR(W1063*0.5%,"N/A")</f>
        <v>64910.2130176575</v>
      </c>
      <c r="Y1063" s="423" cm="1">
        <f t="array" ref="Y1063">_xlfn.IFERROR(W1063*25%,"N/A")</f>
        <v>3245510.65088288</v>
      </c>
      <c r="Z1063" s="425" cm="1">
        <f t="array" ref="Z1063">IF(B1063&gt;0,SUM(W1063:Y1063),"N/A")</f>
        <v>16292463.467432</v>
      </c>
      <c r="AA1063" s="425" cm="1">
        <f t="array" ref="AA1063">_xlfn.IFERROR((Z1063-Z1062),"N/A")</f>
        <v>239705</v>
      </c>
      <c r="AB1063" s="424"/>
      <c r="AC1063" t="str" s="426" cm="1">
        <f t="array" ref="AC1063">IF(B1063=6,AVERAGE(Z1054:Z1059),"N/A")</f>
        <v>N/A</v>
      </c>
      <c r="AD1063" s="424"/>
      <c r="AE1063" s="423"/>
      <c r="AF1063" s="423"/>
      <c r="AG1063" s="423"/>
      <c r="AH1063" s="423"/>
      <c r="AI1063" s="423"/>
      <c r="AJ1063" s="423"/>
      <c r="AK1063" s="423"/>
      <c r="AL1063" s="423"/>
      <c r="AM1063" s="423"/>
      <c r="AN1063" s="427"/>
    </row>
    <row r="1064" ht="15" customHeight="1">
      <c r="A1064" s="12"/>
      <c r="B1064" s="428" cm="1">
        <f t="array" ref="B1064">IF(B1063=0,0,IF(B1063&lt;VLOOKUP(C1051,'Boats Data Sheet 2026'!$C$3:$H$57,6,0),B1063+1,0))</f>
        <v>11</v>
      </c>
      <c r="C1064" s="423" cm="1">
        <f t="array" ref="C1064">IF(B1064&gt;0,IF(VLOOKUP(C1051,'Boats Data Sheet 2026'!$C$3:$J$57,8,0)="N/A",0,VLOOKUP(C1051,'Boats Data Sheet 2026'!$C$3:$J$57,8,0)),"N/A")</f>
        <v>0</v>
      </c>
      <c r="D1064" s="429" cm="1">
        <f t="array" ref="D1064">IF(B1064&gt;7,2,IF(B1064=0,"N/A",1))</f>
        <v>2</v>
      </c>
      <c r="E1064" s="423" cm="1">
        <f t="array" ref="E1064">_xlfn.IFERROR(SUM('Direct Costs 2026'!$C$4:$C$5)*D1064,"N/A")</f>
        <v>1751000</v>
      </c>
      <c r="F1064" s="423" cm="1">
        <f t="array" ref="F1064">_xlfn.IFERROR('Direct Costs 2026'!$C$43*B1064,"N/A")</f>
        <v>66000</v>
      </c>
      <c r="G1064" s="423" cm="1">
        <f t="array" ref="G1064">IF(B1064&gt;0,'Direct Costs 2026'!$C$25,"N/A")</f>
        <v>90000</v>
      </c>
      <c r="H1064" s="423" cm="1">
        <f t="array" ref="H1064">IF(B1064&gt;0,('Direct Costs 2026'!$C$15+'Direct Costs 2026'!$C$17+'Direct Costs 2026'!$C$14),"N/A")</f>
        <v>580000</v>
      </c>
      <c r="I1064" s="423" cm="1">
        <f t="array" ref="I1064">IF(B1064&gt;0,'Direct Costs 2026'!$C$19+'Direct Costs 2026'!$C$18*B1064,"N/A")</f>
        <v>460000</v>
      </c>
      <c r="J1064" s="423" cm="1">
        <f t="array" ref="J1064">IF(B1064&gt;0,SUM('Direct Costs 2026'!$C$20:$C$21),"N/A")</f>
        <v>98333.3333333333</v>
      </c>
      <c r="K1064" s="423" cm="1">
        <f t="array" ref="K1064">IF(B1064&gt;0,'Direct Costs 2026'!$C$26,"N/A")</f>
        <v>20000</v>
      </c>
      <c r="L1064" s="423" cm="1">
        <f t="array" ref="L1064">IF(B1064&gt;0,'Direct Costs 2026'!$C$23,"N/A")</f>
        <v>140000</v>
      </c>
      <c r="M1064" s="423" cm="1">
        <f t="array" ref="M1064">IF(B1064&gt;0,'Direct Costs 2026'!$C$45*B1064,"N/A")</f>
        <v>1650000</v>
      </c>
      <c r="N1064" s="423" cm="1">
        <f t="array" ref="N1064">IF(B1064&gt;0,_xlfn.IFERROR(VLOOKUP(C1051,'Boats Data Sheet 2026'!$C$3:$I$57,7,0)*'Direct Costs 2026'!$C$36,"N/A"),"N/A")</f>
        <v>3325000</v>
      </c>
      <c r="O1064" s="423" cm="1">
        <f t="array" ref="O1064">IF(B1064&gt;0,IF(OR(VLOOKUP(C1051,'Boats Data Sheet 2026'!$C$3:$F$57,4,0)="Own",VLOOKUP(C1051,'Boats Data Sheet 2026'!$C$3:$F$57,4,0)="Management"),('Direct Costs 2026'!$C$37+'Direct Costs 2026'!$C$39),"N/A"),"N/A")</f>
        <v>1112400</v>
      </c>
      <c r="P1064" s="423" cm="1">
        <f t="array" ref="P1064">_xlfn.IFERROR('Direct Costs 2026'!$C$27*C1064,"N/A")</f>
        <v>0</v>
      </c>
      <c r="Q1064" s="423" cm="1">
        <f t="array" ref="Q1064">_xlfn.IFERROR(C1064+SUM(E1064:P1064),"N/A")</f>
        <v>9292733.33333333</v>
      </c>
      <c r="R1064" s="424"/>
      <c r="S1064" s="423" cm="1">
        <f t="array" ref="S1064">IF(B1064&gt;0,'Allocation OH and Target 2026'!$E$31,"N/A")</f>
        <v>3100447.15769812</v>
      </c>
      <c r="T1064" s="423" cm="1">
        <f t="array" ref="T1064">IF(B1064&gt;0,VLOOKUP(C1051,'Allocation OH and Target 2026'!$C$35:$S$87,17,0),"N/A")</f>
        <v>779862.1125</v>
      </c>
      <c r="U1064" s="423" cm="1">
        <f t="array" ref="U1064">_xlfn.IFERROR((S1064+T1064),"N/A")</f>
        <v>3880309.27019812</v>
      </c>
      <c r="V1064" s="424"/>
      <c r="W1064" s="423" cm="1">
        <f t="array" ref="W1064">_xlfn.IFERROR(U1064+Q1064,"N/A")</f>
        <v>13173042.6035315</v>
      </c>
      <c r="X1064" s="423" cm="1">
        <f t="array" ref="X1064">_xlfn.IFERROR(W1064*0.5%,"N/A")</f>
        <v>65865.2130176575</v>
      </c>
      <c r="Y1064" s="423" cm="1">
        <f t="array" ref="Y1064">_xlfn.IFERROR(W1064*25%,"N/A")</f>
        <v>3293260.65088288</v>
      </c>
      <c r="Z1064" s="425" cm="1">
        <f t="array" ref="Z1064">IF(B1064&gt;0,SUM(W1064:Y1064),"N/A")</f>
        <v>16532168.467432</v>
      </c>
      <c r="AA1064" s="425" cm="1">
        <f t="array" ref="AA1064">_xlfn.IFERROR((Z1064-Z1063),"N/A")</f>
        <v>239705</v>
      </c>
      <c r="AB1064" s="424"/>
      <c r="AC1064" t="str" s="426" cm="1">
        <f t="array" ref="AC1064">IF(B1064=6,AVERAGE(Z1054:Z1059),"N/A")</f>
        <v>N/A</v>
      </c>
      <c r="AD1064" s="424"/>
      <c r="AE1064" s="423"/>
      <c r="AF1064" s="423"/>
      <c r="AG1064" s="423"/>
      <c r="AH1064" s="423"/>
      <c r="AI1064" s="423"/>
      <c r="AJ1064" s="423"/>
      <c r="AK1064" s="423"/>
      <c r="AL1064" s="423"/>
      <c r="AM1064" s="423"/>
      <c r="AN1064" s="427"/>
    </row>
    <row r="1065" ht="15" customHeight="1">
      <c r="A1065" s="12"/>
      <c r="B1065" s="428" cm="1">
        <f t="array" ref="B1065">IF(B1064=0,0,IF(B1064&lt;VLOOKUP(C1051,'Boats Data Sheet 2026'!$C$3:$H$57,6,0),B1064+1,0))</f>
        <v>12</v>
      </c>
      <c r="C1065" s="423" cm="1">
        <f t="array" ref="C1065">IF(B1065&gt;0,IF(VLOOKUP(C1051,'Boats Data Sheet 2026'!$C$3:$J$57,8,0)="N/A",0,VLOOKUP(C1051,'Boats Data Sheet 2026'!$C$3:$J$57,8,0)),"N/A")</f>
        <v>0</v>
      </c>
      <c r="D1065" s="429" cm="1">
        <f t="array" ref="D1065">IF(B1065&gt;7,2,IF(B1065=0,"N/A",1))</f>
        <v>2</v>
      </c>
      <c r="E1065" s="423" cm="1">
        <f t="array" ref="E1065">_xlfn.IFERROR(SUM('Direct Costs 2026'!$C$4:$C$5)*D1065,"N/A")</f>
        <v>1751000</v>
      </c>
      <c r="F1065" s="423" cm="1">
        <f t="array" ref="F1065">_xlfn.IFERROR('Direct Costs 2026'!$C$43*B1065,"N/A")</f>
        <v>72000</v>
      </c>
      <c r="G1065" s="423" cm="1">
        <f t="array" ref="G1065">IF(B1065&gt;0,'Direct Costs 2026'!$C$25,"N/A")</f>
        <v>90000</v>
      </c>
      <c r="H1065" s="423" cm="1">
        <f t="array" ref="H1065">IF(B1065&gt;0,('Direct Costs 2026'!$C$15+'Direct Costs 2026'!$C$17+'Direct Costs 2026'!$C$14),"N/A")</f>
        <v>580000</v>
      </c>
      <c r="I1065" s="423" cm="1">
        <f t="array" ref="I1065">IF(B1065&gt;0,'Direct Costs 2026'!$C$19+'Direct Costs 2026'!$C$18*B1065,"N/A")</f>
        <v>495000</v>
      </c>
      <c r="J1065" s="423" cm="1">
        <f t="array" ref="J1065">IF(B1065&gt;0,SUM('Direct Costs 2026'!$C$20:$C$21),"N/A")</f>
        <v>98333.3333333333</v>
      </c>
      <c r="K1065" s="423" cm="1">
        <f t="array" ref="K1065">IF(B1065&gt;0,'Direct Costs 2026'!$C$26,"N/A")</f>
        <v>20000</v>
      </c>
      <c r="L1065" s="423" cm="1">
        <f t="array" ref="L1065">IF(B1065&gt;0,'Direct Costs 2026'!$C$23,"N/A")</f>
        <v>140000</v>
      </c>
      <c r="M1065" s="423" cm="1">
        <f t="array" ref="M1065">IF(B1065&gt;0,'Direct Costs 2026'!$C$45*B1065,"N/A")</f>
        <v>1800000</v>
      </c>
      <c r="N1065" s="423" cm="1">
        <f t="array" ref="N1065">IF(B1065&gt;0,_xlfn.IFERROR(VLOOKUP(C1051,'Boats Data Sheet 2026'!$C$3:$I$57,7,0)*'Direct Costs 2026'!$C$36,"N/A"),"N/A")</f>
        <v>3325000</v>
      </c>
      <c r="O1065" s="423" cm="1">
        <f t="array" ref="O1065">IF(B1065&gt;0,IF(OR(VLOOKUP(C1051,'Boats Data Sheet 2026'!$C$3:$F$57,4,0)="Own",VLOOKUP(C1051,'Boats Data Sheet 2026'!$C$3:$F$57,4,0)="Management"),('Direct Costs 2026'!$C$37+'Direct Costs 2026'!$C$39),"N/A"),"N/A")</f>
        <v>1112400</v>
      </c>
      <c r="P1065" s="423" cm="1">
        <f t="array" ref="P1065">_xlfn.IFERROR('Direct Costs 2026'!$C$27*C1065,"N/A")</f>
        <v>0</v>
      </c>
      <c r="Q1065" s="423" cm="1">
        <f t="array" ref="Q1065">_xlfn.IFERROR(C1065+SUM(E1065:P1065),"N/A")</f>
        <v>9483733.33333333</v>
      </c>
      <c r="R1065" s="424"/>
      <c r="S1065" s="423" cm="1">
        <f t="array" ref="S1065">IF(B1065&gt;0,'Allocation OH and Target 2026'!$E$31,"N/A")</f>
        <v>3100447.15769812</v>
      </c>
      <c r="T1065" s="423" cm="1">
        <f t="array" ref="T1065">IF(B1066&gt;0,VLOOKUP(C1051,'Allocation OH and Target 2026'!$C$35:$S$87,17,0),"N/A")</f>
        <v>779862.1125</v>
      </c>
      <c r="U1065" s="423" cm="1">
        <f t="array" ref="U1065">_xlfn.IFERROR((S1065+T1065),"N/A")</f>
        <v>3880309.27019812</v>
      </c>
      <c r="V1065" s="424"/>
      <c r="W1065" s="423" cm="1">
        <f t="array" ref="W1065">_xlfn.IFERROR(U1065+Q1065,"N/A")</f>
        <v>13364042.6035315</v>
      </c>
      <c r="X1065" s="423" cm="1">
        <f t="array" ref="X1065">_xlfn.IFERROR(W1065*0.5%,"N/A")</f>
        <v>66820.2130176575</v>
      </c>
      <c r="Y1065" s="423" cm="1">
        <f t="array" ref="Y1065">_xlfn.IFERROR(W1065*25%,"N/A")</f>
        <v>3341010.65088288</v>
      </c>
      <c r="Z1065" s="425" cm="1">
        <f t="array" ref="Z1065">IF(B1065&gt;0,SUM(W1065:Y1065),"N/A")</f>
        <v>16771873.467432</v>
      </c>
      <c r="AA1065" s="425" cm="1">
        <f t="array" ref="AA1065">_xlfn.IFERROR((Z1065-Z1064),"N/A")</f>
        <v>239705</v>
      </c>
      <c r="AB1065" s="424"/>
      <c r="AC1065" t="str" s="426" cm="1">
        <f t="array" ref="AC1065">IF(B1065=6,AVERAGE(Z1054:Z1059),"N/A")</f>
        <v>N/A</v>
      </c>
      <c r="AD1065" s="424"/>
      <c r="AE1065" s="423"/>
      <c r="AF1065" s="423"/>
      <c r="AG1065" s="423"/>
      <c r="AH1065" s="423"/>
      <c r="AI1065" s="423"/>
      <c r="AJ1065" s="423"/>
      <c r="AK1065" s="423"/>
      <c r="AL1065" s="423"/>
      <c r="AM1065" s="423"/>
      <c r="AN1065" s="427"/>
    </row>
    <row r="1066" ht="15" customHeight="1">
      <c r="A1066" s="12"/>
      <c r="B1066" s="428" cm="1">
        <f t="array" ref="B1066">IF(B1065=0,0,IF(B1065&lt;VLOOKUP(C1051,'Boats Data Sheet 2026'!$C$3:$H$57,6,0),B1065+1,0))</f>
        <v>13</v>
      </c>
      <c r="C1066" s="423" cm="1">
        <f t="array" ref="C1066">IF(B1066&gt;0,IF(VLOOKUP(C1051,'Boats Data Sheet 2026'!$C$3:$J$57,8,0)="N/A",0,VLOOKUP(C1051,'Boats Data Sheet 2026'!$C$3:$J$57,8,0)),"N/A")</f>
        <v>0</v>
      </c>
      <c r="D1066" s="429" cm="1">
        <f t="array" ref="D1066">IF(B1066&gt;7,2,IF(B1066=0,"N/A",1))</f>
        <v>2</v>
      </c>
      <c r="E1066" s="423" cm="1">
        <f t="array" ref="E1066">_xlfn.IFERROR(SUM('Direct Costs 2026'!$C$4:$C$5)*D1066,"N/A")</f>
        <v>1751000</v>
      </c>
      <c r="F1066" s="423" cm="1">
        <f t="array" ref="F1066">_xlfn.IFERROR('Direct Costs 2026'!$C$43*B1066,"N/A")</f>
        <v>78000</v>
      </c>
      <c r="G1066" s="423" cm="1">
        <f t="array" ref="G1066">IF(B1066&gt;0,'Direct Costs 2026'!$C$25,"N/A")</f>
        <v>90000</v>
      </c>
      <c r="H1066" s="423" cm="1">
        <f t="array" ref="H1066">IF(B1066&gt;0,('Direct Costs 2026'!$C$15+'Direct Costs 2026'!$C$17+'Direct Costs 2026'!$C$14),"N/A")</f>
        <v>580000</v>
      </c>
      <c r="I1066" s="423" cm="1">
        <f t="array" ref="I1066">IF(B1066&gt;0,'Direct Costs 2026'!$C$19+'Direct Costs 2026'!$C$18*B1066,"N/A")</f>
        <v>530000</v>
      </c>
      <c r="J1066" s="423" cm="1">
        <f t="array" ref="J1066">IF(B1066&gt;0,SUM('Direct Costs 2026'!$C$20:$C$21),"N/A")</f>
        <v>98333.3333333333</v>
      </c>
      <c r="K1066" s="423" cm="1">
        <f t="array" ref="K1066">IF(B1066&gt;0,'Direct Costs 2026'!$C$26,"N/A")</f>
        <v>20000</v>
      </c>
      <c r="L1066" s="423" cm="1">
        <f t="array" ref="L1066">IF(B1066&gt;0,'Direct Costs 2026'!$C$23,"N/A")</f>
        <v>140000</v>
      </c>
      <c r="M1066" s="423" cm="1">
        <f t="array" ref="M1066">IF(B1066&gt;0,'Direct Costs 2026'!$C$45*B1066,"N/A")</f>
        <v>1950000</v>
      </c>
      <c r="N1066" s="423" cm="1">
        <f t="array" ref="N1066">IF(B1066&gt;0,_xlfn.IFERROR(VLOOKUP(C1051,'Boats Data Sheet 2026'!$C$3:$I$57,7,0)*'Direct Costs 2026'!$C$36,"N/A"),"N/A")</f>
        <v>3325000</v>
      </c>
      <c r="O1066" s="423" cm="1">
        <f t="array" ref="O1066">IF(B1066&gt;0,IF(OR(VLOOKUP(C1051,'Boats Data Sheet 2026'!$C$3:$F$57,4,0)="Own",VLOOKUP(C1051,'Boats Data Sheet 2026'!$C$3:$F$57,4,0)="Management"),('Direct Costs 2026'!$C$37+'Direct Costs 2026'!$C$39),"N/A"),"N/A")</f>
        <v>1112400</v>
      </c>
      <c r="P1066" s="423" cm="1">
        <f t="array" ref="P1066">_xlfn.IFERROR('Direct Costs 2026'!$C$27*C1066,"N/A")</f>
        <v>0</v>
      </c>
      <c r="Q1066" s="423" cm="1">
        <f t="array" ref="Q1066">_xlfn.IFERROR(C1066+SUM(E1066:P1066),"N/A")</f>
        <v>9674733.33333333</v>
      </c>
      <c r="R1066" s="424"/>
      <c r="S1066" s="423" cm="1">
        <f t="array" ref="S1066">IF(B1066&gt;0,'Allocation OH and Target 2026'!$E$31,"N/A")</f>
        <v>3100447.15769812</v>
      </c>
      <c r="T1066" s="423" cm="1">
        <f t="array" ref="T1066">IF(B1066&gt;0,VLOOKUP(C1051,'Allocation OH and Target 2026'!$C$35:$S$87,17,0),"N/A")</f>
        <v>779862.1125</v>
      </c>
      <c r="U1066" s="423" cm="1">
        <f t="array" ref="U1066">_xlfn.IFERROR((S1066+T1066),"N/A")</f>
        <v>3880309.27019812</v>
      </c>
      <c r="V1066" s="424"/>
      <c r="W1066" s="423" cm="1">
        <f t="array" ref="W1066">_xlfn.IFERROR(U1066+Q1066,"N/A")</f>
        <v>13555042.6035315</v>
      </c>
      <c r="X1066" s="423" cm="1">
        <f t="array" ref="X1066">_xlfn.IFERROR(W1066*0.5%,"N/A")</f>
        <v>67775.2130176575</v>
      </c>
      <c r="Y1066" s="423" cm="1">
        <f t="array" ref="Y1066">_xlfn.IFERROR(W1066*25%,"N/A")</f>
        <v>3388760.65088288</v>
      </c>
      <c r="Z1066" s="425" cm="1">
        <f t="array" ref="Z1066">IF(B1066&gt;0,SUM(W1066:Y1066),"N/A")</f>
        <v>17011578.467432</v>
      </c>
      <c r="AA1066" s="425" cm="1">
        <f t="array" ref="AA1066">_xlfn.IFERROR((Z1066-Z1065),"N/A")</f>
        <v>239705</v>
      </c>
      <c r="AB1066" s="424"/>
      <c r="AC1066" t="str" s="426" cm="1">
        <f t="array" ref="AC1066">IF(B1066=6,AVERAGE(Z1054:Z1059),"N/A")</f>
        <v>N/A</v>
      </c>
      <c r="AD1066" s="424"/>
      <c r="AE1066" s="423"/>
      <c r="AF1066" s="423"/>
      <c r="AG1066" s="423"/>
      <c r="AH1066" s="423"/>
      <c r="AI1066" s="423"/>
      <c r="AJ1066" s="423"/>
      <c r="AK1066" s="423"/>
      <c r="AL1066" s="423"/>
      <c r="AM1066" s="423"/>
      <c r="AN1066" s="427"/>
    </row>
    <row r="1067" ht="15" customHeight="1">
      <c r="A1067" s="12"/>
      <c r="B1067" s="428" cm="1">
        <f t="array" ref="B1067">IF(B1066=0,0,IF(B1066&lt;VLOOKUP(C1051,'Boats Data Sheet 2026'!$C$3:$H$57,6,0),B1066+1,0))</f>
        <v>0</v>
      </c>
      <c r="C1067" t="str" s="431" cm="1">
        <f t="array" ref="C1067">IF(B1067&gt;0,IF(VLOOKUP(C1051,'Boats Data Sheet 2026'!$C$3:$J$57,8,0)="N/A",0,VLOOKUP(C1051,'Boats Data Sheet 2026'!$C$3:$J$57,8,0)),"N/A")</f>
        <v>N/A</v>
      </c>
      <c r="D1067" t="str" s="431" cm="1">
        <f t="array" ref="D1067">IF(B1067&gt;7,2,IF(B1067=0,"N/A",1))</f>
        <v>N/A</v>
      </c>
      <c r="E1067" t="str" s="431" cm="1">
        <f t="array" ref="E1067">_xlfn.IFERROR(SUM('Direct Costs 2026'!$C$4:$C$5)*D1067,"N/A")</f>
        <v>N/A</v>
      </c>
      <c r="F1067" s="423" cm="1">
        <f t="array" ref="F1067">_xlfn.IFERROR('Direct Costs 2026'!$C$43*B1067,"N/A")</f>
        <v>0</v>
      </c>
      <c r="G1067" t="str" s="431" cm="1">
        <f t="array" ref="G1067">IF(B1067&gt;0,'Direct Costs 2026'!$C$25,"N/A")</f>
        <v>N/A</v>
      </c>
      <c r="H1067" t="str" s="431" cm="1">
        <f t="array" ref="H1067">IF(B1067&gt;0,('Direct Costs 2026'!$C$15+'Direct Costs 2026'!$C$17+'Direct Costs 2026'!$C$14),"N/A")</f>
        <v>N/A</v>
      </c>
      <c r="I1067" t="str" s="431" cm="1">
        <f t="array" ref="I1067">IF(B1067&gt;0,'Direct Costs 2026'!$C$19+'Direct Costs 2026'!$C$18*B1067,"N/A")</f>
        <v>N/A</v>
      </c>
      <c r="J1067" t="str" s="431" cm="1">
        <f t="array" ref="J1067">IF(B1067&gt;0,SUM('Direct Costs 2026'!$C$20:$C$21),"N/A")</f>
        <v>N/A</v>
      </c>
      <c r="K1067" t="str" s="431" cm="1">
        <f t="array" ref="K1067">IF(B1067&gt;0,'Direct Costs 2026'!$C$26,"N/A")</f>
        <v>N/A</v>
      </c>
      <c r="L1067" t="str" s="431" cm="1">
        <f t="array" ref="L1067">IF(B1067&gt;0,'Direct Costs 2026'!$C$23,"N/A")</f>
        <v>N/A</v>
      </c>
      <c r="M1067" t="str" s="431" cm="1">
        <f t="array" ref="M1067">IF(B1067&gt;0,'Direct Costs 2026'!$C$45*B1067,"N/A")</f>
        <v>N/A</v>
      </c>
      <c r="N1067" t="str" s="431" cm="1">
        <f t="array" ref="N1067">IF(B1067&gt;0,_xlfn.IFERROR(VLOOKUP(C1051,'Boats Data Sheet 2026'!$C$3:$I$57,7,0)*'Direct Costs 2026'!$C$36,"N/A"),"N/A")</f>
        <v>N/A</v>
      </c>
      <c r="O1067" t="str" s="431" cm="1">
        <f t="array" ref="O1067">IF(B1067&gt;0,IF(OR(VLOOKUP(C1051,'Boats Data Sheet 2026'!$C$3:$F$57,4,0)="Own",VLOOKUP(C1051,'Boats Data Sheet 2026'!$C$3:$F$57,4,0)="Management"),('Direct Costs 2026'!$C$37+'Direct Costs 2026'!$C$39),"N/A"),"N/A")</f>
        <v>N/A</v>
      </c>
      <c r="P1067" t="str" s="431" cm="1">
        <f t="array" ref="P1067">_xlfn.IFERROR('Direct Costs 2026'!$C$27*C1067,"N/A")</f>
        <v>N/A</v>
      </c>
      <c r="Q1067" t="str" s="431" cm="1">
        <f t="array" ref="Q1067">_xlfn.IFERROR(C1067+SUM(E1067:P1067),"N/A")</f>
        <v>N/A</v>
      </c>
      <c r="R1067" s="424"/>
      <c r="S1067" t="str" s="431" cm="1">
        <f t="array" ref="S1067">IF(B1067&gt;0,'Allocation OH and Target 2026'!$E$31,"N/A")</f>
        <v>N/A</v>
      </c>
      <c r="T1067" t="str" s="431" cm="1">
        <f t="array" ref="T1067">IF(B1067&gt;0,VLOOKUP(C1051,'Allocation OH and Target 2026'!$C$35:$S$87,17,0),"N/A")</f>
        <v>N/A</v>
      </c>
      <c r="U1067" t="str" s="431" cm="1">
        <f t="array" ref="U1067">_xlfn.IFERROR((S1067+T1067),"N/A")</f>
        <v>N/A</v>
      </c>
      <c r="V1067" s="424"/>
      <c r="W1067" t="str" s="431" cm="1">
        <f t="array" ref="W1067">_xlfn.IFERROR(U1067+Q1067,"N/A")</f>
        <v>N/A</v>
      </c>
      <c r="X1067" t="str" s="431" cm="1">
        <f t="array" ref="X1067">_xlfn.IFERROR(W1067*0.5%,"N/A")</f>
        <v>N/A</v>
      </c>
      <c r="Y1067" t="str" s="431" cm="1">
        <f t="array" ref="Y1067">_xlfn.IFERROR(W1067*25%,"N/A")</f>
        <v>N/A</v>
      </c>
      <c r="Z1067" t="str" s="426" cm="1">
        <f t="array" ref="Z1067">IF(B1067&gt;0,SUM(W1067:Y1067),"N/A")</f>
        <v>N/A</v>
      </c>
      <c r="AA1067" t="str" s="426" cm="1">
        <f t="array" ref="AA1067">_xlfn.IFERROR((Z1067-Z1066),"N/A")</f>
        <v>N/A</v>
      </c>
      <c r="AB1067" s="424"/>
      <c r="AC1067" t="str" s="426" cm="1">
        <f t="array" ref="AC1067">IF(B1067=6,AVERAGE(Z1054:Z1059),"N/A")</f>
        <v>N/A</v>
      </c>
      <c r="AD1067" s="424"/>
      <c r="AE1067" s="423"/>
      <c r="AF1067" s="423"/>
      <c r="AG1067" s="423"/>
      <c r="AH1067" s="423"/>
      <c r="AI1067" s="423"/>
      <c r="AJ1067" s="423"/>
      <c r="AK1067" s="423"/>
      <c r="AL1067" s="423"/>
      <c r="AM1067" s="423"/>
      <c r="AN1067" s="427"/>
    </row>
    <row r="1068" ht="15" customHeight="1">
      <c r="A1068" s="12"/>
      <c r="B1068" s="428" cm="1">
        <f t="array" ref="B1068">IF(B1067=0,0,IF(B1067&lt;VLOOKUP(C1051,'Boats Data Sheet 2026'!$C$3:$H$57,6,0),B1067+1,0))</f>
        <v>0</v>
      </c>
      <c r="C1068" t="str" s="431" cm="1">
        <f t="array" ref="C1068">IF(B1068&gt;0,IF(VLOOKUP(C1051,'Boats Data Sheet 2026'!$C$3:$J$57,8,0)="N/A",0,VLOOKUP(C1051,'Boats Data Sheet 2026'!$C$3:$J$57,8,0)),"N/A")</f>
        <v>N/A</v>
      </c>
      <c r="D1068" t="str" s="431" cm="1">
        <f t="array" ref="D1068">IF(B1068&gt;7,2,IF(B1068=0,"N/A",1))</f>
        <v>N/A</v>
      </c>
      <c r="E1068" t="str" s="431" cm="1">
        <f t="array" ref="E1068">_xlfn.IFERROR(SUM('Direct Costs 2026'!$C$4:$C$5)*D1068,"N/A")</f>
        <v>N/A</v>
      </c>
      <c r="F1068" s="423" cm="1">
        <f t="array" ref="F1068">_xlfn.IFERROR('Direct Costs 2026'!$C$43*B1068,"N/A")</f>
        <v>0</v>
      </c>
      <c r="G1068" t="str" s="431" cm="1">
        <f t="array" ref="G1068">IF(B1068&gt;0,'Direct Costs 2026'!$C$25,"N/A")</f>
        <v>N/A</v>
      </c>
      <c r="H1068" t="str" s="431" cm="1">
        <f t="array" ref="H1068">IF(B1068&gt;0,('Direct Costs 2026'!$C$15+'Direct Costs 2026'!$C$17+'Direct Costs 2026'!$C$14),"N/A")</f>
        <v>N/A</v>
      </c>
      <c r="I1068" t="str" s="431" cm="1">
        <f t="array" ref="I1068">IF(B1068&gt;0,'Direct Costs 2026'!$C$19+'Direct Costs 2026'!$C$18*B1068,"N/A")</f>
        <v>N/A</v>
      </c>
      <c r="J1068" t="str" s="431" cm="1">
        <f t="array" ref="J1068">IF(B1068&gt;0,SUM('Direct Costs 2026'!$C$20:$C$21),"N/A")</f>
        <v>N/A</v>
      </c>
      <c r="K1068" t="str" s="431" cm="1">
        <f t="array" ref="K1068">IF(B1068&gt;0,'Direct Costs 2026'!$C$26,"N/A")</f>
        <v>N/A</v>
      </c>
      <c r="L1068" t="str" s="431" cm="1">
        <f t="array" ref="L1068">IF(B1068&gt;0,'Direct Costs 2026'!$C$23,"N/A")</f>
        <v>N/A</v>
      </c>
      <c r="M1068" t="str" s="431" cm="1">
        <f t="array" ref="M1068">IF(B1068&gt;0,'Direct Costs 2026'!$C$45*B1068,"N/A")</f>
        <v>N/A</v>
      </c>
      <c r="N1068" t="str" s="431" cm="1">
        <f t="array" ref="N1068">IF(B1068&gt;0,_xlfn.IFERROR(VLOOKUP(C1051,'Boats Data Sheet 2026'!$C$3:$I$57,7,0)*'Direct Costs 2026'!$C$36,"N/A"),"N/A")</f>
        <v>N/A</v>
      </c>
      <c r="O1068" t="str" s="431" cm="1">
        <f t="array" ref="O1068">IF(B1068&gt;0,IF(OR(VLOOKUP(C1051,'Boats Data Sheet 2026'!$C$3:$F$57,4,0)="Own",VLOOKUP(C1051,'Boats Data Sheet 2026'!$C$3:$F$57,4,0)="Management"),('Direct Costs 2026'!$C$37+'Direct Costs 2026'!$C$39),"N/A"),"N/A")</f>
        <v>N/A</v>
      </c>
      <c r="P1068" t="str" s="431" cm="1">
        <f t="array" ref="P1068">_xlfn.IFERROR('Direct Costs 2026'!$C$27*C1068,"N/A")</f>
        <v>N/A</v>
      </c>
      <c r="Q1068" t="str" s="431" cm="1">
        <f t="array" ref="Q1068">_xlfn.IFERROR(C1068+SUM(E1068:P1068),"N/A")</f>
        <v>N/A</v>
      </c>
      <c r="R1068" s="424"/>
      <c r="S1068" t="str" s="431" cm="1">
        <f t="array" ref="S1068">IF(B1068&gt;0,'Allocation OH and Target 2026'!$E$31,"N/A")</f>
        <v>N/A</v>
      </c>
      <c r="T1068" t="str" s="431" cm="1">
        <f t="array" ref="T1068">IF(B1068&gt;0,VLOOKUP(C1051,'Allocation OH and Target 2026'!$C$35:$S$87,16,0),"N/A")</f>
        <v>N/A</v>
      </c>
      <c r="U1068" t="str" s="431" cm="1">
        <f t="array" ref="U1068">_xlfn.IFERROR((S1068+T1068),"N/A")</f>
        <v>N/A</v>
      </c>
      <c r="V1068" s="424"/>
      <c r="W1068" t="str" s="431" cm="1">
        <f t="array" ref="W1068">_xlfn.IFERROR(U1068+Q1068,"N/A")</f>
        <v>N/A</v>
      </c>
      <c r="X1068" t="str" s="431" cm="1">
        <f t="array" ref="X1068">_xlfn.IFERROR(W1068*0.5%,"N/A")</f>
        <v>N/A</v>
      </c>
      <c r="Y1068" t="str" s="431" cm="1">
        <f t="array" ref="Y1068">_xlfn.IFERROR(W1068*25%,"N/A")</f>
        <v>N/A</v>
      </c>
      <c r="Z1068" t="str" s="426" cm="1">
        <f t="array" ref="Z1068">IF(B1068&gt;0,SUM(W1068:Y1068),"N/A")</f>
        <v>N/A</v>
      </c>
      <c r="AA1068" t="str" s="426" cm="1">
        <f t="array" ref="AA1068">_xlfn.IFERROR((Z1068-Z1067),"N/A")</f>
        <v>N/A</v>
      </c>
      <c r="AB1068" s="424"/>
      <c r="AC1068" t="str" s="426" cm="1">
        <f t="array" ref="AC1068">IF(B1068=6,AVERAGE(Z1054:Z1059),"N/A")</f>
        <v>N/A</v>
      </c>
      <c r="AD1068" s="424"/>
      <c r="AE1068" s="423"/>
      <c r="AF1068" s="423"/>
      <c r="AG1068" s="423"/>
      <c r="AH1068" s="423"/>
      <c r="AI1068" s="423"/>
      <c r="AJ1068" s="423"/>
      <c r="AK1068" s="423"/>
      <c r="AL1068" s="423"/>
      <c r="AM1068" s="423"/>
      <c r="AN1068" s="427"/>
    </row>
    <row r="1069" ht="15" customHeight="1">
      <c r="A1069" s="12"/>
      <c r="B1069" s="428" cm="1">
        <f t="array" ref="B1069">IF(B1068=0,0,IF(B1068&lt;VLOOKUP(C1051,'Boats Data Sheet 2026'!$C$3:$H$57,6,0),B1068+1,0))</f>
        <v>0</v>
      </c>
      <c r="C1069" t="str" s="431" cm="1">
        <f t="array" ref="C1069">IF(B1069&gt;0,IF(VLOOKUP(C1051,'Boats Data Sheet 2026'!$C$3:$J$57,8,0)="N/A",0,VLOOKUP(C1051,'Boats Data Sheet 2026'!$C$3:$J$57,8,0)),"N/A")</f>
        <v>N/A</v>
      </c>
      <c r="D1069" t="str" s="431" cm="1">
        <f t="array" ref="D1069">IF(B1069&gt;7,2,IF(B1069=0,"N/A",1))</f>
        <v>N/A</v>
      </c>
      <c r="E1069" t="str" s="431" cm="1">
        <f t="array" ref="E1069">_xlfn.IFERROR(SUM('Direct Costs 2026'!$C$4:$C$5)*D1069,"N/A")</f>
        <v>N/A</v>
      </c>
      <c r="F1069" s="423" cm="1">
        <f t="array" ref="F1069">_xlfn.IFERROR('Direct Costs 2026'!$C$43*B1069,"N/A")</f>
        <v>0</v>
      </c>
      <c r="G1069" t="str" s="431" cm="1">
        <f t="array" ref="G1069">IF(B1069&gt;0,'Direct Costs 2026'!$C$25,"N/A")</f>
        <v>N/A</v>
      </c>
      <c r="H1069" t="str" s="431" cm="1">
        <f t="array" ref="H1069">IF(B1069&gt;0,('Direct Costs 2026'!$C$15+'Direct Costs 2026'!$C$17+'Direct Costs 2026'!$C$14),"N/A")</f>
        <v>N/A</v>
      </c>
      <c r="I1069" t="str" s="431" cm="1">
        <f t="array" ref="I1069">IF(B1069&gt;0,'Direct Costs 2026'!$C$19+'Direct Costs 2026'!$C$18*B1069,"N/A")</f>
        <v>N/A</v>
      </c>
      <c r="J1069" t="str" s="431" cm="1">
        <f t="array" ref="J1069">IF(B1069&gt;0,SUM('Direct Costs 2026'!$C$20:$C$21),"N/A")</f>
        <v>N/A</v>
      </c>
      <c r="K1069" t="str" s="431" cm="1">
        <f t="array" ref="K1069">IF(B1069&gt;0,'Direct Costs 2026'!$C$26,"N/A")</f>
        <v>N/A</v>
      </c>
      <c r="L1069" t="str" s="431" cm="1">
        <f t="array" ref="L1069">IF(B1069&gt;0,'Direct Costs 2026'!$C$23,"N/A")</f>
        <v>N/A</v>
      </c>
      <c r="M1069" t="str" s="431" cm="1">
        <f t="array" ref="M1069">IF(B1069&gt;0,'Direct Costs 2026'!$C$45*B1069,"N/A")</f>
        <v>N/A</v>
      </c>
      <c r="N1069" t="str" s="431" cm="1">
        <f t="array" ref="N1069">IF(B1069&gt;0,_xlfn.IFERROR(VLOOKUP(C1051,'Boats Data Sheet 2026'!$C$3:$I$57,7,0)*'Direct Costs 2026'!$C$36,"N/A"),"N/A")</f>
        <v>N/A</v>
      </c>
      <c r="O1069" t="str" s="431" cm="1">
        <f t="array" ref="O1069">IF(B1069&gt;0,IF(OR(VLOOKUP(C1051,'Boats Data Sheet 2026'!$C$3:$F$57,4,0)="Own",VLOOKUP(C1051,'Boats Data Sheet 2026'!$C$3:$F$57,4,0)="Management"),('Direct Costs 2026'!$C$37+'Direct Costs 2026'!$C$39),"N/A"),"N/A")</f>
        <v>N/A</v>
      </c>
      <c r="P1069" t="str" s="431" cm="1">
        <f t="array" ref="P1069">_xlfn.IFERROR('Direct Costs 2026'!$C$27*C1069,"N/A")</f>
        <v>N/A</v>
      </c>
      <c r="Q1069" t="str" s="431" cm="1">
        <f t="array" ref="Q1069">_xlfn.IFERROR(C1069+SUM(E1069:P1069),"N/A")</f>
        <v>N/A</v>
      </c>
      <c r="R1069" s="424"/>
      <c r="S1069" t="str" s="431" cm="1">
        <f t="array" ref="S1069">IF(B1069&gt;0,'Allocation OH and Target 2026'!$E$31,"N/A")</f>
        <v>N/A</v>
      </c>
      <c r="T1069" t="str" s="431" cm="1">
        <f t="array" ref="T1069">IF(B1069&gt;0,VLOOKUP(C1051,'Allocation OH and Target 2026'!$C$35:$S$87,16,0),"N/A")</f>
        <v>N/A</v>
      </c>
      <c r="U1069" t="str" s="431" cm="1">
        <f t="array" ref="U1069">_xlfn.IFERROR((S1069+T1069),"N/A")</f>
        <v>N/A</v>
      </c>
      <c r="V1069" s="424"/>
      <c r="W1069" t="str" s="431" cm="1">
        <f t="array" ref="W1069">_xlfn.IFERROR(U1069+Q1069,"N/A")</f>
        <v>N/A</v>
      </c>
      <c r="X1069" t="str" s="431" cm="1">
        <f t="array" ref="X1069">_xlfn.IFERROR(W1069*0.5%,"N/A")</f>
        <v>N/A</v>
      </c>
      <c r="Y1069" t="str" s="431" cm="1">
        <f t="array" ref="Y1069">_xlfn.IFERROR(W1069*25%,"N/A")</f>
        <v>N/A</v>
      </c>
      <c r="Z1069" t="str" s="426" cm="1">
        <f t="array" ref="Z1069">IF(B1069&gt;0,SUM(W1069:Y1069),"N/A")</f>
        <v>N/A</v>
      </c>
      <c r="AA1069" t="str" s="426" cm="1">
        <f t="array" ref="AA1069">_xlfn.IFERROR((Z1069-Z1068),"N/A")</f>
        <v>N/A</v>
      </c>
      <c r="AB1069" s="424"/>
      <c r="AC1069" t="str" s="426" cm="1">
        <f t="array" ref="AC1069">IF(B1069=6,AVERAGE(Z1054:Z1059),"N/A")</f>
        <v>N/A</v>
      </c>
      <c r="AD1069" s="424"/>
      <c r="AE1069" s="423"/>
      <c r="AF1069" s="423"/>
      <c r="AG1069" s="423"/>
      <c r="AH1069" s="423"/>
      <c r="AI1069" s="423"/>
      <c r="AJ1069" s="423"/>
      <c r="AK1069" s="423"/>
      <c r="AL1069" s="423"/>
      <c r="AM1069" s="423"/>
      <c r="AN1069" s="427"/>
    </row>
    <row r="1070" ht="15" customHeight="1">
      <c r="A1070" s="12"/>
      <c r="B1070" s="428" cm="1">
        <f t="array" ref="B1070">IF(B1069=0,0,IF(B1069&lt;VLOOKUP(C1051,'Boats Data Sheet 2026'!$C$3:$H$57,6,0),B1069+1,0))</f>
        <v>0</v>
      </c>
      <c r="C1070" t="str" s="431" cm="1">
        <f t="array" ref="C1070">IF(B1070&gt;0,IF(VLOOKUP(C1051,'Boats Data Sheet 2026'!$C$3:$J$57,8,0)="N/A",0,VLOOKUP(C1051,'Boats Data Sheet 2026'!$C$3:$J$57,8,0)),"N/A")</f>
        <v>N/A</v>
      </c>
      <c r="D1070" t="str" s="431" cm="1">
        <f t="array" ref="D1070">IF(B1070&gt;7,2,IF(B1070=0,"N/A",1))</f>
        <v>N/A</v>
      </c>
      <c r="E1070" t="str" s="431" cm="1">
        <f t="array" ref="E1070">_xlfn.IFERROR(SUM('Direct Costs 2026'!$C$4:$C$5)*D1070,"N/A")</f>
        <v>N/A</v>
      </c>
      <c r="F1070" s="423" cm="1">
        <f t="array" ref="F1070">_xlfn.IFERROR('Direct Costs 2026'!$C$43*B1070,"N/A")</f>
        <v>0</v>
      </c>
      <c r="G1070" t="str" s="431" cm="1">
        <f t="array" ref="G1070">IF(B1070&gt;0,'Direct Costs 2026'!$C$25,"N/A")</f>
        <v>N/A</v>
      </c>
      <c r="H1070" t="str" s="431" cm="1">
        <f t="array" ref="H1070">IF(B1070&gt;0,('Direct Costs 2026'!$C$15+'Direct Costs 2026'!$C$17+'Direct Costs 2026'!$C$14),"N/A")</f>
        <v>N/A</v>
      </c>
      <c r="I1070" t="str" s="431" cm="1">
        <f t="array" ref="I1070">IF(B1070&gt;0,'Direct Costs 2026'!$C$19+'Direct Costs 2026'!$C$18*B1070,"N/A")</f>
        <v>N/A</v>
      </c>
      <c r="J1070" t="str" s="431" cm="1">
        <f t="array" ref="J1070">IF(B1070&gt;0,SUM('Direct Costs 2026'!$C$20:$C$21),"N/A")</f>
        <v>N/A</v>
      </c>
      <c r="K1070" t="str" s="431" cm="1">
        <f t="array" ref="K1070">IF(B1070&gt;0,'Direct Costs 2026'!$C$26,"N/A")</f>
        <v>N/A</v>
      </c>
      <c r="L1070" t="str" s="431" cm="1">
        <f t="array" ref="L1070">IF(B1070&gt;0,'Direct Costs 2026'!$C$23,"N/A")</f>
        <v>N/A</v>
      </c>
      <c r="M1070" t="str" s="431" cm="1">
        <f t="array" ref="M1070">IF(B1070&gt;0,'Direct Costs 2026'!$C$45*B1070,"N/A")</f>
        <v>N/A</v>
      </c>
      <c r="N1070" t="str" s="431" cm="1">
        <f t="array" ref="N1070">IF(B1070&gt;0,_xlfn.IFERROR(VLOOKUP(C1051,'Boats Data Sheet 2026'!$C$3:$I$57,7,0)*'Direct Costs 2026'!$C$36,"N/A"),"N/A")</f>
        <v>N/A</v>
      </c>
      <c r="O1070" t="str" s="431" cm="1">
        <f t="array" ref="O1070">IF(B1070&gt;0,IF(OR(VLOOKUP(C1051,'Boats Data Sheet 2026'!$C$3:$F$57,4,0)="Own",VLOOKUP(C1051,'Boats Data Sheet 2026'!$C$3:$F$57,4,0)="Management"),('Direct Costs 2026'!$C$37+'Direct Costs 2026'!$C$39),"N/A"),"N/A")</f>
        <v>N/A</v>
      </c>
      <c r="P1070" t="str" s="431" cm="1">
        <f t="array" ref="P1070">_xlfn.IFERROR('Direct Costs 2026'!$C$27*C1070,"N/A")</f>
        <v>N/A</v>
      </c>
      <c r="Q1070" t="str" s="431" cm="1">
        <f t="array" ref="Q1070">_xlfn.IFERROR(C1070+SUM(E1070:P1070),"N/A")</f>
        <v>N/A</v>
      </c>
      <c r="R1070" s="424"/>
      <c r="S1070" t="str" s="431" cm="1">
        <f t="array" ref="S1070">IF(B1070&gt;0,'Allocation OH and Target 2026'!$E$31,"N/A")</f>
        <v>N/A</v>
      </c>
      <c r="T1070" t="str" s="431" cm="1">
        <f t="array" ref="T1070">IF(B1070&gt;0,VLOOKUP(C1051,'Allocation OH and Target 2026'!$C$35:$S$87,16,0),"N/A")</f>
        <v>N/A</v>
      </c>
      <c r="U1070" t="str" s="431" cm="1">
        <f t="array" ref="U1070">_xlfn.IFERROR((S1070+T1070),"N/A")</f>
        <v>N/A</v>
      </c>
      <c r="V1070" s="424"/>
      <c r="W1070" t="str" s="431" cm="1">
        <f t="array" ref="W1070">_xlfn.IFERROR(U1070+Q1070,"N/A")</f>
        <v>N/A</v>
      </c>
      <c r="X1070" t="str" s="431" cm="1">
        <f t="array" ref="X1070">_xlfn.IFERROR(W1070*0.5%,"N/A")</f>
        <v>N/A</v>
      </c>
      <c r="Y1070" t="str" s="431" cm="1">
        <f t="array" ref="Y1070">_xlfn.IFERROR(W1070*25%,"N/A")</f>
        <v>N/A</v>
      </c>
      <c r="Z1070" t="str" s="426" cm="1">
        <f t="array" ref="Z1070">IF(B1070&gt;0,SUM(W1070:Y1070),"N/A")</f>
        <v>N/A</v>
      </c>
      <c r="AA1070" t="str" s="426" cm="1">
        <f t="array" ref="AA1070">_xlfn.IFERROR((Z1070-Z1069),"N/A")</f>
        <v>N/A</v>
      </c>
      <c r="AB1070" s="424"/>
      <c r="AC1070" t="str" s="426" cm="1">
        <f t="array" ref="AC1070">IF(B1070=6,AVERAGE(Z1054:Z1059),"N/A")</f>
        <v>N/A</v>
      </c>
      <c r="AD1070" s="424"/>
      <c r="AE1070" s="423"/>
      <c r="AF1070" s="423"/>
      <c r="AG1070" s="423"/>
      <c r="AH1070" s="423"/>
      <c r="AI1070" s="423"/>
      <c r="AJ1070" s="423"/>
      <c r="AK1070" s="423"/>
      <c r="AL1070" s="423"/>
      <c r="AM1070" s="423"/>
      <c r="AN1070" s="427"/>
    </row>
    <row r="1071" ht="15.5" customHeight="1">
      <c r="A1071" s="12"/>
      <c r="B1071" s="432" cm="1">
        <f t="array" ref="B1071">IF(B1070=0,0,IF(B1070&lt;VLOOKUP(C1051,'Boats Data Sheet 2026'!$C$3:$H$57,6,0),B1070+1,0))</f>
        <v>0</v>
      </c>
      <c r="C1071" t="str" s="433" cm="1">
        <f t="array" ref="C1071">IF(B1071&gt;0,IF(VLOOKUP(C1051,'Boats Data Sheet 2026'!$C$3:$J$57,8,0)="N/A",0,VLOOKUP(C1051,'Boats Data Sheet 2026'!$C$3:$J$57,8,0)),"N/A")</f>
        <v>N/A</v>
      </c>
      <c r="D1071" t="str" s="433" cm="1">
        <f t="array" ref="D1071">IF(B1071&gt;7,2,IF(B1071=0,"N/A",1))</f>
        <v>N/A</v>
      </c>
      <c r="E1071" t="str" s="433" cm="1">
        <f t="array" ref="E1071">_xlfn.IFERROR(SUM('Direct Costs 2026'!$C$4:$C$5)*D1071,"N/A")</f>
        <v>N/A</v>
      </c>
      <c r="F1071" s="434" cm="1">
        <f t="array" ref="F1071">_xlfn.IFERROR('Direct Costs 2026'!$C$43*B1071,"N/A")</f>
        <v>0</v>
      </c>
      <c r="G1071" t="str" s="433" cm="1">
        <f t="array" ref="G1071">IF(B1071&gt;0,'Direct Costs 2026'!$C$25,"N/A")</f>
        <v>N/A</v>
      </c>
      <c r="H1071" t="str" s="433" cm="1">
        <f t="array" ref="H1071">IF(B1071&gt;0,('Direct Costs 2026'!$C$15+'Direct Costs 2026'!$C$17+'Direct Costs 2026'!$C$14),"N/A")</f>
        <v>N/A</v>
      </c>
      <c r="I1071" t="str" s="433" cm="1">
        <f t="array" ref="I1071">IF(B1071&gt;0,'Direct Costs 2026'!$C$19+'Direct Costs 2026'!$C$18*B1071,"N/A")</f>
        <v>N/A</v>
      </c>
      <c r="J1071" t="str" s="433" cm="1">
        <f t="array" ref="J1071">IF(B1071&gt;0,SUM('Direct Costs 2026'!$C$20:$C$21),"N/A")</f>
        <v>N/A</v>
      </c>
      <c r="K1071" t="str" s="433" cm="1">
        <f t="array" ref="K1071">IF(B1071&gt;0,'Direct Costs 2026'!$C$26,"N/A")</f>
        <v>N/A</v>
      </c>
      <c r="L1071" t="str" s="433" cm="1">
        <f t="array" ref="L1071">IF(B1071&gt;0,'Direct Costs 2026'!$C$23,"N/A")</f>
        <v>N/A</v>
      </c>
      <c r="M1071" t="str" s="433" cm="1">
        <f t="array" ref="M1071">IF(B1071&gt;0,'Direct Costs 2026'!$C$45*B1071,"N/A")</f>
        <v>N/A</v>
      </c>
      <c r="N1071" t="str" s="433" cm="1">
        <f t="array" ref="N1071">IF(B1071&gt;0,_xlfn.IFERROR(VLOOKUP(C1051,'Boats Data Sheet 2026'!$C$3:$I$57,7,0)*'Direct Costs 2026'!$C$36,"N/A"),"N/A")</f>
        <v>N/A</v>
      </c>
      <c r="O1071" t="str" s="433" cm="1">
        <f t="array" ref="O1071">IF(B1071&gt;0,IF(OR(VLOOKUP(C1051,'Boats Data Sheet 2026'!$C$3:$F$57,4,0)="Own",VLOOKUP(C1051,'Boats Data Sheet 2026'!$C$3:$F$57,4,0)="Management"),('Direct Costs 2026'!$C$37+'Direct Costs 2026'!$C$39),"N/A"),"N/A")</f>
        <v>N/A</v>
      </c>
      <c r="P1071" t="str" s="433" cm="1">
        <f t="array" ref="P1071">_xlfn.IFERROR('Direct Costs 2026'!$C$27*C1071,"N/A")</f>
        <v>N/A</v>
      </c>
      <c r="Q1071" t="str" s="433" cm="1">
        <f t="array" ref="Q1071">_xlfn.IFERROR(C1071+SUM(E1071:P1071),"N/A")</f>
        <v>N/A</v>
      </c>
      <c r="R1071" s="435"/>
      <c r="S1071" t="str" s="433" cm="1">
        <f t="array" ref="S1071">IF(B1071&gt;0,'Allocation OH and Target 2026'!$E$31,"N/A")</f>
        <v>N/A</v>
      </c>
      <c r="T1071" t="str" s="433" cm="1">
        <f t="array" ref="T1071">IF(B1071&gt;0,VLOOKUP(C1051,'Allocation OH and Target 2026'!$C$35:$S$87,16,0),"N/A")</f>
        <v>N/A</v>
      </c>
      <c r="U1071" t="str" s="433" cm="1">
        <f t="array" ref="U1071">_xlfn.IFERROR((S1071+T1071),"N/A")</f>
        <v>N/A</v>
      </c>
      <c r="V1071" s="435"/>
      <c r="W1071" t="str" s="433" cm="1">
        <f t="array" ref="W1071">_xlfn.IFERROR(U1071+Q1071,"N/A")</f>
        <v>N/A</v>
      </c>
      <c r="X1071" t="str" s="433" cm="1">
        <f t="array" ref="X1071">_xlfn.IFERROR(W1071*0.5%,"N/A")</f>
        <v>N/A</v>
      </c>
      <c r="Y1071" t="str" s="433" cm="1">
        <f t="array" ref="Y1071">_xlfn.IFERROR(W1071*25%,"N/A")</f>
        <v>N/A</v>
      </c>
      <c r="Z1071" t="str" s="436" cm="1">
        <f t="array" ref="Z1071">IF(B1071&gt;0,SUM(W1071:Y1071),"N/A")</f>
        <v>N/A</v>
      </c>
      <c r="AA1071" t="str" s="436" cm="1">
        <f t="array" ref="AA1071">_xlfn.IFERROR((Z1071-Z1070),"N/A")</f>
        <v>N/A</v>
      </c>
      <c r="AB1071" s="435"/>
      <c r="AC1071" t="str" s="436" cm="1">
        <f t="array" ref="AC1071">IF(B1071=6,AVERAGE(Z1054:Z1059),"N/A")</f>
        <v>N/A</v>
      </c>
      <c r="AD1071" s="435"/>
      <c r="AE1071" s="434"/>
      <c r="AF1071" s="434"/>
      <c r="AG1071" s="434"/>
      <c r="AH1071" s="434"/>
      <c r="AI1071" s="434"/>
      <c r="AJ1071" s="434"/>
      <c r="AK1071" s="434"/>
      <c r="AL1071" s="434"/>
      <c r="AM1071" s="434"/>
      <c r="AN1071" s="437"/>
    </row>
    <row r="1072" ht="15" customHeight="1">
      <c r="A1072" s="32"/>
      <c r="B1072" s="124"/>
      <c r="C1072" s="124"/>
      <c r="D1072" s="124"/>
      <c r="E1072" s="124"/>
      <c r="F1072" s="124"/>
      <c r="G1072" s="124"/>
      <c r="H1072" s="124"/>
      <c r="I1072" s="124"/>
      <c r="J1072" s="124"/>
      <c r="K1072" s="124"/>
      <c r="L1072" s="124"/>
      <c r="M1072" s="124"/>
      <c r="N1072" s="124"/>
      <c r="O1072" s="124"/>
      <c r="P1072" s="124"/>
      <c r="Q1072" s="124"/>
      <c r="R1072" s="124"/>
      <c r="S1072" s="124"/>
      <c r="T1072" s="124"/>
      <c r="U1072" s="124"/>
      <c r="V1072" s="124"/>
      <c r="W1072" s="124"/>
      <c r="X1072" s="124"/>
      <c r="Y1072" s="124"/>
      <c r="Z1072" s="124"/>
      <c r="AA1072" s="124"/>
      <c r="AB1072" s="124"/>
      <c r="AC1072" s="124"/>
      <c r="AD1072" s="124"/>
      <c r="AE1072" s="124"/>
      <c r="AF1072" s="124"/>
      <c r="AG1072" s="124"/>
      <c r="AH1072" s="124"/>
      <c r="AI1072" s="124"/>
      <c r="AJ1072" s="124"/>
      <c r="AK1072" s="124"/>
      <c r="AL1072" s="124"/>
      <c r="AM1072" s="124"/>
      <c r="AN1072" s="313"/>
    </row>
    <row r="1073" ht="15" customHeight="1">
      <c r="A1073" s="32"/>
      <c r="B1073" s="35"/>
      <c r="C1073" s="35"/>
      <c r="D1073" s="35"/>
      <c r="E1073" s="35"/>
      <c r="F1073" s="35"/>
      <c r="G1073" s="35"/>
      <c r="H1073" s="35"/>
      <c r="I1073" s="35"/>
      <c r="J1073" s="35"/>
      <c r="K1073" s="35"/>
      <c r="L1073" s="35"/>
      <c r="M1073" s="35"/>
      <c r="N1073" s="35"/>
      <c r="O1073" s="35"/>
      <c r="P1073" s="35"/>
      <c r="Q1073" s="35"/>
      <c r="R1073" s="35"/>
      <c r="S1073" s="35"/>
      <c r="T1073" s="35"/>
      <c r="U1073" s="35"/>
      <c r="V1073" s="35"/>
      <c r="W1073" s="35"/>
      <c r="X1073" s="35"/>
      <c r="Y1073" s="35"/>
      <c r="Z1073" s="35"/>
      <c r="AA1073" s="35"/>
      <c r="AB1073" s="35"/>
      <c r="AC1073" s="35"/>
      <c r="AD1073" s="35"/>
      <c r="AE1073" s="35"/>
      <c r="AF1073" s="35"/>
      <c r="AG1073" s="35"/>
      <c r="AH1073" s="35"/>
      <c r="AI1073" s="35"/>
      <c r="AJ1073" s="35"/>
      <c r="AK1073" s="35"/>
      <c r="AL1073" s="35"/>
      <c r="AM1073" s="35"/>
      <c r="AN1073" s="442"/>
    </row>
    <row r="1074" ht="15.5" customHeight="1">
      <c r="A1074" s="395">
        <v>37</v>
      </c>
      <c r="B1074" t="s" s="396">
        <v>506</v>
      </c>
      <c r="C1074" t="s" s="397">
        <v>53</v>
      </c>
      <c r="D1074" s="398"/>
      <c r="E1074" s="398"/>
      <c r="F1074" s="398"/>
      <c r="G1074" s="398"/>
      <c r="H1074" s="398"/>
      <c r="I1074" s="398"/>
      <c r="J1074" s="398"/>
      <c r="K1074" s="398"/>
      <c r="L1074" s="398"/>
      <c r="M1074" s="398"/>
      <c r="N1074" s="398"/>
      <c r="O1074" s="398"/>
      <c r="P1074" s="398"/>
      <c r="Q1074" s="398"/>
      <c r="R1074" s="399"/>
      <c r="S1074" s="398"/>
      <c r="T1074" s="398"/>
      <c r="U1074" s="398"/>
      <c r="V1074" s="399"/>
      <c r="W1074" s="398"/>
      <c r="X1074" s="398"/>
      <c r="Y1074" s="398"/>
      <c r="Z1074" s="398"/>
      <c r="AA1074" s="398"/>
      <c r="AB1074" s="399"/>
      <c r="AC1074" s="398"/>
      <c r="AD1074" s="399"/>
      <c r="AE1074" t="s" s="400">
        <v>508</v>
      </c>
      <c r="AF1074" s="401" cm="1">
        <f t="array" ref="AF1074">AVERAGE(Q1077:Q1082)</f>
        <v>6984733.33333333</v>
      </c>
      <c r="AG1074" t="s" s="400">
        <v>509</v>
      </c>
      <c r="AH1074" s="401" cm="1">
        <f t="array" ref="AH1074">AVERAGE(Q1083:Q1090)-AF1074</f>
        <v>1991928.57142857</v>
      </c>
      <c r="AI1074" t="s" s="400">
        <v>510</v>
      </c>
      <c r="AJ1074" s="401" cm="1">
        <f t="array" ref="AJ1074">AVERAGE(Y1077:Y1084)</f>
        <v>2839331.13380438</v>
      </c>
      <c r="AK1074" t="s" s="397">
        <v>511</v>
      </c>
      <c r="AL1074" s="401" cm="1">
        <f t="array" ref="AL1074">AVERAGE(W1077:W1082)</f>
        <v>11056887.0352175</v>
      </c>
      <c r="AM1074" t="s" s="400">
        <v>512</v>
      </c>
      <c r="AN1074" s="402" cm="1">
        <f t="array" ref="AN1074">W1077</f>
        <v>10579387.0352175</v>
      </c>
    </row>
    <row r="1075" ht="15" customHeight="1">
      <c r="A1075" s="12"/>
      <c r="B1075" s="403"/>
      <c r="C1075" t="s" s="404">
        <v>513</v>
      </c>
      <c r="D1075" s="405"/>
      <c r="E1075" s="405"/>
      <c r="F1075" s="405"/>
      <c r="G1075" s="405"/>
      <c r="H1075" s="405"/>
      <c r="I1075" s="405"/>
      <c r="J1075" s="405"/>
      <c r="K1075" s="405"/>
      <c r="L1075" s="405"/>
      <c r="M1075" s="405"/>
      <c r="N1075" s="405"/>
      <c r="O1075" s="405"/>
      <c r="P1075" s="405"/>
      <c r="Q1075" s="406"/>
      <c r="R1075" s="407"/>
      <c r="S1075" t="s" s="404">
        <v>514</v>
      </c>
      <c r="T1075" s="405"/>
      <c r="U1075" s="406"/>
      <c r="V1075" s="407"/>
      <c r="W1075" t="s" s="404">
        <v>515</v>
      </c>
      <c r="X1075" s="405"/>
      <c r="Y1075" s="405"/>
      <c r="Z1075" s="405"/>
      <c r="AA1075" s="405"/>
      <c r="AB1075" s="408"/>
      <c r="AC1075" s="489"/>
      <c r="AD1075" s="410"/>
      <c r="AE1075" s="411"/>
      <c r="AF1075" s="412"/>
      <c r="AG1075" s="412"/>
      <c r="AH1075" s="412"/>
      <c r="AI1075" s="412"/>
      <c r="AJ1075" s="412"/>
      <c r="AK1075" s="413"/>
      <c r="AL1075" s="414"/>
      <c r="AM1075" s="415"/>
      <c r="AN1075" s="414"/>
    </row>
    <row r="1076" ht="46.25" customHeight="1">
      <c r="A1076" s="187"/>
      <c r="B1076" t="s" s="416">
        <v>517</v>
      </c>
      <c r="C1076" t="s" s="417">
        <v>518</v>
      </c>
      <c r="D1076" t="s" s="417">
        <v>519</v>
      </c>
      <c r="E1076" t="s" s="417">
        <v>520</v>
      </c>
      <c r="F1076" t="s" s="159">
        <v>521</v>
      </c>
      <c r="G1076" t="s" s="159">
        <v>522</v>
      </c>
      <c r="H1076" t="s" s="159">
        <v>523</v>
      </c>
      <c r="I1076" t="s" s="159">
        <v>524</v>
      </c>
      <c r="J1076" t="s" s="159">
        <v>525</v>
      </c>
      <c r="K1076" t="s" s="159">
        <v>526</v>
      </c>
      <c r="L1076" t="s" s="159">
        <v>527</v>
      </c>
      <c r="M1076" t="s" s="159">
        <v>528</v>
      </c>
      <c r="N1076" t="s" s="159">
        <v>529</v>
      </c>
      <c r="O1076" t="s" s="159">
        <v>530</v>
      </c>
      <c r="P1076" t="s" s="159">
        <v>531</v>
      </c>
      <c r="Q1076" t="s" s="159">
        <v>532</v>
      </c>
      <c r="R1076" s="418"/>
      <c r="S1076" t="s" s="159">
        <v>533</v>
      </c>
      <c r="T1076" t="s" s="159">
        <v>534</v>
      </c>
      <c r="U1076" t="s" s="159">
        <v>535</v>
      </c>
      <c r="V1076" s="418"/>
      <c r="W1076" t="s" s="159">
        <v>536</v>
      </c>
      <c r="X1076" t="s" s="159">
        <v>537</v>
      </c>
      <c r="Y1076" t="s" s="159">
        <v>538</v>
      </c>
      <c r="Z1076" t="s" s="159">
        <v>539</v>
      </c>
      <c r="AA1076" t="s" s="159">
        <v>121</v>
      </c>
      <c r="AB1076" s="419"/>
      <c r="AC1076" t="s" s="159">
        <v>39</v>
      </c>
      <c r="AD1076" s="419"/>
      <c r="AE1076" t="s" s="159">
        <v>565</v>
      </c>
      <c r="AF1076" t="s" s="159">
        <v>544</v>
      </c>
      <c r="AG1076" s="77"/>
      <c r="AH1076" s="77"/>
      <c r="AI1076" s="77"/>
      <c r="AJ1076" s="77"/>
      <c r="AK1076" s="77"/>
      <c r="AL1076" s="77"/>
      <c r="AM1076" s="77"/>
      <c r="AN1076" s="78"/>
    </row>
    <row r="1077" ht="15" customHeight="1">
      <c r="A1077" s="12"/>
      <c r="B1077" s="420">
        <v>1</v>
      </c>
      <c r="C1077" s="421" cm="1">
        <f t="array" ref="C1077">IF(B1077&gt;0,IF(VLOOKUP(C1074,'Boats Data Sheet 2026'!$C$3:$J$57,8,0)="N/A",0,VLOOKUP(C1074,'Boats Data Sheet 2026'!$C$3:$J$57,8,0)),"N/A")</f>
        <v>0</v>
      </c>
      <c r="D1077" s="422" cm="1">
        <f t="array" ref="D1077">IF(B1077&gt;7,2,IF(B1077=0,"N/A",1))</f>
        <v>1</v>
      </c>
      <c r="E1077" s="421" cm="1">
        <f t="array" ref="E1077">_xlfn.IFERROR(SUM('Direct Costs 2026'!$C$4:$C$5)*D1077,"N/A")</f>
        <v>875500</v>
      </c>
      <c r="F1077" s="423" cm="1">
        <f t="array" ref="F1077">_xlfn.IFERROR('Direct Costs 2026'!$C$43*B1077,"N/A")</f>
        <v>6000</v>
      </c>
      <c r="G1077" s="423" cm="1">
        <f t="array" ref="G1077">IF(B1077&gt;0,'Direct Costs 2026'!$C$25,"N/A")</f>
        <v>90000</v>
      </c>
      <c r="H1077" s="423" cm="1">
        <f t="array" ref="H1077">IF(B1077&gt;0,('Direct Costs 2026'!$C$15+'Direct Costs 2026'!$C$17+'Direct Costs 2026'!$C$14),"N/A")</f>
        <v>580000</v>
      </c>
      <c r="I1077" s="423" cm="1">
        <f t="array" ref="I1077">IF(B1077&gt;0,'Direct Costs 2026'!$C$19+'Direct Costs 2026'!$C$18*B1077,"N/A")</f>
        <v>110000</v>
      </c>
      <c r="J1077" s="423" cm="1">
        <f t="array" ref="J1077">IF(B1077&gt;0,SUM('Direct Costs 2026'!$C$20:$C$21),"N/A")</f>
        <v>98333.3333333333</v>
      </c>
      <c r="K1077" s="423" cm="1">
        <f t="array" ref="K1077">IF(B1077&gt;0,'Direct Costs 2026'!$C$26,"N/A")</f>
        <v>20000</v>
      </c>
      <c r="L1077" s="423" cm="1">
        <f t="array" ref="L1077">IF(B1077&gt;0,'Direct Costs 2026'!$C$23,"N/A")</f>
        <v>140000</v>
      </c>
      <c r="M1077" s="423" cm="1">
        <f t="array" ref="M1077">IF(B1077&gt;0,'Direct Costs 2026'!$C$45*B1077,"N/A")</f>
        <v>150000</v>
      </c>
      <c r="N1077" s="423" cm="1">
        <f t="array" ref="N1077">IF(B1077&gt;0,_xlfn.IFERROR(VLOOKUP(C1074,'Boats Data Sheet 2026'!$C$3:$I$57,7,0)*'Direct Costs 2026'!$C$36,"N/A"),"N/A")</f>
        <v>3325000</v>
      </c>
      <c r="O1077" s="423" cm="1">
        <f t="array" ref="O1077">IF(B1077&gt;0,IF(OR(VLOOKUP(C1074,'Boats Data Sheet 2026'!$C$3:$F$57,4,0)="Own",VLOOKUP(C1074,'Boats Data Sheet 2026'!$C$3:$F$57,4,0)="Management"),('Direct Costs 2026'!$C$37+'Direct Costs 2026'!$C$39),"N/A"),"N/A")</f>
        <v>1112400</v>
      </c>
      <c r="P1077" s="423" cm="1">
        <f t="array" ref="P1077">_xlfn.IFERROR('Direct Costs 2026'!$C$27*C1077,"N/A")</f>
        <v>0</v>
      </c>
      <c r="Q1077" s="423" cm="1">
        <f t="array" ref="Q1077">_xlfn.IFERROR(C1077+SUM(E1077:P1077),"N/A")</f>
        <v>6507233.33333333</v>
      </c>
      <c r="R1077" s="424"/>
      <c r="S1077" s="423" cm="1">
        <f t="array" ref="S1077">IF(B1077&gt;0,'Allocation OH and Target 2026'!$E$31,"N/A")</f>
        <v>3100447.15769812</v>
      </c>
      <c r="T1077" s="423" cm="1">
        <f t="array" ref="T1077">IF(B1077&gt;0,VLOOKUP(C1074,'Allocation OH and Target 2026'!$C$35:$S$87,17,0),"N/A")</f>
        <v>971706.544186047</v>
      </c>
      <c r="U1077" s="423" cm="1">
        <f t="array" ref="U1077">_xlfn.IFERROR((S1077+T1077),"N/A")</f>
        <v>4072153.70188417</v>
      </c>
      <c r="V1077" s="424"/>
      <c r="W1077" s="423" cm="1">
        <f t="array" ref="W1077">_xlfn.IFERROR(U1077+Q1077,"N/A")</f>
        <v>10579387.0352175</v>
      </c>
      <c r="X1077" s="423" cm="1">
        <f t="array" ref="X1077">_xlfn.IFERROR(W1077*0.5%,"N/A")</f>
        <v>52896.9351760875</v>
      </c>
      <c r="Y1077" s="423" cm="1">
        <f t="array" ref="Y1077">_xlfn.IFERROR(W1077*25%,"N/A")</f>
        <v>2644846.75880438</v>
      </c>
      <c r="Z1077" s="425" cm="1">
        <f t="array" ref="Z1077">IF(B1077&gt;0,SUM(W1077:Y1077),"N/A")</f>
        <v>13277130.729198</v>
      </c>
      <c r="AA1077" s="425">
        <v>0</v>
      </c>
      <c r="AB1077" s="424"/>
      <c r="AC1077" t="str" s="426" cm="1">
        <f t="array" ref="AC1077">IF(B1077=6,AVERAGE(Z1077:Z1082),"N/A")</f>
        <v>N/A</v>
      </c>
      <c r="AD1077" s="424"/>
      <c r="AE1077" t="s" s="504">
        <v>563</v>
      </c>
      <c r="AF1077" s="505" cm="1">
        <f t="array" ref="AF1077">VLOOKUP(C1074,'Allocation OH and Target 2026'!$C$35:$K$87,9,0)</f>
        <v>78.8333333333333</v>
      </c>
      <c r="AG1077" s="423"/>
      <c r="AH1077" s="423"/>
      <c r="AI1077" s="423"/>
      <c r="AJ1077" s="423"/>
      <c r="AK1077" s="423"/>
      <c r="AL1077" s="423"/>
      <c r="AM1077" s="423"/>
      <c r="AN1077" s="427"/>
    </row>
    <row r="1078" ht="15" customHeight="1">
      <c r="A1078" s="12"/>
      <c r="B1078" s="428" cm="1">
        <f t="array" ref="B1078">IF(B1077=0,0,IF(B1077&lt;VLOOKUP(C1074,'Boats Data Sheet 2026'!$C$3:$H$57,6,0),B1077+1,0))</f>
        <v>2</v>
      </c>
      <c r="C1078" s="423" cm="1">
        <f t="array" ref="C1078">IF(B1078&gt;0,IF(VLOOKUP(C1074,'Boats Data Sheet 2026'!$C$3:$J$57,8,0)="N/A",0,VLOOKUP(C1074,'Boats Data Sheet 2026'!$C$3:$J$57,8,0)),"N/A")</f>
        <v>0</v>
      </c>
      <c r="D1078" s="429" cm="1">
        <f t="array" ref="D1078">IF(B1078&gt;7,2,IF(B1078=0,"N/A",1))</f>
        <v>1</v>
      </c>
      <c r="E1078" s="423" cm="1">
        <f t="array" ref="E1078">_xlfn.IFERROR(SUM('Direct Costs 2026'!$C$4:$C$5)*D1078,"N/A")</f>
        <v>875500</v>
      </c>
      <c r="F1078" s="423" cm="1">
        <f t="array" ref="F1078">_xlfn.IFERROR('Direct Costs 2026'!$C$43*B1078,"N/A")</f>
        <v>12000</v>
      </c>
      <c r="G1078" s="423" cm="1">
        <f t="array" ref="G1078">IF(B1078&gt;0,'Direct Costs 2026'!$C$25,"N/A")</f>
        <v>90000</v>
      </c>
      <c r="H1078" s="423" cm="1">
        <f t="array" ref="H1078">IF(B1078&gt;0,('Direct Costs 2026'!$C$15+'Direct Costs 2026'!$C$17+'Direct Costs 2026'!$C$14),"N/A")</f>
        <v>580000</v>
      </c>
      <c r="I1078" s="423" cm="1">
        <f t="array" ref="I1078">IF(B1078&gt;0,'Direct Costs 2026'!$C$19+'Direct Costs 2026'!$C$18*B1078,"N/A")</f>
        <v>145000</v>
      </c>
      <c r="J1078" s="423" cm="1">
        <f t="array" ref="J1078">IF(B1078&gt;0,SUM('Direct Costs 2026'!$C$20:$C$21),"N/A")</f>
        <v>98333.3333333333</v>
      </c>
      <c r="K1078" s="423" cm="1">
        <f t="array" ref="K1078">IF(B1078&gt;0,'Direct Costs 2026'!$C$26,"N/A")</f>
        <v>20000</v>
      </c>
      <c r="L1078" s="423" cm="1">
        <f t="array" ref="L1078">IF(B1078&gt;0,'Direct Costs 2026'!$C$23,"N/A")</f>
        <v>140000</v>
      </c>
      <c r="M1078" s="423" cm="1">
        <f t="array" ref="M1078">IF(B1078&gt;0,'Direct Costs 2026'!$C$45*B1078,"N/A")</f>
        <v>300000</v>
      </c>
      <c r="N1078" s="423" cm="1">
        <f t="array" ref="N1078">IF(B1078&gt;0,_xlfn.IFERROR(VLOOKUP(C1074,'Boats Data Sheet 2026'!$C$3:$I$57,7,0)*'Direct Costs 2026'!$C$36,"N/A"),"N/A")</f>
        <v>3325000</v>
      </c>
      <c r="O1078" s="423" cm="1">
        <f t="array" ref="O1078">IF(B1078&gt;0,IF(OR(VLOOKUP(C1074,'Boats Data Sheet 2026'!$C$3:$F$57,4,0)="Own",VLOOKUP(C1074,'Boats Data Sheet 2026'!$C$3:$F$57,4,0)="Management"),('Direct Costs 2026'!$C$37+'Direct Costs 2026'!$C$39),"N/A"),"N/A")</f>
        <v>1112400</v>
      </c>
      <c r="P1078" s="423" cm="1">
        <f t="array" ref="P1078">_xlfn.IFERROR('Direct Costs 2026'!$C$27*C1078,"N/A")</f>
        <v>0</v>
      </c>
      <c r="Q1078" s="423" cm="1">
        <f t="array" ref="Q1078">_xlfn.IFERROR(C1078+SUM(E1078:P1078),"N/A")</f>
        <v>6698233.33333333</v>
      </c>
      <c r="R1078" s="424"/>
      <c r="S1078" s="423" cm="1">
        <f t="array" ref="S1078">IF(B1078&gt;0,'Allocation OH and Target 2026'!$E$31,"N/A")</f>
        <v>3100447.15769812</v>
      </c>
      <c r="T1078" s="423" cm="1">
        <f t="array" ref="T1078">IF(B1078&gt;0,VLOOKUP(C1074,'Allocation OH and Target 2026'!$C$35:$S$87,17,0),"N/A")</f>
        <v>971706.544186047</v>
      </c>
      <c r="U1078" s="423" cm="1">
        <f t="array" ref="U1078">_xlfn.IFERROR((S1078+T1078),"N/A")</f>
        <v>4072153.70188417</v>
      </c>
      <c r="V1078" s="424"/>
      <c r="W1078" s="423" cm="1">
        <f t="array" ref="W1078">_xlfn.IFERROR(U1078+Q1078,"N/A")</f>
        <v>10770387.0352175</v>
      </c>
      <c r="X1078" s="423" cm="1">
        <f t="array" ref="X1078">_xlfn.IFERROR(W1078*0.5%,"N/A")</f>
        <v>53851.9351760875</v>
      </c>
      <c r="Y1078" s="423" cm="1">
        <f t="array" ref="Y1078">_xlfn.IFERROR(W1078*25%,"N/A")</f>
        <v>2692596.75880438</v>
      </c>
      <c r="Z1078" s="425" cm="1">
        <f t="array" ref="Z1078">IF(B1078&gt;0,SUM(W1078:Y1078),"N/A")</f>
        <v>13516835.729198</v>
      </c>
      <c r="AA1078" s="425" cm="1">
        <f t="array" ref="AA1078">_xlfn.IFERROR((Z1078-Z1077),"N/A")</f>
        <v>239705</v>
      </c>
      <c r="AB1078" s="424"/>
      <c r="AC1078" t="str" s="426" cm="1">
        <f t="array" ref="AC1078">IF(B1078=6,AVERAGE(Z1077:Z1082),"N/A")</f>
        <v>N/A</v>
      </c>
      <c r="AD1078" s="424"/>
      <c r="AE1078" t="s" s="506">
        <v>546</v>
      </c>
      <c r="AF1078" s="423"/>
      <c r="AG1078" s="423"/>
      <c r="AH1078" s="423"/>
      <c r="AI1078" s="423"/>
      <c r="AJ1078" s="423"/>
      <c r="AK1078" s="423"/>
      <c r="AL1078" s="423"/>
      <c r="AM1078" s="423"/>
      <c r="AN1078" s="427"/>
    </row>
    <row r="1079" ht="15" customHeight="1">
      <c r="A1079" s="12"/>
      <c r="B1079" s="428" cm="1">
        <f t="array" ref="B1079">IF(B1078=0,0,IF(B1078&lt;VLOOKUP(C1074,'Boats Data Sheet 2026'!$C$3:$H$57,6,0),B1078+1,0))</f>
        <v>3</v>
      </c>
      <c r="C1079" s="423" cm="1">
        <f t="array" ref="C1079">IF(B1079&gt;0,IF(VLOOKUP(C1074,'Boats Data Sheet 2026'!$C$3:$J$57,8,0)="N/A",0,VLOOKUP(C1074,'Boats Data Sheet 2026'!$C$3:$J$57,8,0)),"N/A")</f>
        <v>0</v>
      </c>
      <c r="D1079" s="429" cm="1">
        <f t="array" ref="D1079">IF(B1079&gt;7,2,IF(B1079=0,"N/A",1))</f>
        <v>1</v>
      </c>
      <c r="E1079" s="423" cm="1">
        <f t="array" ref="E1079">_xlfn.IFERROR(SUM('Direct Costs 2026'!$C$4:$C$5)*D1079,"N/A")</f>
        <v>875500</v>
      </c>
      <c r="F1079" s="423" cm="1">
        <f t="array" ref="F1079">_xlfn.IFERROR('Direct Costs 2026'!$C$43*B1079,"N/A")</f>
        <v>18000</v>
      </c>
      <c r="G1079" s="423" cm="1">
        <f t="array" ref="G1079">IF(B1079&gt;0,'Direct Costs 2026'!$C$25,"N/A")</f>
        <v>90000</v>
      </c>
      <c r="H1079" s="423" cm="1">
        <f t="array" ref="H1079">IF(B1079&gt;0,('Direct Costs 2026'!$C$15+'Direct Costs 2026'!$C$17+'Direct Costs 2026'!$C$14),"N/A")</f>
        <v>580000</v>
      </c>
      <c r="I1079" s="423" cm="1">
        <f t="array" ref="I1079">IF(B1079&gt;0,'Direct Costs 2026'!$C$19+'Direct Costs 2026'!$C$18*B1079,"N/A")</f>
        <v>180000</v>
      </c>
      <c r="J1079" s="423" cm="1">
        <f t="array" ref="J1079">IF(B1079&gt;0,SUM('Direct Costs 2026'!$C$20:$C$21),"N/A")</f>
        <v>98333.3333333333</v>
      </c>
      <c r="K1079" s="423" cm="1">
        <f t="array" ref="K1079">IF(B1079&gt;0,'Direct Costs 2026'!$C$26,"N/A")</f>
        <v>20000</v>
      </c>
      <c r="L1079" s="423" cm="1">
        <f t="array" ref="L1079">IF(B1079&gt;0,'Direct Costs 2026'!$C$23,"N/A")</f>
        <v>140000</v>
      </c>
      <c r="M1079" s="423" cm="1">
        <f t="array" ref="M1079">IF(B1079&gt;0,'Direct Costs 2026'!$C$45*B1079,"N/A")</f>
        <v>450000</v>
      </c>
      <c r="N1079" s="423" cm="1">
        <f t="array" ref="N1079">IF(B1079&gt;0,_xlfn.IFERROR(VLOOKUP(C1074,'Boats Data Sheet 2026'!$C$3:$I$57,7,0)*'Direct Costs 2026'!$C$36,"N/A"),"N/A")</f>
        <v>3325000</v>
      </c>
      <c r="O1079" s="423" cm="1">
        <f t="array" ref="O1079">IF(B1079&gt;0,IF(OR(VLOOKUP(C1074,'Boats Data Sheet 2026'!$C$3:$F$57,4,0)="Own",VLOOKUP(C1074,'Boats Data Sheet 2026'!$C$3:$F$57,4,0)="Management"),('Direct Costs 2026'!$C$37+'Direct Costs 2026'!$C$39),"N/A"),"N/A")</f>
        <v>1112400</v>
      </c>
      <c r="P1079" s="423" cm="1">
        <f t="array" ref="P1079">_xlfn.IFERROR('Direct Costs 2026'!$C$27*C1079,"N/A")</f>
        <v>0</v>
      </c>
      <c r="Q1079" s="423" cm="1">
        <f t="array" ref="Q1079">_xlfn.IFERROR(C1079+SUM(E1079:P1079),"N/A")</f>
        <v>6889233.33333333</v>
      </c>
      <c r="R1079" s="424"/>
      <c r="S1079" s="423" cm="1">
        <f t="array" ref="S1079">IF(B1079&gt;0,'Allocation OH and Target 2026'!$E$31,"N/A")</f>
        <v>3100447.15769812</v>
      </c>
      <c r="T1079" s="423" cm="1">
        <f t="array" ref="T1079">IF(B1079&gt;0,VLOOKUP(C1074,'Allocation OH and Target 2026'!$C$35:$S$87,17,0),"N/A")</f>
        <v>971706.544186047</v>
      </c>
      <c r="U1079" s="423" cm="1">
        <f t="array" ref="U1079">_xlfn.IFERROR((S1079+T1079),"N/A")</f>
        <v>4072153.70188417</v>
      </c>
      <c r="V1079" s="424"/>
      <c r="W1079" s="423" cm="1">
        <f t="array" ref="W1079">_xlfn.IFERROR(U1079+Q1079,"N/A")</f>
        <v>10961387.0352175</v>
      </c>
      <c r="X1079" s="423" cm="1">
        <f t="array" ref="X1079">_xlfn.IFERROR(W1079*0.5%,"N/A")</f>
        <v>54806.9351760875</v>
      </c>
      <c r="Y1079" s="423" cm="1">
        <f t="array" ref="Y1079">_xlfn.IFERROR(W1079*25%,"N/A")</f>
        <v>2740346.75880438</v>
      </c>
      <c r="Z1079" s="425" cm="1">
        <f t="array" ref="Z1079">IF(B1079&gt;0,SUM(W1079:Y1079),"N/A")</f>
        <v>13756540.729198</v>
      </c>
      <c r="AA1079" s="425" cm="1">
        <f t="array" ref="AA1079">_xlfn.IFERROR((Z1079-Z1078),"N/A")</f>
        <v>239705</v>
      </c>
      <c r="AB1079" s="424"/>
      <c r="AC1079" t="str" s="426" cm="1">
        <f t="array" ref="AC1079">IF(B1079=6,AVERAGE(Z1077:Z1082),"N/A")</f>
        <v>N/A</v>
      </c>
      <c r="AD1079" s="424"/>
      <c r="AE1079" t="s" s="504">
        <v>547</v>
      </c>
      <c r="AF1079" s="423" cm="1">
        <f t="array" ref="AF1079">AF1077*'RECOMMENDED PRICES'!$D$17</f>
        <v>969255833.333333</v>
      </c>
      <c r="AG1079" s="423"/>
      <c r="AH1079" s="423"/>
      <c r="AI1079" s="423"/>
      <c r="AJ1079" s="423"/>
      <c r="AK1079" s="423"/>
      <c r="AL1079" s="423"/>
      <c r="AM1079" s="423"/>
      <c r="AN1079" s="427"/>
    </row>
    <row r="1080" ht="15" customHeight="1">
      <c r="A1080" s="12"/>
      <c r="B1080" s="428" cm="1">
        <f t="array" ref="B1080">IF(B1079=0,0,IF(B1079&lt;VLOOKUP(C1074,'Boats Data Sheet 2026'!$C$3:$H$57,6,0),B1079+1,0))</f>
        <v>4</v>
      </c>
      <c r="C1080" s="423" cm="1">
        <f t="array" ref="C1080">IF(B1080&gt;0,IF(VLOOKUP(C1074,'Boats Data Sheet 2026'!$C$3:$J$57,8,0)="N/A",0,VLOOKUP(C1074,'Boats Data Sheet 2026'!$C$3:$J$57,8,0)),"N/A")</f>
        <v>0</v>
      </c>
      <c r="D1080" s="429" cm="1">
        <f t="array" ref="D1080">IF(B1080&gt;7,2,IF(B1080=0,"N/A",1))</f>
        <v>1</v>
      </c>
      <c r="E1080" s="423" cm="1">
        <f t="array" ref="E1080">_xlfn.IFERROR(SUM('Direct Costs 2026'!$C$4:$C$5)*D1080,"N/A")</f>
        <v>875500</v>
      </c>
      <c r="F1080" s="423" cm="1">
        <f t="array" ref="F1080">_xlfn.IFERROR('Direct Costs 2026'!$C$43*B1080,"N/A")</f>
        <v>24000</v>
      </c>
      <c r="G1080" s="423" cm="1">
        <f t="array" ref="G1080">IF(B1080&gt;0,'Direct Costs 2026'!$C$25,"N/A")</f>
        <v>90000</v>
      </c>
      <c r="H1080" s="423" cm="1">
        <f t="array" ref="H1080">IF(B1080&gt;0,('Direct Costs 2026'!$C$15+'Direct Costs 2026'!$C$17+'Direct Costs 2026'!$C$14),"N/A")</f>
        <v>580000</v>
      </c>
      <c r="I1080" s="423" cm="1">
        <f t="array" ref="I1080">IF(B1080&gt;0,'Direct Costs 2026'!$C$19+'Direct Costs 2026'!$C$18*B1080,"N/A")</f>
        <v>215000</v>
      </c>
      <c r="J1080" s="423" cm="1">
        <f t="array" ref="J1080">IF(B1080&gt;0,SUM('Direct Costs 2026'!$C$20:$C$21),"N/A")</f>
        <v>98333.3333333333</v>
      </c>
      <c r="K1080" s="423" cm="1">
        <f t="array" ref="K1080">IF(B1080&gt;0,'Direct Costs 2026'!$C$26,"N/A")</f>
        <v>20000</v>
      </c>
      <c r="L1080" s="423" cm="1">
        <f t="array" ref="L1080">IF(B1080&gt;0,'Direct Costs 2026'!$C$23,"N/A")</f>
        <v>140000</v>
      </c>
      <c r="M1080" s="423" cm="1">
        <f t="array" ref="M1080">IF(B1080&gt;0,'Direct Costs 2026'!$C$45*B1080,"N/A")</f>
        <v>600000</v>
      </c>
      <c r="N1080" s="423" cm="1">
        <f t="array" ref="N1080">IF(B1080&gt;0,_xlfn.IFERROR(VLOOKUP(C1074,'Boats Data Sheet 2026'!$C$3:$I$57,7,0)*'Direct Costs 2026'!$C$36,"N/A"),"N/A")</f>
        <v>3325000</v>
      </c>
      <c r="O1080" s="423" cm="1">
        <f t="array" ref="O1080">IF(B1080&gt;0,IF(OR(VLOOKUP(C1074,'Boats Data Sheet 2026'!$C$3:$F$57,4,0)="Own",VLOOKUP(C1074,'Boats Data Sheet 2026'!$C$3:$F$57,4,0)="Management"),('Direct Costs 2026'!$C$37+'Direct Costs 2026'!$C$39),"N/A"),"N/A")</f>
        <v>1112400</v>
      </c>
      <c r="P1080" s="423" cm="1">
        <f t="array" ref="P1080">_xlfn.IFERROR('Direct Costs 2026'!$C$27*C1080,"N/A")</f>
        <v>0</v>
      </c>
      <c r="Q1080" s="423" cm="1">
        <f t="array" ref="Q1080">_xlfn.IFERROR(C1080+SUM(E1080:P1080),"N/A")</f>
        <v>7080233.33333333</v>
      </c>
      <c r="R1080" s="424"/>
      <c r="S1080" s="423" cm="1">
        <f t="array" ref="S1080">IF(B1080&gt;0,'Allocation OH and Target 2026'!$E$31,"N/A")</f>
        <v>3100447.15769812</v>
      </c>
      <c r="T1080" s="423" cm="1">
        <f t="array" ref="T1080">IF(B1080&gt;0,VLOOKUP(C1074,'Allocation OH and Target 2026'!$C$35:$S$87,17,0),"N/A")</f>
        <v>971706.544186047</v>
      </c>
      <c r="U1080" s="423" cm="1">
        <f t="array" ref="U1080">_xlfn.IFERROR((S1080+T1080),"N/A")</f>
        <v>4072153.70188417</v>
      </c>
      <c r="V1080" s="424"/>
      <c r="W1080" s="423" cm="1">
        <f t="array" ref="W1080">_xlfn.IFERROR(U1080+Q1080,"N/A")</f>
        <v>11152387.0352175</v>
      </c>
      <c r="X1080" s="423" cm="1">
        <f t="array" ref="X1080">_xlfn.IFERROR(W1080*0.5%,"N/A")</f>
        <v>55761.9351760875</v>
      </c>
      <c r="Y1080" s="423" cm="1">
        <f t="array" ref="Y1080">_xlfn.IFERROR(W1080*25%,"N/A")</f>
        <v>2788096.75880438</v>
      </c>
      <c r="Z1080" s="425" cm="1">
        <f t="array" ref="Z1080">IF(B1080&gt;0,SUM(W1080:Y1080),"N/A")</f>
        <v>13996245.729198</v>
      </c>
      <c r="AA1080" s="425" cm="1">
        <f t="array" ref="AA1080">_xlfn.IFERROR((Z1080-Z1079),"N/A")</f>
        <v>239705</v>
      </c>
      <c r="AB1080" s="424"/>
      <c r="AC1080" t="str" s="426" cm="1">
        <f t="array" ref="AC1080">IF(B1080=6,AVERAGE(Z1077:Z1082),"N/A")</f>
        <v>N/A</v>
      </c>
      <c r="AD1080" s="424"/>
      <c r="AE1080" t="s" s="504">
        <v>548</v>
      </c>
      <c r="AF1080" s="423" cm="1">
        <f t="array" ref="AF1080">AF1077*VLOOKUP(C1074,'RECOMMENDED PRICES'!$B$20:$F$76,5,0)</f>
        <v>327946666.666667</v>
      </c>
      <c r="AG1080" s="423"/>
      <c r="AH1080" s="423"/>
      <c r="AI1080" s="423"/>
      <c r="AJ1080" s="423"/>
      <c r="AK1080" s="423"/>
      <c r="AL1080" s="423"/>
      <c r="AM1080" s="423"/>
      <c r="AN1080" s="427"/>
    </row>
    <row r="1081" ht="15" customHeight="1">
      <c r="A1081" s="12"/>
      <c r="B1081" s="428" cm="1">
        <f t="array" ref="B1081">IF(B1080=0,0,IF(B1080&lt;VLOOKUP(C1074,'Boats Data Sheet 2026'!$C$3:$H$57,6,0),B1080+1,0))</f>
        <v>5</v>
      </c>
      <c r="C1081" s="423" cm="1">
        <f t="array" ref="C1081">IF(B1081&gt;0,IF(VLOOKUP(C1074,'Boats Data Sheet 2026'!$C$3:$J$57,8,0)="N/A",0,VLOOKUP(C1074,'Boats Data Sheet 2026'!$C$3:$J$57,8,0)),"N/A")</f>
        <v>0</v>
      </c>
      <c r="D1081" s="429" cm="1">
        <f t="array" ref="D1081">IF(B1081&gt;7,2,IF(B1081=0,"N/A",1))</f>
        <v>1</v>
      </c>
      <c r="E1081" s="423" cm="1">
        <f t="array" ref="E1081">_xlfn.IFERROR(SUM('Direct Costs 2026'!$C$4:$C$5)*D1081,"N/A")</f>
        <v>875500</v>
      </c>
      <c r="F1081" s="423" cm="1">
        <f t="array" ref="F1081">_xlfn.IFERROR('Direct Costs 2026'!$C$43*B1081,"N/A")</f>
        <v>30000</v>
      </c>
      <c r="G1081" s="423" cm="1">
        <f t="array" ref="G1081">IF(B1081&gt;0,'Direct Costs 2026'!$C$25,"N/A")</f>
        <v>90000</v>
      </c>
      <c r="H1081" s="423" cm="1">
        <f t="array" ref="H1081">IF(B1081&gt;0,('Direct Costs 2026'!$C$15+'Direct Costs 2026'!$C$17+'Direct Costs 2026'!$C$14),"N/A")</f>
        <v>580000</v>
      </c>
      <c r="I1081" s="423" cm="1">
        <f t="array" ref="I1081">IF(B1081&gt;0,'Direct Costs 2026'!$C$19+'Direct Costs 2026'!$C$18*B1081,"N/A")</f>
        <v>250000</v>
      </c>
      <c r="J1081" s="423" cm="1">
        <f t="array" ref="J1081">IF(B1081&gt;0,SUM('Direct Costs 2026'!$C$20:$C$21),"N/A")</f>
        <v>98333.3333333333</v>
      </c>
      <c r="K1081" s="423" cm="1">
        <f t="array" ref="K1081">IF(B1081&gt;0,'Direct Costs 2026'!$C$26,"N/A")</f>
        <v>20000</v>
      </c>
      <c r="L1081" s="423" cm="1">
        <f t="array" ref="L1081">IF(B1081&gt;0,'Direct Costs 2026'!$C$23,"N/A")</f>
        <v>140000</v>
      </c>
      <c r="M1081" s="423" cm="1">
        <f t="array" ref="M1081">IF(B1081&gt;0,'Direct Costs 2026'!$C$45*B1081,"N/A")</f>
        <v>750000</v>
      </c>
      <c r="N1081" s="423" cm="1">
        <f t="array" ref="N1081">IF(B1081&gt;0,_xlfn.IFERROR(VLOOKUP(C1074,'Boats Data Sheet 2026'!$C$3:$I$57,7,0)*'Direct Costs 2026'!$C$36,"N/A"),"N/A")</f>
        <v>3325000</v>
      </c>
      <c r="O1081" s="423" cm="1">
        <f t="array" ref="O1081">IF(B1081&gt;0,IF(OR(VLOOKUP(C1074,'Boats Data Sheet 2026'!$C$3:$F$57,4,0)="Own",VLOOKUP(C1074,'Boats Data Sheet 2026'!$C$3:$F$57,4,0)="Management"),('Direct Costs 2026'!$C$37+'Direct Costs 2026'!$C$39),"N/A"),"N/A")</f>
        <v>1112400</v>
      </c>
      <c r="P1081" s="423" cm="1">
        <f t="array" ref="P1081">_xlfn.IFERROR('Direct Costs 2026'!$C$27*C1081,"N/A")</f>
        <v>0</v>
      </c>
      <c r="Q1081" s="423" cm="1">
        <f t="array" ref="Q1081">_xlfn.IFERROR(C1081+SUM(E1081:P1081),"N/A")</f>
        <v>7271233.33333333</v>
      </c>
      <c r="R1081" s="424"/>
      <c r="S1081" s="423" cm="1">
        <f t="array" ref="S1081">IF(B1081&gt;0,'Allocation OH and Target 2026'!$E$31,"N/A")</f>
        <v>3100447.15769812</v>
      </c>
      <c r="T1081" s="423" cm="1">
        <f t="array" ref="T1081">IF(B1081&gt;0,VLOOKUP(C1074,'Allocation OH and Target 2026'!$C$35:$S$87,17,0),"N/A")</f>
        <v>971706.544186047</v>
      </c>
      <c r="U1081" s="423" cm="1">
        <f t="array" ref="U1081">_xlfn.IFERROR((S1081+T1081),"N/A")</f>
        <v>4072153.70188417</v>
      </c>
      <c r="V1081" s="424"/>
      <c r="W1081" s="423" cm="1">
        <f t="array" ref="W1081">_xlfn.IFERROR(U1081+Q1081,"N/A")</f>
        <v>11343387.0352175</v>
      </c>
      <c r="X1081" s="423" cm="1">
        <f t="array" ref="X1081">_xlfn.IFERROR(W1081*0.5%,"N/A")</f>
        <v>56716.9351760875</v>
      </c>
      <c r="Y1081" s="423" cm="1">
        <f t="array" ref="Y1081">_xlfn.IFERROR(W1081*25%,"N/A")</f>
        <v>2835846.75880438</v>
      </c>
      <c r="Z1081" s="425" cm="1">
        <f t="array" ref="Z1081">IF(B1081&gt;0,SUM(W1081:Y1081),"N/A")</f>
        <v>14235950.729198</v>
      </c>
      <c r="AA1081" s="425" cm="1">
        <f t="array" ref="AA1081">_xlfn.IFERROR((Z1081-Z1080),"N/A")</f>
        <v>239705</v>
      </c>
      <c r="AB1081" s="424"/>
      <c r="AC1081" t="str" s="426" cm="1">
        <f t="array" ref="AC1081">IF(B1081=6,AVERAGE(Z1077:Z1082),"N/A")</f>
        <v>N/A</v>
      </c>
      <c r="AD1081" s="424"/>
      <c r="AE1081" t="s" s="504">
        <v>549</v>
      </c>
      <c r="AF1081" s="423">
        <v>0</v>
      </c>
      <c r="AG1081" s="423"/>
      <c r="AH1081" s="423"/>
      <c r="AI1081" s="423"/>
      <c r="AJ1081" s="423"/>
      <c r="AK1081" s="423"/>
      <c r="AL1081" s="423"/>
      <c r="AM1081" s="423"/>
      <c r="AN1081" s="427"/>
    </row>
    <row r="1082" ht="15" customHeight="1">
      <c r="A1082" s="12"/>
      <c r="B1082" s="428" cm="1">
        <f t="array" ref="B1082">IF(B1081=0,0,IF(B1081&lt;VLOOKUP(C1074,'Boats Data Sheet 2026'!$C$3:$H$57,6,0),B1081+1,0))</f>
        <v>6</v>
      </c>
      <c r="C1082" s="423" cm="1">
        <f t="array" ref="C1082">IF(B1082&gt;0,IF(VLOOKUP(C1074,'Boats Data Sheet 2026'!$C$3:$J$57,8,0)="N/A",0,VLOOKUP(C1074,'Boats Data Sheet 2026'!$C$3:$J$57,8,0)),"N/A")</f>
        <v>0</v>
      </c>
      <c r="D1082" s="429" cm="1">
        <f t="array" ref="D1082">IF(B1082&gt;7,2,IF(B1082=0,"N/A",1))</f>
        <v>1</v>
      </c>
      <c r="E1082" s="423" cm="1">
        <f t="array" ref="E1082">_xlfn.IFERROR(SUM('Direct Costs 2026'!$C$4:$C$5)*D1082,"N/A")</f>
        <v>875500</v>
      </c>
      <c r="F1082" s="423" cm="1">
        <f t="array" ref="F1082">_xlfn.IFERROR('Direct Costs 2026'!$C$43*B1082,"N/A")</f>
        <v>36000</v>
      </c>
      <c r="G1082" s="423" cm="1">
        <f t="array" ref="G1082">IF(B1082&gt;0,'Direct Costs 2026'!$C$25,"N/A")</f>
        <v>90000</v>
      </c>
      <c r="H1082" s="423" cm="1">
        <f t="array" ref="H1082">IF(B1082&gt;0,('Direct Costs 2026'!$C$15+'Direct Costs 2026'!$C$17+'Direct Costs 2026'!$C$14),"N/A")</f>
        <v>580000</v>
      </c>
      <c r="I1082" s="423" cm="1">
        <f t="array" ref="I1082">IF(B1082&gt;0,'Direct Costs 2026'!$C$19+'Direct Costs 2026'!$C$18*B1082,"N/A")</f>
        <v>285000</v>
      </c>
      <c r="J1082" s="423" cm="1">
        <f t="array" ref="J1082">IF(B1082&gt;0,SUM('Direct Costs 2026'!$C$20:$C$21),"N/A")</f>
        <v>98333.3333333333</v>
      </c>
      <c r="K1082" s="423" cm="1">
        <f t="array" ref="K1082">IF(B1082&gt;0,'Direct Costs 2026'!$C$26,"N/A")</f>
        <v>20000</v>
      </c>
      <c r="L1082" s="423" cm="1">
        <f t="array" ref="L1082">IF(B1082&gt;0,'Direct Costs 2026'!$C$23,"N/A")</f>
        <v>140000</v>
      </c>
      <c r="M1082" s="423" cm="1">
        <f t="array" ref="M1082">IF(B1082&gt;0,'Direct Costs 2026'!$C$45*B1082,"N/A")</f>
        <v>900000</v>
      </c>
      <c r="N1082" s="423" cm="1">
        <f t="array" ref="N1082">IF(B1082&gt;0,_xlfn.IFERROR(VLOOKUP(C1074,'Boats Data Sheet 2026'!$C$3:$I$57,7,0)*'Direct Costs 2026'!$C$36,"N/A"),"N/A")</f>
        <v>3325000</v>
      </c>
      <c r="O1082" s="423" cm="1">
        <f t="array" ref="O1082">IF(B1082&gt;0,IF(OR(VLOOKUP(C1074,'Boats Data Sheet 2026'!$C$3:$F$57,4,0)="Own",VLOOKUP(C1074,'Boats Data Sheet 2026'!$C$3:$F$57,4,0)="Management"),('Direct Costs 2026'!$C$37+'Direct Costs 2026'!$C$39),"N/A"),"N/A")</f>
        <v>1112400</v>
      </c>
      <c r="P1082" s="423" cm="1">
        <f t="array" ref="P1082">_xlfn.IFERROR('Direct Costs 2026'!$C$27*C1082,"N/A")</f>
        <v>0</v>
      </c>
      <c r="Q1082" s="423" cm="1">
        <f t="array" ref="Q1082">_xlfn.IFERROR(C1082+SUM(E1082:P1082),"N/A")</f>
        <v>7462233.33333333</v>
      </c>
      <c r="R1082" s="424"/>
      <c r="S1082" s="423" cm="1">
        <f t="array" ref="S1082">IF(B1082&gt;0,'Allocation OH and Target 2026'!$E$31,"N/A")</f>
        <v>3100447.15769812</v>
      </c>
      <c r="T1082" s="423" cm="1">
        <f t="array" ref="T1082">IF(B1082&gt;0,VLOOKUP(C1074,'Allocation OH and Target 2026'!$C$35:$S$87,17,0),"N/A")</f>
        <v>971706.544186047</v>
      </c>
      <c r="U1082" s="423" cm="1">
        <f t="array" ref="U1082">_xlfn.IFERROR((S1082+T1082),"N/A")</f>
        <v>4072153.70188417</v>
      </c>
      <c r="V1082" s="424"/>
      <c r="W1082" s="423" cm="1">
        <f t="array" ref="W1082">_xlfn.IFERROR(U1082+Q1082,"N/A")</f>
        <v>11534387.0352175</v>
      </c>
      <c r="X1082" s="423" cm="1">
        <f t="array" ref="X1082">_xlfn.IFERROR(W1082*0.5%,"N/A")</f>
        <v>57671.9351760875</v>
      </c>
      <c r="Y1082" s="423" cm="1">
        <f t="array" ref="Y1082">_xlfn.IFERROR(W1082*25%,"N/A")</f>
        <v>2883596.75880438</v>
      </c>
      <c r="Z1082" s="425" cm="1">
        <f t="array" ref="Z1082">IF(B1082&gt;0,SUM(W1082:Y1082),"N/A")</f>
        <v>14475655.729198</v>
      </c>
      <c r="AA1082" s="425" cm="1">
        <f t="array" ref="AA1082">_xlfn.IFERROR((Z1082-Z1081),"N/A")</f>
        <v>239705</v>
      </c>
      <c r="AB1082" s="424"/>
      <c r="AC1082" s="425" cm="1">
        <f t="array" ref="AC1082">IF(B1082=6,AVERAGE(Z1077:Z1082),"N/A")</f>
        <v>13876393.229198</v>
      </c>
      <c r="AD1082" s="424"/>
      <c r="AE1082" t="s" s="506">
        <v>550</v>
      </c>
      <c r="AF1082" s="423"/>
      <c r="AG1082" s="423"/>
      <c r="AH1082" s="423"/>
      <c r="AI1082" s="423"/>
      <c r="AJ1082" s="423"/>
      <c r="AK1082" s="423"/>
      <c r="AL1082" s="423"/>
      <c r="AM1082" s="423"/>
      <c r="AN1082" s="427"/>
    </row>
    <row r="1083" ht="15" customHeight="1">
      <c r="A1083" s="12"/>
      <c r="B1083" s="428" cm="1">
        <f t="array" ref="B1083">IF(B1082=0,0,IF(B1082&lt;VLOOKUP(C1074,'Boats Data Sheet 2026'!$C$3:$H$57,6,0),B1082+1,0))</f>
        <v>7</v>
      </c>
      <c r="C1083" s="423" cm="1">
        <f t="array" ref="C1083">IF(B1083&gt;0,IF(VLOOKUP(C1074,'Boats Data Sheet 2026'!$C$3:$J$57,8,0)="N/A",0,VLOOKUP(C1074,'Boats Data Sheet 2026'!$C$3:$J$57,8,0)),"N/A")</f>
        <v>0</v>
      </c>
      <c r="D1083" s="429" cm="1">
        <f t="array" ref="D1083">IF(B1083&gt;7,2,IF(B1083=0,"N/A",1))</f>
        <v>1</v>
      </c>
      <c r="E1083" s="423" cm="1">
        <f t="array" ref="E1083">_xlfn.IFERROR(SUM('Direct Costs 2026'!$C$4:$C$5)*D1083,"N/A")</f>
        <v>875500</v>
      </c>
      <c r="F1083" s="423" cm="1">
        <f t="array" ref="F1083">_xlfn.IFERROR('Direct Costs 2026'!$C$43*B1083,"N/A")</f>
        <v>42000</v>
      </c>
      <c r="G1083" s="423" cm="1">
        <f t="array" ref="G1083">IF(B1083&gt;0,'Direct Costs 2026'!$C$25,"N/A")</f>
        <v>90000</v>
      </c>
      <c r="H1083" s="423" cm="1">
        <f t="array" ref="H1083">IF(B1083&gt;0,('Direct Costs 2026'!$C$15+'Direct Costs 2026'!$C$17+'Direct Costs 2026'!$C$14),"N/A")</f>
        <v>580000</v>
      </c>
      <c r="I1083" s="423" cm="1">
        <f t="array" ref="I1083">IF(B1083&gt;0,'Direct Costs 2026'!$C$19+'Direct Costs 2026'!$C$18*B1083,"N/A")</f>
        <v>320000</v>
      </c>
      <c r="J1083" s="423" cm="1">
        <f t="array" ref="J1083">IF(B1083&gt;0,SUM('Direct Costs 2026'!$C$20:$C$21),"N/A")</f>
        <v>98333.3333333333</v>
      </c>
      <c r="K1083" s="423" cm="1">
        <f t="array" ref="K1083">IF(B1083&gt;0,'Direct Costs 2026'!$C$26,"N/A")</f>
        <v>20000</v>
      </c>
      <c r="L1083" s="423" cm="1">
        <f t="array" ref="L1083">IF(B1083&gt;0,'Direct Costs 2026'!$C$23,"N/A")</f>
        <v>140000</v>
      </c>
      <c r="M1083" s="423" cm="1">
        <f t="array" ref="M1083">IF(B1083&gt;0,'Direct Costs 2026'!$C$45*B1083,"N/A")</f>
        <v>1050000</v>
      </c>
      <c r="N1083" s="423" cm="1">
        <f t="array" ref="N1083">IF(B1083&gt;0,_xlfn.IFERROR(VLOOKUP(C1074,'Boats Data Sheet 2026'!$C$3:$I$57,7,0)*'Direct Costs 2026'!$C$36,"N/A"),"N/A")</f>
        <v>3325000</v>
      </c>
      <c r="O1083" s="423" cm="1">
        <f t="array" ref="O1083">IF(B1083&gt;0,IF(OR(VLOOKUP(C1074,'Boats Data Sheet 2026'!$C$3:$F$57,4,0)="Own",VLOOKUP(C1074,'Boats Data Sheet 2026'!$C$3:$F$57,4,0)="Management"),('Direct Costs 2026'!$C$37+'Direct Costs 2026'!$C$39),"N/A"),"N/A")</f>
        <v>1112400</v>
      </c>
      <c r="P1083" s="423" cm="1">
        <f t="array" ref="P1083">_xlfn.IFERROR('Direct Costs 2026'!$C$27*C1083,"N/A")</f>
        <v>0</v>
      </c>
      <c r="Q1083" s="423" cm="1">
        <f t="array" ref="Q1083">_xlfn.IFERROR(C1083+SUM(E1083:P1083),"N/A")</f>
        <v>7653233.33333333</v>
      </c>
      <c r="R1083" s="424"/>
      <c r="S1083" s="423" cm="1">
        <f t="array" ref="S1083">IF(B1083&gt;0,'Allocation OH and Target 2026'!$E$31,"N/A")</f>
        <v>3100447.15769812</v>
      </c>
      <c r="T1083" s="423" cm="1">
        <f t="array" ref="T1083">IF(B1083&gt;0,VLOOKUP(C1074,'Allocation OH and Target 2026'!$C$35:$S$87,17,0),"N/A")</f>
        <v>971706.544186047</v>
      </c>
      <c r="U1083" s="423" cm="1">
        <f t="array" ref="U1083">_xlfn.IFERROR((S1083+T1083),"N/A")</f>
        <v>4072153.70188417</v>
      </c>
      <c r="V1083" s="424"/>
      <c r="W1083" s="423" cm="1">
        <f t="array" ref="W1083">_xlfn.IFERROR(U1083+Q1083,"N/A")</f>
        <v>11725387.0352175</v>
      </c>
      <c r="X1083" s="423" cm="1">
        <f t="array" ref="X1083">_xlfn.IFERROR(W1083*0.5%,"N/A")</f>
        <v>58626.9351760875</v>
      </c>
      <c r="Y1083" s="423" cm="1">
        <f t="array" ref="Y1083">_xlfn.IFERROR(W1083*25%,"N/A")</f>
        <v>2931346.75880438</v>
      </c>
      <c r="Z1083" s="425" cm="1">
        <f t="array" ref="Z1083">IF(B1083&gt;0,SUM(W1083:Y1083),"N/A")</f>
        <v>14715360.729198</v>
      </c>
      <c r="AA1083" s="425" cm="1">
        <f t="array" ref="AA1083">_xlfn.IFERROR((Z1083-Z1082),"N/A")</f>
        <v>239705</v>
      </c>
      <c r="AB1083" s="424"/>
      <c r="AC1083" t="str" s="426" cm="1">
        <f t="array" ref="AC1083">IF(B1083=6,AVERAGE(Z1077:Z1082),"N/A")</f>
        <v>N/A</v>
      </c>
      <c r="AD1083" s="424"/>
      <c r="AE1083" t="s" s="504">
        <v>551</v>
      </c>
      <c r="AF1083" s="507" cm="1">
        <f t="array" ref="AF1083">-AVERAGE(W1077:W1089)*AF1077</f>
        <v>-956206075.378877</v>
      </c>
      <c r="AG1083" s="423"/>
      <c r="AH1083" s="423"/>
      <c r="AI1083" s="423"/>
      <c r="AJ1083" s="423"/>
      <c r="AK1083" s="423"/>
      <c r="AL1083" s="423"/>
      <c r="AM1083" s="423"/>
      <c r="AN1083" s="427"/>
    </row>
    <row r="1084" ht="15" customHeight="1">
      <c r="A1084" s="12"/>
      <c r="B1084" s="428" cm="1">
        <f t="array" ref="B1084">IF(B1083=0,0,IF(B1083&lt;VLOOKUP(C1074,'Boats Data Sheet 2026'!$C$3:$H$57,6,0),B1083+1,0))</f>
        <v>8</v>
      </c>
      <c r="C1084" s="423" cm="1">
        <f t="array" ref="C1084">IF(B1084&gt;0,IF(VLOOKUP(C1074,'Boats Data Sheet 2026'!$C$3:$J$57,8,0)="N/A",0,VLOOKUP(C1074,'Boats Data Sheet 2026'!$C$3:$J$57,8,0)),"N/A")</f>
        <v>0</v>
      </c>
      <c r="D1084" s="429" cm="1">
        <f t="array" ref="D1084">IF(B1084&gt;7,2,IF(B1084=0,"N/A",1))</f>
        <v>2</v>
      </c>
      <c r="E1084" s="423" cm="1">
        <f t="array" ref="E1084">_xlfn.IFERROR(SUM('Direct Costs 2026'!$C$4:$C$5)*D1084,"N/A")</f>
        <v>1751000</v>
      </c>
      <c r="F1084" s="423" cm="1">
        <f t="array" ref="F1084">_xlfn.IFERROR('Direct Costs 2026'!$C$43*B1084,"N/A")</f>
        <v>48000</v>
      </c>
      <c r="G1084" s="423" cm="1">
        <f t="array" ref="G1084">IF(B1084&gt;0,'Direct Costs 2026'!$C$25,"N/A")</f>
        <v>90000</v>
      </c>
      <c r="H1084" s="423" cm="1">
        <f t="array" ref="H1084">IF(B1084&gt;0,('Direct Costs 2026'!$C$15+'Direct Costs 2026'!$C$17+'Direct Costs 2026'!$C$14),"N/A")</f>
        <v>580000</v>
      </c>
      <c r="I1084" s="423" cm="1">
        <f t="array" ref="I1084">IF(B1084&gt;0,'Direct Costs 2026'!$C$19+'Direct Costs 2026'!$C$18*B1084,"N/A")</f>
        <v>355000</v>
      </c>
      <c r="J1084" s="423" cm="1">
        <f t="array" ref="J1084">IF(B1084&gt;0,SUM('Direct Costs 2026'!$C$20:$C$21),"N/A")</f>
        <v>98333.3333333333</v>
      </c>
      <c r="K1084" s="423" cm="1">
        <f t="array" ref="K1084">IF(B1084&gt;0,'Direct Costs 2026'!$C$26,"N/A")</f>
        <v>20000</v>
      </c>
      <c r="L1084" s="423" cm="1">
        <f t="array" ref="L1084">IF(B1084&gt;0,'Direct Costs 2026'!$C$23,"N/A")</f>
        <v>140000</v>
      </c>
      <c r="M1084" s="423" cm="1">
        <f t="array" ref="M1084">IF(B1084&gt;0,'Direct Costs 2026'!$C$45*B1084,"N/A")</f>
        <v>1200000</v>
      </c>
      <c r="N1084" s="423" cm="1">
        <f t="array" ref="N1084">IF(B1084&gt;0,_xlfn.IFERROR(VLOOKUP(C1074,'Boats Data Sheet 2026'!$C$3:$I$57,7,0)*'Direct Costs 2026'!$C$36,"N/A"),"N/A")</f>
        <v>3325000</v>
      </c>
      <c r="O1084" s="423" cm="1">
        <f t="array" ref="O1084">IF(B1084&gt;0,IF(OR(VLOOKUP(C1074,'Boats Data Sheet 2026'!$C$3:$F$57,4,0)="Own",VLOOKUP(C1074,'Boats Data Sheet 2026'!$C$3:$F$57,4,0)="Management"),('Direct Costs 2026'!$C$37+'Direct Costs 2026'!$C$39),"N/A"),"N/A")</f>
        <v>1112400</v>
      </c>
      <c r="P1084" s="423" cm="1">
        <f t="array" ref="P1084">_xlfn.IFERROR('Direct Costs 2026'!$C$27*C1084,"N/A")</f>
        <v>0</v>
      </c>
      <c r="Q1084" s="423" cm="1">
        <f t="array" ref="Q1084">_xlfn.IFERROR(C1084+SUM(E1084:P1084),"N/A")</f>
        <v>8719733.33333333</v>
      </c>
      <c r="R1084" s="424"/>
      <c r="S1084" s="423" cm="1">
        <f t="array" ref="S1084">IF(B1084&gt;0,'Allocation OH and Target 2026'!$E$31,"N/A")</f>
        <v>3100447.15769812</v>
      </c>
      <c r="T1084" s="423" cm="1">
        <f t="array" ref="T1084">IF(B1084&gt;0,VLOOKUP(C1074,'Allocation OH and Target 2026'!$C$35:$S$87,17,0),"N/A")</f>
        <v>971706.544186047</v>
      </c>
      <c r="U1084" s="423" cm="1">
        <f t="array" ref="U1084">_xlfn.IFERROR((S1084+T1084),"N/A")</f>
        <v>4072153.70188417</v>
      </c>
      <c r="V1084" s="424"/>
      <c r="W1084" s="423" cm="1">
        <f t="array" ref="W1084">_xlfn.IFERROR(U1084+Q1084,"N/A")</f>
        <v>12791887.0352175</v>
      </c>
      <c r="X1084" s="423" cm="1">
        <f t="array" ref="X1084">_xlfn.IFERROR(W1084*0.5%,"N/A")</f>
        <v>63959.4351760875</v>
      </c>
      <c r="Y1084" s="423" cm="1">
        <f t="array" ref="Y1084">_xlfn.IFERROR(W1084*25%,"N/A")</f>
        <v>3197971.75880438</v>
      </c>
      <c r="Z1084" s="425" cm="1">
        <f t="array" ref="Z1084">IF(B1084&gt;0,SUM(W1084:Y1084),"N/A")</f>
        <v>16053818.229198</v>
      </c>
      <c r="AA1084" s="425" cm="1">
        <f t="array" ref="AA1084">_xlfn.IFERROR((Z1084-Z1083),"N/A")</f>
        <v>1338457.5</v>
      </c>
      <c r="AB1084" s="424"/>
      <c r="AC1084" t="str" s="426" cm="1">
        <f t="array" ref="AC1084">IF(B1084=6,AVERAGE(Z1077:Z1082),"N/A")</f>
        <v>N/A</v>
      </c>
      <c r="AD1084" s="424"/>
      <c r="AE1084" t="s" s="506">
        <v>394</v>
      </c>
      <c r="AF1084" s="508" cm="1">
        <f t="array" ref="AF1084">SUM(AF1079:AF1083)</f>
        <v>340996424.621123</v>
      </c>
      <c r="AG1084" s="423"/>
      <c r="AH1084" s="423"/>
      <c r="AI1084" s="423"/>
      <c r="AJ1084" s="423"/>
      <c r="AK1084" s="423"/>
      <c r="AL1084" s="423"/>
      <c r="AM1084" s="423"/>
      <c r="AN1084" s="427"/>
    </row>
    <row r="1085" ht="15" customHeight="1">
      <c r="A1085" s="12"/>
      <c r="B1085" s="428" cm="1">
        <f t="array" ref="B1085">IF(B1084=0,0,IF(B1084&lt;VLOOKUP(C1074,'Boats Data Sheet 2026'!$C$3:$H$57,6,0),B1084+1,0))</f>
        <v>9</v>
      </c>
      <c r="C1085" s="423" cm="1">
        <f t="array" ref="C1085">IF(B1085&gt;0,IF(VLOOKUP(C1074,'Boats Data Sheet 2026'!$C$3:$J$57,8,0)="N/A",0,VLOOKUP(C1074,'Boats Data Sheet 2026'!$C$3:$J$57,8,0)),"N/A")</f>
        <v>0</v>
      </c>
      <c r="D1085" s="429" cm="1">
        <f t="array" ref="D1085">IF(B1085&gt;7,2,IF(B1085=0,"N/A",1))</f>
        <v>2</v>
      </c>
      <c r="E1085" s="423" cm="1">
        <f t="array" ref="E1085">_xlfn.IFERROR(SUM('Direct Costs 2026'!$C$4:$C$5)*D1085,"N/A")</f>
        <v>1751000</v>
      </c>
      <c r="F1085" s="423" cm="1">
        <f t="array" ref="F1085">_xlfn.IFERROR('Direct Costs 2026'!$C$43*B1085,"N/A")</f>
        <v>54000</v>
      </c>
      <c r="G1085" s="423" cm="1">
        <f t="array" ref="G1085">IF(B1085&gt;0,'Direct Costs 2026'!$C$25,"N/A")</f>
        <v>90000</v>
      </c>
      <c r="H1085" s="423" cm="1">
        <f t="array" ref="H1085">IF(B1085&gt;0,('Direct Costs 2026'!$C$15+'Direct Costs 2026'!$C$17+'Direct Costs 2026'!$C$14),"N/A")</f>
        <v>580000</v>
      </c>
      <c r="I1085" s="423" cm="1">
        <f t="array" ref="I1085">IF(B1085&gt;0,'Direct Costs 2026'!$C$19+'Direct Costs 2026'!$C$18*B1085,"N/A")</f>
        <v>390000</v>
      </c>
      <c r="J1085" s="423" cm="1">
        <f t="array" ref="J1085">IF(B1085&gt;0,SUM('Direct Costs 2026'!$C$20:$C$21),"N/A")</f>
        <v>98333.3333333333</v>
      </c>
      <c r="K1085" s="423" cm="1">
        <f t="array" ref="K1085">IF(B1085&gt;0,'Direct Costs 2026'!$C$26,"N/A")</f>
        <v>20000</v>
      </c>
      <c r="L1085" s="423" cm="1">
        <f t="array" ref="L1085">IF(B1085&gt;0,'Direct Costs 2026'!$C$23,"N/A")</f>
        <v>140000</v>
      </c>
      <c r="M1085" s="423" cm="1">
        <f t="array" ref="M1085">IF(B1085&gt;0,'Direct Costs 2026'!$C$45*B1085,"N/A")</f>
        <v>1350000</v>
      </c>
      <c r="N1085" s="423" cm="1">
        <f t="array" ref="N1085">IF(B1085&gt;0,_xlfn.IFERROR(VLOOKUP(C1074,'Boats Data Sheet 2026'!$C$3:$I$57,7,0)*'Direct Costs 2026'!$C$36,"N/A"),"N/A")</f>
        <v>3325000</v>
      </c>
      <c r="O1085" s="423" cm="1">
        <f t="array" ref="O1085">IF(B1085&gt;0,IF(OR(VLOOKUP(C1074,'Boats Data Sheet 2026'!$C$3:$F$57,4,0)="Own",VLOOKUP(C1074,'Boats Data Sheet 2026'!$C$3:$F$57,4,0)="Management"),('Direct Costs 2026'!$C$37+'Direct Costs 2026'!$C$39),"N/A"),"N/A")</f>
        <v>1112400</v>
      </c>
      <c r="P1085" s="423" cm="1">
        <f t="array" ref="P1085">_xlfn.IFERROR('Direct Costs 2026'!$C$27*C1085,"N/A")</f>
        <v>0</v>
      </c>
      <c r="Q1085" s="423" cm="1">
        <f t="array" ref="Q1085">_xlfn.IFERROR(C1085+SUM(E1085:P1085),"N/A")</f>
        <v>8910733.33333333</v>
      </c>
      <c r="R1085" s="424"/>
      <c r="S1085" s="423" cm="1">
        <f t="array" ref="S1085">IF(B1085&gt;0,'Allocation OH and Target 2026'!$E$31,"N/A")</f>
        <v>3100447.15769812</v>
      </c>
      <c r="T1085" s="423" cm="1">
        <f t="array" ref="T1085">IF(B1085&gt;0,VLOOKUP(C1074,'Allocation OH and Target 2026'!$C$35:$S$87,17,0),"N/A")</f>
        <v>971706.544186047</v>
      </c>
      <c r="U1085" s="423" cm="1">
        <f t="array" ref="U1085">_xlfn.IFERROR((S1085+T1085),"N/A")</f>
        <v>4072153.70188417</v>
      </c>
      <c r="V1085" s="424"/>
      <c r="W1085" s="423" cm="1">
        <f t="array" ref="W1085">_xlfn.IFERROR(U1085+Q1085,"N/A")</f>
        <v>12982887.0352175</v>
      </c>
      <c r="X1085" s="423" cm="1">
        <f t="array" ref="X1085">_xlfn.IFERROR(W1085*0.5%,"N/A")</f>
        <v>64914.4351760875</v>
      </c>
      <c r="Y1085" s="423" cm="1">
        <f t="array" ref="Y1085">_xlfn.IFERROR(W1085*25%,"N/A")</f>
        <v>3245721.75880438</v>
      </c>
      <c r="Z1085" s="425" cm="1">
        <f t="array" ref="Z1085">IF(B1085&gt;0,SUM(W1085:Y1085),"N/A")</f>
        <v>16293523.229198</v>
      </c>
      <c r="AA1085" s="425" cm="1">
        <f t="array" ref="AA1085">_xlfn.IFERROR((Z1085-Z1084),"N/A")</f>
        <v>239705</v>
      </c>
      <c r="AB1085" s="424"/>
      <c r="AC1085" t="str" s="426" cm="1">
        <f t="array" ref="AC1085">IF(B1085=6,AVERAGE(Z1077:Z1082),"N/A")</f>
        <v>N/A</v>
      </c>
      <c r="AD1085" s="424"/>
      <c r="AE1085" t="s" s="509">
        <v>565</v>
      </c>
      <c r="AF1085" s="510" cm="1">
        <f t="array" ref="AF1085">AF1084*50%</f>
        <v>170498212.310562</v>
      </c>
      <c r="AG1085" s="423"/>
      <c r="AH1085" s="423"/>
      <c r="AI1085" s="423"/>
      <c r="AJ1085" s="423"/>
      <c r="AK1085" s="423"/>
      <c r="AL1085" s="423"/>
      <c r="AM1085" s="423"/>
      <c r="AN1085" s="427"/>
    </row>
    <row r="1086" ht="15" customHeight="1">
      <c r="A1086" s="12"/>
      <c r="B1086" s="428" cm="1">
        <f t="array" ref="B1086">IF(B1085=0,0,IF(B1085&lt;VLOOKUP(C1074,'Boats Data Sheet 2026'!$C$3:$H$57,6,0),B1085+1,0))</f>
        <v>10</v>
      </c>
      <c r="C1086" s="423" cm="1">
        <f t="array" ref="C1086">IF(B1086&gt;0,IF(VLOOKUP(C1074,'Boats Data Sheet 2026'!$C$3:$J$57,8,0)="N/A",0,VLOOKUP(C1074,'Boats Data Sheet 2026'!$C$3:$J$57,8,0)),"N/A")</f>
        <v>0</v>
      </c>
      <c r="D1086" s="429" cm="1">
        <f t="array" ref="D1086">IF(B1086&gt;7,2,IF(B1086=0,"N/A",1))</f>
        <v>2</v>
      </c>
      <c r="E1086" s="423" cm="1">
        <f t="array" ref="E1086">_xlfn.IFERROR(SUM('Direct Costs 2026'!$C$4:$C$5)*D1086,"N/A")</f>
        <v>1751000</v>
      </c>
      <c r="F1086" s="423" cm="1">
        <f t="array" ref="F1086">_xlfn.IFERROR('Direct Costs 2026'!$C$43*B1086,"N/A")</f>
        <v>60000</v>
      </c>
      <c r="G1086" s="423" cm="1">
        <f t="array" ref="G1086">IF(B1086&gt;0,'Direct Costs 2026'!$C$25,"N/A")</f>
        <v>90000</v>
      </c>
      <c r="H1086" s="423" cm="1">
        <f t="array" ref="H1086">IF(B1086&gt;0,('Direct Costs 2026'!$C$15+'Direct Costs 2026'!$C$17+'Direct Costs 2026'!$C$14),"N/A")</f>
        <v>580000</v>
      </c>
      <c r="I1086" s="423" cm="1">
        <f t="array" ref="I1086">IF(B1086&gt;0,'Direct Costs 2026'!$C$19+'Direct Costs 2026'!$C$18*B1086,"N/A")</f>
        <v>425000</v>
      </c>
      <c r="J1086" s="423" cm="1">
        <f t="array" ref="J1086">IF(B1086&gt;0,SUM('Direct Costs 2026'!$C$20:$C$21),"N/A")</f>
        <v>98333.3333333333</v>
      </c>
      <c r="K1086" s="423" cm="1">
        <f t="array" ref="K1086">IF(B1086&gt;0,'Direct Costs 2026'!$C$26,"N/A")</f>
        <v>20000</v>
      </c>
      <c r="L1086" s="423" cm="1">
        <f t="array" ref="L1086">IF(B1086&gt;0,'Direct Costs 2026'!$C$23,"N/A")</f>
        <v>140000</v>
      </c>
      <c r="M1086" s="423" cm="1">
        <f t="array" ref="M1086">IF(B1086&gt;0,'Direct Costs 2026'!$C$45*B1086,"N/A")</f>
        <v>1500000</v>
      </c>
      <c r="N1086" s="423" cm="1">
        <f t="array" ref="N1086">IF(B1086&gt;0,_xlfn.IFERROR(VLOOKUP(C1074,'Boats Data Sheet 2026'!$C$3:$I$57,7,0)*'Direct Costs 2026'!$C$36,"N/A"),"N/A")</f>
        <v>3325000</v>
      </c>
      <c r="O1086" s="423" cm="1">
        <f t="array" ref="O1086">IF(B1086&gt;0,IF(OR(VLOOKUP(C1074,'Boats Data Sheet 2026'!$C$3:$F$57,4,0)="Own",VLOOKUP(C1074,'Boats Data Sheet 2026'!$C$3:$F$57,4,0)="Management"),('Direct Costs 2026'!$C$37+'Direct Costs 2026'!$C$39),"N/A"),"N/A")</f>
        <v>1112400</v>
      </c>
      <c r="P1086" s="423" cm="1">
        <f t="array" ref="P1086">_xlfn.IFERROR('Direct Costs 2026'!$C$27*C1086,"N/A")</f>
        <v>0</v>
      </c>
      <c r="Q1086" s="423" cm="1">
        <f t="array" ref="Q1086">_xlfn.IFERROR(C1086+SUM(E1086:P1086),"N/A")</f>
        <v>9101733.33333333</v>
      </c>
      <c r="R1086" s="424"/>
      <c r="S1086" s="423" cm="1">
        <f t="array" ref="S1086">IF(B1086&gt;0,'Allocation OH and Target 2026'!$E$31,"N/A")</f>
        <v>3100447.15769812</v>
      </c>
      <c r="T1086" s="423" cm="1">
        <f t="array" ref="T1086">IF(B1086&gt;0,VLOOKUP(C1074,'Allocation OH and Target 2026'!$C$35:$S$87,17,0),"N/A")</f>
        <v>971706.544186047</v>
      </c>
      <c r="U1086" s="423" cm="1">
        <f t="array" ref="U1086">_xlfn.IFERROR((S1086+T1086),"N/A")</f>
        <v>4072153.70188417</v>
      </c>
      <c r="V1086" s="424"/>
      <c r="W1086" s="423" cm="1">
        <f t="array" ref="W1086">_xlfn.IFERROR(U1086+Q1086,"N/A")</f>
        <v>13173887.0352175</v>
      </c>
      <c r="X1086" s="423" cm="1">
        <f t="array" ref="X1086">_xlfn.IFERROR(W1086*0.5%,"N/A")</f>
        <v>65869.4351760875</v>
      </c>
      <c r="Y1086" s="423" cm="1">
        <f t="array" ref="Y1086">_xlfn.IFERROR(W1086*25%,"N/A")</f>
        <v>3293471.75880438</v>
      </c>
      <c r="Z1086" s="425" cm="1">
        <f t="array" ref="Z1086">IF(B1086&gt;0,SUM(W1086:Y1086),"N/A")</f>
        <v>16533228.229198</v>
      </c>
      <c r="AA1086" s="425" cm="1">
        <f t="array" ref="AA1086">_xlfn.IFERROR((Z1086-Z1085),"N/A")</f>
        <v>239705</v>
      </c>
      <c r="AB1086" s="424"/>
      <c r="AC1086" t="str" s="426" cm="1">
        <f t="array" ref="AC1086">IF(B1086=6,AVERAGE(Z1077:Z1082),"N/A")</f>
        <v>N/A</v>
      </c>
      <c r="AD1086" s="424"/>
      <c r="AE1086" s="423"/>
      <c r="AF1086" s="423"/>
      <c r="AG1086" s="423"/>
      <c r="AH1086" s="423"/>
      <c r="AI1086" s="423"/>
      <c r="AJ1086" s="423"/>
      <c r="AK1086" s="423"/>
      <c r="AL1086" s="423"/>
      <c r="AM1086" s="423"/>
      <c r="AN1086" s="427"/>
    </row>
    <row r="1087" ht="15" customHeight="1">
      <c r="A1087" s="12"/>
      <c r="B1087" s="428" cm="1">
        <f t="array" ref="B1087">IF(B1086=0,0,IF(B1086&lt;VLOOKUP(C1074,'Boats Data Sheet 2026'!$C$3:$H$57,6,0),B1086+1,0))</f>
        <v>11</v>
      </c>
      <c r="C1087" s="423" cm="1">
        <f t="array" ref="C1087">IF(B1087&gt;0,IF(VLOOKUP(C1074,'Boats Data Sheet 2026'!$C$3:$J$57,8,0)="N/A",0,VLOOKUP(C1074,'Boats Data Sheet 2026'!$C$3:$J$57,8,0)),"N/A")</f>
        <v>0</v>
      </c>
      <c r="D1087" s="429" cm="1">
        <f t="array" ref="D1087">IF(B1087&gt;7,2,IF(B1087=0,"N/A",1))</f>
        <v>2</v>
      </c>
      <c r="E1087" s="423" cm="1">
        <f t="array" ref="E1087">_xlfn.IFERROR(SUM('Direct Costs 2026'!$C$4:$C$5)*D1087,"N/A")</f>
        <v>1751000</v>
      </c>
      <c r="F1087" s="423" cm="1">
        <f t="array" ref="F1087">_xlfn.IFERROR('Direct Costs 2026'!$C$43*B1087,"N/A")</f>
        <v>66000</v>
      </c>
      <c r="G1087" s="423" cm="1">
        <f t="array" ref="G1087">IF(B1087&gt;0,'Direct Costs 2026'!$C$25,"N/A")</f>
        <v>90000</v>
      </c>
      <c r="H1087" s="423" cm="1">
        <f t="array" ref="H1087">IF(B1087&gt;0,('Direct Costs 2026'!$C$15+'Direct Costs 2026'!$C$17+'Direct Costs 2026'!$C$14),"N/A")</f>
        <v>580000</v>
      </c>
      <c r="I1087" s="423" cm="1">
        <f t="array" ref="I1087">IF(B1087&gt;0,'Direct Costs 2026'!$C$19+'Direct Costs 2026'!$C$18*B1087,"N/A")</f>
        <v>460000</v>
      </c>
      <c r="J1087" s="423" cm="1">
        <f t="array" ref="J1087">IF(B1087&gt;0,SUM('Direct Costs 2026'!$C$20:$C$21),"N/A")</f>
        <v>98333.3333333333</v>
      </c>
      <c r="K1087" s="423" cm="1">
        <f t="array" ref="K1087">IF(B1087&gt;0,'Direct Costs 2026'!$C$26,"N/A")</f>
        <v>20000</v>
      </c>
      <c r="L1087" s="423" cm="1">
        <f t="array" ref="L1087">IF(B1087&gt;0,'Direct Costs 2026'!$C$23,"N/A")</f>
        <v>140000</v>
      </c>
      <c r="M1087" s="423" cm="1">
        <f t="array" ref="M1087">IF(B1087&gt;0,'Direct Costs 2026'!$C$45*B1087,"N/A")</f>
        <v>1650000</v>
      </c>
      <c r="N1087" s="423" cm="1">
        <f t="array" ref="N1087">IF(B1087&gt;0,_xlfn.IFERROR(VLOOKUP(C1074,'Boats Data Sheet 2026'!$C$3:$I$57,7,0)*'Direct Costs 2026'!$C$36,"N/A"),"N/A")</f>
        <v>3325000</v>
      </c>
      <c r="O1087" s="423" cm="1">
        <f t="array" ref="O1087">IF(B1087&gt;0,IF(OR(VLOOKUP(C1074,'Boats Data Sheet 2026'!$C$3:$F$57,4,0)="Own",VLOOKUP(C1074,'Boats Data Sheet 2026'!$C$3:$F$57,4,0)="Management"),('Direct Costs 2026'!$C$37+'Direct Costs 2026'!$C$39),"N/A"),"N/A")</f>
        <v>1112400</v>
      </c>
      <c r="P1087" s="423" cm="1">
        <f t="array" ref="P1087">_xlfn.IFERROR('Direct Costs 2026'!$C$27*C1087,"N/A")</f>
        <v>0</v>
      </c>
      <c r="Q1087" s="423" cm="1">
        <f t="array" ref="Q1087">_xlfn.IFERROR(C1087+SUM(E1087:P1087),"N/A")</f>
        <v>9292733.33333333</v>
      </c>
      <c r="R1087" s="424"/>
      <c r="S1087" s="423" cm="1">
        <f t="array" ref="S1087">IF(B1087&gt;0,'Allocation OH and Target 2026'!$E$31,"N/A")</f>
        <v>3100447.15769812</v>
      </c>
      <c r="T1087" s="423" cm="1">
        <f t="array" ref="T1087">IF(B1087&gt;0,VLOOKUP(C1074,'Allocation OH and Target 2026'!$C$35:$S$87,17,0),"N/A")</f>
        <v>971706.544186047</v>
      </c>
      <c r="U1087" s="423" cm="1">
        <f t="array" ref="U1087">_xlfn.IFERROR((S1087+T1087),"N/A")</f>
        <v>4072153.70188417</v>
      </c>
      <c r="V1087" s="424"/>
      <c r="W1087" s="423" cm="1">
        <f t="array" ref="W1087">_xlfn.IFERROR(U1087+Q1087,"N/A")</f>
        <v>13364887.0352175</v>
      </c>
      <c r="X1087" s="423" cm="1">
        <f t="array" ref="X1087">_xlfn.IFERROR(W1087*0.5%,"N/A")</f>
        <v>66824.4351760875</v>
      </c>
      <c r="Y1087" s="423" cm="1">
        <f t="array" ref="Y1087">_xlfn.IFERROR(W1087*25%,"N/A")</f>
        <v>3341221.75880438</v>
      </c>
      <c r="Z1087" s="425" cm="1">
        <f t="array" ref="Z1087">IF(B1087&gt;0,SUM(W1087:Y1087),"N/A")</f>
        <v>16772933.229198</v>
      </c>
      <c r="AA1087" s="425" cm="1">
        <f t="array" ref="AA1087">_xlfn.IFERROR((Z1087-Z1086),"N/A")</f>
        <v>239705</v>
      </c>
      <c r="AB1087" s="424"/>
      <c r="AC1087" t="str" s="426" cm="1">
        <f t="array" ref="AC1087">IF(B1087=6,AVERAGE(Z1077:Z1082),"N/A")</f>
        <v>N/A</v>
      </c>
      <c r="AD1087" s="424"/>
      <c r="AE1087" s="423"/>
      <c r="AF1087" s="423"/>
      <c r="AG1087" s="423"/>
      <c r="AH1087" s="423"/>
      <c r="AI1087" s="423"/>
      <c r="AJ1087" s="423"/>
      <c r="AK1087" s="423"/>
      <c r="AL1087" s="423"/>
      <c r="AM1087" s="423"/>
      <c r="AN1087" s="427"/>
    </row>
    <row r="1088" ht="15" customHeight="1">
      <c r="A1088" s="12"/>
      <c r="B1088" s="428" cm="1">
        <f t="array" ref="B1088">IF(B1087=0,0,IF(B1087&lt;VLOOKUP(C1074,'Boats Data Sheet 2026'!$C$3:$H$57,6,0),B1087+1,0))</f>
        <v>12</v>
      </c>
      <c r="C1088" s="423" cm="1">
        <f t="array" ref="C1088">IF(B1088&gt;0,IF(VLOOKUP(C1074,'Boats Data Sheet 2026'!$C$3:$J$57,8,0)="N/A",0,VLOOKUP(C1074,'Boats Data Sheet 2026'!$C$3:$J$57,8,0)),"N/A")</f>
        <v>0</v>
      </c>
      <c r="D1088" s="429" cm="1">
        <f t="array" ref="D1088">IF(B1088&gt;7,2,IF(B1088=0,"N/A",1))</f>
        <v>2</v>
      </c>
      <c r="E1088" s="423" cm="1">
        <f t="array" ref="E1088">_xlfn.IFERROR(SUM('Direct Costs 2026'!$C$4:$C$5)*D1088,"N/A")</f>
        <v>1751000</v>
      </c>
      <c r="F1088" s="423" cm="1">
        <f t="array" ref="F1088">_xlfn.IFERROR('Direct Costs 2026'!$C$43*B1088,"N/A")</f>
        <v>72000</v>
      </c>
      <c r="G1088" s="423" cm="1">
        <f t="array" ref="G1088">IF(B1088&gt;0,'Direct Costs 2026'!$C$25,"N/A")</f>
        <v>90000</v>
      </c>
      <c r="H1088" s="423" cm="1">
        <f t="array" ref="H1088">IF(B1088&gt;0,('Direct Costs 2026'!$C$15+'Direct Costs 2026'!$C$17+'Direct Costs 2026'!$C$14),"N/A")</f>
        <v>580000</v>
      </c>
      <c r="I1088" s="423" cm="1">
        <f t="array" ref="I1088">IF(B1088&gt;0,'Direct Costs 2026'!$C$19+'Direct Costs 2026'!$C$18*B1088,"N/A")</f>
        <v>495000</v>
      </c>
      <c r="J1088" s="423" cm="1">
        <f t="array" ref="J1088">IF(B1088&gt;0,SUM('Direct Costs 2026'!$C$20:$C$21),"N/A")</f>
        <v>98333.3333333333</v>
      </c>
      <c r="K1088" s="423" cm="1">
        <f t="array" ref="K1088">IF(B1088&gt;0,'Direct Costs 2026'!$C$26,"N/A")</f>
        <v>20000</v>
      </c>
      <c r="L1088" s="423" cm="1">
        <f t="array" ref="L1088">IF(B1088&gt;0,'Direct Costs 2026'!$C$23,"N/A")</f>
        <v>140000</v>
      </c>
      <c r="M1088" s="423" cm="1">
        <f t="array" ref="M1088">IF(B1088&gt;0,'Direct Costs 2026'!$C$45*B1088,"N/A")</f>
        <v>1800000</v>
      </c>
      <c r="N1088" s="423" cm="1">
        <f t="array" ref="N1088">IF(B1088&gt;0,_xlfn.IFERROR(VLOOKUP(C1074,'Boats Data Sheet 2026'!$C$3:$I$57,7,0)*'Direct Costs 2026'!$C$36,"N/A"),"N/A")</f>
        <v>3325000</v>
      </c>
      <c r="O1088" s="423" cm="1">
        <f t="array" ref="O1088">IF(B1088&gt;0,IF(OR(VLOOKUP(C1074,'Boats Data Sheet 2026'!$C$3:$F$57,4,0)="Own",VLOOKUP(C1074,'Boats Data Sheet 2026'!$C$3:$F$57,4,0)="Management"),('Direct Costs 2026'!$C$37+'Direct Costs 2026'!$C$39),"N/A"),"N/A")</f>
        <v>1112400</v>
      </c>
      <c r="P1088" s="423" cm="1">
        <f t="array" ref="P1088">_xlfn.IFERROR('Direct Costs 2026'!$C$27*C1088,"N/A")</f>
        <v>0</v>
      </c>
      <c r="Q1088" s="423" cm="1">
        <f t="array" ref="Q1088">_xlfn.IFERROR(C1088+SUM(E1088:P1088),"N/A")</f>
        <v>9483733.33333333</v>
      </c>
      <c r="R1088" s="424"/>
      <c r="S1088" s="423" cm="1">
        <f t="array" ref="S1088">IF(B1088&gt;0,'Allocation OH and Target 2026'!$E$31,"N/A")</f>
        <v>3100447.15769812</v>
      </c>
      <c r="T1088" s="423" cm="1">
        <f t="array" ref="T1088">IF(B1089&gt;0,VLOOKUP(C1074,'Allocation OH and Target 2026'!$C$35:$S$87,17,0),"N/A")</f>
        <v>971706.544186047</v>
      </c>
      <c r="U1088" s="423" cm="1">
        <f t="array" ref="U1088">_xlfn.IFERROR((S1088+T1088),"N/A")</f>
        <v>4072153.70188417</v>
      </c>
      <c r="V1088" s="424"/>
      <c r="W1088" s="423" cm="1">
        <f t="array" ref="W1088">_xlfn.IFERROR(U1088+Q1088,"N/A")</f>
        <v>13555887.0352175</v>
      </c>
      <c r="X1088" s="423" cm="1">
        <f t="array" ref="X1088">_xlfn.IFERROR(W1088*0.5%,"N/A")</f>
        <v>67779.4351760875</v>
      </c>
      <c r="Y1088" s="423" cm="1">
        <f t="array" ref="Y1088">_xlfn.IFERROR(W1088*25%,"N/A")</f>
        <v>3388971.75880438</v>
      </c>
      <c r="Z1088" s="425" cm="1">
        <f t="array" ref="Z1088">IF(B1088&gt;0,SUM(W1088:Y1088),"N/A")</f>
        <v>17012638.229198</v>
      </c>
      <c r="AA1088" s="425" cm="1">
        <f t="array" ref="AA1088">_xlfn.IFERROR((Z1088-Z1087),"N/A")</f>
        <v>239705</v>
      </c>
      <c r="AB1088" s="424"/>
      <c r="AC1088" t="str" s="426" cm="1">
        <f t="array" ref="AC1088">IF(B1088=6,AVERAGE(Z1077:Z1082),"N/A")</f>
        <v>N/A</v>
      </c>
      <c r="AD1088" s="424"/>
      <c r="AE1088" s="423"/>
      <c r="AF1088" s="423"/>
      <c r="AG1088" s="423"/>
      <c r="AH1088" s="423"/>
      <c r="AI1088" s="423"/>
      <c r="AJ1088" s="423"/>
      <c r="AK1088" s="423"/>
      <c r="AL1088" s="423"/>
      <c r="AM1088" s="423"/>
      <c r="AN1088" s="427"/>
    </row>
    <row r="1089" ht="15" customHeight="1">
      <c r="A1089" s="12"/>
      <c r="B1089" s="428" cm="1">
        <f t="array" ref="B1089">IF(B1088=0,0,IF(B1088&lt;VLOOKUP(C1074,'Boats Data Sheet 2026'!$C$3:$H$57,6,0),B1088+1,0))</f>
        <v>13</v>
      </c>
      <c r="C1089" s="423" cm="1">
        <f t="array" ref="C1089">IF(B1089&gt;0,IF(VLOOKUP(C1074,'Boats Data Sheet 2026'!$C$3:$J$57,8,0)="N/A",0,VLOOKUP(C1074,'Boats Data Sheet 2026'!$C$3:$J$57,8,0)),"N/A")</f>
        <v>0</v>
      </c>
      <c r="D1089" s="429" cm="1">
        <f t="array" ref="D1089">IF(B1089&gt;7,2,IF(B1089=0,"N/A",1))</f>
        <v>2</v>
      </c>
      <c r="E1089" s="423" cm="1">
        <f t="array" ref="E1089">_xlfn.IFERROR(SUM('Direct Costs 2026'!$C$4:$C$5)*D1089,"N/A")</f>
        <v>1751000</v>
      </c>
      <c r="F1089" s="423" cm="1">
        <f t="array" ref="F1089">_xlfn.IFERROR('Direct Costs 2026'!$C$43*B1089,"N/A")</f>
        <v>78000</v>
      </c>
      <c r="G1089" s="423" cm="1">
        <f t="array" ref="G1089">IF(B1089&gt;0,'Direct Costs 2026'!$C$25,"N/A")</f>
        <v>90000</v>
      </c>
      <c r="H1089" s="423" cm="1">
        <f t="array" ref="H1089">IF(B1089&gt;0,('Direct Costs 2026'!$C$15+'Direct Costs 2026'!$C$17+'Direct Costs 2026'!$C$14),"N/A")</f>
        <v>580000</v>
      </c>
      <c r="I1089" s="423" cm="1">
        <f t="array" ref="I1089">IF(B1089&gt;0,'Direct Costs 2026'!$C$19+'Direct Costs 2026'!$C$18*B1089,"N/A")</f>
        <v>530000</v>
      </c>
      <c r="J1089" s="423" cm="1">
        <f t="array" ref="J1089">IF(B1089&gt;0,SUM('Direct Costs 2026'!$C$20:$C$21),"N/A")</f>
        <v>98333.3333333333</v>
      </c>
      <c r="K1089" s="423" cm="1">
        <f t="array" ref="K1089">IF(B1089&gt;0,'Direct Costs 2026'!$C$26,"N/A")</f>
        <v>20000</v>
      </c>
      <c r="L1089" s="423" cm="1">
        <f t="array" ref="L1089">IF(B1089&gt;0,'Direct Costs 2026'!$C$23,"N/A")</f>
        <v>140000</v>
      </c>
      <c r="M1089" s="423" cm="1">
        <f t="array" ref="M1089">IF(B1089&gt;0,'Direct Costs 2026'!$C$45*B1089,"N/A")</f>
        <v>1950000</v>
      </c>
      <c r="N1089" s="423" cm="1">
        <f t="array" ref="N1089">IF(B1089&gt;0,_xlfn.IFERROR(VLOOKUP(C1074,'Boats Data Sheet 2026'!$C$3:$I$57,7,0)*'Direct Costs 2026'!$C$36,"N/A"),"N/A")</f>
        <v>3325000</v>
      </c>
      <c r="O1089" s="423" cm="1">
        <f t="array" ref="O1089">IF(B1089&gt;0,IF(OR(VLOOKUP(C1074,'Boats Data Sheet 2026'!$C$3:$F$57,4,0)="Own",VLOOKUP(C1074,'Boats Data Sheet 2026'!$C$3:$F$57,4,0)="Management"),('Direct Costs 2026'!$C$37+'Direct Costs 2026'!$C$39),"N/A"),"N/A")</f>
        <v>1112400</v>
      </c>
      <c r="P1089" s="423" cm="1">
        <f t="array" ref="P1089">_xlfn.IFERROR('Direct Costs 2026'!$C$27*C1089,"N/A")</f>
        <v>0</v>
      </c>
      <c r="Q1089" s="423" cm="1">
        <f t="array" ref="Q1089">_xlfn.IFERROR(C1089+SUM(E1089:P1089),"N/A")</f>
        <v>9674733.33333333</v>
      </c>
      <c r="R1089" s="424"/>
      <c r="S1089" s="423" cm="1">
        <f t="array" ref="S1089">IF(B1089&gt;0,'Allocation OH and Target 2026'!$E$31,"N/A")</f>
        <v>3100447.15769812</v>
      </c>
      <c r="T1089" s="423" cm="1">
        <f t="array" ref="T1089">IF(B1089&gt;0,VLOOKUP(C1074,'Allocation OH and Target 2026'!$C$35:$S$87,17,0),"N/A")</f>
        <v>971706.544186047</v>
      </c>
      <c r="U1089" s="423" cm="1">
        <f t="array" ref="U1089">_xlfn.IFERROR((S1089+T1089),"N/A")</f>
        <v>4072153.70188417</v>
      </c>
      <c r="V1089" s="424"/>
      <c r="W1089" s="423" cm="1">
        <f t="array" ref="W1089">_xlfn.IFERROR(U1089+Q1089,"N/A")</f>
        <v>13746887.0352175</v>
      </c>
      <c r="X1089" s="423" cm="1">
        <f t="array" ref="X1089">_xlfn.IFERROR(W1089*0.5%,"N/A")</f>
        <v>68734.4351760875</v>
      </c>
      <c r="Y1089" s="423" cm="1">
        <f t="array" ref="Y1089">_xlfn.IFERROR(W1089*25%,"N/A")</f>
        <v>3436721.75880438</v>
      </c>
      <c r="Z1089" s="425" cm="1">
        <f t="array" ref="Z1089">IF(B1089&gt;0,SUM(W1089:Y1089),"N/A")</f>
        <v>17252343.229198</v>
      </c>
      <c r="AA1089" s="425" cm="1">
        <f t="array" ref="AA1089">_xlfn.IFERROR((Z1089-Z1088),"N/A")</f>
        <v>239705</v>
      </c>
      <c r="AB1089" s="424"/>
      <c r="AC1089" t="str" s="426" cm="1">
        <f t="array" ref="AC1089">IF(B1089=6,AVERAGE(Z1077:Z1082),"N/A")</f>
        <v>N/A</v>
      </c>
      <c r="AD1089" s="424"/>
      <c r="AE1089" s="423"/>
      <c r="AF1089" s="423"/>
      <c r="AG1089" s="423"/>
      <c r="AH1089" s="423"/>
      <c r="AI1089" s="423"/>
      <c r="AJ1089" s="423"/>
      <c r="AK1089" s="423"/>
      <c r="AL1089" s="423"/>
      <c r="AM1089" s="423"/>
      <c r="AN1089" s="427"/>
    </row>
    <row r="1090" ht="15" customHeight="1">
      <c r="A1090" s="12"/>
      <c r="B1090" s="428" cm="1">
        <f t="array" ref="B1090">IF(B1089=0,0,IF(B1089&lt;VLOOKUP(C1074,'Boats Data Sheet 2026'!$C$3:$H$57,6,0),B1089+1,0))</f>
        <v>0</v>
      </c>
      <c r="C1090" t="str" s="431" cm="1">
        <f t="array" ref="C1090">IF(B1090&gt;0,IF(VLOOKUP(C1074,'Boats Data Sheet 2026'!$C$3:$J$57,8,0)="N/A",0,VLOOKUP(C1074,'Boats Data Sheet 2026'!$C$3:$J$57,8,0)),"N/A")</f>
        <v>N/A</v>
      </c>
      <c r="D1090" t="str" s="431" cm="1">
        <f t="array" ref="D1090">IF(B1090&gt;7,2,IF(B1090=0,"N/A",1))</f>
        <v>N/A</v>
      </c>
      <c r="E1090" t="str" s="431" cm="1">
        <f t="array" ref="E1090">_xlfn.IFERROR(SUM('Direct Costs 2026'!$C$4:$C$5)*D1090,"N/A")</f>
        <v>N/A</v>
      </c>
      <c r="F1090" s="423" cm="1">
        <f t="array" ref="F1090">_xlfn.IFERROR('Direct Costs 2026'!$C$43*B1090,"N/A")</f>
        <v>0</v>
      </c>
      <c r="G1090" t="str" s="431" cm="1">
        <f t="array" ref="G1090">IF(B1090&gt;0,'Direct Costs 2026'!$C$25,"N/A")</f>
        <v>N/A</v>
      </c>
      <c r="H1090" t="str" s="431" cm="1">
        <f t="array" ref="H1090">IF(B1090&gt;0,('Direct Costs 2026'!$C$15+'Direct Costs 2026'!$C$17+'Direct Costs 2026'!$C$14),"N/A")</f>
        <v>N/A</v>
      </c>
      <c r="I1090" t="str" s="431" cm="1">
        <f t="array" ref="I1090">IF(B1090&gt;0,'Direct Costs 2026'!$C$19+'Direct Costs 2026'!$C$18*B1090,"N/A")</f>
        <v>N/A</v>
      </c>
      <c r="J1090" t="str" s="431" cm="1">
        <f t="array" ref="J1090">IF(B1090&gt;0,SUM('Direct Costs 2026'!$C$20:$C$21),"N/A")</f>
        <v>N/A</v>
      </c>
      <c r="K1090" t="str" s="431" cm="1">
        <f t="array" ref="K1090">IF(B1090&gt;0,'Direct Costs 2026'!$C$26,"N/A")</f>
        <v>N/A</v>
      </c>
      <c r="L1090" t="str" s="431" cm="1">
        <f t="array" ref="L1090">IF(B1090&gt;0,'Direct Costs 2026'!$C$23,"N/A")</f>
        <v>N/A</v>
      </c>
      <c r="M1090" t="str" s="431" cm="1">
        <f t="array" ref="M1090">IF(B1090&gt;0,'Direct Costs 2026'!$C$45*B1090,"N/A")</f>
        <v>N/A</v>
      </c>
      <c r="N1090" t="str" s="431" cm="1">
        <f t="array" ref="N1090">IF(B1090&gt;0,_xlfn.IFERROR(VLOOKUP(C1074,'Boats Data Sheet 2026'!$C$3:$I$57,7,0)*'Direct Costs 2026'!$C$36,"N/A"),"N/A")</f>
        <v>N/A</v>
      </c>
      <c r="O1090" t="str" s="431" cm="1">
        <f t="array" ref="O1090">IF(B1090&gt;0,IF(OR(VLOOKUP(C1074,'Boats Data Sheet 2026'!$C$3:$F$57,4,0)="Own",VLOOKUP(C1074,'Boats Data Sheet 2026'!$C$3:$F$57,4,0)="Management"),('Direct Costs 2026'!$C$37+'Direct Costs 2026'!$C$39),"N/A"),"N/A")</f>
        <v>N/A</v>
      </c>
      <c r="P1090" t="str" s="431" cm="1">
        <f t="array" ref="P1090">_xlfn.IFERROR('Direct Costs 2026'!$C$27*C1090,"N/A")</f>
        <v>N/A</v>
      </c>
      <c r="Q1090" t="str" s="431" cm="1">
        <f t="array" ref="Q1090">_xlfn.IFERROR(C1090+SUM(E1090:P1090),"N/A")</f>
        <v>N/A</v>
      </c>
      <c r="R1090" s="424"/>
      <c r="S1090" t="str" s="431" cm="1">
        <f t="array" ref="S1090">IF(B1090&gt;0,'Allocation OH and Target 2026'!$E$31,"N/A")</f>
        <v>N/A</v>
      </c>
      <c r="T1090" t="str" s="431" cm="1">
        <f t="array" ref="T1090">IF(B1090&gt;0,VLOOKUP(C1074,'Allocation OH and Target 2026'!$C$35:$S$87,17,0),"N/A")</f>
        <v>N/A</v>
      </c>
      <c r="U1090" t="str" s="431" cm="1">
        <f t="array" ref="U1090">_xlfn.IFERROR((S1090+T1090),"N/A")</f>
        <v>N/A</v>
      </c>
      <c r="V1090" s="424"/>
      <c r="W1090" t="str" s="431" cm="1">
        <f t="array" ref="W1090">_xlfn.IFERROR(U1090+Q1090,"N/A")</f>
        <v>N/A</v>
      </c>
      <c r="X1090" t="str" s="431" cm="1">
        <f t="array" ref="X1090">_xlfn.IFERROR(W1090*0.5%,"N/A")</f>
        <v>N/A</v>
      </c>
      <c r="Y1090" t="str" s="431" cm="1">
        <f t="array" ref="Y1090">_xlfn.IFERROR(W1090*25%,"N/A")</f>
        <v>N/A</v>
      </c>
      <c r="Z1090" t="str" s="426" cm="1">
        <f t="array" ref="Z1090">IF(B1090&gt;0,SUM(W1090:Y1090),"N/A")</f>
        <v>N/A</v>
      </c>
      <c r="AA1090" t="str" s="426" cm="1">
        <f t="array" ref="AA1090">_xlfn.IFERROR((Z1090-Z1089),"N/A")</f>
        <v>N/A</v>
      </c>
      <c r="AB1090" s="424"/>
      <c r="AC1090" t="str" s="426" cm="1">
        <f t="array" ref="AC1090">IF(B1090=6,AVERAGE(Z1077:Z1082),"N/A")</f>
        <v>N/A</v>
      </c>
      <c r="AD1090" s="424"/>
      <c r="AE1090" s="423"/>
      <c r="AF1090" s="423"/>
      <c r="AG1090" s="423"/>
      <c r="AH1090" s="423"/>
      <c r="AI1090" s="423"/>
      <c r="AJ1090" s="423"/>
      <c r="AK1090" s="423"/>
      <c r="AL1090" s="423"/>
      <c r="AM1090" s="423"/>
      <c r="AN1090" s="427"/>
    </row>
    <row r="1091" ht="15" customHeight="1">
      <c r="A1091" s="12"/>
      <c r="B1091" s="428" cm="1">
        <f t="array" ref="B1091">IF(B1090=0,0,IF(B1090&lt;VLOOKUP(C1074,'Boats Data Sheet 2026'!$C$3:$H$57,6,0),B1090+1,0))</f>
        <v>0</v>
      </c>
      <c r="C1091" t="str" s="431" cm="1">
        <f t="array" ref="C1091">IF(B1091&gt;0,IF(VLOOKUP(C1074,'Boats Data Sheet 2026'!$C$3:$J$57,8,0)="N/A",0,VLOOKUP(C1074,'Boats Data Sheet 2026'!$C$3:$J$57,8,0)),"N/A")</f>
        <v>N/A</v>
      </c>
      <c r="D1091" t="str" s="431" cm="1">
        <f t="array" ref="D1091">IF(B1091&gt;7,2,IF(B1091=0,"N/A",1))</f>
        <v>N/A</v>
      </c>
      <c r="E1091" t="str" s="431" cm="1">
        <f t="array" ref="E1091">_xlfn.IFERROR(SUM('Direct Costs 2026'!$C$4:$C$5)*D1091,"N/A")</f>
        <v>N/A</v>
      </c>
      <c r="F1091" s="423" cm="1">
        <f t="array" ref="F1091">_xlfn.IFERROR('Direct Costs 2026'!$C$43*B1091,"N/A")</f>
        <v>0</v>
      </c>
      <c r="G1091" t="str" s="431" cm="1">
        <f t="array" ref="G1091">IF(B1091&gt;0,'Direct Costs 2026'!$C$25,"N/A")</f>
        <v>N/A</v>
      </c>
      <c r="H1091" t="str" s="431" cm="1">
        <f t="array" ref="H1091">IF(B1091&gt;0,('Direct Costs 2026'!$C$15+'Direct Costs 2026'!$C$17+'Direct Costs 2026'!$C$14),"N/A")</f>
        <v>N/A</v>
      </c>
      <c r="I1091" t="str" s="431" cm="1">
        <f t="array" ref="I1091">IF(B1091&gt;0,'Direct Costs 2026'!$C$19+'Direct Costs 2026'!$C$18*B1091,"N/A")</f>
        <v>N/A</v>
      </c>
      <c r="J1091" t="str" s="431" cm="1">
        <f t="array" ref="J1091">IF(B1091&gt;0,SUM('Direct Costs 2026'!$C$20:$C$21),"N/A")</f>
        <v>N/A</v>
      </c>
      <c r="K1091" t="str" s="431" cm="1">
        <f t="array" ref="K1091">IF(B1091&gt;0,'Direct Costs 2026'!$C$26,"N/A")</f>
        <v>N/A</v>
      </c>
      <c r="L1091" t="str" s="431" cm="1">
        <f t="array" ref="L1091">IF(B1091&gt;0,'Direct Costs 2026'!$C$23,"N/A")</f>
        <v>N/A</v>
      </c>
      <c r="M1091" t="str" s="431" cm="1">
        <f t="array" ref="M1091">IF(B1091&gt;0,'Direct Costs 2026'!$C$45*B1091,"N/A")</f>
        <v>N/A</v>
      </c>
      <c r="N1091" t="str" s="431" cm="1">
        <f t="array" ref="N1091">IF(B1091&gt;0,_xlfn.IFERROR(VLOOKUP(C1074,'Boats Data Sheet 2026'!$C$3:$I$57,7,0)*'Direct Costs 2026'!$C$36,"N/A"),"N/A")</f>
        <v>N/A</v>
      </c>
      <c r="O1091" t="str" s="431" cm="1">
        <f t="array" ref="O1091">IF(B1091&gt;0,IF(OR(VLOOKUP(C1074,'Boats Data Sheet 2026'!$C$3:$F$57,4,0)="Own",VLOOKUP(C1074,'Boats Data Sheet 2026'!$C$3:$F$57,4,0)="Management"),('Direct Costs 2026'!$C$37+'Direct Costs 2026'!$C$39),"N/A"),"N/A")</f>
        <v>N/A</v>
      </c>
      <c r="P1091" t="str" s="431" cm="1">
        <f t="array" ref="P1091">_xlfn.IFERROR('Direct Costs 2026'!$C$27*C1091,"N/A")</f>
        <v>N/A</v>
      </c>
      <c r="Q1091" t="str" s="431" cm="1">
        <f t="array" ref="Q1091">_xlfn.IFERROR(C1091+SUM(E1091:P1091),"N/A")</f>
        <v>N/A</v>
      </c>
      <c r="R1091" s="424"/>
      <c r="S1091" t="str" s="431" cm="1">
        <f t="array" ref="S1091">IF(B1091&gt;0,'Allocation OH and Target 2026'!$E$31,"N/A")</f>
        <v>N/A</v>
      </c>
      <c r="T1091" t="str" s="431" cm="1">
        <f t="array" ref="T1091">IF(B1091&gt;0,VLOOKUP(C1074,'Allocation OH and Target 2026'!$C$35:$S$87,16,0),"N/A")</f>
        <v>N/A</v>
      </c>
      <c r="U1091" t="str" s="431" cm="1">
        <f t="array" ref="U1091">_xlfn.IFERROR((S1091+T1091),"N/A")</f>
        <v>N/A</v>
      </c>
      <c r="V1091" s="424"/>
      <c r="W1091" t="str" s="431" cm="1">
        <f t="array" ref="W1091">_xlfn.IFERROR(U1091+Q1091,"N/A")</f>
        <v>N/A</v>
      </c>
      <c r="X1091" t="str" s="431" cm="1">
        <f t="array" ref="X1091">_xlfn.IFERROR(W1091*0.5%,"N/A")</f>
        <v>N/A</v>
      </c>
      <c r="Y1091" t="str" s="431" cm="1">
        <f t="array" ref="Y1091">_xlfn.IFERROR(W1091*25%,"N/A")</f>
        <v>N/A</v>
      </c>
      <c r="Z1091" t="str" s="426" cm="1">
        <f t="array" ref="Z1091">IF(B1091&gt;0,SUM(W1091:Y1091),"N/A")</f>
        <v>N/A</v>
      </c>
      <c r="AA1091" t="str" s="426" cm="1">
        <f t="array" ref="AA1091">_xlfn.IFERROR((Z1091-Z1090),"N/A")</f>
        <v>N/A</v>
      </c>
      <c r="AB1091" s="424"/>
      <c r="AC1091" t="str" s="426" cm="1">
        <f t="array" ref="AC1091">IF(B1091=6,AVERAGE(Z1077:Z1082),"N/A")</f>
        <v>N/A</v>
      </c>
      <c r="AD1091" s="424"/>
      <c r="AE1091" s="423"/>
      <c r="AF1091" s="423"/>
      <c r="AG1091" s="423"/>
      <c r="AH1091" s="423"/>
      <c r="AI1091" s="423"/>
      <c r="AJ1091" s="423"/>
      <c r="AK1091" s="423"/>
      <c r="AL1091" s="423"/>
      <c r="AM1091" s="423"/>
      <c r="AN1091" s="427"/>
    </row>
    <row r="1092" ht="15" customHeight="1">
      <c r="A1092" s="12"/>
      <c r="B1092" s="428" cm="1">
        <f t="array" ref="B1092">IF(B1091=0,0,IF(B1091&lt;VLOOKUP(C1074,'Boats Data Sheet 2026'!$C$3:$H$57,6,0),B1091+1,0))</f>
        <v>0</v>
      </c>
      <c r="C1092" t="str" s="431" cm="1">
        <f t="array" ref="C1092">IF(B1092&gt;0,IF(VLOOKUP(C1074,'Boats Data Sheet 2026'!$C$3:$J$57,8,0)="N/A",0,VLOOKUP(C1074,'Boats Data Sheet 2026'!$C$3:$J$57,8,0)),"N/A")</f>
        <v>N/A</v>
      </c>
      <c r="D1092" t="str" s="431" cm="1">
        <f t="array" ref="D1092">IF(B1092&gt;7,2,IF(B1092=0,"N/A",1))</f>
        <v>N/A</v>
      </c>
      <c r="E1092" t="str" s="431" cm="1">
        <f t="array" ref="E1092">_xlfn.IFERROR(SUM('Direct Costs 2026'!$C$4:$C$5)*D1092,"N/A")</f>
        <v>N/A</v>
      </c>
      <c r="F1092" s="423" cm="1">
        <f t="array" ref="F1092">_xlfn.IFERROR('Direct Costs 2026'!$C$43*B1092,"N/A")</f>
        <v>0</v>
      </c>
      <c r="G1092" t="str" s="431" cm="1">
        <f t="array" ref="G1092">IF(B1092&gt;0,'Direct Costs 2026'!$C$25,"N/A")</f>
        <v>N/A</v>
      </c>
      <c r="H1092" t="str" s="431" cm="1">
        <f t="array" ref="H1092">IF(B1092&gt;0,('Direct Costs 2026'!$C$15+'Direct Costs 2026'!$C$17+'Direct Costs 2026'!$C$14),"N/A")</f>
        <v>N/A</v>
      </c>
      <c r="I1092" t="str" s="431" cm="1">
        <f t="array" ref="I1092">IF(B1092&gt;0,'Direct Costs 2026'!$C$19+'Direct Costs 2026'!$C$18*B1092,"N/A")</f>
        <v>N/A</v>
      </c>
      <c r="J1092" t="str" s="431" cm="1">
        <f t="array" ref="J1092">IF(B1092&gt;0,SUM('Direct Costs 2026'!$C$20:$C$21),"N/A")</f>
        <v>N/A</v>
      </c>
      <c r="K1092" t="str" s="431" cm="1">
        <f t="array" ref="K1092">IF(B1092&gt;0,'Direct Costs 2026'!$C$26,"N/A")</f>
        <v>N/A</v>
      </c>
      <c r="L1092" t="str" s="431" cm="1">
        <f t="array" ref="L1092">IF(B1092&gt;0,'Direct Costs 2026'!$C$23,"N/A")</f>
        <v>N/A</v>
      </c>
      <c r="M1092" t="str" s="431" cm="1">
        <f t="array" ref="M1092">IF(B1092&gt;0,'Direct Costs 2026'!$C$45*B1092,"N/A")</f>
        <v>N/A</v>
      </c>
      <c r="N1092" t="str" s="431" cm="1">
        <f t="array" ref="N1092">IF(B1092&gt;0,_xlfn.IFERROR(VLOOKUP(C1074,'Boats Data Sheet 2026'!$C$3:$I$57,7,0)*'Direct Costs 2026'!$C$36,"N/A"),"N/A")</f>
        <v>N/A</v>
      </c>
      <c r="O1092" t="str" s="431" cm="1">
        <f t="array" ref="O1092">IF(B1092&gt;0,IF(OR(VLOOKUP(C1074,'Boats Data Sheet 2026'!$C$3:$F$57,4,0)="Own",VLOOKUP(C1074,'Boats Data Sheet 2026'!$C$3:$F$57,4,0)="Management"),('Direct Costs 2026'!$C$37+'Direct Costs 2026'!$C$39),"N/A"),"N/A")</f>
        <v>N/A</v>
      </c>
      <c r="P1092" t="str" s="431" cm="1">
        <f t="array" ref="P1092">_xlfn.IFERROR('Direct Costs 2026'!$C$27*C1092,"N/A")</f>
        <v>N/A</v>
      </c>
      <c r="Q1092" t="str" s="431" cm="1">
        <f t="array" ref="Q1092">_xlfn.IFERROR(C1092+SUM(E1092:P1092),"N/A")</f>
        <v>N/A</v>
      </c>
      <c r="R1092" s="424"/>
      <c r="S1092" t="str" s="431" cm="1">
        <f t="array" ref="S1092">IF(B1092&gt;0,'Allocation OH and Target 2026'!$E$31,"N/A")</f>
        <v>N/A</v>
      </c>
      <c r="T1092" t="str" s="431" cm="1">
        <f t="array" ref="T1092">IF(B1092&gt;0,VLOOKUP(C1074,'Allocation OH and Target 2026'!$C$35:$S$87,16,0),"N/A")</f>
        <v>N/A</v>
      </c>
      <c r="U1092" t="str" s="431" cm="1">
        <f t="array" ref="U1092">_xlfn.IFERROR((S1092+T1092),"N/A")</f>
        <v>N/A</v>
      </c>
      <c r="V1092" s="424"/>
      <c r="W1092" t="str" s="431" cm="1">
        <f t="array" ref="W1092">_xlfn.IFERROR(U1092+Q1092,"N/A")</f>
        <v>N/A</v>
      </c>
      <c r="X1092" t="str" s="431" cm="1">
        <f t="array" ref="X1092">_xlfn.IFERROR(W1092*0.5%,"N/A")</f>
        <v>N/A</v>
      </c>
      <c r="Y1092" t="str" s="431" cm="1">
        <f t="array" ref="Y1092">_xlfn.IFERROR(W1092*25%,"N/A")</f>
        <v>N/A</v>
      </c>
      <c r="Z1092" t="str" s="426" cm="1">
        <f t="array" ref="Z1092">IF(B1092&gt;0,SUM(W1092:Y1092),"N/A")</f>
        <v>N/A</v>
      </c>
      <c r="AA1092" t="str" s="426" cm="1">
        <f t="array" ref="AA1092">_xlfn.IFERROR((Z1092-Z1091),"N/A")</f>
        <v>N/A</v>
      </c>
      <c r="AB1092" s="424"/>
      <c r="AC1092" t="str" s="426" cm="1">
        <f t="array" ref="AC1092">IF(B1092=6,AVERAGE(Z1077:Z1082),"N/A")</f>
        <v>N/A</v>
      </c>
      <c r="AD1092" s="424"/>
      <c r="AE1092" s="423"/>
      <c r="AF1092" s="423"/>
      <c r="AG1092" s="423"/>
      <c r="AH1092" s="423"/>
      <c r="AI1092" s="423"/>
      <c r="AJ1092" s="423"/>
      <c r="AK1092" s="423"/>
      <c r="AL1092" s="423"/>
      <c r="AM1092" s="423"/>
      <c r="AN1092" s="427"/>
    </row>
    <row r="1093" ht="15" customHeight="1">
      <c r="A1093" s="12"/>
      <c r="B1093" s="428" cm="1">
        <f t="array" ref="B1093">IF(B1092=0,0,IF(B1092&lt;VLOOKUP(C1074,'Boats Data Sheet 2026'!$C$3:$H$57,6,0),B1092+1,0))</f>
        <v>0</v>
      </c>
      <c r="C1093" t="str" s="431" cm="1">
        <f t="array" ref="C1093">IF(B1093&gt;0,IF(VLOOKUP(C1074,'Boats Data Sheet 2026'!$C$3:$J$57,8,0)="N/A",0,VLOOKUP(C1074,'Boats Data Sheet 2026'!$C$3:$J$57,8,0)),"N/A")</f>
        <v>N/A</v>
      </c>
      <c r="D1093" t="str" s="431" cm="1">
        <f t="array" ref="D1093">IF(B1093&gt;7,2,IF(B1093=0,"N/A",1))</f>
        <v>N/A</v>
      </c>
      <c r="E1093" t="str" s="431" cm="1">
        <f t="array" ref="E1093">_xlfn.IFERROR(SUM('Direct Costs 2026'!$C$4:$C$5)*D1093,"N/A")</f>
        <v>N/A</v>
      </c>
      <c r="F1093" s="423" cm="1">
        <f t="array" ref="F1093">_xlfn.IFERROR('Direct Costs 2026'!$C$43*B1093,"N/A")</f>
        <v>0</v>
      </c>
      <c r="G1093" t="str" s="431" cm="1">
        <f t="array" ref="G1093">IF(B1093&gt;0,'Direct Costs 2026'!$C$25,"N/A")</f>
        <v>N/A</v>
      </c>
      <c r="H1093" t="str" s="431" cm="1">
        <f t="array" ref="H1093">IF(B1093&gt;0,('Direct Costs 2026'!$C$15+'Direct Costs 2026'!$C$17+'Direct Costs 2026'!$C$14),"N/A")</f>
        <v>N/A</v>
      </c>
      <c r="I1093" t="str" s="431" cm="1">
        <f t="array" ref="I1093">IF(B1093&gt;0,'Direct Costs 2026'!$C$19+'Direct Costs 2026'!$C$18*B1093,"N/A")</f>
        <v>N/A</v>
      </c>
      <c r="J1093" t="str" s="431" cm="1">
        <f t="array" ref="J1093">IF(B1093&gt;0,SUM('Direct Costs 2026'!$C$20:$C$21),"N/A")</f>
        <v>N/A</v>
      </c>
      <c r="K1093" t="str" s="431" cm="1">
        <f t="array" ref="K1093">IF(B1093&gt;0,'Direct Costs 2026'!$C$26,"N/A")</f>
        <v>N/A</v>
      </c>
      <c r="L1093" t="str" s="431" cm="1">
        <f t="array" ref="L1093">IF(B1093&gt;0,'Direct Costs 2026'!$C$23,"N/A")</f>
        <v>N/A</v>
      </c>
      <c r="M1093" t="str" s="431" cm="1">
        <f t="array" ref="M1093">IF(B1093&gt;0,'Direct Costs 2026'!$C$45*B1093,"N/A")</f>
        <v>N/A</v>
      </c>
      <c r="N1093" t="str" s="431" cm="1">
        <f t="array" ref="N1093">IF(B1093&gt;0,_xlfn.IFERROR(VLOOKUP(C1074,'Boats Data Sheet 2026'!$C$3:$I$57,7,0)*'Direct Costs 2026'!$C$36,"N/A"),"N/A")</f>
        <v>N/A</v>
      </c>
      <c r="O1093" t="str" s="431" cm="1">
        <f t="array" ref="O1093">IF(B1093&gt;0,IF(OR(VLOOKUP(C1074,'Boats Data Sheet 2026'!$C$3:$F$57,4,0)="Own",VLOOKUP(C1074,'Boats Data Sheet 2026'!$C$3:$F$57,4,0)="Management"),('Direct Costs 2026'!$C$37+'Direct Costs 2026'!$C$39),"N/A"),"N/A")</f>
        <v>N/A</v>
      </c>
      <c r="P1093" t="str" s="431" cm="1">
        <f t="array" ref="P1093">_xlfn.IFERROR('Direct Costs 2026'!$C$27*C1093,"N/A")</f>
        <v>N/A</v>
      </c>
      <c r="Q1093" t="str" s="431" cm="1">
        <f t="array" ref="Q1093">_xlfn.IFERROR(C1093+SUM(E1093:P1093),"N/A")</f>
        <v>N/A</v>
      </c>
      <c r="R1093" s="424"/>
      <c r="S1093" t="str" s="431" cm="1">
        <f t="array" ref="S1093">IF(B1093&gt;0,'Allocation OH and Target 2026'!$E$31,"N/A")</f>
        <v>N/A</v>
      </c>
      <c r="T1093" t="str" s="431" cm="1">
        <f t="array" ref="T1093">IF(B1093&gt;0,VLOOKUP(C1074,'Allocation OH and Target 2026'!$C$35:$S$87,16,0),"N/A")</f>
        <v>N/A</v>
      </c>
      <c r="U1093" t="str" s="431" cm="1">
        <f t="array" ref="U1093">_xlfn.IFERROR((S1093+T1093),"N/A")</f>
        <v>N/A</v>
      </c>
      <c r="V1093" s="424"/>
      <c r="W1093" t="str" s="431" cm="1">
        <f t="array" ref="W1093">_xlfn.IFERROR(U1093+Q1093,"N/A")</f>
        <v>N/A</v>
      </c>
      <c r="X1093" t="str" s="431" cm="1">
        <f t="array" ref="X1093">_xlfn.IFERROR(W1093*0.5%,"N/A")</f>
        <v>N/A</v>
      </c>
      <c r="Y1093" t="str" s="431" cm="1">
        <f t="array" ref="Y1093">_xlfn.IFERROR(W1093*25%,"N/A")</f>
        <v>N/A</v>
      </c>
      <c r="Z1093" t="str" s="426" cm="1">
        <f t="array" ref="Z1093">IF(B1093&gt;0,SUM(W1093:Y1093),"N/A")</f>
        <v>N/A</v>
      </c>
      <c r="AA1093" t="str" s="426" cm="1">
        <f t="array" ref="AA1093">_xlfn.IFERROR((Z1093-Z1092),"N/A")</f>
        <v>N/A</v>
      </c>
      <c r="AB1093" s="424"/>
      <c r="AC1093" t="str" s="426" cm="1">
        <f t="array" ref="AC1093">IF(B1093=6,AVERAGE(Z1077:Z1082),"N/A")</f>
        <v>N/A</v>
      </c>
      <c r="AD1093" s="424"/>
      <c r="AE1093" s="423"/>
      <c r="AF1093" s="423"/>
      <c r="AG1093" s="423"/>
      <c r="AH1093" s="423"/>
      <c r="AI1093" s="423"/>
      <c r="AJ1093" s="423"/>
      <c r="AK1093" s="423"/>
      <c r="AL1093" s="423"/>
      <c r="AM1093" s="423"/>
      <c r="AN1093" s="427"/>
    </row>
    <row r="1094" ht="15.5" customHeight="1">
      <c r="A1094" s="12"/>
      <c r="B1094" s="432" cm="1">
        <f t="array" ref="B1094">IF(B1093=0,0,IF(B1093&lt;VLOOKUP(C1074,'Boats Data Sheet 2026'!$C$3:$H$57,6,0),B1093+1,0))</f>
        <v>0</v>
      </c>
      <c r="C1094" t="str" s="433" cm="1">
        <f t="array" ref="C1094">IF(B1094&gt;0,IF(VLOOKUP(C1074,'Boats Data Sheet 2026'!$C$3:$J$57,8,0)="N/A",0,VLOOKUP(C1074,'Boats Data Sheet 2026'!$C$3:$J$57,8,0)),"N/A")</f>
        <v>N/A</v>
      </c>
      <c r="D1094" t="str" s="433" cm="1">
        <f t="array" ref="D1094">IF(B1094&gt;7,2,IF(B1094=0,"N/A",1))</f>
        <v>N/A</v>
      </c>
      <c r="E1094" t="str" s="433" cm="1">
        <f t="array" ref="E1094">_xlfn.IFERROR(SUM('Direct Costs 2026'!$C$4:$C$5)*D1094,"N/A")</f>
        <v>N/A</v>
      </c>
      <c r="F1094" s="434" cm="1">
        <f t="array" ref="F1094">_xlfn.IFERROR('Direct Costs 2026'!$C$43*B1094,"N/A")</f>
        <v>0</v>
      </c>
      <c r="G1094" t="str" s="433" cm="1">
        <f t="array" ref="G1094">IF(B1094&gt;0,'Direct Costs 2026'!$C$25,"N/A")</f>
        <v>N/A</v>
      </c>
      <c r="H1094" t="str" s="433" cm="1">
        <f t="array" ref="H1094">IF(B1094&gt;0,('Direct Costs 2026'!$C$15+'Direct Costs 2026'!$C$17+'Direct Costs 2026'!$C$14),"N/A")</f>
        <v>N/A</v>
      </c>
      <c r="I1094" t="str" s="433" cm="1">
        <f t="array" ref="I1094">IF(B1094&gt;0,'Direct Costs 2026'!$C$19+'Direct Costs 2026'!$C$18*B1094,"N/A")</f>
        <v>N/A</v>
      </c>
      <c r="J1094" t="str" s="433" cm="1">
        <f t="array" ref="J1094">IF(B1094&gt;0,SUM('Direct Costs 2026'!$C$20:$C$21),"N/A")</f>
        <v>N/A</v>
      </c>
      <c r="K1094" t="str" s="433" cm="1">
        <f t="array" ref="K1094">IF(B1094&gt;0,'Direct Costs 2026'!$C$26,"N/A")</f>
        <v>N/A</v>
      </c>
      <c r="L1094" t="str" s="433" cm="1">
        <f t="array" ref="L1094">IF(B1094&gt;0,'Direct Costs 2026'!$C$23,"N/A")</f>
        <v>N/A</v>
      </c>
      <c r="M1094" t="str" s="433" cm="1">
        <f t="array" ref="M1094">IF(B1094&gt;0,'Direct Costs 2026'!$C$45*B1094,"N/A")</f>
        <v>N/A</v>
      </c>
      <c r="N1094" t="str" s="433" cm="1">
        <f t="array" ref="N1094">IF(B1094&gt;0,_xlfn.IFERROR(VLOOKUP(C1074,'Boats Data Sheet 2026'!$C$3:$I$57,7,0)*'Direct Costs 2026'!$C$36,"N/A"),"N/A")</f>
        <v>N/A</v>
      </c>
      <c r="O1094" t="str" s="433" cm="1">
        <f t="array" ref="O1094">IF(B1094&gt;0,IF(OR(VLOOKUP(C1074,'Boats Data Sheet 2026'!$C$3:$F$57,4,0)="Own",VLOOKUP(C1074,'Boats Data Sheet 2026'!$C$3:$F$57,4,0)="Management"),('Direct Costs 2026'!$C$37+'Direct Costs 2026'!$C$39),"N/A"),"N/A")</f>
        <v>N/A</v>
      </c>
      <c r="P1094" t="str" s="433" cm="1">
        <f t="array" ref="P1094">_xlfn.IFERROR('Direct Costs 2026'!$C$27*C1094,"N/A")</f>
        <v>N/A</v>
      </c>
      <c r="Q1094" t="str" s="433" cm="1">
        <f t="array" ref="Q1094">_xlfn.IFERROR(C1094+SUM(E1094:P1094),"N/A")</f>
        <v>N/A</v>
      </c>
      <c r="R1094" s="435"/>
      <c r="S1094" t="str" s="433" cm="1">
        <f t="array" ref="S1094">IF(B1094&gt;0,'Allocation OH and Target 2026'!$E$31,"N/A")</f>
        <v>N/A</v>
      </c>
      <c r="T1094" t="str" s="433" cm="1">
        <f t="array" ref="T1094">IF(B1094&gt;0,VLOOKUP(C1074,'Allocation OH and Target 2026'!$C$35:$S$87,16,0),"N/A")</f>
        <v>N/A</v>
      </c>
      <c r="U1094" t="str" s="433" cm="1">
        <f t="array" ref="U1094">_xlfn.IFERROR((S1094+T1094),"N/A")</f>
        <v>N/A</v>
      </c>
      <c r="V1094" s="435"/>
      <c r="W1094" t="str" s="433" cm="1">
        <f t="array" ref="W1094">_xlfn.IFERROR(U1094+Q1094,"N/A")</f>
        <v>N/A</v>
      </c>
      <c r="X1094" t="str" s="433" cm="1">
        <f t="array" ref="X1094">_xlfn.IFERROR(W1094*0.5%,"N/A")</f>
        <v>N/A</v>
      </c>
      <c r="Y1094" t="str" s="433" cm="1">
        <f t="array" ref="Y1094">_xlfn.IFERROR(W1094*25%,"N/A")</f>
        <v>N/A</v>
      </c>
      <c r="Z1094" t="str" s="436" cm="1">
        <f t="array" ref="Z1094">IF(B1094&gt;0,SUM(W1094:Y1094),"N/A")</f>
        <v>N/A</v>
      </c>
      <c r="AA1094" t="str" s="436" cm="1">
        <f t="array" ref="AA1094">_xlfn.IFERROR((Z1094-Z1093),"N/A")</f>
        <v>N/A</v>
      </c>
      <c r="AB1094" s="435"/>
      <c r="AC1094" t="str" s="436" cm="1">
        <f t="array" ref="AC1094">IF(B1094=6,AVERAGE(Z1077:Z1082),"N/A")</f>
        <v>N/A</v>
      </c>
      <c r="AD1094" s="435"/>
      <c r="AE1094" s="434"/>
      <c r="AF1094" s="434"/>
      <c r="AG1094" s="434"/>
      <c r="AH1094" s="434"/>
      <c r="AI1094" s="434"/>
      <c r="AJ1094" s="434"/>
      <c r="AK1094" s="434"/>
      <c r="AL1094" s="434"/>
      <c r="AM1094" s="434"/>
      <c r="AN1094" s="437"/>
    </row>
    <row r="1095" ht="15" customHeight="1">
      <c r="A1095" s="32"/>
      <c r="B1095" s="124"/>
      <c r="C1095" s="124"/>
      <c r="D1095" s="124"/>
      <c r="E1095" s="124"/>
      <c r="F1095" s="124"/>
      <c r="G1095" s="124"/>
      <c r="H1095" s="124"/>
      <c r="I1095" s="124"/>
      <c r="J1095" s="124"/>
      <c r="K1095" s="124"/>
      <c r="L1095" s="124"/>
      <c r="M1095" s="124"/>
      <c r="N1095" s="124"/>
      <c r="O1095" s="124"/>
      <c r="P1095" s="124"/>
      <c r="Q1095" s="124"/>
      <c r="R1095" s="124"/>
      <c r="S1095" s="124"/>
      <c r="T1095" s="124"/>
      <c r="U1095" s="124"/>
      <c r="V1095" s="124"/>
      <c r="W1095" s="124"/>
      <c r="X1095" s="124"/>
      <c r="Y1095" s="124"/>
      <c r="Z1095" s="124"/>
      <c r="AA1095" s="124"/>
      <c r="AB1095" s="124"/>
      <c r="AC1095" s="124"/>
      <c r="AD1095" s="124"/>
      <c r="AE1095" s="124"/>
      <c r="AF1095" s="124"/>
      <c r="AG1095" s="124"/>
      <c r="AH1095" s="124"/>
      <c r="AI1095" s="124"/>
      <c r="AJ1095" s="124"/>
      <c r="AK1095" s="124"/>
      <c r="AL1095" s="124"/>
      <c r="AM1095" s="124"/>
      <c r="AN1095" s="313"/>
    </row>
    <row r="1096" ht="15" customHeight="1">
      <c r="A1096" s="32"/>
      <c r="B1096" s="35"/>
      <c r="C1096" s="35"/>
      <c r="D1096" s="35"/>
      <c r="E1096" s="35"/>
      <c r="F1096" s="35"/>
      <c r="G1096" s="35"/>
      <c r="H1096" s="35"/>
      <c r="I1096" s="35"/>
      <c r="J1096" s="35"/>
      <c r="K1096" s="35"/>
      <c r="L1096" s="35"/>
      <c r="M1096" s="35"/>
      <c r="N1096" s="35"/>
      <c r="O1096" s="35"/>
      <c r="P1096" s="35"/>
      <c r="Q1096" s="35"/>
      <c r="R1096" s="35"/>
      <c r="S1096" s="35"/>
      <c r="T1096" s="35"/>
      <c r="U1096" s="35"/>
      <c r="V1096" s="35"/>
      <c r="W1096" s="35"/>
      <c r="X1096" s="35"/>
      <c r="Y1096" s="35"/>
      <c r="Z1096" s="35"/>
      <c r="AA1096" s="35"/>
      <c r="AB1096" s="35"/>
      <c r="AC1096" s="35"/>
      <c r="AD1096" s="35"/>
      <c r="AE1096" s="35"/>
      <c r="AF1096" s="35"/>
      <c r="AG1096" s="35"/>
      <c r="AH1096" s="35"/>
      <c r="AI1096" s="35"/>
      <c r="AJ1096" s="35"/>
      <c r="AK1096" s="35"/>
      <c r="AL1096" s="35"/>
      <c r="AM1096" s="35"/>
      <c r="AN1096" s="442"/>
    </row>
    <row r="1097" ht="15.5" customHeight="1">
      <c r="A1097" s="395">
        <v>38</v>
      </c>
      <c r="B1097" t="s" s="396">
        <v>506</v>
      </c>
      <c r="C1097" t="s" s="397">
        <v>54</v>
      </c>
      <c r="D1097" s="398"/>
      <c r="E1097" s="398"/>
      <c r="F1097" s="398"/>
      <c r="G1097" s="398"/>
      <c r="H1097" s="398"/>
      <c r="I1097" s="398"/>
      <c r="J1097" s="398"/>
      <c r="K1097" s="398"/>
      <c r="L1097" s="398"/>
      <c r="M1097" s="398"/>
      <c r="N1097" s="398"/>
      <c r="O1097" s="398"/>
      <c r="P1097" s="398"/>
      <c r="Q1097" s="398"/>
      <c r="R1097" s="399"/>
      <c r="S1097" s="398"/>
      <c r="T1097" s="398"/>
      <c r="U1097" s="398"/>
      <c r="V1097" s="399"/>
      <c r="W1097" s="398"/>
      <c r="X1097" s="398"/>
      <c r="Y1097" s="398"/>
      <c r="Z1097" s="398"/>
      <c r="AA1097" s="398"/>
      <c r="AB1097" s="399"/>
      <c r="AC1097" s="398"/>
      <c r="AD1097" s="399"/>
      <c r="AE1097" t="s" s="400">
        <v>508</v>
      </c>
      <c r="AF1097" s="401" cm="1">
        <f t="array" ref="AF1097">AVERAGE(Q1100:Q1105)</f>
        <v>6984733.33333333</v>
      </c>
      <c r="AG1097" t="s" s="400">
        <v>509</v>
      </c>
      <c r="AH1097" s="401" cm="1">
        <f t="array" ref="AH1097">AVERAGE(Q1106:Q1113)-AF1097</f>
        <v>1991928.57142857</v>
      </c>
      <c r="AI1097" t="s" s="400">
        <v>510</v>
      </c>
      <c r="AJ1097" s="401" cm="1">
        <f t="array" ref="AJ1097">AVERAGE(Y1100:Y1107)</f>
        <v>2839331.13380438</v>
      </c>
      <c r="AK1097" t="s" s="397">
        <v>511</v>
      </c>
      <c r="AL1097" s="401" cm="1">
        <f t="array" ref="AL1097">AVERAGE(W1100:W1105)</f>
        <v>11056887.0352175</v>
      </c>
      <c r="AM1097" t="s" s="400">
        <v>512</v>
      </c>
      <c r="AN1097" s="402" cm="1">
        <f t="array" ref="AN1097">W1100</f>
        <v>10579387.0352175</v>
      </c>
    </row>
    <row r="1098" ht="15" customHeight="1">
      <c r="A1098" s="12"/>
      <c r="B1098" s="403"/>
      <c r="C1098" t="s" s="404">
        <v>513</v>
      </c>
      <c r="D1098" s="405"/>
      <c r="E1098" s="405"/>
      <c r="F1098" s="405"/>
      <c r="G1098" s="405"/>
      <c r="H1098" s="405"/>
      <c r="I1098" s="405"/>
      <c r="J1098" s="405"/>
      <c r="K1098" s="405"/>
      <c r="L1098" s="405"/>
      <c r="M1098" s="405"/>
      <c r="N1098" s="405"/>
      <c r="O1098" s="405"/>
      <c r="P1098" s="405"/>
      <c r="Q1098" s="406"/>
      <c r="R1098" s="407"/>
      <c r="S1098" t="s" s="404">
        <v>514</v>
      </c>
      <c r="T1098" s="405"/>
      <c r="U1098" s="406"/>
      <c r="V1098" s="407"/>
      <c r="W1098" t="s" s="404">
        <v>515</v>
      </c>
      <c r="X1098" s="405"/>
      <c r="Y1098" s="405"/>
      <c r="Z1098" s="405"/>
      <c r="AA1098" s="405"/>
      <c r="AB1098" s="408"/>
      <c r="AC1098" s="489"/>
      <c r="AD1098" s="410"/>
      <c r="AE1098" s="411"/>
      <c r="AF1098" s="412"/>
      <c r="AG1098" s="412"/>
      <c r="AH1098" s="412"/>
      <c r="AI1098" s="412"/>
      <c r="AJ1098" s="412"/>
      <c r="AK1098" s="413"/>
      <c r="AL1098" s="414"/>
      <c r="AM1098" s="415"/>
      <c r="AN1098" s="414"/>
    </row>
    <row r="1099" ht="46.25" customHeight="1">
      <c r="A1099" s="187"/>
      <c r="B1099" t="s" s="416">
        <v>517</v>
      </c>
      <c r="C1099" t="s" s="417">
        <v>518</v>
      </c>
      <c r="D1099" t="s" s="417">
        <v>519</v>
      </c>
      <c r="E1099" t="s" s="417">
        <v>520</v>
      </c>
      <c r="F1099" t="s" s="159">
        <v>521</v>
      </c>
      <c r="G1099" t="s" s="159">
        <v>522</v>
      </c>
      <c r="H1099" t="s" s="159">
        <v>523</v>
      </c>
      <c r="I1099" t="s" s="159">
        <v>524</v>
      </c>
      <c r="J1099" t="s" s="159">
        <v>525</v>
      </c>
      <c r="K1099" t="s" s="159">
        <v>526</v>
      </c>
      <c r="L1099" t="s" s="159">
        <v>527</v>
      </c>
      <c r="M1099" t="s" s="159">
        <v>528</v>
      </c>
      <c r="N1099" t="s" s="159">
        <v>529</v>
      </c>
      <c r="O1099" t="s" s="159">
        <v>530</v>
      </c>
      <c r="P1099" t="s" s="159">
        <v>531</v>
      </c>
      <c r="Q1099" t="s" s="159">
        <v>532</v>
      </c>
      <c r="R1099" s="418"/>
      <c r="S1099" t="s" s="159">
        <v>533</v>
      </c>
      <c r="T1099" t="s" s="159">
        <v>534</v>
      </c>
      <c r="U1099" t="s" s="159">
        <v>535</v>
      </c>
      <c r="V1099" s="418"/>
      <c r="W1099" t="s" s="159">
        <v>536</v>
      </c>
      <c r="X1099" t="s" s="159">
        <v>537</v>
      </c>
      <c r="Y1099" t="s" s="159">
        <v>538</v>
      </c>
      <c r="Z1099" t="s" s="159">
        <v>539</v>
      </c>
      <c r="AA1099" t="s" s="159">
        <v>121</v>
      </c>
      <c r="AB1099" s="419"/>
      <c r="AC1099" t="s" s="159">
        <v>39</v>
      </c>
      <c r="AD1099" s="419"/>
      <c r="AE1099" t="s" s="159">
        <v>566</v>
      </c>
      <c r="AF1099" t="s" s="159">
        <v>544</v>
      </c>
      <c r="AG1099" s="77"/>
      <c r="AH1099" s="77"/>
      <c r="AI1099" s="77"/>
      <c r="AJ1099" s="77"/>
      <c r="AK1099" s="77"/>
      <c r="AL1099" s="77"/>
      <c r="AM1099" s="77"/>
      <c r="AN1099" s="78"/>
    </row>
    <row r="1100" ht="15" customHeight="1">
      <c r="A1100" s="12"/>
      <c r="B1100" s="420">
        <v>1</v>
      </c>
      <c r="C1100" s="421" cm="1">
        <f t="array" ref="C1100">IF(B1100&gt;0,IF(VLOOKUP(C1097,'Boats Data Sheet 2026'!$C$3:$J$57,8,0)="N/A",0,VLOOKUP(C1097,'Boats Data Sheet 2026'!$C$3:$J$57,8,0)),"N/A")</f>
        <v>0</v>
      </c>
      <c r="D1100" s="422" cm="1">
        <f t="array" ref="D1100">IF(B1100&gt;7,2,IF(B1100=0,"N/A",1))</f>
        <v>1</v>
      </c>
      <c r="E1100" s="421" cm="1">
        <f t="array" ref="E1100">_xlfn.IFERROR(SUM('Direct Costs 2026'!$C$4:$C$5)*D1100,"N/A")</f>
        <v>875500</v>
      </c>
      <c r="F1100" s="423" cm="1">
        <f t="array" ref="F1100">_xlfn.IFERROR('Direct Costs 2026'!$C$43*B1100,"N/A")</f>
        <v>6000</v>
      </c>
      <c r="G1100" s="423" cm="1">
        <f t="array" ref="G1100">IF(B1100&gt;0,'Direct Costs 2026'!$C$25,"N/A")</f>
        <v>90000</v>
      </c>
      <c r="H1100" s="423" cm="1">
        <f t="array" ref="H1100">IF(B1100&gt;0,('Direct Costs 2026'!$C$15+'Direct Costs 2026'!$C$17+'Direct Costs 2026'!$C$14),"N/A")</f>
        <v>580000</v>
      </c>
      <c r="I1100" s="423" cm="1">
        <f t="array" ref="I1100">IF(B1100&gt;0,'Direct Costs 2026'!$C$19+'Direct Costs 2026'!$C$18*B1100,"N/A")</f>
        <v>110000</v>
      </c>
      <c r="J1100" s="423" cm="1">
        <f t="array" ref="J1100">IF(B1100&gt;0,SUM('Direct Costs 2026'!$C$20:$C$21),"N/A")</f>
        <v>98333.3333333333</v>
      </c>
      <c r="K1100" s="423" cm="1">
        <f t="array" ref="K1100">IF(B1100&gt;0,'Direct Costs 2026'!$C$26,"N/A")</f>
        <v>20000</v>
      </c>
      <c r="L1100" s="423" cm="1">
        <f t="array" ref="L1100">IF(B1100&gt;0,'Direct Costs 2026'!$C$23,"N/A")</f>
        <v>140000</v>
      </c>
      <c r="M1100" s="423" cm="1">
        <f t="array" ref="M1100">IF(B1100&gt;0,'Direct Costs 2026'!$C$45*B1100,"N/A")</f>
        <v>150000</v>
      </c>
      <c r="N1100" s="423" cm="1">
        <f t="array" ref="N1100">IF(B1100&gt;0,_xlfn.IFERROR(VLOOKUP(C1097,'Boats Data Sheet 2026'!$C$3:$I$57,7,0)*'Direct Costs 2026'!$C$36,"N/A"),"N/A")</f>
        <v>3325000</v>
      </c>
      <c r="O1100" s="423" cm="1">
        <f t="array" ref="O1100">IF(B1100&gt;0,IF(OR(VLOOKUP(C1097,'Boats Data Sheet 2026'!$C$3:$F$57,4,0)="Own",VLOOKUP(C1097,'Boats Data Sheet 2026'!$C$3:$F$57,4,0)="Management"),('Direct Costs 2026'!$C$37+'Direct Costs 2026'!$C$39),"N/A"),"N/A")</f>
        <v>1112400</v>
      </c>
      <c r="P1100" s="423" cm="1">
        <f t="array" ref="P1100">_xlfn.IFERROR('Direct Costs 2026'!$C$27*C1100,"N/A")</f>
        <v>0</v>
      </c>
      <c r="Q1100" s="423" cm="1">
        <f t="array" ref="Q1100">_xlfn.IFERROR(C1100+SUM(E1100:P1100),"N/A")</f>
        <v>6507233.33333333</v>
      </c>
      <c r="R1100" s="424"/>
      <c r="S1100" s="423" cm="1">
        <f t="array" ref="S1100">IF(B1100&gt;0,'Allocation OH and Target 2026'!$E$31,"N/A")</f>
        <v>3100447.15769812</v>
      </c>
      <c r="T1100" s="423" cm="1">
        <f t="array" ref="T1100">IF(B1100&gt;0,VLOOKUP(C1097,'Allocation OH and Target 2026'!$C$35:$S$87,17,0),"N/A")</f>
        <v>971706.544186046</v>
      </c>
      <c r="U1100" s="423" cm="1">
        <f t="array" ref="U1100">_xlfn.IFERROR((S1100+T1100),"N/A")</f>
        <v>4072153.70188417</v>
      </c>
      <c r="V1100" s="424"/>
      <c r="W1100" s="423" cm="1">
        <f t="array" ref="W1100">_xlfn.IFERROR(U1100+Q1100,"N/A")</f>
        <v>10579387.0352175</v>
      </c>
      <c r="X1100" s="423" cm="1">
        <f t="array" ref="X1100">_xlfn.IFERROR(W1100*0.5%,"N/A")</f>
        <v>52896.9351760875</v>
      </c>
      <c r="Y1100" s="423" cm="1">
        <f t="array" ref="Y1100">_xlfn.IFERROR(W1100*25%,"N/A")</f>
        <v>2644846.75880438</v>
      </c>
      <c r="Z1100" s="425" cm="1">
        <f t="array" ref="Z1100">IF(B1100&gt;0,SUM(W1100:Y1100),"N/A")</f>
        <v>13277130.729198</v>
      </c>
      <c r="AA1100" s="425">
        <v>0</v>
      </c>
      <c r="AB1100" s="424"/>
      <c r="AC1100" t="str" s="426" cm="1">
        <f t="array" ref="AC1100">IF(B1100=6,AVERAGE(Z1100:Z1105),"N/A")</f>
        <v>N/A</v>
      </c>
      <c r="AD1100" s="424"/>
      <c r="AE1100" t="s" s="504">
        <v>563</v>
      </c>
      <c r="AF1100" s="505" cm="1">
        <f t="array" ref="AF1100">VLOOKUP(C1097,'Allocation OH and Target 2026'!$C$35:$K$87,9,0)</f>
        <v>71.6666666666667</v>
      </c>
      <c r="AG1100" s="423"/>
      <c r="AH1100" s="423"/>
      <c r="AI1100" s="423"/>
      <c r="AJ1100" s="423"/>
      <c r="AK1100" s="423"/>
      <c r="AL1100" s="423"/>
      <c r="AM1100" s="423"/>
      <c r="AN1100" s="427"/>
    </row>
    <row r="1101" ht="15" customHeight="1">
      <c r="A1101" s="12"/>
      <c r="B1101" s="428" cm="1">
        <f t="array" ref="B1101">IF(B1100=0,0,IF(B1100&lt;VLOOKUP(C1097,'Boats Data Sheet 2026'!$C$3:$H$57,6,0),B1100+1,0))</f>
        <v>2</v>
      </c>
      <c r="C1101" s="423" cm="1">
        <f t="array" ref="C1101">IF(B1101&gt;0,IF(VLOOKUP(C1097,'Boats Data Sheet 2026'!$C$3:$J$57,8,0)="N/A",0,VLOOKUP(C1097,'Boats Data Sheet 2026'!$C$3:$J$57,8,0)),"N/A")</f>
        <v>0</v>
      </c>
      <c r="D1101" s="429" cm="1">
        <f t="array" ref="D1101">IF(B1101&gt;7,2,IF(B1101=0,"N/A",1))</f>
        <v>1</v>
      </c>
      <c r="E1101" s="423" cm="1">
        <f t="array" ref="E1101">_xlfn.IFERROR(SUM('Direct Costs 2026'!$C$4:$C$5)*D1101,"N/A")</f>
        <v>875500</v>
      </c>
      <c r="F1101" s="423" cm="1">
        <f t="array" ref="F1101">_xlfn.IFERROR('Direct Costs 2026'!$C$43*B1101,"N/A")</f>
        <v>12000</v>
      </c>
      <c r="G1101" s="423" cm="1">
        <f t="array" ref="G1101">IF(B1101&gt;0,'Direct Costs 2026'!$C$25,"N/A")</f>
        <v>90000</v>
      </c>
      <c r="H1101" s="423" cm="1">
        <f t="array" ref="H1101">IF(B1101&gt;0,('Direct Costs 2026'!$C$15+'Direct Costs 2026'!$C$17+'Direct Costs 2026'!$C$14),"N/A")</f>
        <v>580000</v>
      </c>
      <c r="I1101" s="423" cm="1">
        <f t="array" ref="I1101">IF(B1101&gt;0,'Direct Costs 2026'!$C$19+'Direct Costs 2026'!$C$18*B1101,"N/A")</f>
        <v>145000</v>
      </c>
      <c r="J1101" s="423" cm="1">
        <f t="array" ref="J1101">IF(B1101&gt;0,SUM('Direct Costs 2026'!$C$20:$C$21),"N/A")</f>
        <v>98333.3333333333</v>
      </c>
      <c r="K1101" s="423" cm="1">
        <f t="array" ref="K1101">IF(B1101&gt;0,'Direct Costs 2026'!$C$26,"N/A")</f>
        <v>20000</v>
      </c>
      <c r="L1101" s="423" cm="1">
        <f t="array" ref="L1101">IF(B1101&gt;0,'Direct Costs 2026'!$C$23,"N/A")</f>
        <v>140000</v>
      </c>
      <c r="M1101" s="423" cm="1">
        <f t="array" ref="M1101">IF(B1101&gt;0,'Direct Costs 2026'!$C$45*B1101,"N/A")</f>
        <v>300000</v>
      </c>
      <c r="N1101" s="423" cm="1">
        <f t="array" ref="N1101">IF(B1101&gt;0,_xlfn.IFERROR(VLOOKUP(C1097,'Boats Data Sheet 2026'!$C$3:$I$57,7,0)*'Direct Costs 2026'!$C$36,"N/A"),"N/A")</f>
        <v>3325000</v>
      </c>
      <c r="O1101" s="423" cm="1">
        <f t="array" ref="O1101">IF(B1101&gt;0,IF(OR(VLOOKUP(C1097,'Boats Data Sheet 2026'!$C$3:$F$57,4,0)="Own",VLOOKUP(C1097,'Boats Data Sheet 2026'!$C$3:$F$57,4,0)="Management"),('Direct Costs 2026'!$C$37+'Direct Costs 2026'!$C$39),"N/A"),"N/A")</f>
        <v>1112400</v>
      </c>
      <c r="P1101" s="423" cm="1">
        <f t="array" ref="P1101">_xlfn.IFERROR('Direct Costs 2026'!$C$27*C1101,"N/A")</f>
        <v>0</v>
      </c>
      <c r="Q1101" s="423" cm="1">
        <f t="array" ref="Q1101">_xlfn.IFERROR(C1101+SUM(E1101:P1101),"N/A")</f>
        <v>6698233.33333333</v>
      </c>
      <c r="R1101" s="424"/>
      <c r="S1101" s="423" cm="1">
        <f t="array" ref="S1101">IF(B1101&gt;0,'Allocation OH and Target 2026'!$E$31,"N/A")</f>
        <v>3100447.15769812</v>
      </c>
      <c r="T1101" s="423" cm="1">
        <f t="array" ref="T1101">IF(B1101&gt;0,VLOOKUP(C1097,'Allocation OH and Target 2026'!$C$35:$S$87,17,0),"N/A")</f>
        <v>971706.544186046</v>
      </c>
      <c r="U1101" s="423" cm="1">
        <f t="array" ref="U1101">_xlfn.IFERROR((S1101+T1101),"N/A")</f>
        <v>4072153.70188417</v>
      </c>
      <c r="V1101" s="424"/>
      <c r="W1101" s="423" cm="1">
        <f t="array" ref="W1101">_xlfn.IFERROR(U1101+Q1101,"N/A")</f>
        <v>10770387.0352175</v>
      </c>
      <c r="X1101" s="423" cm="1">
        <f t="array" ref="X1101">_xlfn.IFERROR(W1101*0.5%,"N/A")</f>
        <v>53851.9351760875</v>
      </c>
      <c r="Y1101" s="423" cm="1">
        <f t="array" ref="Y1101">_xlfn.IFERROR(W1101*25%,"N/A")</f>
        <v>2692596.75880438</v>
      </c>
      <c r="Z1101" s="425" cm="1">
        <f t="array" ref="Z1101">IF(B1101&gt;0,SUM(W1101:Y1101),"N/A")</f>
        <v>13516835.729198</v>
      </c>
      <c r="AA1101" s="425" cm="1">
        <f t="array" ref="AA1101">_xlfn.IFERROR((Z1101-Z1100),"N/A")</f>
        <v>239705</v>
      </c>
      <c r="AB1101" s="424"/>
      <c r="AC1101" t="str" s="426" cm="1">
        <f t="array" ref="AC1101">IF(B1101=6,AVERAGE(Z1100:Z1105),"N/A")</f>
        <v>N/A</v>
      </c>
      <c r="AD1101" s="424"/>
      <c r="AE1101" t="s" s="506">
        <v>546</v>
      </c>
      <c r="AF1101" s="423"/>
      <c r="AG1101" s="423"/>
      <c r="AH1101" s="423"/>
      <c r="AI1101" s="423"/>
      <c r="AJ1101" s="423"/>
      <c r="AK1101" s="423"/>
      <c r="AL1101" s="423"/>
      <c r="AM1101" s="423"/>
      <c r="AN1101" s="427"/>
    </row>
    <row r="1102" ht="15" customHeight="1">
      <c r="A1102" s="12"/>
      <c r="B1102" s="428" cm="1">
        <f t="array" ref="B1102">IF(B1101=0,0,IF(B1101&lt;VLOOKUP(C1097,'Boats Data Sheet 2026'!$C$3:$H$57,6,0),B1101+1,0))</f>
        <v>3</v>
      </c>
      <c r="C1102" s="423" cm="1">
        <f t="array" ref="C1102">IF(B1102&gt;0,IF(VLOOKUP(C1097,'Boats Data Sheet 2026'!$C$3:$J$57,8,0)="N/A",0,VLOOKUP(C1097,'Boats Data Sheet 2026'!$C$3:$J$57,8,0)),"N/A")</f>
        <v>0</v>
      </c>
      <c r="D1102" s="429" cm="1">
        <f t="array" ref="D1102">IF(B1102&gt;7,2,IF(B1102=0,"N/A",1))</f>
        <v>1</v>
      </c>
      <c r="E1102" s="423" cm="1">
        <f t="array" ref="E1102">_xlfn.IFERROR(SUM('Direct Costs 2026'!$C$4:$C$5)*D1102,"N/A")</f>
        <v>875500</v>
      </c>
      <c r="F1102" s="423" cm="1">
        <f t="array" ref="F1102">_xlfn.IFERROR('Direct Costs 2026'!$C$43*B1102,"N/A")</f>
        <v>18000</v>
      </c>
      <c r="G1102" s="423" cm="1">
        <f t="array" ref="G1102">IF(B1102&gt;0,'Direct Costs 2026'!$C$25,"N/A")</f>
        <v>90000</v>
      </c>
      <c r="H1102" s="423" cm="1">
        <f t="array" ref="H1102">IF(B1102&gt;0,('Direct Costs 2026'!$C$15+'Direct Costs 2026'!$C$17+'Direct Costs 2026'!$C$14),"N/A")</f>
        <v>580000</v>
      </c>
      <c r="I1102" s="423" cm="1">
        <f t="array" ref="I1102">IF(B1102&gt;0,'Direct Costs 2026'!$C$19+'Direct Costs 2026'!$C$18*B1102,"N/A")</f>
        <v>180000</v>
      </c>
      <c r="J1102" s="423" cm="1">
        <f t="array" ref="J1102">IF(B1102&gt;0,SUM('Direct Costs 2026'!$C$20:$C$21),"N/A")</f>
        <v>98333.3333333333</v>
      </c>
      <c r="K1102" s="423" cm="1">
        <f t="array" ref="K1102">IF(B1102&gt;0,'Direct Costs 2026'!$C$26,"N/A")</f>
        <v>20000</v>
      </c>
      <c r="L1102" s="423" cm="1">
        <f t="array" ref="L1102">IF(B1102&gt;0,'Direct Costs 2026'!$C$23,"N/A")</f>
        <v>140000</v>
      </c>
      <c r="M1102" s="423" cm="1">
        <f t="array" ref="M1102">IF(B1102&gt;0,'Direct Costs 2026'!$C$45*B1102,"N/A")</f>
        <v>450000</v>
      </c>
      <c r="N1102" s="423" cm="1">
        <f t="array" ref="N1102">IF(B1102&gt;0,_xlfn.IFERROR(VLOOKUP(C1097,'Boats Data Sheet 2026'!$C$3:$I$57,7,0)*'Direct Costs 2026'!$C$36,"N/A"),"N/A")</f>
        <v>3325000</v>
      </c>
      <c r="O1102" s="423" cm="1">
        <f t="array" ref="O1102">IF(B1102&gt;0,IF(OR(VLOOKUP(C1097,'Boats Data Sheet 2026'!$C$3:$F$57,4,0)="Own",VLOOKUP(C1097,'Boats Data Sheet 2026'!$C$3:$F$57,4,0)="Management"),('Direct Costs 2026'!$C$37+'Direct Costs 2026'!$C$39),"N/A"),"N/A")</f>
        <v>1112400</v>
      </c>
      <c r="P1102" s="423" cm="1">
        <f t="array" ref="P1102">_xlfn.IFERROR('Direct Costs 2026'!$C$27*C1102,"N/A")</f>
        <v>0</v>
      </c>
      <c r="Q1102" s="423" cm="1">
        <f t="array" ref="Q1102">_xlfn.IFERROR(C1102+SUM(E1102:P1102),"N/A")</f>
        <v>6889233.33333333</v>
      </c>
      <c r="R1102" s="424"/>
      <c r="S1102" s="423" cm="1">
        <f t="array" ref="S1102">IF(B1102&gt;0,'Allocation OH and Target 2026'!$E$31,"N/A")</f>
        <v>3100447.15769812</v>
      </c>
      <c r="T1102" s="423" cm="1">
        <f t="array" ref="T1102">IF(B1102&gt;0,VLOOKUP(C1097,'Allocation OH and Target 2026'!$C$35:$S$87,17,0),"N/A")</f>
        <v>971706.544186046</v>
      </c>
      <c r="U1102" s="423" cm="1">
        <f t="array" ref="U1102">_xlfn.IFERROR((S1102+T1102),"N/A")</f>
        <v>4072153.70188417</v>
      </c>
      <c r="V1102" s="424"/>
      <c r="W1102" s="423" cm="1">
        <f t="array" ref="W1102">_xlfn.IFERROR(U1102+Q1102,"N/A")</f>
        <v>10961387.0352175</v>
      </c>
      <c r="X1102" s="423" cm="1">
        <f t="array" ref="X1102">_xlfn.IFERROR(W1102*0.5%,"N/A")</f>
        <v>54806.9351760875</v>
      </c>
      <c r="Y1102" s="423" cm="1">
        <f t="array" ref="Y1102">_xlfn.IFERROR(W1102*25%,"N/A")</f>
        <v>2740346.75880438</v>
      </c>
      <c r="Z1102" s="425" cm="1">
        <f t="array" ref="Z1102">IF(B1102&gt;0,SUM(W1102:Y1102),"N/A")</f>
        <v>13756540.729198</v>
      </c>
      <c r="AA1102" s="425" cm="1">
        <f t="array" ref="AA1102">_xlfn.IFERROR((Z1102-Z1101),"N/A")</f>
        <v>239705</v>
      </c>
      <c r="AB1102" s="424"/>
      <c r="AC1102" t="str" s="426" cm="1">
        <f t="array" ref="AC1102">IF(B1102=6,AVERAGE(Z1100:Z1105),"N/A")</f>
        <v>N/A</v>
      </c>
      <c r="AD1102" s="424"/>
      <c r="AE1102" t="s" s="504">
        <v>547</v>
      </c>
      <c r="AF1102" s="423" cm="1">
        <f t="array" ref="AF1102">AF1100*'RECOMMENDED PRICES'!$D$17</f>
        <v>881141666.666667</v>
      </c>
      <c r="AG1102" s="423"/>
      <c r="AH1102" s="423"/>
      <c r="AI1102" s="423"/>
      <c r="AJ1102" s="423"/>
      <c r="AK1102" s="423"/>
      <c r="AL1102" s="423"/>
      <c r="AM1102" s="423"/>
      <c r="AN1102" s="427"/>
    </row>
    <row r="1103" ht="15" customHeight="1">
      <c r="A1103" s="12"/>
      <c r="B1103" s="428" cm="1">
        <f t="array" ref="B1103">IF(B1102=0,0,IF(B1102&lt;VLOOKUP(C1097,'Boats Data Sheet 2026'!$C$3:$H$57,6,0),B1102+1,0))</f>
        <v>4</v>
      </c>
      <c r="C1103" s="423" cm="1">
        <f t="array" ref="C1103">IF(B1103&gt;0,IF(VLOOKUP(C1097,'Boats Data Sheet 2026'!$C$3:$J$57,8,0)="N/A",0,VLOOKUP(C1097,'Boats Data Sheet 2026'!$C$3:$J$57,8,0)),"N/A")</f>
        <v>0</v>
      </c>
      <c r="D1103" s="429" cm="1">
        <f t="array" ref="D1103">IF(B1103&gt;7,2,IF(B1103=0,"N/A",1))</f>
        <v>1</v>
      </c>
      <c r="E1103" s="423" cm="1">
        <f t="array" ref="E1103">_xlfn.IFERROR(SUM('Direct Costs 2026'!$C$4:$C$5)*D1103,"N/A")</f>
        <v>875500</v>
      </c>
      <c r="F1103" s="423" cm="1">
        <f t="array" ref="F1103">_xlfn.IFERROR('Direct Costs 2026'!$C$43*B1103,"N/A")</f>
        <v>24000</v>
      </c>
      <c r="G1103" s="423" cm="1">
        <f t="array" ref="G1103">IF(B1103&gt;0,'Direct Costs 2026'!$C$25,"N/A")</f>
        <v>90000</v>
      </c>
      <c r="H1103" s="423" cm="1">
        <f t="array" ref="H1103">IF(B1103&gt;0,('Direct Costs 2026'!$C$15+'Direct Costs 2026'!$C$17+'Direct Costs 2026'!$C$14),"N/A")</f>
        <v>580000</v>
      </c>
      <c r="I1103" s="423" cm="1">
        <f t="array" ref="I1103">IF(B1103&gt;0,'Direct Costs 2026'!$C$19+'Direct Costs 2026'!$C$18*B1103,"N/A")</f>
        <v>215000</v>
      </c>
      <c r="J1103" s="423" cm="1">
        <f t="array" ref="J1103">IF(B1103&gt;0,SUM('Direct Costs 2026'!$C$20:$C$21),"N/A")</f>
        <v>98333.3333333333</v>
      </c>
      <c r="K1103" s="423" cm="1">
        <f t="array" ref="K1103">IF(B1103&gt;0,'Direct Costs 2026'!$C$26,"N/A")</f>
        <v>20000</v>
      </c>
      <c r="L1103" s="423" cm="1">
        <f t="array" ref="L1103">IF(B1103&gt;0,'Direct Costs 2026'!$C$23,"N/A")</f>
        <v>140000</v>
      </c>
      <c r="M1103" s="423" cm="1">
        <f t="array" ref="M1103">IF(B1103&gt;0,'Direct Costs 2026'!$C$45*B1103,"N/A")</f>
        <v>600000</v>
      </c>
      <c r="N1103" s="423" cm="1">
        <f t="array" ref="N1103">IF(B1103&gt;0,_xlfn.IFERROR(VLOOKUP(C1097,'Boats Data Sheet 2026'!$C$3:$I$57,7,0)*'Direct Costs 2026'!$C$36,"N/A"),"N/A")</f>
        <v>3325000</v>
      </c>
      <c r="O1103" s="423" cm="1">
        <f t="array" ref="O1103">IF(B1103&gt;0,IF(OR(VLOOKUP(C1097,'Boats Data Sheet 2026'!$C$3:$F$57,4,0)="Own",VLOOKUP(C1097,'Boats Data Sheet 2026'!$C$3:$F$57,4,0)="Management"),('Direct Costs 2026'!$C$37+'Direct Costs 2026'!$C$39),"N/A"),"N/A")</f>
        <v>1112400</v>
      </c>
      <c r="P1103" s="423" cm="1">
        <f t="array" ref="P1103">_xlfn.IFERROR('Direct Costs 2026'!$C$27*C1103,"N/A")</f>
        <v>0</v>
      </c>
      <c r="Q1103" s="423" cm="1">
        <f t="array" ref="Q1103">_xlfn.IFERROR(C1103+SUM(E1103:P1103),"N/A")</f>
        <v>7080233.33333333</v>
      </c>
      <c r="R1103" s="424"/>
      <c r="S1103" s="423" cm="1">
        <f t="array" ref="S1103">IF(B1103&gt;0,'Allocation OH and Target 2026'!$E$31,"N/A")</f>
        <v>3100447.15769812</v>
      </c>
      <c r="T1103" s="423" cm="1">
        <f t="array" ref="T1103">IF(B1103&gt;0,VLOOKUP(C1097,'Allocation OH and Target 2026'!$C$35:$S$87,17,0),"N/A")</f>
        <v>971706.544186046</v>
      </c>
      <c r="U1103" s="423" cm="1">
        <f t="array" ref="U1103">_xlfn.IFERROR((S1103+T1103),"N/A")</f>
        <v>4072153.70188417</v>
      </c>
      <c r="V1103" s="424"/>
      <c r="W1103" s="423" cm="1">
        <f t="array" ref="W1103">_xlfn.IFERROR(U1103+Q1103,"N/A")</f>
        <v>11152387.0352175</v>
      </c>
      <c r="X1103" s="423" cm="1">
        <f t="array" ref="X1103">_xlfn.IFERROR(W1103*0.5%,"N/A")</f>
        <v>55761.9351760875</v>
      </c>
      <c r="Y1103" s="423" cm="1">
        <f t="array" ref="Y1103">_xlfn.IFERROR(W1103*25%,"N/A")</f>
        <v>2788096.75880438</v>
      </c>
      <c r="Z1103" s="425" cm="1">
        <f t="array" ref="Z1103">IF(B1103&gt;0,SUM(W1103:Y1103),"N/A")</f>
        <v>13996245.729198</v>
      </c>
      <c r="AA1103" s="425" cm="1">
        <f t="array" ref="AA1103">_xlfn.IFERROR((Z1103-Z1102),"N/A")</f>
        <v>239705</v>
      </c>
      <c r="AB1103" s="424"/>
      <c r="AC1103" t="str" s="426" cm="1">
        <f t="array" ref="AC1103">IF(B1103=6,AVERAGE(Z1100:Z1105),"N/A")</f>
        <v>N/A</v>
      </c>
      <c r="AD1103" s="424"/>
      <c r="AE1103" t="s" s="504">
        <v>548</v>
      </c>
      <c r="AF1103" s="423" cm="1">
        <f t="array" ref="AF1103">AF1100*VLOOKUP(C1097,'RECOMMENDED PRICES'!$B$20:$F$76,5,0)</f>
        <v>298133333.333333</v>
      </c>
      <c r="AG1103" s="423"/>
      <c r="AH1103" s="423"/>
      <c r="AI1103" s="423"/>
      <c r="AJ1103" s="423"/>
      <c r="AK1103" s="423"/>
      <c r="AL1103" s="423"/>
      <c r="AM1103" s="423"/>
      <c r="AN1103" s="427"/>
    </row>
    <row r="1104" ht="15" customHeight="1">
      <c r="A1104" s="12"/>
      <c r="B1104" s="428" cm="1">
        <f t="array" ref="B1104">IF(B1103=0,0,IF(B1103&lt;VLOOKUP(C1097,'Boats Data Sheet 2026'!$C$3:$H$57,6,0),B1103+1,0))</f>
        <v>5</v>
      </c>
      <c r="C1104" s="423" cm="1">
        <f t="array" ref="C1104">IF(B1104&gt;0,IF(VLOOKUP(C1097,'Boats Data Sheet 2026'!$C$3:$J$57,8,0)="N/A",0,VLOOKUP(C1097,'Boats Data Sheet 2026'!$C$3:$J$57,8,0)),"N/A")</f>
        <v>0</v>
      </c>
      <c r="D1104" s="429" cm="1">
        <f t="array" ref="D1104">IF(B1104&gt;7,2,IF(B1104=0,"N/A",1))</f>
        <v>1</v>
      </c>
      <c r="E1104" s="423" cm="1">
        <f t="array" ref="E1104">_xlfn.IFERROR(SUM('Direct Costs 2026'!$C$4:$C$5)*D1104,"N/A")</f>
        <v>875500</v>
      </c>
      <c r="F1104" s="423" cm="1">
        <f t="array" ref="F1104">_xlfn.IFERROR('Direct Costs 2026'!$C$43*B1104,"N/A")</f>
        <v>30000</v>
      </c>
      <c r="G1104" s="423" cm="1">
        <f t="array" ref="G1104">IF(B1104&gt;0,'Direct Costs 2026'!$C$25,"N/A")</f>
        <v>90000</v>
      </c>
      <c r="H1104" s="423" cm="1">
        <f t="array" ref="H1104">IF(B1104&gt;0,('Direct Costs 2026'!$C$15+'Direct Costs 2026'!$C$17+'Direct Costs 2026'!$C$14),"N/A")</f>
        <v>580000</v>
      </c>
      <c r="I1104" s="423" cm="1">
        <f t="array" ref="I1104">IF(B1104&gt;0,'Direct Costs 2026'!$C$19+'Direct Costs 2026'!$C$18*B1104,"N/A")</f>
        <v>250000</v>
      </c>
      <c r="J1104" s="423" cm="1">
        <f t="array" ref="J1104">IF(B1104&gt;0,SUM('Direct Costs 2026'!$C$20:$C$21),"N/A")</f>
        <v>98333.3333333333</v>
      </c>
      <c r="K1104" s="423" cm="1">
        <f t="array" ref="K1104">IF(B1104&gt;0,'Direct Costs 2026'!$C$26,"N/A")</f>
        <v>20000</v>
      </c>
      <c r="L1104" s="423" cm="1">
        <f t="array" ref="L1104">IF(B1104&gt;0,'Direct Costs 2026'!$C$23,"N/A")</f>
        <v>140000</v>
      </c>
      <c r="M1104" s="423" cm="1">
        <f t="array" ref="M1104">IF(B1104&gt;0,'Direct Costs 2026'!$C$45*B1104,"N/A")</f>
        <v>750000</v>
      </c>
      <c r="N1104" s="423" cm="1">
        <f t="array" ref="N1104">IF(B1104&gt;0,_xlfn.IFERROR(VLOOKUP(C1097,'Boats Data Sheet 2026'!$C$3:$I$57,7,0)*'Direct Costs 2026'!$C$36,"N/A"),"N/A")</f>
        <v>3325000</v>
      </c>
      <c r="O1104" s="423" cm="1">
        <f t="array" ref="O1104">IF(B1104&gt;0,IF(OR(VLOOKUP(C1097,'Boats Data Sheet 2026'!$C$3:$F$57,4,0)="Own",VLOOKUP(C1097,'Boats Data Sheet 2026'!$C$3:$F$57,4,0)="Management"),('Direct Costs 2026'!$C$37+'Direct Costs 2026'!$C$39),"N/A"),"N/A")</f>
        <v>1112400</v>
      </c>
      <c r="P1104" s="423" cm="1">
        <f t="array" ref="P1104">_xlfn.IFERROR('Direct Costs 2026'!$C$27*C1104,"N/A")</f>
        <v>0</v>
      </c>
      <c r="Q1104" s="423" cm="1">
        <f t="array" ref="Q1104">_xlfn.IFERROR(C1104+SUM(E1104:P1104),"N/A")</f>
        <v>7271233.33333333</v>
      </c>
      <c r="R1104" s="424"/>
      <c r="S1104" s="423" cm="1">
        <f t="array" ref="S1104">IF(B1104&gt;0,'Allocation OH and Target 2026'!$E$31,"N/A")</f>
        <v>3100447.15769812</v>
      </c>
      <c r="T1104" s="423" cm="1">
        <f t="array" ref="T1104">IF(B1104&gt;0,VLOOKUP(C1097,'Allocation OH and Target 2026'!$C$35:$S$87,17,0),"N/A")</f>
        <v>971706.544186046</v>
      </c>
      <c r="U1104" s="423" cm="1">
        <f t="array" ref="U1104">_xlfn.IFERROR((S1104+T1104),"N/A")</f>
        <v>4072153.70188417</v>
      </c>
      <c r="V1104" s="424"/>
      <c r="W1104" s="423" cm="1">
        <f t="array" ref="W1104">_xlfn.IFERROR(U1104+Q1104,"N/A")</f>
        <v>11343387.0352175</v>
      </c>
      <c r="X1104" s="423" cm="1">
        <f t="array" ref="X1104">_xlfn.IFERROR(W1104*0.5%,"N/A")</f>
        <v>56716.9351760875</v>
      </c>
      <c r="Y1104" s="423" cm="1">
        <f t="array" ref="Y1104">_xlfn.IFERROR(W1104*25%,"N/A")</f>
        <v>2835846.75880438</v>
      </c>
      <c r="Z1104" s="425" cm="1">
        <f t="array" ref="Z1104">IF(B1104&gt;0,SUM(W1104:Y1104),"N/A")</f>
        <v>14235950.729198</v>
      </c>
      <c r="AA1104" s="425" cm="1">
        <f t="array" ref="AA1104">_xlfn.IFERROR((Z1104-Z1103),"N/A")</f>
        <v>239705</v>
      </c>
      <c r="AB1104" s="424"/>
      <c r="AC1104" t="str" s="426" cm="1">
        <f t="array" ref="AC1104">IF(B1104=6,AVERAGE(Z1100:Z1105),"N/A")</f>
        <v>N/A</v>
      </c>
      <c r="AD1104" s="424"/>
      <c r="AE1104" t="s" s="504">
        <v>549</v>
      </c>
      <c r="AF1104" s="423">
        <v>0</v>
      </c>
      <c r="AG1104" s="423"/>
      <c r="AH1104" s="423"/>
      <c r="AI1104" s="423"/>
      <c r="AJ1104" s="423"/>
      <c r="AK1104" s="423"/>
      <c r="AL1104" s="423"/>
      <c r="AM1104" s="423"/>
      <c r="AN1104" s="427"/>
    </row>
    <row r="1105" ht="15" customHeight="1">
      <c r="A1105" s="12"/>
      <c r="B1105" s="428" cm="1">
        <f t="array" ref="B1105">IF(B1104=0,0,IF(B1104&lt;VLOOKUP(C1097,'Boats Data Sheet 2026'!$C$3:$H$57,6,0),B1104+1,0))</f>
        <v>6</v>
      </c>
      <c r="C1105" s="423" cm="1">
        <f t="array" ref="C1105">IF(B1105&gt;0,IF(VLOOKUP(C1097,'Boats Data Sheet 2026'!$C$3:$J$57,8,0)="N/A",0,VLOOKUP(C1097,'Boats Data Sheet 2026'!$C$3:$J$57,8,0)),"N/A")</f>
        <v>0</v>
      </c>
      <c r="D1105" s="429" cm="1">
        <f t="array" ref="D1105">IF(B1105&gt;7,2,IF(B1105=0,"N/A",1))</f>
        <v>1</v>
      </c>
      <c r="E1105" s="423" cm="1">
        <f t="array" ref="E1105">_xlfn.IFERROR(SUM('Direct Costs 2026'!$C$4:$C$5)*D1105,"N/A")</f>
        <v>875500</v>
      </c>
      <c r="F1105" s="423" cm="1">
        <f t="array" ref="F1105">_xlfn.IFERROR('Direct Costs 2026'!$C$43*B1105,"N/A")</f>
        <v>36000</v>
      </c>
      <c r="G1105" s="423" cm="1">
        <f t="array" ref="G1105">IF(B1105&gt;0,'Direct Costs 2026'!$C$25,"N/A")</f>
        <v>90000</v>
      </c>
      <c r="H1105" s="423" cm="1">
        <f t="array" ref="H1105">IF(B1105&gt;0,('Direct Costs 2026'!$C$15+'Direct Costs 2026'!$C$17+'Direct Costs 2026'!$C$14),"N/A")</f>
        <v>580000</v>
      </c>
      <c r="I1105" s="423" cm="1">
        <f t="array" ref="I1105">IF(B1105&gt;0,'Direct Costs 2026'!$C$19+'Direct Costs 2026'!$C$18*B1105,"N/A")</f>
        <v>285000</v>
      </c>
      <c r="J1105" s="423" cm="1">
        <f t="array" ref="J1105">IF(B1105&gt;0,SUM('Direct Costs 2026'!$C$20:$C$21),"N/A")</f>
        <v>98333.3333333333</v>
      </c>
      <c r="K1105" s="423" cm="1">
        <f t="array" ref="K1105">IF(B1105&gt;0,'Direct Costs 2026'!$C$26,"N/A")</f>
        <v>20000</v>
      </c>
      <c r="L1105" s="423" cm="1">
        <f t="array" ref="L1105">IF(B1105&gt;0,'Direct Costs 2026'!$C$23,"N/A")</f>
        <v>140000</v>
      </c>
      <c r="M1105" s="423" cm="1">
        <f t="array" ref="M1105">IF(B1105&gt;0,'Direct Costs 2026'!$C$45*B1105,"N/A")</f>
        <v>900000</v>
      </c>
      <c r="N1105" s="423" cm="1">
        <f t="array" ref="N1105">IF(B1105&gt;0,_xlfn.IFERROR(VLOOKUP(C1097,'Boats Data Sheet 2026'!$C$3:$I$57,7,0)*'Direct Costs 2026'!$C$36,"N/A"),"N/A")</f>
        <v>3325000</v>
      </c>
      <c r="O1105" s="423" cm="1">
        <f t="array" ref="O1105">IF(B1105&gt;0,IF(OR(VLOOKUP(C1097,'Boats Data Sheet 2026'!$C$3:$F$57,4,0)="Own",VLOOKUP(C1097,'Boats Data Sheet 2026'!$C$3:$F$57,4,0)="Management"),('Direct Costs 2026'!$C$37+'Direct Costs 2026'!$C$39),"N/A"),"N/A")</f>
        <v>1112400</v>
      </c>
      <c r="P1105" s="423" cm="1">
        <f t="array" ref="P1105">_xlfn.IFERROR('Direct Costs 2026'!$C$27*C1105,"N/A")</f>
        <v>0</v>
      </c>
      <c r="Q1105" s="423" cm="1">
        <f t="array" ref="Q1105">_xlfn.IFERROR(C1105+SUM(E1105:P1105),"N/A")</f>
        <v>7462233.33333333</v>
      </c>
      <c r="R1105" s="424"/>
      <c r="S1105" s="423" cm="1">
        <f t="array" ref="S1105">IF(B1105&gt;0,'Allocation OH and Target 2026'!$E$31,"N/A")</f>
        <v>3100447.15769812</v>
      </c>
      <c r="T1105" s="423" cm="1">
        <f t="array" ref="T1105">IF(B1105&gt;0,VLOOKUP(C1097,'Allocation OH and Target 2026'!$C$35:$S$87,17,0),"N/A")</f>
        <v>971706.544186046</v>
      </c>
      <c r="U1105" s="423" cm="1">
        <f t="array" ref="U1105">_xlfn.IFERROR((S1105+T1105),"N/A")</f>
        <v>4072153.70188417</v>
      </c>
      <c r="V1105" s="424"/>
      <c r="W1105" s="423" cm="1">
        <f t="array" ref="W1105">_xlfn.IFERROR(U1105+Q1105,"N/A")</f>
        <v>11534387.0352175</v>
      </c>
      <c r="X1105" s="423" cm="1">
        <f t="array" ref="X1105">_xlfn.IFERROR(W1105*0.5%,"N/A")</f>
        <v>57671.9351760875</v>
      </c>
      <c r="Y1105" s="423" cm="1">
        <f t="array" ref="Y1105">_xlfn.IFERROR(W1105*25%,"N/A")</f>
        <v>2883596.75880438</v>
      </c>
      <c r="Z1105" s="425" cm="1">
        <f t="array" ref="Z1105">IF(B1105&gt;0,SUM(W1105:Y1105),"N/A")</f>
        <v>14475655.729198</v>
      </c>
      <c r="AA1105" s="425" cm="1">
        <f t="array" ref="AA1105">_xlfn.IFERROR((Z1105-Z1104),"N/A")</f>
        <v>239705</v>
      </c>
      <c r="AB1105" s="424"/>
      <c r="AC1105" s="425" cm="1">
        <f t="array" ref="AC1105">IF(B1105=6,AVERAGE(Z1100:Z1105),"N/A")</f>
        <v>13876393.229198</v>
      </c>
      <c r="AD1105" s="424"/>
      <c r="AE1105" t="s" s="506">
        <v>550</v>
      </c>
      <c r="AF1105" s="423"/>
      <c r="AG1105" s="423"/>
      <c r="AH1105" s="423"/>
      <c r="AI1105" s="423"/>
      <c r="AJ1105" s="423"/>
      <c r="AK1105" s="423"/>
      <c r="AL1105" s="423"/>
      <c r="AM1105" s="423"/>
      <c r="AN1105" s="427"/>
    </row>
    <row r="1106" ht="15" customHeight="1">
      <c r="A1106" s="12"/>
      <c r="B1106" s="428" cm="1">
        <f t="array" ref="B1106">IF(B1105=0,0,IF(B1105&lt;VLOOKUP(C1097,'Boats Data Sheet 2026'!$C$3:$H$57,6,0),B1105+1,0))</f>
        <v>7</v>
      </c>
      <c r="C1106" s="423" cm="1">
        <f t="array" ref="C1106">IF(B1106&gt;0,IF(VLOOKUP(C1097,'Boats Data Sheet 2026'!$C$3:$J$57,8,0)="N/A",0,VLOOKUP(C1097,'Boats Data Sheet 2026'!$C$3:$J$57,8,0)),"N/A")</f>
        <v>0</v>
      </c>
      <c r="D1106" s="429" cm="1">
        <f t="array" ref="D1106">IF(B1106&gt;7,2,IF(B1106=0,"N/A",1))</f>
        <v>1</v>
      </c>
      <c r="E1106" s="423" cm="1">
        <f t="array" ref="E1106">_xlfn.IFERROR(SUM('Direct Costs 2026'!$C$4:$C$5)*D1106,"N/A")</f>
        <v>875500</v>
      </c>
      <c r="F1106" s="423" cm="1">
        <f t="array" ref="F1106">_xlfn.IFERROR('Direct Costs 2026'!$C$43*B1106,"N/A")</f>
        <v>42000</v>
      </c>
      <c r="G1106" s="423" cm="1">
        <f t="array" ref="G1106">IF(B1106&gt;0,'Direct Costs 2026'!$C$25,"N/A")</f>
        <v>90000</v>
      </c>
      <c r="H1106" s="423" cm="1">
        <f t="array" ref="H1106">IF(B1106&gt;0,('Direct Costs 2026'!$C$15+'Direct Costs 2026'!$C$17+'Direct Costs 2026'!$C$14),"N/A")</f>
        <v>580000</v>
      </c>
      <c r="I1106" s="423" cm="1">
        <f t="array" ref="I1106">IF(B1106&gt;0,'Direct Costs 2026'!$C$19+'Direct Costs 2026'!$C$18*B1106,"N/A")</f>
        <v>320000</v>
      </c>
      <c r="J1106" s="423" cm="1">
        <f t="array" ref="J1106">IF(B1106&gt;0,SUM('Direct Costs 2026'!$C$20:$C$21),"N/A")</f>
        <v>98333.3333333333</v>
      </c>
      <c r="K1106" s="423" cm="1">
        <f t="array" ref="K1106">IF(B1106&gt;0,'Direct Costs 2026'!$C$26,"N/A")</f>
        <v>20000</v>
      </c>
      <c r="L1106" s="423" cm="1">
        <f t="array" ref="L1106">IF(B1106&gt;0,'Direct Costs 2026'!$C$23,"N/A")</f>
        <v>140000</v>
      </c>
      <c r="M1106" s="423" cm="1">
        <f t="array" ref="M1106">IF(B1106&gt;0,'Direct Costs 2026'!$C$45*B1106,"N/A")</f>
        <v>1050000</v>
      </c>
      <c r="N1106" s="423" cm="1">
        <f t="array" ref="N1106">IF(B1106&gt;0,_xlfn.IFERROR(VLOOKUP(C1097,'Boats Data Sheet 2026'!$C$3:$I$57,7,0)*'Direct Costs 2026'!$C$36,"N/A"),"N/A")</f>
        <v>3325000</v>
      </c>
      <c r="O1106" s="423" cm="1">
        <f t="array" ref="O1106">IF(B1106&gt;0,IF(OR(VLOOKUP(C1097,'Boats Data Sheet 2026'!$C$3:$F$57,4,0)="Own",VLOOKUP(C1097,'Boats Data Sheet 2026'!$C$3:$F$57,4,0)="Management"),('Direct Costs 2026'!$C$37+'Direct Costs 2026'!$C$39),"N/A"),"N/A")</f>
        <v>1112400</v>
      </c>
      <c r="P1106" s="423" cm="1">
        <f t="array" ref="P1106">_xlfn.IFERROR('Direct Costs 2026'!$C$27*C1106,"N/A")</f>
        <v>0</v>
      </c>
      <c r="Q1106" s="423" cm="1">
        <f t="array" ref="Q1106">_xlfn.IFERROR(C1106+SUM(E1106:P1106),"N/A")</f>
        <v>7653233.33333333</v>
      </c>
      <c r="R1106" s="424"/>
      <c r="S1106" s="423" cm="1">
        <f t="array" ref="S1106">IF(B1106&gt;0,'Allocation OH and Target 2026'!$E$31,"N/A")</f>
        <v>3100447.15769812</v>
      </c>
      <c r="T1106" s="423" cm="1">
        <f t="array" ref="T1106">IF(B1106&gt;0,VLOOKUP(C1097,'Allocation OH and Target 2026'!$C$35:$S$87,17,0),"N/A")</f>
        <v>971706.544186046</v>
      </c>
      <c r="U1106" s="423" cm="1">
        <f t="array" ref="U1106">_xlfn.IFERROR((S1106+T1106),"N/A")</f>
        <v>4072153.70188417</v>
      </c>
      <c r="V1106" s="424"/>
      <c r="W1106" s="423" cm="1">
        <f t="array" ref="W1106">_xlfn.IFERROR(U1106+Q1106,"N/A")</f>
        <v>11725387.0352175</v>
      </c>
      <c r="X1106" s="423" cm="1">
        <f t="array" ref="X1106">_xlfn.IFERROR(W1106*0.5%,"N/A")</f>
        <v>58626.9351760875</v>
      </c>
      <c r="Y1106" s="423" cm="1">
        <f t="array" ref="Y1106">_xlfn.IFERROR(W1106*25%,"N/A")</f>
        <v>2931346.75880438</v>
      </c>
      <c r="Z1106" s="425" cm="1">
        <f t="array" ref="Z1106">IF(B1106&gt;0,SUM(W1106:Y1106),"N/A")</f>
        <v>14715360.729198</v>
      </c>
      <c r="AA1106" s="425" cm="1">
        <f t="array" ref="AA1106">_xlfn.IFERROR((Z1106-Z1105),"N/A")</f>
        <v>239705</v>
      </c>
      <c r="AB1106" s="424"/>
      <c r="AC1106" t="str" s="426" cm="1">
        <f t="array" ref="AC1106">IF(B1106=6,AVERAGE(Z1100:Z1105),"N/A")</f>
        <v>N/A</v>
      </c>
      <c r="AD1106" s="424"/>
      <c r="AE1106" t="s" s="504">
        <v>551</v>
      </c>
      <c r="AF1106" s="507" cm="1">
        <f t="array" ref="AF1106">-AVERAGE(W1100:W1112)*AF1100</f>
        <v>-869278250.344434</v>
      </c>
      <c r="AG1106" s="423"/>
      <c r="AH1106" s="423"/>
      <c r="AI1106" s="423"/>
      <c r="AJ1106" s="423"/>
      <c r="AK1106" s="423"/>
      <c r="AL1106" s="423"/>
      <c r="AM1106" s="423"/>
      <c r="AN1106" s="427"/>
    </row>
    <row r="1107" ht="15" customHeight="1">
      <c r="A1107" s="12"/>
      <c r="B1107" s="428" cm="1">
        <f t="array" ref="B1107">IF(B1106=0,0,IF(B1106&lt;VLOOKUP(C1097,'Boats Data Sheet 2026'!$C$3:$H$57,6,0),B1106+1,0))</f>
        <v>8</v>
      </c>
      <c r="C1107" s="423" cm="1">
        <f t="array" ref="C1107">IF(B1107&gt;0,IF(VLOOKUP(C1097,'Boats Data Sheet 2026'!$C$3:$J$57,8,0)="N/A",0,VLOOKUP(C1097,'Boats Data Sheet 2026'!$C$3:$J$57,8,0)),"N/A")</f>
        <v>0</v>
      </c>
      <c r="D1107" s="429" cm="1">
        <f t="array" ref="D1107">IF(B1107&gt;7,2,IF(B1107=0,"N/A",1))</f>
        <v>2</v>
      </c>
      <c r="E1107" s="423" cm="1">
        <f t="array" ref="E1107">_xlfn.IFERROR(SUM('Direct Costs 2026'!$C$4:$C$5)*D1107,"N/A")</f>
        <v>1751000</v>
      </c>
      <c r="F1107" s="423" cm="1">
        <f t="array" ref="F1107">_xlfn.IFERROR('Direct Costs 2026'!$C$43*B1107,"N/A")</f>
        <v>48000</v>
      </c>
      <c r="G1107" s="423" cm="1">
        <f t="array" ref="G1107">IF(B1107&gt;0,'Direct Costs 2026'!$C$25,"N/A")</f>
        <v>90000</v>
      </c>
      <c r="H1107" s="423" cm="1">
        <f t="array" ref="H1107">IF(B1107&gt;0,('Direct Costs 2026'!$C$15+'Direct Costs 2026'!$C$17+'Direct Costs 2026'!$C$14),"N/A")</f>
        <v>580000</v>
      </c>
      <c r="I1107" s="423" cm="1">
        <f t="array" ref="I1107">IF(B1107&gt;0,'Direct Costs 2026'!$C$19+'Direct Costs 2026'!$C$18*B1107,"N/A")</f>
        <v>355000</v>
      </c>
      <c r="J1107" s="423" cm="1">
        <f t="array" ref="J1107">IF(B1107&gt;0,SUM('Direct Costs 2026'!$C$20:$C$21),"N/A")</f>
        <v>98333.3333333333</v>
      </c>
      <c r="K1107" s="423" cm="1">
        <f t="array" ref="K1107">IF(B1107&gt;0,'Direct Costs 2026'!$C$26,"N/A")</f>
        <v>20000</v>
      </c>
      <c r="L1107" s="423" cm="1">
        <f t="array" ref="L1107">IF(B1107&gt;0,'Direct Costs 2026'!$C$23,"N/A")</f>
        <v>140000</v>
      </c>
      <c r="M1107" s="423" cm="1">
        <f t="array" ref="M1107">IF(B1107&gt;0,'Direct Costs 2026'!$C$45*B1107,"N/A")</f>
        <v>1200000</v>
      </c>
      <c r="N1107" s="423" cm="1">
        <f t="array" ref="N1107">IF(B1107&gt;0,_xlfn.IFERROR(VLOOKUP(C1097,'Boats Data Sheet 2026'!$C$3:$I$57,7,0)*'Direct Costs 2026'!$C$36,"N/A"),"N/A")</f>
        <v>3325000</v>
      </c>
      <c r="O1107" s="423" cm="1">
        <f t="array" ref="O1107">IF(B1107&gt;0,IF(OR(VLOOKUP(C1097,'Boats Data Sheet 2026'!$C$3:$F$57,4,0)="Own",VLOOKUP(C1097,'Boats Data Sheet 2026'!$C$3:$F$57,4,0)="Management"),('Direct Costs 2026'!$C$37+'Direct Costs 2026'!$C$39),"N/A"),"N/A")</f>
        <v>1112400</v>
      </c>
      <c r="P1107" s="423" cm="1">
        <f t="array" ref="P1107">_xlfn.IFERROR('Direct Costs 2026'!$C$27*C1107,"N/A")</f>
        <v>0</v>
      </c>
      <c r="Q1107" s="423" cm="1">
        <f t="array" ref="Q1107">_xlfn.IFERROR(C1107+SUM(E1107:P1107),"N/A")</f>
        <v>8719733.33333333</v>
      </c>
      <c r="R1107" s="424"/>
      <c r="S1107" s="423" cm="1">
        <f t="array" ref="S1107">IF(B1107&gt;0,'Allocation OH and Target 2026'!$E$31,"N/A")</f>
        <v>3100447.15769812</v>
      </c>
      <c r="T1107" s="423" cm="1">
        <f t="array" ref="T1107">IF(B1107&gt;0,VLOOKUP(C1097,'Allocation OH and Target 2026'!$C$35:$S$87,17,0),"N/A")</f>
        <v>971706.544186046</v>
      </c>
      <c r="U1107" s="423" cm="1">
        <f t="array" ref="U1107">_xlfn.IFERROR((S1107+T1107),"N/A")</f>
        <v>4072153.70188417</v>
      </c>
      <c r="V1107" s="424"/>
      <c r="W1107" s="423" cm="1">
        <f t="array" ref="W1107">_xlfn.IFERROR(U1107+Q1107,"N/A")</f>
        <v>12791887.0352175</v>
      </c>
      <c r="X1107" s="423" cm="1">
        <f t="array" ref="X1107">_xlfn.IFERROR(W1107*0.5%,"N/A")</f>
        <v>63959.4351760875</v>
      </c>
      <c r="Y1107" s="423" cm="1">
        <f t="array" ref="Y1107">_xlfn.IFERROR(W1107*25%,"N/A")</f>
        <v>3197971.75880438</v>
      </c>
      <c r="Z1107" s="425" cm="1">
        <f t="array" ref="Z1107">IF(B1107&gt;0,SUM(W1107:Y1107),"N/A")</f>
        <v>16053818.229198</v>
      </c>
      <c r="AA1107" s="425" cm="1">
        <f t="array" ref="AA1107">_xlfn.IFERROR((Z1107-Z1106),"N/A")</f>
        <v>1338457.5</v>
      </c>
      <c r="AB1107" s="424"/>
      <c r="AC1107" t="str" s="426" cm="1">
        <f t="array" ref="AC1107">IF(B1107=6,AVERAGE(Z1100:Z1105),"N/A")</f>
        <v>N/A</v>
      </c>
      <c r="AD1107" s="424"/>
      <c r="AE1107" t="s" s="506">
        <v>394</v>
      </c>
      <c r="AF1107" s="508" cm="1">
        <f t="array" ref="AF1107">SUM(AF1102:AF1106)</f>
        <v>309996749.655566</v>
      </c>
      <c r="AG1107" s="423"/>
      <c r="AH1107" s="423"/>
      <c r="AI1107" s="423"/>
      <c r="AJ1107" s="423"/>
      <c r="AK1107" s="423"/>
      <c r="AL1107" s="423"/>
      <c r="AM1107" s="423"/>
      <c r="AN1107" s="427"/>
    </row>
    <row r="1108" ht="15" customHeight="1">
      <c r="A1108" s="12"/>
      <c r="B1108" s="428" cm="1">
        <f t="array" ref="B1108">IF(B1107=0,0,IF(B1107&lt;VLOOKUP(C1097,'Boats Data Sheet 2026'!$C$3:$H$57,6,0),B1107+1,0))</f>
        <v>9</v>
      </c>
      <c r="C1108" s="423" cm="1">
        <f t="array" ref="C1108">IF(B1108&gt;0,IF(VLOOKUP(C1097,'Boats Data Sheet 2026'!$C$3:$J$57,8,0)="N/A",0,VLOOKUP(C1097,'Boats Data Sheet 2026'!$C$3:$J$57,8,0)),"N/A")</f>
        <v>0</v>
      </c>
      <c r="D1108" s="429" cm="1">
        <f t="array" ref="D1108">IF(B1108&gt;7,2,IF(B1108=0,"N/A",1))</f>
        <v>2</v>
      </c>
      <c r="E1108" s="423" cm="1">
        <f t="array" ref="E1108">_xlfn.IFERROR(SUM('Direct Costs 2026'!$C$4:$C$5)*D1108,"N/A")</f>
        <v>1751000</v>
      </c>
      <c r="F1108" s="423" cm="1">
        <f t="array" ref="F1108">_xlfn.IFERROR('Direct Costs 2026'!$C$43*B1108,"N/A")</f>
        <v>54000</v>
      </c>
      <c r="G1108" s="423" cm="1">
        <f t="array" ref="G1108">IF(B1108&gt;0,'Direct Costs 2026'!$C$25,"N/A")</f>
        <v>90000</v>
      </c>
      <c r="H1108" s="423" cm="1">
        <f t="array" ref="H1108">IF(B1108&gt;0,('Direct Costs 2026'!$C$15+'Direct Costs 2026'!$C$17+'Direct Costs 2026'!$C$14),"N/A")</f>
        <v>580000</v>
      </c>
      <c r="I1108" s="423" cm="1">
        <f t="array" ref="I1108">IF(B1108&gt;0,'Direct Costs 2026'!$C$19+'Direct Costs 2026'!$C$18*B1108,"N/A")</f>
        <v>390000</v>
      </c>
      <c r="J1108" s="423" cm="1">
        <f t="array" ref="J1108">IF(B1108&gt;0,SUM('Direct Costs 2026'!$C$20:$C$21),"N/A")</f>
        <v>98333.3333333333</v>
      </c>
      <c r="K1108" s="423" cm="1">
        <f t="array" ref="K1108">IF(B1108&gt;0,'Direct Costs 2026'!$C$26,"N/A")</f>
        <v>20000</v>
      </c>
      <c r="L1108" s="423" cm="1">
        <f t="array" ref="L1108">IF(B1108&gt;0,'Direct Costs 2026'!$C$23,"N/A")</f>
        <v>140000</v>
      </c>
      <c r="M1108" s="423" cm="1">
        <f t="array" ref="M1108">IF(B1108&gt;0,'Direct Costs 2026'!$C$45*B1108,"N/A")</f>
        <v>1350000</v>
      </c>
      <c r="N1108" s="423" cm="1">
        <f t="array" ref="N1108">IF(B1108&gt;0,_xlfn.IFERROR(VLOOKUP(C1097,'Boats Data Sheet 2026'!$C$3:$I$57,7,0)*'Direct Costs 2026'!$C$36,"N/A"),"N/A")</f>
        <v>3325000</v>
      </c>
      <c r="O1108" s="423" cm="1">
        <f t="array" ref="O1108">IF(B1108&gt;0,IF(OR(VLOOKUP(C1097,'Boats Data Sheet 2026'!$C$3:$F$57,4,0)="Own",VLOOKUP(C1097,'Boats Data Sheet 2026'!$C$3:$F$57,4,0)="Management"),('Direct Costs 2026'!$C$37+'Direct Costs 2026'!$C$39),"N/A"),"N/A")</f>
        <v>1112400</v>
      </c>
      <c r="P1108" s="423" cm="1">
        <f t="array" ref="P1108">_xlfn.IFERROR('Direct Costs 2026'!$C$27*C1108,"N/A")</f>
        <v>0</v>
      </c>
      <c r="Q1108" s="423" cm="1">
        <f t="array" ref="Q1108">_xlfn.IFERROR(C1108+SUM(E1108:P1108),"N/A")</f>
        <v>8910733.33333333</v>
      </c>
      <c r="R1108" s="424"/>
      <c r="S1108" s="423" cm="1">
        <f t="array" ref="S1108">IF(B1108&gt;0,'Allocation OH and Target 2026'!$E$31,"N/A")</f>
        <v>3100447.15769812</v>
      </c>
      <c r="T1108" s="423" cm="1">
        <f t="array" ref="T1108">IF(B1108&gt;0,VLOOKUP(C1097,'Allocation OH and Target 2026'!$C$35:$S$87,17,0),"N/A")</f>
        <v>971706.544186046</v>
      </c>
      <c r="U1108" s="423" cm="1">
        <f t="array" ref="U1108">_xlfn.IFERROR((S1108+T1108),"N/A")</f>
        <v>4072153.70188417</v>
      </c>
      <c r="V1108" s="424"/>
      <c r="W1108" s="423" cm="1">
        <f t="array" ref="W1108">_xlfn.IFERROR(U1108+Q1108,"N/A")</f>
        <v>12982887.0352175</v>
      </c>
      <c r="X1108" s="423" cm="1">
        <f t="array" ref="X1108">_xlfn.IFERROR(W1108*0.5%,"N/A")</f>
        <v>64914.4351760875</v>
      </c>
      <c r="Y1108" s="423" cm="1">
        <f t="array" ref="Y1108">_xlfn.IFERROR(W1108*25%,"N/A")</f>
        <v>3245721.75880438</v>
      </c>
      <c r="Z1108" s="425" cm="1">
        <f t="array" ref="Z1108">IF(B1108&gt;0,SUM(W1108:Y1108),"N/A")</f>
        <v>16293523.229198</v>
      </c>
      <c r="AA1108" s="425" cm="1">
        <f t="array" ref="AA1108">_xlfn.IFERROR((Z1108-Z1107),"N/A")</f>
        <v>239705</v>
      </c>
      <c r="AB1108" s="424"/>
      <c r="AC1108" t="str" s="426" cm="1">
        <f t="array" ref="AC1108">IF(B1108=6,AVERAGE(Z1100:Z1105),"N/A")</f>
        <v>N/A</v>
      </c>
      <c r="AD1108" s="424"/>
      <c r="AE1108" t="s" s="509">
        <v>566</v>
      </c>
      <c r="AF1108" s="510" cm="1">
        <f t="array" ref="AF1108">AF1107*50%</f>
        <v>154998374.827783</v>
      </c>
      <c r="AG1108" s="423"/>
      <c r="AH1108" s="423"/>
      <c r="AI1108" s="423"/>
      <c r="AJ1108" s="423"/>
      <c r="AK1108" s="423"/>
      <c r="AL1108" s="423"/>
      <c r="AM1108" s="423"/>
      <c r="AN1108" s="427"/>
    </row>
    <row r="1109" ht="15" customHeight="1">
      <c r="A1109" s="12"/>
      <c r="B1109" s="428" cm="1">
        <f t="array" ref="B1109">IF(B1108=0,0,IF(B1108&lt;VLOOKUP(C1097,'Boats Data Sheet 2026'!$C$3:$H$57,6,0),B1108+1,0))</f>
        <v>10</v>
      </c>
      <c r="C1109" s="423" cm="1">
        <f t="array" ref="C1109">IF(B1109&gt;0,IF(VLOOKUP(C1097,'Boats Data Sheet 2026'!$C$3:$J$57,8,0)="N/A",0,VLOOKUP(C1097,'Boats Data Sheet 2026'!$C$3:$J$57,8,0)),"N/A")</f>
        <v>0</v>
      </c>
      <c r="D1109" s="429" cm="1">
        <f t="array" ref="D1109">IF(B1109&gt;7,2,IF(B1109=0,"N/A",1))</f>
        <v>2</v>
      </c>
      <c r="E1109" s="423" cm="1">
        <f t="array" ref="E1109">_xlfn.IFERROR(SUM('Direct Costs 2026'!$C$4:$C$5)*D1109,"N/A")</f>
        <v>1751000</v>
      </c>
      <c r="F1109" s="423" cm="1">
        <f t="array" ref="F1109">_xlfn.IFERROR('Direct Costs 2026'!$C$43*B1109,"N/A")</f>
        <v>60000</v>
      </c>
      <c r="G1109" s="423" cm="1">
        <f t="array" ref="G1109">IF(B1109&gt;0,'Direct Costs 2026'!$C$25,"N/A")</f>
        <v>90000</v>
      </c>
      <c r="H1109" s="423" cm="1">
        <f t="array" ref="H1109">IF(B1109&gt;0,('Direct Costs 2026'!$C$15+'Direct Costs 2026'!$C$17+'Direct Costs 2026'!$C$14),"N/A")</f>
        <v>580000</v>
      </c>
      <c r="I1109" s="423" cm="1">
        <f t="array" ref="I1109">IF(B1109&gt;0,'Direct Costs 2026'!$C$19+'Direct Costs 2026'!$C$18*B1109,"N/A")</f>
        <v>425000</v>
      </c>
      <c r="J1109" s="423" cm="1">
        <f t="array" ref="J1109">IF(B1109&gt;0,SUM('Direct Costs 2026'!$C$20:$C$21),"N/A")</f>
        <v>98333.3333333333</v>
      </c>
      <c r="K1109" s="423" cm="1">
        <f t="array" ref="K1109">IF(B1109&gt;0,'Direct Costs 2026'!$C$26,"N/A")</f>
        <v>20000</v>
      </c>
      <c r="L1109" s="423" cm="1">
        <f t="array" ref="L1109">IF(B1109&gt;0,'Direct Costs 2026'!$C$23,"N/A")</f>
        <v>140000</v>
      </c>
      <c r="M1109" s="423" cm="1">
        <f t="array" ref="M1109">IF(B1109&gt;0,'Direct Costs 2026'!$C$45*B1109,"N/A")</f>
        <v>1500000</v>
      </c>
      <c r="N1109" s="423" cm="1">
        <f t="array" ref="N1109">IF(B1109&gt;0,_xlfn.IFERROR(VLOOKUP(C1097,'Boats Data Sheet 2026'!$C$3:$I$57,7,0)*'Direct Costs 2026'!$C$36,"N/A"),"N/A")</f>
        <v>3325000</v>
      </c>
      <c r="O1109" s="423" cm="1">
        <f t="array" ref="O1109">IF(B1109&gt;0,IF(OR(VLOOKUP(C1097,'Boats Data Sheet 2026'!$C$3:$F$57,4,0)="Own",VLOOKUP(C1097,'Boats Data Sheet 2026'!$C$3:$F$57,4,0)="Management"),('Direct Costs 2026'!$C$37+'Direct Costs 2026'!$C$39),"N/A"),"N/A")</f>
        <v>1112400</v>
      </c>
      <c r="P1109" s="423" cm="1">
        <f t="array" ref="P1109">_xlfn.IFERROR('Direct Costs 2026'!$C$27*C1109,"N/A")</f>
        <v>0</v>
      </c>
      <c r="Q1109" s="423" cm="1">
        <f t="array" ref="Q1109">_xlfn.IFERROR(C1109+SUM(E1109:P1109),"N/A")</f>
        <v>9101733.33333333</v>
      </c>
      <c r="R1109" s="424"/>
      <c r="S1109" s="423" cm="1">
        <f t="array" ref="S1109">IF(B1109&gt;0,'Allocation OH and Target 2026'!$E$31,"N/A")</f>
        <v>3100447.15769812</v>
      </c>
      <c r="T1109" s="423" cm="1">
        <f t="array" ref="T1109">IF(B1109&gt;0,VLOOKUP(C1097,'Allocation OH and Target 2026'!$C$35:$S$87,17,0),"N/A")</f>
        <v>971706.544186046</v>
      </c>
      <c r="U1109" s="423" cm="1">
        <f t="array" ref="U1109">_xlfn.IFERROR((S1109+T1109),"N/A")</f>
        <v>4072153.70188417</v>
      </c>
      <c r="V1109" s="424"/>
      <c r="W1109" s="423" cm="1">
        <f t="array" ref="W1109">_xlfn.IFERROR(U1109+Q1109,"N/A")</f>
        <v>13173887.0352175</v>
      </c>
      <c r="X1109" s="423" cm="1">
        <f t="array" ref="X1109">_xlfn.IFERROR(W1109*0.5%,"N/A")</f>
        <v>65869.4351760875</v>
      </c>
      <c r="Y1109" s="423" cm="1">
        <f t="array" ref="Y1109">_xlfn.IFERROR(W1109*25%,"N/A")</f>
        <v>3293471.75880438</v>
      </c>
      <c r="Z1109" s="425" cm="1">
        <f t="array" ref="Z1109">IF(B1109&gt;0,SUM(W1109:Y1109),"N/A")</f>
        <v>16533228.229198</v>
      </c>
      <c r="AA1109" s="425" cm="1">
        <f t="array" ref="AA1109">_xlfn.IFERROR((Z1109-Z1108),"N/A")</f>
        <v>239705</v>
      </c>
      <c r="AB1109" s="424"/>
      <c r="AC1109" t="str" s="426" cm="1">
        <f t="array" ref="AC1109">IF(B1109=6,AVERAGE(Z1100:Z1105),"N/A")</f>
        <v>N/A</v>
      </c>
      <c r="AD1109" s="424"/>
      <c r="AE1109" s="423"/>
      <c r="AF1109" s="423"/>
      <c r="AG1109" s="423"/>
      <c r="AH1109" s="423"/>
      <c r="AI1109" s="423"/>
      <c r="AJ1109" s="423"/>
      <c r="AK1109" s="423"/>
      <c r="AL1109" s="423"/>
      <c r="AM1109" s="423"/>
      <c r="AN1109" s="427"/>
    </row>
    <row r="1110" ht="15" customHeight="1">
      <c r="A1110" s="12"/>
      <c r="B1110" s="428" cm="1">
        <f t="array" ref="B1110">IF(B1109=0,0,IF(B1109&lt;VLOOKUP(C1097,'Boats Data Sheet 2026'!$C$3:$H$57,6,0),B1109+1,0))</f>
        <v>11</v>
      </c>
      <c r="C1110" s="423" cm="1">
        <f t="array" ref="C1110">IF(B1110&gt;0,IF(VLOOKUP(C1097,'Boats Data Sheet 2026'!$C$3:$J$57,8,0)="N/A",0,VLOOKUP(C1097,'Boats Data Sheet 2026'!$C$3:$J$57,8,0)),"N/A")</f>
        <v>0</v>
      </c>
      <c r="D1110" s="429" cm="1">
        <f t="array" ref="D1110">IF(B1110&gt;7,2,IF(B1110=0,"N/A",1))</f>
        <v>2</v>
      </c>
      <c r="E1110" s="423" cm="1">
        <f t="array" ref="E1110">_xlfn.IFERROR(SUM('Direct Costs 2026'!$C$4:$C$5)*D1110,"N/A")</f>
        <v>1751000</v>
      </c>
      <c r="F1110" s="423" cm="1">
        <f t="array" ref="F1110">_xlfn.IFERROR('Direct Costs 2026'!$C$43*B1110,"N/A")</f>
        <v>66000</v>
      </c>
      <c r="G1110" s="423" cm="1">
        <f t="array" ref="G1110">IF(B1110&gt;0,'Direct Costs 2026'!$C$25,"N/A")</f>
        <v>90000</v>
      </c>
      <c r="H1110" s="423" cm="1">
        <f t="array" ref="H1110">IF(B1110&gt;0,('Direct Costs 2026'!$C$15+'Direct Costs 2026'!$C$17+'Direct Costs 2026'!$C$14),"N/A")</f>
        <v>580000</v>
      </c>
      <c r="I1110" s="423" cm="1">
        <f t="array" ref="I1110">IF(B1110&gt;0,'Direct Costs 2026'!$C$19+'Direct Costs 2026'!$C$18*B1110,"N/A")</f>
        <v>460000</v>
      </c>
      <c r="J1110" s="423" cm="1">
        <f t="array" ref="J1110">IF(B1110&gt;0,SUM('Direct Costs 2026'!$C$20:$C$21),"N/A")</f>
        <v>98333.3333333333</v>
      </c>
      <c r="K1110" s="423" cm="1">
        <f t="array" ref="K1110">IF(B1110&gt;0,'Direct Costs 2026'!$C$26,"N/A")</f>
        <v>20000</v>
      </c>
      <c r="L1110" s="423" cm="1">
        <f t="array" ref="L1110">IF(B1110&gt;0,'Direct Costs 2026'!$C$23,"N/A")</f>
        <v>140000</v>
      </c>
      <c r="M1110" s="423" cm="1">
        <f t="array" ref="M1110">IF(B1110&gt;0,'Direct Costs 2026'!$C$45*B1110,"N/A")</f>
        <v>1650000</v>
      </c>
      <c r="N1110" s="423" cm="1">
        <f t="array" ref="N1110">IF(B1110&gt;0,_xlfn.IFERROR(VLOOKUP(C1097,'Boats Data Sheet 2026'!$C$3:$I$57,7,0)*'Direct Costs 2026'!$C$36,"N/A"),"N/A")</f>
        <v>3325000</v>
      </c>
      <c r="O1110" s="423" cm="1">
        <f t="array" ref="O1110">IF(B1110&gt;0,IF(OR(VLOOKUP(C1097,'Boats Data Sheet 2026'!$C$3:$F$57,4,0)="Own",VLOOKUP(C1097,'Boats Data Sheet 2026'!$C$3:$F$57,4,0)="Management"),('Direct Costs 2026'!$C$37+'Direct Costs 2026'!$C$39),"N/A"),"N/A")</f>
        <v>1112400</v>
      </c>
      <c r="P1110" s="423" cm="1">
        <f t="array" ref="P1110">_xlfn.IFERROR('Direct Costs 2026'!$C$27*C1110,"N/A")</f>
        <v>0</v>
      </c>
      <c r="Q1110" s="423" cm="1">
        <f t="array" ref="Q1110">_xlfn.IFERROR(C1110+SUM(E1110:P1110),"N/A")</f>
        <v>9292733.33333333</v>
      </c>
      <c r="R1110" s="424"/>
      <c r="S1110" s="423" cm="1">
        <f t="array" ref="S1110">IF(B1110&gt;0,'Allocation OH and Target 2026'!$E$31,"N/A")</f>
        <v>3100447.15769812</v>
      </c>
      <c r="T1110" s="423" cm="1">
        <f t="array" ref="T1110">IF(B1110&gt;0,VLOOKUP(C1097,'Allocation OH and Target 2026'!$C$35:$S$87,17,0),"N/A")</f>
        <v>971706.544186046</v>
      </c>
      <c r="U1110" s="423" cm="1">
        <f t="array" ref="U1110">_xlfn.IFERROR((S1110+T1110),"N/A")</f>
        <v>4072153.70188417</v>
      </c>
      <c r="V1110" s="424"/>
      <c r="W1110" s="423" cm="1">
        <f t="array" ref="W1110">_xlfn.IFERROR(U1110+Q1110,"N/A")</f>
        <v>13364887.0352175</v>
      </c>
      <c r="X1110" s="423" cm="1">
        <f t="array" ref="X1110">_xlfn.IFERROR(W1110*0.5%,"N/A")</f>
        <v>66824.4351760875</v>
      </c>
      <c r="Y1110" s="423" cm="1">
        <f t="array" ref="Y1110">_xlfn.IFERROR(W1110*25%,"N/A")</f>
        <v>3341221.75880438</v>
      </c>
      <c r="Z1110" s="425" cm="1">
        <f t="array" ref="Z1110">IF(B1110&gt;0,SUM(W1110:Y1110),"N/A")</f>
        <v>16772933.229198</v>
      </c>
      <c r="AA1110" s="425" cm="1">
        <f t="array" ref="AA1110">_xlfn.IFERROR((Z1110-Z1109),"N/A")</f>
        <v>239705</v>
      </c>
      <c r="AB1110" s="424"/>
      <c r="AC1110" t="str" s="426" cm="1">
        <f t="array" ref="AC1110">IF(B1110=6,AVERAGE(Z1100:Z1105),"N/A")</f>
        <v>N/A</v>
      </c>
      <c r="AD1110" s="424"/>
      <c r="AE1110" s="423"/>
      <c r="AF1110" s="423"/>
      <c r="AG1110" s="423"/>
      <c r="AH1110" s="423"/>
      <c r="AI1110" s="423"/>
      <c r="AJ1110" s="423"/>
      <c r="AK1110" s="423"/>
      <c r="AL1110" s="423"/>
      <c r="AM1110" s="423"/>
      <c r="AN1110" s="427"/>
    </row>
    <row r="1111" ht="15" customHeight="1">
      <c r="A1111" s="12"/>
      <c r="B1111" s="428" cm="1">
        <f t="array" ref="B1111">IF(B1110=0,0,IF(B1110&lt;VLOOKUP(C1097,'Boats Data Sheet 2026'!$C$3:$H$57,6,0),B1110+1,0))</f>
        <v>12</v>
      </c>
      <c r="C1111" s="423" cm="1">
        <f t="array" ref="C1111">IF(B1111&gt;0,IF(VLOOKUP(C1097,'Boats Data Sheet 2026'!$C$3:$J$57,8,0)="N/A",0,VLOOKUP(C1097,'Boats Data Sheet 2026'!$C$3:$J$57,8,0)),"N/A")</f>
        <v>0</v>
      </c>
      <c r="D1111" s="429" cm="1">
        <f t="array" ref="D1111">IF(B1111&gt;7,2,IF(B1111=0,"N/A",1))</f>
        <v>2</v>
      </c>
      <c r="E1111" s="423" cm="1">
        <f t="array" ref="E1111">_xlfn.IFERROR(SUM('Direct Costs 2026'!$C$4:$C$5)*D1111,"N/A")</f>
        <v>1751000</v>
      </c>
      <c r="F1111" s="423" cm="1">
        <f t="array" ref="F1111">_xlfn.IFERROR('Direct Costs 2026'!$C$43*B1111,"N/A")</f>
        <v>72000</v>
      </c>
      <c r="G1111" s="423" cm="1">
        <f t="array" ref="G1111">IF(B1111&gt;0,'Direct Costs 2026'!$C$25,"N/A")</f>
        <v>90000</v>
      </c>
      <c r="H1111" s="423" cm="1">
        <f t="array" ref="H1111">IF(B1111&gt;0,('Direct Costs 2026'!$C$15+'Direct Costs 2026'!$C$17+'Direct Costs 2026'!$C$14),"N/A")</f>
        <v>580000</v>
      </c>
      <c r="I1111" s="423" cm="1">
        <f t="array" ref="I1111">IF(B1111&gt;0,'Direct Costs 2026'!$C$19+'Direct Costs 2026'!$C$18*B1111,"N/A")</f>
        <v>495000</v>
      </c>
      <c r="J1111" s="423" cm="1">
        <f t="array" ref="J1111">IF(B1111&gt;0,SUM('Direct Costs 2026'!$C$20:$C$21),"N/A")</f>
        <v>98333.3333333333</v>
      </c>
      <c r="K1111" s="423" cm="1">
        <f t="array" ref="K1111">IF(B1111&gt;0,'Direct Costs 2026'!$C$26,"N/A")</f>
        <v>20000</v>
      </c>
      <c r="L1111" s="423" cm="1">
        <f t="array" ref="L1111">IF(B1111&gt;0,'Direct Costs 2026'!$C$23,"N/A")</f>
        <v>140000</v>
      </c>
      <c r="M1111" s="423" cm="1">
        <f t="array" ref="M1111">IF(B1111&gt;0,'Direct Costs 2026'!$C$45*B1111,"N/A")</f>
        <v>1800000</v>
      </c>
      <c r="N1111" s="423" cm="1">
        <f t="array" ref="N1111">IF(B1111&gt;0,_xlfn.IFERROR(VLOOKUP(C1097,'Boats Data Sheet 2026'!$C$3:$I$57,7,0)*'Direct Costs 2026'!$C$36,"N/A"),"N/A")</f>
        <v>3325000</v>
      </c>
      <c r="O1111" s="423" cm="1">
        <f t="array" ref="O1111">IF(B1111&gt;0,IF(OR(VLOOKUP(C1097,'Boats Data Sheet 2026'!$C$3:$F$57,4,0)="Own",VLOOKUP(C1097,'Boats Data Sheet 2026'!$C$3:$F$57,4,0)="Management"),('Direct Costs 2026'!$C$37+'Direct Costs 2026'!$C$39),"N/A"),"N/A")</f>
        <v>1112400</v>
      </c>
      <c r="P1111" s="423" cm="1">
        <f t="array" ref="P1111">_xlfn.IFERROR('Direct Costs 2026'!$C$27*C1111,"N/A")</f>
        <v>0</v>
      </c>
      <c r="Q1111" s="423" cm="1">
        <f t="array" ref="Q1111">_xlfn.IFERROR(C1111+SUM(E1111:P1111),"N/A")</f>
        <v>9483733.33333333</v>
      </c>
      <c r="R1111" s="424"/>
      <c r="S1111" s="423" cm="1">
        <f t="array" ref="S1111">IF(B1111&gt;0,'Allocation OH and Target 2026'!$E$31,"N/A")</f>
        <v>3100447.15769812</v>
      </c>
      <c r="T1111" s="423" cm="1">
        <f t="array" ref="T1111">IF(B1112&gt;0,VLOOKUP(C1097,'Allocation OH and Target 2026'!$C$35:$S$87,17,0),"N/A")</f>
        <v>971706.544186046</v>
      </c>
      <c r="U1111" s="423" cm="1">
        <f t="array" ref="U1111">_xlfn.IFERROR((S1111+T1111),"N/A")</f>
        <v>4072153.70188417</v>
      </c>
      <c r="V1111" s="424"/>
      <c r="W1111" s="423" cm="1">
        <f t="array" ref="W1111">_xlfn.IFERROR(U1111+Q1111,"N/A")</f>
        <v>13555887.0352175</v>
      </c>
      <c r="X1111" s="423" cm="1">
        <f t="array" ref="X1111">_xlfn.IFERROR(W1111*0.5%,"N/A")</f>
        <v>67779.4351760875</v>
      </c>
      <c r="Y1111" s="423" cm="1">
        <f t="array" ref="Y1111">_xlfn.IFERROR(W1111*25%,"N/A")</f>
        <v>3388971.75880438</v>
      </c>
      <c r="Z1111" s="425" cm="1">
        <f t="array" ref="Z1111">IF(B1111&gt;0,SUM(W1111:Y1111),"N/A")</f>
        <v>17012638.229198</v>
      </c>
      <c r="AA1111" s="425" cm="1">
        <f t="array" ref="AA1111">_xlfn.IFERROR((Z1111-Z1110),"N/A")</f>
        <v>239705</v>
      </c>
      <c r="AB1111" s="424"/>
      <c r="AC1111" t="str" s="426" cm="1">
        <f t="array" ref="AC1111">IF(B1111=6,AVERAGE(Z1100:Z1105),"N/A")</f>
        <v>N/A</v>
      </c>
      <c r="AD1111" s="424"/>
      <c r="AE1111" s="423"/>
      <c r="AF1111" s="423"/>
      <c r="AG1111" s="423"/>
      <c r="AH1111" s="423"/>
      <c r="AI1111" s="423"/>
      <c r="AJ1111" s="423"/>
      <c r="AK1111" s="423"/>
      <c r="AL1111" s="423"/>
      <c r="AM1111" s="423"/>
      <c r="AN1111" s="427"/>
    </row>
    <row r="1112" ht="15" customHeight="1">
      <c r="A1112" s="12"/>
      <c r="B1112" s="428" cm="1">
        <f t="array" ref="B1112">IF(B1111=0,0,IF(B1111&lt;VLOOKUP(C1097,'Boats Data Sheet 2026'!$C$3:$H$57,6,0),B1111+1,0))</f>
        <v>13</v>
      </c>
      <c r="C1112" s="423" cm="1">
        <f t="array" ref="C1112">IF(B1112&gt;0,IF(VLOOKUP(C1097,'Boats Data Sheet 2026'!$C$3:$J$57,8,0)="N/A",0,VLOOKUP(C1097,'Boats Data Sheet 2026'!$C$3:$J$57,8,0)),"N/A")</f>
        <v>0</v>
      </c>
      <c r="D1112" s="429" cm="1">
        <f t="array" ref="D1112">IF(B1112&gt;7,2,IF(B1112=0,"N/A",1))</f>
        <v>2</v>
      </c>
      <c r="E1112" s="423" cm="1">
        <f t="array" ref="E1112">_xlfn.IFERROR(SUM('Direct Costs 2026'!$C$4:$C$5)*D1112,"N/A")</f>
        <v>1751000</v>
      </c>
      <c r="F1112" s="423" cm="1">
        <f t="array" ref="F1112">_xlfn.IFERROR('Direct Costs 2026'!$C$43*B1112,"N/A")</f>
        <v>78000</v>
      </c>
      <c r="G1112" s="423" cm="1">
        <f t="array" ref="G1112">IF(B1112&gt;0,'Direct Costs 2026'!$C$25,"N/A")</f>
        <v>90000</v>
      </c>
      <c r="H1112" s="423" cm="1">
        <f t="array" ref="H1112">IF(B1112&gt;0,('Direct Costs 2026'!$C$15+'Direct Costs 2026'!$C$17+'Direct Costs 2026'!$C$14),"N/A")</f>
        <v>580000</v>
      </c>
      <c r="I1112" s="423" cm="1">
        <f t="array" ref="I1112">IF(B1112&gt;0,'Direct Costs 2026'!$C$19+'Direct Costs 2026'!$C$18*B1112,"N/A")</f>
        <v>530000</v>
      </c>
      <c r="J1112" s="423" cm="1">
        <f t="array" ref="J1112">IF(B1112&gt;0,SUM('Direct Costs 2026'!$C$20:$C$21),"N/A")</f>
        <v>98333.3333333333</v>
      </c>
      <c r="K1112" s="423" cm="1">
        <f t="array" ref="K1112">IF(B1112&gt;0,'Direct Costs 2026'!$C$26,"N/A")</f>
        <v>20000</v>
      </c>
      <c r="L1112" s="423" cm="1">
        <f t="array" ref="L1112">IF(B1112&gt;0,'Direct Costs 2026'!$C$23,"N/A")</f>
        <v>140000</v>
      </c>
      <c r="M1112" s="423" cm="1">
        <f t="array" ref="M1112">IF(B1112&gt;0,'Direct Costs 2026'!$C$45*B1112,"N/A")</f>
        <v>1950000</v>
      </c>
      <c r="N1112" s="423" cm="1">
        <f t="array" ref="N1112">IF(B1112&gt;0,_xlfn.IFERROR(VLOOKUP(C1097,'Boats Data Sheet 2026'!$C$3:$I$57,7,0)*'Direct Costs 2026'!$C$36,"N/A"),"N/A")</f>
        <v>3325000</v>
      </c>
      <c r="O1112" s="423" cm="1">
        <f t="array" ref="O1112">IF(B1112&gt;0,IF(OR(VLOOKUP(C1097,'Boats Data Sheet 2026'!$C$3:$F$57,4,0)="Own",VLOOKUP(C1097,'Boats Data Sheet 2026'!$C$3:$F$57,4,0)="Management"),('Direct Costs 2026'!$C$37+'Direct Costs 2026'!$C$39),"N/A"),"N/A")</f>
        <v>1112400</v>
      </c>
      <c r="P1112" s="423" cm="1">
        <f t="array" ref="P1112">_xlfn.IFERROR('Direct Costs 2026'!$C$27*C1112,"N/A")</f>
        <v>0</v>
      </c>
      <c r="Q1112" s="423" cm="1">
        <f t="array" ref="Q1112">_xlfn.IFERROR(C1112+SUM(E1112:P1112),"N/A")</f>
        <v>9674733.33333333</v>
      </c>
      <c r="R1112" s="424"/>
      <c r="S1112" s="423" cm="1">
        <f t="array" ref="S1112">IF(B1112&gt;0,'Allocation OH and Target 2026'!$E$31,"N/A")</f>
        <v>3100447.15769812</v>
      </c>
      <c r="T1112" s="423" cm="1">
        <f t="array" ref="T1112">IF(B1112&gt;0,VLOOKUP(C1097,'Allocation OH and Target 2026'!$C$35:$S$87,17,0),"N/A")</f>
        <v>971706.544186046</v>
      </c>
      <c r="U1112" s="423" cm="1">
        <f t="array" ref="U1112">_xlfn.IFERROR((S1112+T1112),"N/A")</f>
        <v>4072153.70188417</v>
      </c>
      <c r="V1112" s="424"/>
      <c r="W1112" s="423" cm="1">
        <f t="array" ref="W1112">_xlfn.IFERROR(U1112+Q1112,"N/A")</f>
        <v>13746887.0352175</v>
      </c>
      <c r="X1112" s="423" cm="1">
        <f t="array" ref="X1112">_xlfn.IFERROR(W1112*0.5%,"N/A")</f>
        <v>68734.4351760875</v>
      </c>
      <c r="Y1112" s="423" cm="1">
        <f t="array" ref="Y1112">_xlfn.IFERROR(W1112*25%,"N/A")</f>
        <v>3436721.75880438</v>
      </c>
      <c r="Z1112" s="425" cm="1">
        <f t="array" ref="Z1112">IF(B1112&gt;0,SUM(W1112:Y1112),"N/A")</f>
        <v>17252343.229198</v>
      </c>
      <c r="AA1112" s="425" cm="1">
        <f t="array" ref="AA1112">_xlfn.IFERROR((Z1112-Z1111),"N/A")</f>
        <v>239705</v>
      </c>
      <c r="AB1112" s="424"/>
      <c r="AC1112" t="str" s="426" cm="1">
        <f t="array" ref="AC1112">IF(B1112=6,AVERAGE(Z1100:Z1105),"N/A")</f>
        <v>N/A</v>
      </c>
      <c r="AD1112" s="424"/>
      <c r="AE1112" s="423"/>
      <c r="AF1112" s="423"/>
      <c r="AG1112" s="423"/>
      <c r="AH1112" s="423"/>
      <c r="AI1112" s="423"/>
      <c r="AJ1112" s="423"/>
      <c r="AK1112" s="423"/>
      <c r="AL1112" s="423"/>
      <c r="AM1112" s="423"/>
      <c r="AN1112" s="427"/>
    </row>
    <row r="1113" ht="15" customHeight="1">
      <c r="A1113" s="12"/>
      <c r="B1113" s="428" cm="1">
        <f t="array" ref="B1113">IF(B1112=0,0,IF(B1112&lt;VLOOKUP(C1097,'Boats Data Sheet 2026'!$C$3:$H$57,6,0),B1112+1,0))</f>
        <v>0</v>
      </c>
      <c r="C1113" t="str" s="431" cm="1">
        <f t="array" ref="C1113">IF(B1113&gt;0,IF(VLOOKUP(C1097,'Boats Data Sheet 2026'!$C$3:$J$57,8,0)="N/A",0,VLOOKUP(C1097,'Boats Data Sheet 2026'!$C$3:$J$57,8,0)),"N/A")</f>
        <v>N/A</v>
      </c>
      <c r="D1113" t="str" s="431" cm="1">
        <f t="array" ref="D1113">IF(B1113&gt;7,2,IF(B1113=0,"N/A",1))</f>
        <v>N/A</v>
      </c>
      <c r="E1113" t="str" s="431" cm="1">
        <f t="array" ref="E1113">_xlfn.IFERROR(SUM('Direct Costs 2026'!$C$4:$C$5)*D1113,"N/A")</f>
        <v>N/A</v>
      </c>
      <c r="F1113" s="423" cm="1">
        <f t="array" ref="F1113">_xlfn.IFERROR('Direct Costs 2026'!$C$43*B1113,"N/A")</f>
        <v>0</v>
      </c>
      <c r="G1113" t="str" s="431" cm="1">
        <f t="array" ref="G1113">IF(B1113&gt;0,'Direct Costs 2026'!$C$25,"N/A")</f>
        <v>N/A</v>
      </c>
      <c r="H1113" t="str" s="431" cm="1">
        <f t="array" ref="H1113">IF(B1113&gt;0,('Direct Costs 2026'!$C$15+'Direct Costs 2026'!$C$17+'Direct Costs 2026'!$C$14),"N/A")</f>
        <v>N/A</v>
      </c>
      <c r="I1113" t="str" s="431" cm="1">
        <f t="array" ref="I1113">IF(B1113&gt;0,'Direct Costs 2026'!$C$19+'Direct Costs 2026'!$C$18*B1113,"N/A")</f>
        <v>N/A</v>
      </c>
      <c r="J1113" t="str" s="431" cm="1">
        <f t="array" ref="J1113">IF(B1113&gt;0,SUM('Direct Costs 2026'!$C$20:$C$21),"N/A")</f>
        <v>N/A</v>
      </c>
      <c r="K1113" t="str" s="431" cm="1">
        <f t="array" ref="K1113">IF(B1113&gt;0,'Direct Costs 2026'!$C$26,"N/A")</f>
        <v>N/A</v>
      </c>
      <c r="L1113" t="str" s="431" cm="1">
        <f t="array" ref="L1113">IF(B1113&gt;0,'Direct Costs 2026'!$C$23,"N/A")</f>
        <v>N/A</v>
      </c>
      <c r="M1113" t="str" s="431" cm="1">
        <f t="array" ref="M1113">IF(B1113&gt;0,'Direct Costs 2026'!$C$45*B1113,"N/A")</f>
        <v>N/A</v>
      </c>
      <c r="N1113" t="str" s="431" cm="1">
        <f t="array" ref="N1113">IF(B1113&gt;0,_xlfn.IFERROR(VLOOKUP(C1097,'Boats Data Sheet 2026'!$C$3:$I$57,7,0)*'Direct Costs 2026'!$C$36,"N/A"),"N/A")</f>
        <v>N/A</v>
      </c>
      <c r="O1113" t="str" s="431" cm="1">
        <f t="array" ref="O1113">IF(B1113&gt;0,IF(OR(VLOOKUP(C1097,'Boats Data Sheet 2026'!$C$3:$F$57,4,0)="Own",VLOOKUP(C1097,'Boats Data Sheet 2026'!$C$3:$F$57,4,0)="Management"),('Direct Costs 2026'!$C$37+'Direct Costs 2026'!$C$39),"N/A"),"N/A")</f>
        <v>N/A</v>
      </c>
      <c r="P1113" t="str" s="431" cm="1">
        <f t="array" ref="P1113">_xlfn.IFERROR('Direct Costs 2026'!$C$27*C1113,"N/A")</f>
        <v>N/A</v>
      </c>
      <c r="Q1113" t="str" s="431" cm="1">
        <f t="array" ref="Q1113">_xlfn.IFERROR(C1113+SUM(E1113:P1113),"N/A")</f>
        <v>N/A</v>
      </c>
      <c r="R1113" s="424"/>
      <c r="S1113" t="str" s="431" cm="1">
        <f t="array" ref="S1113">IF(B1113&gt;0,'Allocation OH and Target 2026'!$E$31,"N/A")</f>
        <v>N/A</v>
      </c>
      <c r="T1113" t="str" s="431" cm="1">
        <f t="array" ref="T1113">IF(B1113&gt;0,VLOOKUP(C1097,'Allocation OH and Target 2026'!$C$35:$S$87,17,0),"N/A")</f>
        <v>N/A</v>
      </c>
      <c r="U1113" t="str" s="431" cm="1">
        <f t="array" ref="U1113">_xlfn.IFERROR((S1113+T1113),"N/A")</f>
        <v>N/A</v>
      </c>
      <c r="V1113" s="424"/>
      <c r="W1113" t="str" s="431" cm="1">
        <f t="array" ref="W1113">_xlfn.IFERROR(U1113+Q1113,"N/A")</f>
        <v>N/A</v>
      </c>
      <c r="X1113" t="str" s="431" cm="1">
        <f t="array" ref="X1113">_xlfn.IFERROR(W1113*0.5%,"N/A")</f>
        <v>N/A</v>
      </c>
      <c r="Y1113" t="str" s="431" cm="1">
        <f t="array" ref="Y1113">_xlfn.IFERROR(W1113*25%,"N/A")</f>
        <v>N/A</v>
      </c>
      <c r="Z1113" t="str" s="426" cm="1">
        <f t="array" ref="Z1113">IF(B1113&gt;0,SUM(W1113:Y1113),"N/A")</f>
        <v>N/A</v>
      </c>
      <c r="AA1113" t="str" s="426" cm="1">
        <f t="array" ref="AA1113">_xlfn.IFERROR((Z1113-Z1112),"N/A")</f>
        <v>N/A</v>
      </c>
      <c r="AB1113" s="424"/>
      <c r="AC1113" t="str" s="426" cm="1">
        <f t="array" ref="AC1113">IF(B1113=6,AVERAGE(Z1100:Z1105),"N/A")</f>
        <v>N/A</v>
      </c>
      <c r="AD1113" s="424"/>
      <c r="AE1113" s="423"/>
      <c r="AF1113" s="423"/>
      <c r="AG1113" s="423"/>
      <c r="AH1113" s="423"/>
      <c r="AI1113" s="423"/>
      <c r="AJ1113" s="423"/>
      <c r="AK1113" s="423"/>
      <c r="AL1113" s="423"/>
      <c r="AM1113" s="423"/>
      <c r="AN1113" s="427"/>
    </row>
    <row r="1114" ht="15" customHeight="1">
      <c r="A1114" s="12"/>
      <c r="B1114" s="428" cm="1">
        <f t="array" ref="B1114">IF(B1113=0,0,IF(B1113&lt;VLOOKUP(C1097,'Boats Data Sheet 2026'!$C$3:$H$57,6,0),B1113+1,0))</f>
        <v>0</v>
      </c>
      <c r="C1114" t="str" s="431" cm="1">
        <f t="array" ref="C1114">IF(B1114&gt;0,IF(VLOOKUP(C1097,'Boats Data Sheet 2026'!$C$3:$J$57,8,0)="N/A",0,VLOOKUP(C1097,'Boats Data Sheet 2026'!$C$3:$J$57,8,0)),"N/A")</f>
        <v>N/A</v>
      </c>
      <c r="D1114" t="str" s="431" cm="1">
        <f t="array" ref="D1114">IF(B1114&gt;7,2,IF(B1114=0,"N/A",1))</f>
        <v>N/A</v>
      </c>
      <c r="E1114" t="str" s="431" cm="1">
        <f t="array" ref="E1114">_xlfn.IFERROR(SUM('Direct Costs 2026'!$C$4:$C$5)*D1114,"N/A")</f>
        <v>N/A</v>
      </c>
      <c r="F1114" s="423" cm="1">
        <f t="array" ref="F1114">_xlfn.IFERROR('Direct Costs 2026'!$C$43*B1114,"N/A")</f>
        <v>0</v>
      </c>
      <c r="G1114" t="str" s="431" cm="1">
        <f t="array" ref="G1114">IF(B1114&gt;0,'Direct Costs 2026'!$C$25,"N/A")</f>
        <v>N/A</v>
      </c>
      <c r="H1114" t="str" s="431" cm="1">
        <f t="array" ref="H1114">IF(B1114&gt;0,('Direct Costs 2026'!$C$15+'Direct Costs 2026'!$C$17+'Direct Costs 2026'!$C$14),"N/A")</f>
        <v>N/A</v>
      </c>
      <c r="I1114" t="str" s="431" cm="1">
        <f t="array" ref="I1114">IF(B1114&gt;0,'Direct Costs 2026'!$C$19+'Direct Costs 2026'!$C$18*B1114,"N/A")</f>
        <v>N/A</v>
      </c>
      <c r="J1114" t="str" s="431" cm="1">
        <f t="array" ref="J1114">IF(B1114&gt;0,SUM('Direct Costs 2026'!$C$20:$C$21),"N/A")</f>
        <v>N/A</v>
      </c>
      <c r="K1114" t="str" s="431" cm="1">
        <f t="array" ref="K1114">IF(B1114&gt;0,'Direct Costs 2026'!$C$26,"N/A")</f>
        <v>N/A</v>
      </c>
      <c r="L1114" t="str" s="431" cm="1">
        <f t="array" ref="L1114">IF(B1114&gt;0,'Direct Costs 2026'!$C$23,"N/A")</f>
        <v>N/A</v>
      </c>
      <c r="M1114" t="str" s="431" cm="1">
        <f t="array" ref="M1114">IF(B1114&gt;0,'Direct Costs 2026'!$C$45*B1114,"N/A")</f>
        <v>N/A</v>
      </c>
      <c r="N1114" t="str" s="431" cm="1">
        <f t="array" ref="N1114">IF(B1114&gt;0,_xlfn.IFERROR(VLOOKUP(C1097,'Boats Data Sheet 2026'!$C$3:$I$57,7,0)*'Direct Costs 2026'!$C$36,"N/A"),"N/A")</f>
        <v>N/A</v>
      </c>
      <c r="O1114" t="str" s="431" cm="1">
        <f t="array" ref="O1114">IF(B1114&gt;0,IF(OR(VLOOKUP(C1097,'Boats Data Sheet 2026'!$C$3:$F$57,4,0)="Own",VLOOKUP(C1097,'Boats Data Sheet 2026'!$C$3:$F$57,4,0)="Management"),('Direct Costs 2026'!$C$37+'Direct Costs 2026'!$C$39),"N/A"),"N/A")</f>
        <v>N/A</v>
      </c>
      <c r="P1114" t="str" s="431" cm="1">
        <f t="array" ref="P1114">_xlfn.IFERROR('Direct Costs 2026'!$C$27*C1114,"N/A")</f>
        <v>N/A</v>
      </c>
      <c r="Q1114" t="str" s="431" cm="1">
        <f t="array" ref="Q1114">_xlfn.IFERROR(C1114+SUM(E1114:P1114),"N/A")</f>
        <v>N/A</v>
      </c>
      <c r="R1114" s="424"/>
      <c r="S1114" t="str" s="431" cm="1">
        <f t="array" ref="S1114">IF(B1114&gt;0,'Allocation OH and Target 2026'!$E$31,"N/A")</f>
        <v>N/A</v>
      </c>
      <c r="T1114" t="str" s="431" cm="1">
        <f t="array" ref="T1114">IF(B1114&gt;0,VLOOKUP(C1097,'Allocation OH and Target 2026'!$C$35:$S$87,16,0),"N/A")</f>
        <v>N/A</v>
      </c>
      <c r="U1114" t="str" s="431" cm="1">
        <f t="array" ref="U1114">_xlfn.IFERROR((S1114+T1114),"N/A")</f>
        <v>N/A</v>
      </c>
      <c r="V1114" s="424"/>
      <c r="W1114" t="str" s="431" cm="1">
        <f t="array" ref="W1114">_xlfn.IFERROR(U1114+Q1114,"N/A")</f>
        <v>N/A</v>
      </c>
      <c r="X1114" t="str" s="431" cm="1">
        <f t="array" ref="X1114">_xlfn.IFERROR(W1114*0.5%,"N/A")</f>
        <v>N/A</v>
      </c>
      <c r="Y1114" t="str" s="431" cm="1">
        <f t="array" ref="Y1114">_xlfn.IFERROR(W1114*25%,"N/A")</f>
        <v>N/A</v>
      </c>
      <c r="Z1114" t="str" s="426" cm="1">
        <f t="array" ref="Z1114">IF(B1114&gt;0,SUM(W1114:Y1114),"N/A")</f>
        <v>N/A</v>
      </c>
      <c r="AA1114" t="str" s="426" cm="1">
        <f t="array" ref="AA1114">_xlfn.IFERROR((Z1114-Z1113),"N/A")</f>
        <v>N/A</v>
      </c>
      <c r="AB1114" s="424"/>
      <c r="AC1114" t="str" s="426" cm="1">
        <f t="array" ref="AC1114">IF(B1114=6,AVERAGE(Z1100:Z1105),"N/A")</f>
        <v>N/A</v>
      </c>
      <c r="AD1114" s="424"/>
      <c r="AE1114" s="423"/>
      <c r="AF1114" s="423"/>
      <c r="AG1114" s="423"/>
      <c r="AH1114" s="423"/>
      <c r="AI1114" s="423"/>
      <c r="AJ1114" s="423"/>
      <c r="AK1114" s="423"/>
      <c r="AL1114" s="423"/>
      <c r="AM1114" s="423"/>
      <c r="AN1114" s="427"/>
    </row>
    <row r="1115" ht="15" customHeight="1">
      <c r="A1115" s="12"/>
      <c r="B1115" s="428" cm="1">
        <f t="array" ref="B1115">IF(B1114=0,0,IF(B1114&lt;VLOOKUP(C1097,'Boats Data Sheet 2026'!$C$3:$H$57,6,0),B1114+1,0))</f>
        <v>0</v>
      </c>
      <c r="C1115" t="str" s="431" cm="1">
        <f t="array" ref="C1115">IF(B1115&gt;0,IF(VLOOKUP(C1097,'Boats Data Sheet 2026'!$C$3:$J$57,8,0)="N/A",0,VLOOKUP(C1097,'Boats Data Sheet 2026'!$C$3:$J$57,8,0)),"N/A")</f>
        <v>N/A</v>
      </c>
      <c r="D1115" t="str" s="431" cm="1">
        <f t="array" ref="D1115">IF(B1115&gt;7,2,IF(B1115=0,"N/A",1))</f>
        <v>N/A</v>
      </c>
      <c r="E1115" t="str" s="431" cm="1">
        <f t="array" ref="E1115">_xlfn.IFERROR(SUM('Direct Costs 2026'!$C$4:$C$5)*D1115,"N/A")</f>
        <v>N/A</v>
      </c>
      <c r="F1115" s="423" cm="1">
        <f t="array" ref="F1115">_xlfn.IFERROR('Direct Costs 2026'!$C$43*B1115,"N/A")</f>
        <v>0</v>
      </c>
      <c r="G1115" t="str" s="431" cm="1">
        <f t="array" ref="G1115">IF(B1115&gt;0,'Direct Costs 2026'!$C$25,"N/A")</f>
        <v>N/A</v>
      </c>
      <c r="H1115" t="str" s="431" cm="1">
        <f t="array" ref="H1115">IF(B1115&gt;0,('Direct Costs 2026'!$C$15+'Direct Costs 2026'!$C$17+'Direct Costs 2026'!$C$14),"N/A")</f>
        <v>N/A</v>
      </c>
      <c r="I1115" t="str" s="431" cm="1">
        <f t="array" ref="I1115">IF(B1115&gt;0,'Direct Costs 2026'!$C$19+'Direct Costs 2026'!$C$18*B1115,"N/A")</f>
        <v>N/A</v>
      </c>
      <c r="J1115" t="str" s="431" cm="1">
        <f t="array" ref="J1115">IF(B1115&gt;0,SUM('Direct Costs 2026'!$C$20:$C$21),"N/A")</f>
        <v>N/A</v>
      </c>
      <c r="K1115" t="str" s="431" cm="1">
        <f t="array" ref="K1115">IF(B1115&gt;0,'Direct Costs 2026'!$C$26,"N/A")</f>
        <v>N/A</v>
      </c>
      <c r="L1115" t="str" s="431" cm="1">
        <f t="array" ref="L1115">IF(B1115&gt;0,'Direct Costs 2026'!$C$23,"N/A")</f>
        <v>N/A</v>
      </c>
      <c r="M1115" t="str" s="431" cm="1">
        <f t="array" ref="M1115">IF(B1115&gt;0,'Direct Costs 2026'!$C$45*B1115,"N/A")</f>
        <v>N/A</v>
      </c>
      <c r="N1115" t="str" s="431" cm="1">
        <f t="array" ref="N1115">IF(B1115&gt;0,_xlfn.IFERROR(VLOOKUP(C1097,'Boats Data Sheet 2026'!$C$3:$I$57,7,0)*'Direct Costs 2026'!$C$36,"N/A"),"N/A")</f>
        <v>N/A</v>
      </c>
      <c r="O1115" t="str" s="431" cm="1">
        <f t="array" ref="O1115">IF(B1115&gt;0,IF(OR(VLOOKUP(C1097,'Boats Data Sheet 2026'!$C$3:$F$57,4,0)="Own",VLOOKUP(C1097,'Boats Data Sheet 2026'!$C$3:$F$57,4,0)="Management"),('Direct Costs 2026'!$C$37+'Direct Costs 2026'!$C$39),"N/A"),"N/A")</f>
        <v>N/A</v>
      </c>
      <c r="P1115" t="str" s="431" cm="1">
        <f t="array" ref="P1115">_xlfn.IFERROR('Direct Costs 2026'!$C$27*C1115,"N/A")</f>
        <v>N/A</v>
      </c>
      <c r="Q1115" t="str" s="431" cm="1">
        <f t="array" ref="Q1115">_xlfn.IFERROR(C1115+SUM(E1115:P1115),"N/A")</f>
        <v>N/A</v>
      </c>
      <c r="R1115" s="424"/>
      <c r="S1115" t="str" s="431" cm="1">
        <f t="array" ref="S1115">IF(B1115&gt;0,'Allocation OH and Target 2026'!$E$31,"N/A")</f>
        <v>N/A</v>
      </c>
      <c r="T1115" t="str" s="431" cm="1">
        <f t="array" ref="T1115">IF(B1115&gt;0,VLOOKUP(C1097,'Allocation OH and Target 2026'!$C$35:$S$87,16,0),"N/A")</f>
        <v>N/A</v>
      </c>
      <c r="U1115" t="str" s="431" cm="1">
        <f t="array" ref="U1115">_xlfn.IFERROR((S1115+T1115),"N/A")</f>
        <v>N/A</v>
      </c>
      <c r="V1115" s="424"/>
      <c r="W1115" t="str" s="431" cm="1">
        <f t="array" ref="W1115">_xlfn.IFERROR(U1115+Q1115,"N/A")</f>
        <v>N/A</v>
      </c>
      <c r="X1115" t="str" s="431" cm="1">
        <f t="array" ref="X1115">_xlfn.IFERROR(W1115*0.5%,"N/A")</f>
        <v>N/A</v>
      </c>
      <c r="Y1115" t="str" s="431" cm="1">
        <f t="array" ref="Y1115">_xlfn.IFERROR(W1115*25%,"N/A")</f>
        <v>N/A</v>
      </c>
      <c r="Z1115" t="str" s="426" cm="1">
        <f t="array" ref="Z1115">IF(B1115&gt;0,SUM(W1115:Y1115),"N/A")</f>
        <v>N/A</v>
      </c>
      <c r="AA1115" t="str" s="426" cm="1">
        <f t="array" ref="AA1115">_xlfn.IFERROR((Z1115-Z1114),"N/A")</f>
        <v>N/A</v>
      </c>
      <c r="AB1115" s="424"/>
      <c r="AC1115" t="str" s="426" cm="1">
        <f t="array" ref="AC1115">IF(B1115=6,AVERAGE(Z1100:Z1105),"N/A")</f>
        <v>N/A</v>
      </c>
      <c r="AD1115" s="424"/>
      <c r="AE1115" s="423"/>
      <c r="AF1115" s="423"/>
      <c r="AG1115" s="423"/>
      <c r="AH1115" s="423"/>
      <c r="AI1115" s="423"/>
      <c r="AJ1115" s="423"/>
      <c r="AK1115" s="423"/>
      <c r="AL1115" s="423"/>
      <c r="AM1115" s="423"/>
      <c r="AN1115" s="427"/>
    </row>
    <row r="1116" ht="15" customHeight="1">
      <c r="A1116" s="12"/>
      <c r="B1116" s="428" cm="1">
        <f t="array" ref="B1116">IF(B1115=0,0,IF(B1115&lt;VLOOKUP(C1097,'Boats Data Sheet 2026'!$C$3:$H$57,6,0),B1115+1,0))</f>
        <v>0</v>
      </c>
      <c r="C1116" t="str" s="431" cm="1">
        <f t="array" ref="C1116">IF(B1116&gt;0,IF(VLOOKUP(C1097,'Boats Data Sheet 2026'!$C$3:$J$57,8,0)="N/A",0,VLOOKUP(C1097,'Boats Data Sheet 2026'!$C$3:$J$57,8,0)),"N/A")</f>
        <v>N/A</v>
      </c>
      <c r="D1116" t="str" s="431" cm="1">
        <f t="array" ref="D1116">IF(B1116&gt;7,2,IF(B1116=0,"N/A",1))</f>
        <v>N/A</v>
      </c>
      <c r="E1116" t="str" s="431" cm="1">
        <f t="array" ref="E1116">_xlfn.IFERROR(SUM('Direct Costs 2026'!$C$4:$C$5)*D1116,"N/A")</f>
        <v>N/A</v>
      </c>
      <c r="F1116" s="423" cm="1">
        <f t="array" ref="F1116">_xlfn.IFERROR('Direct Costs 2026'!$C$43*B1116,"N/A")</f>
        <v>0</v>
      </c>
      <c r="G1116" t="str" s="431" cm="1">
        <f t="array" ref="G1116">IF(B1116&gt;0,'Direct Costs 2026'!$C$25,"N/A")</f>
        <v>N/A</v>
      </c>
      <c r="H1116" t="str" s="431" cm="1">
        <f t="array" ref="H1116">IF(B1116&gt;0,('Direct Costs 2026'!$C$15+'Direct Costs 2026'!$C$17+'Direct Costs 2026'!$C$14),"N/A")</f>
        <v>N/A</v>
      </c>
      <c r="I1116" t="str" s="431" cm="1">
        <f t="array" ref="I1116">IF(B1116&gt;0,'Direct Costs 2026'!$C$19+'Direct Costs 2026'!$C$18*B1116,"N/A")</f>
        <v>N/A</v>
      </c>
      <c r="J1116" t="str" s="431" cm="1">
        <f t="array" ref="J1116">IF(B1116&gt;0,SUM('Direct Costs 2026'!$C$20:$C$21),"N/A")</f>
        <v>N/A</v>
      </c>
      <c r="K1116" t="str" s="431" cm="1">
        <f t="array" ref="K1116">IF(B1116&gt;0,'Direct Costs 2026'!$C$26,"N/A")</f>
        <v>N/A</v>
      </c>
      <c r="L1116" t="str" s="431" cm="1">
        <f t="array" ref="L1116">IF(B1116&gt;0,'Direct Costs 2026'!$C$23,"N/A")</f>
        <v>N/A</v>
      </c>
      <c r="M1116" t="str" s="431" cm="1">
        <f t="array" ref="M1116">IF(B1116&gt;0,'Direct Costs 2026'!$C$45*B1116,"N/A")</f>
        <v>N/A</v>
      </c>
      <c r="N1116" t="str" s="431" cm="1">
        <f t="array" ref="N1116">IF(B1116&gt;0,_xlfn.IFERROR(VLOOKUP(C1097,'Boats Data Sheet 2026'!$C$3:$I$57,7,0)*'Direct Costs 2026'!$C$36,"N/A"),"N/A")</f>
        <v>N/A</v>
      </c>
      <c r="O1116" t="str" s="431" cm="1">
        <f t="array" ref="O1116">IF(B1116&gt;0,IF(OR(VLOOKUP(C1097,'Boats Data Sheet 2026'!$C$3:$F$57,4,0)="Own",VLOOKUP(C1097,'Boats Data Sheet 2026'!$C$3:$F$57,4,0)="Management"),('Direct Costs 2026'!$C$37+'Direct Costs 2026'!$C$39),"N/A"),"N/A")</f>
        <v>N/A</v>
      </c>
      <c r="P1116" t="str" s="431" cm="1">
        <f t="array" ref="P1116">_xlfn.IFERROR('Direct Costs 2026'!$C$27*C1116,"N/A")</f>
        <v>N/A</v>
      </c>
      <c r="Q1116" t="str" s="431" cm="1">
        <f t="array" ref="Q1116">_xlfn.IFERROR(C1116+SUM(E1116:P1116),"N/A")</f>
        <v>N/A</v>
      </c>
      <c r="R1116" s="424"/>
      <c r="S1116" t="str" s="431" cm="1">
        <f t="array" ref="S1116">IF(B1116&gt;0,'Allocation OH and Target 2026'!$E$31,"N/A")</f>
        <v>N/A</v>
      </c>
      <c r="T1116" t="str" s="431" cm="1">
        <f t="array" ref="T1116">IF(B1116&gt;0,VLOOKUP(C1097,'Allocation OH and Target 2026'!$C$35:$S$87,16,0),"N/A")</f>
        <v>N/A</v>
      </c>
      <c r="U1116" t="str" s="431" cm="1">
        <f t="array" ref="U1116">_xlfn.IFERROR((S1116+T1116),"N/A")</f>
        <v>N/A</v>
      </c>
      <c r="V1116" s="424"/>
      <c r="W1116" t="str" s="431" cm="1">
        <f t="array" ref="W1116">_xlfn.IFERROR(U1116+Q1116,"N/A")</f>
        <v>N/A</v>
      </c>
      <c r="X1116" t="str" s="431" cm="1">
        <f t="array" ref="X1116">_xlfn.IFERROR(W1116*0.5%,"N/A")</f>
        <v>N/A</v>
      </c>
      <c r="Y1116" t="str" s="431" cm="1">
        <f t="array" ref="Y1116">_xlfn.IFERROR(W1116*25%,"N/A")</f>
        <v>N/A</v>
      </c>
      <c r="Z1116" t="str" s="426" cm="1">
        <f t="array" ref="Z1116">IF(B1116&gt;0,SUM(W1116:Y1116),"N/A")</f>
        <v>N/A</v>
      </c>
      <c r="AA1116" t="str" s="426" cm="1">
        <f t="array" ref="AA1116">_xlfn.IFERROR((Z1116-Z1115),"N/A")</f>
        <v>N/A</v>
      </c>
      <c r="AB1116" s="424"/>
      <c r="AC1116" t="str" s="426" cm="1">
        <f t="array" ref="AC1116">IF(B1116=6,AVERAGE(Z1100:Z1105),"N/A")</f>
        <v>N/A</v>
      </c>
      <c r="AD1116" s="424"/>
      <c r="AE1116" s="423"/>
      <c r="AF1116" s="423"/>
      <c r="AG1116" s="423"/>
      <c r="AH1116" s="423"/>
      <c r="AI1116" s="423"/>
      <c r="AJ1116" s="423"/>
      <c r="AK1116" s="423"/>
      <c r="AL1116" s="423"/>
      <c r="AM1116" s="423"/>
      <c r="AN1116" s="427"/>
    </row>
    <row r="1117" ht="15.5" customHeight="1">
      <c r="A1117" s="12"/>
      <c r="B1117" s="432" cm="1">
        <f t="array" ref="B1117">IF(B1116=0,0,IF(B1116&lt;VLOOKUP(C1097,'Boats Data Sheet 2026'!$C$3:$H$57,6,0),B1116+1,0))</f>
        <v>0</v>
      </c>
      <c r="C1117" t="str" s="433" cm="1">
        <f t="array" ref="C1117">IF(B1117&gt;0,IF(VLOOKUP(C1097,'Boats Data Sheet 2026'!$C$3:$J$57,8,0)="N/A",0,VLOOKUP(C1097,'Boats Data Sheet 2026'!$C$3:$J$57,8,0)),"N/A")</f>
        <v>N/A</v>
      </c>
      <c r="D1117" t="str" s="433" cm="1">
        <f t="array" ref="D1117">IF(B1117&gt;7,2,IF(B1117=0,"N/A",1))</f>
        <v>N/A</v>
      </c>
      <c r="E1117" t="str" s="433" cm="1">
        <f t="array" ref="E1117">_xlfn.IFERROR(SUM('Direct Costs 2026'!$C$4:$C$5)*D1117,"N/A")</f>
        <v>N/A</v>
      </c>
      <c r="F1117" s="434" cm="1">
        <f t="array" ref="F1117">_xlfn.IFERROR('Direct Costs 2026'!$C$43*B1117,"N/A")</f>
        <v>0</v>
      </c>
      <c r="G1117" t="str" s="433" cm="1">
        <f t="array" ref="G1117">IF(B1117&gt;0,'Direct Costs 2026'!$C$25,"N/A")</f>
        <v>N/A</v>
      </c>
      <c r="H1117" t="str" s="433" cm="1">
        <f t="array" ref="H1117">IF(B1117&gt;0,('Direct Costs 2026'!$C$15+'Direct Costs 2026'!$C$17+'Direct Costs 2026'!$C$14),"N/A")</f>
        <v>N/A</v>
      </c>
      <c r="I1117" t="str" s="433" cm="1">
        <f t="array" ref="I1117">IF(B1117&gt;0,'Direct Costs 2026'!$C$19+'Direct Costs 2026'!$C$18*B1117,"N/A")</f>
        <v>N/A</v>
      </c>
      <c r="J1117" t="str" s="433" cm="1">
        <f t="array" ref="J1117">IF(B1117&gt;0,SUM('Direct Costs 2026'!$C$20:$C$21),"N/A")</f>
        <v>N/A</v>
      </c>
      <c r="K1117" t="str" s="433" cm="1">
        <f t="array" ref="K1117">IF(B1117&gt;0,'Direct Costs 2026'!$C$26,"N/A")</f>
        <v>N/A</v>
      </c>
      <c r="L1117" t="str" s="433" cm="1">
        <f t="array" ref="L1117">IF(B1117&gt;0,'Direct Costs 2026'!$C$23,"N/A")</f>
        <v>N/A</v>
      </c>
      <c r="M1117" t="str" s="433" cm="1">
        <f t="array" ref="M1117">IF(B1117&gt;0,'Direct Costs 2026'!$C$45*B1117,"N/A")</f>
        <v>N/A</v>
      </c>
      <c r="N1117" t="str" s="433" cm="1">
        <f t="array" ref="N1117">IF(B1117&gt;0,_xlfn.IFERROR(VLOOKUP(C1097,'Boats Data Sheet 2026'!$C$3:$I$57,7,0)*'Direct Costs 2026'!$C$36,"N/A"),"N/A")</f>
        <v>N/A</v>
      </c>
      <c r="O1117" t="str" s="433" cm="1">
        <f t="array" ref="O1117">IF(B1117&gt;0,IF(OR(VLOOKUP(C1097,'Boats Data Sheet 2026'!$C$3:$F$57,4,0)="Own",VLOOKUP(C1097,'Boats Data Sheet 2026'!$C$3:$F$57,4,0)="Management"),('Direct Costs 2026'!$C$37+'Direct Costs 2026'!$C$39),"N/A"),"N/A")</f>
        <v>N/A</v>
      </c>
      <c r="P1117" t="str" s="433" cm="1">
        <f t="array" ref="P1117">_xlfn.IFERROR('Direct Costs 2026'!$C$27*C1117,"N/A")</f>
        <v>N/A</v>
      </c>
      <c r="Q1117" t="str" s="433" cm="1">
        <f t="array" ref="Q1117">_xlfn.IFERROR(C1117+SUM(E1117:P1117),"N/A")</f>
        <v>N/A</v>
      </c>
      <c r="R1117" s="435"/>
      <c r="S1117" t="str" s="433" cm="1">
        <f t="array" ref="S1117">IF(B1117&gt;0,'Allocation OH and Target 2026'!$E$31,"N/A")</f>
        <v>N/A</v>
      </c>
      <c r="T1117" t="str" s="433" cm="1">
        <f t="array" ref="T1117">IF(B1117&gt;0,VLOOKUP(C1097,'Allocation OH and Target 2026'!$C$35:$S$87,16,0),"N/A")</f>
        <v>N/A</v>
      </c>
      <c r="U1117" t="str" s="433" cm="1">
        <f t="array" ref="U1117">_xlfn.IFERROR((S1117+T1117),"N/A")</f>
        <v>N/A</v>
      </c>
      <c r="V1117" s="435"/>
      <c r="W1117" t="str" s="433" cm="1">
        <f t="array" ref="W1117">_xlfn.IFERROR(U1117+Q1117,"N/A")</f>
        <v>N/A</v>
      </c>
      <c r="X1117" t="str" s="433" cm="1">
        <f t="array" ref="X1117">_xlfn.IFERROR(W1117*0.5%,"N/A")</f>
        <v>N/A</v>
      </c>
      <c r="Y1117" t="str" s="433" cm="1">
        <f t="array" ref="Y1117">_xlfn.IFERROR(W1117*25%,"N/A")</f>
        <v>N/A</v>
      </c>
      <c r="Z1117" t="str" s="436" cm="1">
        <f t="array" ref="Z1117">IF(B1117&gt;0,SUM(W1117:Y1117),"N/A")</f>
        <v>N/A</v>
      </c>
      <c r="AA1117" t="str" s="436" cm="1">
        <f t="array" ref="AA1117">_xlfn.IFERROR((Z1117-Z1116),"N/A")</f>
        <v>N/A</v>
      </c>
      <c r="AB1117" s="435"/>
      <c r="AC1117" t="str" s="436" cm="1">
        <f t="array" ref="AC1117">IF(B1117=6,AVERAGE(Z1100:Z1105),"N/A")</f>
        <v>N/A</v>
      </c>
      <c r="AD1117" s="435"/>
      <c r="AE1117" s="434"/>
      <c r="AF1117" s="434"/>
      <c r="AG1117" s="434"/>
      <c r="AH1117" s="434"/>
      <c r="AI1117" s="434"/>
      <c r="AJ1117" s="434"/>
      <c r="AK1117" s="434"/>
      <c r="AL1117" s="434"/>
      <c r="AM1117" s="434"/>
      <c r="AN1117" s="437"/>
    </row>
    <row r="1118" ht="15" customHeight="1">
      <c r="A1118" s="32"/>
      <c r="B1118" s="124"/>
      <c r="C1118" s="124"/>
      <c r="D1118" s="124"/>
      <c r="E1118" s="124"/>
      <c r="F1118" s="124"/>
      <c r="G1118" s="124"/>
      <c r="H1118" s="124"/>
      <c r="I1118" s="124"/>
      <c r="J1118" s="124"/>
      <c r="K1118" s="124"/>
      <c r="L1118" s="124"/>
      <c r="M1118" s="124"/>
      <c r="N1118" s="124"/>
      <c r="O1118" s="124"/>
      <c r="P1118" s="124"/>
      <c r="Q1118" s="124"/>
      <c r="R1118" s="124"/>
      <c r="S1118" s="124"/>
      <c r="T1118" s="124"/>
      <c r="U1118" s="124"/>
      <c r="V1118" s="124"/>
      <c r="W1118" s="124"/>
      <c r="X1118" s="124"/>
      <c r="Y1118" s="124"/>
      <c r="Z1118" s="124"/>
      <c r="AA1118" s="124"/>
      <c r="AB1118" s="124"/>
      <c r="AC1118" s="124"/>
      <c r="AD1118" s="124"/>
      <c r="AE1118" s="124"/>
      <c r="AF1118" s="124"/>
      <c r="AG1118" s="124"/>
      <c r="AH1118" s="124"/>
      <c r="AI1118" s="124"/>
      <c r="AJ1118" s="124"/>
      <c r="AK1118" s="124"/>
      <c r="AL1118" s="124"/>
      <c r="AM1118" s="124"/>
      <c r="AN1118" s="313"/>
    </row>
    <row r="1119" ht="15" customHeight="1">
      <c r="A1119" s="32"/>
      <c r="B1119" s="35"/>
      <c r="C1119" s="35"/>
      <c r="D1119" s="35"/>
      <c r="E1119" s="35"/>
      <c r="F1119" s="35"/>
      <c r="G1119" s="35"/>
      <c r="H1119" s="35"/>
      <c r="I1119" s="35"/>
      <c r="J1119" s="35"/>
      <c r="K1119" s="35"/>
      <c r="L1119" s="35"/>
      <c r="M1119" s="35"/>
      <c r="N1119" s="35"/>
      <c r="O1119" s="35"/>
      <c r="P1119" s="35"/>
      <c r="Q1119" s="35"/>
      <c r="R1119" s="35"/>
      <c r="S1119" s="35"/>
      <c r="T1119" s="35"/>
      <c r="U1119" s="35"/>
      <c r="V1119" s="35"/>
      <c r="W1119" s="35"/>
      <c r="X1119" s="35"/>
      <c r="Y1119" s="35"/>
      <c r="Z1119" s="35"/>
      <c r="AA1119" s="35"/>
      <c r="AB1119" s="35"/>
      <c r="AC1119" s="35"/>
      <c r="AD1119" s="35"/>
      <c r="AE1119" s="35"/>
      <c r="AF1119" s="35"/>
      <c r="AG1119" s="35"/>
      <c r="AH1119" s="35"/>
      <c r="AI1119" s="35"/>
      <c r="AJ1119" s="35"/>
      <c r="AK1119" s="35"/>
      <c r="AL1119" s="35"/>
      <c r="AM1119" s="35"/>
      <c r="AN1119" s="442"/>
    </row>
    <row r="1120" ht="15.5" customHeight="1">
      <c r="A1120" s="395">
        <v>39</v>
      </c>
      <c r="B1120" t="s" s="396">
        <v>506</v>
      </c>
      <c r="C1120" t="s" s="397">
        <v>55</v>
      </c>
      <c r="D1120" s="398"/>
      <c r="E1120" s="398"/>
      <c r="F1120" s="398"/>
      <c r="G1120" s="398"/>
      <c r="H1120" s="398"/>
      <c r="I1120" s="398"/>
      <c r="J1120" s="398"/>
      <c r="K1120" s="398"/>
      <c r="L1120" s="398"/>
      <c r="M1120" s="398"/>
      <c r="N1120" s="398"/>
      <c r="O1120" s="398"/>
      <c r="P1120" s="398"/>
      <c r="Q1120" s="398"/>
      <c r="R1120" s="399"/>
      <c r="S1120" s="398"/>
      <c r="T1120" s="398"/>
      <c r="U1120" s="398"/>
      <c r="V1120" s="399"/>
      <c r="W1120" s="398"/>
      <c r="X1120" s="398"/>
      <c r="Y1120" s="398"/>
      <c r="Z1120" s="398"/>
      <c r="AA1120" s="398"/>
      <c r="AB1120" s="399"/>
      <c r="AC1120" s="398"/>
      <c r="AD1120" s="399"/>
      <c r="AE1120" t="s" s="400">
        <v>508</v>
      </c>
      <c r="AF1120" s="401" cm="1">
        <f t="array" ref="AF1120">AVERAGE(Q1123:Q1128)</f>
        <v>6984733.33333333</v>
      </c>
      <c r="AG1120" t="s" s="400">
        <v>509</v>
      </c>
      <c r="AH1120" s="401" cm="1">
        <f t="array" ref="AH1120">AVERAGE(Q1129:Q1136)-AF1120</f>
        <v>1991928.57142857</v>
      </c>
      <c r="AI1120" t="s" s="400">
        <v>510</v>
      </c>
      <c r="AJ1120" s="401" cm="1">
        <f t="array" ref="AJ1120">AVERAGE(Y1123:Y1130)</f>
        <v>2927937.71627638</v>
      </c>
      <c r="AK1120" t="s" s="397">
        <v>511</v>
      </c>
      <c r="AL1120" s="401" cm="1">
        <f t="array" ref="AL1120">AVERAGE(W1123:W1128)</f>
        <v>11411313.3651055</v>
      </c>
      <c r="AM1120" t="s" s="400">
        <v>512</v>
      </c>
      <c r="AN1120" s="402" cm="1">
        <f t="array" ref="AN1120">W1123</f>
        <v>10933813.3651055</v>
      </c>
    </row>
    <row r="1121" ht="15" customHeight="1">
      <c r="A1121" s="12"/>
      <c r="B1121" s="403"/>
      <c r="C1121" t="s" s="404">
        <v>513</v>
      </c>
      <c r="D1121" s="405"/>
      <c r="E1121" s="405"/>
      <c r="F1121" s="405"/>
      <c r="G1121" s="405"/>
      <c r="H1121" s="405"/>
      <c r="I1121" s="405"/>
      <c r="J1121" s="405"/>
      <c r="K1121" s="405"/>
      <c r="L1121" s="405"/>
      <c r="M1121" s="405"/>
      <c r="N1121" s="405"/>
      <c r="O1121" s="405"/>
      <c r="P1121" s="405"/>
      <c r="Q1121" s="406"/>
      <c r="R1121" s="407"/>
      <c r="S1121" t="s" s="404">
        <v>514</v>
      </c>
      <c r="T1121" s="405"/>
      <c r="U1121" s="406"/>
      <c r="V1121" s="407"/>
      <c r="W1121" t="s" s="404">
        <v>515</v>
      </c>
      <c r="X1121" s="405"/>
      <c r="Y1121" s="405"/>
      <c r="Z1121" s="405"/>
      <c r="AA1121" s="405"/>
      <c r="AB1121" s="408"/>
      <c r="AC1121" s="443"/>
      <c r="AD1121" s="410"/>
      <c r="AE1121" s="411"/>
      <c r="AF1121" s="412"/>
      <c r="AG1121" s="412"/>
      <c r="AH1121" s="412"/>
      <c r="AI1121" s="412"/>
      <c r="AJ1121" s="412"/>
      <c r="AK1121" s="413"/>
      <c r="AL1121" s="414"/>
      <c r="AM1121" s="415"/>
      <c r="AN1121" s="414"/>
    </row>
    <row r="1122" ht="46.25" customHeight="1">
      <c r="A1122" s="187"/>
      <c r="B1122" t="s" s="416">
        <v>517</v>
      </c>
      <c r="C1122" t="s" s="417">
        <v>518</v>
      </c>
      <c r="D1122" t="s" s="417">
        <v>519</v>
      </c>
      <c r="E1122" t="s" s="417">
        <v>520</v>
      </c>
      <c r="F1122" t="s" s="159">
        <v>521</v>
      </c>
      <c r="G1122" t="s" s="159">
        <v>522</v>
      </c>
      <c r="H1122" t="s" s="159">
        <v>523</v>
      </c>
      <c r="I1122" t="s" s="159">
        <v>524</v>
      </c>
      <c r="J1122" t="s" s="159">
        <v>525</v>
      </c>
      <c r="K1122" t="s" s="159">
        <v>526</v>
      </c>
      <c r="L1122" t="s" s="159">
        <v>527</v>
      </c>
      <c r="M1122" t="s" s="159">
        <v>528</v>
      </c>
      <c r="N1122" t="s" s="159">
        <v>529</v>
      </c>
      <c r="O1122" t="s" s="159">
        <v>530</v>
      </c>
      <c r="P1122" t="s" s="159">
        <v>531</v>
      </c>
      <c r="Q1122" t="s" s="159">
        <v>532</v>
      </c>
      <c r="R1122" s="418"/>
      <c r="S1122" t="s" s="159">
        <v>533</v>
      </c>
      <c r="T1122" t="s" s="159">
        <v>534</v>
      </c>
      <c r="U1122" t="s" s="159">
        <v>535</v>
      </c>
      <c r="V1122" s="418"/>
      <c r="W1122" t="s" s="159">
        <v>536</v>
      </c>
      <c r="X1122" t="s" s="159">
        <v>537</v>
      </c>
      <c r="Y1122" t="s" s="159">
        <v>538</v>
      </c>
      <c r="Z1122" t="s" s="159">
        <v>539</v>
      </c>
      <c r="AA1122" t="s" s="159">
        <v>121</v>
      </c>
      <c r="AB1122" s="419"/>
      <c r="AC1122" t="s" s="159">
        <v>39</v>
      </c>
      <c r="AD1122" s="419"/>
      <c r="AE1122" t="s" s="159">
        <v>567</v>
      </c>
      <c r="AF1122" t="s" s="159">
        <v>544</v>
      </c>
      <c r="AG1122" s="77"/>
      <c r="AH1122" s="77"/>
      <c r="AI1122" s="77"/>
      <c r="AJ1122" s="77"/>
      <c r="AK1122" s="77"/>
      <c r="AL1122" s="77"/>
      <c r="AM1122" s="77"/>
      <c r="AN1122" s="78"/>
    </row>
    <row r="1123" ht="15" customHeight="1">
      <c r="A1123" s="12"/>
      <c r="B1123" s="420">
        <v>1</v>
      </c>
      <c r="C1123" s="421" cm="1">
        <f t="array" ref="C1123">IF(B1123&gt;0,IF(VLOOKUP(C1120,'Boats Data Sheet 2026'!$C$3:$J$57,8,0)="N/A",0,VLOOKUP(C1120,'Boats Data Sheet 2026'!$C$3:$J$57,8,0)),"N/A")</f>
        <v>0</v>
      </c>
      <c r="D1123" s="422" cm="1">
        <f t="array" ref="D1123">IF(B1123&gt;7,2,IF(B1123=0,"N/A",1))</f>
        <v>1</v>
      </c>
      <c r="E1123" s="421" cm="1">
        <f t="array" ref="E1123">_xlfn.IFERROR(SUM('Direct Costs 2026'!$C$4:$C$5)*D1123,"N/A")</f>
        <v>875500</v>
      </c>
      <c r="F1123" s="423" cm="1">
        <f t="array" ref="F1123">_xlfn.IFERROR('Direct Costs 2026'!$C$43*B1123,"N/A")</f>
        <v>6000</v>
      </c>
      <c r="G1123" s="423" cm="1">
        <f t="array" ref="G1123">IF(B1123&gt;0,'Direct Costs 2026'!$C$25,"N/A")</f>
        <v>90000</v>
      </c>
      <c r="H1123" s="423" cm="1">
        <f t="array" ref="H1123">IF(B1123&gt;0,('Direct Costs 2026'!$C$15+'Direct Costs 2026'!$C$17+'Direct Costs 2026'!$C$14),"N/A")</f>
        <v>580000</v>
      </c>
      <c r="I1123" s="423" cm="1">
        <f t="array" ref="I1123">IF(B1123&gt;0,'Direct Costs 2026'!$C$19+'Direct Costs 2026'!$C$18*B1123,"N/A")</f>
        <v>110000</v>
      </c>
      <c r="J1123" s="423" cm="1">
        <f t="array" ref="J1123">IF(B1123&gt;0,SUM('Direct Costs 2026'!$C$20:$C$21),"N/A")</f>
        <v>98333.3333333333</v>
      </c>
      <c r="K1123" s="423" cm="1">
        <f t="array" ref="K1123">IF(B1123&gt;0,'Direct Costs 2026'!$C$26,"N/A")</f>
        <v>20000</v>
      </c>
      <c r="L1123" s="423" cm="1">
        <f t="array" ref="L1123">IF(B1123&gt;0,'Direct Costs 2026'!$C$23,"N/A")</f>
        <v>140000</v>
      </c>
      <c r="M1123" s="423" cm="1">
        <f t="array" ref="M1123">IF(B1123&gt;0,'Direct Costs 2026'!$C$45*B1123,"N/A")</f>
        <v>150000</v>
      </c>
      <c r="N1123" s="423" cm="1">
        <f t="array" ref="N1123">IF(B1123&gt;0,_xlfn.IFERROR(VLOOKUP(C1120,'Boats Data Sheet 2026'!$C$3:$I$57,7,0)*'Direct Costs 2026'!$C$36,"N/A"),"N/A")</f>
        <v>3325000</v>
      </c>
      <c r="O1123" s="423" cm="1">
        <f t="array" ref="O1123">IF(B1123&gt;0,IF(OR(VLOOKUP(C1120,'Boats Data Sheet 2026'!$C$3:$F$57,4,0)="Own",VLOOKUP(C1120,'Boats Data Sheet 2026'!$C$3:$F$57,4,0)="Management"),('Direct Costs 2026'!$C$37+'Direct Costs 2026'!$C$39),"N/A"),"N/A")</f>
        <v>1112400</v>
      </c>
      <c r="P1123" s="423" cm="1">
        <f t="array" ref="P1123">_xlfn.IFERROR('Direct Costs 2026'!$C$27*C1123,"N/A")</f>
        <v>0</v>
      </c>
      <c r="Q1123" s="423" cm="1">
        <f t="array" ref="Q1123">_xlfn.IFERROR(C1123+SUM(E1123:P1123),"N/A")</f>
        <v>6507233.33333333</v>
      </c>
      <c r="R1123" s="424"/>
      <c r="S1123" s="423" cm="1">
        <f t="array" ref="S1123">IF(B1123&gt;0,'Allocation OH and Target 2026'!$E$31,"N/A")</f>
        <v>3100447.15769812</v>
      </c>
      <c r="T1123" s="423" cm="1">
        <f t="array" ref="T1123">IF(B1123&gt;0,VLOOKUP(C1120,'Allocation OH and Target 2026'!$C$35:$S$87,17,0),"N/A")</f>
        <v>1326132.87407407</v>
      </c>
      <c r="U1123" s="423" cm="1">
        <f t="array" ref="U1123">_xlfn.IFERROR((S1123+T1123),"N/A")</f>
        <v>4426580.03177219</v>
      </c>
      <c r="V1123" s="424"/>
      <c r="W1123" s="423" cm="1">
        <f t="array" ref="W1123">_xlfn.IFERROR(U1123+Q1123,"N/A")</f>
        <v>10933813.3651055</v>
      </c>
      <c r="X1123" s="423" cm="1">
        <f t="array" ref="X1123">_xlfn.IFERROR(W1123*0.5%,"N/A")</f>
        <v>54669.0668255275</v>
      </c>
      <c r="Y1123" s="423" cm="1">
        <f t="array" ref="Y1123">_xlfn.IFERROR(W1123*25%,"N/A")</f>
        <v>2733453.34127638</v>
      </c>
      <c r="Z1123" s="425" cm="1">
        <f t="array" ref="Z1123">IF(B1123&gt;0,SUM(W1123:Y1123),"N/A")</f>
        <v>13721935.7732074</v>
      </c>
      <c r="AA1123" s="425">
        <v>0</v>
      </c>
      <c r="AB1123" s="424"/>
      <c r="AC1123" t="str" s="426" cm="1">
        <f t="array" ref="AC1123">IF(B1123=6,AVERAGE(Z1123:Z1128),"N/A")</f>
        <v>N/A</v>
      </c>
      <c r="AD1123" s="424"/>
      <c r="AE1123" t="s" s="504">
        <v>563</v>
      </c>
      <c r="AF1123" s="505" cm="1">
        <f t="array" ref="AF1123">VLOOKUP(C1120,'Allocation OH and Target 2026'!$C$35:$K$87,9,0)</f>
        <v>60.75</v>
      </c>
      <c r="AG1123" s="423"/>
      <c r="AH1123" s="423"/>
      <c r="AI1123" s="423"/>
      <c r="AJ1123" s="423"/>
      <c r="AK1123" s="423"/>
      <c r="AL1123" s="423"/>
      <c r="AM1123" s="423"/>
      <c r="AN1123" s="427"/>
    </row>
    <row r="1124" ht="15" customHeight="1">
      <c r="A1124" s="12"/>
      <c r="B1124" s="428" cm="1">
        <f t="array" ref="B1124">IF(B1123=0,0,IF(B1123&lt;VLOOKUP(C1120,'Boats Data Sheet 2026'!$C$3:$H$57,6,0),B1123+1,0))</f>
        <v>2</v>
      </c>
      <c r="C1124" s="423" cm="1">
        <f t="array" ref="C1124">IF(B1124&gt;0,IF(VLOOKUP(C1120,'Boats Data Sheet 2026'!$C$3:$J$57,8,0)="N/A",0,VLOOKUP(C1120,'Boats Data Sheet 2026'!$C$3:$J$57,8,0)),"N/A")</f>
        <v>0</v>
      </c>
      <c r="D1124" s="429" cm="1">
        <f t="array" ref="D1124">IF(B1124&gt;7,2,IF(B1124=0,"N/A",1))</f>
        <v>1</v>
      </c>
      <c r="E1124" s="423" cm="1">
        <f t="array" ref="E1124">_xlfn.IFERROR(SUM('Direct Costs 2026'!$C$4:$C$5)*D1124,"N/A")</f>
        <v>875500</v>
      </c>
      <c r="F1124" s="423" cm="1">
        <f t="array" ref="F1124">_xlfn.IFERROR('Direct Costs 2026'!$C$43*B1124,"N/A")</f>
        <v>12000</v>
      </c>
      <c r="G1124" s="423" cm="1">
        <f t="array" ref="G1124">IF(B1124&gt;0,'Direct Costs 2026'!$C$25,"N/A")</f>
        <v>90000</v>
      </c>
      <c r="H1124" s="423" cm="1">
        <f t="array" ref="H1124">IF(B1124&gt;0,('Direct Costs 2026'!$C$15+'Direct Costs 2026'!$C$17+'Direct Costs 2026'!$C$14),"N/A")</f>
        <v>580000</v>
      </c>
      <c r="I1124" s="423" cm="1">
        <f t="array" ref="I1124">IF(B1124&gt;0,'Direct Costs 2026'!$C$19+'Direct Costs 2026'!$C$18*B1124,"N/A")</f>
        <v>145000</v>
      </c>
      <c r="J1124" s="423" cm="1">
        <f t="array" ref="J1124">IF(B1124&gt;0,SUM('Direct Costs 2026'!$C$20:$C$21),"N/A")</f>
        <v>98333.3333333333</v>
      </c>
      <c r="K1124" s="423" cm="1">
        <f t="array" ref="K1124">IF(B1124&gt;0,'Direct Costs 2026'!$C$26,"N/A")</f>
        <v>20000</v>
      </c>
      <c r="L1124" s="423" cm="1">
        <f t="array" ref="L1124">IF(B1124&gt;0,'Direct Costs 2026'!$C$23,"N/A")</f>
        <v>140000</v>
      </c>
      <c r="M1124" s="423" cm="1">
        <f t="array" ref="M1124">IF(B1124&gt;0,'Direct Costs 2026'!$C$45*B1124,"N/A")</f>
        <v>300000</v>
      </c>
      <c r="N1124" s="423" cm="1">
        <f t="array" ref="N1124">IF(B1124&gt;0,_xlfn.IFERROR(VLOOKUP(C1120,'Boats Data Sheet 2026'!$C$3:$I$57,7,0)*'Direct Costs 2026'!$C$36,"N/A"),"N/A")</f>
        <v>3325000</v>
      </c>
      <c r="O1124" s="423" cm="1">
        <f t="array" ref="O1124">IF(B1124&gt;0,IF(OR(VLOOKUP(C1120,'Boats Data Sheet 2026'!$C$3:$F$57,4,0)="Own",VLOOKUP(C1120,'Boats Data Sheet 2026'!$C$3:$F$57,4,0)="Management"),('Direct Costs 2026'!$C$37+'Direct Costs 2026'!$C$39),"N/A"),"N/A")</f>
        <v>1112400</v>
      </c>
      <c r="P1124" s="423" cm="1">
        <f t="array" ref="P1124">_xlfn.IFERROR('Direct Costs 2026'!$C$27*C1124,"N/A")</f>
        <v>0</v>
      </c>
      <c r="Q1124" s="423" cm="1">
        <f t="array" ref="Q1124">_xlfn.IFERROR(C1124+SUM(E1124:P1124),"N/A")</f>
        <v>6698233.33333333</v>
      </c>
      <c r="R1124" s="424"/>
      <c r="S1124" s="423" cm="1">
        <f t="array" ref="S1124">IF(B1124&gt;0,'Allocation OH and Target 2026'!$E$31,"N/A")</f>
        <v>3100447.15769812</v>
      </c>
      <c r="T1124" s="423" cm="1">
        <f t="array" ref="T1124">IF(B1124&gt;0,VLOOKUP(C1120,'Allocation OH and Target 2026'!$C$35:$S$87,17,0),"N/A")</f>
        <v>1326132.87407407</v>
      </c>
      <c r="U1124" s="423" cm="1">
        <f t="array" ref="U1124">_xlfn.IFERROR((S1124+T1124),"N/A")</f>
        <v>4426580.03177219</v>
      </c>
      <c r="V1124" s="424"/>
      <c r="W1124" s="423" cm="1">
        <f t="array" ref="W1124">_xlfn.IFERROR(U1124+Q1124,"N/A")</f>
        <v>11124813.3651055</v>
      </c>
      <c r="X1124" s="423" cm="1">
        <f t="array" ref="X1124">_xlfn.IFERROR(W1124*0.5%,"N/A")</f>
        <v>55624.0668255275</v>
      </c>
      <c r="Y1124" s="423" cm="1">
        <f t="array" ref="Y1124">_xlfn.IFERROR(W1124*25%,"N/A")</f>
        <v>2781203.34127638</v>
      </c>
      <c r="Z1124" s="425" cm="1">
        <f t="array" ref="Z1124">IF(B1124&gt;0,SUM(W1124:Y1124),"N/A")</f>
        <v>13961640.7732074</v>
      </c>
      <c r="AA1124" s="425" cm="1">
        <f t="array" ref="AA1124">_xlfn.IFERROR((Z1124-Z1123),"N/A")</f>
        <v>239705</v>
      </c>
      <c r="AB1124" s="424"/>
      <c r="AC1124" t="str" s="426" cm="1">
        <f t="array" ref="AC1124">IF(B1124=6,AVERAGE(Z1123:Z1128),"N/A")</f>
        <v>N/A</v>
      </c>
      <c r="AD1124" s="424"/>
      <c r="AE1124" t="s" s="506">
        <v>546</v>
      </c>
      <c r="AF1124" s="423"/>
      <c r="AG1124" s="423"/>
      <c r="AH1124" s="423"/>
      <c r="AI1124" s="423"/>
      <c r="AJ1124" s="423"/>
      <c r="AK1124" s="423"/>
      <c r="AL1124" s="423"/>
      <c r="AM1124" s="423"/>
      <c r="AN1124" s="427"/>
    </row>
    <row r="1125" ht="15" customHeight="1">
      <c r="A1125" s="12"/>
      <c r="B1125" s="428" cm="1">
        <f t="array" ref="B1125">IF(B1124=0,0,IF(B1124&lt;VLOOKUP(C1120,'Boats Data Sheet 2026'!$C$3:$H$57,6,0),B1124+1,0))</f>
        <v>3</v>
      </c>
      <c r="C1125" s="423" cm="1">
        <f t="array" ref="C1125">IF(B1125&gt;0,IF(VLOOKUP(C1120,'Boats Data Sheet 2026'!$C$3:$J$57,8,0)="N/A",0,VLOOKUP(C1120,'Boats Data Sheet 2026'!$C$3:$J$57,8,0)),"N/A")</f>
        <v>0</v>
      </c>
      <c r="D1125" s="429" cm="1">
        <f t="array" ref="D1125">IF(B1125&gt;7,2,IF(B1125=0,"N/A",1))</f>
        <v>1</v>
      </c>
      <c r="E1125" s="423" cm="1">
        <f t="array" ref="E1125">_xlfn.IFERROR(SUM('Direct Costs 2026'!$C$4:$C$5)*D1125,"N/A")</f>
        <v>875500</v>
      </c>
      <c r="F1125" s="423" cm="1">
        <f t="array" ref="F1125">_xlfn.IFERROR('Direct Costs 2026'!$C$43*B1125,"N/A")</f>
        <v>18000</v>
      </c>
      <c r="G1125" s="423" cm="1">
        <f t="array" ref="G1125">IF(B1125&gt;0,'Direct Costs 2026'!$C$25,"N/A")</f>
        <v>90000</v>
      </c>
      <c r="H1125" s="423" cm="1">
        <f t="array" ref="H1125">IF(B1125&gt;0,('Direct Costs 2026'!$C$15+'Direct Costs 2026'!$C$17+'Direct Costs 2026'!$C$14),"N/A")</f>
        <v>580000</v>
      </c>
      <c r="I1125" s="423" cm="1">
        <f t="array" ref="I1125">IF(B1125&gt;0,'Direct Costs 2026'!$C$19+'Direct Costs 2026'!$C$18*B1125,"N/A")</f>
        <v>180000</v>
      </c>
      <c r="J1125" s="423" cm="1">
        <f t="array" ref="J1125">IF(B1125&gt;0,SUM('Direct Costs 2026'!$C$20:$C$21),"N/A")</f>
        <v>98333.3333333333</v>
      </c>
      <c r="K1125" s="423" cm="1">
        <f t="array" ref="K1125">IF(B1125&gt;0,'Direct Costs 2026'!$C$26,"N/A")</f>
        <v>20000</v>
      </c>
      <c r="L1125" s="423" cm="1">
        <f t="array" ref="L1125">IF(B1125&gt;0,'Direct Costs 2026'!$C$23,"N/A")</f>
        <v>140000</v>
      </c>
      <c r="M1125" s="423" cm="1">
        <f t="array" ref="M1125">IF(B1125&gt;0,'Direct Costs 2026'!$C$45*B1125,"N/A")</f>
        <v>450000</v>
      </c>
      <c r="N1125" s="423" cm="1">
        <f t="array" ref="N1125">IF(B1125&gt;0,_xlfn.IFERROR(VLOOKUP(C1120,'Boats Data Sheet 2026'!$C$3:$I$57,7,0)*'Direct Costs 2026'!$C$36,"N/A"),"N/A")</f>
        <v>3325000</v>
      </c>
      <c r="O1125" s="423" cm="1">
        <f t="array" ref="O1125">IF(B1125&gt;0,IF(OR(VLOOKUP(C1120,'Boats Data Sheet 2026'!$C$3:$F$57,4,0)="Own",VLOOKUP(C1120,'Boats Data Sheet 2026'!$C$3:$F$57,4,0)="Management"),('Direct Costs 2026'!$C$37+'Direct Costs 2026'!$C$39),"N/A"),"N/A")</f>
        <v>1112400</v>
      </c>
      <c r="P1125" s="423" cm="1">
        <f t="array" ref="P1125">_xlfn.IFERROR('Direct Costs 2026'!$C$27*C1125,"N/A")</f>
        <v>0</v>
      </c>
      <c r="Q1125" s="423" cm="1">
        <f t="array" ref="Q1125">_xlfn.IFERROR(C1125+SUM(E1125:P1125),"N/A")</f>
        <v>6889233.33333333</v>
      </c>
      <c r="R1125" s="424"/>
      <c r="S1125" s="423" cm="1">
        <f t="array" ref="S1125">IF(B1125&gt;0,'Allocation OH and Target 2026'!$E$31,"N/A")</f>
        <v>3100447.15769812</v>
      </c>
      <c r="T1125" s="423" cm="1">
        <f t="array" ref="T1125">IF(B1125&gt;0,VLOOKUP(C1120,'Allocation OH and Target 2026'!$C$35:$S$87,17,0),"N/A")</f>
        <v>1326132.87407407</v>
      </c>
      <c r="U1125" s="423" cm="1">
        <f t="array" ref="U1125">_xlfn.IFERROR((S1125+T1125),"N/A")</f>
        <v>4426580.03177219</v>
      </c>
      <c r="V1125" s="424"/>
      <c r="W1125" s="423" cm="1">
        <f t="array" ref="W1125">_xlfn.IFERROR(U1125+Q1125,"N/A")</f>
        <v>11315813.3651055</v>
      </c>
      <c r="X1125" s="423" cm="1">
        <f t="array" ref="X1125">_xlfn.IFERROR(W1125*0.5%,"N/A")</f>
        <v>56579.0668255275</v>
      </c>
      <c r="Y1125" s="423" cm="1">
        <f t="array" ref="Y1125">_xlfn.IFERROR(W1125*25%,"N/A")</f>
        <v>2828953.34127638</v>
      </c>
      <c r="Z1125" s="425" cm="1">
        <f t="array" ref="Z1125">IF(B1125&gt;0,SUM(W1125:Y1125),"N/A")</f>
        <v>14201345.7732074</v>
      </c>
      <c r="AA1125" s="425" cm="1">
        <f t="array" ref="AA1125">_xlfn.IFERROR((Z1125-Z1124),"N/A")</f>
        <v>239705</v>
      </c>
      <c r="AB1125" s="424"/>
      <c r="AC1125" t="str" s="426" cm="1">
        <f t="array" ref="AC1125">IF(B1125=6,AVERAGE(Z1123:Z1128),"N/A")</f>
        <v>N/A</v>
      </c>
      <c r="AD1125" s="424"/>
      <c r="AE1125" t="s" s="504">
        <v>547</v>
      </c>
      <c r="AF1125" s="423" cm="1">
        <f t="array" ref="AF1125">AF1123*'RECOMMENDED PRICES'!$D$17</f>
        <v>746921250</v>
      </c>
      <c r="AG1125" s="423"/>
      <c r="AH1125" s="423"/>
      <c r="AI1125" s="423"/>
      <c r="AJ1125" s="423"/>
      <c r="AK1125" s="423"/>
      <c r="AL1125" s="423"/>
      <c r="AM1125" s="423"/>
      <c r="AN1125" s="427"/>
    </row>
    <row r="1126" ht="15" customHeight="1">
      <c r="A1126" s="12"/>
      <c r="B1126" s="428" cm="1">
        <f t="array" ref="B1126">IF(B1125=0,0,IF(B1125&lt;VLOOKUP(C1120,'Boats Data Sheet 2026'!$C$3:$H$57,6,0),B1125+1,0))</f>
        <v>4</v>
      </c>
      <c r="C1126" s="423" cm="1">
        <f t="array" ref="C1126">IF(B1126&gt;0,IF(VLOOKUP(C1120,'Boats Data Sheet 2026'!$C$3:$J$57,8,0)="N/A",0,VLOOKUP(C1120,'Boats Data Sheet 2026'!$C$3:$J$57,8,0)),"N/A")</f>
        <v>0</v>
      </c>
      <c r="D1126" s="429" cm="1">
        <f t="array" ref="D1126">IF(B1126&gt;7,2,IF(B1126=0,"N/A",1))</f>
        <v>1</v>
      </c>
      <c r="E1126" s="423" cm="1">
        <f t="array" ref="E1126">_xlfn.IFERROR(SUM('Direct Costs 2026'!$C$4:$C$5)*D1126,"N/A")</f>
        <v>875500</v>
      </c>
      <c r="F1126" s="423" cm="1">
        <f t="array" ref="F1126">_xlfn.IFERROR('Direct Costs 2026'!$C$43*B1126,"N/A")</f>
        <v>24000</v>
      </c>
      <c r="G1126" s="423" cm="1">
        <f t="array" ref="G1126">IF(B1126&gt;0,'Direct Costs 2026'!$C$25,"N/A")</f>
        <v>90000</v>
      </c>
      <c r="H1126" s="423" cm="1">
        <f t="array" ref="H1126">IF(B1126&gt;0,('Direct Costs 2026'!$C$15+'Direct Costs 2026'!$C$17+'Direct Costs 2026'!$C$14),"N/A")</f>
        <v>580000</v>
      </c>
      <c r="I1126" s="423" cm="1">
        <f t="array" ref="I1126">IF(B1126&gt;0,'Direct Costs 2026'!$C$19+'Direct Costs 2026'!$C$18*B1126,"N/A")</f>
        <v>215000</v>
      </c>
      <c r="J1126" s="423" cm="1">
        <f t="array" ref="J1126">IF(B1126&gt;0,SUM('Direct Costs 2026'!$C$20:$C$21),"N/A")</f>
        <v>98333.3333333333</v>
      </c>
      <c r="K1126" s="423" cm="1">
        <f t="array" ref="K1126">IF(B1126&gt;0,'Direct Costs 2026'!$C$26,"N/A")</f>
        <v>20000</v>
      </c>
      <c r="L1126" s="423" cm="1">
        <f t="array" ref="L1126">IF(B1126&gt;0,'Direct Costs 2026'!$C$23,"N/A")</f>
        <v>140000</v>
      </c>
      <c r="M1126" s="423" cm="1">
        <f t="array" ref="M1126">IF(B1126&gt;0,'Direct Costs 2026'!$C$45*B1126,"N/A")</f>
        <v>600000</v>
      </c>
      <c r="N1126" s="423" cm="1">
        <f t="array" ref="N1126">IF(B1126&gt;0,_xlfn.IFERROR(VLOOKUP(C1120,'Boats Data Sheet 2026'!$C$3:$I$57,7,0)*'Direct Costs 2026'!$C$36,"N/A"),"N/A")</f>
        <v>3325000</v>
      </c>
      <c r="O1126" s="423" cm="1">
        <f t="array" ref="O1126">IF(B1126&gt;0,IF(OR(VLOOKUP(C1120,'Boats Data Sheet 2026'!$C$3:$F$57,4,0)="Own",VLOOKUP(C1120,'Boats Data Sheet 2026'!$C$3:$F$57,4,0)="Management"),('Direct Costs 2026'!$C$37+'Direct Costs 2026'!$C$39),"N/A"),"N/A")</f>
        <v>1112400</v>
      </c>
      <c r="P1126" s="423" cm="1">
        <f t="array" ref="P1126">_xlfn.IFERROR('Direct Costs 2026'!$C$27*C1126,"N/A")</f>
        <v>0</v>
      </c>
      <c r="Q1126" s="423" cm="1">
        <f t="array" ref="Q1126">_xlfn.IFERROR(C1126+SUM(E1126:P1126),"N/A")</f>
        <v>7080233.33333333</v>
      </c>
      <c r="R1126" s="424"/>
      <c r="S1126" s="423" cm="1">
        <f t="array" ref="S1126">IF(B1126&gt;0,'Allocation OH and Target 2026'!$E$31,"N/A")</f>
        <v>3100447.15769812</v>
      </c>
      <c r="T1126" s="423" cm="1">
        <f t="array" ref="T1126">IF(B1126&gt;0,VLOOKUP(C1120,'Allocation OH and Target 2026'!$C$35:$S$87,17,0),"N/A")</f>
        <v>1326132.87407407</v>
      </c>
      <c r="U1126" s="423" cm="1">
        <f t="array" ref="U1126">_xlfn.IFERROR((S1126+T1126),"N/A")</f>
        <v>4426580.03177219</v>
      </c>
      <c r="V1126" s="424"/>
      <c r="W1126" s="423" cm="1">
        <f t="array" ref="W1126">_xlfn.IFERROR(U1126+Q1126,"N/A")</f>
        <v>11506813.3651055</v>
      </c>
      <c r="X1126" s="423" cm="1">
        <f t="array" ref="X1126">_xlfn.IFERROR(W1126*0.5%,"N/A")</f>
        <v>57534.0668255275</v>
      </c>
      <c r="Y1126" s="423" cm="1">
        <f t="array" ref="Y1126">_xlfn.IFERROR(W1126*25%,"N/A")</f>
        <v>2876703.34127638</v>
      </c>
      <c r="Z1126" s="425" cm="1">
        <f t="array" ref="Z1126">IF(B1126&gt;0,SUM(W1126:Y1126),"N/A")</f>
        <v>14441050.7732074</v>
      </c>
      <c r="AA1126" s="425" cm="1">
        <f t="array" ref="AA1126">_xlfn.IFERROR((Z1126-Z1125),"N/A")</f>
        <v>239705</v>
      </c>
      <c r="AB1126" s="424"/>
      <c r="AC1126" t="str" s="426" cm="1">
        <f t="array" ref="AC1126">IF(B1126=6,AVERAGE(Z1123:Z1128),"N/A")</f>
        <v>N/A</v>
      </c>
      <c r="AD1126" s="424"/>
      <c r="AE1126" t="s" s="504">
        <v>548</v>
      </c>
      <c r="AF1126" s="423" cm="1">
        <f t="array" ref="AF1126">AF1123*VLOOKUP(C1120,'RECOMMENDED PRICES'!$B$20:$F$76,5,0)</f>
        <v>252720000</v>
      </c>
      <c r="AG1126" s="423"/>
      <c r="AH1126" s="423"/>
      <c r="AI1126" s="423"/>
      <c r="AJ1126" s="423"/>
      <c r="AK1126" s="423"/>
      <c r="AL1126" s="423"/>
      <c r="AM1126" s="423"/>
      <c r="AN1126" s="427"/>
    </row>
    <row r="1127" ht="15" customHeight="1">
      <c r="A1127" s="12"/>
      <c r="B1127" s="428" cm="1">
        <f t="array" ref="B1127">IF(B1126=0,0,IF(B1126&lt;VLOOKUP(C1120,'Boats Data Sheet 2026'!$C$3:$H$57,6,0),B1126+1,0))</f>
        <v>5</v>
      </c>
      <c r="C1127" s="423" cm="1">
        <f t="array" ref="C1127">IF(B1127&gt;0,IF(VLOOKUP(C1120,'Boats Data Sheet 2026'!$C$3:$J$57,8,0)="N/A",0,VLOOKUP(C1120,'Boats Data Sheet 2026'!$C$3:$J$57,8,0)),"N/A")</f>
        <v>0</v>
      </c>
      <c r="D1127" s="429" cm="1">
        <f t="array" ref="D1127">IF(B1127&gt;7,2,IF(B1127=0,"N/A",1))</f>
        <v>1</v>
      </c>
      <c r="E1127" s="423" cm="1">
        <f t="array" ref="E1127">_xlfn.IFERROR(SUM('Direct Costs 2026'!$C$4:$C$5)*D1127,"N/A")</f>
        <v>875500</v>
      </c>
      <c r="F1127" s="423" cm="1">
        <f t="array" ref="F1127">_xlfn.IFERROR('Direct Costs 2026'!$C$43*B1127,"N/A")</f>
        <v>30000</v>
      </c>
      <c r="G1127" s="423" cm="1">
        <f t="array" ref="G1127">IF(B1127&gt;0,'Direct Costs 2026'!$C$25,"N/A")</f>
        <v>90000</v>
      </c>
      <c r="H1127" s="423" cm="1">
        <f t="array" ref="H1127">IF(B1127&gt;0,('Direct Costs 2026'!$C$15+'Direct Costs 2026'!$C$17+'Direct Costs 2026'!$C$14),"N/A")</f>
        <v>580000</v>
      </c>
      <c r="I1127" s="423" cm="1">
        <f t="array" ref="I1127">IF(B1127&gt;0,'Direct Costs 2026'!$C$19+'Direct Costs 2026'!$C$18*B1127,"N/A")</f>
        <v>250000</v>
      </c>
      <c r="J1127" s="423" cm="1">
        <f t="array" ref="J1127">IF(B1127&gt;0,SUM('Direct Costs 2026'!$C$20:$C$21),"N/A")</f>
        <v>98333.3333333333</v>
      </c>
      <c r="K1127" s="423" cm="1">
        <f t="array" ref="K1127">IF(B1127&gt;0,'Direct Costs 2026'!$C$26,"N/A")</f>
        <v>20000</v>
      </c>
      <c r="L1127" s="423" cm="1">
        <f t="array" ref="L1127">IF(B1127&gt;0,'Direct Costs 2026'!$C$23,"N/A")</f>
        <v>140000</v>
      </c>
      <c r="M1127" s="423" cm="1">
        <f t="array" ref="M1127">IF(B1127&gt;0,'Direct Costs 2026'!$C$45*B1127,"N/A")</f>
        <v>750000</v>
      </c>
      <c r="N1127" s="423" cm="1">
        <f t="array" ref="N1127">IF(B1127&gt;0,_xlfn.IFERROR(VLOOKUP(C1120,'Boats Data Sheet 2026'!$C$3:$I$57,7,0)*'Direct Costs 2026'!$C$36,"N/A"),"N/A")</f>
        <v>3325000</v>
      </c>
      <c r="O1127" s="423" cm="1">
        <f t="array" ref="O1127">IF(B1127&gt;0,IF(OR(VLOOKUP(C1120,'Boats Data Sheet 2026'!$C$3:$F$57,4,0)="Own",VLOOKUP(C1120,'Boats Data Sheet 2026'!$C$3:$F$57,4,0)="Management"),('Direct Costs 2026'!$C$37+'Direct Costs 2026'!$C$39),"N/A"),"N/A")</f>
        <v>1112400</v>
      </c>
      <c r="P1127" s="423" cm="1">
        <f t="array" ref="P1127">_xlfn.IFERROR('Direct Costs 2026'!$C$27*C1127,"N/A")</f>
        <v>0</v>
      </c>
      <c r="Q1127" s="423" cm="1">
        <f t="array" ref="Q1127">_xlfn.IFERROR(C1127+SUM(E1127:P1127),"N/A")</f>
        <v>7271233.33333333</v>
      </c>
      <c r="R1127" s="424"/>
      <c r="S1127" s="423" cm="1">
        <f t="array" ref="S1127">IF(B1127&gt;0,'Allocation OH and Target 2026'!$E$31,"N/A")</f>
        <v>3100447.15769812</v>
      </c>
      <c r="T1127" s="423" cm="1">
        <f t="array" ref="T1127">IF(B1127&gt;0,VLOOKUP(C1120,'Allocation OH and Target 2026'!$C$35:$S$87,17,0),"N/A")</f>
        <v>1326132.87407407</v>
      </c>
      <c r="U1127" s="423" cm="1">
        <f t="array" ref="U1127">_xlfn.IFERROR((S1127+T1127),"N/A")</f>
        <v>4426580.03177219</v>
      </c>
      <c r="V1127" s="424"/>
      <c r="W1127" s="423" cm="1">
        <f t="array" ref="W1127">_xlfn.IFERROR(U1127+Q1127,"N/A")</f>
        <v>11697813.3651055</v>
      </c>
      <c r="X1127" s="423" cm="1">
        <f t="array" ref="X1127">_xlfn.IFERROR(W1127*0.5%,"N/A")</f>
        <v>58489.0668255275</v>
      </c>
      <c r="Y1127" s="423" cm="1">
        <f t="array" ref="Y1127">_xlfn.IFERROR(W1127*25%,"N/A")</f>
        <v>2924453.34127638</v>
      </c>
      <c r="Z1127" s="425" cm="1">
        <f t="array" ref="Z1127">IF(B1127&gt;0,SUM(W1127:Y1127),"N/A")</f>
        <v>14680755.7732074</v>
      </c>
      <c r="AA1127" s="425" cm="1">
        <f t="array" ref="AA1127">_xlfn.IFERROR((Z1127-Z1126),"N/A")</f>
        <v>239705</v>
      </c>
      <c r="AB1127" s="424"/>
      <c r="AC1127" t="str" s="426" cm="1">
        <f t="array" ref="AC1127">IF(B1127=6,AVERAGE(Z1123:Z1128),"N/A")</f>
        <v>N/A</v>
      </c>
      <c r="AD1127" s="424"/>
      <c r="AE1127" t="s" s="504">
        <v>549</v>
      </c>
      <c r="AF1127" s="423">
        <v>0</v>
      </c>
      <c r="AG1127" s="423"/>
      <c r="AH1127" s="423"/>
      <c r="AI1127" s="423"/>
      <c r="AJ1127" s="423"/>
      <c r="AK1127" s="423"/>
      <c r="AL1127" s="423"/>
      <c r="AM1127" s="423"/>
      <c r="AN1127" s="427"/>
    </row>
    <row r="1128" ht="15" customHeight="1">
      <c r="A1128" s="12"/>
      <c r="B1128" s="428" cm="1">
        <f t="array" ref="B1128">IF(B1127=0,0,IF(B1127&lt;VLOOKUP(C1120,'Boats Data Sheet 2026'!$C$3:$H$57,6,0),B1127+1,0))</f>
        <v>6</v>
      </c>
      <c r="C1128" s="423" cm="1">
        <f t="array" ref="C1128">IF(B1128&gt;0,IF(VLOOKUP(C1120,'Boats Data Sheet 2026'!$C$3:$J$57,8,0)="N/A",0,VLOOKUP(C1120,'Boats Data Sheet 2026'!$C$3:$J$57,8,0)),"N/A")</f>
        <v>0</v>
      </c>
      <c r="D1128" s="429" cm="1">
        <f t="array" ref="D1128">IF(B1128&gt;7,2,IF(B1128=0,"N/A",1))</f>
        <v>1</v>
      </c>
      <c r="E1128" s="423" cm="1">
        <f t="array" ref="E1128">_xlfn.IFERROR(SUM('Direct Costs 2026'!$C$4:$C$5)*D1128,"N/A")</f>
        <v>875500</v>
      </c>
      <c r="F1128" s="423" cm="1">
        <f t="array" ref="F1128">_xlfn.IFERROR('Direct Costs 2026'!$C$43*B1128,"N/A")</f>
        <v>36000</v>
      </c>
      <c r="G1128" s="423" cm="1">
        <f t="array" ref="G1128">IF(B1128&gt;0,'Direct Costs 2026'!$C$25,"N/A")</f>
        <v>90000</v>
      </c>
      <c r="H1128" s="423" cm="1">
        <f t="array" ref="H1128">IF(B1128&gt;0,('Direct Costs 2026'!$C$15+'Direct Costs 2026'!$C$17+'Direct Costs 2026'!$C$14),"N/A")</f>
        <v>580000</v>
      </c>
      <c r="I1128" s="423" cm="1">
        <f t="array" ref="I1128">IF(B1128&gt;0,'Direct Costs 2026'!$C$19+'Direct Costs 2026'!$C$18*B1128,"N/A")</f>
        <v>285000</v>
      </c>
      <c r="J1128" s="423" cm="1">
        <f t="array" ref="J1128">IF(B1128&gt;0,SUM('Direct Costs 2026'!$C$20:$C$21),"N/A")</f>
        <v>98333.3333333333</v>
      </c>
      <c r="K1128" s="423" cm="1">
        <f t="array" ref="K1128">IF(B1128&gt;0,'Direct Costs 2026'!$C$26,"N/A")</f>
        <v>20000</v>
      </c>
      <c r="L1128" s="423" cm="1">
        <f t="array" ref="L1128">IF(B1128&gt;0,'Direct Costs 2026'!$C$23,"N/A")</f>
        <v>140000</v>
      </c>
      <c r="M1128" s="423" cm="1">
        <f t="array" ref="M1128">IF(B1128&gt;0,'Direct Costs 2026'!$C$45*B1128,"N/A")</f>
        <v>900000</v>
      </c>
      <c r="N1128" s="423" cm="1">
        <f t="array" ref="N1128">IF(B1128&gt;0,_xlfn.IFERROR(VLOOKUP(C1120,'Boats Data Sheet 2026'!$C$3:$I$57,7,0)*'Direct Costs 2026'!$C$36,"N/A"),"N/A")</f>
        <v>3325000</v>
      </c>
      <c r="O1128" s="423" cm="1">
        <f t="array" ref="O1128">IF(B1128&gt;0,IF(OR(VLOOKUP(C1120,'Boats Data Sheet 2026'!$C$3:$F$57,4,0)="Own",VLOOKUP(C1120,'Boats Data Sheet 2026'!$C$3:$F$57,4,0)="Management"),('Direct Costs 2026'!$C$37+'Direct Costs 2026'!$C$39),"N/A"),"N/A")</f>
        <v>1112400</v>
      </c>
      <c r="P1128" s="423" cm="1">
        <f t="array" ref="P1128">_xlfn.IFERROR('Direct Costs 2026'!$C$27*C1128,"N/A")</f>
        <v>0</v>
      </c>
      <c r="Q1128" s="423" cm="1">
        <f t="array" ref="Q1128">_xlfn.IFERROR(C1128+SUM(E1128:P1128),"N/A")</f>
        <v>7462233.33333333</v>
      </c>
      <c r="R1128" s="424"/>
      <c r="S1128" s="423" cm="1">
        <f t="array" ref="S1128">IF(B1128&gt;0,'Allocation OH and Target 2026'!$E$31,"N/A")</f>
        <v>3100447.15769812</v>
      </c>
      <c r="T1128" s="423" cm="1">
        <f t="array" ref="T1128">IF(B1128&gt;0,VLOOKUP(C1120,'Allocation OH and Target 2026'!$C$35:$S$87,17,0),"N/A")</f>
        <v>1326132.87407407</v>
      </c>
      <c r="U1128" s="423" cm="1">
        <f t="array" ref="U1128">_xlfn.IFERROR((S1128+T1128),"N/A")</f>
        <v>4426580.03177219</v>
      </c>
      <c r="V1128" s="424"/>
      <c r="W1128" s="423" cm="1">
        <f t="array" ref="W1128">_xlfn.IFERROR(U1128+Q1128,"N/A")</f>
        <v>11888813.3651055</v>
      </c>
      <c r="X1128" s="423" cm="1">
        <f t="array" ref="X1128">_xlfn.IFERROR(W1128*0.5%,"N/A")</f>
        <v>59444.0668255275</v>
      </c>
      <c r="Y1128" s="423" cm="1">
        <f t="array" ref="Y1128">_xlfn.IFERROR(W1128*25%,"N/A")</f>
        <v>2972203.34127638</v>
      </c>
      <c r="Z1128" s="425" cm="1">
        <f t="array" ref="Z1128">IF(B1128&gt;0,SUM(W1128:Y1128),"N/A")</f>
        <v>14920460.7732074</v>
      </c>
      <c r="AA1128" s="425" cm="1">
        <f t="array" ref="AA1128">_xlfn.IFERROR((Z1128-Z1127),"N/A")</f>
        <v>239705</v>
      </c>
      <c r="AB1128" s="424"/>
      <c r="AC1128" s="425" cm="1">
        <f t="array" ref="AC1128">IF(B1128=6,AVERAGE(Z1123:Z1128),"N/A")</f>
        <v>14321198.2732074</v>
      </c>
      <c r="AD1128" s="424"/>
      <c r="AE1128" t="s" s="506">
        <v>550</v>
      </c>
      <c r="AF1128" s="423"/>
      <c r="AG1128" s="423"/>
      <c r="AH1128" s="423"/>
      <c r="AI1128" s="423"/>
      <c r="AJ1128" s="423"/>
      <c r="AK1128" s="423"/>
      <c r="AL1128" s="423"/>
      <c r="AM1128" s="423"/>
      <c r="AN1128" s="427"/>
    </row>
    <row r="1129" ht="15" customHeight="1">
      <c r="A1129" s="12"/>
      <c r="B1129" s="428" cm="1">
        <f t="array" ref="B1129">IF(B1128=0,0,IF(B1128&lt;VLOOKUP(C1120,'Boats Data Sheet 2026'!$C$3:$H$57,6,0),B1128+1,0))</f>
        <v>7</v>
      </c>
      <c r="C1129" s="423" cm="1">
        <f t="array" ref="C1129">IF(B1129&gt;0,IF(VLOOKUP(C1120,'Boats Data Sheet 2026'!$C$3:$J$57,8,0)="N/A",0,VLOOKUP(C1120,'Boats Data Sheet 2026'!$C$3:$J$57,8,0)),"N/A")</f>
        <v>0</v>
      </c>
      <c r="D1129" s="429" cm="1">
        <f t="array" ref="D1129">IF(B1129&gt;7,2,IF(B1129=0,"N/A",1))</f>
        <v>1</v>
      </c>
      <c r="E1129" s="423" cm="1">
        <f t="array" ref="E1129">_xlfn.IFERROR(SUM('Direct Costs 2026'!$C$4:$C$5)*D1129,"N/A")</f>
        <v>875500</v>
      </c>
      <c r="F1129" s="423" cm="1">
        <f t="array" ref="F1129">_xlfn.IFERROR('Direct Costs 2026'!$C$43*B1129,"N/A")</f>
        <v>42000</v>
      </c>
      <c r="G1129" s="423" cm="1">
        <f t="array" ref="G1129">IF(B1129&gt;0,'Direct Costs 2026'!$C$25,"N/A")</f>
        <v>90000</v>
      </c>
      <c r="H1129" s="423" cm="1">
        <f t="array" ref="H1129">IF(B1129&gt;0,('Direct Costs 2026'!$C$15+'Direct Costs 2026'!$C$17+'Direct Costs 2026'!$C$14),"N/A")</f>
        <v>580000</v>
      </c>
      <c r="I1129" s="423" cm="1">
        <f t="array" ref="I1129">IF(B1129&gt;0,'Direct Costs 2026'!$C$19+'Direct Costs 2026'!$C$18*B1129,"N/A")</f>
        <v>320000</v>
      </c>
      <c r="J1129" s="423" cm="1">
        <f t="array" ref="J1129">IF(B1129&gt;0,SUM('Direct Costs 2026'!$C$20:$C$21),"N/A")</f>
        <v>98333.3333333333</v>
      </c>
      <c r="K1129" s="423" cm="1">
        <f t="array" ref="K1129">IF(B1129&gt;0,'Direct Costs 2026'!$C$26,"N/A")</f>
        <v>20000</v>
      </c>
      <c r="L1129" s="423" cm="1">
        <f t="array" ref="L1129">IF(B1129&gt;0,'Direct Costs 2026'!$C$23,"N/A")</f>
        <v>140000</v>
      </c>
      <c r="M1129" s="423" cm="1">
        <f t="array" ref="M1129">IF(B1129&gt;0,'Direct Costs 2026'!$C$45*B1129,"N/A")</f>
        <v>1050000</v>
      </c>
      <c r="N1129" s="423" cm="1">
        <f t="array" ref="N1129">IF(B1129&gt;0,_xlfn.IFERROR(VLOOKUP(C1120,'Boats Data Sheet 2026'!$C$3:$I$57,7,0)*'Direct Costs 2026'!$C$36,"N/A"),"N/A")</f>
        <v>3325000</v>
      </c>
      <c r="O1129" s="423" cm="1">
        <f t="array" ref="O1129">IF(B1129&gt;0,IF(OR(VLOOKUP(C1120,'Boats Data Sheet 2026'!$C$3:$F$57,4,0)="Own",VLOOKUP(C1120,'Boats Data Sheet 2026'!$C$3:$F$57,4,0)="Management"),('Direct Costs 2026'!$C$37+'Direct Costs 2026'!$C$39),"N/A"),"N/A")</f>
        <v>1112400</v>
      </c>
      <c r="P1129" s="423" cm="1">
        <f t="array" ref="P1129">_xlfn.IFERROR('Direct Costs 2026'!$C$27*C1129,"N/A")</f>
        <v>0</v>
      </c>
      <c r="Q1129" s="423" cm="1">
        <f t="array" ref="Q1129">_xlfn.IFERROR(C1129+SUM(E1129:P1129),"N/A")</f>
        <v>7653233.33333333</v>
      </c>
      <c r="R1129" s="424"/>
      <c r="S1129" s="423" cm="1">
        <f t="array" ref="S1129">IF(B1129&gt;0,'Allocation OH and Target 2026'!$E$31,"N/A")</f>
        <v>3100447.15769812</v>
      </c>
      <c r="T1129" s="423" cm="1">
        <f t="array" ref="T1129">IF(B1129&gt;0,VLOOKUP(C1120,'Allocation OH and Target 2026'!$C$35:$S$87,17,0),"N/A")</f>
        <v>1326132.87407407</v>
      </c>
      <c r="U1129" s="423" cm="1">
        <f t="array" ref="U1129">_xlfn.IFERROR((S1129+T1129),"N/A")</f>
        <v>4426580.03177219</v>
      </c>
      <c r="V1129" s="424"/>
      <c r="W1129" s="423" cm="1">
        <f t="array" ref="W1129">_xlfn.IFERROR(U1129+Q1129,"N/A")</f>
        <v>12079813.3651055</v>
      </c>
      <c r="X1129" s="423" cm="1">
        <f t="array" ref="X1129">_xlfn.IFERROR(W1129*0.5%,"N/A")</f>
        <v>60399.0668255275</v>
      </c>
      <c r="Y1129" s="423" cm="1">
        <f t="array" ref="Y1129">_xlfn.IFERROR(W1129*25%,"N/A")</f>
        <v>3019953.34127638</v>
      </c>
      <c r="Z1129" s="425" cm="1">
        <f t="array" ref="Z1129">IF(B1129&gt;0,SUM(W1129:Y1129),"N/A")</f>
        <v>15160165.7732074</v>
      </c>
      <c r="AA1129" s="425" cm="1">
        <f t="array" ref="AA1129">_xlfn.IFERROR((Z1129-Z1128),"N/A")</f>
        <v>239705</v>
      </c>
      <c r="AB1129" s="424"/>
      <c r="AC1129" t="str" s="426" cm="1">
        <f t="array" ref="AC1129">IF(B1129=6,AVERAGE(Z1123:Z1128),"N/A")</f>
        <v>N/A</v>
      </c>
      <c r="AD1129" s="424"/>
      <c r="AE1129" t="s" s="504">
        <v>551</v>
      </c>
      <c r="AF1129" s="507" cm="1">
        <f t="array" ref="AF1129">-AVERAGE(W1123:W1135)*AF1123</f>
        <v>-758396335.007082</v>
      </c>
      <c r="AG1129" s="423"/>
      <c r="AH1129" s="423"/>
      <c r="AI1129" s="423"/>
      <c r="AJ1129" s="423"/>
      <c r="AK1129" s="423"/>
      <c r="AL1129" s="423"/>
      <c r="AM1129" s="423"/>
      <c r="AN1129" s="427"/>
    </row>
    <row r="1130" ht="15" customHeight="1">
      <c r="A1130" s="12"/>
      <c r="B1130" s="428" cm="1">
        <f t="array" ref="B1130">IF(B1129=0,0,IF(B1129&lt;VLOOKUP(C1120,'Boats Data Sheet 2026'!$C$3:$H$57,6,0),B1129+1,0))</f>
        <v>8</v>
      </c>
      <c r="C1130" s="423" cm="1">
        <f t="array" ref="C1130">IF(B1130&gt;0,IF(VLOOKUP(C1120,'Boats Data Sheet 2026'!$C$3:$J$57,8,0)="N/A",0,VLOOKUP(C1120,'Boats Data Sheet 2026'!$C$3:$J$57,8,0)),"N/A")</f>
        <v>0</v>
      </c>
      <c r="D1130" s="429" cm="1">
        <f t="array" ref="D1130">IF(B1130&gt;7,2,IF(B1130=0,"N/A",1))</f>
        <v>2</v>
      </c>
      <c r="E1130" s="423" cm="1">
        <f t="array" ref="E1130">_xlfn.IFERROR(SUM('Direct Costs 2026'!$C$4:$C$5)*D1130,"N/A")</f>
        <v>1751000</v>
      </c>
      <c r="F1130" s="423" cm="1">
        <f t="array" ref="F1130">_xlfn.IFERROR('Direct Costs 2026'!$C$43*B1130,"N/A")</f>
        <v>48000</v>
      </c>
      <c r="G1130" s="423" cm="1">
        <f t="array" ref="G1130">IF(B1130&gt;0,'Direct Costs 2026'!$C$25,"N/A")</f>
        <v>90000</v>
      </c>
      <c r="H1130" s="423" cm="1">
        <f t="array" ref="H1130">IF(B1130&gt;0,('Direct Costs 2026'!$C$15+'Direct Costs 2026'!$C$17+'Direct Costs 2026'!$C$14),"N/A")</f>
        <v>580000</v>
      </c>
      <c r="I1130" s="423" cm="1">
        <f t="array" ref="I1130">IF(B1130&gt;0,'Direct Costs 2026'!$C$19+'Direct Costs 2026'!$C$18*B1130,"N/A")</f>
        <v>355000</v>
      </c>
      <c r="J1130" s="423" cm="1">
        <f t="array" ref="J1130">IF(B1130&gt;0,SUM('Direct Costs 2026'!$C$20:$C$21),"N/A")</f>
        <v>98333.3333333333</v>
      </c>
      <c r="K1130" s="423" cm="1">
        <f t="array" ref="K1130">IF(B1130&gt;0,'Direct Costs 2026'!$C$26,"N/A")</f>
        <v>20000</v>
      </c>
      <c r="L1130" s="423" cm="1">
        <f t="array" ref="L1130">IF(B1130&gt;0,'Direct Costs 2026'!$C$23,"N/A")</f>
        <v>140000</v>
      </c>
      <c r="M1130" s="423" cm="1">
        <f t="array" ref="M1130">IF(B1130&gt;0,'Direct Costs 2026'!$C$45*B1130,"N/A")</f>
        <v>1200000</v>
      </c>
      <c r="N1130" s="423" cm="1">
        <f t="array" ref="N1130">IF(B1130&gt;0,_xlfn.IFERROR(VLOOKUP(C1120,'Boats Data Sheet 2026'!$C$3:$I$57,7,0)*'Direct Costs 2026'!$C$36,"N/A"),"N/A")</f>
        <v>3325000</v>
      </c>
      <c r="O1130" s="423" cm="1">
        <f t="array" ref="O1130">IF(B1130&gt;0,IF(OR(VLOOKUP(C1120,'Boats Data Sheet 2026'!$C$3:$F$57,4,0)="Own",VLOOKUP(C1120,'Boats Data Sheet 2026'!$C$3:$F$57,4,0)="Management"),('Direct Costs 2026'!$C$37+'Direct Costs 2026'!$C$39),"N/A"),"N/A")</f>
        <v>1112400</v>
      </c>
      <c r="P1130" s="423" cm="1">
        <f t="array" ref="P1130">_xlfn.IFERROR('Direct Costs 2026'!$C$27*C1130,"N/A")</f>
        <v>0</v>
      </c>
      <c r="Q1130" s="423" cm="1">
        <f t="array" ref="Q1130">_xlfn.IFERROR(C1130+SUM(E1130:P1130),"N/A")</f>
        <v>8719733.33333333</v>
      </c>
      <c r="R1130" s="424"/>
      <c r="S1130" s="423" cm="1">
        <f t="array" ref="S1130">IF(B1130&gt;0,'Allocation OH and Target 2026'!$E$31,"N/A")</f>
        <v>3100447.15769812</v>
      </c>
      <c r="T1130" s="423" cm="1">
        <f t="array" ref="T1130">IF(B1130&gt;0,VLOOKUP(C1120,'Allocation OH and Target 2026'!$C$35:$S$87,17,0),"N/A")</f>
        <v>1326132.87407407</v>
      </c>
      <c r="U1130" s="423" cm="1">
        <f t="array" ref="U1130">_xlfn.IFERROR((S1130+T1130),"N/A")</f>
        <v>4426580.03177219</v>
      </c>
      <c r="V1130" s="424"/>
      <c r="W1130" s="423" cm="1">
        <f t="array" ref="W1130">_xlfn.IFERROR(U1130+Q1130,"N/A")</f>
        <v>13146313.3651055</v>
      </c>
      <c r="X1130" s="423" cm="1">
        <f t="array" ref="X1130">_xlfn.IFERROR(W1130*0.5%,"N/A")</f>
        <v>65731.566825527494</v>
      </c>
      <c r="Y1130" s="423" cm="1">
        <f t="array" ref="Y1130">_xlfn.IFERROR(W1130*25%,"N/A")</f>
        <v>3286578.34127638</v>
      </c>
      <c r="Z1130" s="425" cm="1">
        <f t="array" ref="Z1130">IF(B1130&gt;0,SUM(W1130:Y1130),"N/A")</f>
        <v>16498623.2732074</v>
      </c>
      <c r="AA1130" s="425" cm="1">
        <f t="array" ref="AA1130">_xlfn.IFERROR((Z1130-Z1129),"N/A")</f>
        <v>1338457.5</v>
      </c>
      <c r="AB1130" s="424"/>
      <c r="AC1130" t="str" s="426" cm="1">
        <f t="array" ref="AC1130">IF(B1130=6,AVERAGE(Z1123:Z1128),"N/A")</f>
        <v>N/A</v>
      </c>
      <c r="AD1130" s="424"/>
      <c r="AE1130" t="s" s="506">
        <v>394</v>
      </c>
      <c r="AF1130" s="508" cm="1">
        <f t="array" ref="AF1130">SUM(AF1125:AF1129)</f>
        <v>241244914.992918</v>
      </c>
      <c r="AG1130" s="423"/>
      <c r="AH1130" s="423"/>
      <c r="AI1130" s="423"/>
      <c r="AJ1130" s="423"/>
      <c r="AK1130" s="423"/>
      <c r="AL1130" s="423"/>
      <c r="AM1130" s="423"/>
      <c r="AN1130" s="427"/>
    </row>
    <row r="1131" ht="15" customHeight="1">
      <c r="A1131" s="12"/>
      <c r="B1131" s="428" cm="1">
        <f t="array" ref="B1131">IF(B1130=0,0,IF(B1130&lt;VLOOKUP(C1120,'Boats Data Sheet 2026'!$C$3:$H$57,6,0),B1130+1,0))</f>
        <v>9</v>
      </c>
      <c r="C1131" s="423" cm="1">
        <f t="array" ref="C1131">IF(B1131&gt;0,IF(VLOOKUP(C1120,'Boats Data Sheet 2026'!$C$3:$J$57,8,0)="N/A",0,VLOOKUP(C1120,'Boats Data Sheet 2026'!$C$3:$J$57,8,0)),"N/A")</f>
        <v>0</v>
      </c>
      <c r="D1131" s="429" cm="1">
        <f t="array" ref="D1131">IF(B1131&gt;7,2,IF(B1131=0,"N/A",1))</f>
        <v>2</v>
      </c>
      <c r="E1131" s="423" cm="1">
        <f t="array" ref="E1131">_xlfn.IFERROR(SUM('Direct Costs 2026'!$C$4:$C$5)*D1131,"N/A")</f>
        <v>1751000</v>
      </c>
      <c r="F1131" s="423" cm="1">
        <f t="array" ref="F1131">_xlfn.IFERROR('Direct Costs 2026'!$C$43*B1131,"N/A")</f>
        <v>54000</v>
      </c>
      <c r="G1131" s="423" cm="1">
        <f t="array" ref="G1131">IF(B1131&gt;0,'Direct Costs 2026'!$C$25,"N/A")</f>
        <v>90000</v>
      </c>
      <c r="H1131" s="423" cm="1">
        <f t="array" ref="H1131">IF(B1131&gt;0,('Direct Costs 2026'!$C$15+'Direct Costs 2026'!$C$17+'Direct Costs 2026'!$C$14),"N/A")</f>
        <v>580000</v>
      </c>
      <c r="I1131" s="423" cm="1">
        <f t="array" ref="I1131">IF(B1131&gt;0,'Direct Costs 2026'!$C$19+'Direct Costs 2026'!$C$18*B1131,"N/A")</f>
        <v>390000</v>
      </c>
      <c r="J1131" s="423" cm="1">
        <f t="array" ref="J1131">IF(B1131&gt;0,SUM('Direct Costs 2026'!$C$20:$C$21),"N/A")</f>
        <v>98333.3333333333</v>
      </c>
      <c r="K1131" s="423" cm="1">
        <f t="array" ref="K1131">IF(B1131&gt;0,'Direct Costs 2026'!$C$26,"N/A")</f>
        <v>20000</v>
      </c>
      <c r="L1131" s="423" cm="1">
        <f t="array" ref="L1131">IF(B1131&gt;0,'Direct Costs 2026'!$C$23,"N/A")</f>
        <v>140000</v>
      </c>
      <c r="M1131" s="423" cm="1">
        <f t="array" ref="M1131">IF(B1131&gt;0,'Direct Costs 2026'!$C$45*B1131,"N/A")</f>
        <v>1350000</v>
      </c>
      <c r="N1131" s="423" cm="1">
        <f t="array" ref="N1131">IF(B1131&gt;0,_xlfn.IFERROR(VLOOKUP(C1120,'Boats Data Sheet 2026'!$C$3:$I$57,7,0)*'Direct Costs 2026'!$C$36,"N/A"),"N/A")</f>
        <v>3325000</v>
      </c>
      <c r="O1131" s="423" cm="1">
        <f t="array" ref="O1131">IF(B1131&gt;0,IF(OR(VLOOKUP(C1120,'Boats Data Sheet 2026'!$C$3:$F$57,4,0)="Own",VLOOKUP(C1120,'Boats Data Sheet 2026'!$C$3:$F$57,4,0)="Management"),('Direct Costs 2026'!$C$37+'Direct Costs 2026'!$C$39),"N/A"),"N/A")</f>
        <v>1112400</v>
      </c>
      <c r="P1131" s="423" cm="1">
        <f t="array" ref="P1131">_xlfn.IFERROR('Direct Costs 2026'!$C$27*C1131,"N/A")</f>
        <v>0</v>
      </c>
      <c r="Q1131" s="423" cm="1">
        <f t="array" ref="Q1131">_xlfn.IFERROR(C1131+SUM(E1131:P1131),"N/A")</f>
        <v>8910733.33333333</v>
      </c>
      <c r="R1131" s="424"/>
      <c r="S1131" s="423" cm="1">
        <f t="array" ref="S1131">IF(B1131&gt;0,'Allocation OH and Target 2026'!$E$31,"N/A")</f>
        <v>3100447.15769812</v>
      </c>
      <c r="T1131" s="423" cm="1">
        <f t="array" ref="T1131">IF(B1131&gt;0,VLOOKUP(C1120,'Allocation OH and Target 2026'!$C$35:$S$87,17,0),"N/A")</f>
        <v>1326132.87407407</v>
      </c>
      <c r="U1131" s="423" cm="1">
        <f t="array" ref="U1131">_xlfn.IFERROR((S1131+T1131),"N/A")</f>
        <v>4426580.03177219</v>
      </c>
      <c r="V1131" s="424"/>
      <c r="W1131" s="423" cm="1">
        <f t="array" ref="W1131">_xlfn.IFERROR(U1131+Q1131,"N/A")</f>
        <v>13337313.3651055</v>
      </c>
      <c r="X1131" s="423" cm="1">
        <f t="array" ref="X1131">_xlfn.IFERROR(W1131*0.5%,"N/A")</f>
        <v>66686.566825527494</v>
      </c>
      <c r="Y1131" s="423" cm="1">
        <f t="array" ref="Y1131">_xlfn.IFERROR(W1131*25%,"N/A")</f>
        <v>3334328.34127638</v>
      </c>
      <c r="Z1131" s="425" cm="1">
        <f t="array" ref="Z1131">IF(B1131&gt;0,SUM(W1131:Y1131),"N/A")</f>
        <v>16738328.2732074</v>
      </c>
      <c r="AA1131" s="425" cm="1">
        <f t="array" ref="AA1131">_xlfn.IFERROR((Z1131-Z1130),"N/A")</f>
        <v>239705</v>
      </c>
      <c r="AB1131" s="424"/>
      <c r="AC1131" t="str" s="426" cm="1">
        <f t="array" ref="AC1131">IF(B1131=6,AVERAGE(Z1123:Z1128),"N/A")</f>
        <v>N/A</v>
      </c>
      <c r="AD1131" s="424"/>
      <c r="AE1131" t="s" s="509">
        <v>567</v>
      </c>
      <c r="AF1131" s="510" cm="1">
        <f t="array" ref="AF1131">AF1130*50%</f>
        <v>120622457.496459</v>
      </c>
      <c r="AG1131" s="423"/>
      <c r="AH1131" s="423"/>
      <c r="AI1131" s="423"/>
      <c r="AJ1131" s="423"/>
      <c r="AK1131" s="423"/>
      <c r="AL1131" s="423"/>
      <c r="AM1131" s="423"/>
      <c r="AN1131" s="427"/>
    </row>
    <row r="1132" ht="15" customHeight="1">
      <c r="A1132" s="12"/>
      <c r="B1132" s="428" cm="1">
        <f t="array" ref="B1132">IF(B1131=0,0,IF(B1131&lt;VLOOKUP(C1120,'Boats Data Sheet 2026'!$C$3:$H$57,6,0),B1131+1,0))</f>
        <v>10</v>
      </c>
      <c r="C1132" s="423" cm="1">
        <f t="array" ref="C1132">IF(B1132&gt;0,IF(VLOOKUP(C1120,'Boats Data Sheet 2026'!$C$3:$J$57,8,0)="N/A",0,VLOOKUP(C1120,'Boats Data Sheet 2026'!$C$3:$J$57,8,0)),"N/A")</f>
        <v>0</v>
      </c>
      <c r="D1132" s="429" cm="1">
        <f t="array" ref="D1132">IF(B1132&gt;7,2,IF(B1132=0,"N/A",1))</f>
        <v>2</v>
      </c>
      <c r="E1132" s="423" cm="1">
        <f t="array" ref="E1132">_xlfn.IFERROR(SUM('Direct Costs 2026'!$C$4:$C$5)*D1132,"N/A")</f>
        <v>1751000</v>
      </c>
      <c r="F1132" s="423" cm="1">
        <f t="array" ref="F1132">_xlfn.IFERROR('Direct Costs 2026'!$C$43*B1132,"N/A")</f>
        <v>60000</v>
      </c>
      <c r="G1132" s="423" cm="1">
        <f t="array" ref="G1132">IF(B1132&gt;0,'Direct Costs 2026'!$C$25,"N/A")</f>
        <v>90000</v>
      </c>
      <c r="H1132" s="423" cm="1">
        <f t="array" ref="H1132">IF(B1132&gt;0,('Direct Costs 2026'!$C$15+'Direct Costs 2026'!$C$17+'Direct Costs 2026'!$C$14),"N/A")</f>
        <v>580000</v>
      </c>
      <c r="I1132" s="423" cm="1">
        <f t="array" ref="I1132">IF(B1132&gt;0,'Direct Costs 2026'!$C$19+'Direct Costs 2026'!$C$18*B1132,"N/A")</f>
        <v>425000</v>
      </c>
      <c r="J1132" s="423" cm="1">
        <f t="array" ref="J1132">IF(B1132&gt;0,SUM('Direct Costs 2026'!$C$20:$C$21),"N/A")</f>
        <v>98333.3333333333</v>
      </c>
      <c r="K1132" s="423" cm="1">
        <f t="array" ref="K1132">IF(B1132&gt;0,'Direct Costs 2026'!$C$26,"N/A")</f>
        <v>20000</v>
      </c>
      <c r="L1132" s="423" cm="1">
        <f t="array" ref="L1132">IF(B1132&gt;0,'Direct Costs 2026'!$C$23,"N/A")</f>
        <v>140000</v>
      </c>
      <c r="M1132" s="423" cm="1">
        <f t="array" ref="M1132">IF(B1132&gt;0,'Direct Costs 2026'!$C$45*B1132,"N/A")</f>
        <v>1500000</v>
      </c>
      <c r="N1132" s="423" cm="1">
        <f t="array" ref="N1132">IF(B1132&gt;0,_xlfn.IFERROR(VLOOKUP(C1120,'Boats Data Sheet 2026'!$C$3:$I$57,7,0)*'Direct Costs 2026'!$C$36,"N/A"),"N/A")</f>
        <v>3325000</v>
      </c>
      <c r="O1132" s="423" cm="1">
        <f t="array" ref="O1132">IF(B1132&gt;0,IF(OR(VLOOKUP(C1120,'Boats Data Sheet 2026'!$C$3:$F$57,4,0)="Own",VLOOKUP(C1120,'Boats Data Sheet 2026'!$C$3:$F$57,4,0)="Management"),('Direct Costs 2026'!$C$37+'Direct Costs 2026'!$C$39),"N/A"),"N/A")</f>
        <v>1112400</v>
      </c>
      <c r="P1132" s="423" cm="1">
        <f t="array" ref="P1132">_xlfn.IFERROR('Direct Costs 2026'!$C$27*C1132,"N/A")</f>
        <v>0</v>
      </c>
      <c r="Q1132" s="423" cm="1">
        <f t="array" ref="Q1132">_xlfn.IFERROR(C1132+SUM(E1132:P1132),"N/A")</f>
        <v>9101733.33333333</v>
      </c>
      <c r="R1132" s="424"/>
      <c r="S1132" s="423" cm="1">
        <f t="array" ref="S1132">IF(B1132&gt;0,'Allocation OH and Target 2026'!$E$31,"N/A")</f>
        <v>3100447.15769812</v>
      </c>
      <c r="T1132" s="423" cm="1">
        <f t="array" ref="T1132">IF(B1132&gt;0,VLOOKUP(C1120,'Allocation OH and Target 2026'!$C$35:$S$87,17,0),"N/A")</f>
        <v>1326132.87407407</v>
      </c>
      <c r="U1132" s="423" cm="1">
        <f t="array" ref="U1132">_xlfn.IFERROR((S1132+T1132),"N/A")</f>
        <v>4426580.03177219</v>
      </c>
      <c r="V1132" s="424"/>
      <c r="W1132" s="423" cm="1">
        <f t="array" ref="W1132">_xlfn.IFERROR(U1132+Q1132,"N/A")</f>
        <v>13528313.3651055</v>
      </c>
      <c r="X1132" s="423" cm="1">
        <f t="array" ref="X1132">_xlfn.IFERROR(W1132*0.5%,"N/A")</f>
        <v>67641.566825527494</v>
      </c>
      <c r="Y1132" s="423" cm="1">
        <f t="array" ref="Y1132">_xlfn.IFERROR(W1132*25%,"N/A")</f>
        <v>3382078.34127638</v>
      </c>
      <c r="Z1132" s="425" cm="1">
        <f t="array" ref="Z1132">IF(B1132&gt;0,SUM(W1132:Y1132),"N/A")</f>
        <v>16978033.2732074</v>
      </c>
      <c r="AA1132" s="425" cm="1">
        <f t="array" ref="AA1132">_xlfn.IFERROR((Z1132-Z1131),"N/A")</f>
        <v>239705</v>
      </c>
      <c r="AB1132" s="424"/>
      <c r="AC1132" t="str" s="426" cm="1">
        <f t="array" ref="AC1132">IF(B1132=6,AVERAGE(Z1123:Z1128),"N/A")</f>
        <v>N/A</v>
      </c>
      <c r="AD1132" s="424"/>
      <c r="AE1132" s="423"/>
      <c r="AF1132" s="423"/>
      <c r="AG1132" s="423"/>
      <c r="AH1132" s="423"/>
      <c r="AI1132" s="423"/>
      <c r="AJ1132" s="423"/>
      <c r="AK1132" s="423"/>
      <c r="AL1132" s="423"/>
      <c r="AM1132" s="423"/>
      <c r="AN1132" s="427"/>
    </row>
    <row r="1133" ht="15" customHeight="1">
      <c r="A1133" s="12"/>
      <c r="B1133" s="428" cm="1">
        <f t="array" ref="B1133">IF(B1132=0,0,IF(B1132&lt;VLOOKUP(C1120,'Boats Data Sheet 2026'!$C$3:$H$57,6,0),B1132+1,0))</f>
        <v>11</v>
      </c>
      <c r="C1133" s="423" cm="1">
        <f t="array" ref="C1133">IF(B1133&gt;0,IF(VLOOKUP(C1120,'Boats Data Sheet 2026'!$C$3:$J$57,8,0)="N/A",0,VLOOKUP(C1120,'Boats Data Sheet 2026'!$C$3:$J$57,8,0)),"N/A")</f>
        <v>0</v>
      </c>
      <c r="D1133" s="429" cm="1">
        <f t="array" ref="D1133">IF(B1133&gt;7,2,IF(B1133=0,"N/A",1))</f>
        <v>2</v>
      </c>
      <c r="E1133" s="423" cm="1">
        <f t="array" ref="E1133">_xlfn.IFERROR(SUM('Direct Costs 2026'!$C$4:$C$5)*D1133,"N/A")</f>
        <v>1751000</v>
      </c>
      <c r="F1133" s="423" cm="1">
        <f t="array" ref="F1133">_xlfn.IFERROR('Direct Costs 2026'!$C$43*B1133,"N/A")</f>
        <v>66000</v>
      </c>
      <c r="G1133" s="423" cm="1">
        <f t="array" ref="G1133">IF(B1133&gt;0,'Direct Costs 2026'!$C$25,"N/A")</f>
        <v>90000</v>
      </c>
      <c r="H1133" s="423" cm="1">
        <f t="array" ref="H1133">IF(B1133&gt;0,('Direct Costs 2026'!$C$15+'Direct Costs 2026'!$C$17+'Direct Costs 2026'!$C$14),"N/A")</f>
        <v>580000</v>
      </c>
      <c r="I1133" s="423" cm="1">
        <f t="array" ref="I1133">IF(B1133&gt;0,'Direct Costs 2026'!$C$19+'Direct Costs 2026'!$C$18*B1133,"N/A")</f>
        <v>460000</v>
      </c>
      <c r="J1133" s="423" cm="1">
        <f t="array" ref="J1133">IF(B1133&gt;0,SUM('Direct Costs 2026'!$C$20:$C$21),"N/A")</f>
        <v>98333.3333333333</v>
      </c>
      <c r="K1133" s="423" cm="1">
        <f t="array" ref="K1133">IF(B1133&gt;0,'Direct Costs 2026'!$C$26,"N/A")</f>
        <v>20000</v>
      </c>
      <c r="L1133" s="423" cm="1">
        <f t="array" ref="L1133">IF(B1133&gt;0,'Direct Costs 2026'!$C$23,"N/A")</f>
        <v>140000</v>
      </c>
      <c r="M1133" s="423" cm="1">
        <f t="array" ref="M1133">IF(B1133&gt;0,'Direct Costs 2026'!$C$45*B1133,"N/A")</f>
        <v>1650000</v>
      </c>
      <c r="N1133" s="423" cm="1">
        <f t="array" ref="N1133">IF(B1133&gt;0,_xlfn.IFERROR(VLOOKUP(C1120,'Boats Data Sheet 2026'!$C$3:$I$57,7,0)*'Direct Costs 2026'!$C$36,"N/A"),"N/A")</f>
        <v>3325000</v>
      </c>
      <c r="O1133" s="423" cm="1">
        <f t="array" ref="O1133">IF(B1133&gt;0,IF(OR(VLOOKUP(C1120,'Boats Data Sheet 2026'!$C$3:$F$57,4,0)="Own",VLOOKUP(C1120,'Boats Data Sheet 2026'!$C$3:$F$57,4,0)="Management"),('Direct Costs 2026'!$C$37+'Direct Costs 2026'!$C$39),"N/A"),"N/A")</f>
        <v>1112400</v>
      </c>
      <c r="P1133" s="423" cm="1">
        <f t="array" ref="P1133">_xlfn.IFERROR('Direct Costs 2026'!$C$27*C1133,"N/A")</f>
        <v>0</v>
      </c>
      <c r="Q1133" s="423" cm="1">
        <f t="array" ref="Q1133">_xlfn.IFERROR(C1133+SUM(E1133:P1133),"N/A")</f>
        <v>9292733.33333333</v>
      </c>
      <c r="R1133" s="424"/>
      <c r="S1133" s="423" cm="1">
        <f t="array" ref="S1133">IF(B1133&gt;0,'Allocation OH and Target 2026'!$E$31,"N/A")</f>
        <v>3100447.15769812</v>
      </c>
      <c r="T1133" s="423" cm="1">
        <f t="array" ref="T1133">IF(B1133&gt;0,VLOOKUP(C1120,'Allocation OH and Target 2026'!$C$35:$S$87,17,0),"N/A")</f>
        <v>1326132.87407407</v>
      </c>
      <c r="U1133" s="423" cm="1">
        <f t="array" ref="U1133">_xlfn.IFERROR((S1133+T1133),"N/A")</f>
        <v>4426580.03177219</v>
      </c>
      <c r="V1133" s="424"/>
      <c r="W1133" s="423" cm="1">
        <f t="array" ref="W1133">_xlfn.IFERROR(U1133+Q1133,"N/A")</f>
        <v>13719313.3651055</v>
      </c>
      <c r="X1133" s="423" cm="1">
        <f t="array" ref="X1133">_xlfn.IFERROR(W1133*0.5%,"N/A")</f>
        <v>68596.566825527494</v>
      </c>
      <c r="Y1133" s="423" cm="1">
        <f t="array" ref="Y1133">_xlfn.IFERROR(W1133*25%,"N/A")</f>
        <v>3429828.34127638</v>
      </c>
      <c r="Z1133" s="425" cm="1">
        <f t="array" ref="Z1133">IF(B1133&gt;0,SUM(W1133:Y1133),"N/A")</f>
        <v>17217738.2732074</v>
      </c>
      <c r="AA1133" s="425" cm="1">
        <f t="array" ref="AA1133">_xlfn.IFERROR((Z1133-Z1132),"N/A")</f>
        <v>239705</v>
      </c>
      <c r="AB1133" s="424"/>
      <c r="AC1133" t="str" s="426" cm="1">
        <f t="array" ref="AC1133">IF(B1133=6,AVERAGE(Z1123:Z1128),"N/A")</f>
        <v>N/A</v>
      </c>
      <c r="AD1133" s="424"/>
      <c r="AE1133" s="423"/>
      <c r="AF1133" s="423"/>
      <c r="AG1133" s="423"/>
      <c r="AH1133" s="423"/>
      <c r="AI1133" s="423"/>
      <c r="AJ1133" s="423"/>
      <c r="AK1133" s="423"/>
      <c r="AL1133" s="423"/>
      <c r="AM1133" s="423"/>
      <c r="AN1133" s="427"/>
    </row>
    <row r="1134" ht="15" customHeight="1">
      <c r="A1134" s="12"/>
      <c r="B1134" s="428" cm="1">
        <f t="array" ref="B1134">IF(B1133=0,0,IF(B1133&lt;VLOOKUP(C1120,'Boats Data Sheet 2026'!$C$3:$H$57,6,0),B1133+1,0))</f>
        <v>12</v>
      </c>
      <c r="C1134" s="423" cm="1">
        <f t="array" ref="C1134">IF(B1134&gt;0,IF(VLOOKUP(C1120,'Boats Data Sheet 2026'!$C$3:$J$57,8,0)="N/A",0,VLOOKUP(C1120,'Boats Data Sheet 2026'!$C$3:$J$57,8,0)),"N/A")</f>
        <v>0</v>
      </c>
      <c r="D1134" s="429" cm="1">
        <f t="array" ref="D1134">IF(B1134&gt;7,2,IF(B1134=0,"N/A",1))</f>
        <v>2</v>
      </c>
      <c r="E1134" s="423" cm="1">
        <f t="array" ref="E1134">_xlfn.IFERROR(SUM('Direct Costs 2026'!$C$4:$C$5)*D1134,"N/A")</f>
        <v>1751000</v>
      </c>
      <c r="F1134" s="423" cm="1">
        <f t="array" ref="F1134">_xlfn.IFERROR('Direct Costs 2026'!$C$43*B1134,"N/A")</f>
        <v>72000</v>
      </c>
      <c r="G1134" s="423" cm="1">
        <f t="array" ref="G1134">IF(B1134&gt;0,'Direct Costs 2026'!$C$25,"N/A")</f>
        <v>90000</v>
      </c>
      <c r="H1134" s="423" cm="1">
        <f t="array" ref="H1134">IF(B1134&gt;0,('Direct Costs 2026'!$C$15+'Direct Costs 2026'!$C$17+'Direct Costs 2026'!$C$14),"N/A")</f>
        <v>580000</v>
      </c>
      <c r="I1134" s="423" cm="1">
        <f t="array" ref="I1134">IF(B1134&gt;0,'Direct Costs 2026'!$C$19+'Direct Costs 2026'!$C$18*B1134,"N/A")</f>
        <v>495000</v>
      </c>
      <c r="J1134" s="423" cm="1">
        <f t="array" ref="J1134">IF(B1134&gt;0,SUM('Direct Costs 2026'!$C$20:$C$21),"N/A")</f>
        <v>98333.3333333333</v>
      </c>
      <c r="K1134" s="423" cm="1">
        <f t="array" ref="K1134">IF(B1134&gt;0,'Direct Costs 2026'!$C$26,"N/A")</f>
        <v>20000</v>
      </c>
      <c r="L1134" s="423" cm="1">
        <f t="array" ref="L1134">IF(B1134&gt;0,'Direct Costs 2026'!$C$23,"N/A")</f>
        <v>140000</v>
      </c>
      <c r="M1134" s="423" cm="1">
        <f t="array" ref="M1134">IF(B1134&gt;0,'Direct Costs 2026'!$C$45*B1134,"N/A")</f>
        <v>1800000</v>
      </c>
      <c r="N1134" s="423" cm="1">
        <f t="array" ref="N1134">IF(B1134&gt;0,_xlfn.IFERROR(VLOOKUP(C1120,'Boats Data Sheet 2026'!$C$3:$I$57,7,0)*'Direct Costs 2026'!$C$36,"N/A"),"N/A")</f>
        <v>3325000</v>
      </c>
      <c r="O1134" s="423" cm="1">
        <f t="array" ref="O1134">IF(B1134&gt;0,IF(OR(VLOOKUP(C1120,'Boats Data Sheet 2026'!$C$3:$F$57,4,0)="Own",VLOOKUP(C1120,'Boats Data Sheet 2026'!$C$3:$F$57,4,0)="Management"),('Direct Costs 2026'!$C$37+'Direct Costs 2026'!$C$39),"N/A"),"N/A")</f>
        <v>1112400</v>
      </c>
      <c r="P1134" s="423" cm="1">
        <f t="array" ref="P1134">_xlfn.IFERROR('Direct Costs 2026'!$C$27*C1134,"N/A")</f>
        <v>0</v>
      </c>
      <c r="Q1134" s="423" cm="1">
        <f t="array" ref="Q1134">_xlfn.IFERROR(C1134+SUM(E1134:P1134),"N/A")</f>
        <v>9483733.33333333</v>
      </c>
      <c r="R1134" s="424"/>
      <c r="S1134" s="423" cm="1">
        <f t="array" ref="S1134">IF(B1134&gt;0,'Allocation OH and Target 2026'!$E$31,"N/A")</f>
        <v>3100447.15769812</v>
      </c>
      <c r="T1134" s="423" cm="1">
        <f t="array" ref="T1134">IF(B1135&gt;0,VLOOKUP(C1120,'Allocation OH and Target 2026'!$C$35:$S$87,17,0),"N/A")</f>
        <v>1326132.87407407</v>
      </c>
      <c r="U1134" s="423" cm="1">
        <f t="array" ref="U1134">_xlfn.IFERROR((S1134+T1134),"N/A")</f>
        <v>4426580.03177219</v>
      </c>
      <c r="V1134" s="424"/>
      <c r="W1134" s="423" cm="1">
        <f t="array" ref="W1134">_xlfn.IFERROR(U1134+Q1134,"N/A")</f>
        <v>13910313.3651055</v>
      </c>
      <c r="X1134" s="423" cm="1">
        <f t="array" ref="X1134">_xlfn.IFERROR(W1134*0.5%,"N/A")</f>
        <v>69551.566825527494</v>
      </c>
      <c r="Y1134" s="423" cm="1">
        <f t="array" ref="Y1134">_xlfn.IFERROR(W1134*25%,"N/A")</f>
        <v>3477578.34127638</v>
      </c>
      <c r="Z1134" s="425" cm="1">
        <f t="array" ref="Z1134">IF(B1134&gt;0,SUM(W1134:Y1134),"N/A")</f>
        <v>17457443.2732074</v>
      </c>
      <c r="AA1134" s="425" cm="1">
        <f t="array" ref="AA1134">_xlfn.IFERROR((Z1134-Z1133),"N/A")</f>
        <v>239705</v>
      </c>
      <c r="AB1134" s="424"/>
      <c r="AC1134" t="str" s="426" cm="1">
        <f t="array" ref="AC1134">IF(B1134=6,AVERAGE(Z1123:Z1128),"N/A")</f>
        <v>N/A</v>
      </c>
      <c r="AD1134" s="424"/>
      <c r="AE1134" s="423"/>
      <c r="AF1134" s="423"/>
      <c r="AG1134" s="423"/>
      <c r="AH1134" s="423"/>
      <c r="AI1134" s="423"/>
      <c r="AJ1134" s="423"/>
      <c r="AK1134" s="423"/>
      <c r="AL1134" s="423"/>
      <c r="AM1134" s="423"/>
      <c r="AN1134" s="427"/>
    </row>
    <row r="1135" ht="15" customHeight="1">
      <c r="A1135" s="12"/>
      <c r="B1135" s="428" cm="1">
        <f t="array" ref="B1135">IF(B1134=0,0,IF(B1134&lt;VLOOKUP(C1120,'Boats Data Sheet 2026'!$C$3:$H$57,6,0),B1134+1,0))</f>
        <v>13</v>
      </c>
      <c r="C1135" s="423" cm="1">
        <f t="array" ref="C1135">IF(B1135&gt;0,IF(VLOOKUP(C1120,'Boats Data Sheet 2026'!$C$3:$J$57,8,0)="N/A",0,VLOOKUP(C1120,'Boats Data Sheet 2026'!$C$3:$J$57,8,0)),"N/A")</f>
        <v>0</v>
      </c>
      <c r="D1135" s="429" cm="1">
        <f t="array" ref="D1135">IF(B1135&gt;7,2,IF(B1135=0,"N/A",1))</f>
        <v>2</v>
      </c>
      <c r="E1135" s="423" cm="1">
        <f t="array" ref="E1135">_xlfn.IFERROR(SUM('Direct Costs 2026'!$C$4:$C$5)*D1135,"N/A")</f>
        <v>1751000</v>
      </c>
      <c r="F1135" s="423" cm="1">
        <f t="array" ref="F1135">_xlfn.IFERROR('Direct Costs 2026'!$C$43*B1135,"N/A")</f>
        <v>78000</v>
      </c>
      <c r="G1135" s="423" cm="1">
        <f t="array" ref="G1135">IF(B1135&gt;0,'Direct Costs 2026'!$C$25,"N/A")</f>
        <v>90000</v>
      </c>
      <c r="H1135" s="423" cm="1">
        <f t="array" ref="H1135">IF(B1135&gt;0,('Direct Costs 2026'!$C$15+'Direct Costs 2026'!$C$17+'Direct Costs 2026'!$C$14),"N/A")</f>
        <v>580000</v>
      </c>
      <c r="I1135" s="423" cm="1">
        <f t="array" ref="I1135">IF(B1135&gt;0,'Direct Costs 2026'!$C$19+'Direct Costs 2026'!$C$18*B1135,"N/A")</f>
        <v>530000</v>
      </c>
      <c r="J1135" s="423" cm="1">
        <f t="array" ref="J1135">IF(B1135&gt;0,SUM('Direct Costs 2026'!$C$20:$C$21),"N/A")</f>
        <v>98333.3333333333</v>
      </c>
      <c r="K1135" s="423" cm="1">
        <f t="array" ref="K1135">IF(B1135&gt;0,'Direct Costs 2026'!$C$26,"N/A")</f>
        <v>20000</v>
      </c>
      <c r="L1135" s="423" cm="1">
        <f t="array" ref="L1135">IF(B1135&gt;0,'Direct Costs 2026'!$C$23,"N/A")</f>
        <v>140000</v>
      </c>
      <c r="M1135" s="423" cm="1">
        <f t="array" ref="M1135">IF(B1135&gt;0,'Direct Costs 2026'!$C$45*B1135,"N/A")</f>
        <v>1950000</v>
      </c>
      <c r="N1135" s="423" cm="1">
        <f t="array" ref="N1135">IF(B1135&gt;0,_xlfn.IFERROR(VLOOKUP(C1120,'Boats Data Sheet 2026'!$C$3:$I$57,7,0)*'Direct Costs 2026'!$C$36,"N/A"),"N/A")</f>
        <v>3325000</v>
      </c>
      <c r="O1135" s="423" cm="1">
        <f t="array" ref="O1135">IF(B1135&gt;0,IF(OR(VLOOKUP(C1120,'Boats Data Sheet 2026'!$C$3:$F$57,4,0)="Own",VLOOKUP(C1120,'Boats Data Sheet 2026'!$C$3:$F$57,4,0)="Management"),('Direct Costs 2026'!$C$37+'Direct Costs 2026'!$C$39),"N/A"),"N/A")</f>
        <v>1112400</v>
      </c>
      <c r="P1135" s="423" cm="1">
        <f t="array" ref="P1135">_xlfn.IFERROR('Direct Costs 2026'!$C$27*C1135,"N/A")</f>
        <v>0</v>
      </c>
      <c r="Q1135" s="423" cm="1">
        <f t="array" ref="Q1135">_xlfn.IFERROR(C1135+SUM(E1135:P1135),"N/A")</f>
        <v>9674733.33333333</v>
      </c>
      <c r="R1135" s="424"/>
      <c r="S1135" s="423" cm="1">
        <f t="array" ref="S1135">IF(B1135&gt;0,'Allocation OH and Target 2026'!$E$31,"N/A")</f>
        <v>3100447.15769812</v>
      </c>
      <c r="T1135" s="423" cm="1">
        <f t="array" ref="T1135">IF(B1135&gt;0,VLOOKUP(C1120,'Allocation OH and Target 2026'!$C$35:$S$87,17,0),"N/A")</f>
        <v>1326132.87407407</v>
      </c>
      <c r="U1135" s="423" cm="1">
        <f t="array" ref="U1135">_xlfn.IFERROR((S1135+T1135),"N/A")</f>
        <v>4426580.03177219</v>
      </c>
      <c r="V1135" s="424"/>
      <c r="W1135" s="423" cm="1">
        <f t="array" ref="W1135">_xlfn.IFERROR(U1135+Q1135,"N/A")</f>
        <v>14101313.3651055</v>
      </c>
      <c r="X1135" s="423" cm="1">
        <f t="array" ref="X1135">_xlfn.IFERROR(W1135*0.5%,"N/A")</f>
        <v>70506.566825527494</v>
      </c>
      <c r="Y1135" s="423" cm="1">
        <f t="array" ref="Y1135">_xlfn.IFERROR(W1135*25%,"N/A")</f>
        <v>3525328.34127638</v>
      </c>
      <c r="Z1135" s="425" cm="1">
        <f t="array" ref="Z1135">IF(B1135&gt;0,SUM(W1135:Y1135),"N/A")</f>
        <v>17697148.2732074</v>
      </c>
      <c r="AA1135" s="425" cm="1">
        <f t="array" ref="AA1135">_xlfn.IFERROR((Z1135-Z1134),"N/A")</f>
        <v>239705</v>
      </c>
      <c r="AB1135" s="424"/>
      <c r="AC1135" t="str" s="426" cm="1">
        <f t="array" ref="AC1135">IF(B1135=6,AVERAGE(Z1123:Z1128),"N/A")</f>
        <v>N/A</v>
      </c>
      <c r="AD1135" s="424"/>
      <c r="AE1135" s="423"/>
      <c r="AF1135" s="423"/>
      <c r="AG1135" s="423"/>
      <c r="AH1135" s="423"/>
      <c r="AI1135" s="423"/>
      <c r="AJ1135" s="423"/>
      <c r="AK1135" s="423"/>
      <c r="AL1135" s="423"/>
      <c r="AM1135" s="423"/>
      <c r="AN1135" s="427"/>
    </row>
    <row r="1136" ht="15" customHeight="1">
      <c r="A1136" s="12"/>
      <c r="B1136" s="428" cm="1">
        <f t="array" ref="B1136">IF(B1135=0,0,IF(B1135&lt;VLOOKUP(C1120,'Boats Data Sheet 2026'!$C$3:$H$57,6,0),B1135+1,0))</f>
        <v>0</v>
      </c>
      <c r="C1136" t="str" s="431" cm="1">
        <f t="array" ref="C1136">IF(B1136&gt;0,IF(VLOOKUP(C1120,'Boats Data Sheet 2026'!$C$3:$J$57,8,0)="N/A",0,VLOOKUP(C1120,'Boats Data Sheet 2026'!$C$3:$J$57,8,0)),"N/A")</f>
        <v>N/A</v>
      </c>
      <c r="D1136" t="str" s="431" cm="1">
        <f t="array" ref="D1136">IF(B1136&gt;7,2,IF(B1136=0,"N/A",1))</f>
        <v>N/A</v>
      </c>
      <c r="E1136" t="str" s="431" cm="1">
        <f t="array" ref="E1136">_xlfn.IFERROR(SUM('Direct Costs 2026'!$C$4:$C$5)*D1136,"N/A")</f>
        <v>N/A</v>
      </c>
      <c r="F1136" s="423" cm="1">
        <f t="array" ref="F1136">_xlfn.IFERROR('Direct Costs 2026'!$C$43*B1136,"N/A")</f>
        <v>0</v>
      </c>
      <c r="G1136" t="str" s="431" cm="1">
        <f t="array" ref="G1136">IF(B1136&gt;0,'Direct Costs 2026'!$C$25,"N/A")</f>
        <v>N/A</v>
      </c>
      <c r="H1136" t="str" s="431" cm="1">
        <f t="array" ref="H1136">IF(B1136&gt;0,('Direct Costs 2026'!$C$15+'Direct Costs 2026'!$C$17+'Direct Costs 2026'!$C$14),"N/A")</f>
        <v>N/A</v>
      </c>
      <c r="I1136" t="str" s="431" cm="1">
        <f t="array" ref="I1136">IF(B1136&gt;0,'Direct Costs 2026'!$C$19+'Direct Costs 2026'!$C$18*B1136,"N/A")</f>
        <v>N/A</v>
      </c>
      <c r="J1136" t="str" s="431" cm="1">
        <f t="array" ref="J1136">IF(B1136&gt;0,SUM('Direct Costs 2026'!$C$20:$C$21),"N/A")</f>
        <v>N/A</v>
      </c>
      <c r="K1136" t="str" s="431" cm="1">
        <f t="array" ref="K1136">IF(B1136&gt;0,'Direct Costs 2026'!$C$26,"N/A")</f>
        <v>N/A</v>
      </c>
      <c r="L1136" t="str" s="431" cm="1">
        <f t="array" ref="L1136">IF(B1136&gt;0,'Direct Costs 2026'!$C$23,"N/A")</f>
        <v>N/A</v>
      </c>
      <c r="M1136" t="str" s="431" cm="1">
        <f t="array" ref="M1136">IF(B1136&gt;0,'Direct Costs 2026'!$C$45*B1136,"N/A")</f>
        <v>N/A</v>
      </c>
      <c r="N1136" t="str" s="431" cm="1">
        <f t="array" ref="N1136">IF(B1136&gt;0,_xlfn.IFERROR(VLOOKUP(C1120,'Boats Data Sheet 2026'!$C$3:$I$57,7,0)*'Direct Costs 2026'!$C$36,"N/A"),"N/A")</f>
        <v>N/A</v>
      </c>
      <c r="O1136" t="str" s="431" cm="1">
        <f t="array" ref="O1136">IF(B1136&gt;0,IF(OR(VLOOKUP(C1120,'Boats Data Sheet 2026'!$C$3:$F$57,4,0)="Own",VLOOKUP(C1120,'Boats Data Sheet 2026'!$C$3:$F$57,4,0)="Management"),('Direct Costs 2026'!$C$37+'Direct Costs 2026'!$C$39),"N/A"),"N/A")</f>
        <v>N/A</v>
      </c>
      <c r="P1136" t="str" s="431" cm="1">
        <f t="array" ref="P1136">_xlfn.IFERROR('Direct Costs 2026'!$C$27*C1136,"N/A")</f>
        <v>N/A</v>
      </c>
      <c r="Q1136" t="str" s="431" cm="1">
        <f t="array" ref="Q1136">_xlfn.IFERROR(C1136+SUM(E1136:P1136),"N/A")</f>
        <v>N/A</v>
      </c>
      <c r="R1136" s="424"/>
      <c r="S1136" t="str" s="431" cm="1">
        <f t="array" ref="S1136">IF(B1136&gt;0,'Allocation OH and Target 2026'!$E$31,"N/A")</f>
        <v>N/A</v>
      </c>
      <c r="T1136" t="str" s="431" cm="1">
        <f t="array" ref="T1136">IF(B1136&gt;0,VLOOKUP(C1120,'Allocation OH and Target 2026'!$C$35:$S$87,17,0),"N/A")</f>
        <v>N/A</v>
      </c>
      <c r="U1136" t="str" s="431" cm="1">
        <f t="array" ref="U1136">_xlfn.IFERROR((S1136+T1136),"N/A")</f>
        <v>N/A</v>
      </c>
      <c r="V1136" s="424"/>
      <c r="W1136" t="str" s="431" cm="1">
        <f t="array" ref="W1136">_xlfn.IFERROR(U1136+Q1136,"N/A")</f>
        <v>N/A</v>
      </c>
      <c r="X1136" t="str" s="431" cm="1">
        <f t="array" ref="X1136">_xlfn.IFERROR(W1136*0.5%,"N/A")</f>
        <v>N/A</v>
      </c>
      <c r="Y1136" t="str" s="431" cm="1">
        <f t="array" ref="Y1136">_xlfn.IFERROR(W1136*25%,"N/A")</f>
        <v>N/A</v>
      </c>
      <c r="Z1136" t="str" s="426" cm="1">
        <f t="array" ref="Z1136">IF(B1136&gt;0,SUM(W1136:Y1136),"N/A")</f>
        <v>N/A</v>
      </c>
      <c r="AA1136" t="str" s="426" cm="1">
        <f t="array" ref="AA1136">_xlfn.IFERROR((Z1136-Z1135),"N/A")</f>
        <v>N/A</v>
      </c>
      <c r="AB1136" s="424"/>
      <c r="AC1136" t="str" s="426" cm="1">
        <f t="array" ref="AC1136">IF(B1136=6,AVERAGE(Z1123:Z1128),"N/A")</f>
        <v>N/A</v>
      </c>
      <c r="AD1136" s="424"/>
      <c r="AE1136" s="423"/>
      <c r="AF1136" s="423"/>
      <c r="AG1136" s="423"/>
      <c r="AH1136" s="423"/>
      <c r="AI1136" s="423"/>
      <c r="AJ1136" s="423"/>
      <c r="AK1136" s="423"/>
      <c r="AL1136" s="423"/>
      <c r="AM1136" s="423"/>
      <c r="AN1136" s="427"/>
    </row>
    <row r="1137" ht="15" customHeight="1">
      <c r="A1137" s="12"/>
      <c r="B1137" s="428" cm="1">
        <f t="array" ref="B1137">IF(B1136=0,0,IF(B1136&lt;VLOOKUP(C1120,'Boats Data Sheet 2026'!$C$3:$H$57,6,0),B1136+1,0))</f>
        <v>0</v>
      </c>
      <c r="C1137" t="str" s="431" cm="1">
        <f t="array" ref="C1137">IF(B1137&gt;0,IF(VLOOKUP(C1120,'Boats Data Sheet 2026'!$C$3:$J$57,8,0)="N/A",0,VLOOKUP(C1120,'Boats Data Sheet 2026'!$C$3:$J$57,8,0)),"N/A")</f>
        <v>N/A</v>
      </c>
      <c r="D1137" t="str" s="431" cm="1">
        <f t="array" ref="D1137">IF(B1137&gt;7,2,IF(B1137=0,"N/A",1))</f>
        <v>N/A</v>
      </c>
      <c r="E1137" t="str" s="431" cm="1">
        <f t="array" ref="E1137">_xlfn.IFERROR(SUM('Direct Costs 2026'!$C$4:$C$5)*D1137,"N/A")</f>
        <v>N/A</v>
      </c>
      <c r="F1137" s="423" cm="1">
        <f t="array" ref="F1137">_xlfn.IFERROR('Direct Costs 2026'!$C$43*B1137,"N/A")</f>
        <v>0</v>
      </c>
      <c r="G1137" t="str" s="431" cm="1">
        <f t="array" ref="G1137">IF(B1137&gt;0,'Direct Costs 2026'!$C$25,"N/A")</f>
        <v>N/A</v>
      </c>
      <c r="H1137" t="str" s="431" cm="1">
        <f t="array" ref="H1137">IF(B1137&gt;0,('Direct Costs 2026'!$C$15+'Direct Costs 2026'!$C$17+'Direct Costs 2026'!$C$14),"N/A")</f>
        <v>N/A</v>
      </c>
      <c r="I1137" t="str" s="431" cm="1">
        <f t="array" ref="I1137">IF(B1137&gt;0,'Direct Costs 2026'!$C$19+'Direct Costs 2026'!$C$18*B1137,"N/A")</f>
        <v>N/A</v>
      </c>
      <c r="J1137" t="str" s="431" cm="1">
        <f t="array" ref="J1137">IF(B1137&gt;0,SUM('Direct Costs 2026'!$C$20:$C$21),"N/A")</f>
        <v>N/A</v>
      </c>
      <c r="K1137" t="str" s="431" cm="1">
        <f t="array" ref="K1137">IF(B1137&gt;0,'Direct Costs 2026'!$C$26,"N/A")</f>
        <v>N/A</v>
      </c>
      <c r="L1137" t="str" s="431" cm="1">
        <f t="array" ref="L1137">IF(B1137&gt;0,'Direct Costs 2026'!$C$23,"N/A")</f>
        <v>N/A</v>
      </c>
      <c r="M1137" t="str" s="431" cm="1">
        <f t="array" ref="M1137">IF(B1137&gt;0,'Direct Costs 2026'!$C$45*B1137,"N/A")</f>
        <v>N/A</v>
      </c>
      <c r="N1137" t="str" s="431" cm="1">
        <f t="array" ref="N1137">IF(B1137&gt;0,_xlfn.IFERROR(VLOOKUP(C1120,'Boats Data Sheet 2026'!$C$3:$I$57,7,0)*'Direct Costs 2026'!$C$36,"N/A"),"N/A")</f>
        <v>N/A</v>
      </c>
      <c r="O1137" t="str" s="431" cm="1">
        <f t="array" ref="O1137">IF(B1137&gt;0,IF(OR(VLOOKUP(C1120,'Boats Data Sheet 2026'!$C$3:$F$57,4,0)="Own",VLOOKUP(C1120,'Boats Data Sheet 2026'!$C$3:$F$57,4,0)="Management"),('Direct Costs 2026'!$C$37+'Direct Costs 2026'!$C$39),"N/A"),"N/A")</f>
        <v>N/A</v>
      </c>
      <c r="P1137" t="str" s="431" cm="1">
        <f t="array" ref="P1137">_xlfn.IFERROR('Direct Costs 2026'!$C$27*C1137,"N/A")</f>
        <v>N/A</v>
      </c>
      <c r="Q1137" t="str" s="431" cm="1">
        <f t="array" ref="Q1137">_xlfn.IFERROR(C1137+SUM(E1137:P1137),"N/A")</f>
        <v>N/A</v>
      </c>
      <c r="R1137" s="424"/>
      <c r="S1137" t="str" s="431" cm="1">
        <f t="array" ref="S1137">IF(B1137&gt;0,'Allocation OH and Target 2026'!$E$31,"N/A")</f>
        <v>N/A</v>
      </c>
      <c r="T1137" t="str" s="431" cm="1">
        <f t="array" ref="T1137">IF(B1137&gt;0,VLOOKUP(C1120,'Allocation OH and Target 2026'!$C$35:$S$87,16,0),"N/A")</f>
        <v>N/A</v>
      </c>
      <c r="U1137" t="str" s="431" cm="1">
        <f t="array" ref="U1137">_xlfn.IFERROR((S1137+T1137),"N/A")</f>
        <v>N/A</v>
      </c>
      <c r="V1137" s="424"/>
      <c r="W1137" t="str" s="431" cm="1">
        <f t="array" ref="W1137">_xlfn.IFERROR(U1137+Q1137,"N/A")</f>
        <v>N/A</v>
      </c>
      <c r="X1137" t="str" s="431" cm="1">
        <f t="array" ref="X1137">_xlfn.IFERROR(W1137*0.5%,"N/A")</f>
        <v>N/A</v>
      </c>
      <c r="Y1137" t="str" s="431" cm="1">
        <f t="array" ref="Y1137">_xlfn.IFERROR(W1137*25%,"N/A")</f>
        <v>N/A</v>
      </c>
      <c r="Z1137" t="str" s="426" cm="1">
        <f t="array" ref="Z1137">IF(B1137&gt;0,SUM(W1137:Y1137),"N/A")</f>
        <v>N/A</v>
      </c>
      <c r="AA1137" t="str" s="426" cm="1">
        <f t="array" ref="AA1137">_xlfn.IFERROR((Z1137-Z1136),"N/A")</f>
        <v>N/A</v>
      </c>
      <c r="AB1137" s="424"/>
      <c r="AC1137" t="str" s="426" cm="1">
        <f t="array" ref="AC1137">IF(B1137=6,AVERAGE(Z1123:Z1128),"N/A")</f>
        <v>N/A</v>
      </c>
      <c r="AD1137" s="424"/>
      <c r="AE1137" s="423"/>
      <c r="AF1137" s="423"/>
      <c r="AG1137" s="423"/>
      <c r="AH1137" s="423"/>
      <c r="AI1137" s="423"/>
      <c r="AJ1137" s="423"/>
      <c r="AK1137" s="423"/>
      <c r="AL1137" s="423"/>
      <c r="AM1137" s="423"/>
      <c r="AN1137" s="427"/>
    </row>
    <row r="1138" ht="15" customHeight="1">
      <c r="A1138" s="12"/>
      <c r="B1138" s="428" cm="1">
        <f t="array" ref="B1138">IF(B1137=0,0,IF(B1137&lt;VLOOKUP(C1120,'Boats Data Sheet 2026'!$C$3:$H$57,6,0),B1137+1,0))</f>
        <v>0</v>
      </c>
      <c r="C1138" t="str" s="431" cm="1">
        <f t="array" ref="C1138">IF(B1138&gt;0,IF(VLOOKUP(C1120,'Boats Data Sheet 2026'!$C$3:$J$57,8,0)="N/A",0,VLOOKUP(C1120,'Boats Data Sheet 2026'!$C$3:$J$57,8,0)),"N/A")</f>
        <v>N/A</v>
      </c>
      <c r="D1138" t="str" s="431" cm="1">
        <f t="array" ref="D1138">IF(B1138&gt;7,2,IF(B1138=0,"N/A",1))</f>
        <v>N/A</v>
      </c>
      <c r="E1138" t="str" s="431" cm="1">
        <f t="array" ref="E1138">_xlfn.IFERROR(SUM('Direct Costs 2026'!$C$4:$C$5)*D1138,"N/A")</f>
        <v>N/A</v>
      </c>
      <c r="F1138" s="423" cm="1">
        <f t="array" ref="F1138">_xlfn.IFERROR('Direct Costs 2026'!$C$43*B1138,"N/A")</f>
        <v>0</v>
      </c>
      <c r="G1138" t="str" s="431" cm="1">
        <f t="array" ref="G1138">IF(B1138&gt;0,'Direct Costs 2026'!$C$25,"N/A")</f>
        <v>N/A</v>
      </c>
      <c r="H1138" t="str" s="431" cm="1">
        <f t="array" ref="H1138">IF(B1138&gt;0,('Direct Costs 2026'!$C$15+'Direct Costs 2026'!$C$17+'Direct Costs 2026'!$C$14),"N/A")</f>
        <v>N/A</v>
      </c>
      <c r="I1138" t="str" s="431" cm="1">
        <f t="array" ref="I1138">IF(B1138&gt;0,'Direct Costs 2026'!$C$19+'Direct Costs 2026'!$C$18*B1138,"N/A")</f>
        <v>N/A</v>
      </c>
      <c r="J1138" t="str" s="431" cm="1">
        <f t="array" ref="J1138">IF(B1138&gt;0,SUM('Direct Costs 2026'!$C$20:$C$21),"N/A")</f>
        <v>N/A</v>
      </c>
      <c r="K1138" t="str" s="431" cm="1">
        <f t="array" ref="K1138">IF(B1138&gt;0,'Direct Costs 2026'!$C$26,"N/A")</f>
        <v>N/A</v>
      </c>
      <c r="L1138" t="str" s="431" cm="1">
        <f t="array" ref="L1138">IF(B1138&gt;0,'Direct Costs 2026'!$C$23,"N/A")</f>
        <v>N/A</v>
      </c>
      <c r="M1138" t="str" s="431" cm="1">
        <f t="array" ref="M1138">IF(B1138&gt;0,'Direct Costs 2026'!$C$45*B1138,"N/A")</f>
        <v>N/A</v>
      </c>
      <c r="N1138" t="str" s="431" cm="1">
        <f t="array" ref="N1138">IF(B1138&gt;0,_xlfn.IFERROR(VLOOKUP(C1120,'Boats Data Sheet 2026'!$C$3:$I$57,7,0)*'Direct Costs 2026'!$C$36,"N/A"),"N/A")</f>
        <v>N/A</v>
      </c>
      <c r="O1138" t="str" s="431" cm="1">
        <f t="array" ref="O1138">IF(B1138&gt;0,IF(OR(VLOOKUP(C1120,'Boats Data Sheet 2026'!$C$3:$F$57,4,0)="Own",VLOOKUP(C1120,'Boats Data Sheet 2026'!$C$3:$F$57,4,0)="Management"),('Direct Costs 2026'!$C$37+'Direct Costs 2026'!$C$39),"N/A"),"N/A")</f>
        <v>N/A</v>
      </c>
      <c r="P1138" t="str" s="431" cm="1">
        <f t="array" ref="P1138">_xlfn.IFERROR('Direct Costs 2026'!$C$27*C1138,"N/A")</f>
        <v>N/A</v>
      </c>
      <c r="Q1138" t="str" s="431" cm="1">
        <f t="array" ref="Q1138">_xlfn.IFERROR(C1138+SUM(E1138:P1138),"N/A")</f>
        <v>N/A</v>
      </c>
      <c r="R1138" s="424"/>
      <c r="S1138" t="str" s="431" cm="1">
        <f t="array" ref="S1138">IF(B1138&gt;0,'Allocation OH and Target 2026'!$E$31,"N/A")</f>
        <v>N/A</v>
      </c>
      <c r="T1138" t="str" s="431" cm="1">
        <f t="array" ref="T1138">IF(B1138&gt;0,VLOOKUP(C1120,'Allocation OH and Target 2026'!$C$35:$S$87,16,0),"N/A")</f>
        <v>N/A</v>
      </c>
      <c r="U1138" t="str" s="431" cm="1">
        <f t="array" ref="U1138">_xlfn.IFERROR((S1138+T1138),"N/A")</f>
        <v>N/A</v>
      </c>
      <c r="V1138" s="424"/>
      <c r="W1138" t="str" s="431" cm="1">
        <f t="array" ref="W1138">_xlfn.IFERROR(U1138+Q1138,"N/A")</f>
        <v>N/A</v>
      </c>
      <c r="X1138" t="str" s="431" cm="1">
        <f t="array" ref="X1138">_xlfn.IFERROR(W1138*0.5%,"N/A")</f>
        <v>N/A</v>
      </c>
      <c r="Y1138" t="str" s="431" cm="1">
        <f t="array" ref="Y1138">_xlfn.IFERROR(W1138*25%,"N/A")</f>
        <v>N/A</v>
      </c>
      <c r="Z1138" t="str" s="426" cm="1">
        <f t="array" ref="Z1138">IF(B1138&gt;0,SUM(W1138:Y1138),"N/A")</f>
        <v>N/A</v>
      </c>
      <c r="AA1138" t="str" s="426" cm="1">
        <f t="array" ref="AA1138">_xlfn.IFERROR((Z1138-Z1137),"N/A")</f>
        <v>N/A</v>
      </c>
      <c r="AB1138" s="424"/>
      <c r="AC1138" t="str" s="426" cm="1">
        <f t="array" ref="AC1138">IF(B1138=6,AVERAGE(Z1123:Z1128),"N/A")</f>
        <v>N/A</v>
      </c>
      <c r="AD1138" s="424"/>
      <c r="AE1138" s="423"/>
      <c r="AF1138" s="423"/>
      <c r="AG1138" s="423"/>
      <c r="AH1138" s="423"/>
      <c r="AI1138" s="423"/>
      <c r="AJ1138" s="423"/>
      <c r="AK1138" s="423"/>
      <c r="AL1138" s="423"/>
      <c r="AM1138" s="423"/>
      <c r="AN1138" s="427"/>
    </row>
    <row r="1139" ht="15" customHeight="1">
      <c r="A1139" s="12"/>
      <c r="B1139" s="428" cm="1">
        <f t="array" ref="B1139">IF(B1138=0,0,IF(B1138&lt;VLOOKUP(C1120,'Boats Data Sheet 2026'!$C$3:$H$57,6,0),B1138+1,0))</f>
        <v>0</v>
      </c>
      <c r="C1139" t="str" s="431" cm="1">
        <f t="array" ref="C1139">IF(B1139&gt;0,IF(VLOOKUP(C1120,'Boats Data Sheet 2026'!$C$3:$J$57,8,0)="N/A",0,VLOOKUP(C1120,'Boats Data Sheet 2026'!$C$3:$J$57,8,0)),"N/A")</f>
        <v>N/A</v>
      </c>
      <c r="D1139" t="str" s="431" cm="1">
        <f t="array" ref="D1139">IF(B1139&gt;7,2,IF(B1139=0,"N/A",1))</f>
        <v>N/A</v>
      </c>
      <c r="E1139" t="str" s="431" cm="1">
        <f t="array" ref="E1139">_xlfn.IFERROR(SUM('Direct Costs 2026'!$C$4:$C$5)*D1139,"N/A")</f>
        <v>N/A</v>
      </c>
      <c r="F1139" s="423" cm="1">
        <f t="array" ref="F1139">_xlfn.IFERROR('Direct Costs 2026'!$C$43*B1139,"N/A")</f>
        <v>0</v>
      </c>
      <c r="G1139" t="str" s="431" cm="1">
        <f t="array" ref="G1139">IF(B1139&gt;0,'Direct Costs 2026'!$C$25,"N/A")</f>
        <v>N/A</v>
      </c>
      <c r="H1139" t="str" s="431" cm="1">
        <f t="array" ref="H1139">IF(B1139&gt;0,('Direct Costs 2026'!$C$15+'Direct Costs 2026'!$C$17+'Direct Costs 2026'!$C$14),"N/A")</f>
        <v>N/A</v>
      </c>
      <c r="I1139" t="str" s="431" cm="1">
        <f t="array" ref="I1139">IF(B1139&gt;0,'Direct Costs 2026'!$C$19+'Direct Costs 2026'!$C$18*B1139,"N/A")</f>
        <v>N/A</v>
      </c>
      <c r="J1139" t="str" s="431" cm="1">
        <f t="array" ref="J1139">IF(B1139&gt;0,SUM('Direct Costs 2026'!$C$20:$C$21),"N/A")</f>
        <v>N/A</v>
      </c>
      <c r="K1139" t="str" s="431" cm="1">
        <f t="array" ref="K1139">IF(B1139&gt;0,'Direct Costs 2026'!$C$26,"N/A")</f>
        <v>N/A</v>
      </c>
      <c r="L1139" t="str" s="431" cm="1">
        <f t="array" ref="L1139">IF(B1139&gt;0,'Direct Costs 2026'!$C$23,"N/A")</f>
        <v>N/A</v>
      </c>
      <c r="M1139" t="str" s="431" cm="1">
        <f t="array" ref="M1139">IF(B1139&gt;0,'Direct Costs 2026'!$C$45*B1139,"N/A")</f>
        <v>N/A</v>
      </c>
      <c r="N1139" t="str" s="431" cm="1">
        <f t="array" ref="N1139">IF(B1139&gt;0,_xlfn.IFERROR(VLOOKUP(C1120,'Boats Data Sheet 2026'!$C$3:$I$57,7,0)*'Direct Costs 2026'!$C$36,"N/A"),"N/A")</f>
        <v>N/A</v>
      </c>
      <c r="O1139" t="str" s="431" cm="1">
        <f t="array" ref="O1139">IF(B1139&gt;0,IF(OR(VLOOKUP(C1120,'Boats Data Sheet 2026'!$C$3:$F$57,4,0)="Own",VLOOKUP(C1120,'Boats Data Sheet 2026'!$C$3:$F$57,4,0)="Management"),('Direct Costs 2026'!$C$37+'Direct Costs 2026'!$C$39),"N/A"),"N/A")</f>
        <v>N/A</v>
      </c>
      <c r="P1139" t="str" s="431" cm="1">
        <f t="array" ref="P1139">_xlfn.IFERROR('Direct Costs 2026'!$C$27*C1139,"N/A")</f>
        <v>N/A</v>
      </c>
      <c r="Q1139" t="str" s="431" cm="1">
        <f t="array" ref="Q1139">_xlfn.IFERROR(C1139+SUM(E1139:P1139),"N/A")</f>
        <v>N/A</v>
      </c>
      <c r="R1139" s="424"/>
      <c r="S1139" t="str" s="431" cm="1">
        <f t="array" ref="S1139">IF(B1139&gt;0,'Allocation OH and Target 2026'!$E$31,"N/A")</f>
        <v>N/A</v>
      </c>
      <c r="T1139" t="str" s="431" cm="1">
        <f t="array" ref="T1139">IF(B1139&gt;0,VLOOKUP(C1120,'Allocation OH and Target 2026'!$C$35:$S$87,16,0),"N/A")</f>
        <v>N/A</v>
      </c>
      <c r="U1139" t="str" s="431" cm="1">
        <f t="array" ref="U1139">_xlfn.IFERROR((S1139+T1139),"N/A")</f>
        <v>N/A</v>
      </c>
      <c r="V1139" s="424"/>
      <c r="W1139" t="str" s="431" cm="1">
        <f t="array" ref="W1139">_xlfn.IFERROR(U1139+Q1139,"N/A")</f>
        <v>N/A</v>
      </c>
      <c r="X1139" t="str" s="431" cm="1">
        <f t="array" ref="X1139">_xlfn.IFERROR(W1139*0.5%,"N/A")</f>
        <v>N/A</v>
      </c>
      <c r="Y1139" t="str" s="431" cm="1">
        <f t="array" ref="Y1139">_xlfn.IFERROR(W1139*25%,"N/A")</f>
        <v>N/A</v>
      </c>
      <c r="Z1139" t="str" s="426" cm="1">
        <f t="array" ref="Z1139">IF(B1139&gt;0,SUM(W1139:Y1139),"N/A")</f>
        <v>N/A</v>
      </c>
      <c r="AA1139" t="str" s="426" cm="1">
        <f t="array" ref="AA1139">_xlfn.IFERROR((Z1139-Z1138),"N/A")</f>
        <v>N/A</v>
      </c>
      <c r="AB1139" s="424"/>
      <c r="AC1139" t="str" s="426" cm="1">
        <f t="array" ref="AC1139">IF(B1139=6,AVERAGE(Z1123:Z1128),"N/A")</f>
        <v>N/A</v>
      </c>
      <c r="AD1139" s="424"/>
      <c r="AE1139" s="423"/>
      <c r="AF1139" s="423"/>
      <c r="AG1139" s="423"/>
      <c r="AH1139" s="423"/>
      <c r="AI1139" s="423"/>
      <c r="AJ1139" s="423"/>
      <c r="AK1139" s="423"/>
      <c r="AL1139" s="423"/>
      <c r="AM1139" s="423"/>
      <c r="AN1139" s="427"/>
    </row>
    <row r="1140" ht="15.5" customHeight="1">
      <c r="A1140" s="12"/>
      <c r="B1140" s="432" cm="1">
        <f t="array" ref="B1140">IF(B1139=0,0,IF(B1139&lt;VLOOKUP(C1120,'Boats Data Sheet 2026'!$C$3:$H$57,6,0),B1139+1,0))</f>
        <v>0</v>
      </c>
      <c r="C1140" t="str" s="433" cm="1">
        <f t="array" ref="C1140">IF(B1140&gt;0,IF(VLOOKUP(C1120,'Boats Data Sheet 2026'!$C$3:$J$57,8,0)="N/A",0,VLOOKUP(C1120,'Boats Data Sheet 2026'!$C$3:$J$57,8,0)),"N/A")</f>
        <v>N/A</v>
      </c>
      <c r="D1140" t="str" s="433" cm="1">
        <f t="array" ref="D1140">IF(B1140&gt;7,2,IF(B1140=0,"N/A",1))</f>
        <v>N/A</v>
      </c>
      <c r="E1140" t="str" s="433" cm="1">
        <f t="array" ref="E1140">_xlfn.IFERROR(SUM('Direct Costs 2026'!$C$4:$C$5)*D1140,"N/A")</f>
        <v>N/A</v>
      </c>
      <c r="F1140" s="434" cm="1">
        <f t="array" ref="F1140">_xlfn.IFERROR('Direct Costs 2026'!$C$43*B1140,"N/A")</f>
        <v>0</v>
      </c>
      <c r="G1140" t="str" s="433" cm="1">
        <f t="array" ref="G1140">IF(B1140&gt;0,'Direct Costs 2026'!$C$25,"N/A")</f>
        <v>N/A</v>
      </c>
      <c r="H1140" t="str" s="433" cm="1">
        <f t="array" ref="H1140">IF(B1140&gt;0,('Direct Costs 2026'!$C$15+'Direct Costs 2026'!$C$17+'Direct Costs 2026'!$C$14),"N/A")</f>
        <v>N/A</v>
      </c>
      <c r="I1140" t="str" s="433" cm="1">
        <f t="array" ref="I1140">IF(B1140&gt;0,'Direct Costs 2026'!$C$19+'Direct Costs 2026'!$C$18*B1140,"N/A")</f>
        <v>N/A</v>
      </c>
      <c r="J1140" t="str" s="433" cm="1">
        <f t="array" ref="J1140">IF(B1140&gt;0,SUM('Direct Costs 2026'!$C$20:$C$21),"N/A")</f>
        <v>N/A</v>
      </c>
      <c r="K1140" t="str" s="433" cm="1">
        <f t="array" ref="K1140">IF(B1140&gt;0,'Direct Costs 2026'!$C$26,"N/A")</f>
        <v>N/A</v>
      </c>
      <c r="L1140" t="str" s="433" cm="1">
        <f t="array" ref="L1140">IF(B1140&gt;0,'Direct Costs 2026'!$C$23,"N/A")</f>
        <v>N/A</v>
      </c>
      <c r="M1140" t="str" s="433" cm="1">
        <f t="array" ref="M1140">IF(B1140&gt;0,'Direct Costs 2026'!$C$45*B1140,"N/A")</f>
        <v>N/A</v>
      </c>
      <c r="N1140" t="str" s="433" cm="1">
        <f t="array" ref="N1140">IF(B1140&gt;0,_xlfn.IFERROR(VLOOKUP(C1120,'Boats Data Sheet 2026'!$C$3:$I$57,7,0)*'Direct Costs 2026'!$C$36,"N/A"),"N/A")</f>
        <v>N/A</v>
      </c>
      <c r="O1140" t="str" s="433" cm="1">
        <f t="array" ref="O1140">IF(B1140&gt;0,IF(OR(VLOOKUP(C1120,'Boats Data Sheet 2026'!$C$3:$F$57,4,0)="Own",VLOOKUP(C1120,'Boats Data Sheet 2026'!$C$3:$F$57,4,0)="Management"),('Direct Costs 2026'!$C$37+'Direct Costs 2026'!$C$39),"N/A"),"N/A")</f>
        <v>N/A</v>
      </c>
      <c r="P1140" t="str" s="433" cm="1">
        <f t="array" ref="P1140">_xlfn.IFERROR('Direct Costs 2026'!$C$27*C1140,"N/A")</f>
        <v>N/A</v>
      </c>
      <c r="Q1140" t="str" s="433" cm="1">
        <f t="array" ref="Q1140">_xlfn.IFERROR(C1140+SUM(E1140:P1140),"N/A")</f>
        <v>N/A</v>
      </c>
      <c r="R1140" s="435"/>
      <c r="S1140" t="str" s="433" cm="1">
        <f t="array" ref="S1140">IF(B1140&gt;0,'Allocation OH and Target 2026'!$E$31,"N/A")</f>
        <v>N/A</v>
      </c>
      <c r="T1140" t="str" s="433" cm="1">
        <f t="array" ref="T1140">IF(B1140&gt;0,VLOOKUP(C1120,'Allocation OH and Target 2026'!$C$35:$S$87,16,0),"N/A")</f>
        <v>N/A</v>
      </c>
      <c r="U1140" t="str" s="433" cm="1">
        <f t="array" ref="U1140">_xlfn.IFERROR((S1140+T1140),"N/A")</f>
        <v>N/A</v>
      </c>
      <c r="V1140" s="435"/>
      <c r="W1140" t="str" s="433" cm="1">
        <f t="array" ref="W1140">_xlfn.IFERROR(U1140+Q1140,"N/A")</f>
        <v>N/A</v>
      </c>
      <c r="X1140" t="str" s="433" cm="1">
        <f t="array" ref="X1140">_xlfn.IFERROR(W1140*0.5%,"N/A")</f>
        <v>N/A</v>
      </c>
      <c r="Y1140" t="str" s="433" cm="1">
        <f t="array" ref="Y1140">_xlfn.IFERROR(W1140*25%,"N/A")</f>
        <v>N/A</v>
      </c>
      <c r="Z1140" t="str" s="436" cm="1">
        <f t="array" ref="Z1140">IF(B1140&gt;0,SUM(W1140:Y1140),"N/A")</f>
        <v>N/A</v>
      </c>
      <c r="AA1140" t="str" s="436" cm="1">
        <f t="array" ref="AA1140">_xlfn.IFERROR((Z1140-Z1139),"N/A")</f>
        <v>N/A</v>
      </c>
      <c r="AB1140" s="435"/>
      <c r="AC1140" t="str" s="436" cm="1">
        <f t="array" ref="AC1140">IF(B1140=6,AVERAGE(Z1123:Z1128),"N/A")</f>
        <v>N/A</v>
      </c>
      <c r="AD1140" s="435"/>
      <c r="AE1140" s="434"/>
      <c r="AF1140" s="434"/>
      <c r="AG1140" s="434"/>
      <c r="AH1140" s="434"/>
      <c r="AI1140" s="434"/>
      <c r="AJ1140" s="434"/>
      <c r="AK1140" s="434"/>
      <c r="AL1140" s="434"/>
      <c r="AM1140" s="434"/>
      <c r="AN1140" s="437"/>
    </row>
    <row r="1141" ht="15" customHeight="1">
      <c r="A1141" s="32"/>
      <c r="B1141" s="124"/>
      <c r="C1141" s="124"/>
      <c r="D1141" s="124"/>
      <c r="E1141" s="124"/>
      <c r="F1141" s="124"/>
      <c r="G1141" s="124"/>
      <c r="H1141" s="124"/>
      <c r="I1141" s="124"/>
      <c r="J1141" s="124"/>
      <c r="K1141" s="124"/>
      <c r="L1141" s="124"/>
      <c r="M1141" s="124"/>
      <c r="N1141" s="124"/>
      <c r="O1141" s="124"/>
      <c r="P1141" s="124"/>
      <c r="Q1141" s="124"/>
      <c r="R1141" s="124"/>
      <c r="S1141" s="124"/>
      <c r="T1141" s="124"/>
      <c r="U1141" s="124"/>
      <c r="V1141" s="124"/>
      <c r="W1141" s="124"/>
      <c r="X1141" s="124"/>
      <c r="Y1141" s="124"/>
      <c r="Z1141" s="124"/>
      <c r="AA1141" s="124"/>
      <c r="AB1141" s="124"/>
      <c r="AC1141" s="124"/>
      <c r="AD1141" s="124"/>
      <c r="AE1141" s="124"/>
      <c r="AF1141" s="124"/>
      <c r="AG1141" s="124"/>
      <c r="AH1141" s="124"/>
      <c r="AI1141" s="124"/>
      <c r="AJ1141" s="124"/>
      <c r="AK1141" s="124"/>
      <c r="AL1141" s="124"/>
      <c r="AM1141" s="124"/>
      <c r="AN1141" s="313"/>
    </row>
    <row r="1142" ht="15" customHeight="1">
      <c r="A1142" s="32"/>
      <c r="B1142" s="35"/>
      <c r="C1142" s="35"/>
      <c r="D1142" s="35"/>
      <c r="E1142" s="35"/>
      <c r="F1142" s="35"/>
      <c r="G1142" s="35"/>
      <c r="H1142" s="35"/>
      <c r="I1142" s="35"/>
      <c r="J1142" s="35"/>
      <c r="K1142" s="35"/>
      <c r="L1142" s="35"/>
      <c r="M1142" s="35"/>
      <c r="N1142" s="35"/>
      <c r="O1142" s="35"/>
      <c r="P1142" s="35"/>
      <c r="Q1142" s="35"/>
      <c r="R1142" s="35"/>
      <c r="S1142" s="35"/>
      <c r="T1142" s="35"/>
      <c r="U1142" s="35"/>
      <c r="V1142" s="35"/>
      <c r="W1142" s="35"/>
      <c r="X1142" s="35"/>
      <c r="Y1142" s="35"/>
      <c r="Z1142" s="35"/>
      <c r="AA1142" s="35"/>
      <c r="AB1142" s="35"/>
      <c r="AC1142" s="35"/>
      <c r="AD1142" s="35"/>
      <c r="AE1142" s="35"/>
      <c r="AF1142" s="35"/>
      <c r="AG1142" s="35"/>
      <c r="AH1142" s="35"/>
      <c r="AI1142" s="35"/>
      <c r="AJ1142" s="35"/>
      <c r="AK1142" s="35"/>
      <c r="AL1142" s="35"/>
      <c r="AM1142" s="35"/>
      <c r="AN1142" s="442"/>
    </row>
    <row r="1143" ht="15.5" customHeight="1">
      <c r="A1143" s="395">
        <v>40</v>
      </c>
      <c r="B1143" t="s" s="396">
        <v>506</v>
      </c>
      <c r="C1143" t="s" s="397">
        <v>104</v>
      </c>
      <c r="D1143" s="398"/>
      <c r="E1143" s="398"/>
      <c r="F1143" s="398"/>
      <c r="G1143" s="398"/>
      <c r="H1143" s="398"/>
      <c r="I1143" s="398"/>
      <c r="J1143" s="398"/>
      <c r="K1143" s="398"/>
      <c r="L1143" s="398"/>
      <c r="M1143" s="398"/>
      <c r="N1143" s="398"/>
      <c r="O1143" s="398"/>
      <c r="P1143" s="398"/>
      <c r="Q1143" s="398"/>
      <c r="R1143" s="399"/>
      <c r="S1143" s="398"/>
      <c r="T1143" s="398"/>
      <c r="U1143" s="398"/>
      <c r="V1143" s="399"/>
      <c r="W1143" s="398"/>
      <c r="X1143" s="398"/>
      <c r="Y1143" s="398"/>
      <c r="Z1143" s="398"/>
      <c r="AA1143" s="398"/>
      <c r="AB1143" s="399"/>
      <c r="AC1143" s="398"/>
      <c r="AD1143" s="399"/>
      <c r="AE1143" t="s" s="400">
        <v>508</v>
      </c>
      <c r="AF1143" s="401" cm="1">
        <f t="array" ref="AF1143">AVERAGE(Q1146:Q1151)</f>
        <v>7317233.33333333</v>
      </c>
      <c r="AG1143" t="s" s="400">
        <v>509</v>
      </c>
      <c r="AH1143" s="401" cm="1">
        <f t="array" ref="AH1143">AVERAGE(Q1152:Q1159)-AF1143</f>
        <v>1991928.57142857</v>
      </c>
      <c r="AI1143" t="s" s="400">
        <v>510</v>
      </c>
      <c r="AJ1143" s="401" cm="1">
        <f t="array" ref="AJ1143">AVERAGE(Y1146:Y1153)</f>
        <v>2679529.49775788</v>
      </c>
      <c r="AK1143" t="s" s="397">
        <v>511</v>
      </c>
      <c r="AL1143" s="401" cm="1">
        <f t="array" ref="AL1143">AVERAGE(W1146:W1151)</f>
        <v>10417680.4910315</v>
      </c>
      <c r="AM1143" t="s" s="400">
        <v>512</v>
      </c>
      <c r="AN1143" s="402" cm="1">
        <f t="array" ref="AN1143">W1146</f>
        <v>9940180.491031449</v>
      </c>
    </row>
    <row r="1144" ht="15" customHeight="1">
      <c r="A1144" s="12"/>
      <c r="B1144" s="403"/>
      <c r="C1144" t="s" s="404">
        <v>513</v>
      </c>
      <c r="D1144" s="405"/>
      <c r="E1144" s="405"/>
      <c r="F1144" s="405"/>
      <c r="G1144" s="405"/>
      <c r="H1144" s="405"/>
      <c r="I1144" s="405"/>
      <c r="J1144" s="405"/>
      <c r="K1144" s="405"/>
      <c r="L1144" s="405"/>
      <c r="M1144" s="405"/>
      <c r="N1144" s="405"/>
      <c r="O1144" s="405"/>
      <c r="P1144" s="405"/>
      <c r="Q1144" s="406"/>
      <c r="R1144" s="407"/>
      <c r="S1144" t="s" s="404">
        <v>514</v>
      </c>
      <c r="T1144" s="405"/>
      <c r="U1144" s="406"/>
      <c r="V1144" s="407"/>
      <c r="W1144" t="s" s="404">
        <v>515</v>
      </c>
      <c r="X1144" s="405"/>
      <c r="Y1144" s="405"/>
      <c r="Z1144" s="405"/>
      <c r="AA1144" s="405"/>
      <c r="AB1144" s="408"/>
      <c r="AC1144" t="s" s="409">
        <v>516</v>
      </c>
      <c r="AD1144" s="410"/>
      <c r="AE1144" s="411"/>
      <c r="AF1144" s="412"/>
      <c r="AG1144" s="412"/>
      <c r="AH1144" s="412"/>
      <c r="AI1144" s="412"/>
      <c r="AJ1144" s="412"/>
      <c r="AK1144" s="413"/>
      <c r="AL1144" s="414"/>
      <c r="AM1144" s="415"/>
      <c r="AN1144" s="414"/>
    </row>
    <row r="1145" ht="46.25" customHeight="1">
      <c r="A1145" s="187"/>
      <c r="B1145" t="s" s="416">
        <v>517</v>
      </c>
      <c r="C1145" t="s" s="417">
        <v>518</v>
      </c>
      <c r="D1145" t="s" s="417">
        <v>519</v>
      </c>
      <c r="E1145" t="s" s="417">
        <v>520</v>
      </c>
      <c r="F1145" t="s" s="159">
        <v>521</v>
      </c>
      <c r="G1145" t="s" s="159">
        <v>522</v>
      </c>
      <c r="H1145" t="s" s="159">
        <v>523</v>
      </c>
      <c r="I1145" t="s" s="159">
        <v>524</v>
      </c>
      <c r="J1145" t="s" s="159">
        <v>525</v>
      </c>
      <c r="K1145" t="s" s="159">
        <v>526</v>
      </c>
      <c r="L1145" t="s" s="159">
        <v>527</v>
      </c>
      <c r="M1145" t="s" s="159">
        <v>528</v>
      </c>
      <c r="N1145" t="s" s="159">
        <v>529</v>
      </c>
      <c r="O1145" t="s" s="159">
        <v>530</v>
      </c>
      <c r="P1145" t="s" s="159">
        <v>531</v>
      </c>
      <c r="Q1145" t="s" s="159">
        <v>532</v>
      </c>
      <c r="R1145" s="418"/>
      <c r="S1145" t="s" s="159">
        <v>533</v>
      </c>
      <c r="T1145" t="s" s="159">
        <v>534</v>
      </c>
      <c r="U1145" t="s" s="159">
        <v>535</v>
      </c>
      <c r="V1145" s="418"/>
      <c r="W1145" t="s" s="159">
        <v>536</v>
      </c>
      <c r="X1145" t="s" s="159">
        <v>537</v>
      </c>
      <c r="Y1145" t="s" s="159">
        <v>538</v>
      </c>
      <c r="Z1145" t="s" s="159">
        <v>539</v>
      </c>
      <c r="AA1145" t="s" s="159">
        <v>121</v>
      </c>
      <c r="AB1145" s="419"/>
      <c r="AC1145" t="s" s="159">
        <v>39</v>
      </c>
      <c r="AD1145" s="419"/>
      <c r="AE1145" t="s" s="159">
        <v>568</v>
      </c>
      <c r="AF1145" t="s" s="159">
        <v>544</v>
      </c>
      <c r="AG1145" s="77"/>
      <c r="AH1145" s="77"/>
      <c r="AI1145" s="77"/>
      <c r="AJ1145" s="77"/>
      <c r="AK1145" s="77"/>
      <c r="AL1145" s="77"/>
      <c r="AM1145" s="77"/>
      <c r="AN1145" s="78"/>
    </row>
    <row r="1146" ht="15" customHeight="1">
      <c r="A1146" s="12"/>
      <c r="B1146" s="420">
        <v>1</v>
      </c>
      <c r="C1146" s="421" cm="1">
        <f t="array" ref="C1146">IF(B1146&gt;0,IF(VLOOKUP(C1143,'Boats Data Sheet 2026'!$C$3:$J$57,8,0)="N/A",0,VLOOKUP(C1143,'Boats Data Sheet 2026'!$C$3:$J$57,8,0)),"N/A")</f>
        <v>0</v>
      </c>
      <c r="D1146" s="422" cm="1">
        <f t="array" ref="D1146">IF(B1146&gt;7,2,IF(B1146=0,"N/A",1))</f>
        <v>1</v>
      </c>
      <c r="E1146" s="421" cm="1">
        <f t="array" ref="E1146">_xlfn.IFERROR(SUM('Direct Costs 2026'!$C$4:$C$5)*D1146,"N/A")</f>
        <v>875500</v>
      </c>
      <c r="F1146" s="423" cm="1">
        <f t="array" ref="F1146">_xlfn.IFERROR('Direct Costs 2026'!$C$43*B1146,"N/A")</f>
        <v>6000</v>
      </c>
      <c r="G1146" s="423" cm="1">
        <f t="array" ref="G1146">IF(B1146&gt;0,'Direct Costs 2026'!$C$25,"N/A")</f>
        <v>90000</v>
      </c>
      <c r="H1146" s="423" cm="1">
        <f t="array" ref="H1146">IF(B1146&gt;0,('Direct Costs 2026'!$C$15+'Direct Costs 2026'!$C$17+'Direct Costs 2026'!$C$14),"N/A")</f>
        <v>580000</v>
      </c>
      <c r="I1146" s="423" cm="1">
        <f t="array" ref="I1146">IF(B1146&gt;0,'Direct Costs 2026'!$C$19+'Direct Costs 2026'!$C$18*B1146,"N/A")</f>
        <v>110000</v>
      </c>
      <c r="J1146" s="423" cm="1">
        <f t="array" ref="J1146">IF(B1146&gt;0,SUM('Direct Costs 2026'!$C$20:$C$21),"N/A")</f>
        <v>98333.3333333333</v>
      </c>
      <c r="K1146" s="423" cm="1">
        <f t="array" ref="K1146">IF(B1146&gt;0,'Direct Costs 2026'!$C$26,"N/A")</f>
        <v>20000</v>
      </c>
      <c r="L1146" s="423" cm="1">
        <f t="array" ref="L1146">IF(B1146&gt;0,'Direct Costs 2026'!$C$23,"N/A")</f>
        <v>140000</v>
      </c>
      <c r="M1146" s="423" cm="1">
        <f t="array" ref="M1146">IF(B1146&gt;0,'Direct Costs 2026'!$C$45*B1146,"N/A")</f>
        <v>150000</v>
      </c>
      <c r="N1146" s="423" cm="1">
        <f t="array" ref="N1146">IF(B1146&gt;0,_xlfn.IFERROR(VLOOKUP(C1143,'Boats Data Sheet 2026'!$C$3:$I$57,7,0)*'Direct Costs 2026'!$C$36,"N/A"),"N/A")</f>
        <v>3657500</v>
      </c>
      <c r="O1146" s="423" cm="1">
        <f t="array" ref="O1146">IF(B1146&gt;0,IF(OR(VLOOKUP(C1143,'Boats Data Sheet 2026'!$C$3:$F$57,4,0)="Own",VLOOKUP(C1143,'Boats Data Sheet 2026'!$C$3:$F$57,4,0)="Management"),('Direct Costs 2026'!$C$37+'Direct Costs 2026'!$C$39),"N/A"),"N/A")</f>
        <v>1112400</v>
      </c>
      <c r="P1146" s="423" cm="1">
        <f t="array" ref="P1146">_xlfn.IFERROR('Direct Costs 2026'!$C$27*C1146,"N/A")</f>
        <v>0</v>
      </c>
      <c r="Q1146" s="423" cm="1">
        <f t="array" ref="Q1146">_xlfn.IFERROR(C1146+SUM(E1146:P1146),"N/A")</f>
        <v>6839733.33333333</v>
      </c>
      <c r="R1146" s="424"/>
      <c r="S1146" s="423" cm="1">
        <f t="array" ref="S1146">IF(B1146&gt;0,'Allocation OH and Target 2026'!$E$31,"N/A")</f>
        <v>3100447.15769812</v>
      </c>
      <c r="T1146" s="423" cm="1">
        <f t="array" ref="T1146">IF(B1146&gt;0,VLOOKUP(C1143,'Allocation OH and Target 2026'!$C$35:$S$87,17,0),"N/A")</f>
        <v>0</v>
      </c>
      <c r="U1146" s="423" cm="1">
        <f t="array" ref="U1146">_xlfn.IFERROR((S1146+T1146),"N/A")</f>
        <v>3100447.15769812</v>
      </c>
      <c r="V1146" s="424"/>
      <c r="W1146" s="423" cm="1">
        <f t="array" ref="W1146">_xlfn.IFERROR(U1146+Q1146,"N/A")</f>
        <v>9940180.491031449</v>
      </c>
      <c r="X1146" s="423" cm="1">
        <f t="array" ref="X1146">_xlfn.IFERROR(W1146*0.5%,"N/A")</f>
        <v>49700.9024551573</v>
      </c>
      <c r="Y1146" s="423" cm="1">
        <f t="array" ref="Y1146">_xlfn.IFERROR(W1146*25%,"N/A")</f>
        <v>2485045.12275786</v>
      </c>
      <c r="Z1146" s="425" cm="1">
        <f t="array" ref="Z1146">IF(B1146&gt;0,SUM(W1146:Y1146),"N/A")</f>
        <v>12474926.5162445</v>
      </c>
      <c r="AA1146" s="425">
        <v>0</v>
      </c>
      <c r="AB1146" s="424"/>
      <c r="AC1146" t="str" s="426" cm="1">
        <f t="array" ref="AC1146">IF(B1146=6,AVERAGE(Z1146:Z1151),"N/A")</f>
        <v>N/A</v>
      </c>
      <c r="AD1146" s="424"/>
      <c r="AE1146" t="s" s="504">
        <v>563</v>
      </c>
      <c r="AF1146" s="505" cm="1">
        <f t="array" ref="AF1146">VLOOKUP(C1143,'Allocation OH and Target 2026'!$C$35:$K$87,9,0)</f>
        <v>136</v>
      </c>
      <c r="AG1146" s="423"/>
      <c r="AH1146" s="423"/>
      <c r="AI1146" s="423"/>
      <c r="AJ1146" s="423"/>
      <c r="AK1146" s="423"/>
      <c r="AL1146" s="423"/>
      <c r="AM1146" s="423"/>
      <c r="AN1146" s="427"/>
    </row>
    <row r="1147" ht="15" customHeight="1">
      <c r="A1147" s="12"/>
      <c r="B1147" s="428" cm="1">
        <f t="array" ref="B1147">IF(B1146=0,0,IF(B1146&lt;VLOOKUP(C1143,'Boats Data Sheet 2026'!$C$3:$H$57,6,0),B1146+1,0))</f>
        <v>2</v>
      </c>
      <c r="C1147" s="423" cm="1">
        <f t="array" ref="C1147">IF(B1147&gt;0,IF(VLOOKUP(C1143,'Boats Data Sheet 2026'!$C$3:$J$57,8,0)="N/A",0,VLOOKUP(C1143,'Boats Data Sheet 2026'!$C$3:$J$57,8,0)),"N/A")</f>
        <v>0</v>
      </c>
      <c r="D1147" s="429" cm="1">
        <f t="array" ref="D1147">IF(B1147&gt;7,2,IF(B1147=0,"N/A",1))</f>
        <v>1</v>
      </c>
      <c r="E1147" s="423" cm="1">
        <f t="array" ref="E1147">_xlfn.IFERROR(SUM('Direct Costs 2026'!$C$4:$C$5)*D1147,"N/A")</f>
        <v>875500</v>
      </c>
      <c r="F1147" s="423" cm="1">
        <f t="array" ref="F1147">_xlfn.IFERROR('Direct Costs 2026'!$C$43*B1147,"N/A")</f>
        <v>12000</v>
      </c>
      <c r="G1147" s="423" cm="1">
        <f t="array" ref="G1147">IF(B1147&gt;0,'Direct Costs 2026'!$C$25,"N/A")</f>
        <v>90000</v>
      </c>
      <c r="H1147" s="423" cm="1">
        <f t="array" ref="H1147">IF(B1147&gt;0,('Direct Costs 2026'!$C$15+'Direct Costs 2026'!$C$17+'Direct Costs 2026'!$C$14),"N/A")</f>
        <v>580000</v>
      </c>
      <c r="I1147" s="423" cm="1">
        <f t="array" ref="I1147">IF(B1147&gt;0,'Direct Costs 2026'!$C$19+'Direct Costs 2026'!$C$18*B1147,"N/A")</f>
        <v>145000</v>
      </c>
      <c r="J1147" s="423" cm="1">
        <f t="array" ref="J1147">IF(B1147&gt;0,SUM('Direct Costs 2026'!$C$20:$C$21),"N/A")</f>
        <v>98333.3333333333</v>
      </c>
      <c r="K1147" s="423" cm="1">
        <f t="array" ref="K1147">IF(B1147&gt;0,'Direct Costs 2026'!$C$26,"N/A")</f>
        <v>20000</v>
      </c>
      <c r="L1147" s="423" cm="1">
        <f t="array" ref="L1147">IF(B1147&gt;0,'Direct Costs 2026'!$C$23,"N/A")</f>
        <v>140000</v>
      </c>
      <c r="M1147" s="423" cm="1">
        <f t="array" ref="M1147">IF(B1147&gt;0,'Direct Costs 2026'!$C$45*B1147,"N/A")</f>
        <v>300000</v>
      </c>
      <c r="N1147" s="423" cm="1">
        <f t="array" ref="N1147">IF(B1147&gt;0,_xlfn.IFERROR(VLOOKUP(C1143,'Boats Data Sheet 2026'!$C$3:$I$57,7,0)*'Direct Costs 2026'!$C$36,"N/A"),"N/A")</f>
        <v>3657500</v>
      </c>
      <c r="O1147" s="423" cm="1">
        <f t="array" ref="O1147">IF(B1147&gt;0,IF(OR(VLOOKUP(C1143,'Boats Data Sheet 2026'!$C$3:$F$57,4,0)="Own",VLOOKUP(C1143,'Boats Data Sheet 2026'!$C$3:$F$57,4,0)="Management"),('Direct Costs 2026'!$C$37+'Direct Costs 2026'!$C$39),"N/A"),"N/A")</f>
        <v>1112400</v>
      </c>
      <c r="P1147" s="423" cm="1">
        <f t="array" ref="P1147">_xlfn.IFERROR('Direct Costs 2026'!$C$27*C1147,"N/A")</f>
        <v>0</v>
      </c>
      <c r="Q1147" s="423" cm="1">
        <f t="array" ref="Q1147">_xlfn.IFERROR(C1147+SUM(E1147:P1147),"N/A")</f>
        <v>7030733.33333333</v>
      </c>
      <c r="R1147" s="424"/>
      <c r="S1147" s="423" cm="1">
        <f t="array" ref="S1147">IF(B1147&gt;0,'Allocation OH and Target 2026'!$E$31,"N/A")</f>
        <v>3100447.15769812</v>
      </c>
      <c r="T1147" s="423" cm="1">
        <f t="array" ref="T1147">IF(B1147&gt;0,VLOOKUP(C1143,'Allocation OH and Target 2026'!$C$35:$S$87,17,0),"N/A")</f>
        <v>0</v>
      </c>
      <c r="U1147" s="423" cm="1">
        <f t="array" ref="U1147">_xlfn.IFERROR((S1147+T1147),"N/A")</f>
        <v>3100447.15769812</v>
      </c>
      <c r="V1147" s="424"/>
      <c r="W1147" s="423" cm="1">
        <f t="array" ref="W1147">_xlfn.IFERROR(U1147+Q1147,"N/A")</f>
        <v>10131180.4910315</v>
      </c>
      <c r="X1147" s="423" cm="1">
        <f t="array" ref="X1147">_xlfn.IFERROR(W1147*0.5%,"N/A")</f>
        <v>50655.9024551575</v>
      </c>
      <c r="Y1147" s="423" cm="1">
        <f t="array" ref="Y1147">_xlfn.IFERROR(W1147*25%,"N/A")</f>
        <v>2532795.12275788</v>
      </c>
      <c r="Z1147" s="425" cm="1">
        <f t="array" ref="Z1147">IF(B1147&gt;0,SUM(W1147:Y1147),"N/A")</f>
        <v>12714631.5162445</v>
      </c>
      <c r="AA1147" s="425" cm="1">
        <f t="array" ref="AA1147">_xlfn.IFERROR((Z1147-Z1146),"N/A")</f>
        <v>239705</v>
      </c>
      <c r="AB1147" s="424"/>
      <c r="AC1147" t="str" s="426" cm="1">
        <f t="array" ref="AC1147">IF(B1147=6,AVERAGE(Z1146:Z1151),"N/A")</f>
        <v>N/A</v>
      </c>
      <c r="AD1147" s="424"/>
      <c r="AE1147" t="s" s="506">
        <v>546</v>
      </c>
      <c r="AF1147" s="423"/>
      <c r="AG1147" s="423"/>
      <c r="AH1147" s="423"/>
      <c r="AI1147" s="423"/>
      <c r="AJ1147" s="423"/>
      <c r="AK1147" s="423"/>
      <c r="AL1147" s="423"/>
      <c r="AM1147" s="423"/>
      <c r="AN1147" s="427"/>
    </row>
    <row r="1148" ht="15" customHeight="1">
      <c r="A1148" s="12"/>
      <c r="B1148" s="428" cm="1">
        <f t="array" ref="B1148">IF(B1147=0,0,IF(B1147&lt;VLOOKUP(C1143,'Boats Data Sheet 2026'!$C$3:$H$57,6,0),B1147+1,0))</f>
        <v>3</v>
      </c>
      <c r="C1148" s="423" cm="1">
        <f t="array" ref="C1148">IF(B1148&gt;0,IF(VLOOKUP(C1143,'Boats Data Sheet 2026'!$C$3:$J$57,8,0)="N/A",0,VLOOKUP(C1143,'Boats Data Sheet 2026'!$C$3:$J$57,8,0)),"N/A")</f>
        <v>0</v>
      </c>
      <c r="D1148" s="429" cm="1">
        <f t="array" ref="D1148">IF(B1148&gt;7,2,IF(B1148=0,"N/A",1))</f>
        <v>1</v>
      </c>
      <c r="E1148" s="423" cm="1">
        <f t="array" ref="E1148">_xlfn.IFERROR(SUM('Direct Costs 2026'!$C$4:$C$5)*D1148,"N/A")</f>
        <v>875500</v>
      </c>
      <c r="F1148" s="423" cm="1">
        <f t="array" ref="F1148">_xlfn.IFERROR('Direct Costs 2026'!$C$43*B1148,"N/A")</f>
        <v>18000</v>
      </c>
      <c r="G1148" s="423" cm="1">
        <f t="array" ref="G1148">IF(B1148&gt;0,'Direct Costs 2026'!$C$25,"N/A")</f>
        <v>90000</v>
      </c>
      <c r="H1148" s="423" cm="1">
        <f t="array" ref="H1148">IF(B1148&gt;0,('Direct Costs 2026'!$C$15+'Direct Costs 2026'!$C$17+'Direct Costs 2026'!$C$14),"N/A")</f>
        <v>580000</v>
      </c>
      <c r="I1148" s="423" cm="1">
        <f t="array" ref="I1148">IF(B1148&gt;0,'Direct Costs 2026'!$C$19+'Direct Costs 2026'!$C$18*B1148,"N/A")</f>
        <v>180000</v>
      </c>
      <c r="J1148" s="423" cm="1">
        <f t="array" ref="J1148">IF(B1148&gt;0,SUM('Direct Costs 2026'!$C$20:$C$21),"N/A")</f>
        <v>98333.3333333333</v>
      </c>
      <c r="K1148" s="423" cm="1">
        <f t="array" ref="K1148">IF(B1148&gt;0,'Direct Costs 2026'!$C$26,"N/A")</f>
        <v>20000</v>
      </c>
      <c r="L1148" s="423" cm="1">
        <f t="array" ref="L1148">IF(B1148&gt;0,'Direct Costs 2026'!$C$23,"N/A")</f>
        <v>140000</v>
      </c>
      <c r="M1148" s="423" cm="1">
        <f t="array" ref="M1148">IF(B1148&gt;0,'Direct Costs 2026'!$C$45*B1148,"N/A")</f>
        <v>450000</v>
      </c>
      <c r="N1148" s="423" cm="1">
        <f t="array" ref="N1148">IF(B1148&gt;0,_xlfn.IFERROR(VLOOKUP(C1143,'Boats Data Sheet 2026'!$C$3:$I$57,7,0)*'Direct Costs 2026'!$C$36,"N/A"),"N/A")</f>
        <v>3657500</v>
      </c>
      <c r="O1148" s="423" cm="1">
        <f t="array" ref="O1148">IF(B1148&gt;0,IF(OR(VLOOKUP(C1143,'Boats Data Sheet 2026'!$C$3:$F$57,4,0)="Own",VLOOKUP(C1143,'Boats Data Sheet 2026'!$C$3:$F$57,4,0)="Management"),('Direct Costs 2026'!$C$37+'Direct Costs 2026'!$C$39),"N/A"),"N/A")</f>
        <v>1112400</v>
      </c>
      <c r="P1148" s="423" cm="1">
        <f t="array" ref="P1148">_xlfn.IFERROR('Direct Costs 2026'!$C$27*C1148,"N/A")</f>
        <v>0</v>
      </c>
      <c r="Q1148" s="423" cm="1">
        <f t="array" ref="Q1148">_xlfn.IFERROR(C1148+SUM(E1148:P1148),"N/A")</f>
        <v>7221733.33333333</v>
      </c>
      <c r="R1148" s="424"/>
      <c r="S1148" s="423" cm="1">
        <f t="array" ref="S1148">IF(B1148&gt;0,'Allocation OH and Target 2026'!$E$31,"N/A")</f>
        <v>3100447.15769812</v>
      </c>
      <c r="T1148" s="423" cm="1">
        <f t="array" ref="T1148">IF(B1148&gt;0,VLOOKUP(C1143,'Allocation OH and Target 2026'!$C$35:$S$87,17,0),"N/A")</f>
        <v>0</v>
      </c>
      <c r="U1148" s="423" cm="1">
        <f t="array" ref="U1148">_xlfn.IFERROR((S1148+T1148),"N/A")</f>
        <v>3100447.15769812</v>
      </c>
      <c r="V1148" s="424"/>
      <c r="W1148" s="423" cm="1">
        <f t="array" ref="W1148">_xlfn.IFERROR(U1148+Q1148,"N/A")</f>
        <v>10322180.4910315</v>
      </c>
      <c r="X1148" s="423" cm="1">
        <f t="array" ref="X1148">_xlfn.IFERROR(W1148*0.5%,"N/A")</f>
        <v>51610.9024551575</v>
      </c>
      <c r="Y1148" s="423" cm="1">
        <f t="array" ref="Y1148">_xlfn.IFERROR(W1148*25%,"N/A")</f>
        <v>2580545.12275788</v>
      </c>
      <c r="Z1148" s="425" cm="1">
        <f t="array" ref="Z1148">IF(B1148&gt;0,SUM(W1148:Y1148),"N/A")</f>
        <v>12954336.5162445</v>
      </c>
      <c r="AA1148" s="425" cm="1">
        <f t="array" ref="AA1148">_xlfn.IFERROR((Z1148-Z1147),"N/A")</f>
        <v>239705</v>
      </c>
      <c r="AB1148" s="424"/>
      <c r="AC1148" t="str" s="426" cm="1">
        <f t="array" ref="AC1148">IF(B1148=6,AVERAGE(Z1146:Z1151),"N/A")</f>
        <v>N/A</v>
      </c>
      <c r="AD1148" s="424"/>
      <c r="AE1148" t="s" s="504">
        <v>547</v>
      </c>
      <c r="AF1148" s="423" cm="1">
        <f t="array" ref="AF1148">AF1146*'RECOMMENDED PRICES'!$D$17</f>
        <v>1672120000</v>
      </c>
      <c r="AG1148" s="423"/>
      <c r="AH1148" s="423"/>
      <c r="AI1148" s="423"/>
      <c r="AJ1148" s="423"/>
      <c r="AK1148" s="423"/>
      <c r="AL1148" s="423"/>
      <c r="AM1148" s="423"/>
      <c r="AN1148" s="427"/>
    </row>
    <row r="1149" ht="15" customHeight="1">
      <c r="A1149" s="12"/>
      <c r="B1149" s="428" cm="1">
        <f t="array" ref="B1149">IF(B1148=0,0,IF(B1148&lt;VLOOKUP(C1143,'Boats Data Sheet 2026'!$C$3:$H$57,6,0),B1148+1,0))</f>
        <v>4</v>
      </c>
      <c r="C1149" s="423" cm="1">
        <f t="array" ref="C1149">IF(B1149&gt;0,IF(VLOOKUP(C1143,'Boats Data Sheet 2026'!$C$3:$J$57,8,0)="N/A",0,VLOOKUP(C1143,'Boats Data Sheet 2026'!$C$3:$J$57,8,0)),"N/A")</f>
        <v>0</v>
      </c>
      <c r="D1149" s="429" cm="1">
        <f t="array" ref="D1149">IF(B1149&gt;7,2,IF(B1149=0,"N/A",1))</f>
        <v>1</v>
      </c>
      <c r="E1149" s="423" cm="1">
        <f t="array" ref="E1149">_xlfn.IFERROR(SUM('Direct Costs 2026'!$C$4:$C$5)*D1149,"N/A")</f>
        <v>875500</v>
      </c>
      <c r="F1149" s="423" cm="1">
        <f t="array" ref="F1149">_xlfn.IFERROR('Direct Costs 2026'!$C$43*B1149,"N/A")</f>
        <v>24000</v>
      </c>
      <c r="G1149" s="423" cm="1">
        <f t="array" ref="G1149">IF(B1149&gt;0,'Direct Costs 2026'!$C$25,"N/A")</f>
        <v>90000</v>
      </c>
      <c r="H1149" s="423" cm="1">
        <f t="array" ref="H1149">IF(B1149&gt;0,('Direct Costs 2026'!$C$15+'Direct Costs 2026'!$C$17+'Direct Costs 2026'!$C$14),"N/A")</f>
        <v>580000</v>
      </c>
      <c r="I1149" s="423" cm="1">
        <f t="array" ref="I1149">IF(B1149&gt;0,'Direct Costs 2026'!$C$19+'Direct Costs 2026'!$C$18*B1149,"N/A")</f>
        <v>215000</v>
      </c>
      <c r="J1149" s="423" cm="1">
        <f t="array" ref="J1149">IF(B1149&gt;0,SUM('Direct Costs 2026'!$C$20:$C$21),"N/A")</f>
        <v>98333.3333333333</v>
      </c>
      <c r="K1149" s="423" cm="1">
        <f t="array" ref="K1149">IF(B1149&gt;0,'Direct Costs 2026'!$C$26,"N/A")</f>
        <v>20000</v>
      </c>
      <c r="L1149" s="423" cm="1">
        <f t="array" ref="L1149">IF(B1149&gt;0,'Direct Costs 2026'!$C$23,"N/A")</f>
        <v>140000</v>
      </c>
      <c r="M1149" s="423" cm="1">
        <f t="array" ref="M1149">IF(B1149&gt;0,'Direct Costs 2026'!$C$45*B1149,"N/A")</f>
        <v>600000</v>
      </c>
      <c r="N1149" s="423" cm="1">
        <f t="array" ref="N1149">IF(B1149&gt;0,_xlfn.IFERROR(VLOOKUP(C1143,'Boats Data Sheet 2026'!$C$3:$I$57,7,0)*'Direct Costs 2026'!$C$36,"N/A"),"N/A")</f>
        <v>3657500</v>
      </c>
      <c r="O1149" s="423" cm="1">
        <f t="array" ref="O1149">IF(B1149&gt;0,IF(OR(VLOOKUP(C1143,'Boats Data Sheet 2026'!$C$3:$F$57,4,0)="Own",VLOOKUP(C1143,'Boats Data Sheet 2026'!$C$3:$F$57,4,0)="Management"),('Direct Costs 2026'!$C$37+'Direct Costs 2026'!$C$39),"N/A"),"N/A")</f>
        <v>1112400</v>
      </c>
      <c r="P1149" s="423" cm="1">
        <f t="array" ref="P1149">_xlfn.IFERROR('Direct Costs 2026'!$C$27*C1149,"N/A")</f>
        <v>0</v>
      </c>
      <c r="Q1149" s="423" cm="1">
        <f t="array" ref="Q1149">_xlfn.IFERROR(C1149+SUM(E1149:P1149),"N/A")</f>
        <v>7412733.33333333</v>
      </c>
      <c r="R1149" s="424"/>
      <c r="S1149" s="423" cm="1">
        <f t="array" ref="S1149">IF(B1149&gt;0,'Allocation OH and Target 2026'!$E$31,"N/A")</f>
        <v>3100447.15769812</v>
      </c>
      <c r="T1149" s="423" cm="1">
        <f t="array" ref="T1149">IF(B1149&gt;0,VLOOKUP(C1143,'Allocation OH and Target 2026'!$C$35:$S$87,17,0),"N/A")</f>
        <v>0</v>
      </c>
      <c r="U1149" s="423" cm="1">
        <f t="array" ref="U1149">_xlfn.IFERROR((S1149+T1149),"N/A")</f>
        <v>3100447.15769812</v>
      </c>
      <c r="V1149" s="424"/>
      <c r="W1149" s="423" cm="1">
        <f t="array" ref="W1149">_xlfn.IFERROR(U1149+Q1149,"N/A")</f>
        <v>10513180.4910315</v>
      </c>
      <c r="X1149" s="423" cm="1">
        <f t="array" ref="X1149">_xlfn.IFERROR(W1149*0.5%,"N/A")</f>
        <v>52565.9024551575</v>
      </c>
      <c r="Y1149" s="423" cm="1">
        <f t="array" ref="Y1149">_xlfn.IFERROR(W1149*25%,"N/A")</f>
        <v>2628295.12275788</v>
      </c>
      <c r="Z1149" s="425" cm="1">
        <f t="array" ref="Z1149">IF(B1149&gt;0,SUM(W1149:Y1149),"N/A")</f>
        <v>13194041.5162445</v>
      </c>
      <c r="AA1149" s="425" cm="1">
        <f t="array" ref="AA1149">_xlfn.IFERROR((Z1149-Z1148),"N/A")</f>
        <v>239705</v>
      </c>
      <c r="AB1149" s="424"/>
      <c r="AC1149" t="str" s="426" cm="1">
        <f t="array" ref="AC1149">IF(B1149=6,AVERAGE(Z1146:Z1151),"N/A")</f>
        <v>N/A</v>
      </c>
      <c r="AD1149" s="424"/>
      <c r="AE1149" t="s" s="504">
        <v>548</v>
      </c>
      <c r="AF1149" s="423" cm="1">
        <f t="array" ref="AF1149">AF1146*VLOOKUP(C1143,'RECOMMENDED PRICES'!$B$20:$F$76,5,0)</f>
        <v>437240000</v>
      </c>
      <c r="AG1149" s="423"/>
      <c r="AH1149" s="423"/>
      <c r="AI1149" s="423"/>
      <c r="AJ1149" s="423"/>
      <c r="AK1149" s="423"/>
      <c r="AL1149" s="423"/>
      <c r="AM1149" s="423"/>
      <c r="AN1149" s="427"/>
    </row>
    <row r="1150" ht="15" customHeight="1">
      <c r="A1150" s="12"/>
      <c r="B1150" s="428" cm="1">
        <f t="array" ref="B1150">IF(B1149=0,0,IF(B1149&lt;VLOOKUP(C1143,'Boats Data Sheet 2026'!$C$3:$H$57,6,0),B1149+1,0))</f>
        <v>5</v>
      </c>
      <c r="C1150" s="423" cm="1">
        <f t="array" ref="C1150">IF(B1150&gt;0,IF(VLOOKUP(C1143,'Boats Data Sheet 2026'!$C$3:$J$57,8,0)="N/A",0,VLOOKUP(C1143,'Boats Data Sheet 2026'!$C$3:$J$57,8,0)),"N/A")</f>
        <v>0</v>
      </c>
      <c r="D1150" s="429" cm="1">
        <f t="array" ref="D1150">IF(B1150&gt;7,2,IF(B1150=0,"N/A",1))</f>
        <v>1</v>
      </c>
      <c r="E1150" s="423" cm="1">
        <f t="array" ref="E1150">_xlfn.IFERROR(SUM('Direct Costs 2026'!$C$4:$C$5)*D1150,"N/A")</f>
        <v>875500</v>
      </c>
      <c r="F1150" s="423" cm="1">
        <f t="array" ref="F1150">_xlfn.IFERROR('Direct Costs 2026'!$C$43*B1150,"N/A")</f>
        <v>30000</v>
      </c>
      <c r="G1150" s="423" cm="1">
        <f t="array" ref="G1150">IF(B1150&gt;0,'Direct Costs 2026'!$C$25,"N/A")</f>
        <v>90000</v>
      </c>
      <c r="H1150" s="423" cm="1">
        <f t="array" ref="H1150">IF(B1150&gt;0,('Direct Costs 2026'!$C$15+'Direct Costs 2026'!$C$17+'Direct Costs 2026'!$C$14),"N/A")</f>
        <v>580000</v>
      </c>
      <c r="I1150" s="423" cm="1">
        <f t="array" ref="I1150">IF(B1150&gt;0,'Direct Costs 2026'!$C$19+'Direct Costs 2026'!$C$18*B1150,"N/A")</f>
        <v>250000</v>
      </c>
      <c r="J1150" s="423" cm="1">
        <f t="array" ref="J1150">IF(B1150&gt;0,SUM('Direct Costs 2026'!$C$20:$C$21),"N/A")</f>
        <v>98333.3333333333</v>
      </c>
      <c r="K1150" s="423" cm="1">
        <f t="array" ref="K1150">IF(B1150&gt;0,'Direct Costs 2026'!$C$26,"N/A")</f>
        <v>20000</v>
      </c>
      <c r="L1150" s="423" cm="1">
        <f t="array" ref="L1150">IF(B1150&gt;0,'Direct Costs 2026'!$C$23,"N/A")</f>
        <v>140000</v>
      </c>
      <c r="M1150" s="423" cm="1">
        <f t="array" ref="M1150">IF(B1150&gt;0,'Direct Costs 2026'!$C$45*B1150,"N/A")</f>
        <v>750000</v>
      </c>
      <c r="N1150" s="423" cm="1">
        <f t="array" ref="N1150">IF(B1150&gt;0,_xlfn.IFERROR(VLOOKUP(C1143,'Boats Data Sheet 2026'!$C$3:$I$57,7,0)*'Direct Costs 2026'!$C$36,"N/A"),"N/A")</f>
        <v>3657500</v>
      </c>
      <c r="O1150" s="423" cm="1">
        <f t="array" ref="O1150">IF(B1150&gt;0,IF(OR(VLOOKUP(C1143,'Boats Data Sheet 2026'!$C$3:$F$57,4,0)="Own",VLOOKUP(C1143,'Boats Data Sheet 2026'!$C$3:$F$57,4,0)="Management"),('Direct Costs 2026'!$C$37+'Direct Costs 2026'!$C$39),"N/A"),"N/A")</f>
        <v>1112400</v>
      </c>
      <c r="P1150" s="423" cm="1">
        <f t="array" ref="P1150">_xlfn.IFERROR('Direct Costs 2026'!$C$27*C1150,"N/A")</f>
        <v>0</v>
      </c>
      <c r="Q1150" s="423" cm="1">
        <f t="array" ref="Q1150">_xlfn.IFERROR(C1150+SUM(E1150:P1150),"N/A")</f>
        <v>7603733.33333333</v>
      </c>
      <c r="R1150" s="424"/>
      <c r="S1150" s="423" cm="1">
        <f t="array" ref="S1150">IF(B1150&gt;0,'Allocation OH and Target 2026'!$E$31,"N/A")</f>
        <v>3100447.15769812</v>
      </c>
      <c r="T1150" s="423" cm="1">
        <f t="array" ref="T1150">IF(B1150&gt;0,VLOOKUP(C1143,'Allocation OH and Target 2026'!$C$35:$S$87,17,0),"N/A")</f>
        <v>0</v>
      </c>
      <c r="U1150" s="423" cm="1">
        <f t="array" ref="U1150">_xlfn.IFERROR((S1150+T1150),"N/A")</f>
        <v>3100447.15769812</v>
      </c>
      <c r="V1150" s="424"/>
      <c r="W1150" s="423" cm="1">
        <f t="array" ref="W1150">_xlfn.IFERROR(U1150+Q1150,"N/A")</f>
        <v>10704180.4910315</v>
      </c>
      <c r="X1150" s="423" cm="1">
        <f t="array" ref="X1150">_xlfn.IFERROR(W1150*0.5%,"N/A")</f>
        <v>53520.9024551575</v>
      </c>
      <c r="Y1150" s="423" cm="1">
        <f t="array" ref="Y1150">_xlfn.IFERROR(W1150*25%,"N/A")</f>
        <v>2676045.12275788</v>
      </c>
      <c r="Z1150" s="425" cm="1">
        <f t="array" ref="Z1150">IF(B1150&gt;0,SUM(W1150:Y1150),"N/A")</f>
        <v>13433746.5162445</v>
      </c>
      <c r="AA1150" s="425" cm="1">
        <f t="array" ref="AA1150">_xlfn.IFERROR((Z1150-Z1149),"N/A")</f>
        <v>239705</v>
      </c>
      <c r="AB1150" s="424"/>
      <c r="AC1150" t="str" s="426" cm="1">
        <f t="array" ref="AC1150">IF(B1150=6,AVERAGE(Z1146:Z1151),"N/A")</f>
        <v>N/A</v>
      </c>
      <c r="AD1150" s="424"/>
      <c r="AE1150" t="s" s="504">
        <v>549</v>
      </c>
      <c r="AF1150" s="423">
        <v>0</v>
      </c>
      <c r="AG1150" s="423"/>
      <c r="AH1150" s="423"/>
      <c r="AI1150" s="423"/>
      <c r="AJ1150" s="423"/>
      <c r="AK1150" s="423"/>
      <c r="AL1150" s="423"/>
      <c r="AM1150" s="423"/>
      <c r="AN1150" s="427"/>
    </row>
    <row r="1151" ht="15" customHeight="1">
      <c r="A1151" s="12"/>
      <c r="B1151" s="428" cm="1">
        <f t="array" ref="B1151">IF(B1150=0,0,IF(B1150&lt;VLOOKUP(C1143,'Boats Data Sheet 2026'!$C$3:$H$57,6,0),B1150+1,0))</f>
        <v>6</v>
      </c>
      <c r="C1151" s="423" cm="1">
        <f t="array" ref="C1151">IF(B1151&gt;0,IF(VLOOKUP(C1143,'Boats Data Sheet 2026'!$C$3:$J$57,8,0)="N/A",0,VLOOKUP(C1143,'Boats Data Sheet 2026'!$C$3:$J$57,8,0)),"N/A")</f>
        <v>0</v>
      </c>
      <c r="D1151" s="429" cm="1">
        <f t="array" ref="D1151">IF(B1151&gt;7,2,IF(B1151=0,"N/A",1))</f>
        <v>1</v>
      </c>
      <c r="E1151" s="423" cm="1">
        <f t="array" ref="E1151">_xlfn.IFERROR(SUM('Direct Costs 2026'!$C$4:$C$5)*D1151,"N/A")</f>
        <v>875500</v>
      </c>
      <c r="F1151" s="423" cm="1">
        <f t="array" ref="F1151">_xlfn.IFERROR('Direct Costs 2026'!$C$43*B1151,"N/A")</f>
        <v>36000</v>
      </c>
      <c r="G1151" s="423" cm="1">
        <f t="array" ref="G1151">IF(B1151&gt;0,'Direct Costs 2026'!$C$25,"N/A")</f>
        <v>90000</v>
      </c>
      <c r="H1151" s="423" cm="1">
        <f t="array" ref="H1151">IF(B1151&gt;0,('Direct Costs 2026'!$C$15+'Direct Costs 2026'!$C$17+'Direct Costs 2026'!$C$14),"N/A")</f>
        <v>580000</v>
      </c>
      <c r="I1151" s="423" cm="1">
        <f t="array" ref="I1151">IF(B1151&gt;0,'Direct Costs 2026'!$C$19+'Direct Costs 2026'!$C$18*B1151,"N/A")</f>
        <v>285000</v>
      </c>
      <c r="J1151" s="423" cm="1">
        <f t="array" ref="J1151">IF(B1151&gt;0,SUM('Direct Costs 2026'!$C$20:$C$21),"N/A")</f>
        <v>98333.3333333333</v>
      </c>
      <c r="K1151" s="423" cm="1">
        <f t="array" ref="K1151">IF(B1151&gt;0,'Direct Costs 2026'!$C$26,"N/A")</f>
        <v>20000</v>
      </c>
      <c r="L1151" s="423" cm="1">
        <f t="array" ref="L1151">IF(B1151&gt;0,'Direct Costs 2026'!$C$23,"N/A")</f>
        <v>140000</v>
      </c>
      <c r="M1151" s="423" cm="1">
        <f t="array" ref="M1151">IF(B1151&gt;0,'Direct Costs 2026'!$C$45*B1151,"N/A")</f>
        <v>900000</v>
      </c>
      <c r="N1151" s="423" cm="1">
        <f t="array" ref="N1151">IF(B1151&gt;0,_xlfn.IFERROR(VLOOKUP(C1143,'Boats Data Sheet 2026'!$C$3:$I$57,7,0)*'Direct Costs 2026'!$C$36,"N/A"),"N/A")</f>
        <v>3657500</v>
      </c>
      <c r="O1151" s="423" cm="1">
        <f t="array" ref="O1151">IF(B1151&gt;0,IF(OR(VLOOKUP(C1143,'Boats Data Sheet 2026'!$C$3:$F$57,4,0)="Own",VLOOKUP(C1143,'Boats Data Sheet 2026'!$C$3:$F$57,4,0)="Management"),('Direct Costs 2026'!$C$37+'Direct Costs 2026'!$C$39),"N/A"),"N/A")</f>
        <v>1112400</v>
      </c>
      <c r="P1151" s="423" cm="1">
        <f t="array" ref="P1151">_xlfn.IFERROR('Direct Costs 2026'!$C$27*C1151,"N/A")</f>
        <v>0</v>
      </c>
      <c r="Q1151" s="423" cm="1">
        <f t="array" ref="Q1151">_xlfn.IFERROR(C1151+SUM(E1151:P1151),"N/A")</f>
        <v>7794733.33333333</v>
      </c>
      <c r="R1151" s="424"/>
      <c r="S1151" s="423" cm="1">
        <f t="array" ref="S1151">IF(B1151&gt;0,'Allocation OH and Target 2026'!$E$31,"N/A")</f>
        <v>3100447.15769812</v>
      </c>
      <c r="T1151" s="423" cm="1">
        <f t="array" ref="T1151">IF(B1151&gt;0,VLOOKUP(C1143,'Allocation OH and Target 2026'!$C$35:$S$87,17,0),"N/A")</f>
        <v>0</v>
      </c>
      <c r="U1151" s="423" cm="1">
        <f t="array" ref="U1151">_xlfn.IFERROR((S1151+T1151),"N/A")</f>
        <v>3100447.15769812</v>
      </c>
      <c r="V1151" s="424"/>
      <c r="W1151" s="423" cm="1">
        <f t="array" ref="W1151">_xlfn.IFERROR(U1151+Q1151,"N/A")</f>
        <v>10895180.4910315</v>
      </c>
      <c r="X1151" s="423" cm="1">
        <f t="array" ref="X1151">_xlfn.IFERROR(W1151*0.5%,"N/A")</f>
        <v>54475.9024551575</v>
      </c>
      <c r="Y1151" s="423" cm="1">
        <f t="array" ref="Y1151">_xlfn.IFERROR(W1151*25%,"N/A")</f>
        <v>2723795.12275788</v>
      </c>
      <c r="Z1151" s="425" cm="1">
        <f t="array" ref="Z1151">IF(B1151&gt;0,SUM(W1151:Y1151),"N/A")</f>
        <v>13673451.5162445</v>
      </c>
      <c r="AA1151" s="425" cm="1">
        <f t="array" ref="AA1151">_xlfn.IFERROR((Z1151-Z1150),"N/A")</f>
        <v>239705</v>
      </c>
      <c r="AB1151" s="424"/>
      <c r="AC1151" s="425" cm="1">
        <f t="array" ref="AC1151">IF(B1151=6,AVERAGE(Z1146:Z1151),"N/A")</f>
        <v>13074189.0162445</v>
      </c>
      <c r="AD1151" s="424"/>
      <c r="AE1151" t="s" s="506">
        <v>550</v>
      </c>
      <c r="AF1151" s="423"/>
      <c r="AG1151" s="423"/>
      <c r="AH1151" s="423"/>
      <c r="AI1151" s="423"/>
      <c r="AJ1151" s="423"/>
      <c r="AK1151" s="423"/>
      <c r="AL1151" s="423"/>
      <c r="AM1151" s="423"/>
      <c r="AN1151" s="427"/>
    </row>
    <row r="1152" ht="15" customHeight="1">
      <c r="A1152" s="12"/>
      <c r="B1152" s="428" cm="1">
        <f t="array" ref="B1152">IF(B1151=0,0,IF(B1151&lt;VLOOKUP(C1143,'Boats Data Sheet 2026'!$C$3:$H$57,6,0),B1151+1,0))</f>
        <v>7</v>
      </c>
      <c r="C1152" s="423" cm="1">
        <f t="array" ref="C1152">IF(B1152&gt;0,IF(VLOOKUP(C1143,'Boats Data Sheet 2026'!$C$3:$J$57,8,0)="N/A",0,VLOOKUP(C1143,'Boats Data Sheet 2026'!$C$3:$J$57,8,0)),"N/A")</f>
        <v>0</v>
      </c>
      <c r="D1152" s="429" cm="1">
        <f t="array" ref="D1152">IF(B1152&gt;7,2,IF(B1152=0,"N/A",1))</f>
        <v>1</v>
      </c>
      <c r="E1152" s="423" cm="1">
        <f t="array" ref="E1152">_xlfn.IFERROR(SUM('Direct Costs 2026'!$C$4:$C$5)*D1152,"N/A")</f>
        <v>875500</v>
      </c>
      <c r="F1152" s="423" cm="1">
        <f t="array" ref="F1152">_xlfn.IFERROR('Direct Costs 2026'!$C$43*B1152,"N/A")</f>
        <v>42000</v>
      </c>
      <c r="G1152" s="423" cm="1">
        <f t="array" ref="G1152">IF(B1152&gt;0,'Direct Costs 2026'!$C$25,"N/A")</f>
        <v>90000</v>
      </c>
      <c r="H1152" s="423" cm="1">
        <f t="array" ref="H1152">IF(B1152&gt;0,('Direct Costs 2026'!$C$15+'Direct Costs 2026'!$C$17+'Direct Costs 2026'!$C$14),"N/A")</f>
        <v>580000</v>
      </c>
      <c r="I1152" s="423" cm="1">
        <f t="array" ref="I1152">IF(B1152&gt;0,'Direct Costs 2026'!$C$19+'Direct Costs 2026'!$C$18*B1152,"N/A")</f>
        <v>320000</v>
      </c>
      <c r="J1152" s="423" cm="1">
        <f t="array" ref="J1152">IF(B1152&gt;0,SUM('Direct Costs 2026'!$C$20:$C$21),"N/A")</f>
        <v>98333.3333333333</v>
      </c>
      <c r="K1152" s="423" cm="1">
        <f t="array" ref="K1152">IF(B1152&gt;0,'Direct Costs 2026'!$C$26,"N/A")</f>
        <v>20000</v>
      </c>
      <c r="L1152" s="423" cm="1">
        <f t="array" ref="L1152">IF(B1152&gt;0,'Direct Costs 2026'!$C$23,"N/A")</f>
        <v>140000</v>
      </c>
      <c r="M1152" s="423" cm="1">
        <f t="array" ref="M1152">IF(B1152&gt;0,'Direct Costs 2026'!$C$45*B1152,"N/A")</f>
        <v>1050000</v>
      </c>
      <c r="N1152" s="423" cm="1">
        <f t="array" ref="N1152">IF(B1152&gt;0,_xlfn.IFERROR(VLOOKUP(C1143,'Boats Data Sheet 2026'!$C$3:$I$57,7,0)*'Direct Costs 2026'!$C$36,"N/A"),"N/A")</f>
        <v>3657500</v>
      </c>
      <c r="O1152" s="423" cm="1">
        <f t="array" ref="O1152">IF(B1152&gt;0,IF(OR(VLOOKUP(C1143,'Boats Data Sheet 2026'!$C$3:$F$57,4,0)="Own",VLOOKUP(C1143,'Boats Data Sheet 2026'!$C$3:$F$57,4,0)="Management"),('Direct Costs 2026'!$C$37+'Direct Costs 2026'!$C$39),"N/A"),"N/A")</f>
        <v>1112400</v>
      </c>
      <c r="P1152" s="423" cm="1">
        <f t="array" ref="P1152">_xlfn.IFERROR('Direct Costs 2026'!$C$27*C1152,"N/A")</f>
        <v>0</v>
      </c>
      <c r="Q1152" s="423" cm="1">
        <f t="array" ref="Q1152">_xlfn.IFERROR(C1152+SUM(E1152:P1152),"N/A")</f>
        <v>7985733.33333333</v>
      </c>
      <c r="R1152" s="424"/>
      <c r="S1152" s="423" cm="1">
        <f t="array" ref="S1152">IF(B1152&gt;0,'Allocation OH and Target 2026'!$E$31,"N/A")</f>
        <v>3100447.15769812</v>
      </c>
      <c r="T1152" s="423" cm="1">
        <f t="array" ref="T1152">IF(B1152&gt;0,VLOOKUP(C1143,'Allocation OH and Target 2026'!$C$35:$S$87,17,0),"N/A")</f>
        <v>0</v>
      </c>
      <c r="U1152" s="423" cm="1">
        <f t="array" ref="U1152">_xlfn.IFERROR((S1152+T1152),"N/A")</f>
        <v>3100447.15769812</v>
      </c>
      <c r="V1152" s="424"/>
      <c r="W1152" s="423" cm="1">
        <f t="array" ref="W1152">_xlfn.IFERROR(U1152+Q1152,"N/A")</f>
        <v>11086180.4910315</v>
      </c>
      <c r="X1152" s="423" cm="1">
        <f t="array" ref="X1152">_xlfn.IFERROR(W1152*0.5%,"N/A")</f>
        <v>55430.9024551575</v>
      </c>
      <c r="Y1152" s="423" cm="1">
        <f t="array" ref="Y1152">_xlfn.IFERROR(W1152*25%,"N/A")</f>
        <v>2771545.12275788</v>
      </c>
      <c r="Z1152" s="425" cm="1">
        <f t="array" ref="Z1152">IF(B1152&gt;0,SUM(W1152:Y1152),"N/A")</f>
        <v>13913156.5162445</v>
      </c>
      <c r="AA1152" s="425" cm="1">
        <f t="array" ref="AA1152">_xlfn.IFERROR((Z1152-Z1151),"N/A")</f>
        <v>239705</v>
      </c>
      <c r="AB1152" s="424"/>
      <c r="AC1152" t="str" s="426" cm="1">
        <f t="array" ref="AC1152">IF(B1152=6,AVERAGE(Z1146:Z1151),"N/A")</f>
        <v>N/A</v>
      </c>
      <c r="AD1152" s="424"/>
      <c r="AE1152" t="s" s="504">
        <v>551</v>
      </c>
      <c r="AF1152" s="507" cm="1">
        <f t="array" ref="AF1152">-AVERAGE(Q1146:Q1158)*AF1146</f>
        <v>-1141014194.87179</v>
      </c>
      <c r="AG1152" s="423"/>
      <c r="AH1152" s="423"/>
      <c r="AI1152" s="423"/>
      <c r="AJ1152" s="423"/>
      <c r="AK1152" s="423"/>
      <c r="AL1152" s="423"/>
      <c r="AM1152" s="423"/>
      <c r="AN1152" s="427"/>
    </row>
    <row r="1153" ht="15" customHeight="1">
      <c r="A1153" s="12"/>
      <c r="B1153" s="428" cm="1">
        <f t="array" ref="B1153">IF(B1152=0,0,IF(B1152&lt;VLOOKUP(C1143,'Boats Data Sheet 2026'!$C$3:$H$57,6,0),B1152+1,0))</f>
        <v>8</v>
      </c>
      <c r="C1153" s="423" cm="1">
        <f t="array" ref="C1153">IF(B1153&gt;0,IF(VLOOKUP(C1143,'Boats Data Sheet 2026'!$C$3:$J$57,8,0)="N/A",0,VLOOKUP(C1143,'Boats Data Sheet 2026'!$C$3:$J$57,8,0)),"N/A")</f>
        <v>0</v>
      </c>
      <c r="D1153" s="429" cm="1">
        <f t="array" ref="D1153">IF(B1153&gt;7,2,IF(B1153=0,"N/A",1))</f>
        <v>2</v>
      </c>
      <c r="E1153" s="423" cm="1">
        <f t="array" ref="E1153">_xlfn.IFERROR(SUM('Direct Costs 2026'!$C$4:$C$5)*D1153,"N/A")</f>
        <v>1751000</v>
      </c>
      <c r="F1153" s="423" cm="1">
        <f t="array" ref="F1153">_xlfn.IFERROR('Direct Costs 2026'!$C$43*B1153,"N/A")</f>
        <v>48000</v>
      </c>
      <c r="G1153" s="423" cm="1">
        <f t="array" ref="G1153">IF(B1153&gt;0,'Direct Costs 2026'!$C$25,"N/A")</f>
        <v>90000</v>
      </c>
      <c r="H1153" s="423" cm="1">
        <f t="array" ref="H1153">IF(B1153&gt;0,('Direct Costs 2026'!$C$15+'Direct Costs 2026'!$C$17+'Direct Costs 2026'!$C$14),"N/A")</f>
        <v>580000</v>
      </c>
      <c r="I1153" s="423" cm="1">
        <f t="array" ref="I1153">IF(B1153&gt;0,'Direct Costs 2026'!$C$19+'Direct Costs 2026'!$C$18*B1153,"N/A")</f>
        <v>355000</v>
      </c>
      <c r="J1153" s="423" cm="1">
        <f t="array" ref="J1153">IF(B1153&gt;0,SUM('Direct Costs 2026'!$C$20:$C$21),"N/A")</f>
        <v>98333.3333333333</v>
      </c>
      <c r="K1153" s="423" cm="1">
        <f t="array" ref="K1153">IF(B1153&gt;0,'Direct Costs 2026'!$C$26,"N/A")</f>
        <v>20000</v>
      </c>
      <c r="L1153" s="423" cm="1">
        <f t="array" ref="L1153">IF(B1153&gt;0,'Direct Costs 2026'!$C$23,"N/A")</f>
        <v>140000</v>
      </c>
      <c r="M1153" s="423" cm="1">
        <f t="array" ref="M1153">IF(B1153&gt;0,'Direct Costs 2026'!$C$45*B1153,"N/A")</f>
        <v>1200000</v>
      </c>
      <c r="N1153" s="423" cm="1">
        <f t="array" ref="N1153">IF(B1153&gt;0,_xlfn.IFERROR(VLOOKUP(C1143,'Boats Data Sheet 2026'!$C$3:$I$57,7,0)*'Direct Costs 2026'!$C$36,"N/A"),"N/A")</f>
        <v>3657500</v>
      </c>
      <c r="O1153" s="423" cm="1">
        <f t="array" ref="O1153">IF(B1153&gt;0,IF(OR(VLOOKUP(C1143,'Boats Data Sheet 2026'!$C$3:$F$57,4,0)="Own",VLOOKUP(C1143,'Boats Data Sheet 2026'!$C$3:$F$57,4,0)="Management"),('Direct Costs 2026'!$C$37+'Direct Costs 2026'!$C$39),"N/A"),"N/A")</f>
        <v>1112400</v>
      </c>
      <c r="P1153" s="423" cm="1">
        <f t="array" ref="P1153">_xlfn.IFERROR('Direct Costs 2026'!$C$27*C1153,"N/A")</f>
        <v>0</v>
      </c>
      <c r="Q1153" s="423" cm="1">
        <f t="array" ref="Q1153">_xlfn.IFERROR(C1153+SUM(E1153:P1153),"N/A")</f>
        <v>9052233.33333333</v>
      </c>
      <c r="R1153" s="424"/>
      <c r="S1153" s="423" cm="1">
        <f t="array" ref="S1153">IF(B1153&gt;0,'Allocation OH and Target 2026'!$E$31,"N/A")</f>
        <v>3100447.15769812</v>
      </c>
      <c r="T1153" s="423" cm="1">
        <f t="array" ref="T1153">IF(B1153&gt;0,VLOOKUP(C1143,'Allocation OH and Target 2026'!$C$35:$S$87,17,0),"N/A")</f>
        <v>0</v>
      </c>
      <c r="U1153" s="423" cm="1">
        <f t="array" ref="U1153">_xlfn.IFERROR((S1153+T1153),"N/A")</f>
        <v>3100447.15769812</v>
      </c>
      <c r="V1153" s="424"/>
      <c r="W1153" s="423" cm="1">
        <f t="array" ref="W1153">_xlfn.IFERROR(U1153+Q1153,"N/A")</f>
        <v>12152680.4910315</v>
      </c>
      <c r="X1153" s="423" cm="1">
        <f t="array" ref="X1153">_xlfn.IFERROR(W1153*0.5%,"N/A")</f>
        <v>60763.4024551575</v>
      </c>
      <c r="Y1153" s="423" cm="1">
        <f t="array" ref="Y1153">_xlfn.IFERROR(W1153*25%,"N/A")</f>
        <v>3038170.12275788</v>
      </c>
      <c r="Z1153" s="425" cm="1">
        <f t="array" ref="Z1153">IF(B1153&gt;0,SUM(W1153:Y1153),"N/A")</f>
        <v>15251614.0162445</v>
      </c>
      <c r="AA1153" s="425" cm="1">
        <f t="array" ref="AA1153">_xlfn.IFERROR((Z1153-Z1152),"N/A")</f>
        <v>1338457.5</v>
      </c>
      <c r="AB1153" s="424"/>
      <c r="AC1153" t="str" s="426" cm="1">
        <f t="array" ref="AC1153">IF(B1153=6,AVERAGE(Z1146:Z1151),"N/A")</f>
        <v>N/A</v>
      </c>
      <c r="AD1153" s="424"/>
      <c r="AE1153" t="s" s="506">
        <v>394</v>
      </c>
      <c r="AF1153" s="508" cm="1">
        <f t="array" ref="AF1153">SUM(AF1148:AF1152)</f>
        <v>968345805.1282099</v>
      </c>
      <c r="AG1153" s="423"/>
      <c r="AH1153" s="423"/>
      <c r="AI1153" s="423"/>
      <c r="AJ1153" s="423"/>
      <c r="AK1153" s="423"/>
      <c r="AL1153" s="423"/>
      <c r="AM1153" s="423"/>
      <c r="AN1153" s="427"/>
    </row>
    <row r="1154" ht="15" customHeight="1">
      <c r="A1154" s="12"/>
      <c r="B1154" s="428" cm="1">
        <f t="array" ref="B1154">IF(B1153=0,0,IF(B1153&lt;VLOOKUP(C1143,'Boats Data Sheet 2026'!$C$3:$H$57,6,0),B1153+1,0))</f>
        <v>9</v>
      </c>
      <c r="C1154" s="423" cm="1">
        <f t="array" ref="C1154">IF(B1154&gt;0,IF(VLOOKUP(C1143,'Boats Data Sheet 2026'!$C$3:$J$57,8,0)="N/A",0,VLOOKUP(C1143,'Boats Data Sheet 2026'!$C$3:$J$57,8,0)),"N/A")</f>
        <v>0</v>
      </c>
      <c r="D1154" s="429" cm="1">
        <f t="array" ref="D1154">IF(B1154&gt;7,2,IF(B1154=0,"N/A",1))</f>
        <v>2</v>
      </c>
      <c r="E1154" s="423" cm="1">
        <f t="array" ref="E1154">_xlfn.IFERROR(SUM('Direct Costs 2026'!$C$4:$C$5)*D1154,"N/A")</f>
        <v>1751000</v>
      </c>
      <c r="F1154" s="423" cm="1">
        <f t="array" ref="F1154">_xlfn.IFERROR('Direct Costs 2026'!$C$43*B1154,"N/A")</f>
        <v>54000</v>
      </c>
      <c r="G1154" s="423" cm="1">
        <f t="array" ref="G1154">IF(B1154&gt;0,'Direct Costs 2026'!$C$25,"N/A")</f>
        <v>90000</v>
      </c>
      <c r="H1154" s="423" cm="1">
        <f t="array" ref="H1154">IF(B1154&gt;0,('Direct Costs 2026'!$C$15+'Direct Costs 2026'!$C$17+'Direct Costs 2026'!$C$14),"N/A")</f>
        <v>580000</v>
      </c>
      <c r="I1154" s="423" cm="1">
        <f t="array" ref="I1154">IF(B1154&gt;0,'Direct Costs 2026'!$C$19+'Direct Costs 2026'!$C$18*B1154,"N/A")</f>
        <v>390000</v>
      </c>
      <c r="J1154" s="423" cm="1">
        <f t="array" ref="J1154">IF(B1154&gt;0,SUM('Direct Costs 2026'!$C$20:$C$21),"N/A")</f>
        <v>98333.3333333333</v>
      </c>
      <c r="K1154" s="423" cm="1">
        <f t="array" ref="K1154">IF(B1154&gt;0,'Direct Costs 2026'!$C$26,"N/A")</f>
        <v>20000</v>
      </c>
      <c r="L1154" s="423" cm="1">
        <f t="array" ref="L1154">IF(B1154&gt;0,'Direct Costs 2026'!$C$23,"N/A")</f>
        <v>140000</v>
      </c>
      <c r="M1154" s="423" cm="1">
        <f t="array" ref="M1154">IF(B1154&gt;0,'Direct Costs 2026'!$C$45*B1154,"N/A")</f>
        <v>1350000</v>
      </c>
      <c r="N1154" s="423" cm="1">
        <f t="array" ref="N1154">IF(B1154&gt;0,_xlfn.IFERROR(VLOOKUP(C1143,'Boats Data Sheet 2026'!$C$3:$I$57,7,0)*'Direct Costs 2026'!$C$36,"N/A"),"N/A")</f>
        <v>3657500</v>
      </c>
      <c r="O1154" s="423" cm="1">
        <f t="array" ref="O1154">IF(B1154&gt;0,IF(OR(VLOOKUP(C1143,'Boats Data Sheet 2026'!$C$3:$F$57,4,0)="Own",VLOOKUP(C1143,'Boats Data Sheet 2026'!$C$3:$F$57,4,0)="Management"),('Direct Costs 2026'!$C$37+'Direct Costs 2026'!$C$39),"N/A"),"N/A")</f>
        <v>1112400</v>
      </c>
      <c r="P1154" s="423" cm="1">
        <f t="array" ref="P1154">_xlfn.IFERROR('Direct Costs 2026'!$C$27*C1154,"N/A")</f>
        <v>0</v>
      </c>
      <c r="Q1154" s="423" cm="1">
        <f t="array" ref="Q1154">_xlfn.IFERROR(C1154+SUM(E1154:P1154),"N/A")</f>
        <v>9243233.33333333</v>
      </c>
      <c r="R1154" s="424"/>
      <c r="S1154" s="423" cm="1">
        <f t="array" ref="S1154">IF(B1154&gt;0,'Allocation OH and Target 2026'!$E$31,"N/A")</f>
        <v>3100447.15769812</v>
      </c>
      <c r="T1154" s="423" cm="1">
        <f t="array" ref="T1154">IF(B1154&gt;0,VLOOKUP(C1143,'Allocation OH and Target 2026'!$C$35:$S$87,17,0),"N/A")</f>
        <v>0</v>
      </c>
      <c r="U1154" s="423" cm="1">
        <f t="array" ref="U1154">_xlfn.IFERROR((S1154+T1154),"N/A")</f>
        <v>3100447.15769812</v>
      </c>
      <c r="V1154" s="424"/>
      <c r="W1154" s="423" cm="1">
        <f t="array" ref="W1154">_xlfn.IFERROR(U1154+Q1154,"N/A")</f>
        <v>12343680.4910315</v>
      </c>
      <c r="X1154" s="423" cm="1">
        <f t="array" ref="X1154">_xlfn.IFERROR(W1154*0.5%,"N/A")</f>
        <v>61718.4024551575</v>
      </c>
      <c r="Y1154" s="423" cm="1">
        <f t="array" ref="Y1154">_xlfn.IFERROR(W1154*25%,"N/A")</f>
        <v>3085920.12275788</v>
      </c>
      <c r="Z1154" s="425" cm="1">
        <f t="array" ref="Z1154">IF(B1154&gt;0,SUM(W1154:Y1154),"N/A")</f>
        <v>15491319.0162445</v>
      </c>
      <c r="AA1154" s="425" cm="1">
        <f t="array" ref="AA1154">_xlfn.IFERROR((Z1154-Z1153),"N/A")</f>
        <v>239705</v>
      </c>
      <c r="AB1154" s="424"/>
      <c r="AC1154" t="str" s="426" cm="1">
        <f t="array" ref="AC1154">IF(B1154=6,AVERAGE(Z1146:Z1151),"N/A")</f>
        <v>N/A</v>
      </c>
      <c r="AD1154" s="424"/>
      <c r="AE1154" t="s" s="509">
        <v>568</v>
      </c>
      <c r="AF1154" s="510" cm="1">
        <f t="array" ref="AF1154">AF1153*50%</f>
        <v>484172902.564105</v>
      </c>
      <c r="AG1154" s="423"/>
      <c r="AH1154" s="423"/>
      <c r="AI1154" s="423"/>
      <c r="AJ1154" s="423"/>
      <c r="AK1154" s="423"/>
      <c r="AL1154" s="423"/>
      <c r="AM1154" s="423"/>
      <c r="AN1154" s="427"/>
    </row>
    <row r="1155" ht="15" customHeight="1">
      <c r="A1155" s="12"/>
      <c r="B1155" s="428" cm="1">
        <f t="array" ref="B1155">IF(B1154=0,0,IF(B1154&lt;VLOOKUP(C1143,'Boats Data Sheet 2026'!$C$3:$H$57,6,0),B1154+1,0))</f>
        <v>10</v>
      </c>
      <c r="C1155" s="423" cm="1">
        <f t="array" ref="C1155">IF(B1155&gt;0,IF(VLOOKUP(C1143,'Boats Data Sheet 2026'!$C$3:$J$57,8,0)="N/A",0,VLOOKUP(C1143,'Boats Data Sheet 2026'!$C$3:$J$57,8,0)),"N/A")</f>
        <v>0</v>
      </c>
      <c r="D1155" s="429" cm="1">
        <f t="array" ref="D1155">IF(B1155&gt;7,2,IF(B1155=0,"N/A",1))</f>
        <v>2</v>
      </c>
      <c r="E1155" s="423" cm="1">
        <f t="array" ref="E1155">_xlfn.IFERROR(SUM('Direct Costs 2026'!$C$4:$C$5)*D1155,"N/A")</f>
        <v>1751000</v>
      </c>
      <c r="F1155" s="423" cm="1">
        <f t="array" ref="F1155">_xlfn.IFERROR('Direct Costs 2026'!$C$43*B1155,"N/A")</f>
        <v>60000</v>
      </c>
      <c r="G1155" s="423" cm="1">
        <f t="array" ref="G1155">IF(B1155&gt;0,'Direct Costs 2026'!$C$25,"N/A")</f>
        <v>90000</v>
      </c>
      <c r="H1155" s="423" cm="1">
        <f t="array" ref="H1155">IF(B1155&gt;0,('Direct Costs 2026'!$C$15+'Direct Costs 2026'!$C$17+'Direct Costs 2026'!$C$14),"N/A")</f>
        <v>580000</v>
      </c>
      <c r="I1155" s="423" cm="1">
        <f t="array" ref="I1155">IF(B1155&gt;0,'Direct Costs 2026'!$C$19+'Direct Costs 2026'!$C$18*B1155,"N/A")</f>
        <v>425000</v>
      </c>
      <c r="J1155" s="423" cm="1">
        <f t="array" ref="J1155">IF(B1155&gt;0,SUM('Direct Costs 2026'!$C$20:$C$21),"N/A")</f>
        <v>98333.3333333333</v>
      </c>
      <c r="K1155" s="423" cm="1">
        <f t="array" ref="K1155">IF(B1155&gt;0,'Direct Costs 2026'!$C$26,"N/A")</f>
        <v>20000</v>
      </c>
      <c r="L1155" s="423" cm="1">
        <f t="array" ref="L1155">IF(B1155&gt;0,'Direct Costs 2026'!$C$23,"N/A")</f>
        <v>140000</v>
      </c>
      <c r="M1155" s="423" cm="1">
        <f t="array" ref="M1155">IF(B1155&gt;0,'Direct Costs 2026'!$C$45*B1155,"N/A")</f>
        <v>1500000</v>
      </c>
      <c r="N1155" s="423" cm="1">
        <f t="array" ref="N1155">IF(B1155&gt;0,_xlfn.IFERROR(VLOOKUP(C1143,'Boats Data Sheet 2026'!$C$3:$I$57,7,0)*'Direct Costs 2026'!$C$36,"N/A"),"N/A")</f>
        <v>3657500</v>
      </c>
      <c r="O1155" s="423" cm="1">
        <f t="array" ref="O1155">IF(B1155&gt;0,IF(OR(VLOOKUP(C1143,'Boats Data Sheet 2026'!$C$3:$F$57,4,0)="Own",VLOOKUP(C1143,'Boats Data Sheet 2026'!$C$3:$F$57,4,0)="Management"),('Direct Costs 2026'!$C$37+'Direct Costs 2026'!$C$39),"N/A"),"N/A")</f>
        <v>1112400</v>
      </c>
      <c r="P1155" s="423" cm="1">
        <f t="array" ref="P1155">_xlfn.IFERROR('Direct Costs 2026'!$C$27*C1155,"N/A")</f>
        <v>0</v>
      </c>
      <c r="Q1155" s="423" cm="1">
        <f t="array" ref="Q1155">_xlfn.IFERROR(C1155+SUM(E1155:P1155),"N/A")</f>
        <v>9434233.33333333</v>
      </c>
      <c r="R1155" s="424"/>
      <c r="S1155" s="423" cm="1">
        <f t="array" ref="S1155">IF(B1155&gt;0,'Allocation OH and Target 2026'!$E$31,"N/A")</f>
        <v>3100447.15769812</v>
      </c>
      <c r="T1155" s="423" cm="1">
        <f t="array" ref="T1155">IF(B1155&gt;0,VLOOKUP(C1143,'Allocation OH and Target 2026'!$C$35:$S$87,17,0),"N/A")</f>
        <v>0</v>
      </c>
      <c r="U1155" s="423" cm="1">
        <f t="array" ref="U1155">_xlfn.IFERROR((S1155+T1155),"N/A")</f>
        <v>3100447.15769812</v>
      </c>
      <c r="V1155" s="424"/>
      <c r="W1155" s="423" cm="1">
        <f t="array" ref="W1155">_xlfn.IFERROR(U1155+Q1155,"N/A")</f>
        <v>12534680.4910315</v>
      </c>
      <c r="X1155" s="423" cm="1">
        <f t="array" ref="X1155">_xlfn.IFERROR(W1155*0.5%,"N/A")</f>
        <v>62673.4024551575</v>
      </c>
      <c r="Y1155" s="423" cm="1">
        <f t="array" ref="Y1155">_xlfn.IFERROR(W1155*25%,"N/A")</f>
        <v>3133670.12275788</v>
      </c>
      <c r="Z1155" s="425" cm="1">
        <f t="array" ref="Z1155">IF(B1155&gt;0,SUM(W1155:Y1155),"N/A")</f>
        <v>15731024.0162445</v>
      </c>
      <c r="AA1155" s="425" cm="1">
        <f t="array" ref="AA1155">_xlfn.IFERROR((Z1155-Z1154),"N/A")</f>
        <v>239705</v>
      </c>
      <c r="AB1155" s="424"/>
      <c r="AC1155" t="str" s="426" cm="1">
        <f t="array" ref="AC1155">IF(B1155=6,AVERAGE(Z1146:Z1151),"N/A")</f>
        <v>N/A</v>
      </c>
      <c r="AD1155" s="424"/>
      <c r="AE1155" s="423"/>
      <c r="AF1155" s="423"/>
      <c r="AG1155" s="423"/>
      <c r="AH1155" s="423"/>
      <c r="AI1155" s="423"/>
      <c r="AJ1155" s="423"/>
      <c r="AK1155" s="423"/>
      <c r="AL1155" s="423"/>
      <c r="AM1155" s="423"/>
      <c r="AN1155" s="427"/>
    </row>
    <row r="1156" ht="15" customHeight="1">
      <c r="A1156" s="12"/>
      <c r="B1156" s="428" cm="1">
        <f t="array" ref="B1156">IF(B1155=0,0,IF(B1155&lt;VLOOKUP(C1143,'Boats Data Sheet 2026'!$C$3:$H$57,6,0),B1155+1,0))</f>
        <v>11</v>
      </c>
      <c r="C1156" s="423" cm="1">
        <f t="array" ref="C1156">IF(B1156&gt;0,IF(VLOOKUP(C1143,'Boats Data Sheet 2026'!$C$3:$J$57,8,0)="N/A",0,VLOOKUP(C1143,'Boats Data Sheet 2026'!$C$3:$J$57,8,0)),"N/A")</f>
        <v>0</v>
      </c>
      <c r="D1156" s="429" cm="1">
        <f t="array" ref="D1156">IF(B1156&gt;7,2,IF(B1156=0,"N/A",1))</f>
        <v>2</v>
      </c>
      <c r="E1156" s="423" cm="1">
        <f t="array" ref="E1156">_xlfn.IFERROR(SUM('Direct Costs 2026'!$C$4:$C$5)*D1156,"N/A")</f>
        <v>1751000</v>
      </c>
      <c r="F1156" s="423" cm="1">
        <f t="array" ref="F1156">_xlfn.IFERROR('Direct Costs 2026'!$C$43*B1156,"N/A")</f>
        <v>66000</v>
      </c>
      <c r="G1156" s="423" cm="1">
        <f t="array" ref="G1156">IF(B1156&gt;0,'Direct Costs 2026'!$C$25,"N/A")</f>
        <v>90000</v>
      </c>
      <c r="H1156" s="423" cm="1">
        <f t="array" ref="H1156">IF(B1156&gt;0,('Direct Costs 2026'!$C$15+'Direct Costs 2026'!$C$17+'Direct Costs 2026'!$C$14),"N/A")</f>
        <v>580000</v>
      </c>
      <c r="I1156" s="423" cm="1">
        <f t="array" ref="I1156">IF(B1156&gt;0,'Direct Costs 2026'!$C$19+'Direct Costs 2026'!$C$18*B1156,"N/A")</f>
        <v>460000</v>
      </c>
      <c r="J1156" s="423" cm="1">
        <f t="array" ref="J1156">IF(B1156&gt;0,SUM('Direct Costs 2026'!$C$20:$C$21),"N/A")</f>
        <v>98333.3333333333</v>
      </c>
      <c r="K1156" s="423" cm="1">
        <f t="array" ref="K1156">IF(B1156&gt;0,'Direct Costs 2026'!$C$26,"N/A")</f>
        <v>20000</v>
      </c>
      <c r="L1156" s="423" cm="1">
        <f t="array" ref="L1156">IF(B1156&gt;0,'Direct Costs 2026'!$C$23,"N/A")</f>
        <v>140000</v>
      </c>
      <c r="M1156" s="423" cm="1">
        <f t="array" ref="M1156">IF(B1156&gt;0,'Direct Costs 2026'!$C$45*B1156,"N/A")</f>
        <v>1650000</v>
      </c>
      <c r="N1156" s="423" cm="1">
        <f t="array" ref="N1156">IF(B1156&gt;0,_xlfn.IFERROR(VLOOKUP(C1143,'Boats Data Sheet 2026'!$C$3:$I$57,7,0)*'Direct Costs 2026'!$C$36,"N/A"),"N/A")</f>
        <v>3657500</v>
      </c>
      <c r="O1156" s="423" cm="1">
        <f t="array" ref="O1156">IF(B1156&gt;0,IF(OR(VLOOKUP(C1143,'Boats Data Sheet 2026'!$C$3:$F$57,4,0)="Own",VLOOKUP(C1143,'Boats Data Sheet 2026'!$C$3:$F$57,4,0)="Management"),('Direct Costs 2026'!$C$37+'Direct Costs 2026'!$C$39),"N/A"),"N/A")</f>
        <v>1112400</v>
      </c>
      <c r="P1156" s="423" cm="1">
        <f t="array" ref="P1156">_xlfn.IFERROR('Direct Costs 2026'!$C$27*C1156,"N/A")</f>
        <v>0</v>
      </c>
      <c r="Q1156" s="423" cm="1">
        <f t="array" ref="Q1156">_xlfn.IFERROR(C1156+SUM(E1156:P1156),"N/A")</f>
        <v>9625233.33333333</v>
      </c>
      <c r="R1156" s="424"/>
      <c r="S1156" s="423" cm="1">
        <f t="array" ref="S1156">IF(B1156&gt;0,'Allocation OH and Target 2026'!$E$31,"N/A")</f>
        <v>3100447.15769812</v>
      </c>
      <c r="T1156" s="423" cm="1">
        <f t="array" ref="T1156">IF(B1156&gt;0,VLOOKUP(C1143,'Allocation OH and Target 2026'!$C$35:$S$87,17,0),"N/A")</f>
        <v>0</v>
      </c>
      <c r="U1156" s="423" cm="1">
        <f t="array" ref="U1156">_xlfn.IFERROR((S1156+T1156),"N/A")</f>
        <v>3100447.15769812</v>
      </c>
      <c r="V1156" s="424"/>
      <c r="W1156" s="423" cm="1">
        <f t="array" ref="W1156">_xlfn.IFERROR(U1156+Q1156,"N/A")</f>
        <v>12725680.4910315</v>
      </c>
      <c r="X1156" s="423" cm="1">
        <f t="array" ref="X1156">_xlfn.IFERROR(W1156*0.5%,"N/A")</f>
        <v>63628.4024551575</v>
      </c>
      <c r="Y1156" s="423" cm="1">
        <f t="array" ref="Y1156">_xlfn.IFERROR(W1156*25%,"N/A")</f>
        <v>3181420.12275788</v>
      </c>
      <c r="Z1156" s="425" cm="1">
        <f t="array" ref="Z1156">IF(B1156&gt;0,SUM(W1156:Y1156),"N/A")</f>
        <v>15970729.0162445</v>
      </c>
      <c r="AA1156" s="425" cm="1">
        <f t="array" ref="AA1156">_xlfn.IFERROR((Z1156-Z1155),"N/A")</f>
        <v>239705</v>
      </c>
      <c r="AB1156" s="424"/>
      <c r="AC1156" t="str" s="426" cm="1">
        <f t="array" ref="AC1156">IF(B1156=6,AVERAGE(Z1146:Z1151),"N/A")</f>
        <v>N/A</v>
      </c>
      <c r="AD1156" s="424"/>
      <c r="AE1156" s="423"/>
      <c r="AF1156" s="423"/>
      <c r="AG1156" s="423"/>
      <c r="AH1156" s="423"/>
      <c r="AI1156" s="423"/>
      <c r="AJ1156" s="423"/>
      <c r="AK1156" s="423"/>
      <c r="AL1156" s="423"/>
      <c r="AM1156" s="423"/>
      <c r="AN1156" s="427"/>
    </row>
    <row r="1157" ht="15" customHeight="1">
      <c r="A1157" s="12"/>
      <c r="B1157" s="428" cm="1">
        <f t="array" ref="B1157">IF(B1156=0,0,IF(B1156&lt;VLOOKUP(C1143,'Boats Data Sheet 2026'!$C$3:$H$57,6,0),B1156+1,0))</f>
        <v>12</v>
      </c>
      <c r="C1157" s="423" cm="1">
        <f t="array" ref="C1157">IF(B1157&gt;0,IF(VLOOKUP(C1143,'Boats Data Sheet 2026'!$C$3:$J$57,8,0)="N/A",0,VLOOKUP(C1143,'Boats Data Sheet 2026'!$C$3:$J$57,8,0)),"N/A")</f>
        <v>0</v>
      </c>
      <c r="D1157" s="429" cm="1">
        <f t="array" ref="D1157">IF(B1157&gt;7,2,IF(B1157=0,"N/A",1))</f>
        <v>2</v>
      </c>
      <c r="E1157" s="423" cm="1">
        <f t="array" ref="E1157">_xlfn.IFERROR(SUM('Direct Costs 2026'!$C$4:$C$5)*D1157,"N/A")</f>
        <v>1751000</v>
      </c>
      <c r="F1157" s="423" cm="1">
        <f t="array" ref="F1157">_xlfn.IFERROR('Direct Costs 2026'!$C$43*B1157,"N/A")</f>
        <v>72000</v>
      </c>
      <c r="G1157" s="423" cm="1">
        <f t="array" ref="G1157">IF(B1157&gt;0,'Direct Costs 2026'!$C$25,"N/A")</f>
        <v>90000</v>
      </c>
      <c r="H1157" s="423" cm="1">
        <f t="array" ref="H1157">IF(B1157&gt;0,('Direct Costs 2026'!$C$15+'Direct Costs 2026'!$C$17+'Direct Costs 2026'!$C$14),"N/A")</f>
        <v>580000</v>
      </c>
      <c r="I1157" s="423" cm="1">
        <f t="array" ref="I1157">IF(B1157&gt;0,'Direct Costs 2026'!$C$19+'Direct Costs 2026'!$C$18*B1157,"N/A")</f>
        <v>495000</v>
      </c>
      <c r="J1157" s="423" cm="1">
        <f t="array" ref="J1157">IF(B1157&gt;0,SUM('Direct Costs 2026'!$C$20:$C$21),"N/A")</f>
        <v>98333.3333333333</v>
      </c>
      <c r="K1157" s="423" cm="1">
        <f t="array" ref="K1157">IF(B1157&gt;0,'Direct Costs 2026'!$C$26,"N/A")</f>
        <v>20000</v>
      </c>
      <c r="L1157" s="423" cm="1">
        <f t="array" ref="L1157">IF(B1157&gt;0,'Direct Costs 2026'!$C$23,"N/A")</f>
        <v>140000</v>
      </c>
      <c r="M1157" s="423" cm="1">
        <f t="array" ref="M1157">IF(B1157&gt;0,'Direct Costs 2026'!$C$45*B1157,"N/A")</f>
        <v>1800000</v>
      </c>
      <c r="N1157" s="423" cm="1">
        <f t="array" ref="N1157">IF(B1157&gt;0,_xlfn.IFERROR(VLOOKUP(C1143,'Boats Data Sheet 2026'!$C$3:$I$57,7,0)*'Direct Costs 2026'!$C$36,"N/A"),"N/A")</f>
        <v>3657500</v>
      </c>
      <c r="O1157" s="423" cm="1">
        <f t="array" ref="O1157">IF(B1157&gt;0,IF(OR(VLOOKUP(C1143,'Boats Data Sheet 2026'!$C$3:$F$57,4,0)="Own",VLOOKUP(C1143,'Boats Data Sheet 2026'!$C$3:$F$57,4,0)="Management"),('Direct Costs 2026'!$C$37+'Direct Costs 2026'!$C$39),"N/A"),"N/A")</f>
        <v>1112400</v>
      </c>
      <c r="P1157" s="423" cm="1">
        <f t="array" ref="P1157">_xlfn.IFERROR('Direct Costs 2026'!$C$27*C1157,"N/A")</f>
        <v>0</v>
      </c>
      <c r="Q1157" s="423" cm="1">
        <f t="array" ref="Q1157">_xlfn.IFERROR(C1157+SUM(E1157:P1157),"N/A")</f>
        <v>9816233.33333333</v>
      </c>
      <c r="R1157" s="424"/>
      <c r="S1157" s="423" cm="1">
        <f t="array" ref="S1157">IF(B1157&gt;0,'Allocation OH and Target 2026'!$E$31,"N/A")</f>
        <v>3100447.15769812</v>
      </c>
      <c r="T1157" s="423" cm="1">
        <f t="array" ref="T1157">IF(B1158&gt;0,VLOOKUP(C1143,'Allocation OH and Target 2026'!$C$35:$S$87,17,0),"N/A")</f>
        <v>0</v>
      </c>
      <c r="U1157" s="423" cm="1">
        <f t="array" ref="U1157">_xlfn.IFERROR((S1157+T1157),"N/A")</f>
        <v>3100447.15769812</v>
      </c>
      <c r="V1157" s="424"/>
      <c r="W1157" s="423" cm="1">
        <f t="array" ref="W1157">_xlfn.IFERROR(U1157+Q1157,"N/A")</f>
        <v>12916680.4910315</v>
      </c>
      <c r="X1157" s="423" cm="1">
        <f t="array" ref="X1157">_xlfn.IFERROR(W1157*0.5%,"N/A")</f>
        <v>64583.4024551575</v>
      </c>
      <c r="Y1157" s="423" cm="1">
        <f t="array" ref="Y1157">_xlfn.IFERROR(W1157*25%,"N/A")</f>
        <v>3229170.12275788</v>
      </c>
      <c r="Z1157" s="425" cm="1">
        <f t="array" ref="Z1157">IF(B1157&gt;0,SUM(W1157:Y1157),"N/A")</f>
        <v>16210434.0162445</v>
      </c>
      <c r="AA1157" s="425" cm="1">
        <f t="array" ref="AA1157">_xlfn.IFERROR((Z1157-Z1156),"N/A")</f>
        <v>239705</v>
      </c>
      <c r="AB1157" s="424"/>
      <c r="AC1157" t="str" s="426" cm="1">
        <f t="array" ref="AC1157">IF(B1157=6,AVERAGE(Z1146:Z1151),"N/A")</f>
        <v>N/A</v>
      </c>
      <c r="AD1157" s="424"/>
      <c r="AE1157" s="423"/>
      <c r="AF1157" s="423"/>
      <c r="AG1157" s="423"/>
      <c r="AH1157" s="423"/>
      <c r="AI1157" s="423"/>
      <c r="AJ1157" s="423"/>
      <c r="AK1157" s="423"/>
      <c r="AL1157" s="423"/>
      <c r="AM1157" s="423"/>
      <c r="AN1157" s="427"/>
    </row>
    <row r="1158" ht="15" customHeight="1">
      <c r="A1158" s="12"/>
      <c r="B1158" s="428" cm="1">
        <f t="array" ref="B1158">IF(B1157=0,0,IF(B1157&lt;VLOOKUP(C1143,'Boats Data Sheet 2026'!$C$3:$H$57,6,0),B1157+1,0))</f>
        <v>13</v>
      </c>
      <c r="C1158" s="423" cm="1">
        <f t="array" ref="C1158">IF(B1158&gt;0,IF(VLOOKUP(C1143,'Boats Data Sheet 2026'!$C$3:$J$57,8,0)="N/A",0,VLOOKUP(C1143,'Boats Data Sheet 2026'!$C$3:$J$57,8,0)),"N/A")</f>
        <v>0</v>
      </c>
      <c r="D1158" s="429" cm="1">
        <f t="array" ref="D1158">IF(B1158&gt;7,2,IF(B1158=0,"N/A",1))</f>
        <v>2</v>
      </c>
      <c r="E1158" s="423" cm="1">
        <f t="array" ref="E1158">_xlfn.IFERROR(SUM('Direct Costs 2026'!$C$4:$C$5)*D1158,"N/A")</f>
        <v>1751000</v>
      </c>
      <c r="F1158" s="423" cm="1">
        <f t="array" ref="F1158">_xlfn.IFERROR('Direct Costs 2026'!$C$43*B1158,"N/A")</f>
        <v>78000</v>
      </c>
      <c r="G1158" s="423" cm="1">
        <f t="array" ref="G1158">IF(B1158&gt;0,'Direct Costs 2026'!$C$25,"N/A")</f>
        <v>90000</v>
      </c>
      <c r="H1158" s="423" cm="1">
        <f t="array" ref="H1158">IF(B1158&gt;0,('Direct Costs 2026'!$C$15+'Direct Costs 2026'!$C$17+'Direct Costs 2026'!$C$14),"N/A")</f>
        <v>580000</v>
      </c>
      <c r="I1158" s="423" cm="1">
        <f t="array" ref="I1158">IF(B1158&gt;0,'Direct Costs 2026'!$C$19+'Direct Costs 2026'!$C$18*B1158,"N/A")</f>
        <v>530000</v>
      </c>
      <c r="J1158" s="423" cm="1">
        <f t="array" ref="J1158">IF(B1158&gt;0,SUM('Direct Costs 2026'!$C$20:$C$21),"N/A")</f>
        <v>98333.3333333333</v>
      </c>
      <c r="K1158" s="423" cm="1">
        <f t="array" ref="K1158">IF(B1158&gt;0,'Direct Costs 2026'!$C$26,"N/A")</f>
        <v>20000</v>
      </c>
      <c r="L1158" s="423" cm="1">
        <f t="array" ref="L1158">IF(B1158&gt;0,'Direct Costs 2026'!$C$23,"N/A")</f>
        <v>140000</v>
      </c>
      <c r="M1158" s="423" cm="1">
        <f t="array" ref="M1158">IF(B1158&gt;0,'Direct Costs 2026'!$C$45*B1158,"N/A")</f>
        <v>1950000</v>
      </c>
      <c r="N1158" s="423" cm="1">
        <f t="array" ref="N1158">IF(B1158&gt;0,_xlfn.IFERROR(VLOOKUP(C1143,'Boats Data Sheet 2026'!$C$3:$I$57,7,0)*'Direct Costs 2026'!$C$36,"N/A"),"N/A")</f>
        <v>3657500</v>
      </c>
      <c r="O1158" s="423" cm="1">
        <f t="array" ref="O1158">IF(B1158&gt;0,IF(OR(VLOOKUP(C1143,'Boats Data Sheet 2026'!$C$3:$F$57,4,0)="Own",VLOOKUP(C1143,'Boats Data Sheet 2026'!$C$3:$F$57,4,0)="Management"),('Direct Costs 2026'!$C$37+'Direct Costs 2026'!$C$39),"N/A"),"N/A")</f>
        <v>1112400</v>
      </c>
      <c r="P1158" s="423" cm="1">
        <f t="array" ref="P1158">_xlfn.IFERROR('Direct Costs 2026'!$C$27*C1158,"N/A")</f>
        <v>0</v>
      </c>
      <c r="Q1158" s="423" cm="1">
        <f t="array" ref="Q1158">_xlfn.IFERROR(C1158+SUM(E1158:P1158),"N/A")</f>
        <v>10007233.3333333</v>
      </c>
      <c r="R1158" s="424"/>
      <c r="S1158" s="423" cm="1">
        <f t="array" ref="S1158">IF(B1158&gt;0,'Allocation OH and Target 2026'!$E$31,"N/A")</f>
        <v>3100447.15769812</v>
      </c>
      <c r="T1158" s="423" cm="1">
        <f t="array" ref="T1158">IF(B1158&gt;0,VLOOKUP(C1143,'Allocation OH and Target 2026'!$C$35:$S$87,17,0),"N/A")</f>
        <v>0</v>
      </c>
      <c r="U1158" s="423" cm="1">
        <f t="array" ref="U1158">_xlfn.IFERROR((S1158+T1158),"N/A")</f>
        <v>3100447.15769812</v>
      </c>
      <c r="V1158" s="424"/>
      <c r="W1158" s="423" cm="1">
        <f t="array" ref="W1158">_xlfn.IFERROR(U1158+Q1158,"N/A")</f>
        <v>13107680.4910314</v>
      </c>
      <c r="X1158" s="423" cm="1">
        <f t="array" ref="X1158">_xlfn.IFERROR(W1158*0.5%,"N/A")</f>
        <v>65538.402455157</v>
      </c>
      <c r="Y1158" s="423" cm="1">
        <f t="array" ref="Y1158">_xlfn.IFERROR(W1158*25%,"N/A")</f>
        <v>3276920.12275785</v>
      </c>
      <c r="Z1158" s="425" cm="1">
        <f t="array" ref="Z1158">IF(B1158&gt;0,SUM(W1158:Y1158),"N/A")</f>
        <v>16450139.0162444</v>
      </c>
      <c r="AA1158" s="425" cm="1">
        <f t="array" ref="AA1158">_xlfn.IFERROR((Z1158-Z1157),"N/A")</f>
        <v>239704.9999999</v>
      </c>
      <c r="AB1158" s="424"/>
      <c r="AC1158" t="str" s="426" cm="1">
        <f t="array" ref="AC1158">IF(B1158=6,AVERAGE(Z1146:Z1151),"N/A")</f>
        <v>N/A</v>
      </c>
      <c r="AD1158" s="424"/>
      <c r="AE1158" s="423"/>
      <c r="AF1158" s="423"/>
      <c r="AG1158" s="423"/>
      <c r="AH1158" s="423"/>
      <c r="AI1158" s="423"/>
      <c r="AJ1158" s="423"/>
      <c r="AK1158" s="423"/>
      <c r="AL1158" s="423"/>
      <c r="AM1158" s="423"/>
      <c r="AN1158" s="427"/>
    </row>
    <row r="1159" ht="15" customHeight="1">
      <c r="A1159" s="12"/>
      <c r="B1159" s="428" cm="1">
        <f t="array" ref="B1159">IF(B1158=0,0,IF(B1158&lt;VLOOKUP(C1143,'Boats Data Sheet 2026'!$C$3:$H$57,6,0),B1158+1,0))</f>
        <v>0</v>
      </c>
      <c r="C1159" t="str" s="431" cm="1">
        <f t="array" ref="C1159">IF(B1159&gt;0,IF(VLOOKUP(C1143,'Boats Data Sheet 2026'!$C$3:$J$57,8,0)="N/A",0,VLOOKUP(C1143,'Boats Data Sheet 2026'!$C$3:$J$57,8,0)),"N/A")</f>
        <v>N/A</v>
      </c>
      <c r="D1159" t="str" s="431" cm="1">
        <f t="array" ref="D1159">IF(B1159&gt;7,2,IF(B1159=0,"N/A",1))</f>
        <v>N/A</v>
      </c>
      <c r="E1159" t="str" s="431" cm="1">
        <f t="array" ref="E1159">_xlfn.IFERROR(SUM('Direct Costs 2026'!$C$4:$C$5)*D1159,"N/A")</f>
        <v>N/A</v>
      </c>
      <c r="F1159" s="423" cm="1">
        <f t="array" ref="F1159">_xlfn.IFERROR('Direct Costs 2026'!$C$43*B1159,"N/A")</f>
        <v>0</v>
      </c>
      <c r="G1159" t="str" s="431" cm="1">
        <f t="array" ref="G1159">IF(B1159&gt;0,'Direct Costs 2026'!$C$25,"N/A")</f>
        <v>N/A</v>
      </c>
      <c r="H1159" t="str" s="431" cm="1">
        <f t="array" ref="H1159">IF(B1159&gt;0,('Direct Costs 2026'!$C$15+'Direct Costs 2026'!$C$17+'Direct Costs 2026'!$C$14),"N/A")</f>
        <v>N/A</v>
      </c>
      <c r="I1159" t="str" s="431" cm="1">
        <f t="array" ref="I1159">IF(B1159&gt;0,'Direct Costs 2026'!$C$19+'Direct Costs 2026'!$C$18*B1159,"N/A")</f>
        <v>N/A</v>
      </c>
      <c r="J1159" t="str" s="431" cm="1">
        <f t="array" ref="J1159">IF(B1159&gt;0,SUM('Direct Costs 2026'!$C$20:$C$21),"N/A")</f>
        <v>N/A</v>
      </c>
      <c r="K1159" t="str" s="431" cm="1">
        <f t="array" ref="K1159">IF(B1159&gt;0,'Direct Costs 2026'!$C$26,"N/A")</f>
        <v>N/A</v>
      </c>
      <c r="L1159" t="str" s="431" cm="1">
        <f t="array" ref="L1159">IF(B1159&gt;0,'Direct Costs 2026'!$C$23,"N/A")</f>
        <v>N/A</v>
      </c>
      <c r="M1159" t="str" s="431" cm="1">
        <f t="array" ref="M1159">IF(B1159&gt;0,'Direct Costs 2026'!$C$45*B1159,"N/A")</f>
        <v>N/A</v>
      </c>
      <c r="N1159" t="str" s="431" cm="1">
        <f t="array" ref="N1159">IF(B1159&gt;0,_xlfn.IFERROR(VLOOKUP(C1143,'Boats Data Sheet 2026'!$C$3:$I$57,7,0)*'Direct Costs 2026'!$C$36,"N/A"),"N/A")</f>
        <v>N/A</v>
      </c>
      <c r="O1159" t="str" s="431" cm="1">
        <f t="array" ref="O1159">IF(B1159&gt;0,IF(OR(VLOOKUP(C1143,'Boats Data Sheet 2026'!$C$3:$F$57,4,0)="Own",VLOOKUP(C1143,'Boats Data Sheet 2026'!$C$3:$F$57,4,0)="Management"),('Direct Costs 2026'!$C$37+'Direct Costs 2026'!$C$39),"N/A"),"N/A")</f>
        <v>N/A</v>
      </c>
      <c r="P1159" t="str" s="431" cm="1">
        <f t="array" ref="P1159">_xlfn.IFERROR('Direct Costs 2026'!$C$27*C1159,"N/A")</f>
        <v>N/A</v>
      </c>
      <c r="Q1159" t="str" s="431" cm="1">
        <f t="array" ref="Q1159">_xlfn.IFERROR(C1159+SUM(E1159:P1159),"N/A")</f>
        <v>N/A</v>
      </c>
      <c r="R1159" s="424"/>
      <c r="S1159" t="str" s="431" cm="1">
        <f t="array" ref="S1159">IF(B1159&gt;0,'Allocation OH and Target 2026'!$E$31,"N/A")</f>
        <v>N/A</v>
      </c>
      <c r="T1159" t="str" s="431" cm="1">
        <f t="array" ref="T1159">IF(B1159&gt;0,VLOOKUP(C1143,'Allocation OH and Target 2026'!$C$35:$S$87,17,0),"N/A")</f>
        <v>N/A</v>
      </c>
      <c r="U1159" t="str" s="431" cm="1">
        <f t="array" ref="U1159">_xlfn.IFERROR((S1159+T1159),"N/A")</f>
        <v>N/A</v>
      </c>
      <c r="V1159" s="424"/>
      <c r="W1159" t="str" s="431" cm="1">
        <f t="array" ref="W1159">_xlfn.IFERROR(U1159+Q1159,"N/A")</f>
        <v>N/A</v>
      </c>
      <c r="X1159" t="str" s="431" cm="1">
        <f t="array" ref="X1159">_xlfn.IFERROR(W1159*0.5%,"N/A")</f>
        <v>N/A</v>
      </c>
      <c r="Y1159" t="str" s="431" cm="1">
        <f t="array" ref="Y1159">_xlfn.IFERROR(W1159*25%,"N/A")</f>
        <v>N/A</v>
      </c>
      <c r="Z1159" t="str" s="426" cm="1">
        <f t="array" ref="Z1159">IF(B1159&gt;0,SUM(W1159:Y1159),"N/A")</f>
        <v>N/A</v>
      </c>
      <c r="AA1159" t="str" s="426" cm="1">
        <f t="array" ref="AA1159">_xlfn.IFERROR((Z1159-Z1158),"N/A")</f>
        <v>N/A</v>
      </c>
      <c r="AB1159" s="424"/>
      <c r="AC1159" t="str" s="426" cm="1">
        <f t="array" ref="AC1159">IF(B1159=6,AVERAGE(Z1146:Z1151),"N/A")</f>
        <v>N/A</v>
      </c>
      <c r="AD1159" s="424"/>
      <c r="AE1159" s="423"/>
      <c r="AF1159" s="423"/>
      <c r="AG1159" s="423"/>
      <c r="AH1159" s="423"/>
      <c r="AI1159" s="423"/>
      <c r="AJ1159" s="423"/>
      <c r="AK1159" s="423"/>
      <c r="AL1159" s="423"/>
      <c r="AM1159" s="423"/>
      <c r="AN1159" s="427"/>
    </row>
    <row r="1160" ht="15" customHeight="1">
      <c r="A1160" s="12"/>
      <c r="B1160" s="428" cm="1">
        <f t="array" ref="B1160">IF(B1159=0,0,IF(B1159&lt;VLOOKUP(C1143,'Boats Data Sheet 2026'!$C$3:$H$57,6,0),B1159+1,0))</f>
        <v>0</v>
      </c>
      <c r="C1160" t="str" s="431" cm="1">
        <f t="array" ref="C1160">IF(B1160&gt;0,IF(VLOOKUP(C1143,'Boats Data Sheet 2026'!$C$3:$J$57,8,0)="N/A",0,VLOOKUP(C1143,'Boats Data Sheet 2026'!$C$3:$J$57,8,0)),"N/A")</f>
        <v>N/A</v>
      </c>
      <c r="D1160" t="str" s="431" cm="1">
        <f t="array" ref="D1160">IF(B1160&gt;7,2,IF(B1160=0,"N/A",1))</f>
        <v>N/A</v>
      </c>
      <c r="E1160" t="str" s="431" cm="1">
        <f t="array" ref="E1160">_xlfn.IFERROR(SUM('Direct Costs 2026'!$C$4:$C$5)*D1160,"N/A")</f>
        <v>N/A</v>
      </c>
      <c r="F1160" s="423" cm="1">
        <f t="array" ref="F1160">_xlfn.IFERROR('Direct Costs 2026'!$C$43*B1160,"N/A")</f>
        <v>0</v>
      </c>
      <c r="G1160" t="str" s="431" cm="1">
        <f t="array" ref="G1160">IF(B1160&gt;0,'Direct Costs 2026'!$C$25,"N/A")</f>
        <v>N/A</v>
      </c>
      <c r="H1160" t="str" s="431" cm="1">
        <f t="array" ref="H1160">IF(B1160&gt;0,('Direct Costs 2026'!$C$15+'Direct Costs 2026'!$C$17+'Direct Costs 2026'!$C$14),"N/A")</f>
        <v>N/A</v>
      </c>
      <c r="I1160" t="str" s="431" cm="1">
        <f t="array" ref="I1160">IF(B1160&gt;0,'Direct Costs 2026'!$C$19+'Direct Costs 2026'!$C$18*B1160,"N/A")</f>
        <v>N/A</v>
      </c>
      <c r="J1160" t="str" s="431" cm="1">
        <f t="array" ref="J1160">IF(B1160&gt;0,SUM('Direct Costs 2026'!$C$20:$C$21),"N/A")</f>
        <v>N/A</v>
      </c>
      <c r="K1160" t="str" s="431" cm="1">
        <f t="array" ref="K1160">IF(B1160&gt;0,'Direct Costs 2026'!$C$26,"N/A")</f>
        <v>N/A</v>
      </c>
      <c r="L1160" t="str" s="431" cm="1">
        <f t="array" ref="L1160">IF(B1160&gt;0,'Direct Costs 2026'!$C$23,"N/A")</f>
        <v>N/A</v>
      </c>
      <c r="M1160" t="str" s="431" cm="1">
        <f t="array" ref="M1160">IF(B1160&gt;0,'Direct Costs 2026'!$C$45*B1160,"N/A")</f>
        <v>N/A</v>
      </c>
      <c r="N1160" t="str" s="431" cm="1">
        <f t="array" ref="N1160">IF(B1160&gt;0,_xlfn.IFERROR(VLOOKUP(C1143,'Boats Data Sheet 2026'!$C$3:$I$57,7,0)*'Direct Costs 2026'!$C$36,"N/A"),"N/A")</f>
        <v>N/A</v>
      </c>
      <c r="O1160" t="str" s="431" cm="1">
        <f t="array" ref="O1160">IF(B1160&gt;0,IF(OR(VLOOKUP(C1143,'Boats Data Sheet 2026'!$C$3:$F$57,4,0)="Own",VLOOKUP(C1143,'Boats Data Sheet 2026'!$C$3:$F$57,4,0)="Management"),('Direct Costs 2026'!$C$37+'Direct Costs 2026'!$C$39),"N/A"),"N/A")</f>
        <v>N/A</v>
      </c>
      <c r="P1160" t="str" s="431" cm="1">
        <f t="array" ref="P1160">_xlfn.IFERROR('Direct Costs 2026'!$C$27*C1160,"N/A")</f>
        <v>N/A</v>
      </c>
      <c r="Q1160" t="str" s="431" cm="1">
        <f t="array" ref="Q1160">_xlfn.IFERROR(C1160+SUM(E1160:P1160),"N/A")</f>
        <v>N/A</v>
      </c>
      <c r="R1160" s="424"/>
      <c r="S1160" t="str" s="431" cm="1">
        <f t="array" ref="S1160">IF(B1160&gt;0,'Allocation OH and Target 2026'!$E$31,"N/A")</f>
        <v>N/A</v>
      </c>
      <c r="T1160" t="str" s="431" cm="1">
        <f t="array" ref="T1160">IF(B1160&gt;0,VLOOKUP(C1143,'Allocation OH and Target 2026'!$C$35:$S$87,16,0),"N/A")</f>
        <v>N/A</v>
      </c>
      <c r="U1160" t="str" s="431" cm="1">
        <f t="array" ref="U1160">_xlfn.IFERROR((S1160+T1160),"N/A")</f>
        <v>N/A</v>
      </c>
      <c r="V1160" s="424"/>
      <c r="W1160" t="str" s="431" cm="1">
        <f t="array" ref="W1160">_xlfn.IFERROR(U1160+Q1160,"N/A")</f>
        <v>N/A</v>
      </c>
      <c r="X1160" t="str" s="431" cm="1">
        <f t="array" ref="X1160">_xlfn.IFERROR(W1160*0.5%,"N/A")</f>
        <v>N/A</v>
      </c>
      <c r="Y1160" t="str" s="431" cm="1">
        <f t="array" ref="Y1160">_xlfn.IFERROR(W1160*25%,"N/A")</f>
        <v>N/A</v>
      </c>
      <c r="Z1160" t="str" s="426" cm="1">
        <f t="array" ref="Z1160">IF(B1160&gt;0,SUM(W1160:Y1160),"N/A")</f>
        <v>N/A</v>
      </c>
      <c r="AA1160" t="str" s="426" cm="1">
        <f t="array" ref="AA1160">_xlfn.IFERROR((Z1160-Z1159),"N/A")</f>
        <v>N/A</v>
      </c>
      <c r="AB1160" s="424"/>
      <c r="AC1160" t="str" s="426" cm="1">
        <f t="array" ref="AC1160">IF(B1160=6,AVERAGE(Z1146:Z1151),"N/A")</f>
        <v>N/A</v>
      </c>
      <c r="AD1160" s="424"/>
      <c r="AE1160" s="423"/>
      <c r="AF1160" s="423"/>
      <c r="AG1160" s="423"/>
      <c r="AH1160" s="423"/>
      <c r="AI1160" s="423"/>
      <c r="AJ1160" s="423"/>
      <c r="AK1160" s="423"/>
      <c r="AL1160" s="423"/>
      <c r="AM1160" s="423"/>
      <c r="AN1160" s="427"/>
    </row>
    <row r="1161" ht="15" customHeight="1">
      <c r="A1161" s="12"/>
      <c r="B1161" s="428" cm="1">
        <f t="array" ref="B1161">IF(B1160=0,0,IF(B1160&lt;VLOOKUP(C1143,'Boats Data Sheet 2026'!$C$3:$H$57,6,0),B1160+1,0))</f>
        <v>0</v>
      </c>
      <c r="C1161" t="str" s="431" cm="1">
        <f t="array" ref="C1161">IF(B1161&gt;0,IF(VLOOKUP(C1143,'Boats Data Sheet 2026'!$C$3:$J$57,8,0)="N/A",0,VLOOKUP(C1143,'Boats Data Sheet 2026'!$C$3:$J$57,8,0)),"N/A")</f>
        <v>N/A</v>
      </c>
      <c r="D1161" t="str" s="431" cm="1">
        <f t="array" ref="D1161">IF(B1161&gt;7,2,IF(B1161=0,"N/A",1))</f>
        <v>N/A</v>
      </c>
      <c r="E1161" t="str" s="431" cm="1">
        <f t="array" ref="E1161">_xlfn.IFERROR(SUM('Direct Costs 2026'!$C$4:$C$5)*D1161,"N/A")</f>
        <v>N/A</v>
      </c>
      <c r="F1161" s="423" cm="1">
        <f t="array" ref="F1161">_xlfn.IFERROR('Direct Costs 2026'!$C$43*B1161,"N/A")</f>
        <v>0</v>
      </c>
      <c r="G1161" t="str" s="431" cm="1">
        <f t="array" ref="G1161">IF(B1161&gt;0,'Direct Costs 2026'!$C$25,"N/A")</f>
        <v>N/A</v>
      </c>
      <c r="H1161" t="str" s="431" cm="1">
        <f t="array" ref="H1161">IF(B1161&gt;0,('Direct Costs 2026'!$C$15+'Direct Costs 2026'!$C$17+'Direct Costs 2026'!$C$14),"N/A")</f>
        <v>N/A</v>
      </c>
      <c r="I1161" t="str" s="431" cm="1">
        <f t="array" ref="I1161">IF(B1161&gt;0,'Direct Costs 2026'!$C$19+'Direct Costs 2026'!$C$18*B1161,"N/A")</f>
        <v>N/A</v>
      </c>
      <c r="J1161" t="str" s="431" cm="1">
        <f t="array" ref="J1161">IF(B1161&gt;0,SUM('Direct Costs 2026'!$C$20:$C$21),"N/A")</f>
        <v>N/A</v>
      </c>
      <c r="K1161" t="str" s="431" cm="1">
        <f t="array" ref="K1161">IF(B1161&gt;0,'Direct Costs 2026'!$C$26,"N/A")</f>
        <v>N/A</v>
      </c>
      <c r="L1161" t="str" s="431" cm="1">
        <f t="array" ref="L1161">IF(B1161&gt;0,'Direct Costs 2026'!$C$23,"N/A")</f>
        <v>N/A</v>
      </c>
      <c r="M1161" t="str" s="431" cm="1">
        <f t="array" ref="M1161">IF(B1161&gt;0,'Direct Costs 2026'!$C$45*B1161,"N/A")</f>
        <v>N/A</v>
      </c>
      <c r="N1161" t="str" s="431" cm="1">
        <f t="array" ref="N1161">IF(B1161&gt;0,_xlfn.IFERROR(VLOOKUP(C1143,'Boats Data Sheet 2026'!$C$3:$I$57,7,0)*'Direct Costs 2026'!$C$36,"N/A"),"N/A")</f>
        <v>N/A</v>
      </c>
      <c r="O1161" t="str" s="431" cm="1">
        <f t="array" ref="O1161">IF(B1161&gt;0,IF(OR(VLOOKUP(C1143,'Boats Data Sheet 2026'!$C$3:$F$57,4,0)="Own",VLOOKUP(C1143,'Boats Data Sheet 2026'!$C$3:$F$57,4,0)="Management"),('Direct Costs 2026'!$C$37+'Direct Costs 2026'!$C$39),"N/A"),"N/A")</f>
        <v>N/A</v>
      </c>
      <c r="P1161" t="str" s="431" cm="1">
        <f t="array" ref="P1161">_xlfn.IFERROR('Direct Costs 2026'!$C$27*C1161,"N/A")</f>
        <v>N/A</v>
      </c>
      <c r="Q1161" t="str" s="431" cm="1">
        <f t="array" ref="Q1161">_xlfn.IFERROR(C1161+SUM(E1161:P1161),"N/A")</f>
        <v>N/A</v>
      </c>
      <c r="R1161" s="424"/>
      <c r="S1161" t="str" s="431" cm="1">
        <f t="array" ref="S1161">IF(B1161&gt;0,'Allocation OH and Target 2026'!$E$31,"N/A")</f>
        <v>N/A</v>
      </c>
      <c r="T1161" t="str" s="431" cm="1">
        <f t="array" ref="T1161">IF(B1161&gt;0,VLOOKUP(C1143,'Allocation OH and Target 2026'!$C$35:$S$87,16,0),"N/A")</f>
        <v>N/A</v>
      </c>
      <c r="U1161" t="str" s="431" cm="1">
        <f t="array" ref="U1161">_xlfn.IFERROR((S1161+T1161),"N/A")</f>
        <v>N/A</v>
      </c>
      <c r="V1161" s="424"/>
      <c r="W1161" t="str" s="431" cm="1">
        <f t="array" ref="W1161">_xlfn.IFERROR(U1161+Q1161,"N/A")</f>
        <v>N/A</v>
      </c>
      <c r="X1161" t="str" s="431" cm="1">
        <f t="array" ref="X1161">_xlfn.IFERROR(W1161*0.5%,"N/A")</f>
        <v>N/A</v>
      </c>
      <c r="Y1161" t="str" s="431" cm="1">
        <f t="array" ref="Y1161">_xlfn.IFERROR(W1161*25%,"N/A")</f>
        <v>N/A</v>
      </c>
      <c r="Z1161" t="str" s="426" cm="1">
        <f t="array" ref="Z1161">IF(B1161&gt;0,SUM(W1161:Y1161),"N/A")</f>
        <v>N/A</v>
      </c>
      <c r="AA1161" t="str" s="426" cm="1">
        <f t="array" ref="AA1161">_xlfn.IFERROR((Z1161-Z1160),"N/A")</f>
        <v>N/A</v>
      </c>
      <c r="AB1161" s="424"/>
      <c r="AC1161" t="str" s="426" cm="1">
        <f t="array" ref="AC1161">IF(B1161=6,AVERAGE(Z1146:Z1151),"N/A")</f>
        <v>N/A</v>
      </c>
      <c r="AD1161" s="424"/>
      <c r="AE1161" s="423"/>
      <c r="AF1161" s="423"/>
      <c r="AG1161" s="423"/>
      <c r="AH1161" s="423"/>
      <c r="AI1161" s="423"/>
      <c r="AJ1161" s="423"/>
      <c r="AK1161" s="423"/>
      <c r="AL1161" s="423"/>
      <c r="AM1161" s="423"/>
      <c r="AN1161" s="427"/>
    </row>
    <row r="1162" ht="15" customHeight="1">
      <c r="A1162" s="12"/>
      <c r="B1162" s="428" cm="1">
        <f t="array" ref="B1162">IF(B1161=0,0,IF(B1161&lt;VLOOKUP(C1143,'Boats Data Sheet 2026'!$C$3:$H$57,6,0),B1161+1,0))</f>
        <v>0</v>
      </c>
      <c r="C1162" t="str" s="431" cm="1">
        <f t="array" ref="C1162">IF(B1162&gt;0,IF(VLOOKUP(C1143,'Boats Data Sheet 2026'!$C$3:$J$57,8,0)="N/A",0,VLOOKUP(C1143,'Boats Data Sheet 2026'!$C$3:$J$57,8,0)),"N/A")</f>
        <v>N/A</v>
      </c>
      <c r="D1162" t="str" s="431" cm="1">
        <f t="array" ref="D1162">IF(B1162&gt;7,2,IF(B1162=0,"N/A",1))</f>
        <v>N/A</v>
      </c>
      <c r="E1162" t="str" s="431" cm="1">
        <f t="array" ref="E1162">_xlfn.IFERROR(SUM('Direct Costs 2026'!$C$4:$C$5)*D1162,"N/A")</f>
        <v>N/A</v>
      </c>
      <c r="F1162" s="423" cm="1">
        <f t="array" ref="F1162">_xlfn.IFERROR('Direct Costs 2026'!$C$43*B1162,"N/A")</f>
        <v>0</v>
      </c>
      <c r="G1162" t="str" s="431" cm="1">
        <f t="array" ref="G1162">IF(B1162&gt;0,'Direct Costs 2026'!$C$25,"N/A")</f>
        <v>N/A</v>
      </c>
      <c r="H1162" t="str" s="431" cm="1">
        <f t="array" ref="H1162">IF(B1162&gt;0,('Direct Costs 2026'!$C$15+'Direct Costs 2026'!$C$17+'Direct Costs 2026'!$C$14),"N/A")</f>
        <v>N/A</v>
      </c>
      <c r="I1162" t="str" s="431" cm="1">
        <f t="array" ref="I1162">IF(B1162&gt;0,'Direct Costs 2026'!$C$19+'Direct Costs 2026'!$C$18*B1162,"N/A")</f>
        <v>N/A</v>
      </c>
      <c r="J1162" t="str" s="431" cm="1">
        <f t="array" ref="J1162">IF(B1162&gt;0,SUM('Direct Costs 2026'!$C$20:$C$21),"N/A")</f>
        <v>N/A</v>
      </c>
      <c r="K1162" t="str" s="431" cm="1">
        <f t="array" ref="K1162">IF(B1162&gt;0,'Direct Costs 2026'!$C$26,"N/A")</f>
        <v>N/A</v>
      </c>
      <c r="L1162" t="str" s="431" cm="1">
        <f t="array" ref="L1162">IF(B1162&gt;0,'Direct Costs 2026'!$C$23,"N/A")</f>
        <v>N/A</v>
      </c>
      <c r="M1162" t="str" s="431" cm="1">
        <f t="array" ref="M1162">IF(B1162&gt;0,'Direct Costs 2026'!$C$45*B1162,"N/A")</f>
        <v>N/A</v>
      </c>
      <c r="N1162" t="str" s="431" cm="1">
        <f t="array" ref="N1162">IF(B1162&gt;0,_xlfn.IFERROR(VLOOKUP(C1143,'Boats Data Sheet 2026'!$C$3:$I$57,7,0)*'Direct Costs 2026'!$C$36,"N/A"),"N/A")</f>
        <v>N/A</v>
      </c>
      <c r="O1162" t="str" s="431" cm="1">
        <f t="array" ref="O1162">IF(B1162&gt;0,IF(OR(VLOOKUP(C1143,'Boats Data Sheet 2026'!$C$3:$F$57,4,0)="Own",VLOOKUP(C1143,'Boats Data Sheet 2026'!$C$3:$F$57,4,0)="Management"),('Direct Costs 2026'!$C$37+'Direct Costs 2026'!$C$39),"N/A"),"N/A")</f>
        <v>N/A</v>
      </c>
      <c r="P1162" t="str" s="431" cm="1">
        <f t="array" ref="P1162">_xlfn.IFERROR('Direct Costs 2026'!$C$27*C1162,"N/A")</f>
        <v>N/A</v>
      </c>
      <c r="Q1162" t="str" s="431" cm="1">
        <f t="array" ref="Q1162">_xlfn.IFERROR(C1162+SUM(E1162:P1162),"N/A")</f>
        <v>N/A</v>
      </c>
      <c r="R1162" s="424"/>
      <c r="S1162" t="str" s="431" cm="1">
        <f t="array" ref="S1162">IF(B1162&gt;0,'Allocation OH and Target 2026'!$E$31,"N/A")</f>
        <v>N/A</v>
      </c>
      <c r="T1162" t="str" s="431" cm="1">
        <f t="array" ref="T1162">IF(B1162&gt;0,VLOOKUP(C1143,'Allocation OH and Target 2026'!$C$35:$S$87,16,0),"N/A")</f>
        <v>N/A</v>
      </c>
      <c r="U1162" t="str" s="431" cm="1">
        <f t="array" ref="U1162">_xlfn.IFERROR((S1162+T1162),"N/A")</f>
        <v>N/A</v>
      </c>
      <c r="V1162" s="424"/>
      <c r="W1162" t="str" s="431" cm="1">
        <f t="array" ref="W1162">_xlfn.IFERROR(U1162+Q1162,"N/A")</f>
        <v>N/A</v>
      </c>
      <c r="X1162" t="str" s="431" cm="1">
        <f t="array" ref="X1162">_xlfn.IFERROR(W1162*0.5%,"N/A")</f>
        <v>N/A</v>
      </c>
      <c r="Y1162" t="str" s="431" cm="1">
        <f t="array" ref="Y1162">_xlfn.IFERROR(W1162*25%,"N/A")</f>
        <v>N/A</v>
      </c>
      <c r="Z1162" t="str" s="426" cm="1">
        <f t="array" ref="Z1162">IF(B1162&gt;0,SUM(W1162:Y1162),"N/A")</f>
        <v>N/A</v>
      </c>
      <c r="AA1162" t="str" s="426" cm="1">
        <f t="array" ref="AA1162">_xlfn.IFERROR((Z1162-Z1161),"N/A")</f>
        <v>N/A</v>
      </c>
      <c r="AB1162" s="424"/>
      <c r="AC1162" t="str" s="426" cm="1">
        <f t="array" ref="AC1162">IF(B1162=6,AVERAGE(Z1146:Z1151),"N/A")</f>
        <v>N/A</v>
      </c>
      <c r="AD1162" s="424"/>
      <c r="AE1162" s="423"/>
      <c r="AF1162" s="423"/>
      <c r="AG1162" s="423"/>
      <c r="AH1162" s="423"/>
      <c r="AI1162" s="423"/>
      <c r="AJ1162" s="423"/>
      <c r="AK1162" s="423"/>
      <c r="AL1162" s="423"/>
      <c r="AM1162" s="423"/>
      <c r="AN1162" s="427"/>
    </row>
    <row r="1163" ht="15.5" customHeight="1">
      <c r="A1163" s="12"/>
      <c r="B1163" s="432" cm="1">
        <f t="array" ref="B1163">IF(B1162=0,0,IF(B1162&lt;VLOOKUP(C1143,'Boats Data Sheet 2026'!$C$3:$H$57,6,0),B1162+1,0))</f>
        <v>0</v>
      </c>
      <c r="C1163" t="str" s="433" cm="1">
        <f t="array" ref="C1163">IF(B1163&gt;0,IF(VLOOKUP(C1143,'Boats Data Sheet 2026'!$C$3:$J$57,8,0)="N/A",0,VLOOKUP(C1143,'Boats Data Sheet 2026'!$C$3:$J$57,8,0)),"N/A")</f>
        <v>N/A</v>
      </c>
      <c r="D1163" t="str" s="433" cm="1">
        <f t="array" ref="D1163">IF(B1163&gt;7,2,IF(B1163=0,"N/A",1))</f>
        <v>N/A</v>
      </c>
      <c r="E1163" t="str" s="433" cm="1">
        <f t="array" ref="E1163">_xlfn.IFERROR(SUM('Direct Costs 2026'!$C$4:$C$5)*D1163,"N/A")</f>
        <v>N/A</v>
      </c>
      <c r="F1163" s="434" cm="1">
        <f t="array" ref="F1163">_xlfn.IFERROR('Direct Costs 2026'!$C$43*B1163,"N/A")</f>
        <v>0</v>
      </c>
      <c r="G1163" t="str" s="433" cm="1">
        <f t="array" ref="G1163">IF(B1163&gt;0,'Direct Costs 2026'!$C$25,"N/A")</f>
        <v>N/A</v>
      </c>
      <c r="H1163" t="str" s="433" cm="1">
        <f t="array" ref="H1163">IF(B1163&gt;0,('Direct Costs 2026'!$C$15+'Direct Costs 2026'!$C$17+'Direct Costs 2026'!$C$14),"N/A")</f>
        <v>N/A</v>
      </c>
      <c r="I1163" t="str" s="433" cm="1">
        <f t="array" ref="I1163">IF(B1163&gt;0,'Direct Costs 2026'!$C$19+'Direct Costs 2026'!$C$18*B1163,"N/A")</f>
        <v>N/A</v>
      </c>
      <c r="J1163" t="str" s="433" cm="1">
        <f t="array" ref="J1163">IF(B1163&gt;0,SUM('Direct Costs 2026'!$C$20:$C$21),"N/A")</f>
        <v>N/A</v>
      </c>
      <c r="K1163" t="str" s="433" cm="1">
        <f t="array" ref="K1163">IF(B1163&gt;0,'Direct Costs 2026'!$C$26,"N/A")</f>
        <v>N/A</v>
      </c>
      <c r="L1163" t="str" s="433" cm="1">
        <f t="array" ref="L1163">IF(B1163&gt;0,'Direct Costs 2026'!$C$23,"N/A")</f>
        <v>N/A</v>
      </c>
      <c r="M1163" t="str" s="433" cm="1">
        <f t="array" ref="M1163">IF(B1163&gt;0,'Direct Costs 2026'!$C$45*B1163,"N/A")</f>
        <v>N/A</v>
      </c>
      <c r="N1163" t="str" s="433" cm="1">
        <f t="array" ref="N1163">IF(B1163&gt;0,_xlfn.IFERROR(VLOOKUP(C1143,'Boats Data Sheet 2026'!$C$3:$I$57,7,0)*'Direct Costs 2026'!$C$36,"N/A"),"N/A")</f>
        <v>N/A</v>
      </c>
      <c r="O1163" t="str" s="433" cm="1">
        <f t="array" ref="O1163">IF(B1163&gt;0,IF(OR(VLOOKUP(C1143,'Boats Data Sheet 2026'!$C$3:$F$57,4,0)="Own",VLOOKUP(C1143,'Boats Data Sheet 2026'!$C$3:$F$57,4,0)="Management"),('Direct Costs 2026'!$C$37+'Direct Costs 2026'!$C$39),"N/A"),"N/A")</f>
        <v>N/A</v>
      </c>
      <c r="P1163" t="str" s="433" cm="1">
        <f t="array" ref="P1163">_xlfn.IFERROR('Direct Costs 2026'!$C$27*C1163,"N/A")</f>
        <v>N/A</v>
      </c>
      <c r="Q1163" t="str" s="433" cm="1">
        <f t="array" ref="Q1163">_xlfn.IFERROR(C1163+SUM(E1163:P1163),"N/A")</f>
        <v>N/A</v>
      </c>
      <c r="R1163" s="435"/>
      <c r="S1163" t="str" s="433" cm="1">
        <f t="array" ref="S1163">IF(B1163&gt;0,'Allocation OH and Target 2026'!$E$31,"N/A")</f>
        <v>N/A</v>
      </c>
      <c r="T1163" t="str" s="433" cm="1">
        <f t="array" ref="T1163">IF(B1163&gt;0,VLOOKUP(C1143,'Allocation OH and Target 2026'!$C$35:$S$87,16,0),"N/A")</f>
        <v>N/A</v>
      </c>
      <c r="U1163" t="str" s="433" cm="1">
        <f t="array" ref="U1163">_xlfn.IFERROR((S1163+T1163),"N/A")</f>
        <v>N/A</v>
      </c>
      <c r="V1163" s="435"/>
      <c r="W1163" t="str" s="433" cm="1">
        <f t="array" ref="W1163">_xlfn.IFERROR(U1163+Q1163,"N/A")</f>
        <v>N/A</v>
      </c>
      <c r="X1163" t="str" s="433" cm="1">
        <f t="array" ref="X1163">_xlfn.IFERROR(W1163*0.5%,"N/A")</f>
        <v>N/A</v>
      </c>
      <c r="Y1163" t="str" s="433" cm="1">
        <f t="array" ref="Y1163">_xlfn.IFERROR(W1163*25%,"N/A")</f>
        <v>N/A</v>
      </c>
      <c r="Z1163" t="str" s="436" cm="1">
        <f t="array" ref="Z1163">IF(B1163&gt;0,SUM(W1163:Y1163),"N/A")</f>
        <v>N/A</v>
      </c>
      <c r="AA1163" t="str" s="436" cm="1">
        <f t="array" ref="AA1163">_xlfn.IFERROR((Z1163-Z1162),"N/A")</f>
        <v>N/A</v>
      </c>
      <c r="AB1163" s="435"/>
      <c r="AC1163" t="str" s="436" cm="1">
        <f t="array" ref="AC1163">IF(B1163=6,AVERAGE(Z1146:Z1151),"N/A")</f>
        <v>N/A</v>
      </c>
      <c r="AD1163" s="435"/>
      <c r="AE1163" s="434"/>
      <c r="AF1163" s="434"/>
      <c r="AG1163" s="434"/>
      <c r="AH1163" s="434"/>
      <c r="AI1163" s="434"/>
      <c r="AJ1163" s="434"/>
      <c r="AK1163" s="434"/>
      <c r="AL1163" s="434"/>
      <c r="AM1163" s="434"/>
      <c r="AN1163" s="437"/>
    </row>
    <row r="1164" ht="15" customHeight="1">
      <c r="A1164" s="32"/>
      <c r="B1164" s="124"/>
      <c r="C1164" s="124"/>
      <c r="D1164" s="124"/>
      <c r="E1164" s="124"/>
      <c r="F1164" s="124"/>
      <c r="G1164" s="124"/>
      <c r="H1164" s="124"/>
      <c r="I1164" s="124"/>
      <c r="J1164" s="124"/>
      <c r="K1164" s="124"/>
      <c r="L1164" s="124"/>
      <c r="M1164" s="124"/>
      <c r="N1164" s="124"/>
      <c r="O1164" s="124"/>
      <c r="P1164" s="124"/>
      <c r="Q1164" s="124"/>
      <c r="R1164" s="124"/>
      <c r="S1164" s="124"/>
      <c r="T1164" s="124"/>
      <c r="U1164" s="124"/>
      <c r="V1164" s="124"/>
      <c r="W1164" s="124"/>
      <c r="X1164" s="124"/>
      <c r="Y1164" s="124"/>
      <c r="Z1164" s="124"/>
      <c r="AA1164" s="124"/>
      <c r="AB1164" s="124"/>
      <c r="AC1164" s="124"/>
      <c r="AD1164" s="124"/>
      <c r="AE1164" s="124"/>
      <c r="AF1164" s="124"/>
      <c r="AG1164" s="124"/>
      <c r="AH1164" s="124"/>
      <c r="AI1164" s="124"/>
      <c r="AJ1164" s="124"/>
      <c r="AK1164" s="124"/>
      <c r="AL1164" s="124"/>
      <c r="AM1164" s="124"/>
      <c r="AN1164" s="313"/>
    </row>
    <row r="1165" ht="15" customHeight="1">
      <c r="A1165" s="32"/>
      <c r="B1165" s="35"/>
      <c r="C1165" s="35"/>
      <c r="D1165" s="35"/>
      <c r="E1165" s="35"/>
      <c r="F1165" s="35"/>
      <c r="G1165" s="35"/>
      <c r="H1165" s="35"/>
      <c r="I1165" s="35"/>
      <c r="J1165" s="35"/>
      <c r="K1165" s="35"/>
      <c r="L1165" s="35"/>
      <c r="M1165" s="35"/>
      <c r="N1165" s="35"/>
      <c r="O1165" s="35"/>
      <c r="P1165" s="35"/>
      <c r="Q1165" s="35"/>
      <c r="R1165" s="35"/>
      <c r="S1165" s="35"/>
      <c r="T1165" s="35"/>
      <c r="U1165" s="35"/>
      <c r="V1165" s="35"/>
      <c r="W1165" s="35"/>
      <c r="X1165" s="35"/>
      <c r="Y1165" s="35"/>
      <c r="Z1165" s="35"/>
      <c r="AA1165" s="35"/>
      <c r="AB1165" s="35"/>
      <c r="AC1165" s="35"/>
      <c r="AD1165" s="35"/>
      <c r="AE1165" s="35"/>
      <c r="AF1165" s="35"/>
      <c r="AG1165" s="35"/>
      <c r="AH1165" s="35"/>
      <c r="AI1165" s="35"/>
      <c r="AJ1165" s="35"/>
      <c r="AK1165" s="35"/>
      <c r="AL1165" s="35"/>
      <c r="AM1165" s="35"/>
      <c r="AN1165" s="442"/>
    </row>
    <row r="1166" ht="15.5" customHeight="1">
      <c r="A1166" s="395">
        <v>41</v>
      </c>
      <c r="B1166" t="s" s="396">
        <v>506</v>
      </c>
      <c r="C1166" t="s" s="397">
        <v>108</v>
      </c>
      <c r="D1166" s="502"/>
      <c r="E1166" s="398"/>
      <c r="F1166" s="398"/>
      <c r="G1166" s="398"/>
      <c r="H1166" s="398"/>
      <c r="I1166" s="398"/>
      <c r="J1166" s="398"/>
      <c r="K1166" s="398"/>
      <c r="L1166" s="398"/>
      <c r="M1166" s="398"/>
      <c r="N1166" s="398"/>
      <c r="O1166" s="398"/>
      <c r="P1166" s="398"/>
      <c r="Q1166" s="398"/>
      <c r="R1166" s="399"/>
      <c r="S1166" s="398"/>
      <c r="T1166" s="398"/>
      <c r="U1166" s="398"/>
      <c r="V1166" s="399"/>
      <c r="W1166" s="398"/>
      <c r="X1166" s="398"/>
      <c r="Y1166" s="398"/>
      <c r="Z1166" s="398"/>
      <c r="AA1166" s="398"/>
      <c r="AB1166" s="399"/>
      <c r="AC1166" s="398"/>
      <c r="AD1166" s="399"/>
      <c r="AE1166" t="s" s="397">
        <v>508</v>
      </c>
      <c r="AF1166" s="401" cm="1">
        <f t="array" ref="AF1166">AVERAGE(Q1169:Q1174)</f>
        <v>10681500</v>
      </c>
      <c r="AG1166" t="s" s="400">
        <v>509</v>
      </c>
      <c r="AH1166" s="401" cm="1">
        <f t="array" ref="AH1166">AVERAGE(Q1175:Q1182)-AF1166</f>
        <v>1436625</v>
      </c>
      <c r="AI1166" t="s" s="400">
        <v>510</v>
      </c>
      <c r="AJ1166" s="401" cm="1">
        <f t="array" ref="AJ1166">AVERAGE(Y1169:Y1176)</f>
        <v>3511846.16442453</v>
      </c>
      <c r="AK1166" t="s" s="397">
        <v>511</v>
      </c>
      <c r="AL1166" s="401" cm="1">
        <f t="array" ref="AL1166">AVERAGE(W1169:W1174)</f>
        <v>13781947.1576981</v>
      </c>
      <c r="AM1166" t="s" s="400">
        <v>512</v>
      </c>
      <c r="AN1166" s="402" cm="1">
        <f t="array" ref="AN1166">W1169</f>
        <v>13391947.1576981</v>
      </c>
    </row>
    <row r="1167" ht="15" customHeight="1">
      <c r="A1167" s="12"/>
      <c r="B1167" s="403"/>
      <c r="C1167" t="s" s="404">
        <v>513</v>
      </c>
      <c r="D1167" s="405"/>
      <c r="E1167" s="405"/>
      <c r="F1167" s="405"/>
      <c r="G1167" s="405"/>
      <c r="H1167" s="405"/>
      <c r="I1167" s="405"/>
      <c r="J1167" s="405"/>
      <c r="K1167" s="405"/>
      <c r="L1167" s="405"/>
      <c r="M1167" s="405"/>
      <c r="N1167" s="405"/>
      <c r="O1167" s="405"/>
      <c r="P1167" s="405"/>
      <c r="Q1167" s="406"/>
      <c r="R1167" s="407"/>
      <c r="S1167" t="s" s="404">
        <v>514</v>
      </c>
      <c r="T1167" s="405"/>
      <c r="U1167" s="406"/>
      <c r="V1167" s="407"/>
      <c r="W1167" t="s" s="404">
        <v>515</v>
      </c>
      <c r="X1167" s="405"/>
      <c r="Y1167" s="405"/>
      <c r="Z1167" s="405"/>
      <c r="AA1167" s="405"/>
      <c r="AB1167" s="408"/>
      <c r="AC1167" s="443"/>
      <c r="AD1167" s="410"/>
      <c r="AE1167" s="443"/>
      <c r="AF1167" s="443"/>
      <c r="AG1167" s="443"/>
      <c r="AH1167" s="443"/>
      <c r="AI1167" s="443"/>
      <c r="AJ1167" s="443"/>
      <c r="AK1167" s="443"/>
      <c r="AL1167" s="414"/>
      <c r="AM1167" s="415"/>
      <c r="AN1167" s="414"/>
    </row>
    <row r="1168" ht="46.25" customHeight="1">
      <c r="A1168" s="187"/>
      <c r="B1168" t="s" s="416">
        <v>517</v>
      </c>
      <c r="C1168" t="s" s="417">
        <v>518</v>
      </c>
      <c r="D1168" t="s" s="417">
        <v>519</v>
      </c>
      <c r="E1168" t="s" s="417">
        <v>520</v>
      </c>
      <c r="F1168" t="s" s="159">
        <v>521</v>
      </c>
      <c r="G1168" t="s" s="159">
        <v>522</v>
      </c>
      <c r="H1168" t="s" s="159">
        <v>553</v>
      </c>
      <c r="I1168" t="s" s="159">
        <v>524</v>
      </c>
      <c r="J1168" t="s" s="159">
        <v>525</v>
      </c>
      <c r="K1168" t="s" s="159">
        <v>526</v>
      </c>
      <c r="L1168" t="s" s="159">
        <v>527</v>
      </c>
      <c r="M1168" t="s" s="159">
        <v>528</v>
      </c>
      <c r="N1168" t="s" s="159">
        <v>529</v>
      </c>
      <c r="O1168" t="s" s="159">
        <v>530</v>
      </c>
      <c r="P1168" t="s" s="159">
        <v>531</v>
      </c>
      <c r="Q1168" t="s" s="159">
        <v>532</v>
      </c>
      <c r="R1168" s="418"/>
      <c r="S1168" t="s" s="159">
        <v>533</v>
      </c>
      <c r="T1168" t="s" s="159">
        <v>534</v>
      </c>
      <c r="U1168" t="s" s="159">
        <v>535</v>
      </c>
      <c r="V1168" s="418"/>
      <c r="W1168" t="s" s="159">
        <v>536</v>
      </c>
      <c r="X1168" t="s" s="159">
        <v>537</v>
      </c>
      <c r="Y1168" t="s" s="159">
        <v>538</v>
      </c>
      <c r="Z1168" t="s" s="159">
        <v>539</v>
      </c>
      <c r="AA1168" t="s" s="159">
        <v>121</v>
      </c>
      <c r="AB1168" s="419"/>
      <c r="AC1168" t="s" s="159">
        <v>39</v>
      </c>
      <c r="AD1168" s="419"/>
      <c r="AE1168" s="77"/>
      <c r="AF1168" s="77"/>
      <c r="AG1168" s="77"/>
      <c r="AH1168" s="77"/>
      <c r="AI1168" s="77"/>
      <c r="AJ1168" s="77"/>
      <c r="AK1168" s="77"/>
      <c r="AL1168" s="77"/>
      <c r="AM1168" s="77"/>
      <c r="AN1168" s="78"/>
    </row>
    <row r="1169" ht="15" customHeight="1">
      <c r="A1169" s="12"/>
      <c r="B1169" s="420">
        <v>1</v>
      </c>
      <c r="C1169" s="421" cm="1">
        <f t="array" ref="C1169">IF(B1169&gt;0,IF(VLOOKUP(C1166,'Boats Data Sheet 2026'!$C$3:$J$57,8,0)="N/A",0,VLOOKUP(C1166,'Boats Data Sheet 2026'!$C$3:$J$57,8,0)),"N/A")</f>
        <v>9100000</v>
      </c>
      <c r="D1169" s="422" cm="1">
        <f t="array" ref="D1169">IF(B1169&gt;7,2,IF(B1169=0,"N/A",1))</f>
        <v>1</v>
      </c>
      <c r="E1169" s="421" cm="1">
        <f t="array" ref="E1169">_xlfn.IFERROR(SUM('Direct Costs 2026'!$C$4:$C$5)*D1169,"N/A")</f>
        <v>875500</v>
      </c>
      <c r="F1169" s="423" cm="1">
        <f t="array" ref="F1169">_xlfn.IFERROR('Direct Costs 2026'!$C$43*B1169,"N/A")</f>
        <v>6000</v>
      </c>
      <c r="G1169" s="423">
        <v>0</v>
      </c>
      <c r="H1169" s="423">
        <v>0</v>
      </c>
      <c r="I1169" s="423">
        <v>0</v>
      </c>
      <c r="J1169" s="423">
        <v>0</v>
      </c>
      <c r="K1169" s="423" cm="1">
        <f t="array" ref="K1169">IF(B1169&gt;0,'Direct Costs 2026'!$C$26,"N/A")</f>
        <v>20000</v>
      </c>
      <c r="L1169" s="423" cm="1">
        <f t="array" ref="L1169">IF(B1169&gt;0,'Direct Costs 2026'!$C$23,"N/A")</f>
        <v>140000</v>
      </c>
      <c r="M1169" s="423" cm="1">
        <f t="array" ref="M1169">IF(B1169&gt;0,'Direct Costs 2026'!$C$45*B1169,"N/A")</f>
        <v>150000</v>
      </c>
      <c r="N1169" t="str" s="431" cm="1">
        <f t="array" ref="N1169">IF(B1169&gt;0,_xlfn.IFERROR(VLOOKUP(C1166,'Boats Data Sheet 2026'!$C$3:$I$57,7,0)*'Direct Costs 2026'!$C$36,"N/A"),"N/A")</f>
        <v>N/A</v>
      </c>
      <c r="O1169" t="str" s="431" cm="1">
        <f t="array" ref="O1169">IF(B1169&gt;0,IF(OR(VLOOKUP(C1166,'Boats Data Sheet 2026'!$C$3:$F$57,4,0)="Own",VLOOKUP(C1166,'Boats Data Sheet 2026'!$C$3:$F$57,4,0)="Management"),('Direct Costs 2026'!$C$37+'Direct Costs 2026'!$C$39),"N/A"),"N/A")</f>
        <v>N/A</v>
      </c>
      <c r="P1169" s="423">
        <v>0</v>
      </c>
      <c r="Q1169" s="423" cm="1">
        <f t="array" ref="Q1169">_xlfn.IFERROR(C1169+SUM(E1169:P1169),"N/A")</f>
        <v>10291500</v>
      </c>
      <c r="R1169" s="424"/>
      <c r="S1169" s="423" cm="1">
        <f t="array" ref="S1169">IF(B1169&gt;0,'Allocation OH and Target 2026'!$E$31,"N/A")</f>
        <v>3100447.15769812</v>
      </c>
      <c r="T1169" s="423" cm="1">
        <f t="array" ref="T1169">IF(B1169&gt;0,VLOOKUP(C1166,'Allocation OH and Target 2026'!$C$35:$S$87,16,0),"N/A")</f>
        <v>0</v>
      </c>
      <c r="U1169" s="423" cm="1">
        <f t="array" ref="U1169">_xlfn.IFERROR((S1169+T1169),"N/A")</f>
        <v>3100447.15769812</v>
      </c>
      <c r="V1169" s="424"/>
      <c r="W1169" s="423" cm="1">
        <f t="array" ref="W1169">_xlfn.IFERROR(U1169+Q1169,"N/A")</f>
        <v>13391947.1576981</v>
      </c>
      <c r="X1169" s="423" cm="1">
        <f t="array" ref="X1169">_xlfn.IFERROR(W1169*0.5%,"N/A")</f>
        <v>66959.735788490507</v>
      </c>
      <c r="Y1169" s="423" cm="1">
        <f t="array" ref="Y1169">_xlfn.IFERROR(W1169*25%,"N/A")</f>
        <v>3347986.78942453</v>
      </c>
      <c r="Z1169" s="425" cm="1">
        <f t="array" ref="Z1169">IF(B1169&gt;0,SUM(W1169:Y1169),"N/A")</f>
        <v>16806893.6829111</v>
      </c>
      <c r="AA1169" s="425">
        <v>0</v>
      </c>
      <c r="AB1169" s="424"/>
      <c r="AC1169" t="str" s="426" cm="1">
        <f t="array" ref="AC1169">IF(B1169=6,AVERAGE(Z1169:Z1174),"N/A")</f>
        <v>N/A</v>
      </c>
      <c r="AD1169" s="424"/>
      <c r="AE1169" s="423"/>
      <c r="AF1169" s="423"/>
      <c r="AG1169" s="423"/>
      <c r="AH1169" s="423"/>
      <c r="AI1169" s="423"/>
      <c r="AJ1169" s="423"/>
      <c r="AK1169" s="423"/>
      <c r="AL1169" s="423"/>
      <c r="AM1169" s="423"/>
      <c r="AN1169" s="427"/>
    </row>
    <row r="1170" ht="15" customHeight="1">
      <c r="A1170" s="12"/>
      <c r="B1170" s="428" cm="1">
        <f t="array" ref="B1170">IF(B1169=0,0,IF(B1169&lt;VLOOKUP(C1166,'Boats Data Sheet 2026'!$C$3:$H$57,6,0),B1169+1,0))</f>
        <v>2</v>
      </c>
      <c r="C1170" s="423" cm="1">
        <f t="array" ref="C1170">IF(B1170&gt;0,IF(VLOOKUP(C1166,'Boats Data Sheet 2026'!$C$3:$J$57,8,0)="N/A",0,VLOOKUP(C1166,'Boats Data Sheet 2026'!$C$3:$J$57,8,0)),"N/A")</f>
        <v>9100000</v>
      </c>
      <c r="D1170" s="429" cm="1">
        <f t="array" ref="D1170">IF(B1170&gt;7,2,IF(B1170=0,"N/A",1))</f>
        <v>1</v>
      </c>
      <c r="E1170" s="423" cm="1">
        <f t="array" ref="E1170">_xlfn.IFERROR(SUM('Direct Costs 2026'!$C$4:$C$5)*D1170,"N/A")</f>
        <v>875500</v>
      </c>
      <c r="F1170" s="423" cm="1">
        <f t="array" ref="F1170">_xlfn.IFERROR('Direct Costs 2026'!$C$43*B1170,"N/A")</f>
        <v>12000</v>
      </c>
      <c r="G1170" s="423">
        <v>0</v>
      </c>
      <c r="H1170" s="423">
        <v>0</v>
      </c>
      <c r="I1170" s="423">
        <v>0</v>
      </c>
      <c r="J1170" s="423">
        <v>0</v>
      </c>
      <c r="K1170" s="423" cm="1">
        <f t="array" ref="K1170">IF(B1170&gt;0,'Direct Costs 2026'!$C$26,"N/A")</f>
        <v>20000</v>
      </c>
      <c r="L1170" s="423" cm="1">
        <f t="array" ref="L1170">IF(B1170&gt;0,'Direct Costs 2026'!$C$23,"N/A")</f>
        <v>140000</v>
      </c>
      <c r="M1170" s="423" cm="1">
        <f t="array" ref="M1170">IF(B1170&gt;0,'Direct Costs 2026'!$C$45*B1170,"N/A")</f>
        <v>300000</v>
      </c>
      <c r="N1170" t="str" s="431" cm="1">
        <f t="array" ref="N1170">IF(B1170&gt;0,_xlfn.IFERROR(VLOOKUP(C1166,'Boats Data Sheet 2026'!$C$3:$I$57,7,0)*'Direct Costs 2026'!$C$36,"N/A"),"N/A")</f>
        <v>N/A</v>
      </c>
      <c r="O1170" t="str" s="431" cm="1">
        <f t="array" ref="O1170">IF(B1170&gt;0,IF(OR(VLOOKUP(C1166,'Boats Data Sheet 2026'!$C$3:$F$57,4,0)="Own",VLOOKUP(C1166,'Boats Data Sheet 2026'!$C$3:$F$57,4,0)="Management"),('Direct Costs 2026'!$C$37+'Direct Costs 2026'!$C$39),"N/A"),"N/A")</f>
        <v>N/A</v>
      </c>
      <c r="P1170" s="423">
        <v>0</v>
      </c>
      <c r="Q1170" s="423" cm="1">
        <f t="array" ref="Q1170">_xlfn.IFERROR(C1170+SUM(E1170:P1170),"N/A")</f>
        <v>10447500</v>
      </c>
      <c r="R1170" s="424"/>
      <c r="S1170" s="423" cm="1">
        <f t="array" ref="S1170">IF(B1170&gt;0,'Allocation OH and Target 2026'!$E$31,"N/A")</f>
        <v>3100447.15769812</v>
      </c>
      <c r="T1170" s="423" cm="1">
        <f t="array" ref="T1170">IF(B1170&gt;0,VLOOKUP(C1166,'Allocation OH and Target 2026'!$C$35:$S$87,16,0),"N/A")</f>
        <v>0</v>
      </c>
      <c r="U1170" s="423" cm="1">
        <f t="array" ref="U1170">_xlfn.IFERROR((S1170+T1170),"N/A")</f>
        <v>3100447.15769812</v>
      </c>
      <c r="V1170" s="424"/>
      <c r="W1170" s="423" cm="1">
        <f t="array" ref="W1170">_xlfn.IFERROR(U1170+Q1170,"N/A")</f>
        <v>13547947.1576981</v>
      </c>
      <c r="X1170" s="423" cm="1">
        <f t="array" ref="X1170">_xlfn.IFERROR(W1170*0.5%,"N/A")</f>
        <v>67739.735788490507</v>
      </c>
      <c r="Y1170" s="423" cm="1">
        <f t="array" ref="Y1170">_xlfn.IFERROR(W1170*25%,"N/A")</f>
        <v>3386986.78942453</v>
      </c>
      <c r="Z1170" s="425" cm="1">
        <f t="array" ref="Z1170">IF(B1170&gt;0,SUM(W1170:Y1170),"N/A")</f>
        <v>17002673.6829111</v>
      </c>
      <c r="AA1170" s="425" cm="1">
        <f t="array" ref="AA1170">_xlfn.IFERROR((Z1170-Z1169),"N/A")</f>
        <v>195780</v>
      </c>
      <c r="AB1170" s="424"/>
      <c r="AC1170" t="str" s="426" cm="1">
        <f t="array" ref="AC1170">IF(B1170=6,AVERAGE(Z1169:Z1174),"N/A")</f>
        <v>N/A</v>
      </c>
      <c r="AD1170" s="424"/>
      <c r="AE1170" s="423"/>
      <c r="AF1170" s="423"/>
      <c r="AG1170" s="423"/>
      <c r="AH1170" s="423"/>
      <c r="AI1170" s="423"/>
      <c r="AJ1170" s="423"/>
      <c r="AK1170" s="423"/>
      <c r="AL1170" s="423"/>
      <c r="AM1170" s="423"/>
      <c r="AN1170" s="427"/>
    </row>
    <row r="1171" ht="15" customHeight="1">
      <c r="A1171" s="12"/>
      <c r="B1171" s="428" cm="1">
        <f t="array" ref="B1171">IF(B1170=0,0,IF(B1170&lt;VLOOKUP(C1166,'Boats Data Sheet 2026'!$C$3:$H$57,6,0),B1170+1,0))</f>
        <v>3</v>
      </c>
      <c r="C1171" s="423" cm="1">
        <f t="array" ref="C1171">IF(B1171&gt;0,IF(VLOOKUP(C1166,'Boats Data Sheet 2026'!$C$3:$J$57,8,0)="N/A",0,VLOOKUP(C1166,'Boats Data Sheet 2026'!$C$3:$J$57,8,0)),"N/A")</f>
        <v>9100000</v>
      </c>
      <c r="D1171" s="429" cm="1">
        <f t="array" ref="D1171">IF(B1171&gt;7,2,IF(B1171=0,"N/A",1))</f>
        <v>1</v>
      </c>
      <c r="E1171" s="423" cm="1">
        <f t="array" ref="E1171">_xlfn.IFERROR(SUM('Direct Costs 2026'!$C$4:$C$5)*D1171,"N/A")</f>
        <v>875500</v>
      </c>
      <c r="F1171" s="423" cm="1">
        <f t="array" ref="F1171">_xlfn.IFERROR('Direct Costs 2026'!$C$43*B1171,"N/A")</f>
        <v>18000</v>
      </c>
      <c r="G1171" s="423">
        <v>0</v>
      </c>
      <c r="H1171" s="423">
        <v>0</v>
      </c>
      <c r="I1171" s="423">
        <v>0</v>
      </c>
      <c r="J1171" s="423">
        <v>0</v>
      </c>
      <c r="K1171" s="423" cm="1">
        <f t="array" ref="K1171">IF(B1171&gt;0,'Direct Costs 2026'!$C$26,"N/A")</f>
        <v>20000</v>
      </c>
      <c r="L1171" s="423" cm="1">
        <f t="array" ref="L1171">IF(B1171&gt;0,'Direct Costs 2026'!$C$23,"N/A")</f>
        <v>140000</v>
      </c>
      <c r="M1171" s="423" cm="1">
        <f t="array" ref="M1171">IF(B1171&gt;0,'Direct Costs 2026'!$C$45*B1171,"N/A")</f>
        <v>450000</v>
      </c>
      <c r="N1171" t="str" s="431" cm="1">
        <f t="array" ref="N1171">IF(B1171&gt;0,_xlfn.IFERROR(VLOOKUP(C1166,'Boats Data Sheet 2026'!$C$3:$I$57,7,0)*'Direct Costs 2026'!$C$36,"N/A"),"N/A")</f>
        <v>N/A</v>
      </c>
      <c r="O1171" t="str" s="431" cm="1">
        <f t="array" ref="O1171">IF(B1171&gt;0,IF(OR(VLOOKUP(C1166,'Boats Data Sheet 2026'!$C$3:$F$57,4,0)="Own",VLOOKUP(C1166,'Boats Data Sheet 2026'!$C$3:$F$57,4,0)="Management"),('Direct Costs 2026'!$C$37+'Direct Costs 2026'!$C$39),"N/A"),"N/A")</f>
        <v>N/A</v>
      </c>
      <c r="P1171" s="423">
        <v>0</v>
      </c>
      <c r="Q1171" s="423" cm="1">
        <f t="array" ref="Q1171">_xlfn.IFERROR(C1171+SUM(E1171:P1171),"N/A")</f>
        <v>10603500</v>
      </c>
      <c r="R1171" s="424"/>
      <c r="S1171" s="423" cm="1">
        <f t="array" ref="S1171">IF(B1171&gt;0,'Allocation OH and Target 2026'!$E$31,"N/A")</f>
        <v>3100447.15769812</v>
      </c>
      <c r="T1171" s="423" cm="1">
        <f t="array" ref="T1171">IF(B1171&gt;0,VLOOKUP(C1166,'Allocation OH and Target 2026'!$C$35:$S$87,16,0),"N/A")</f>
        <v>0</v>
      </c>
      <c r="U1171" s="423" cm="1">
        <f t="array" ref="U1171">_xlfn.IFERROR((S1171+T1171),"N/A")</f>
        <v>3100447.15769812</v>
      </c>
      <c r="V1171" s="424"/>
      <c r="W1171" s="423" cm="1">
        <f t="array" ref="W1171">_xlfn.IFERROR(U1171+Q1171,"N/A")</f>
        <v>13703947.1576981</v>
      </c>
      <c r="X1171" s="423" cm="1">
        <f t="array" ref="X1171">_xlfn.IFERROR(W1171*0.5%,"N/A")</f>
        <v>68519.735788490507</v>
      </c>
      <c r="Y1171" s="423" cm="1">
        <f t="array" ref="Y1171">_xlfn.IFERROR(W1171*25%,"N/A")</f>
        <v>3425986.78942453</v>
      </c>
      <c r="Z1171" s="425" cm="1">
        <f t="array" ref="Z1171">IF(B1171&gt;0,SUM(W1171:Y1171),"N/A")</f>
        <v>17198453.6829111</v>
      </c>
      <c r="AA1171" s="425" cm="1">
        <f t="array" ref="AA1171">_xlfn.IFERROR((Z1171-Z1170),"N/A")</f>
        <v>195780</v>
      </c>
      <c r="AB1171" s="424"/>
      <c r="AC1171" t="str" s="426" cm="1">
        <f t="array" ref="AC1171">IF(B1171=6,AVERAGE(Z1169:Z1174),"N/A")</f>
        <v>N/A</v>
      </c>
      <c r="AD1171" s="424"/>
      <c r="AE1171" s="423"/>
      <c r="AF1171" s="423"/>
      <c r="AG1171" s="423"/>
      <c r="AH1171" s="423"/>
      <c r="AI1171" s="423"/>
      <c r="AJ1171" s="423"/>
      <c r="AK1171" s="423"/>
      <c r="AL1171" s="423"/>
      <c r="AM1171" s="423"/>
      <c r="AN1171" s="427"/>
    </row>
    <row r="1172" ht="15" customHeight="1">
      <c r="A1172" s="12"/>
      <c r="B1172" s="428" cm="1">
        <f t="array" ref="B1172">IF(B1171=0,0,IF(B1171&lt;VLOOKUP(C1166,'Boats Data Sheet 2026'!$C$3:$H$57,6,0),B1171+1,0))</f>
        <v>4</v>
      </c>
      <c r="C1172" s="423" cm="1">
        <f t="array" ref="C1172">IF(B1172&gt;0,IF(VLOOKUP(C1166,'Boats Data Sheet 2026'!$C$3:$J$57,8,0)="N/A",0,VLOOKUP(C1166,'Boats Data Sheet 2026'!$C$3:$J$57,8,0)),"N/A")</f>
        <v>9100000</v>
      </c>
      <c r="D1172" s="429" cm="1">
        <f t="array" ref="D1172">IF(B1172&gt;7,2,IF(B1172=0,"N/A",1))</f>
        <v>1</v>
      </c>
      <c r="E1172" s="423" cm="1">
        <f t="array" ref="E1172">_xlfn.IFERROR(SUM('Direct Costs 2026'!$C$4:$C$5)*D1172,"N/A")</f>
        <v>875500</v>
      </c>
      <c r="F1172" s="423" cm="1">
        <f t="array" ref="F1172">_xlfn.IFERROR('Direct Costs 2026'!$C$43*B1172,"N/A")</f>
        <v>24000</v>
      </c>
      <c r="G1172" s="423">
        <v>0</v>
      </c>
      <c r="H1172" s="423">
        <v>0</v>
      </c>
      <c r="I1172" s="423">
        <v>0</v>
      </c>
      <c r="J1172" s="423">
        <v>0</v>
      </c>
      <c r="K1172" s="423" cm="1">
        <f t="array" ref="K1172">IF(B1172&gt;0,'Direct Costs 2026'!$C$26,"N/A")</f>
        <v>20000</v>
      </c>
      <c r="L1172" s="423" cm="1">
        <f t="array" ref="L1172">IF(B1172&gt;0,'Direct Costs 2026'!$C$23,"N/A")</f>
        <v>140000</v>
      </c>
      <c r="M1172" s="423" cm="1">
        <f t="array" ref="M1172">IF(B1172&gt;0,'Direct Costs 2026'!$C$45*B1172,"N/A")</f>
        <v>600000</v>
      </c>
      <c r="N1172" t="str" s="431" cm="1">
        <f t="array" ref="N1172">IF(B1172&gt;0,_xlfn.IFERROR(VLOOKUP(C1166,'Boats Data Sheet 2026'!$C$3:$I$57,7,0)*'Direct Costs 2026'!$C$36,"N/A"),"N/A")</f>
        <v>N/A</v>
      </c>
      <c r="O1172" t="str" s="431" cm="1">
        <f t="array" ref="O1172">IF(B1172&gt;0,IF(OR(VLOOKUP(C1166,'Boats Data Sheet 2026'!$C$3:$F$57,4,0)="Own",VLOOKUP(C1166,'Boats Data Sheet 2026'!$C$3:$F$57,4,0)="Management"),('Direct Costs 2026'!$C$37+'Direct Costs 2026'!$C$39),"N/A"),"N/A")</f>
        <v>N/A</v>
      </c>
      <c r="P1172" s="423">
        <v>0</v>
      </c>
      <c r="Q1172" s="423" cm="1">
        <f t="array" ref="Q1172">_xlfn.IFERROR(C1172+SUM(E1172:P1172),"N/A")</f>
        <v>10759500</v>
      </c>
      <c r="R1172" s="424"/>
      <c r="S1172" s="423" cm="1">
        <f t="array" ref="S1172">IF(B1172&gt;0,'Allocation OH and Target 2026'!$E$31,"N/A")</f>
        <v>3100447.15769812</v>
      </c>
      <c r="T1172" s="423" cm="1">
        <f t="array" ref="T1172">IF(B1172&gt;0,VLOOKUP(C1166,'Allocation OH and Target 2026'!$C$35:$S$87,16,0),"N/A")</f>
        <v>0</v>
      </c>
      <c r="U1172" s="423" cm="1">
        <f t="array" ref="U1172">_xlfn.IFERROR((S1172+T1172),"N/A")</f>
        <v>3100447.15769812</v>
      </c>
      <c r="V1172" s="424"/>
      <c r="W1172" s="423" cm="1">
        <f t="array" ref="W1172">_xlfn.IFERROR(U1172+Q1172,"N/A")</f>
        <v>13859947.1576981</v>
      </c>
      <c r="X1172" s="423" cm="1">
        <f t="array" ref="X1172">_xlfn.IFERROR(W1172*0.5%,"N/A")</f>
        <v>69299.735788490507</v>
      </c>
      <c r="Y1172" s="423" cm="1">
        <f t="array" ref="Y1172">_xlfn.IFERROR(W1172*25%,"N/A")</f>
        <v>3464986.78942453</v>
      </c>
      <c r="Z1172" s="425" cm="1">
        <f t="array" ref="Z1172">IF(B1172&gt;0,SUM(W1172:Y1172),"N/A")</f>
        <v>17394233.6829111</v>
      </c>
      <c r="AA1172" s="425" cm="1">
        <f t="array" ref="AA1172">_xlfn.IFERROR((Z1172-Z1171),"N/A")</f>
        <v>195780</v>
      </c>
      <c r="AB1172" s="424"/>
      <c r="AC1172" t="str" s="426" cm="1">
        <f t="array" ref="AC1172">IF(B1172=6,AVERAGE(Z1169:Z1174),"N/A")</f>
        <v>N/A</v>
      </c>
      <c r="AD1172" s="424"/>
      <c r="AE1172" s="423"/>
      <c r="AF1172" s="423"/>
      <c r="AG1172" s="423"/>
      <c r="AH1172" s="423"/>
      <c r="AI1172" s="423"/>
      <c r="AJ1172" s="423"/>
      <c r="AK1172" s="423"/>
      <c r="AL1172" s="423"/>
      <c r="AM1172" s="423"/>
      <c r="AN1172" s="427"/>
    </row>
    <row r="1173" ht="15" customHeight="1">
      <c r="A1173" s="12"/>
      <c r="B1173" s="428" cm="1">
        <f t="array" ref="B1173">IF(B1172=0,0,IF(B1172&lt;VLOOKUP(C1166,'Boats Data Sheet 2026'!$C$3:$H$57,6,0),B1172+1,0))</f>
        <v>5</v>
      </c>
      <c r="C1173" s="423" cm="1">
        <f t="array" ref="C1173">IF(B1173&gt;0,IF(VLOOKUP(C1166,'Boats Data Sheet 2026'!$C$3:$J$57,8,0)="N/A",0,VLOOKUP(C1166,'Boats Data Sheet 2026'!$C$3:$J$57,8,0)),"N/A")</f>
        <v>9100000</v>
      </c>
      <c r="D1173" s="429" cm="1">
        <f t="array" ref="D1173">IF(B1173&gt;7,2,IF(B1173=0,"N/A",1))</f>
        <v>1</v>
      </c>
      <c r="E1173" s="423" cm="1">
        <f t="array" ref="E1173">_xlfn.IFERROR(SUM('Direct Costs 2026'!$C$4:$C$5)*D1173,"N/A")</f>
        <v>875500</v>
      </c>
      <c r="F1173" s="423" cm="1">
        <f t="array" ref="F1173">_xlfn.IFERROR('Direct Costs 2026'!$C$43*B1173,"N/A")</f>
        <v>30000</v>
      </c>
      <c r="G1173" s="423">
        <v>0</v>
      </c>
      <c r="H1173" s="423">
        <v>0</v>
      </c>
      <c r="I1173" s="423">
        <v>0</v>
      </c>
      <c r="J1173" s="423">
        <v>0</v>
      </c>
      <c r="K1173" s="423" cm="1">
        <f t="array" ref="K1173">IF(B1173&gt;0,'Direct Costs 2026'!$C$26,"N/A")</f>
        <v>20000</v>
      </c>
      <c r="L1173" s="423" cm="1">
        <f t="array" ref="L1173">IF(B1173&gt;0,'Direct Costs 2026'!$C$23,"N/A")</f>
        <v>140000</v>
      </c>
      <c r="M1173" s="423" cm="1">
        <f t="array" ref="M1173">IF(B1173&gt;0,'Direct Costs 2026'!$C$45*B1173,"N/A")</f>
        <v>750000</v>
      </c>
      <c r="N1173" t="str" s="431" cm="1">
        <f t="array" ref="N1173">IF(B1173&gt;0,_xlfn.IFERROR(VLOOKUP(C1166,'Boats Data Sheet 2026'!$C$3:$I$57,7,0)*'Direct Costs 2026'!$C$36,"N/A"),"N/A")</f>
        <v>N/A</v>
      </c>
      <c r="O1173" t="str" s="431" cm="1">
        <f t="array" ref="O1173">IF(B1173&gt;0,IF(OR(VLOOKUP(C1166,'Boats Data Sheet 2026'!$C$3:$F$57,4,0)="Own",VLOOKUP(C1166,'Boats Data Sheet 2026'!$C$3:$F$57,4,0)="Management"),('Direct Costs 2026'!$C$37+'Direct Costs 2026'!$C$39),"N/A"),"N/A")</f>
        <v>N/A</v>
      </c>
      <c r="P1173" s="423">
        <v>0</v>
      </c>
      <c r="Q1173" s="423" cm="1">
        <f t="array" ref="Q1173">_xlfn.IFERROR(C1173+SUM(E1173:P1173),"N/A")</f>
        <v>10915500</v>
      </c>
      <c r="R1173" s="424"/>
      <c r="S1173" s="423" cm="1">
        <f t="array" ref="S1173">IF(B1173&gt;0,'Allocation OH and Target 2026'!$E$31,"N/A")</f>
        <v>3100447.15769812</v>
      </c>
      <c r="T1173" s="423" cm="1">
        <f t="array" ref="T1173">IF(B1173&gt;0,VLOOKUP(C1166,'Allocation OH and Target 2026'!$C$35:$S$87,16,0),"N/A")</f>
        <v>0</v>
      </c>
      <c r="U1173" s="423" cm="1">
        <f t="array" ref="U1173">_xlfn.IFERROR((S1173+T1173),"N/A")</f>
        <v>3100447.15769812</v>
      </c>
      <c r="V1173" s="424"/>
      <c r="W1173" s="423" cm="1">
        <f t="array" ref="W1173">_xlfn.IFERROR(U1173+Q1173,"N/A")</f>
        <v>14015947.1576981</v>
      </c>
      <c r="X1173" s="423" cm="1">
        <f t="array" ref="X1173">_xlfn.IFERROR(W1173*0.5%,"N/A")</f>
        <v>70079.735788490507</v>
      </c>
      <c r="Y1173" s="423" cm="1">
        <f t="array" ref="Y1173">_xlfn.IFERROR(W1173*25%,"N/A")</f>
        <v>3503986.78942453</v>
      </c>
      <c r="Z1173" s="425" cm="1">
        <f t="array" ref="Z1173">IF(B1173&gt;0,SUM(W1173:Y1173),"N/A")</f>
        <v>17590013.6829111</v>
      </c>
      <c r="AA1173" s="425" cm="1">
        <f t="array" ref="AA1173">_xlfn.IFERROR((Z1173-Z1172),"N/A")</f>
        <v>195780</v>
      </c>
      <c r="AB1173" s="424"/>
      <c r="AC1173" t="str" s="426" cm="1">
        <f t="array" ref="AC1173">IF(B1173=6,AVERAGE(Z1169:Z1174),"N/A")</f>
        <v>N/A</v>
      </c>
      <c r="AD1173" s="424"/>
      <c r="AE1173" s="423"/>
      <c r="AF1173" s="423"/>
      <c r="AG1173" s="423"/>
      <c r="AH1173" s="423"/>
      <c r="AI1173" s="423"/>
      <c r="AJ1173" s="423"/>
      <c r="AK1173" s="423"/>
      <c r="AL1173" s="423"/>
      <c r="AM1173" s="423"/>
      <c r="AN1173" s="427"/>
    </row>
    <row r="1174" ht="15" customHeight="1">
      <c r="A1174" s="12"/>
      <c r="B1174" s="428" cm="1">
        <f t="array" ref="B1174">IF(B1173=0,0,IF(B1173&lt;VLOOKUP(C1166,'Boats Data Sheet 2026'!$C$3:$H$57,6,0),B1173+1,0))</f>
        <v>6</v>
      </c>
      <c r="C1174" s="423" cm="1">
        <f t="array" ref="C1174">IF(B1174&gt;0,IF(VLOOKUP(C1166,'Boats Data Sheet 2026'!$C$3:$J$57,8,0)="N/A",0,VLOOKUP(C1166,'Boats Data Sheet 2026'!$C$3:$J$57,8,0)),"N/A")</f>
        <v>9100000</v>
      </c>
      <c r="D1174" s="429" cm="1">
        <f t="array" ref="D1174">IF(B1174&gt;7,2,IF(B1174=0,"N/A",1))</f>
        <v>1</v>
      </c>
      <c r="E1174" s="423" cm="1">
        <f t="array" ref="E1174">_xlfn.IFERROR(SUM('Direct Costs 2026'!$C$4:$C$5)*D1174,"N/A")</f>
        <v>875500</v>
      </c>
      <c r="F1174" s="423" cm="1">
        <f t="array" ref="F1174">_xlfn.IFERROR('Direct Costs 2026'!$C$43*B1174,"N/A")</f>
        <v>36000</v>
      </c>
      <c r="G1174" s="423">
        <v>0</v>
      </c>
      <c r="H1174" s="423">
        <v>0</v>
      </c>
      <c r="I1174" s="423">
        <v>0</v>
      </c>
      <c r="J1174" s="423">
        <v>0</v>
      </c>
      <c r="K1174" s="423" cm="1">
        <f t="array" ref="K1174">IF(B1174&gt;0,'Direct Costs 2026'!$C$26,"N/A")</f>
        <v>20000</v>
      </c>
      <c r="L1174" s="423" cm="1">
        <f t="array" ref="L1174">IF(B1174&gt;0,'Direct Costs 2026'!$C$23,"N/A")</f>
        <v>140000</v>
      </c>
      <c r="M1174" s="423" cm="1">
        <f t="array" ref="M1174">IF(B1174&gt;0,'Direct Costs 2026'!$C$45*B1174,"N/A")</f>
        <v>900000</v>
      </c>
      <c r="N1174" t="str" s="431" cm="1">
        <f t="array" ref="N1174">IF(B1174&gt;0,_xlfn.IFERROR(VLOOKUP(C1166,'Boats Data Sheet 2026'!$C$3:$I$57,7,0)*'Direct Costs 2026'!$C$36,"N/A"),"N/A")</f>
        <v>N/A</v>
      </c>
      <c r="O1174" t="str" s="431" cm="1">
        <f t="array" ref="O1174">IF(B1174&gt;0,IF(OR(VLOOKUP(C1166,'Boats Data Sheet 2026'!$C$3:$F$57,4,0)="Own",VLOOKUP(C1166,'Boats Data Sheet 2026'!$C$3:$F$57,4,0)="Management"),('Direct Costs 2026'!$C$37+'Direct Costs 2026'!$C$39),"N/A"),"N/A")</f>
        <v>N/A</v>
      </c>
      <c r="P1174" s="423">
        <v>0</v>
      </c>
      <c r="Q1174" s="423" cm="1">
        <f t="array" ref="Q1174">_xlfn.IFERROR(C1174+SUM(E1174:P1174),"N/A")</f>
        <v>11071500</v>
      </c>
      <c r="R1174" s="424"/>
      <c r="S1174" s="423" cm="1">
        <f t="array" ref="S1174">IF(B1174&gt;0,'Allocation OH and Target 2026'!$E$31,"N/A")</f>
        <v>3100447.15769812</v>
      </c>
      <c r="T1174" s="423" cm="1">
        <f t="array" ref="T1174">IF(B1174&gt;0,VLOOKUP(C1166,'Allocation OH and Target 2026'!$C$35:$S$87,16,0),"N/A")</f>
        <v>0</v>
      </c>
      <c r="U1174" s="423" cm="1">
        <f t="array" ref="U1174">_xlfn.IFERROR((S1174+T1174),"N/A")</f>
        <v>3100447.15769812</v>
      </c>
      <c r="V1174" s="424"/>
      <c r="W1174" s="423" cm="1">
        <f t="array" ref="W1174">_xlfn.IFERROR(U1174+Q1174,"N/A")</f>
        <v>14171947.1576981</v>
      </c>
      <c r="X1174" s="423" cm="1">
        <f t="array" ref="X1174">_xlfn.IFERROR(W1174*0.5%,"N/A")</f>
        <v>70859.735788490507</v>
      </c>
      <c r="Y1174" s="423" cm="1">
        <f t="array" ref="Y1174">_xlfn.IFERROR(W1174*25%,"N/A")</f>
        <v>3542986.78942453</v>
      </c>
      <c r="Z1174" s="425" cm="1">
        <f t="array" ref="Z1174">IF(B1174&gt;0,SUM(W1174:Y1174),"N/A")</f>
        <v>17785793.6829111</v>
      </c>
      <c r="AA1174" s="425" cm="1">
        <f t="array" ref="AA1174">_xlfn.IFERROR((Z1174-Z1173),"N/A")</f>
        <v>195780</v>
      </c>
      <c r="AB1174" s="424"/>
      <c r="AC1174" s="425" cm="1">
        <f t="array" ref="AC1174">IF(B1174=6,AVERAGE(Z1169:Z1174),"N/A")</f>
        <v>17296343.6829111</v>
      </c>
      <c r="AD1174" s="424"/>
      <c r="AE1174" s="423"/>
      <c r="AF1174" s="423"/>
      <c r="AG1174" s="423"/>
      <c r="AH1174" s="423"/>
      <c r="AI1174" s="423"/>
      <c r="AJ1174" s="423"/>
      <c r="AK1174" s="423"/>
      <c r="AL1174" s="423"/>
      <c r="AM1174" s="423"/>
      <c r="AN1174" s="427"/>
    </row>
    <row r="1175" ht="15" customHeight="1">
      <c r="A1175" s="12"/>
      <c r="B1175" s="428" cm="1">
        <f t="array" ref="B1175">IF(B1174=0,0,IF(B1174&lt;VLOOKUP(C1166,'Boats Data Sheet 2026'!$C$3:$H$57,6,0),B1174+1,0))</f>
        <v>7</v>
      </c>
      <c r="C1175" s="423" cm="1">
        <f t="array" ref="C1175">IF(B1175&gt;0,IF(VLOOKUP(C1166,'Boats Data Sheet 2026'!$C$3:$J$57,8,0)="N/A",0,VLOOKUP(C1166,'Boats Data Sheet 2026'!$C$3:$J$57,8,0)),"N/A")</f>
        <v>9100000</v>
      </c>
      <c r="D1175" s="429" cm="1">
        <f t="array" ref="D1175">IF(B1175&gt;7,2,IF(B1175=0,"N/A",1))</f>
        <v>1</v>
      </c>
      <c r="E1175" s="423" cm="1">
        <f t="array" ref="E1175">_xlfn.IFERROR(SUM('Direct Costs 2026'!$C$4:$C$5)*D1175,"N/A")</f>
        <v>875500</v>
      </c>
      <c r="F1175" s="423" cm="1">
        <f t="array" ref="F1175">_xlfn.IFERROR('Direct Costs 2026'!$C$43*B1175,"N/A")</f>
        <v>42000</v>
      </c>
      <c r="G1175" s="423">
        <v>0</v>
      </c>
      <c r="H1175" s="423">
        <v>0</v>
      </c>
      <c r="I1175" s="423">
        <v>0</v>
      </c>
      <c r="J1175" s="423">
        <v>0</v>
      </c>
      <c r="K1175" s="423" cm="1">
        <f t="array" ref="K1175">IF(B1175&gt;0,'Direct Costs 2026'!$C$26,"N/A")</f>
        <v>20000</v>
      </c>
      <c r="L1175" s="423" cm="1">
        <f t="array" ref="L1175">IF(B1175&gt;0,'Direct Costs 2026'!$C$23,"N/A")</f>
        <v>140000</v>
      </c>
      <c r="M1175" s="423" cm="1">
        <f t="array" ref="M1175">IF(B1175&gt;0,'Direct Costs 2026'!$C$45*B1175,"N/A")</f>
        <v>1050000</v>
      </c>
      <c r="N1175" t="str" s="431" cm="1">
        <f t="array" ref="N1175">IF(B1175&gt;0,_xlfn.IFERROR(VLOOKUP(C1166,'Boats Data Sheet 2026'!$C$3:$I$57,7,0)*'Direct Costs 2026'!$C$36,"N/A"),"N/A")</f>
        <v>N/A</v>
      </c>
      <c r="O1175" t="str" s="431" cm="1">
        <f t="array" ref="O1175">IF(B1175&gt;0,IF(OR(VLOOKUP(C1166,'Boats Data Sheet 2026'!$C$3:$F$57,4,0)="Own",VLOOKUP(C1166,'Boats Data Sheet 2026'!$C$3:$F$57,4,0)="Management"),('Direct Costs 2026'!$C$37+'Direct Costs 2026'!$C$39),"N/A"),"N/A")</f>
        <v>N/A</v>
      </c>
      <c r="P1175" s="423">
        <v>0</v>
      </c>
      <c r="Q1175" s="423" cm="1">
        <f t="array" ref="Q1175">_xlfn.IFERROR(C1175+SUM(E1175:P1175),"N/A")</f>
        <v>11227500</v>
      </c>
      <c r="R1175" s="424"/>
      <c r="S1175" s="423" cm="1">
        <f t="array" ref="S1175">IF(B1175&gt;0,'Allocation OH and Target 2026'!$E$31,"N/A")</f>
        <v>3100447.15769812</v>
      </c>
      <c r="T1175" s="423" cm="1">
        <f t="array" ref="T1175">IF(B1175&gt;0,VLOOKUP(C1166,'Allocation OH and Target 2026'!$C$35:$S$87,16,0),"N/A")</f>
        <v>0</v>
      </c>
      <c r="U1175" s="423" cm="1">
        <f t="array" ref="U1175">_xlfn.IFERROR((S1175+T1175),"N/A")</f>
        <v>3100447.15769812</v>
      </c>
      <c r="V1175" s="424"/>
      <c r="W1175" s="423" cm="1">
        <f t="array" ref="W1175">_xlfn.IFERROR(U1175+Q1175,"N/A")</f>
        <v>14327947.1576981</v>
      </c>
      <c r="X1175" s="423" cm="1">
        <f t="array" ref="X1175">_xlfn.IFERROR(W1175*0.5%,"N/A")</f>
        <v>71639.735788490507</v>
      </c>
      <c r="Y1175" s="423" cm="1">
        <f t="array" ref="Y1175">_xlfn.IFERROR(W1175*25%,"N/A")</f>
        <v>3581986.78942453</v>
      </c>
      <c r="Z1175" s="425" cm="1">
        <f t="array" ref="Z1175">IF(B1175&gt;0,SUM(W1175:Y1175),"N/A")</f>
        <v>17981573.6829111</v>
      </c>
      <c r="AA1175" s="425" cm="1">
        <f t="array" ref="AA1175">_xlfn.IFERROR((Z1175-Z1174),"N/A")</f>
        <v>195780</v>
      </c>
      <c r="AB1175" s="424"/>
      <c r="AC1175" t="str" s="426" cm="1">
        <f t="array" ref="AC1175">IF(B1175=6,AVERAGE(Z1169:Z1174),"N/A")</f>
        <v>N/A</v>
      </c>
      <c r="AD1175" s="424"/>
      <c r="AE1175" s="423"/>
      <c r="AF1175" s="423"/>
      <c r="AG1175" s="423"/>
      <c r="AH1175" s="423"/>
      <c r="AI1175" s="423"/>
      <c r="AJ1175" s="423"/>
      <c r="AK1175" s="423"/>
      <c r="AL1175" s="423"/>
      <c r="AM1175" s="423"/>
      <c r="AN1175" s="427"/>
    </row>
    <row r="1176" ht="15" customHeight="1">
      <c r="A1176" s="12"/>
      <c r="B1176" s="428" cm="1">
        <f t="array" ref="B1176">IF(B1175=0,0,IF(B1175&lt;VLOOKUP(C1166,'Boats Data Sheet 2026'!$C$3:$H$57,6,0),B1175+1,0))</f>
        <v>8</v>
      </c>
      <c r="C1176" s="423" cm="1">
        <f t="array" ref="C1176">IF(B1176&gt;0,IF(VLOOKUP(C1166,'Boats Data Sheet 2026'!$C$3:$J$57,8,0)="N/A",0,VLOOKUP(C1166,'Boats Data Sheet 2026'!$C$3:$J$57,8,0)),"N/A")</f>
        <v>9100000</v>
      </c>
      <c r="D1176" s="429" cm="1">
        <f t="array" ref="D1176">IF(B1176&gt;7,2,IF(B1176=0,"N/A",1))</f>
        <v>2</v>
      </c>
      <c r="E1176" s="423" cm="1">
        <f t="array" ref="E1176">_xlfn.IFERROR(SUM('Direct Costs 2026'!$C$4:$C$5)*D1176,"N/A")</f>
        <v>1751000</v>
      </c>
      <c r="F1176" s="423" cm="1">
        <f t="array" ref="F1176">_xlfn.IFERROR('Direct Costs 2026'!$C$43*B1176,"N/A")</f>
        <v>48000</v>
      </c>
      <c r="G1176" s="423">
        <v>0</v>
      </c>
      <c r="H1176" s="423">
        <v>0</v>
      </c>
      <c r="I1176" s="423">
        <v>0</v>
      </c>
      <c r="J1176" s="423">
        <v>0</v>
      </c>
      <c r="K1176" s="423" cm="1">
        <f t="array" ref="K1176">IF(B1176&gt;0,'Direct Costs 2026'!$C$26,"N/A")</f>
        <v>20000</v>
      </c>
      <c r="L1176" s="423" cm="1">
        <f t="array" ref="L1176">IF(B1176&gt;0,'Direct Costs 2026'!$C$23,"N/A")</f>
        <v>140000</v>
      </c>
      <c r="M1176" s="423" cm="1">
        <f t="array" ref="M1176">IF(B1176&gt;0,'Direct Costs 2026'!$C$45*B1176,"N/A")</f>
        <v>1200000</v>
      </c>
      <c r="N1176" t="str" s="431" cm="1">
        <f t="array" ref="N1176">IF(B1176&gt;0,_xlfn.IFERROR(VLOOKUP(C1166,'Boats Data Sheet 2026'!$C$3:$I$57,7,0)*'Direct Costs 2026'!$C$36,"N/A"),"N/A")</f>
        <v>N/A</v>
      </c>
      <c r="O1176" t="str" s="431" cm="1">
        <f t="array" ref="O1176">IF(B1176&gt;0,IF(OR(VLOOKUP(C1166,'Boats Data Sheet 2026'!$C$3:$F$57,4,0)="Own",VLOOKUP(C1166,'Boats Data Sheet 2026'!$C$3:$F$57,4,0)="Management"),('Direct Costs 2026'!$C$37+'Direct Costs 2026'!$C$39),"N/A"),"N/A")</f>
        <v>N/A</v>
      </c>
      <c r="P1176" s="423">
        <v>0</v>
      </c>
      <c r="Q1176" s="423" cm="1">
        <f t="array" ref="Q1176">_xlfn.IFERROR(C1176+SUM(E1176:P1176),"N/A")</f>
        <v>12259000</v>
      </c>
      <c r="R1176" s="424"/>
      <c r="S1176" s="423" cm="1">
        <f t="array" ref="S1176">IF(B1176&gt;0,'Allocation OH and Target 2026'!$E$31,"N/A")</f>
        <v>3100447.15769812</v>
      </c>
      <c r="T1176" s="423" cm="1">
        <f t="array" ref="T1176">IF(B1176&gt;0,VLOOKUP(C1166,'Allocation OH and Target 2026'!$C$35:$S$87,16,0),"N/A")</f>
        <v>0</v>
      </c>
      <c r="U1176" s="423" cm="1">
        <f t="array" ref="U1176">_xlfn.IFERROR((S1176+T1176),"N/A")</f>
        <v>3100447.15769812</v>
      </c>
      <c r="V1176" s="424"/>
      <c r="W1176" s="423" cm="1">
        <f t="array" ref="W1176">_xlfn.IFERROR(U1176+Q1176,"N/A")</f>
        <v>15359447.1576981</v>
      </c>
      <c r="X1176" s="423" cm="1">
        <f t="array" ref="X1176">_xlfn.IFERROR(W1176*0.5%,"N/A")</f>
        <v>76797.235788490507</v>
      </c>
      <c r="Y1176" s="423" cm="1">
        <f t="array" ref="Y1176">_xlfn.IFERROR(W1176*25%,"N/A")</f>
        <v>3839861.78942453</v>
      </c>
      <c r="Z1176" s="425" cm="1">
        <f t="array" ref="Z1176">IF(B1176&gt;0,SUM(W1176:Y1176),"N/A")</f>
        <v>19276106.1829111</v>
      </c>
      <c r="AA1176" s="425" cm="1">
        <f t="array" ref="AA1176">_xlfn.IFERROR((Z1176-Z1175),"N/A")</f>
        <v>1294532.5</v>
      </c>
      <c r="AB1176" s="424"/>
      <c r="AC1176" t="str" s="426" cm="1">
        <f t="array" ref="AC1176">IF(B1176=6,AVERAGE(Z1169:Z1174),"N/A")</f>
        <v>N/A</v>
      </c>
      <c r="AD1176" s="424"/>
      <c r="AE1176" s="423"/>
      <c r="AF1176" s="423"/>
      <c r="AG1176" s="423"/>
      <c r="AH1176" s="423"/>
      <c r="AI1176" s="423"/>
      <c r="AJ1176" s="423"/>
      <c r="AK1176" s="423"/>
      <c r="AL1176" s="423"/>
      <c r="AM1176" s="423"/>
      <c r="AN1176" s="427"/>
    </row>
    <row r="1177" ht="15" customHeight="1">
      <c r="A1177" s="12"/>
      <c r="B1177" s="428" cm="1">
        <f t="array" ref="B1177">IF(B1176=0,0,IF(B1176&lt;VLOOKUP(C1166,'Boats Data Sheet 2026'!$C$3:$H$57,6,0),B1176+1,0))</f>
        <v>9</v>
      </c>
      <c r="C1177" s="423" cm="1">
        <f t="array" ref="C1177">IF(B1177&gt;0,IF(VLOOKUP(C1166,'Boats Data Sheet 2026'!$C$3:$J$57,8,0)="N/A",0,VLOOKUP(C1166,'Boats Data Sheet 2026'!$C$3:$J$57,8,0)),"N/A")</f>
        <v>9100000</v>
      </c>
      <c r="D1177" s="429" cm="1">
        <f t="array" ref="D1177">IF(B1177&gt;7,2,IF(B1177=0,"N/A",1))</f>
        <v>2</v>
      </c>
      <c r="E1177" s="423" cm="1">
        <f t="array" ref="E1177">_xlfn.IFERROR(SUM('Direct Costs 2026'!$C$4:$C$5)*D1177,"N/A")</f>
        <v>1751000</v>
      </c>
      <c r="F1177" s="423" cm="1">
        <f t="array" ref="F1177">_xlfn.IFERROR('Direct Costs 2026'!$C$43*B1177,"N/A")</f>
        <v>54000</v>
      </c>
      <c r="G1177" s="423">
        <v>0</v>
      </c>
      <c r="H1177" s="423">
        <v>0</v>
      </c>
      <c r="I1177" s="423">
        <v>0</v>
      </c>
      <c r="J1177" s="423">
        <v>0</v>
      </c>
      <c r="K1177" s="423" cm="1">
        <f t="array" ref="K1177">IF(B1177&gt;0,'Direct Costs 2026'!$C$26,"N/A")</f>
        <v>20000</v>
      </c>
      <c r="L1177" s="423" cm="1">
        <f t="array" ref="L1177">IF(B1177&gt;0,'Direct Costs 2026'!$C$23,"N/A")</f>
        <v>140000</v>
      </c>
      <c r="M1177" s="423" cm="1">
        <f t="array" ref="M1177">IF(B1177&gt;0,'Direct Costs 2026'!$C$45*B1177,"N/A")</f>
        <v>1350000</v>
      </c>
      <c r="N1177" t="str" s="431" cm="1">
        <f t="array" ref="N1177">IF(B1177&gt;0,_xlfn.IFERROR(VLOOKUP(C1166,'Boats Data Sheet 2026'!$C$3:$I$57,7,0)*'Direct Costs 2026'!$C$36,"N/A"),"N/A")</f>
        <v>N/A</v>
      </c>
      <c r="O1177" t="str" s="431" cm="1">
        <f t="array" ref="O1177">IF(B1177&gt;0,IF(OR(VLOOKUP(C1166,'Boats Data Sheet 2026'!$C$3:$F$57,4,0)="Own",VLOOKUP(C1166,'Boats Data Sheet 2026'!$C$3:$F$57,4,0)="Management"),('Direct Costs 2026'!$C$37+'Direct Costs 2026'!$C$39),"N/A"),"N/A")</f>
        <v>N/A</v>
      </c>
      <c r="P1177" s="423">
        <v>0</v>
      </c>
      <c r="Q1177" s="423" cm="1">
        <f t="array" ref="Q1177">_xlfn.IFERROR(C1177+SUM(E1177:P1177),"N/A")</f>
        <v>12415000</v>
      </c>
      <c r="R1177" s="424"/>
      <c r="S1177" s="423" cm="1">
        <f t="array" ref="S1177">IF(B1177&gt;0,'Allocation OH and Target 2026'!$E$31,"N/A")</f>
        <v>3100447.15769812</v>
      </c>
      <c r="T1177" s="423" cm="1">
        <f t="array" ref="T1177">IF(B1177&gt;0,VLOOKUP(C1166,'Allocation OH and Target 2026'!$C$35:$S$87,16,0),"N/A")</f>
        <v>0</v>
      </c>
      <c r="U1177" s="423" cm="1">
        <f t="array" ref="U1177">_xlfn.IFERROR((S1177+T1177),"N/A")</f>
        <v>3100447.15769812</v>
      </c>
      <c r="V1177" s="424"/>
      <c r="W1177" s="423" cm="1">
        <f t="array" ref="W1177">_xlfn.IFERROR(U1177+Q1177,"N/A")</f>
        <v>15515447.1576981</v>
      </c>
      <c r="X1177" s="423" cm="1">
        <f t="array" ref="X1177">_xlfn.IFERROR(W1177*0.5%,"N/A")</f>
        <v>77577.235788490507</v>
      </c>
      <c r="Y1177" s="423" cm="1">
        <f t="array" ref="Y1177">_xlfn.IFERROR(W1177*25%,"N/A")</f>
        <v>3878861.78942453</v>
      </c>
      <c r="Z1177" s="425" cm="1">
        <f t="array" ref="Z1177">IF(B1177&gt;0,SUM(W1177:Y1177),"N/A")</f>
        <v>19471886.1829111</v>
      </c>
      <c r="AA1177" s="425" cm="1">
        <f t="array" ref="AA1177">_xlfn.IFERROR((Z1177-Z1176),"N/A")</f>
        <v>195780</v>
      </c>
      <c r="AB1177" s="424"/>
      <c r="AC1177" t="str" s="426" cm="1">
        <f t="array" ref="AC1177">IF(B1177=6,AVERAGE(Z1169:Z1174),"N/A")</f>
        <v>N/A</v>
      </c>
      <c r="AD1177" s="424"/>
      <c r="AE1177" s="423"/>
      <c r="AF1177" s="423"/>
      <c r="AG1177" s="423"/>
      <c r="AH1177" s="423"/>
      <c r="AI1177" s="423"/>
      <c r="AJ1177" s="423"/>
      <c r="AK1177" s="423"/>
      <c r="AL1177" s="423"/>
      <c r="AM1177" s="423"/>
      <c r="AN1177" s="427"/>
    </row>
    <row r="1178" ht="15" customHeight="1">
      <c r="A1178" s="12"/>
      <c r="B1178" s="428" cm="1">
        <f t="array" ref="B1178">IF(B1177=0,0,IF(B1177&lt;VLOOKUP(C1166,'Boats Data Sheet 2026'!$C$3:$H$57,6,0),B1177+1,0))</f>
        <v>10</v>
      </c>
      <c r="C1178" s="423" cm="1">
        <f t="array" ref="C1178">IF(B1178&gt;0,IF(VLOOKUP(C1166,'Boats Data Sheet 2026'!$C$3:$J$57,8,0)="N/A",0,VLOOKUP(C1166,'Boats Data Sheet 2026'!$C$3:$J$57,8,0)),"N/A")</f>
        <v>9100000</v>
      </c>
      <c r="D1178" s="429" cm="1">
        <f t="array" ref="D1178">IF(B1178&gt;7,2,IF(B1178=0,"N/A",1))</f>
        <v>2</v>
      </c>
      <c r="E1178" s="423" cm="1">
        <f t="array" ref="E1178">_xlfn.IFERROR(SUM('Direct Costs 2026'!$C$4:$C$5)*D1178,"N/A")</f>
        <v>1751000</v>
      </c>
      <c r="F1178" s="423" cm="1">
        <f t="array" ref="F1178">_xlfn.IFERROR('Direct Costs 2026'!$C$43*B1178,"N/A")</f>
        <v>60000</v>
      </c>
      <c r="G1178" s="423">
        <v>0</v>
      </c>
      <c r="H1178" s="423">
        <v>0</v>
      </c>
      <c r="I1178" s="423">
        <v>0</v>
      </c>
      <c r="J1178" s="423">
        <v>0</v>
      </c>
      <c r="K1178" s="423" cm="1">
        <f t="array" ref="K1178">IF(B1178&gt;0,'Direct Costs 2026'!$C$26,"N/A")</f>
        <v>20000</v>
      </c>
      <c r="L1178" s="423" cm="1">
        <f t="array" ref="L1178">IF(B1178&gt;0,'Direct Costs 2026'!$C$23,"N/A")</f>
        <v>140000</v>
      </c>
      <c r="M1178" s="423" cm="1">
        <f t="array" ref="M1178">IF(B1178&gt;0,'Direct Costs 2026'!$C$45*B1178,"N/A")</f>
        <v>1500000</v>
      </c>
      <c r="N1178" t="str" s="431" cm="1">
        <f t="array" ref="N1178">IF(B1178&gt;0,_xlfn.IFERROR(VLOOKUP(C1166,'Boats Data Sheet 2026'!$C$3:$I$57,7,0)*'Direct Costs 2026'!$C$36,"N/A"),"N/A")</f>
        <v>N/A</v>
      </c>
      <c r="O1178" t="str" s="431" cm="1">
        <f t="array" ref="O1178">IF(B1178&gt;0,IF(OR(VLOOKUP(C1166,'Boats Data Sheet 2026'!$C$3:$F$57,4,0)="Own",VLOOKUP(C1166,'Boats Data Sheet 2026'!$C$3:$F$57,4,0)="Management"),('Direct Costs 2026'!$C$37+'Direct Costs 2026'!$C$39),"N/A"),"N/A")</f>
        <v>N/A</v>
      </c>
      <c r="P1178" s="423">
        <v>0</v>
      </c>
      <c r="Q1178" s="423" cm="1">
        <f t="array" ref="Q1178">_xlfn.IFERROR(C1178+SUM(E1178:P1178),"N/A")</f>
        <v>12571000</v>
      </c>
      <c r="R1178" s="424"/>
      <c r="S1178" s="423" cm="1">
        <f t="array" ref="S1178">IF(B1178&gt;0,'Allocation OH and Target 2026'!$E$31,"N/A")</f>
        <v>3100447.15769812</v>
      </c>
      <c r="T1178" s="423" cm="1">
        <f t="array" ref="T1178">IF(B1178&gt;0,VLOOKUP(C1166,'Allocation OH and Target 2026'!$C$35:$S$87,16,0),"N/A")</f>
        <v>0</v>
      </c>
      <c r="U1178" s="423" cm="1">
        <f t="array" ref="U1178">_xlfn.IFERROR((S1178+T1178),"N/A")</f>
        <v>3100447.15769812</v>
      </c>
      <c r="V1178" s="424"/>
      <c r="W1178" s="423" cm="1">
        <f t="array" ref="W1178">_xlfn.IFERROR(U1178+Q1178,"N/A")</f>
        <v>15671447.1576981</v>
      </c>
      <c r="X1178" s="423" cm="1">
        <f t="array" ref="X1178">_xlfn.IFERROR(W1178*0.5%,"N/A")</f>
        <v>78357.235788490507</v>
      </c>
      <c r="Y1178" s="423" cm="1">
        <f t="array" ref="Y1178">_xlfn.IFERROR(W1178*25%,"N/A")</f>
        <v>3917861.78942453</v>
      </c>
      <c r="Z1178" s="425" cm="1">
        <f t="array" ref="Z1178">IF(B1178&gt;0,SUM(W1178:Y1178),"N/A")</f>
        <v>19667666.1829111</v>
      </c>
      <c r="AA1178" s="425" cm="1">
        <f t="array" ref="AA1178">_xlfn.IFERROR((Z1178-Z1177),"N/A")</f>
        <v>195780</v>
      </c>
      <c r="AB1178" s="424"/>
      <c r="AC1178" t="str" s="426" cm="1">
        <f t="array" ref="AC1178">IF(B1178=6,AVERAGE(Z1169:Z1174),"N/A")</f>
        <v>N/A</v>
      </c>
      <c r="AD1178" s="424"/>
      <c r="AE1178" s="423"/>
      <c r="AF1178" s="423"/>
      <c r="AG1178" s="423"/>
      <c r="AH1178" s="423"/>
      <c r="AI1178" s="423"/>
      <c r="AJ1178" s="423"/>
      <c r="AK1178" s="423"/>
      <c r="AL1178" s="423"/>
      <c r="AM1178" s="423"/>
      <c r="AN1178" s="427"/>
    </row>
    <row r="1179" ht="15" customHeight="1">
      <c r="A1179" s="12"/>
      <c r="B1179" s="428" cm="1">
        <f t="array" ref="B1179">IF(B1178=0,0,IF(B1178&lt;VLOOKUP(C1166,'Boats Data Sheet 2026'!$C$3:$H$57,6,0),B1178+1,0))</f>
        <v>0</v>
      </c>
      <c r="C1179" t="str" s="431" cm="1">
        <f t="array" ref="C1179">IF(B1179&gt;0,IF(VLOOKUP(C1166,'Boats Data Sheet 2026'!$C$3:$J$57,8,0)="N/A",0,VLOOKUP(C1166,'Boats Data Sheet 2026'!$C$3:$J$57,8,0)),"N/A")</f>
        <v>N/A</v>
      </c>
      <c r="D1179" t="str" s="511" cm="1">
        <f t="array" ref="D1179">IF(B1179&gt;7,2,IF(B1179=0,"N/A",1))</f>
        <v>N/A</v>
      </c>
      <c r="E1179" t="str" s="431" cm="1">
        <f t="array" ref="E1179">_xlfn.IFERROR(SUM('Direct Costs 2026'!$C$4:$C$5)*D1179,"N/A")</f>
        <v>N/A</v>
      </c>
      <c r="F1179" s="423" cm="1">
        <f t="array" ref="F1179">_xlfn.IFERROR('Direct Costs 2026'!$C$43*B1179,"N/A")</f>
        <v>0</v>
      </c>
      <c r="G1179" t="str" s="431" cm="1">
        <f t="array" ref="G1179">IF(B1179&gt;0,'Direct Costs 2026'!$C$25,"N/A")</f>
        <v>N/A</v>
      </c>
      <c r="H1179" t="str" s="431" cm="1">
        <f t="array" ref="H1179">IF(B1179&gt;0,'Direct Costs 2026'!$C$15+'Direct Costs 2026'!$C$14,"N/A")</f>
        <v>N/A</v>
      </c>
      <c r="I1179" s="423">
        <v>0</v>
      </c>
      <c r="J1179" s="423">
        <v>0</v>
      </c>
      <c r="K1179" t="str" s="431" cm="1">
        <f t="array" ref="K1179">IF(B1179&gt;0,'Direct Costs 2026'!$C$26,"N/A")</f>
        <v>N/A</v>
      </c>
      <c r="L1179" t="str" s="431" cm="1">
        <f t="array" ref="L1179">IF(B1179&gt;0,'Direct Costs 2026'!$C$23,"N/A")</f>
        <v>N/A</v>
      </c>
      <c r="M1179" t="str" s="431" cm="1">
        <f t="array" ref="M1179">IF(B1179&gt;0,'Direct Costs 2026'!$C$45*B1179,"N/A")</f>
        <v>N/A</v>
      </c>
      <c r="N1179" t="str" s="431" cm="1">
        <f t="array" ref="N1179">IF(B1179&gt;0,_xlfn.IFERROR(VLOOKUP(C1166,'Boats Data Sheet 2026'!$C$3:$I$57,7,0)*'Direct Costs 2026'!$C$36,"N/A"),"N/A")</f>
        <v>N/A</v>
      </c>
      <c r="O1179" t="str" s="431" cm="1">
        <f t="array" ref="O1179">IF(B1179&gt;0,IF(OR(VLOOKUP(C1166,'Boats Data Sheet 2026'!$C$3:$F$57,4,0)="Own",VLOOKUP(C1166,'Boats Data Sheet 2026'!$C$3:$F$57,4,0)="Management"),('Direct Costs 2026'!$C$37+'Direct Costs 2026'!$C$39),"N/A"),"N/A")</f>
        <v>N/A</v>
      </c>
      <c r="P1179" t="str" s="431" cm="1">
        <f t="array" ref="P1179">_xlfn.IFERROR('Direct Costs 2026'!$C$27*C1179,"N/A")</f>
        <v>N/A</v>
      </c>
      <c r="Q1179" t="str" s="431" cm="1">
        <f t="array" ref="Q1179">_xlfn.IFERROR(C1179+SUM(E1179:P1179),"N/A")</f>
        <v>N/A</v>
      </c>
      <c r="R1179" s="424"/>
      <c r="S1179" t="str" s="431" cm="1">
        <f t="array" ref="S1179">IF(B1179&gt;0,'Allocation OH and Target 2026'!$E$31,"N/A")</f>
        <v>N/A</v>
      </c>
      <c r="T1179" t="str" s="431" cm="1">
        <f t="array" ref="T1179">IF(B1179&gt;0,VLOOKUP(C1166,'Allocation OH and Target 2026'!$C$35:$S$87,16,0),"N/A")</f>
        <v>N/A</v>
      </c>
      <c r="U1179" t="str" s="431" cm="1">
        <f t="array" ref="U1179">_xlfn.IFERROR((S1179+T1179),"N/A")</f>
        <v>N/A</v>
      </c>
      <c r="V1179" s="424"/>
      <c r="W1179" t="str" s="431" cm="1">
        <f t="array" ref="W1179">_xlfn.IFERROR(U1179+Q1179,"N/A")</f>
        <v>N/A</v>
      </c>
      <c r="X1179" t="str" s="431" cm="1">
        <f t="array" ref="X1179">_xlfn.IFERROR(W1179*0.5%,"N/A")</f>
        <v>N/A</v>
      </c>
      <c r="Y1179" t="str" s="431" cm="1">
        <f t="array" ref="Y1179">_xlfn.IFERROR(W1179*25%,"N/A")</f>
        <v>N/A</v>
      </c>
      <c r="Z1179" t="str" s="426" cm="1">
        <f t="array" ref="Z1179">IF(B1179&gt;0,SUM(W1179:Y1179),"N/A")</f>
        <v>N/A</v>
      </c>
      <c r="AA1179" t="str" s="426" cm="1">
        <f t="array" ref="AA1179">_xlfn.IFERROR((Z1179-Z1178),"N/A")</f>
        <v>N/A</v>
      </c>
      <c r="AB1179" s="424"/>
      <c r="AC1179" t="str" s="426" cm="1">
        <f t="array" ref="AC1179">IF(B1179=6,AVERAGE(Z1169:Z1174),"N/A")</f>
        <v>N/A</v>
      </c>
      <c r="AD1179" s="424"/>
      <c r="AE1179" s="423"/>
      <c r="AF1179" s="423"/>
      <c r="AG1179" s="423"/>
      <c r="AH1179" s="423"/>
      <c r="AI1179" s="423"/>
      <c r="AJ1179" s="423"/>
      <c r="AK1179" s="423"/>
      <c r="AL1179" s="423"/>
      <c r="AM1179" s="423"/>
      <c r="AN1179" s="427"/>
    </row>
    <row r="1180" ht="15" customHeight="1">
      <c r="A1180" s="12"/>
      <c r="B1180" s="428" cm="1">
        <f t="array" ref="B1180">IF(B1179=0,0,IF(B1179&lt;VLOOKUP(C1166,'Boats Data Sheet 2026'!$C$3:$H$57,6,0),B1179+1,0))</f>
        <v>0</v>
      </c>
      <c r="C1180" t="str" s="431" cm="1">
        <f t="array" ref="C1180">IF(B1180&gt;0,IF(VLOOKUP(C1166,'Boats Data Sheet 2026'!$C$3:$J$57,8,0)="N/A",0,VLOOKUP(C1166,'Boats Data Sheet 2026'!$C$3:$J$57,8,0)),"N/A")</f>
        <v>N/A</v>
      </c>
      <c r="D1180" t="str" s="511" cm="1">
        <f t="array" ref="D1180">IF(B1180&gt;7,2,IF(B1180=0,"N/A",1))</f>
        <v>N/A</v>
      </c>
      <c r="E1180" t="str" s="431" cm="1">
        <f t="array" ref="E1180">_xlfn.IFERROR(SUM('Direct Costs 2026'!$C$4:$C$5)*D1180,"N/A")</f>
        <v>N/A</v>
      </c>
      <c r="F1180" s="423" cm="1">
        <f t="array" ref="F1180">_xlfn.IFERROR('Direct Costs 2026'!$C$43*B1180,"N/A")</f>
        <v>0</v>
      </c>
      <c r="G1180" t="str" s="431" cm="1">
        <f t="array" ref="G1180">IF(B1180&gt;0,'Direct Costs 2026'!$C$25,"N/A")</f>
        <v>N/A</v>
      </c>
      <c r="H1180" t="str" s="431" cm="1">
        <f t="array" ref="H1180">IF(B1180&gt;0,'Direct Costs 2026'!$C$15+'Direct Costs 2026'!$C$14,"N/A")</f>
        <v>N/A</v>
      </c>
      <c r="I1180" s="423">
        <v>0</v>
      </c>
      <c r="J1180" s="423">
        <v>0</v>
      </c>
      <c r="K1180" t="str" s="431" cm="1">
        <f t="array" ref="K1180">IF(B1180&gt;0,'Direct Costs 2026'!$C$26,"N/A")</f>
        <v>N/A</v>
      </c>
      <c r="L1180" t="str" s="431" cm="1">
        <f t="array" ref="L1180">IF(B1180&gt;0,'Direct Costs 2026'!$C$23,"N/A")</f>
        <v>N/A</v>
      </c>
      <c r="M1180" t="str" s="431" cm="1">
        <f t="array" ref="M1180">IF(B1180&gt;0,'Direct Costs 2026'!$C$45*B1180,"N/A")</f>
        <v>N/A</v>
      </c>
      <c r="N1180" t="str" s="431" cm="1">
        <f t="array" ref="N1180">IF(B1180&gt;0,_xlfn.IFERROR(VLOOKUP(C1166,'Boats Data Sheet 2026'!$C$3:$I$57,7,0)*'Direct Costs 2026'!$C$36,"N/A"),"N/A")</f>
        <v>N/A</v>
      </c>
      <c r="O1180" t="str" s="431" cm="1">
        <f t="array" ref="O1180">IF(B1180&gt;0,IF(OR(VLOOKUP(C1166,'Boats Data Sheet 2026'!$C$3:$F$57,4,0)="Own",VLOOKUP(C1166,'Boats Data Sheet 2026'!$C$3:$F$57,4,0)="Management"),('Direct Costs 2026'!$C$37+'Direct Costs 2026'!$C$39),"N/A"),"N/A")</f>
        <v>N/A</v>
      </c>
      <c r="P1180" t="str" s="431" cm="1">
        <f t="array" ref="P1180">_xlfn.IFERROR('Direct Costs 2026'!$C$27*C1180,"N/A")</f>
        <v>N/A</v>
      </c>
      <c r="Q1180" t="str" s="431" cm="1">
        <f t="array" ref="Q1180">_xlfn.IFERROR(C1180+SUM(E1180:P1180),"N/A")</f>
        <v>N/A</v>
      </c>
      <c r="R1180" s="424"/>
      <c r="S1180" t="str" s="431" cm="1">
        <f t="array" ref="S1180">IF(B1180&gt;0,'Allocation OH and Target 2026'!$E$31,"N/A")</f>
        <v>N/A</v>
      </c>
      <c r="T1180" t="str" s="431" cm="1">
        <f t="array" ref="T1180">IF(B1180&gt;0,VLOOKUP(C1166,'Allocation OH and Target 2026'!$C$35:$S$87,16,0),"N/A")</f>
        <v>N/A</v>
      </c>
      <c r="U1180" t="str" s="431" cm="1">
        <f t="array" ref="U1180">_xlfn.IFERROR((S1180+T1180),"N/A")</f>
        <v>N/A</v>
      </c>
      <c r="V1180" s="424"/>
      <c r="W1180" t="str" s="431" cm="1">
        <f t="array" ref="W1180">_xlfn.IFERROR(U1180+Q1180,"N/A")</f>
        <v>N/A</v>
      </c>
      <c r="X1180" t="str" s="431" cm="1">
        <f t="array" ref="X1180">_xlfn.IFERROR(W1180*0.5%,"N/A")</f>
        <v>N/A</v>
      </c>
      <c r="Y1180" t="str" s="431" cm="1">
        <f t="array" ref="Y1180">_xlfn.IFERROR(W1180*25%,"N/A")</f>
        <v>N/A</v>
      </c>
      <c r="Z1180" t="str" s="426" cm="1">
        <f t="array" ref="Z1180">IF(B1180&gt;0,SUM(W1180:Y1180),"N/A")</f>
        <v>N/A</v>
      </c>
      <c r="AA1180" t="str" s="426" cm="1">
        <f t="array" ref="AA1180">_xlfn.IFERROR((Z1180-Z1179),"N/A")</f>
        <v>N/A</v>
      </c>
      <c r="AB1180" s="424"/>
      <c r="AC1180" t="str" s="426" cm="1">
        <f t="array" ref="AC1180">IF(B1180=6,AVERAGE(Z1169:Z1174),"N/A")</f>
        <v>N/A</v>
      </c>
      <c r="AD1180" s="424"/>
      <c r="AE1180" s="423"/>
      <c r="AF1180" s="423"/>
      <c r="AG1180" s="423"/>
      <c r="AH1180" s="423"/>
      <c r="AI1180" s="423"/>
      <c r="AJ1180" s="423"/>
      <c r="AK1180" s="423"/>
      <c r="AL1180" s="423"/>
      <c r="AM1180" s="423"/>
      <c r="AN1180" s="427"/>
    </row>
    <row r="1181" ht="15" customHeight="1">
      <c r="A1181" s="12"/>
      <c r="B1181" s="428" cm="1">
        <f t="array" ref="B1181">IF(B1180=0,0,IF(B1180&lt;VLOOKUP(C1166,'Boats Data Sheet 2026'!$C$3:$H$57,6,0),B1180+1,0))</f>
        <v>0</v>
      </c>
      <c r="C1181" t="str" s="431" cm="1">
        <f t="array" ref="C1181">IF(B1181&gt;0,IF(VLOOKUP(C1166,'Boats Data Sheet 2026'!$C$3:$J$57,8,0)="N/A",0,VLOOKUP(C1166,'Boats Data Sheet 2026'!$C$3:$J$57,8,0)),"N/A")</f>
        <v>N/A</v>
      </c>
      <c r="D1181" t="str" s="511" cm="1">
        <f t="array" ref="D1181">IF(B1181&gt;7,2,IF(B1181=0,"N/A",1))</f>
        <v>N/A</v>
      </c>
      <c r="E1181" t="str" s="431" cm="1">
        <f t="array" ref="E1181">_xlfn.IFERROR(SUM('Direct Costs 2026'!$C$4:$C$5)*D1181,"N/A")</f>
        <v>N/A</v>
      </c>
      <c r="F1181" s="423" cm="1">
        <f t="array" ref="F1181">_xlfn.IFERROR('Direct Costs 2026'!$C$43*B1181,"N/A")</f>
        <v>0</v>
      </c>
      <c r="G1181" t="str" s="431" cm="1">
        <f t="array" ref="G1181">IF(B1181&gt;0,'Direct Costs 2026'!$C$25,"N/A")</f>
        <v>N/A</v>
      </c>
      <c r="H1181" t="str" s="431" cm="1">
        <f t="array" ref="H1181">IF(B1181&gt;0,'Direct Costs 2026'!$C$15+'Direct Costs 2026'!$C$14,"N/A")</f>
        <v>N/A</v>
      </c>
      <c r="I1181" s="423">
        <v>0</v>
      </c>
      <c r="J1181" s="423">
        <v>0</v>
      </c>
      <c r="K1181" t="str" s="431" cm="1">
        <f t="array" ref="K1181">IF(B1181&gt;0,'Direct Costs 2026'!$C$26,"N/A")</f>
        <v>N/A</v>
      </c>
      <c r="L1181" t="str" s="431" cm="1">
        <f t="array" ref="L1181">IF(B1181&gt;0,'Direct Costs 2026'!$C$23,"N/A")</f>
        <v>N/A</v>
      </c>
      <c r="M1181" t="str" s="431" cm="1">
        <f t="array" ref="M1181">IF(B1181&gt;0,'Direct Costs 2026'!$C$45*B1181,"N/A")</f>
        <v>N/A</v>
      </c>
      <c r="N1181" t="str" s="431" cm="1">
        <f t="array" ref="N1181">IF(B1181&gt;0,_xlfn.IFERROR(VLOOKUP(C1166,'Boats Data Sheet 2026'!$C$3:$I$57,7,0)*'Direct Costs 2026'!$C$36,"N/A"),"N/A")</f>
        <v>N/A</v>
      </c>
      <c r="O1181" t="str" s="431" cm="1">
        <f t="array" ref="O1181">IF(B1181&gt;0,IF(OR(VLOOKUP(C1166,'Boats Data Sheet 2026'!$C$3:$F$57,4,0)="Own",VLOOKUP(C1166,'Boats Data Sheet 2026'!$C$3:$F$57,4,0)="Management"),('Direct Costs 2026'!$C$37+'Direct Costs 2026'!$C$39),"N/A"),"N/A")</f>
        <v>N/A</v>
      </c>
      <c r="P1181" t="str" s="431" cm="1">
        <f t="array" ref="P1181">_xlfn.IFERROR('Direct Costs 2026'!$C$27*C1181,"N/A")</f>
        <v>N/A</v>
      </c>
      <c r="Q1181" t="str" s="431" cm="1">
        <f t="array" ref="Q1181">_xlfn.IFERROR(C1181+SUM(E1181:P1181),"N/A")</f>
        <v>N/A</v>
      </c>
      <c r="R1181" s="424"/>
      <c r="S1181" t="str" s="431" cm="1">
        <f t="array" ref="S1181">IF(B1181&gt;0,'Allocation OH and Target 2026'!$E$31,"N/A")</f>
        <v>N/A</v>
      </c>
      <c r="T1181" t="str" s="431" cm="1">
        <f t="array" ref="T1181">IF(B1181&gt;0,VLOOKUP(C1166,'Allocation OH and Target 2026'!$C$35:$S$87,16,0),"N/A")</f>
        <v>N/A</v>
      </c>
      <c r="U1181" t="str" s="431" cm="1">
        <f t="array" ref="U1181">_xlfn.IFERROR((S1181+T1181),"N/A")</f>
        <v>N/A</v>
      </c>
      <c r="V1181" s="424"/>
      <c r="W1181" t="str" s="431" cm="1">
        <f t="array" ref="W1181">_xlfn.IFERROR(U1181+Q1181,"N/A")</f>
        <v>N/A</v>
      </c>
      <c r="X1181" t="str" s="431" cm="1">
        <f t="array" ref="X1181">_xlfn.IFERROR(W1181*0.5%,"N/A")</f>
        <v>N/A</v>
      </c>
      <c r="Y1181" t="str" s="431" cm="1">
        <f t="array" ref="Y1181">_xlfn.IFERROR(W1181*25%,"N/A")</f>
        <v>N/A</v>
      </c>
      <c r="Z1181" t="str" s="426" cm="1">
        <f t="array" ref="Z1181">IF(B1181&gt;0,SUM(W1181:Y1181),"N/A")</f>
        <v>N/A</v>
      </c>
      <c r="AA1181" t="str" s="426" cm="1">
        <f t="array" ref="AA1181">_xlfn.IFERROR((Z1181-Z1180),"N/A")</f>
        <v>N/A</v>
      </c>
      <c r="AB1181" s="424"/>
      <c r="AC1181" t="str" s="426" cm="1">
        <f t="array" ref="AC1181">IF(B1181=6,AVERAGE(Z1169:Z1174),"N/A")</f>
        <v>N/A</v>
      </c>
      <c r="AD1181" s="424"/>
      <c r="AE1181" s="423"/>
      <c r="AF1181" s="423"/>
      <c r="AG1181" s="423"/>
      <c r="AH1181" s="423"/>
      <c r="AI1181" s="423"/>
      <c r="AJ1181" s="423"/>
      <c r="AK1181" s="423"/>
      <c r="AL1181" s="423"/>
      <c r="AM1181" s="423"/>
      <c r="AN1181" s="427"/>
    </row>
    <row r="1182" ht="15" customHeight="1">
      <c r="A1182" s="12"/>
      <c r="B1182" s="428" cm="1">
        <f t="array" ref="B1182">IF(B1181=0,0,IF(B1181&lt;VLOOKUP(C1166,'Boats Data Sheet 2026'!$C$3:$H$57,6,0),B1181+1,0))</f>
        <v>0</v>
      </c>
      <c r="C1182" t="str" s="431" cm="1">
        <f t="array" ref="C1182">IF(B1182&gt;0,IF(VLOOKUP(C1166,'Boats Data Sheet 2026'!$C$3:$J$57,8,0)="N/A",0,VLOOKUP(C1166,'Boats Data Sheet 2026'!$C$3:$J$57,8,0)),"N/A")</f>
        <v>N/A</v>
      </c>
      <c r="D1182" t="str" s="431" cm="1">
        <f t="array" ref="D1182">IF(B1182&gt;7,2,IF(B1182=0,"N/A",1))</f>
        <v>N/A</v>
      </c>
      <c r="E1182" t="str" s="431" cm="1">
        <f t="array" ref="E1182">_xlfn.IFERROR(SUM('Direct Costs 2026'!$C$4:$C$5)*D1182,"N/A")</f>
        <v>N/A</v>
      </c>
      <c r="F1182" s="423" cm="1">
        <f t="array" ref="F1182">_xlfn.IFERROR('Direct Costs 2026'!$C$43*B1182,"N/A")</f>
        <v>0</v>
      </c>
      <c r="G1182" t="str" s="431" cm="1">
        <f t="array" ref="G1182">IF(B1182&gt;0,'Direct Costs 2026'!$C$25,"N/A")</f>
        <v>N/A</v>
      </c>
      <c r="H1182" t="str" s="431" cm="1">
        <f t="array" ref="H1182">IF(B1182&gt;0,'Direct Costs 2026'!$C$15+'Direct Costs 2026'!$C$14,"N/A")</f>
        <v>N/A</v>
      </c>
      <c r="I1182" s="423">
        <v>0</v>
      </c>
      <c r="J1182" s="423">
        <v>0</v>
      </c>
      <c r="K1182" t="str" s="431" cm="1">
        <f t="array" ref="K1182">IF(B1182&gt;0,'Direct Costs 2026'!$C$26,"N/A")</f>
        <v>N/A</v>
      </c>
      <c r="L1182" t="str" s="431" cm="1">
        <f t="array" ref="L1182">IF(B1182&gt;0,'Direct Costs 2026'!$C$23,"N/A")</f>
        <v>N/A</v>
      </c>
      <c r="M1182" t="str" s="431" cm="1">
        <f t="array" ref="M1182">IF(B1182&gt;0,'Direct Costs 2026'!$C$45*B1182,"N/A")</f>
        <v>N/A</v>
      </c>
      <c r="N1182" t="str" s="431" cm="1">
        <f t="array" ref="N1182">IF(B1182&gt;0,_xlfn.IFERROR(VLOOKUP(C1166,'Boats Data Sheet 2026'!$C$3:$I$57,7,0)*'Direct Costs 2026'!$C$36,"N/A"),"N/A")</f>
        <v>N/A</v>
      </c>
      <c r="O1182" t="str" s="431" cm="1">
        <f t="array" ref="O1182">IF(B1182&gt;0,IF(OR(VLOOKUP(C1166,'Boats Data Sheet 2026'!$C$3:$F$57,4,0)="Own",VLOOKUP(C1166,'Boats Data Sheet 2026'!$C$3:$F$57,4,0)="Management"),('Direct Costs 2026'!$C$37+'Direct Costs 2026'!$C$39),"N/A"),"N/A")</f>
        <v>N/A</v>
      </c>
      <c r="P1182" t="str" s="431" cm="1">
        <f t="array" ref="P1182">_xlfn.IFERROR('Direct Costs 2026'!$C$27*C1182,"N/A")</f>
        <v>N/A</v>
      </c>
      <c r="Q1182" t="str" s="431" cm="1">
        <f t="array" ref="Q1182">_xlfn.IFERROR(C1182+SUM(E1182:P1182),"N/A")</f>
        <v>N/A</v>
      </c>
      <c r="R1182" s="424"/>
      <c r="S1182" t="str" s="431" cm="1">
        <f t="array" ref="S1182">IF(B1182&gt;0,'Allocation OH and Target 2026'!$E$31,"N/A")</f>
        <v>N/A</v>
      </c>
      <c r="T1182" t="str" s="431" cm="1">
        <f t="array" ref="T1182">IF(B1182&gt;0,VLOOKUP(C1166,'Allocation OH and Target 2026'!$C$35:$S$87,16,0),"N/A")</f>
        <v>N/A</v>
      </c>
      <c r="U1182" t="str" s="431" cm="1">
        <f t="array" ref="U1182">_xlfn.IFERROR((S1182+T1182),"N/A")</f>
        <v>N/A</v>
      </c>
      <c r="V1182" s="424"/>
      <c r="W1182" t="str" s="431" cm="1">
        <f t="array" ref="W1182">_xlfn.IFERROR(U1182+Q1182,"N/A")</f>
        <v>N/A</v>
      </c>
      <c r="X1182" t="str" s="431" cm="1">
        <f t="array" ref="X1182">_xlfn.IFERROR(W1182*0.5%,"N/A")</f>
        <v>N/A</v>
      </c>
      <c r="Y1182" t="str" s="431" cm="1">
        <f t="array" ref="Y1182">_xlfn.IFERROR(W1182*25%,"N/A")</f>
        <v>N/A</v>
      </c>
      <c r="Z1182" t="str" s="426" cm="1">
        <f t="array" ref="Z1182">IF(B1182&gt;0,SUM(W1182:Y1182),"N/A")</f>
        <v>N/A</v>
      </c>
      <c r="AA1182" t="str" s="426" cm="1">
        <f t="array" ref="AA1182">_xlfn.IFERROR((Z1182-Z1181),"N/A")</f>
        <v>N/A</v>
      </c>
      <c r="AB1182" s="424"/>
      <c r="AC1182" t="str" s="426" cm="1">
        <f t="array" ref="AC1182">IF(B1182=6,AVERAGE(Z1169:Z1174),"N/A")</f>
        <v>N/A</v>
      </c>
      <c r="AD1182" s="424"/>
      <c r="AE1182" s="423"/>
      <c r="AF1182" s="423"/>
      <c r="AG1182" s="423"/>
      <c r="AH1182" s="423"/>
      <c r="AI1182" s="423"/>
      <c r="AJ1182" s="423"/>
      <c r="AK1182" s="423"/>
      <c r="AL1182" s="423"/>
      <c r="AM1182" s="423"/>
      <c r="AN1182" s="427"/>
    </row>
    <row r="1183" ht="15" customHeight="1">
      <c r="A1183" s="12"/>
      <c r="B1183" s="428" cm="1">
        <f t="array" ref="B1183">IF(B1182=0,0,IF(B1182&lt;VLOOKUP(C1166,'Boats Data Sheet 2026'!$C$3:$H$57,6,0),B1182+1,0))</f>
        <v>0</v>
      </c>
      <c r="C1183" t="str" s="431" cm="1">
        <f t="array" ref="C1183">IF(B1183&gt;0,IF(VLOOKUP(C1166,'Boats Data Sheet 2026'!$C$3:$J$57,8,0)="N/A",0,VLOOKUP(C1166,'Boats Data Sheet 2026'!$C$3:$J$57,8,0)),"N/A")</f>
        <v>N/A</v>
      </c>
      <c r="D1183" t="str" s="431" cm="1">
        <f t="array" ref="D1183">IF(B1183&gt;7,2,IF(B1183=0,"N/A",1))</f>
        <v>N/A</v>
      </c>
      <c r="E1183" t="str" s="431" cm="1">
        <f t="array" ref="E1183">_xlfn.IFERROR(SUM('Direct Costs 2026'!$C$4:$C$5)*D1183,"N/A")</f>
        <v>N/A</v>
      </c>
      <c r="F1183" s="423" cm="1">
        <f t="array" ref="F1183">_xlfn.IFERROR('Direct Costs 2026'!$C$43*B1183,"N/A")</f>
        <v>0</v>
      </c>
      <c r="G1183" t="str" s="431" cm="1">
        <f t="array" ref="G1183">IF(B1183&gt;0,'Direct Costs 2026'!$C$25,"N/A")</f>
        <v>N/A</v>
      </c>
      <c r="H1183" t="str" s="431" cm="1">
        <f t="array" ref="H1183">IF(B1183&gt;0,'Direct Costs 2026'!$C$15+'Direct Costs 2026'!$C$14,"N/A")</f>
        <v>N/A</v>
      </c>
      <c r="I1183" s="423">
        <v>0</v>
      </c>
      <c r="J1183" s="423">
        <v>0</v>
      </c>
      <c r="K1183" t="str" s="431" cm="1">
        <f t="array" ref="K1183">IF(B1183&gt;0,'Direct Costs 2026'!$C$26,"N/A")</f>
        <v>N/A</v>
      </c>
      <c r="L1183" t="str" s="431" cm="1">
        <f t="array" ref="L1183">IF(B1183&gt;0,'Direct Costs 2026'!$C$23,"N/A")</f>
        <v>N/A</v>
      </c>
      <c r="M1183" t="str" s="431" cm="1">
        <f t="array" ref="M1183">IF(B1183&gt;0,'Direct Costs 2026'!$C$45*B1183,"N/A")</f>
        <v>N/A</v>
      </c>
      <c r="N1183" t="str" s="431" cm="1">
        <f t="array" ref="N1183">IF(B1183&gt;0,_xlfn.IFERROR(VLOOKUP(C1166,'Boats Data Sheet 2026'!$C$3:$I$57,7,0)*'Direct Costs 2026'!$C$36,"N/A"),"N/A")</f>
        <v>N/A</v>
      </c>
      <c r="O1183" t="str" s="431" cm="1">
        <f t="array" ref="O1183">IF(B1183&gt;0,IF(OR(VLOOKUP(C1166,'Boats Data Sheet 2026'!$C$3:$F$57,4,0)="Own",VLOOKUP(C1166,'Boats Data Sheet 2026'!$C$3:$F$57,4,0)="Management"),('Direct Costs 2026'!$C$37+'Direct Costs 2026'!$C$39),"N/A"),"N/A")</f>
        <v>N/A</v>
      </c>
      <c r="P1183" t="str" s="431" cm="1">
        <f t="array" ref="P1183">_xlfn.IFERROR('Direct Costs 2026'!$C$27*C1183,"N/A")</f>
        <v>N/A</v>
      </c>
      <c r="Q1183" t="str" s="431" cm="1">
        <f t="array" ref="Q1183">_xlfn.IFERROR(C1183+SUM(E1183:P1183),"N/A")</f>
        <v>N/A</v>
      </c>
      <c r="R1183" s="424"/>
      <c r="S1183" t="str" s="431" cm="1">
        <f t="array" ref="S1183">IF(B1183&gt;0,'Allocation OH and Target 2026'!$E$31,"N/A")</f>
        <v>N/A</v>
      </c>
      <c r="T1183" t="str" s="431" cm="1">
        <f t="array" ref="T1183">IF(B1183&gt;0,VLOOKUP(C1166,'Allocation OH and Target 2026'!$C$35:$S$87,16,0),"N/A")</f>
        <v>N/A</v>
      </c>
      <c r="U1183" t="str" s="431" cm="1">
        <f t="array" ref="U1183">_xlfn.IFERROR((S1183+T1183),"N/A")</f>
        <v>N/A</v>
      </c>
      <c r="V1183" s="424"/>
      <c r="W1183" t="str" s="431" cm="1">
        <f t="array" ref="W1183">_xlfn.IFERROR(U1183+Q1183,"N/A")</f>
        <v>N/A</v>
      </c>
      <c r="X1183" t="str" s="431" cm="1">
        <f t="array" ref="X1183">_xlfn.IFERROR(W1183*0.5%,"N/A")</f>
        <v>N/A</v>
      </c>
      <c r="Y1183" t="str" s="431" cm="1">
        <f t="array" ref="Y1183">_xlfn.IFERROR(W1183*25%,"N/A")</f>
        <v>N/A</v>
      </c>
      <c r="Z1183" t="str" s="426" cm="1">
        <f t="array" ref="Z1183">IF(B1183&gt;0,SUM(W1183:Y1183),"N/A")</f>
        <v>N/A</v>
      </c>
      <c r="AA1183" t="str" s="426" cm="1">
        <f t="array" ref="AA1183">_xlfn.IFERROR((Z1183-Z1182),"N/A")</f>
        <v>N/A</v>
      </c>
      <c r="AB1183" s="424"/>
      <c r="AC1183" t="str" s="426" cm="1">
        <f t="array" ref="AC1183">IF(B1183=6,AVERAGE(Z1169:Z1174),"N/A")</f>
        <v>N/A</v>
      </c>
      <c r="AD1183" s="424"/>
      <c r="AE1183" s="423"/>
      <c r="AF1183" s="423"/>
      <c r="AG1183" s="423"/>
      <c r="AH1183" s="423"/>
      <c r="AI1183" s="423"/>
      <c r="AJ1183" s="423"/>
      <c r="AK1183" s="423"/>
      <c r="AL1183" s="423"/>
      <c r="AM1183" s="423"/>
      <c r="AN1183" s="427"/>
    </row>
    <row r="1184" ht="15" customHeight="1">
      <c r="A1184" s="12"/>
      <c r="B1184" s="428" cm="1">
        <f t="array" ref="B1184">IF(B1183=0,0,IF(B1183&lt;VLOOKUP(C1166,'Boats Data Sheet 2026'!$C$3:$H$57,6,0),B1183+1,0))</f>
        <v>0</v>
      </c>
      <c r="C1184" t="str" s="431" cm="1">
        <f t="array" ref="C1184">IF(B1184&gt;0,IF(VLOOKUP(C1166,'Boats Data Sheet 2026'!$C$3:$J$57,8,0)="N/A",0,VLOOKUP(C1166,'Boats Data Sheet 2026'!$C$3:$J$57,8,0)),"N/A")</f>
        <v>N/A</v>
      </c>
      <c r="D1184" t="str" s="431" cm="1">
        <f t="array" ref="D1184">IF(B1184&gt;7,2,IF(B1184=0,"N/A",1))</f>
        <v>N/A</v>
      </c>
      <c r="E1184" t="str" s="431" cm="1">
        <f t="array" ref="E1184">_xlfn.IFERROR(SUM('Direct Costs 2026'!$C$4:$C$5)*D1184,"N/A")</f>
        <v>N/A</v>
      </c>
      <c r="F1184" s="423" cm="1">
        <f t="array" ref="F1184">_xlfn.IFERROR('Direct Costs 2026'!$C$43*B1184,"N/A")</f>
        <v>0</v>
      </c>
      <c r="G1184" t="str" s="431" cm="1">
        <f t="array" ref="G1184">IF(B1184&gt;0,'Direct Costs 2026'!$C$25,"N/A")</f>
        <v>N/A</v>
      </c>
      <c r="H1184" t="str" s="431" cm="1">
        <f t="array" ref="H1184">IF(B1184&gt;0,'Direct Costs 2026'!$C$15+'Direct Costs 2026'!$C$14,"N/A")</f>
        <v>N/A</v>
      </c>
      <c r="I1184" s="423">
        <v>0</v>
      </c>
      <c r="J1184" s="423">
        <v>0</v>
      </c>
      <c r="K1184" t="str" s="431" cm="1">
        <f t="array" ref="K1184">IF(B1184&gt;0,'Direct Costs 2026'!$C$26,"N/A")</f>
        <v>N/A</v>
      </c>
      <c r="L1184" t="str" s="431" cm="1">
        <f t="array" ref="L1184">IF(B1184&gt;0,'Direct Costs 2026'!$C$23,"N/A")</f>
        <v>N/A</v>
      </c>
      <c r="M1184" t="str" s="431" cm="1">
        <f t="array" ref="M1184">IF(B1184&gt;0,'Direct Costs 2026'!$C$45*B1184,"N/A")</f>
        <v>N/A</v>
      </c>
      <c r="N1184" t="str" s="431" cm="1">
        <f t="array" ref="N1184">IF(B1184&gt;0,_xlfn.IFERROR(VLOOKUP(C1166,'Boats Data Sheet 2026'!$C$3:$I$57,7,0)*'Direct Costs 2026'!$C$36,"N/A"),"N/A")</f>
        <v>N/A</v>
      </c>
      <c r="O1184" t="str" s="431" cm="1">
        <f t="array" ref="O1184">IF(B1184&gt;0,IF(OR(VLOOKUP(C1166,'Boats Data Sheet 2026'!$C$3:$F$57,4,0)="Own",VLOOKUP(C1166,'Boats Data Sheet 2026'!$C$3:$F$57,4,0)="Management"),('Direct Costs 2026'!$C$37+'Direct Costs 2026'!$C$39),"N/A"),"N/A")</f>
        <v>N/A</v>
      </c>
      <c r="P1184" t="str" s="431" cm="1">
        <f t="array" ref="P1184">_xlfn.IFERROR('Direct Costs 2026'!$C$27*C1184,"N/A")</f>
        <v>N/A</v>
      </c>
      <c r="Q1184" t="str" s="431" cm="1">
        <f t="array" ref="Q1184">_xlfn.IFERROR(C1184+SUM(E1184:P1184),"N/A")</f>
        <v>N/A</v>
      </c>
      <c r="R1184" s="424"/>
      <c r="S1184" t="str" s="431" cm="1">
        <f t="array" ref="S1184">IF(B1184&gt;0,'Allocation OH and Target 2026'!$E$31,"N/A")</f>
        <v>N/A</v>
      </c>
      <c r="T1184" t="str" s="431" cm="1">
        <f t="array" ref="T1184">IF(B1184&gt;0,VLOOKUP(C1166,'Allocation OH and Target 2026'!$C$35:$S$87,16,0),"N/A")</f>
        <v>N/A</v>
      </c>
      <c r="U1184" t="str" s="431" cm="1">
        <f t="array" ref="U1184">_xlfn.IFERROR((S1184+T1184),"N/A")</f>
        <v>N/A</v>
      </c>
      <c r="V1184" s="424"/>
      <c r="W1184" t="str" s="431" cm="1">
        <f t="array" ref="W1184">_xlfn.IFERROR(U1184+Q1184,"N/A")</f>
        <v>N/A</v>
      </c>
      <c r="X1184" t="str" s="431" cm="1">
        <f t="array" ref="X1184">_xlfn.IFERROR(W1184*0.5%,"N/A")</f>
        <v>N/A</v>
      </c>
      <c r="Y1184" t="str" s="431" cm="1">
        <f t="array" ref="Y1184">_xlfn.IFERROR(W1184*25%,"N/A")</f>
        <v>N/A</v>
      </c>
      <c r="Z1184" t="str" s="426" cm="1">
        <f t="array" ref="Z1184">IF(B1184&gt;0,SUM(W1184:Y1184),"N/A")</f>
        <v>N/A</v>
      </c>
      <c r="AA1184" t="str" s="426" cm="1">
        <f t="array" ref="AA1184">_xlfn.IFERROR((Z1184-Z1183),"N/A")</f>
        <v>N/A</v>
      </c>
      <c r="AB1184" s="424"/>
      <c r="AC1184" t="str" s="426" cm="1">
        <f t="array" ref="AC1184">IF(B1184=6,AVERAGE(Z1169:Z1174),"N/A")</f>
        <v>N/A</v>
      </c>
      <c r="AD1184" s="424"/>
      <c r="AE1184" s="423"/>
      <c r="AF1184" s="423"/>
      <c r="AG1184" s="423"/>
      <c r="AH1184" s="423"/>
      <c r="AI1184" s="423"/>
      <c r="AJ1184" s="423"/>
      <c r="AK1184" s="423"/>
      <c r="AL1184" s="423"/>
      <c r="AM1184" s="423"/>
      <c r="AN1184" s="427"/>
    </row>
    <row r="1185" ht="15" customHeight="1">
      <c r="A1185" s="12"/>
      <c r="B1185" s="428" cm="1">
        <f t="array" ref="B1185">IF(B1184=0,0,IF(B1184&lt;VLOOKUP(C1166,'Boats Data Sheet 2026'!$C$3:$H$57,6,0),B1184+1,0))</f>
        <v>0</v>
      </c>
      <c r="C1185" t="str" s="431" cm="1">
        <f t="array" ref="C1185">IF(B1185&gt;0,IF(VLOOKUP(C1166,'Boats Data Sheet 2026'!$C$3:$J$57,8,0)="N/A",0,VLOOKUP(C1166,'Boats Data Sheet 2026'!$C$3:$J$57,8,0)),"N/A")</f>
        <v>N/A</v>
      </c>
      <c r="D1185" t="str" s="431" cm="1">
        <f t="array" ref="D1185">IF(B1185&gt;7,2,IF(B1185=0,"N/A",1))</f>
        <v>N/A</v>
      </c>
      <c r="E1185" t="str" s="431" cm="1">
        <f t="array" ref="E1185">_xlfn.IFERROR(SUM('Direct Costs 2026'!$C$4:$C$5)*D1185,"N/A")</f>
        <v>N/A</v>
      </c>
      <c r="F1185" s="423" cm="1">
        <f t="array" ref="F1185">_xlfn.IFERROR('Direct Costs 2026'!$C$43*B1185,"N/A")</f>
        <v>0</v>
      </c>
      <c r="G1185" t="str" s="431" cm="1">
        <f t="array" ref="G1185">IF(B1185&gt;0,'Direct Costs 2026'!$C$25,"N/A")</f>
        <v>N/A</v>
      </c>
      <c r="H1185" t="str" s="431" cm="1">
        <f t="array" ref="H1185">IF(B1185&gt;0,'Direct Costs 2026'!$C$15+'Direct Costs 2026'!$C$14,"N/A")</f>
        <v>N/A</v>
      </c>
      <c r="I1185" s="423">
        <v>0</v>
      </c>
      <c r="J1185" s="423">
        <v>0</v>
      </c>
      <c r="K1185" t="str" s="431" cm="1">
        <f t="array" ref="K1185">IF(B1185&gt;0,'Direct Costs 2026'!$C$26,"N/A")</f>
        <v>N/A</v>
      </c>
      <c r="L1185" t="str" s="431" cm="1">
        <f t="array" ref="L1185">IF(B1185&gt;0,'Direct Costs 2026'!$C$23,"N/A")</f>
        <v>N/A</v>
      </c>
      <c r="M1185" t="str" s="431" cm="1">
        <f t="array" ref="M1185">IF(B1185&gt;0,'Direct Costs 2026'!$C$45*B1185,"N/A")</f>
        <v>N/A</v>
      </c>
      <c r="N1185" t="str" s="431" cm="1">
        <f t="array" ref="N1185">IF(B1185&gt;0,_xlfn.IFERROR(VLOOKUP(C1166,'Boats Data Sheet 2026'!$C$3:$I$57,7,0)*'Direct Costs 2026'!$C$36,"N/A"),"N/A")</f>
        <v>N/A</v>
      </c>
      <c r="O1185" t="str" s="431" cm="1">
        <f t="array" ref="O1185">IF(B1185&gt;0,IF(OR(VLOOKUP(C1166,'Boats Data Sheet 2026'!$C$3:$F$57,4,0)="Own",VLOOKUP(C1166,'Boats Data Sheet 2026'!$C$3:$F$57,4,0)="Management"),('Direct Costs 2026'!$C$37+'Direct Costs 2026'!$C$39),"N/A"),"N/A")</f>
        <v>N/A</v>
      </c>
      <c r="P1185" t="str" s="431" cm="1">
        <f t="array" ref="P1185">_xlfn.IFERROR('Direct Costs 2026'!$C$27*C1185,"N/A")</f>
        <v>N/A</v>
      </c>
      <c r="Q1185" t="str" s="431" cm="1">
        <f t="array" ref="Q1185">_xlfn.IFERROR(C1185+SUM(E1185:P1185),"N/A")</f>
        <v>N/A</v>
      </c>
      <c r="R1185" s="424"/>
      <c r="S1185" t="str" s="431" cm="1">
        <f t="array" ref="S1185">IF(B1185&gt;0,'Allocation OH and Target 2026'!$E$31,"N/A")</f>
        <v>N/A</v>
      </c>
      <c r="T1185" t="str" s="431" cm="1">
        <f t="array" ref="T1185">IF(B1185&gt;0,VLOOKUP(C1166,'Allocation OH and Target 2026'!$C$35:$S$87,16,0),"N/A")</f>
        <v>N/A</v>
      </c>
      <c r="U1185" t="str" s="431" cm="1">
        <f t="array" ref="U1185">_xlfn.IFERROR((S1185+T1185),"N/A")</f>
        <v>N/A</v>
      </c>
      <c r="V1185" s="424"/>
      <c r="W1185" t="str" s="431" cm="1">
        <f t="array" ref="W1185">_xlfn.IFERROR(U1185+Q1185,"N/A")</f>
        <v>N/A</v>
      </c>
      <c r="X1185" t="str" s="431" cm="1">
        <f t="array" ref="X1185">_xlfn.IFERROR(W1185*0.5%,"N/A")</f>
        <v>N/A</v>
      </c>
      <c r="Y1185" t="str" s="431" cm="1">
        <f t="array" ref="Y1185">_xlfn.IFERROR(W1185*25%,"N/A")</f>
        <v>N/A</v>
      </c>
      <c r="Z1185" t="str" s="426" cm="1">
        <f t="array" ref="Z1185">IF(B1185&gt;0,SUM(W1185:Y1185),"N/A")</f>
        <v>N/A</v>
      </c>
      <c r="AA1185" t="str" s="426" cm="1">
        <f t="array" ref="AA1185">_xlfn.IFERROR((Z1185-Z1184),"N/A")</f>
        <v>N/A</v>
      </c>
      <c r="AB1185" s="424"/>
      <c r="AC1185" t="str" s="426" cm="1">
        <f t="array" ref="AC1185">IF(B1185=6,AVERAGE(Z1169:Z1174),"N/A")</f>
        <v>N/A</v>
      </c>
      <c r="AD1185" s="424"/>
      <c r="AE1185" s="423"/>
      <c r="AF1185" s="423"/>
      <c r="AG1185" s="423"/>
      <c r="AH1185" s="423"/>
      <c r="AI1185" s="423"/>
      <c r="AJ1185" s="423"/>
      <c r="AK1185" s="423"/>
      <c r="AL1185" s="423"/>
      <c r="AM1185" s="423"/>
      <c r="AN1185" s="427"/>
    </row>
    <row r="1186" ht="15.5" customHeight="1">
      <c r="A1186" s="12"/>
      <c r="B1186" s="432" cm="1">
        <f t="array" ref="B1186">IF(B1185=0,0,IF(B1185&lt;VLOOKUP(C1166,'Boats Data Sheet 2026'!$C$3:$H$57,6,0),B1185+1,0))</f>
        <v>0</v>
      </c>
      <c r="C1186" t="str" s="433" cm="1">
        <f t="array" ref="C1186">IF(B1186&gt;0,IF(VLOOKUP(C1166,'Boats Data Sheet 2026'!$C$3:$J$57,8,0)="N/A",0,VLOOKUP(C1166,'Boats Data Sheet 2026'!$C$3:$J$57,8,0)),"N/A")</f>
        <v>N/A</v>
      </c>
      <c r="D1186" t="str" s="433" cm="1">
        <f t="array" ref="D1186">IF(B1186&gt;7,2,IF(B1186=0,"N/A",1))</f>
        <v>N/A</v>
      </c>
      <c r="E1186" t="str" s="433" cm="1">
        <f t="array" ref="E1186">_xlfn.IFERROR(SUM('Direct Costs 2026'!$C$4:$C$5)*D1186,"N/A")</f>
        <v>N/A</v>
      </c>
      <c r="F1186" s="434" cm="1">
        <f t="array" ref="F1186">_xlfn.IFERROR('Direct Costs 2026'!$C$43*B1186,"N/A")</f>
        <v>0</v>
      </c>
      <c r="G1186" t="str" s="433" cm="1">
        <f t="array" ref="G1186">IF(B1186&gt;0,'Direct Costs 2026'!$C$25,"N/A")</f>
        <v>N/A</v>
      </c>
      <c r="H1186" t="str" s="433" cm="1">
        <f t="array" ref="H1186">IF(B1186&gt;0,'Direct Costs 2026'!$C$15+'Direct Costs 2026'!$C$14,"N/A")</f>
        <v>N/A</v>
      </c>
      <c r="I1186" s="434">
        <v>0</v>
      </c>
      <c r="J1186" s="434">
        <v>0</v>
      </c>
      <c r="K1186" t="str" s="433" cm="1">
        <f t="array" ref="K1186">IF(B1186&gt;0,'Direct Costs 2026'!$C$26,"N/A")</f>
        <v>N/A</v>
      </c>
      <c r="L1186" t="str" s="433" cm="1">
        <f t="array" ref="L1186">IF(B1186&gt;0,'Direct Costs 2026'!$C$23,"N/A")</f>
        <v>N/A</v>
      </c>
      <c r="M1186" t="str" s="433" cm="1">
        <f t="array" ref="M1186">IF(B1186&gt;0,'Direct Costs 2026'!$C$45*B1186,"N/A")</f>
        <v>N/A</v>
      </c>
      <c r="N1186" t="str" s="433" cm="1">
        <f t="array" ref="N1186">IF(B1186&gt;0,_xlfn.IFERROR(VLOOKUP(C1166,'Boats Data Sheet 2026'!$C$3:$I$57,7,0)*'Direct Costs 2026'!$C$36,"N/A"),"N/A")</f>
        <v>N/A</v>
      </c>
      <c r="O1186" t="str" s="433" cm="1">
        <f t="array" ref="O1186">IF(B1186&gt;0,IF(OR(VLOOKUP(C1166,'Boats Data Sheet 2026'!$C$3:$F$57,4,0)="Own",VLOOKUP(C1166,'Boats Data Sheet 2026'!$C$3:$F$57,4,0)="Management"),('Direct Costs 2026'!$C$37+'Direct Costs 2026'!$C$39),"N/A"),"N/A")</f>
        <v>N/A</v>
      </c>
      <c r="P1186" t="str" s="433" cm="1">
        <f t="array" ref="P1186">_xlfn.IFERROR('Direct Costs 2026'!$C$27*C1186,"N/A")</f>
        <v>N/A</v>
      </c>
      <c r="Q1186" t="str" s="433" cm="1">
        <f t="array" ref="Q1186">_xlfn.IFERROR(C1186+SUM(E1186:P1186),"N/A")</f>
        <v>N/A</v>
      </c>
      <c r="R1186" s="435"/>
      <c r="S1186" t="str" s="433" cm="1">
        <f t="array" ref="S1186">IF(B1186&gt;0,'Allocation OH and Target 2026'!$E$31,"N/A")</f>
        <v>N/A</v>
      </c>
      <c r="T1186" t="str" s="433" cm="1">
        <f t="array" ref="T1186">IF(B1186&gt;0,VLOOKUP(C1166,'Allocation OH and Target 2026'!$C$35:$S$87,16,0),"N/A")</f>
        <v>N/A</v>
      </c>
      <c r="U1186" t="str" s="433" cm="1">
        <f t="array" ref="U1186">_xlfn.IFERROR((S1186+T1186),"N/A")</f>
        <v>N/A</v>
      </c>
      <c r="V1186" s="435"/>
      <c r="W1186" t="str" s="433" cm="1">
        <f t="array" ref="W1186">_xlfn.IFERROR(U1186+Q1186,"N/A")</f>
        <v>N/A</v>
      </c>
      <c r="X1186" t="str" s="433" cm="1">
        <f t="array" ref="X1186">_xlfn.IFERROR(W1186*0.5%,"N/A")</f>
        <v>N/A</v>
      </c>
      <c r="Y1186" t="str" s="433" cm="1">
        <f t="array" ref="Y1186">_xlfn.IFERROR(W1186*25%,"N/A")</f>
        <v>N/A</v>
      </c>
      <c r="Z1186" t="str" s="436" cm="1">
        <f t="array" ref="Z1186">IF(B1186&gt;0,SUM(W1186:Y1186),"N/A")</f>
        <v>N/A</v>
      </c>
      <c r="AA1186" t="str" s="436" cm="1">
        <f t="array" ref="AA1186">_xlfn.IFERROR((Z1186-Z1185),"N/A")</f>
        <v>N/A</v>
      </c>
      <c r="AB1186" s="435"/>
      <c r="AC1186" t="str" s="436" cm="1">
        <f t="array" ref="AC1186">IF(B1186=6,AVERAGE(Z1169:Z1174),"N/A")</f>
        <v>N/A</v>
      </c>
      <c r="AD1186" s="435"/>
      <c r="AE1186" s="434"/>
      <c r="AF1186" s="434"/>
      <c r="AG1186" s="434"/>
      <c r="AH1186" s="434"/>
      <c r="AI1186" s="434"/>
      <c r="AJ1186" s="434"/>
      <c r="AK1186" s="434"/>
      <c r="AL1186" s="434"/>
      <c r="AM1186" s="434"/>
      <c r="AN1186" s="437"/>
    </row>
    <row r="1187" ht="15" customHeight="1">
      <c r="A1187" s="32"/>
      <c r="B1187" s="124"/>
      <c r="C1187" s="124"/>
      <c r="D1187" s="124"/>
      <c r="E1187" s="124"/>
      <c r="F1187" s="124"/>
      <c r="G1187" s="124"/>
      <c r="H1187" s="124"/>
      <c r="I1187" s="124"/>
      <c r="J1187" s="124"/>
      <c r="K1187" s="124"/>
      <c r="L1187" s="124"/>
      <c r="M1187" s="124"/>
      <c r="N1187" s="124"/>
      <c r="O1187" s="124"/>
      <c r="P1187" s="124"/>
      <c r="Q1187" s="124"/>
      <c r="R1187" s="124"/>
      <c r="S1187" s="124"/>
      <c r="T1187" s="124"/>
      <c r="U1187" s="124"/>
      <c r="V1187" s="124"/>
      <c r="W1187" s="124"/>
      <c r="X1187" s="124"/>
      <c r="Y1187" s="124"/>
      <c r="Z1187" s="124"/>
      <c r="AA1187" s="124"/>
      <c r="AB1187" s="124"/>
      <c r="AC1187" s="124"/>
      <c r="AD1187" s="124"/>
      <c r="AE1187" s="124"/>
      <c r="AF1187" s="124"/>
      <c r="AG1187" s="124"/>
      <c r="AH1187" s="124"/>
      <c r="AI1187" s="124"/>
      <c r="AJ1187" s="124"/>
      <c r="AK1187" s="124"/>
      <c r="AL1187" s="124"/>
      <c r="AM1187" s="124"/>
      <c r="AN1187" s="313"/>
    </row>
    <row r="1188" ht="15" customHeight="1">
      <c r="A1188" s="32"/>
      <c r="B1188" s="35"/>
      <c r="C1188" s="35"/>
      <c r="D1188" s="35"/>
      <c r="E1188" s="35"/>
      <c r="F1188" s="35"/>
      <c r="G1188" s="35"/>
      <c r="H1188" s="35"/>
      <c r="I1188" s="35"/>
      <c r="J1188" s="35"/>
      <c r="K1188" s="35"/>
      <c r="L1188" s="35"/>
      <c r="M1188" s="35"/>
      <c r="N1188" s="35"/>
      <c r="O1188" s="35"/>
      <c r="P1188" s="35"/>
      <c r="Q1188" s="35"/>
      <c r="R1188" s="35"/>
      <c r="S1188" s="35"/>
      <c r="T1188" s="35"/>
      <c r="U1188" s="35"/>
      <c r="V1188" s="35"/>
      <c r="W1188" s="35"/>
      <c r="X1188" s="35"/>
      <c r="Y1188" s="35"/>
      <c r="Z1188" s="35"/>
      <c r="AA1188" s="35"/>
      <c r="AB1188" s="35"/>
      <c r="AC1188" s="35"/>
      <c r="AD1188" s="35"/>
      <c r="AE1188" s="35"/>
      <c r="AF1188" s="35"/>
      <c r="AG1188" s="35"/>
      <c r="AH1188" s="35"/>
      <c r="AI1188" s="35"/>
      <c r="AJ1188" s="35"/>
      <c r="AK1188" s="35"/>
      <c r="AL1188" s="35"/>
      <c r="AM1188" s="35"/>
      <c r="AN1188" s="442"/>
    </row>
    <row r="1189" ht="15.5" customHeight="1">
      <c r="A1189" s="395">
        <v>42</v>
      </c>
      <c r="B1189" t="s" s="396">
        <v>506</v>
      </c>
      <c r="C1189" t="s" s="397">
        <v>112</v>
      </c>
      <c r="D1189" s="502"/>
      <c r="E1189" s="398"/>
      <c r="F1189" s="398"/>
      <c r="G1189" s="398"/>
      <c r="H1189" s="398"/>
      <c r="I1189" s="398"/>
      <c r="J1189" s="398"/>
      <c r="K1189" s="398"/>
      <c r="L1189" s="398"/>
      <c r="M1189" s="398"/>
      <c r="N1189" s="398"/>
      <c r="O1189" s="398"/>
      <c r="P1189" s="398"/>
      <c r="Q1189" s="398"/>
      <c r="R1189" s="399"/>
      <c r="S1189" s="398"/>
      <c r="T1189" s="398"/>
      <c r="U1189" s="398"/>
      <c r="V1189" s="399"/>
      <c r="W1189" s="398"/>
      <c r="X1189" s="398"/>
      <c r="Y1189" s="398"/>
      <c r="Z1189" s="398"/>
      <c r="AA1189" s="398"/>
      <c r="AB1189" s="399"/>
      <c r="AC1189" s="398"/>
      <c r="AD1189" s="399"/>
      <c r="AE1189" t="s" s="397">
        <v>508</v>
      </c>
      <c r="AF1189" s="401" cm="1">
        <f t="array" ref="AF1189">AVERAGE(Q1192:Q1197)</f>
        <v>14581500</v>
      </c>
      <c r="AG1189" t="s" s="400">
        <v>509</v>
      </c>
      <c r="AH1189" s="401" cm="1">
        <f t="array" ref="AH1189">AVERAGE(Q1198:Q1205)-AF1189</f>
        <v>1665583.33333333</v>
      </c>
      <c r="AI1189" t="s" s="400">
        <v>510</v>
      </c>
      <c r="AJ1189" s="401" cm="1">
        <f t="array" ref="AJ1189">AVERAGE(Y1192:Y1199)</f>
        <v>4486846.16442453</v>
      </c>
      <c r="AK1189" t="s" s="397">
        <v>511</v>
      </c>
      <c r="AL1189" s="401" cm="1">
        <f t="array" ref="AL1189">AVERAGE(W1192:W1197)</f>
        <v>17681947.1576981</v>
      </c>
      <c r="AM1189" t="s" s="400">
        <v>512</v>
      </c>
      <c r="AN1189" s="402" cm="1">
        <f t="array" ref="AN1189">W1192</f>
        <v>17291947.1576981</v>
      </c>
    </row>
    <row r="1190" ht="15" customHeight="1">
      <c r="A1190" s="12"/>
      <c r="B1190" s="403"/>
      <c r="C1190" t="s" s="404">
        <v>513</v>
      </c>
      <c r="D1190" s="405"/>
      <c r="E1190" s="405"/>
      <c r="F1190" s="405"/>
      <c r="G1190" s="405"/>
      <c r="H1190" s="405"/>
      <c r="I1190" s="405"/>
      <c r="J1190" s="405"/>
      <c r="K1190" s="405"/>
      <c r="L1190" s="405"/>
      <c r="M1190" s="405"/>
      <c r="N1190" s="405"/>
      <c r="O1190" s="405"/>
      <c r="P1190" s="405"/>
      <c r="Q1190" s="406"/>
      <c r="R1190" s="407"/>
      <c r="S1190" t="s" s="404">
        <v>514</v>
      </c>
      <c r="T1190" s="405"/>
      <c r="U1190" s="406"/>
      <c r="V1190" s="407"/>
      <c r="W1190" t="s" s="404">
        <v>515</v>
      </c>
      <c r="X1190" s="405"/>
      <c r="Y1190" s="405"/>
      <c r="Z1190" s="405"/>
      <c r="AA1190" s="405"/>
      <c r="AB1190" s="408"/>
      <c r="AC1190" s="443"/>
      <c r="AD1190" s="410"/>
      <c r="AE1190" s="443"/>
      <c r="AF1190" s="443"/>
      <c r="AG1190" s="443"/>
      <c r="AH1190" s="443"/>
      <c r="AI1190" s="443"/>
      <c r="AJ1190" s="443"/>
      <c r="AK1190" s="443"/>
      <c r="AL1190" s="414"/>
      <c r="AM1190" s="415"/>
      <c r="AN1190" s="414"/>
    </row>
    <row r="1191" ht="46.25" customHeight="1">
      <c r="A1191" s="187"/>
      <c r="B1191" t="s" s="416">
        <v>517</v>
      </c>
      <c r="C1191" t="s" s="417">
        <v>518</v>
      </c>
      <c r="D1191" t="s" s="417">
        <v>519</v>
      </c>
      <c r="E1191" t="s" s="417">
        <v>520</v>
      </c>
      <c r="F1191" t="s" s="159">
        <v>521</v>
      </c>
      <c r="G1191" t="s" s="159">
        <v>522</v>
      </c>
      <c r="H1191" t="s" s="159">
        <v>553</v>
      </c>
      <c r="I1191" t="s" s="159">
        <v>524</v>
      </c>
      <c r="J1191" t="s" s="159">
        <v>525</v>
      </c>
      <c r="K1191" t="s" s="159">
        <v>526</v>
      </c>
      <c r="L1191" t="s" s="159">
        <v>527</v>
      </c>
      <c r="M1191" t="s" s="159">
        <v>528</v>
      </c>
      <c r="N1191" t="s" s="159">
        <v>529</v>
      </c>
      <c r="O1191" t="s" s="159">
        <v>530</v>
      </c>
      <c r="P1191" t="s" s="159">
        <v>531</v>
      </c>
      <c r="Q1191" t="s" s="159">
        <v>532</v>
      </c>
      <c r="R1191" s="418"/>
      <c r="S1191" t="s" s="159">
        <v>533</v>
      </c>
      <c r="T1191" t="s" s="159">
        <v>534</v>
      </c>
      <c r="U1191" t="s" s="159">
        <v>535</v>
      </c>
      <c r="V1191" s="418"/>
      <c r="W1191" t="s" s="159">
        <v>536</v>
      </c>
      <c r="X1191" t="s" s="159">
        <v>537</v>
      </c>
      <c r="Y1191" t="s" s="159">
        <v>538</v>
      </c>
      <c r="Z1191" t="s" s="159">
        <v>539</v>
      </c>
      <c r="AA1191" t="s" s="159">
        <v>121</v>
      </c>
      <c r="AB1191" s="419"/>
      <c r="AC1191" t="s" s="159">
        <v>39</v>
      </c>
      <c r="AD1191" s="419"/>
      <c r="AE1191" s="77"/>
      <c r="AF1191" s="77"/>
      <c r="AG1191" s="77"/>
      <c r="AH1191" s="77"/>
      <c r="AI1191" s="77"/>
      <c r="AJ1191" s="77"/>
      <c r="AK1191" s="77"/>
      <c r="AL1191" s="77"/>
      <c r="AM1191" s="77"/>
      <c r="AN1191" s="78"/>
    </row>
    <row r="1192" ht="15" customHeight="1">
      <c r="A1192" s="12"/>
      <c r="B1192" s="420">
        <v>1</v>
      </c>
      <c r="C1192" s="421" cm="1">
        <f t="array" ref="C1192">IF(B1192&gt;0,IF(VLOOKUP(C1189,'Boats Data Sheet 2026'!$C$3:$J$60,8,0)="N/A",0,VLOOKUP(C1189,'Boats Data Sheet 2026'!$C$3:$J$60,8,0)),"N/A")</f>
        <v>13000000</v>
      </c>
      <c r="D1192" s="422" cm="1">
        <f t="array" ref="D1192">IF(B1192&gt;7,2,IF(B1192=0,"N/A",1))</f>
        <v>1</v>
      </c>
      <c r="E1192" s="421" cm="1">
        <f t="array" ref="E1192">_xlfn.IFERROR(SUM('Direct Costs 2026'!$C$4:$C$5)*D1192,"N/A")</f>
        <v>875500</v>
      </c>
      <c r="F1192" s="423" cm="1">
        <f t="array" ref="F1192">_xlfn.IFERROR('Direct Costs 2026'!$C$43*B1192,"N/A")</f>
        <v>6000</v>
      </c>
      <c r="G1192" s="423">
        <v>0</v>
      </c>
      <c r="H1192" s="423">
        <v>0</v>
      </c>
      <c r="I1192" s="423">
        <v>0</v>
      </c>
      <c r="J1192" s="423">
        <v>0</v>
      </c>
      <c r="K1192" s="423" cm="1">
        <f t="array" ref="K1192">IF(B1192&gt;0,'Direct Costs 2026'!$C$26,"N/A")</f>
        <v>20000</v>
      </c>
      <c r="L1192" s="423" cm="1">
        <f t="array" ref="L1192">IF(B1192&gt;0,'Direct Costs 2026'!$C$23,"N/A")</f>
        <v>140000</v>
      </c>
      <c r="M1192" s="423" cm="1">
        <f t="array" ref="M1192">IF(B1192&gt;0,'Direct Costs 2026'!$C$45*B1192,"N/A")</f>
        <v>150000</v>
      </c>
      <c r="N1192" t="str" s="431" cm="1">
        <f t="array" ref="N1192">IF(B1192&gt;0,_xlfn.IFERROR(VLOOKUP(C1189,'Boats Data Sheet 2026'!$C$3:$I$60,7,0)*'Direct Costs 2026'!$C$36,"N/A"),"N/A")</f>
        <v>N/A</v>
      </c>
      <c r="O1192" t="str" s="431" cm="1">
        <f t="array" ref="O1192">IF(B1192&gt;0,IF(OR(VLOOKUP(C1189,'Boats Data Sheet 2026'!$C$3:$F$60,4,0)="Own",VLOOKUP(C1189,'Boats Data Sheet 2026'!$C$3:$F$60,4,0)="Management"),('Direct Costs 2026'!$C$37+'Direct Costs 2026'!$C$39),"N/A"),"N/A")</f>
        <v>N/A</v>
      </c>
      <c r="P1192" s="423">
        <v>0</v>
      </c>
      <c r="Q1192" s="423" cm="1">
        <f t="array" ref="Q1192">_xlfn.IFERROR(C1192+SUM(E1192:P1192),"N/A")</f>
        <v>14191500</v>
      </c>
      <c r="R1192" s="424"/>
      <c r="S1192" s="423" cm="1">
        <f t="array" ref="S1192">IF(B1192&gt;0,'Allocation OH and Target 2026'!$E$31,"N/A")</f>
        <v>3100447.15769812</v>
      </c>
      <c r="T1192" s="423" cm="1">
        <f t="array" ref="T1192">IF(B1192&gt;0,VLOOKUP(C1189,'Allocation OH and Target 2026'!$C$35:$S$91,16,0),"N/A")</f>
        <v>0</v>
      </c>
      <c r="U1192" s="423" cm="1">
        <f t="array" ref="U1192">_xlfn.IFERROR((S1192+T1192),"N/A")</f>
        <v>3100447.15769812</v>
      </c>
      <c r="V1192" s="424"/>
      <c r="W1192" s="423" cm="1">
        <f t="array" ref="W1192">_xlfn.IFERROR(U1192+Q1192,"N/A")</f>
        <v>17291947.1576981</v>
      </c>
      <c r="X1192" s="423" cm="1">
        <f t="array" ref="X1192">_xlfn.IFERROR(W1192*0.5%,"N/A")</f>
        <v>86459.735788490507</v>
      </c>
      <c r="Y1192" s="423" cm="1">
        <f t="array" ref="Y1192">_xlfn.IFERROR(W1192*25%,"N/A")</f>
        <v>4322986.78942453</v>
      </c>
      <c r="Z1192" s="425" cm="1">
        <f t="array" ref="Z1192">IF(B1192&gt;0,SUM(W1192:Y1192),"N/A")</f>
        <v>21701393.6829111</v>
      </c>
      <c r="AA1192" s="425">
        <v>0</v>
      </c>
      <c r="AB1192" s="424"/>
      <c r="AC1192" t="str" s="426" cm="1">
        <f t="array" ref="AC1192">IF(B1192=6,AVERAGE(Z1192:Z1197),"N/A")</f>
        <v>N/A</v>
      </c>
      <c r="AD1192" s="424"/>
      <c r="AE1192" s="423"/>
      <c r="AF1192" s="423"/>
      <c r="AG1192" s="423"/>
      <c r="AH1192" s="423"/>
      <c r="AI1192" s="423"/>
      <c r="AJ1192" s="423"/>
      <c r="AK1192" s="423"/>
      <c r="AL1192" s="423"/>
      <c r="AM1192" s="423"/>
      <c r="AN1192" s="427"/>
    </row>
    <row r="1193" ht="15" customHeight="1">
      <c r="A1193" s="12"/>
      <c r="B1193" s="428" cm="1">
        <f t="array" ref="B1193">IF(B1192=0,0,IF(B1192&lt;VLOOKUP(C1189,'Boats Data Sheet 2026'!$C$3:$H$60,6,0),B1192+1,0))</f>
        <v>2</v>
      </c>
      <c r="C1193" s="423" cm="1">
        <f t="array" ref="C1193">IF(B1193&gt;0,IF(VLOOKUP(C1189,'Boats Data Sheet 2026'!$C$3:$J$60,8,0)="N/A",0,VLOOKUP(C1189,'Boats Data Sheet 2026'!$C$3:$J$60,8,0)),"N/A")</f>
        <v>13000000</v>
      </c>
      <c r="D1193" s="429" cm="1">
        <f t="array" ref="D1193">IF(B1193&gt;7,2,IF(B1193=0,"N/A",1))</f>
        <v>1</v>
      </c>
      <c r="E1193" s="423" cm="1">
        <f t="array" ref="E1193">_xlfn.IFERROR(SUM('Direct Costs 2026'!$C$4:$C$5)*D1193,"N/A")</f>
        <v>875500</v>
      </c>
      <c r="F1193" s="423" cm="1">
        <f t="array" ref="F1193">_xlfn.IFERROR('Direct Costs 2026'!$C$43*B1193,"N/A")</f>
        <v>12000</v>
      </c>
      <c r="G1193" s="423">
        <v>0</v>
      </c>
      <c r="H1193" s="423">
        <v>0</v>
      </c>
      <c r="I1193" s="423">
        <v>0</v>
      </c>
      <c r="J1193" s="423">
        <v>0</v>
      </c>
      <c r="K1193" s="423" cm="1">
        <f t="array" ref="K1193">IF(B1193&gt;0,'Direct Costs 2026'!$C$26,"N/A")</f>
        <v>20000</v>
      </c>
      <c r="L1193" s="423" cm="1">
        <f t="array" ref="L1193">IF(B1193&gt;0,'Direct Costs 2026'!$C$23,"N/A")</f>
        <v>140000</v>
      </c>
      <c r="M1193" s="423" cm="1">
        <f t="array" ref="M1193">IF(B1193&gt;0,'Direct Costs 2026'!$C$45*B1193,"N/A")</f>
        <v>300000</v>
      </c>
      <c r="N1193" t="str" s="431" cm="1">
        <f t="array" ref="N1193">IF(B1193&gt;0,_xlfn.IFERROR(VLOOKUP(C1189,'Boats Data Sheet 2026'!$C$3:$I$60,7,0)*'Direct Costs 2026'!$C$36,"N/A"),"N/A")</f>
        <v>N/A</v>
      </c>
      <c r="O1193" t="str" s="431" cm="1">
        <f t="array" ref="O1193">IF(B1193&gt;0,IF(OR(VLOOKUP(C1189,'Boats Data Sheet 2026'!$C$3:$F$60,4,0)="Own",VLOOKUP(C1189,'Boats Data Sheet 2026'!$C$3:$F$60,4,0)="Management"),('Direct Costs 2026'!$C$37+'Direct Costs 2026'!$C$39),"N/A"),"N/A")</f>
        <v>N/A</v>
      </c>
      <c r="P1193" s="423">
        <v>0</v>
      </c>
      <c r="Q1193" s="423" cm="1">
        <f t="array" ref="Q1193">_xlfn.IFERROR(C1193+SUM(E1193:P1193),"N/A")</f>
        <v>14347500</v>
      </c>
      <c r="R1193" s="424"/>
      <c r="S1193" s="423" cm="1">
        <f t="array" ref="S1193">IF(B1193&gt;0,'Allocation OH and Target 2026'!$E$31,"N/A")</f>
        <v>3100447.15769812</v>
      </c>
      <c r="T1193" s="423" cm="1">
        <f t="array" ref="T1193">IF(B1193&gt;0,VLOOKUP(C1189,'Allocation OH and Target 2026'!$C$35:$S$91,16,0),"N/A")</f>
        <v>0</v>
      </c>
      <c r="U1193" s="423" cm="1">
        <f t="array" ref="U1193">_xlfn.IFERROR((S1193+T1193),"N/A")</f>
        <v>3100447.15769812</v>
      </c>
      <c r="V1193" s="424"/>
      <c r="W1193" s="423" cm="1">
        <f t="array" ref="W1193">_xlfn.IFERROR(U1193+Q1193,"N/A")</f>
        <v>17447947.1576981</v>
      </c>
      <c r="X1193" s="423" cm="1">
        <f t="array" ref="X1193">_xlfn.IFERROR(W1193*0.5%,"N/A")</f>
        <v>87239.735788490507</v>
      </c>
      <c r="Y1193" s="423" cm="1">
        <f t="array" ref="Y1193">_xlfn.IFERROR(W1193*25%,"N/A")</f>
        <v>4361986.78942453</v>
      </c>
      <c r="Z1193" s="425" cm="1">
        <f t="array" ref="Z1193">IF(B1193&gt;0,SUM(W1193:Y1193),"N/A")</f>
        <v>21897173.6829111</v>
      </c>
      <c r="AA1193" s="425" cm="1">
        <f t="array" ref="AA1193">_xlfn.IFERROR((Z1193-Z1192),"N/A")</f>
        <v>195780</v>
      </c>
      <c r="AB1193" s="424"/>
      <c r="AC1193" t="str" s="426" cm="1">
        <f t="array" ref="AC1193">IF(B1193=6,AVERAGE(Z1192:Z1197),"N/A")</f>
        <v>N/A</v>
      </c>
      <c r="AD1193" s="424"/>
      <c r="AE1193" s="423"/>
      <c r="AF1193" s="423"/>
      <c r="AG1193" s="423"/>
      <c r="AH1193" s="423"/>
      <c r="AI1193" s="423"/>
      <c r="AJ1193" s="423"/>
      <c r="AK1193" s="423"/>
      <c r="AL1193" s="423"/>
      <c r="AM1193" s="423"/>
      <c r="AN1193" s="427"/>
    </row>
    <row r="1194" ht="15" customHeight="1">
      <c r="A1194" s="12"/>
      <c r="B1194" s="428" cm="1">
        <f t="array" ref="B1194">IF(B1193=0,0,IF(B1193&lt;VLOOKUP(C1189,'Boats Data Sheet 2026'!$C$3:$H$60,6,0),B1193+1,0))</f>
        <v>3</v>
      </c>
      <c r="C1194" s="423" cm="1">
        <f t="array" ref="C1194">IF(B1194&gt;0,IF(VLOOKUP(C1189,'Boats Data Sheet 2026'!$C$3:$J$60,8,0)="N/A",0,VLOOKUP(C1189,'Boats Data Sheet 2026'!$C$3:$J$60,8,0)),"N/A")</f>
        <v>13000000</v>
      </c>
      <c r="D1194" s="429" cm="1">
        <f t="array" ref="D1194">IF(B1194&gt;7,2,IF(B1194=0,"N/A",1))</f>
        <v>1</v>
      </c>
      <c r="E1194" s="423" cm="1">
        <f t="array" ref="E1194">_xlfn.IFERROR(SUM('Direct Costs 2026'!$C$4:$C$5)*D1194,"N/A")</f>
        <v>875500</v>
      </c>
      <c r="F1194" s="423" cm="1">
        <f t="array" ref="F1194">_xlfn.IFERROR('Direct Costs 2026'!$C$43*B1194,"N/A")</f>
        <v>18000</v>
      </c>
      <c r="G1194" s="423">
        <v>0</v>
      </c>
      <c r="H1194" s="423">
        <v>0</v>
      </c>
      <c r="I1194" s="423">
        <v>0</v>
      </c>
      <c r="J1194" s="423">
        <v>0</v>
      </c>
      <c r="K1194" s="423" cm="1">
        <f t="array" ref="K1194">IF(B1194&gt;0,'Direct Costs 2026'!$C$26,"N/A")</f>
        <v>20000</v>
      </c>
      <c r="L1194" s="423" cm="1">
        <f t="array" ref="L1194">IF(B1194&gt;0,'Direct Costs 2026'!$C$23,"N/A")</f>
        <v>140000</v>
      </c>
      <c r="M1194" s="423" cm="1">
        <f t="array" ref="M1194">IF(B1194&gt;0,'Direct Costs 2026'!$C$45*B1194,"N/A")</f>
        <v>450000</v>
      </c>
      <c r="N1194" t="str" s="431" cm="1">
        <f t="array" ref="N1194">IF(B1194&gt;0,_xlfn.IFERROR(VLOOKUP(C1189,'Boats Data Sheet 2026'!$C$3:$I$60,7,0)*'Direct Costs 2026'!$C$36,"N/A"),"N/A")</f>
        <v>N/A</v>
      </c>
      <c r="O1194" t="str" s="431" cm="1">
        <f t="array" ref="O1194">IF(B1194&gt;0,IF(OR(VLOOKUP(C1189,'Boats Data Sheet 2026'!$C$3:$F$60,4,0)="Own",VLOOKUP(C1189,'Boats Data Sheet 2026'!$C$3:$F$60,4,0)="Management"),('Direct Costs 2026'!$C$37+'Direct Costs 2026'!$C$39),"N/A"),"N/A")</f>
        <v>N/A</v>
      </c>
      <c r="P1194" s="423">
        <v>0</v>
      </c>
      <c r="Q1194" s="423" cm="1">
        <f t="array" ref="Q1194">_xlfn.IFERROR(C1194+SUM(E1194:P1194),"N/A")</f>
        <v>14503500</v>
      </c>
      <c r="R1194" s="424"/>
      <c r="S1194" s="423" cm="1">
        <f t="array" ref="S1194">IF(B1194&gt;0,'Allocation OH and Target 2026'!$E$31,"N/A")</f>
        <v>3100447.15769812</v>
      </c>
      <c r="T1194" s="423" cm="1">
        <f t="array" ref="T1194">IF(B1194&gt;0,VLOOKUP(C1189,'Allocation OH and Target 2026'!$C$35:$S$91,16,0),"N/A")</f>
        <v>0</v>
      </c>
      <c r="U1194" s="423" cm="1">
        <f t="array" ref="U1194">_xlfn.IFERROR((S1194+T1194),"N/A")</f>
        <v>3100447.15769812</v>
      </c>
      <c r="V1194" s="424"/>
      <c r="W1194" s="423" cm="1">
        <f t="array" ref="W1194">_xlfn.IFERROR(U1194+Q1194,"N/A")</f>
        <v>17603947.1576981</v>
      </c>
      <c r="X1194" s="423" cm="1">
        <f t="array" ref="X1194">_xlfn.IFERROR(W1194*0.5%,"N/A")</f>
        <v>88019.735788490507</v>
      </c>
      <c r="Y1194" s="423" cm="1">
        <f t="array" ref="Y1194">_xlfn.IFERROR(W1194*25%,"N/A")</f>
        <v>4400986.78942453</v>
      </c>
      <c r="Z1194" s="425" cm="1">
        <f t="array" ref="Z1194">IF(B1194&gt;0,SUM(W1194:Y1194),"N/A")</f>
        <v>22092953.6829111</v>
      </c>
      <c r="AA1194" s="425" cm="1">
        <f t="array" ref="AA1194">_xlfn.IFERROR((Z1194-Z1193),"N/A")</f>
        <v>195780</v>
      </c>
      <c r="AB1194" s="424"/>
      <c r="AC1194" t="str" s="426" cm="1">
        <f t="array" ref="AC1194">IF(B1194=6,AVERAGE(Z1192:Z1197),"N/A")</f>
        <v>N/A</v>
      </c>
      <c r="AD1194" s="424"/>
      <c r="AE1194" s="423"/>
      <c r="AF1194" s="423"/>
      <c r="AG1194" s="423"/>
      <c r="AH1194" s="423"/>
      <c r="AI1194" s="423"/>
      <c r="AJ1194" s="423"/>
      <c r="AK1194" s="423"/>
      <c r="AL1194" s="423"/>
      <c r="AM1194" s="423"/>
      <c r="AN1194" s="427"/>
    </row>
    <row r="1195" ht="15" customHeight="1">
      <c r="A1195" s="12"/>
      <c r="B1195" s="428" cm="1">
        <f t="array" ref="B1195">IF(B1194=0,0,IF(B1194&lt;VLOOKUP(C1189,'Boats Data Sheet 2026'!$C$3:$H$60,6,0),B1194+1,0))</f>
        <v>4</v>
      </c>
      <c r="C1195" s="423" cm="1">
        <f t="array" ref="C1195">IF(B1195&gt;0,IF(VLOOKUP(C1189,'Boats Data Sheet 2026'!$C$3:$J$60,8,0)="N/A",0,VLOOKUP(C1189,'Boats Data Sheet 2026'!$C$3:$J$60,8,0)),"N/A")</f>
        <v>13000000</v>
      </c>
      <c r="D1195" s="429" cm="1">
        <f t="array" ref="D1195">IF(B1195&gt;7,2,IF(B1195=0,"N/A",1))</f>
        <v>1</v>
      </c>
      <c r="E1195" s="423" cm="1">
        <f t="array" ref="E1195">_xlfn.IFERROR(SUM('Direct Costs 2026'!$C$4:$C$5)*D1195,"N/A")</f>
        <v>875500</v>
      </c>
      <c r="F1195" s="423" cm="1">
        <f t="array" ref="F1195">_xlfn.IFERROR('Direct Costs 2026'!$C$43*B1195,"N/A")</f>
        <v>24000</v>
      </c>
      <c r="G1195" s="423">
        <v>0</v>
      </c>
      <c r="H1195" s="423">
        <v>0</v>
      </c>
      <c r="I1195" s="423">
        <v>0</v>
      </c>
      <c r="J1195" s="423">
        <v>0</v>
      </c>
      <c r="K1195" s="423" cm="1">
        <f t="array" ref="K1195">IF(B1195&gt;0,'Direct Costs 2026'!$C$26,"N/A")</f>
        <v>20000</v>
      </c>
      <c r="L1195" s="423" cm="1">
        <f t="array" ref="L1195">IF(B1195&gt;0,'Direct Costs 2026'!$C$23,"N/A")</f>
        <v>140000</v>
      </c>
      <c r="M1195" s="423" cm="1">
        <f t="array" ref="M1195">IF(B1195&gt;0,'Direct Costs 2026'!$C$45*B1195,"N/A")</f>
        <v>600000</v>
      </c>
      <c r="N1195" t="str" s="431" cm="1">
        <f t="array" ref="N1195">IF(B1195&gt;0,_xlfn.IFERROR(VLOOKUP(C1189,'Boats Data Sheet 2026'!$C$3:$I$60,7,0)*'Direct Costs 2026'!$C$36,"N/A"),"N/A")</f>
        <v>N/A</v>
      </c>
      <c r="O1195" t="str" s="431" cm="1">
        <f t="array" ref="O1195">IF(B1195&gt;0,IF(OR(VLOOKUP(C1189,'Boats Data Sheet 2026'!$C$3:$F$60,4,0)="Own",VLOOKUP(C1189,'Boats Data Sheet 2026'!$C$3:$F$60,4,0)="Management"),('Direct Costs 2026'!$C$37+'Direct Costs 2026'!$C$39),"N/A"),"N/A")</f>
        <v>N/A</v>
      </c>
      <c r="P1195" s="423">
        <v>0</v>
      </c>
      <c r="Q1195" s="423" cm="1">
        <f t="array" ref="Q1195">_xlfn.IFERROR(C1195+SUM(E1195:P1195),"N/A")</f>
        <v>14659500</v>
      </c>
      <c r="R1195" s="424"/>
      <c r="S1195" s="423" cm="1">
        <f t="array" ref="S1195">IF(B1195&gt;0,'Allocation OH and Target 2026'!$E$31,"N/A")</f>
        <v>3100447.15769812</v>
      </c>
      <c r="T1195" s="423" cm="1">
        <f t="array" ref="T1195">IF(B1195&gt;0,VLOOKUP(C1189,'Allocation OH and Target 2026'!$C$35:$S$91,16,0),"N/A")</f>
        <v>0</v>
      </c>
      <c r="U1195" s="423" cm="1">
        <f t="array" ref="U1195">_xlfn.IFERROR((S1195+T1195),"N/A")</f>
        <v>3100447.15769812</v>
      </c>
      <c r="V1195" s="424"/>
      <c r="W1195" s="423" cm="1">
        <f t="array" ref="W1195">_xlfn.IFERROR(U1195+Q1195,"N/A")</f>
        <v>17759947.1576981</v>
      </c>
      <c r="X1195" s="423" cm="1">
        <f t="array" ref="X1195">_xlfn.IFERROR(W1195*0.5%,"N/A")</f>
        <v>88799.735788490507</v>
      </c>
      <c r="Y1195" s="423" cm="1">
        <f t="array" ref="Y1195">_xlfn.IFERROR(W1195*25%,"N/A")</f>
        <v>4439986.78942453</v>
      </c>
      <c r="Z1195" s="425" cm="1">
        <f t="array" ref="Z1195">IF(B1195&gt;0,SUM(W1195:Y1195),"N/A")</f>
        <v>22288733.6829111</v>
      </c>
      <c r="AA1195" s="425" cm="1">
        <f t="array" ref="AA1195">_xlfn.IFERROR((Z1195-Z1194),"N/A")</f>
        <v>195780</v>
      </c>
      <c r="AB1195" s="424"/>
      <c r="AC1195" t="str" s="426" cm="1">
        <f t="array" ref="AC1195">IF(B1195=6,AVERAGE(Z1192:Z1197),"N/A")</f>
        <v>N/A</v>
      </c>
      <c r="AD1195" s="424"/>
      <c r="AE1195" s="423"/>
      <c r="AF1195" s="423"/>
      <c r="AG1195" s="423"/>
      <c r="AH1195" s="423"/>
      <c r="AI1195" s="423"/>
      <c r="AJ1195" s="423"/>
      <c r="AK1195" s="423"/>
      <c r="AL1195" s="423"/>
      <c r="AM1195" s="423"/>
      <c r="AN1195" s="427"/>
    </row>
    <row r="1196" ht="15" customHeight="1">
      <c r="A1196" s="12"/>
      <c r="B1196" s="428" cm="1">
        <f t="array" ref="B1196">IF(B1195=0,0,IF(B1195&lt;VLOOKUP(C1189,'Boats Data Sheet 2026'!$C$3:$H$60,6,0),B1195+1,0))</f>
        <v>5</v>
      </c>
      <c r="C1196" s="423" cm="1">
        <f t="array" ref="C1196">IF(B1196&gt;0,IF(VLOOKUP(C1189,'Boats Data Sheet 2026'!$C$3:$J$60,8,0)="N/A",0,VLOOKUP(C1189,'Boats Data Sheet 2026'!$C$3:$J$60,8,0)),"N/A")</f>
        <v>13000000</v>
      </c>
      <c r="D1196" s="429" cm="1">
        <f t="array" ref="D1196">IF(B1196&gt;7,2,IF(B1196=0,"N/A",1))</f>
        <v>1</v>
      </c>
      <c r="E1196" s="423" cm="1">
        <f t="array" ref="E1196">_xlfn.IFERROR(SUM('Direct Costs 2026'!$C$4:$C$5)*D1196,"N/A")</f>
        <v>875500</v>
      </c>
      <c r="F1196" s="423" cm="1">
        <f t="array" ref="F1196">_xlfn.IFERROR('Direct Costs 2026'!$C$43*B1196,"N/A")</f>
        <v>30000</v>
      </c>
      <c r="G1196" s="423">
        <v>0</v>
      </c>
      <c r="H1196" s="423">
        <v>0</v>
      </c>
      <c r="I1196" s="423">
        <v>0</v>
      </c>
      <c r="J1196" s="423">
        <v>0</v>
      </c>
      <c r="K1196" s="423" cm="1">
        <f t="array" ref="K1196">IF(B1196&gt;0,'Direct Costs 2026'!$C$26,"N/A")</f>
        <v>20000</v>
      </c>
      <c r="L1196" s="423" cm="1">
        <f t="array" ref="L1196">IF(B1196&gt;0,'Direct Costs 2026'!$C$23,"N/A")</f>
        <v>140000</v>
      </c>
      <c r="M1196" s="423" cm="1">
        <f t="array" ref="M1196">IF(B1196&gt;0,'Direct Costs 2026'!$C$45*B1196,"N/A")</f>
        <v>750000</v>
      </c>
      <c r="N1196" t="str" s="431" cm="1">
        <f t="array" ref="N1196">IF(B1196&gt;0,_xlfn.IFERROR(VLOOKUP(C1189,'Boats Data Sheet 2026'!$C$3:$I$60,7,0)*'Direct Costs 2026'!$C$36,"N/A"),"N/A")</f>
        <v>N/A</v>
      </c>
      <c r="O1196" t="str" s="431" cm="1">
        <f t="array" ref="O1196">IF(B1196&gt;0,IF(OR(VLOOKUP(C1189,'Boats Data Sheet 2026'!$C$3:$F$60,4,0)="Own",VLOOKUP(C1189,'Boats Data Sheet 2026'!$C$3:$F$60,4,0)="Management"),('Direct Costs 2026'!$C$37+'Direct Costs 2026'!$C$39),"N/A"),"N/A")</f>
        <v>N/A</v>
      </c>
      <c r="P1196" s="423">
        <v>0</v>
      </c>
      <c r="Q1196" s="423" cm="1">
        <f t="array" ref="Q1196">_xlfn.IFERROR(C1196+SUM(E1196:P1196),"N/A")</f>
        <v>14815500</v>
      </c>
      <c r="R1196" s="424"/>
      <c r="S1196" s="423" cm="1">
        <f t="array" ref="S1196">IF(B1196&gt;0,'Allocation OH and Target 2026'!$E$31,"N/A")</f>
        <v>3100447.15769812</v>
      </c>
      <c r="T1196" s="423" cm="1">
        <f t="array" ref="T1196">IF(B1196&gt;0,VLOOKUP(C1189,'Allocation OH and Target 2026'!$C$35:$S$91,16,0),"N/A")</f>
        <v>0</v>
      </c>
      <c r="U1196" s="423" cm="1">
        <f t="array" ref="U1196">_xlfn.IFERROR((S1196+T1196),"N/A")</f>
        <v>3100447.15769812</v>
      </c>
      <c r="V1196" s="424"/>
      <c r="W1196" s="423" cm="1">
        <f t="array" ref="W1196">_xlfn.IFERROR(U1196+Q1196,"N/A")</f>
        <v>17915947.1576981</v>
      </c>
      <c r="X1196" s="423" cm="1">
        <f t="array" ref="X1196">_xlfn.IFERROR(W1196*0.5%,"N/A")</f>
        <v>89579.735788490507</v>
      </c>
      <c r="Y1196" s="423" cm="1">
        <f t="array" ref="Y1196">_xlfn.IFERROR(W1196*25%,"N/A")</f>
        <v>4478986.78942453</v>
      </c>
      <c r="Z1196" s="425" cm="1">
        <f t="array" ref="Z1196">IF(B1196&gt;0,SUM(W1196:Y1196),"N/A")</f>
        <v>22484513.6829111</v>
      </c>
      <c r="AA1196" s="425" cm="1">
        <f t="array" ref="AA1196">_xlfn.IFERROR((Z1196-Z1195),"N/A")</f>
        <v>195780</v>
      </c>
      <c r="AB1196" s="424"/>
      <c r="AC1196" t="str" s="426" cm="1">
        <f t="array" ref="AC1196">IF(B1196=6,AVERAGE(Z1192:Z1197),"N/A")</f>
        <v>N/A</v>
      </c>
      <c r="AD1196" s="424"/>
      <c r="AE1196" s="423"/>
      <c r="AF1196" s="423"/>
      <c r="AG1196" s="423"/>
      <c r="AH1196" s="423"/>
      <c r="AI1196" s="423"/>
      <c r="AJ1196" s="423"/>
      <c r="AK1196" s="423"/>
      <c r="AL1196" s="423"/>
      <c r="AM1196" s="423"/>
      <c r="AN1196" s="427"/>
    </row>
    <row r="1197" ht="15" customHeight="1">
      <c r="A1197" s="12"/>
      <c r="B1197" s="428" cm="1">
        <f t="array" ref="B1197">IF(B1196=0,0,IF(B1196&lt;VLOOKUP(C1189,'Boats Data Sheet 2026'!$C$3:$H$60,6,0),B1196+1,0))</f>
        <v>6</v>
      </c>
      <c r="C1197" s="423" cm="1">
        <f t="array" ref="C1197">IF(B1197&gt;0,IF(VLOOKUP(C1189,'Boats Data Sheet 2026'!$C$3:$J$60,8,0)="N/A",0,VLOOKUP(C1189,'Boats Data Sheet 2026'!$C$3:$J$60,8,0)),"N/A")</f>
        <v>13000000</v>
      </c>
      <c r="D1197" s="429" cm="1">
        <f t="array" ref="D1197">IF(B1197&gt;7,2,IF(B1197=0,"N/A",1))</f>
        <v>1</v>
      </c>
      <c r="E1197" s="423" cm="1">
        <f t="array" ref="E1197">_xlfn.IFERROR(SUM('Direct Costs 2026'!$C$4:$C$5)*D1197,"N/A")</f>
        <v>875500</v>
      </c>
      <c r="F1197" s="423" cm="1">
        <f t="array" ref="F1197">_xlfn.IFERROR('Direct Costs 2026'!$C$43*B1197,"N/A")</f>
        <v>36000</v>
      </c>
      <c r="G1197" s="423">
        <v>0</v>
      </c>
      <c r="H1197" s="423">
        <v>0</v>
      </c>
      <c r="I1197" s="423">
        <v>0</v>
      </c>
      <c r="J1197" s="423">
        <v>0</v>
      </c>
      <c r="K1197" s="423" cm="1">
        <f t="array" ref="K1197">IF(B1197&gt;0,'Direct Costs 2026'!$C$26,"N/A")</f>
        <v>20000</v>
      </c>
      <c r="L1197" s="423" cm="1">
        <f t="array" ref="L1197">IF(B1197&gt;0,'Direct Costs 2026'!$C$23,"N/A")</f>
        <v>140000</v>
      </c>
      <c r="M1197" s="423" cm="1">
        <f t="array" ref="M1197">IF(B1197&gt;0,'Direct Costs 2026'!$C$45*B1197,"N/A")</f>
        <v>900000</v>
      </c>
      <c r="N1197" t="str" s="431" cm="1">
        <f t="array" ref="N1197">IF(B1197&gt;0,_xlfn.IFERROR(VLOOKUP(C1189,'Boats Data Sheet 2026'!$C$3:$I$60,7,0)*'Direct Costs 2026'!$C$36,"N/A"),"N/A")</f>
        <v>N/A</v>
      </c>
      <c r="O1197" t="str" s="431" cm="1">
        <f t="array" ref="O1197">IF(B1197&gt;0,IF(OR(VLOOKUP(C1189,'Boats Data Sheet 2026'!$C$3:$F$60,4,0)="Own",VLOOKUP(C1189,'Boats Data Sheet 2026'!$C$3:$F$60,4,0)="Management"),('Direct Costs 2026'!$C$37+'Direct Costs 2026'!$C$39),"N/A"),"N/A")</f>
        <v>N/A</v>
      </c>
      <c r="P1197" s="423">
        <v>0</v>
      </c>
      <c r="Q1197" s="423" cm="1">
        <f t="array" ref="Q1197">_xlfn.IFERROR(C1197+SUM(E1197:P1197),"N/A")</f>
        <v>14971500</v>
      </c>
      <c r="R1197" s="424"/>
      <c r="S1197" s="423" cm="1">
        <f t="array" ref="S1197">IF(B1197&gt;0,'Allocation OH and Target 2026'!$E$31,"N/A")</f>
        <v>3100447.15769812</v>
      </c>
      <c r="T1197" s="423" cm="1">
        <f t="array" ref="T1197">IF(B1197&gt;0,VLOOKUP(C1189,'Allocation OH and Target 2026'!$C$35:$S$91,16,0),"N/A")</f>
        <v>0</v>
      </c>
      <c r="U1197" s="423" cm="1">
        <f t="array" ref="U1197">_xlfn.IFERROR((S1197+T1197),"N/A")</f>
        <v>3100447.15769812</v>
      </c>
      <c r="V1197" s="424"/>
      <c r="W1197" s="423" cm="1">
        <f t="array" ref="W1197">_xlfn.IFERROR(U1197+Q1197,"N/A")</f>
        <v>18071947.1576981</v>
      </c>
      <c r="X1197" s="423" cm="1">
        <f t="array" ref="X1197">_xlfn.IFERROR(W1197*0.5%,"N/A")</f>
        <v>90359.735788490507</v>
      </c>
      <c r="Y1197" s="423" cm="1">
        <f t="array" ref="Y1197">_xlfn.IFERROR(W1197*25%,"N/A")</f>
        <v>4517986.78942453</v>
      </c>
      <c r="Z1197" s="425" cm="1">
        <f t="array" ref="Z1197">IF(B1197&gt;0,SUM(W1197:Y1197),"N/A")</f>
        <v>22680293.6829111</v>
      </c>
      <c r="AA1197" s="425" cm="1">
        <f t="array" ref="AA1197">_xlfn.IFERROR((Z1197-Z1196),"N/A")</f>
        <v>195780</v>
      </c>
      <c r="AB1197" s="424"/>
      <c r="AC1197" s="425" cm="1">
        <f t="array" ref="AC1197">IF(B1197=6,AVERAGE(Z1192:Z1197),"N/A")</f>
        <v>22190843.6829111</v>
      </c>
      <c r="AD1197" s="424"/>
      <c r="AE1197" s="423"/>
      <c r="AF1197" s="423"/>
      <c r="AG1197" s="423"/>
      <c r="AH1197" s="423"/>
      <c r="AI1197" s="423"/>
      <c r="AJ1197" s="423"/>
      <c r="AK1197" s="423"/>
      <c r="AL1197" s="423"/>
      <c r="AM1197" s="423"/>
      <c r="AN1197" s="427"/>
    </row>
    <row r="1198" ht="15" customHeight="1">
      <c r="A1198" s="12"/>
      <c r="B1198" s="428" cm="1">
        <f t="array" ref="B1198">IF(B1197=0,0,IF(B1197&lt;VLOOKUP(C1189,'Boats Data Sheet 2026'!$C$3:$H$60,6,0),B1197+1,0))</f>
        <v>7</v>
      </c>
      <c r="C1198" s="423" cm="1">
        <f t="array" ref="C1198">IF(B1198&gt;0,IF(VLOOKUP(C1189,'Boats Data Sheet 2026'!$C$3:$J$60,8,0)="N/A",0,VLOOKUP(C1189,'Boats Data Sheet 2026'!$C$3:$J$60,8,0)),"N/A")</f>
        <v>13000000</v>
      </c>
      <c r="D1198" s="429" cm="1">
        <f t="array" ref="D1198">IF(B1198&gt;7,2,IF(B1198=0,"N/A",1))</f>
        <v>1</v>
      </c>
      <c r="E1198" s="423" cm="1">
        <f t="array" ref="E1198">_xlfn.IFERROR(SUM('Direct Costs 2026'!$C$4:$C$5)*D1198,"N/A")</f>
        <v>875500</v>
      </c>
      <c r="F1198" s="423" cm="1">
        <f t="array" ref="F1198">_xlfn.IFERROR('Direct Costs 2026'!$C$43*B1198,"N/A")</f>
        <v>42000</v>
      </c>
      <c r="G1198" s="423">
        <v>0</v>
      </c>
      <c r="H1198" s="423">
        <v>0</v>
      </c>
      <c r="I1198" s="423">
        <v>0</v>
      </c>
      <c r="J1198" s="423">
        <v>0</v>
      </c>
      <c r="K1198" s="423" cm="1">
        <f t="array" ref="K1198">IF(B1198&gt;0,'Direct Costs 2026'!$C$26,"N/A")</f>
        <v>20000</v>
      </c>
      <c r="L1198" s="423" cm="1">
        <f t="array" ref="L1198">IF(B1198&gt;0,'Direct Costs 2026'!$C$23,"N/A")</f>
        <v>140000</v>
      </c>
      <c r="M1198" s="423" cm="1">
        <f t="array" ref="M1198">IF(B1198&gt;0,'Direct Costs 2026'!$C$45*B1198,"N/A")</f>
        <v>1050000</v>
      </c>
      <c r="N1198" t="str" s="431" cm="1">
        <f t="array" ref="N1198">IF(B1198&gt;0,_xlfn.IFERROR(VLOOKUP(C1189,'Boats Data Sheet 2026'!$C$3:$I$60,7,0)*'Direct Costs 2026'!$C$36,"N/A"),"N/A")</f>
        <v>N/A</v>
      </c>
      <c r="O1198" t="str" s="431" cm="1">
        <f t="array" ref="O1198">IF(B1198&gt;0,IF(OR(VLOOKUP(C1189,'Boats Data Sheet 2026'!$C$3:$F$60,4,0)="Own",VLOOKUP(C1189,'Boats Data Sheet 2026'!$C$3:$F$60,4,0)="Management"),('Direct Costs 2026'!$C$37+'Direct Costs 2026'!$C$39),"N/A"),"N/A")</f>
        <v>N/A</v>
      </c>
      <c r="P1198" s="423">
        <v>0</v>
      </c>
      <c r="Q1198" s="423" cm="1">
        <f t="array" ref="Q1198">_xlfn.IFERROR(C1198+SUM(E1198:P1198),"N/A")</f>
        <v>15127500</v>
      </c>
      <c r="R1198" s="424"/>
      <c r="S1198" s="423" cm="1">
        <f t="array" ref="S1198">IF(B1198&gt;0,'Allocation OH and Target 2026'!$E$31,"N/A")</f>
        <v>3100447.15769812</v>
      </c>
      <c r="T1198" s="423" cm="1">
        <f t="array" ref="T1198">IF(B1198&gt;0,VLOOKUP(C1189,'Allocation OH and Target 2026'!$C$35:$S$91,16,0),"N/A")</f>
        <v>0</v>
      </c>
      <c r="U1198" s="423" cm="1">
        <f t="array" ref="U1198">_xlfn.IFERROR((S1198+T1198),"N/A")</f>
        <v>3100447.15769812</v>
      </c>
      <c r="V1198" s="424"/>
      <c r="W1198" s="423" cm="1">
        <f t="array" ref="W1198">_xlfn.IFERROR(U1198+Q1198,"N/A")</f>
        <v>18227947.1576981</v>
      </c>
      <c r="X1198" s="423" cm="1">
        <f t="array" ref="X1198">_xlfn.IFERROR(W1198*0.5%,"N/A")</f>
        <v>91139.735788490507</v>
      </c>
      <c r="Y1198" s="423" cm="1">
        <f t="array" ref="Y1198">_xlfn.IFERROR(W1198*25%,"N/A")</f>
        <v>4556986.78942453</v>
      </c>
      <c r="Z1198" s="425" cm="1">
        <f t="array" ref="Z1198">IF(B1198&gt;0,SUM(W1198:Y1198),"N/A")</f>
        <v>22876073.6829111</v>
      </c>
      <c r="AA1198" s="425" cm="1">
        <f t="array" ref="AA1198">_xlfn.IFERROR((Z1198-Z1197),"N/A")</f>
        <v>195780</v>
      </c>
      <c r="AB1198" s="424"/>
      <c r="AC1198" t="str" s="426" cm="1">
        <f t="array" ref="AC1198">IF(B1198=6,AVERAGE(Z1192:Z1197),"N/A")</f>
        <v>N/A</v>
      </c>
      <c r="AD1198" s="424"/>
      <c r="AE1198" s="423"/>
      <c r="AF1198" s="423"/>
      <c r="AG1198" s="423"/>
      <c r="AH1198" s="423"/>
      <c r="AI1198" s="423"/>
      <c r="AJ1198" s="423"/>
      <c r="AK1198" s="423"/>
      <c r="AL1198" s="423"/>
      <c r="AM1198" s="423"/>
      <c r="AN1198" s="427"/>
    </row>
    <row r="1199" ht="15" customHeight="1">
      <c r="A1199" s="12"/>
      <c r="B1199" s="428" cm="1">
        <f t="array" ref="B1199">IF(B1198=0,0,IF(B1198&lt;VLOOKUP(C1189,'Boats Data Sheet 2026'!$C$3:$H$60,6,0),B1198+1,0))</f>
        <v>8</v>
      </c>
      <c r="C1199" s="423" cm="1">
        <f t="array" ref="C1199">IF(B1199&gt;0,IF(VLOOKUP(C1189,'Boats Data Sheet 2026'!$C$3:$J$60,8,0)="N/A",0,VLOOKUP(C1189,'Boats Data Sheet 2026'!$C$3:$J$60,8,0)),"N/A")</f>
        <v>13000000</v>
      </c>
      <c r="D1199" s="429" cm="1">
        <f t="array" ref="D1199">IF(B1199&gt;7,2,IF(B1199=0,"N/A",1))</f>
        <v>2</v>
      </c>
      <c r="E1199" s="423" cm="1">
        <f t="array" ref="E1199">_xlfn.IFERROR(SUM('Direct Costs 2026'!$C$4:$C$5)*D1199,"N/A")</f>
        <v>1751000</v>
      </c>
      <c r="F1199" s="423" cm="1">
        <f t="array" ref="F1199">_xlfn.IFERROR('Direct Costs 2026'!$C$43*B1199,"N/A")</f>
        <v>48000</v>
      </c>
      <c r="G1199" s="423">
        <v>0</v>
      </c>
      <c r="H1199" s="423">
        <v>0</v>
      </c>
      <c r="I1199" s="423">
        <v>0</v>
      </c>
      <c r="J1199" s="423">
        <v>0</v>
      </c>
      <c r="K1199" s="423" cm="1">
        <f t="array" ref="K1199">IF(B1199&gt;0,'Direct Costs 2026'!$C$26,"N/A")</f>
        <v>20000</v>
      </c>
      <c r="L1199" s="423" cm="1">
        <f t="array" ref="L1199">IF(B1199&gt;0,'Direct Costs 2026'!$C$23,"N/A")</f>
        <v>140000</v>
      </c>
      <c r="M1199" s="423" cm="1">
        <f t="array" ref="M1199">IF(B1199&gt;0,'Direct Costs 2026'!$C$45*B1199,"N/A")</f>
        <v>1200000</v>
      </c>
      <c r="N1199" t="str" s="431" cm="1">
        <f t="array" ref="N1199">IF(B1199&gt;0,_xlfn.IFERROR(VLOOKUP(C1189,'Boats Data Sheet 2026'!$C$3:$I$60,7,0)*'Direct Costs 2026'!$C$36,"N/A"),"N/A")</f>
        <v>N/A</v>
      </c>
      <c r="O1199" t="str" s="431" cm="1">
        <f t="array" ref="O1199">IF(B1199&gt;0,IF(OR(VLOOKUP(C1189,'Boats Data Sheet 2026'!$C$3:$F$60,4,0)="Own",VLOOKUP(C1189,'Boats Data Sheet 2026'!$C$3:$F$60,4,0)="Management"),('Direct Costs 2026'!$C$37+'Direct Costs 2026'!$C$39),"N/A"),"N/A")</f>
        <v>N/A</v>
      </c>
      <c r="P1199" s="423">
        <v>0</v>
      </c>
      <c r="Q1199" s="423" cm="1">
        <f t="array" ref="Q1199">_xlfn.IFERROR(C1199+SUM(E1199:P1199),"N/A")</f>
        <v>16159000</v>
      </c>
      <c r="R1199" s="424"/>
      <c r="S1199" s="423" cm="1">
        <f t="array" ref="S1199">IF(B1199&gt;0,'Allocation OH and Target 2026'!$E$31,"N/A")</f>
        <v>3100447.15769812</v>
      </c>
      <c r="T1199" s="423" cm="1">
        <f t="array" ref="T1199">IF(B1199&gt;0,VLOOKUP(C1189,'Allocation OH and Target 2026'!$C$35:$S$91,16,0),"N/A")</f>
        <v>0</v>
      </c>
      <c r="U1199" s="423" cm="1">
        <f t="array" ref="U1199">_xlfn.IFERROR((S1199+T1199),"N/A")</f>
        <v>3100447.15769812</v>
      </c>
      <c r="V1199" s="424"/>
      <c r="W1199" s="423" cm="1">
        <f t="array" ref="W1199">_xlfn.IFERROR(U1199+Q1199,"N/A")</f>
        <v>19259447.1576981</v>
      </c>
      <c r="X1199" s="423" cm="1">
        <f t="array" ref="X1199">_xlfn.IFERROR(W1199*0.5%,"N/A")</f>
        <v>96297.235788490507</v>
      </c>
      <c r="Y1199" s="423" cm="1">
        <f t="array" ref="Y1199">_xlfn.IFERROR(W1199*25%,"N/A")</f>
        <v>4814861.78942453</v>
      </c>
      <c r="Z1199" s="425" cm="1">
        <f t="array" ref="Z1199">IF(B1199&gt;0,SUM(W1199:Y1199),"N/A")</f>
        <v>24170606.1829111</v>
      </c>
      <c r="AA1199" s="425" cm="1">
        <f t="array" ref="AA1199">_xlfn.IFERROR((Z1199-Z1198),"N/A")</f>
        <v>1294532.5</v>
      </c>
      <c r="AB1199" s="424"/>
      <c r="AC1199" t="str" s="426" cm="1">
        <f t="array" ref="AC1199">IF(B1199=6,AVERAGE(Z1192:Z1197),"N/A")</f>
        <v>N/A</v>
      </c>
      <c r="AD1199" s="424"/>
      <c r="AE1199" s="423"/>
      <c r="AF1199" s="423"/>
      <c r="AG1199" s="423"/>
      <c r="AH1199" s="423"/>
      <c r="AI1199" s="423"/>
      <c r="AJ1199" s="423"/>
      <c r="AK1199" s="423"/>
      <c r="AL1199" s="423"/>
      <c r="AM1199" s="423"/>
      <c r="AN1199" s="427"/>
    </row>
    <row r="1200" ht="15" customHeight="1">
      <c r="A1200" s="12"/>
      <c r="B1200" s="428" cm="1">
        <f t="array" ref="B1200">IF(B1199=0,0,IF(B1199&lt;VLOOKUP(C1189,'Boats Data Sheet 2026'!$C$3:$H$60,6,0),B1199+1,0))</f>
        <v>9</v>
      </c>
      <c r="C1200" s="423" cm="1">
        <f t="array" ref="C1200">IF(B1200&gt;0,IF(VLOOKUP(C1189,'Boats Data Sheet 2026'!$C$3:$J$60,8,0)="N/A",0,VLOOKUP(C1189,'Boats Data Sheet 2026'!$C$3:$J$60,8,0)),"N/A")</f>
        <v>13000000</v>
      </c>
      <c r="D1200" s="429" cm="1">
        <f t="array" ref="D1200">IF(B1200&gt;7,2,IF(B1200=0,"N/A",1))</f>
        <v>2</v>
      </c>
      <c r="E1200" s="423" cm="1">
        <f t="array" ref="E1200">_xlfn.IFERROR(SUM('Direct Costs 2026'!$C$4:$C$5)*D1200,"N/A")</f>
        <v>1751000</v>
      </c>
      <c r="F1200" s="423" cm="1">
        <f t="array" ref="F1200">_xlfn.IFERROR('Direct Costs 2026'!$C$43*B1200,"N/A")</f>
        <v>54000</v>
      </c>
      <c r="G1200" s="423">
        <v>0</v>
      </c>
      <c r="H1200" s="423">
        <v>0</v>
      </c>
      <c r="I1200" s="423">
        <v>0</v>
      </c>
      <c r="J1200" s="423">
        <v>0</v>
      </c>
      <c r="K1200" s="423" cm="1">
        <f t="array" ref="K1200">IF(B1200&gt;0,'Direct Costs 2026'!$C$26,"N/A")</f>
        <v>20000</v>
      </c>
      <c r="L1200" s="423" cm="1">
        <f t="array" ref="L1200">IF(B1200&gt;0,'Direct Costs 2026'!$C$23,"N/A")</f>
        <v>140000</v>
      </c>
      <c r="M1200" s="423" cm="1">
        <f t="array" ref="M1200">IF(B1200&gt;0,'Direct Costs 2026'!$C$45*B1200,"N/A")</f>
        <v>1350000</v>
      </c>
      <c r="N1200" t="str" s="431" cm="1">
        <f t="array" ref="N1200">IF(B1200&gt;0,_xlfn.IFERROR(VLOOKUP(C1189,'Boats Data Sheet 2026'!$C$3:$I$60,7,0)*'Direct Costs 2026'!$C$36,"N/A"),"N/A")</f>
        <v>N/A</v>
      </c>
      <c r="O1200" t="str" s="431" cm="1">
        <f t="array" ref="O1200">IF(B1200&gt;0,IF(OR(VLOOKUP(C1189,'Boats Data Sheet 2026'!$C$3:$F$60,4,0)="Own",VLOOKUP(C1189,'Boats Data Sheet 2026'!$C$3:$F$60,4,0)="Management"),('Direct Costs 2026'!$C$37+'Direct Costs 2026'!$C$39),"N/A"),"N/A")</f>
        <v>N/A</v>
      </c>
      <c r="P1200" s="423">
        <v>0</v>
      </c>
      <c r="Q1200" s="423" cm="1">
        <f t="array" ref="Q1200">_xlfn.IFERROR(C1200+SUM(E1200:P1200),"N/A")</f>
        <v>16315000</v>
      </c>
      <c r="R1200" s="424"/>
      <c r="S1200" s="423" cm="1">
        <f t="array" ref="S1200">IF(B1200&gt;0,'Allocation OH and Target 2026'!$E$31,"N/A")</f>
        <v>3100447.15769812</v>
      </c>
      <c r="T1200" s="423" cm="1">
        <f t="array" ref="T1200">IF(B1200&gt;0,VLOOKUP(C1189,'Allocation OH and Target 2026'!$C$35:$S$91,16,0),"N/A")</f>
        <v>0</v>
      </c>
      <c r="U1200" s="423" cm="1">
        <f t="array" ref="U1200">_xlfn.IFERROR((S1200+T1200),"N/A")</f>
        <v>3100447.15769812</v>
      </c>
      <c r="V1200" s="424"/>
      <c r="W1200" s="423" cm="1">
        <f t="array" ref="W1200">_xlfn.IFERROR(U1200+Q1200,"N/A")</f>
        <v>19415447.1576981</v>
      </c>
      <c r="X1200" s="423" cm="1">
        <f t="array" ref="X1200">_xlfn.IFERROR(W1200*0.5%,"N/A")</f>
        <v>97077.235788490507</v>
      </c>
      <c r="Y1200" s="423" cm="1">
        <f t="array" ref="Y1200">_xlfn.IFERROR(W1200*25%,"N/A")</f>
        <v>4853861.78942453</v>
      </c>
      <c r="Z1200" s="425" cm="1">
        <f t="array" ref="Z1200">IF(B1200&gt;0,SUM(W1200:Y1200),"N/A")</f>
        <v>24366386.1829111</v>
      </c>
      <c r="AA1200" s="425" cm="1">
        <f t="array" ref="AA1200">_xlfn.IFERROR((Z1200-Z1199),"N/A")</f>
        <v>195780</v>
      </c>
      <c r="AB1200" s="424"/>
      <c r="AC1200" t="str" s="426" cm="1">
        <f t="array" ref="AC1200">IF(B1200=6,AVERAGE(Z1192:Z1197),"N/A")</f>
        <v>N/A</v>
      </c>
      <c r="AD1200" s="424"/>
      <c r="AE1200" s="423"/>
      <c r="AF1200" s="423"/>
      <c r="AG1200" s="423"/>
      <c r="AH1200" s="423"/>
      <c r="AI1200" s="423"/>
      <c r="AJ1200" s="423"/>
      <c r="AK1200" s="423"/>
      <c r="AL1200" s="423"/>
      <c r="AM1200" s="423"/>
      <c r="AN1200" s="427"/>
    </row>
    <row r="1201" ht="15" customHeight="1">
      <c r="A1201" s="12"/>
      <c r="B1201" s="428" cm="1">
        <f t="array" ref="B1201">IF(B1200=0,0,IF(B1200&lt;VLOOKUP(C1189,'Boats Data Sheet 2026'!$C$3:$H$60,6,0),B1200+1,0))</f>
        <v>10</v>
      </c>
      <c r="C1201" s="423" cm="1">
        <f t="array" ref="C1201">IF(B1201&gt;0,IF(VLOOKUP(C1189,'Boats Data Sheet 2026'!$C$3:$J$60,8,0)="N/A",0,VLOOKUP(C1189,'Boats Data Sheet 2026'!$C$3:$J$60,8,0)),"N/A")</f>
        <v>13000000</v>
      </c>
      <c r="D1201" s="429" cm="1">
        <f t="array" ref="D1201">IF(B1201&gt;7,2,IF(B1201=0,"N/A",1))</f>
        <v>2</v>
      </c>
      <c r="E1201" s="423" cm="1">
        <f t="array" ref="E1201">_xlfn.IFERROR(SUM('Direct Costs 2026'!$C$4:$C$5)*D1201,"N/A")</f>
        <v>1751000</v>
      </c>
      <c r="F1201" s="423" cm="1">
        <f t="array" ref="F1201">_xlfn.IFERROR('Direct Costs 2026'!$C$43*B1201,"N/A")</f>
        <v>60000</v>
      </c>
      <c r="G1201" s="423">
        <v>0</v>
      </c>
      <c r="H1201" s="423">
        <v>0</v>
      </c>
      <c r="I1201" s="423">
        <v>0</v>
      </c>
      <c r="J1201" s="423">
        <v>0</v>
      </c>
      <c r="K1201" s="423" cm="1">
        <f t="array" ref="K1201">IF(B1201&gt;0,'Direct Costs 2026'!$C$26,"N/A")</f>
        <v>20000</v>
      </c>
      <c r="L1201" s="423" cm="1">
        <f t="array" ref="L1201">IF(B1201&gt;0,'Direct Costs 2026'!$C$23,"N/A")</f>
        <v>140000</v>
      </c>
      <c r="M1201" s="423" cm="1">
        <f t="array" ref="M1201">IF(B1201&gt;0,'Direct Costs 2026'!$C$45*B1201,"N/A")</f>
        <v>1500000</v>
      </c>
      <c r="N1201" t="str" s="431" cm="1">
        <f t="array" ref="N1201">IF(B1201&gt;0,_xlfn.IFERROR(VLOOKUP(C1189,'Boats Data Sheet 2026'!$C$3:$I$60,7,0)*'Direct Costs 2026'!$C$36,"N/A"),"N/A")</f>
        <v>N/A</v>
      </c>
      <c r="O1201" t="str" s="431" cm="1">
        <f t="array" ref="O1201">IF(B1201&gt;0,IF(OR(VLOOKUP(C1189,'Boats Data Sheet 2026'!$C$3:$F$60,4,0)="Own",VLOOKUP(C1189,'Boats Data Sheet 2026'!$C$3:$F$60,4,0)="Management"),('Direct Costs 2026'!$C$37+'Direct Costs 2026'!$C$39),"N/A"),"N/A")</f>
        <v>N/A</v>
      </c>
      <c r="P1201" s="423">
        <v>0</v>
      </c>
      <c r="Q1201" s="423" cm="1">
        <f t="array" ref="Q1201">_xlfn.IFERROR(C1201+SUM(E1201:P1201),"N/A")</f>
        <v>16471000</v>
      </c>
      <c r="R1201" s="424"/>
      <c r="S1201" s="423" cm="1">
        <f t="array" ref="S1201">IF(B1201&gt;0,'Allocation OH and Target 2026'!$E$31,"N/A")</f>
        <v>3100447.15769812</v>
      </c>
      <c r="T1201" s="423" cm="1">
        <f t="array" ref="T1201">IF(B1201&gt;0,VLOOKUP(C1189,'Allocation OH and Target 2026'!$C$35:$S$91,16,0),"N/A")</f>
        <v>0</v>
      </c>
      <c r="U1201" s="423" cm="1">
        <f t="array" ref="U1201">_xlfn.IFERROR((S1201+T1201),"N/A")</f>
        <v>3100447.15769812</v>
      </c>
      <c r="V1201" s="424"/>
      <c r="W1201" s="423" cm="1">
        <f t="array" ref="W1201">_xlfn.IFERROR(U1201+Q1201,"N/A")</f>
        <v>19571447.1576981</v>
      </c>
      <c r="X1201" s="423" cm="1">
        <f t="array" ref="X1201">_xlfn.IFERROR(W1201*0.5%,"N/A")</f>
        <v>97857.235788490507</v>
      </c>
      <c r="Y1201" s="423" cm="1">
        <f t="array" ref="Y1201">_xlfn.IFERROR(W1201*25%,"N/A")</f>
        <v>4892861.78942453</v>
      </c>
      <c r="Z1201" s="425" cm="1">
        <f t="array" ref="Z1201">IF(B1201&gt;0,SUM(W1201:Y1201),"N/A")</f>
        <v>24562166.1829111</v>
      </c>
      <c r="AA1201" s="425" cm="1">
        <f t="array" ref="AA1201">_xlfn.IFERROR((Z1201-Z1200),"N/A")</f>
        <v>195780</v>
      </c>
      <c r="AB1201" s="424"/>
      <c r="AC1201" t="str" s="426" cm="1">
        <f t="array" ref="AC1201">IF(B1201=6,AVERAGE(Z1192:Z1197),"N/A")</f>
        <v>N/A</v>
      </c>
      <c r="AD1201" s="424"/>
      <c r="AE1201" s="423"/>
      <c r="AF1201" s="423"/>
      <c r="AG1201" s="423"/>
      <c r="AH1201" s="423"/>
      <c r="AI1201" s="423"/>
      <c r="AJ1201" s="423"/>
      <c r="AK1201" s="423"/>
      <c r="AL1201" s="423"/>
      <c r="AM1201" s="423"/>
      <c r="AN1201" s="427"/>
    </row>
    <row r="1202" ht="15" customHeight="1">
      <c r="A1202" s="12"/>
      <c r="B1202" s="428" cm="1">
        <f t="array" ref="B1202">IF(B1201=0,0,IF(B1201&lt;VLOOKUP(C1189,'Boats Data Sheet 2026'!$C$3:$H$60,6,0),B1201+1,0))</f>
        <v>11</v>
      </c>
      <c r="C1202" s="423" cm="1">
        <f t="array" ref="C1202">IF(B1202&gt;0,IF(VLOOKUP(C1189,'Boats Data Sheet 2026'!$C$3:$J$60,8,0)="N/A",0,VLOOKUP(C1189,'Boats Data Sheet 2026'!$C$3:$J$60,8,0)),"N/A")</f>
        <v>13000000</v>
      </c>
      <c r="D1202" s="429" cm="1">
        <f t="array" ref="D1202">IF(B1202&gt;7,2,IF(B1202=0,"N/A",1))</f>
        <v>2</v>
      </c>
      <c r="E1202" s="423" cm="1">
        <f t="array" ref="E1202">_xlfn.IFERROR(SUM('Direct Costs 2026'!$C$4:$C$5)*D1202,"N/A")</f>
        <v>1751000</v>
      </c>
      <c r="F1202" s="423" cm="1">
        <f t="array" ref="F1202">_xlfn.IFERROR('Direct Costs 2026'!$C$43*B1202,"N/A")</f>
        <v>66000</v>
      </c>
      <c r="G1202" s="423">
        <v>0</v>
      </c>
      <c r="H1202" s="423">
        <v>0</v>
      </c>
      <c r="I1202" s="423">
        <v>0</v>
      </c>
      <c r="J1202" s="423">
        <v>0</v>
      </c>
      <c r="K1202" s="423" cm="1">
        <f t="array" ref="K1202">IF(B1202&gt;0,'Direct Costs 2026'!$C$26,"N/A")</f>
        <v>20000</v>
      </c>
      <c r="L1202" s="423" cm="1">
        <f t="array" ref="L1202">IF(B1202&gt;0,'Direct Costs 2026'!$C$23,"N/A")</f>
        <v>140000</v>
      </c>
      <c r="M1202" s="423" cm="1">
        <f t="array" ref="M1202">IF(B1202&gt;0,'Direct Costs 2026'!$C$45*B1202,"N/A")</f>
        <v>1650000</v>
      </c>
      <c r="N1202" t="str" s="431" cm="1">
        <f t="array" ref="N1202">IF(B1202&gt;0,_xlfn.IFERROR(VLOOKUP(C1189,'Boats Data Sheet 2026'!$C$3:$I$60,7,0)*'Direct Costs 2026'!$C$36,"N/A"),"N/A")</f>
        <v>N/A</v>
      </c>
      <c r="O1202" t="str" s="431" cm="1">
        <f t="array" ref="O1202">IF(B1202&gt;0,IF(OR(VLOOKUP(C1189,'Boats Data Sheet 2026'!$C$3:$F$60,4,0)="Own",VLOOKUP(C1189,'Boats Data Sheet 2026'!$C$3:$F$60,4,0)="Management"),('Direct Costs 2026'!$C$37+'Direct Costs 2026'!$C$39),"N/A"),"N/A")</f>
        <v>N/A</v>
      </c>
      <c r="P1202" s="423">
        <v>0</v>
      </c>
      <c r="Q1202" s="423" cm="1">
        <f t="array" ref="Q1202">_xlfn.IFERROR(C1202+SUM(E1202:P1202),"N/A")</f>
        <v>16627000</v>
      </c>
      <c r="R1202" s="424"/>
      <c r="S1202" s="423" cm="1">
        <f t="array" ref="S1202">IF(B1202&gt;0,'Allocation OH and Target 2026'!$E$31,"N/A")</f>
        <v>3100447.15769812</v>
      </c>
      <c r="T1202" s="423" cm="1">
        <f t="array" ref="T1202">IF(B1202&gt;0,VLOOKUP(C1189,'Allocation OH and Target 2026'!$C$35:$S$91,16,0),"N/A")</f>
        <v>0</v>
      </c>
      <c r="U1202" s="423" cm="1">
        <f t="array" ref="U1202">_xlfn.IFERROR((S1202+T1202),"N/A")</f>
        <v>3100447.15769812</v>
      </c>
      <c r="V1202" s="424"/>
      <c r="W1202" s="423" cm="1">
        <f t="array" ref="W1202">_xlfn.IFERROR(U1202+Q1202,"N/A")</f>
        <v>19727447.1576981</v>
      </c>
      <c r="X1202" s="423" cm="1">
        <f t="array" ref="X1202">_xlfn.IFERROR(W1202*0.5%,"N/A")</f>
        <v>98637.235788490507</v>
      </c>
      <c r="Y1202" s="423" cm="1">
        <f t="array" ref="Y1202">_xlfn.IFERROR(W1202*25%,"N/A")</f>
        <v>4931861.78942453</v>
      </c>
      <c r="Z1202" s="425" cm="1">
        <f t="array" ref="Z1202">IF(B1202&gt;0,SUM(W1202:Y1202),"N/A")</f>
        <v>24757946.1829111</v>
      </c>
      <c r="AA1202" s="425" cm="1">
        <f t="array" ref="AA1202">_xlfn.IFERROR((Z1202-Z1201),"N/A")</f>
        <v>195780</v>
      </c>
      <c r="AB1202" s="424"/>
      <c r="AC1202" t="str" s="426" cm="1">
        <f t="array" ref="AC1202">IF(B1202=6,AVERAGE(Z1192:Z1197),"N/A")</f>
        <v>N/A</v>
      </c>
      <c r="AD1202" s="424"/>
      <c r="AE1202" s="423"/>
      <c r="AF1202" s="423"/>
      <c r="AG1202" s="423"/>
      <c r="AH1202" s="423"/>
      <c r="AI1202" s="423"/>
      <c r="AJ1202" s="423"/>
      <c r="AK1202" s="423"/>
      <c r="AL1202" s="423"/>
      <c r="AM1202" s="423"/>
      <c r="AN1202" s="427"/>
    </row>
    <row r="1203" ht="15" customHeight="1">
      <c r="A1203" s="12"/>
      <c r="B1203" s="428" cm="1">
        <f t="array" ref="B1203">IF(B1202=0,0,IF(B1202&lt;VLOOKUP(C1189,'Boats Data Sheet 2026'!$C$3:$H$60,6,0),B1202+1,0))</f>
        <v>12</v>
      </c>
      <c r="C1203" s="423" cm="1">
        <f t="array" ref="C1203">IF(B1203&gt;0,IF(VLOOKUP(C1189,'Boats Data Sheet 2026'!$C$3:$J$60,8,0)="N/A",0,VLOOKUP(C1189,'Boats Data Sheet 2026'!$C$3:$J$60,8,0)),"N/A")</f>
        <v>13000000</v>
      </c>
      <c r="D1203" s="429" cm="1">
        <f t="array" ref="D1203">IF(B1203&gt;7,2,IF(B1203=0,"N/A",1))</f>
        <v>2</v>
      </c>
      <c r="E1203" s="423" cm="1">
        <f t="array" ref="E1203">_xlfn.IFERROR(SUM('Direct Costs 2026'!$C$4:$C$5)*D1203,"N/A")</f>
        <v>1751000</v>
      </c>
      <c r="F1203" s="423" cm="1">
        <f t="array" ref="F1203">_xlfn.IFERROR('Direct Costs 2026'!$C$43*B1203,"N/A")</f>
        <v>72000</v>
      </c>
      <c r="G1203" s="423">
        <v>0</v>
      </c>
      <c r="H1203" s="423">
        <v>0</v>
      </c>
      <c r="I1203" s="423">
        <v>0</v>
      </c>
      <c r="J1203" s="423">
        <v>0</v>
      </c>
      <c r="K1203" s="423" cm="1">
        <f t="array" ref="K1203">IF(B1203&gt;0,'Direct Costs 2026'!$C$26,"N/A")</f>
        <v>20000</v>
      </c>
      <c r="L1203" s="423" cm="1">
        <f t="array" ref="L1203">IF(B1203&gt;0,'Direct Costs 2026'!$C$23,"N/A")</f>
        <v>140000</v>
      </c>
      <c r="M1203" s="423" cm="1">
        <f t="array" ref="M1203">IF(B1203&gt;0,'Direct Costs 2026'!$C$45*B1203,"N/A")</f>
        <v>1800000</v>
      </c>
      <c r="N1203" t="str" s="431" cm="1">
        <f t="array" ref="N1203">IF(B1203&gt;0,_xlfn.IFERROR(VLOOKUP(C1189,'Boats Data Sheet 2026'!$C$3:$I$60,7,0)*'Direct Costs 2026'!$C$36,"N/A"),"N/A")</f>
        <v>N/A</v>
      </c>
      <c r="O1203" t="str" s="431" cm="1">
        <f t="array" ref="O1203">IF(B1203&gt;0,IF(OR(VLOOKUP(C1189,'Boats Data Sheet 2026'!$C$3:$F$60,4,0)="Own",VLOOKUP(C1189,'Boats Data Sheet 2026'!$C$3:$F$60,4,0)="Management"),('Direct Costs 2026'!$C$37+'Direct Costs 2026'!$C$39),"N/A"),"N/A")</f>
        <v>N/A</v>
      </c>
      <c r="P1203" s="423">
        <v>0</v>
      </c>
      <c r="Q1203" s="423" cm="1">
        <f t="array" ref="Q1203">_xlfn.IFERROR(C1203+SUM(E1203:P1203),"N/A")</f>
        <v>16783000</v>
      </c>
      <c r="R1203" s="424"/>
      <c r="S1203" s="423" cm="1">
        <f t="array" ref="S1203">IF(B1203&gt;0,'Allocation OH and Target 2026'!$E$31,"N/A")</f>
        <v>3100447.15769812</v>
      </c>
      <c r="T1203" s="423" cm="1">
        <f t="array" ref="T1203">IF(B1203&gt;0,VLOOKUP(C1189,'Allocation OH and Target 2026'!$C$35:$S$91,16,0),"N/A")</f>
        <v>0</v>
      </c>
      <c r="U1203" s="423" cm="1">
        <f t="array" ref="U1203">_xlfn.IFERROR((S1203+T1203),"N/A")</f>
        <v>3100447.15769812</v>
      </c>
      <c r="V1203" s="424"/>
      <c r="W1203" s="423" cm="1">
        <f t="array" ref="W1203">_xlfn.IFERROR(U1203+Q1203,"N/A")</f>
        <v>19883447.1576981</v>
      </c>
      <c r="X1203" s="423" cm="1">
        <f t="array" ref="X1203">_xlfn.IFERROR(W1203*0.5%,"N/A")</f>
        <v>99417.235788490507</v>
      </c>
      <c r="Y1203" s="423" cm="1">
        <f t="array" ref="Y1203">_xlfn.IFERROR(W1203*25%,"N/A")</f>
        <v>4970861.78942453</v>
      </c>
      <c r="Z1203" s="425" cm="1">
        <f t="array" ref="Z1203">IF(B1203&gt;0,SUM(W1203:Y1203),"N/A")</f>
        <v>24953726.1829111</v>
      </c>
      <c r="AA1203" s="425" cm="1">
        <f t="array" ref="AA1203">_xlfn.IFERROR((Z1203-Z1202),"N/A")</f>
        <v>195780</v>
      </c>
      <c r="AB1203" s="424"/>
      <c r="AC1203" t="str" s="426" cm="1">
        <f t="array" ref="AC1203">IF(B1203=6,AVERAGE(Z1192:Z1197),"N/A")</f>
        <v>N/A</v>
      </c>
      <c r="AD1203" s="424"/>
      <c r="AE1203" s="423"/>
      <c r="AF1203" s="423"/>
      <c r="AG1203" s="423"/>
      <c r="AH1203" s="423"/>
      <c r="AI1203" s="423"/>
      <c r="AJ1203" s="423"/>
      <c r="AK1203" s="423"/>
      <c r="AL1203" s="423"/>
      <c r="AM1203" s="423"/>
      <c r="AN1203" s="427"/>
    </row>
    <row r="1204" ht="15" customHeight="1">
      <c r="A1204" s="12"/>
      <c r="B1204" s="428" cm="1">
        <f t="array" ref="B1204">IF(B1203=0,0,IF(B1203&lt;VLOOKUP(C1189,'Boats Data Sheet 2026'!$C$3:$H$60,6,0),B1203+1,0))</f>
        <v>0</v>
      </c>
      <c r="C1204" t="str" s="431" cm="1">
        <f t="array" ref="C1204">IF(B1204&gt;0,IF(VLOOKUP(C1189,'Boats Data Sheet 2026'!$C$3:$J$60,8,0)="N/A",0,VLOOKUP(C1189,'Boats Data Sheet 2026'!$C$3:$J$60,8,0)),"N/A")</f>
        <v>N/A</v>
      </c>
      <c r="D1204" t="str" s="511" cm="1">
        <f t="array" ref="D1204">IF(B1204&gt;7,2,IF(B1204=0,"N/A",1))</f>
        <v>N/A</v>
      </c>
      <c r="E1204" t="str" s="431" cm="1">
        <f t="array" ref="E1204">_xlfn.IFERROR(SUM('Direct Costs 2026'!$C$4:$C$5)*D1204,"N/A")</f>
        <v>N/A</v>
      </c>
      <c r="F1204" s="423" cm="1">
        <f t="array" ref="F1204">_xlfn.IFERROR('Direct Costs 2026'!$C$43*B1204,"N/A")</f>
        <v>0</v>
      </c>
      <c r="G1204" t="str" s="431" cm="1">
        <f t="array" ref="G1204">IF(B1204&gt;0,'Direct Costs 2026'!$C$25,"N/A")</f>
        <v>N/A</v>
      </c>
      <c r="H1204" t="str" s="431" cm="1">
        <f t="array" ref="H1204">IF(B1204&gt;0,'Direct Costs 2026'!$C$15+'Direct Costs 2026'!$C$14,"N/A")</f>
        <v>N/A</v>
      </c>
      <c r="I1204" s="423">
        <v>0</v>
      </c>
      <c r="J1204" s="423">
        <v>0</v>
      </c>
      <c r="K1204" t="str" s="431" cm="1">
        <f t="array" ref="K1204">IF(B1204&gt;0,'Direct Costs 2026'!$C$26,"N/A")</f>
        <v>N/A</v>
      </c>
      <c r="L1204" t="str" s="431" cm="1">
        <f t="array" ref="L1204">IF(B1204&gt;0,'Direct Costs 2026'!$C$23,"N/A")</f>
        <v>N/A</v>
      </c>
      <c r="M1204" t="str" s="431" cm="1">
        <f t="array" ref="M1204">IF(B1204&gt;0,'Direct Costs 2026'!$C$45*B1204,"N/A")</f>
        <v>N/A</v>
      </c>
      <c r="N1204" t="str" s="431" cm="1">
        <f t="array" ref="N1204">IF(B1204&gt;0,_xlfn.IFERROR(VLOOKUP(C1189,'Boats Data Sheet 2026'!$C$3:$I$60,7,0)*'Direct Costs 2026'!$C$36,"N/A"),"N/A")</f>
        <v>N/A</v>
      </c>
      <c r="O1204" t="str" s="431" cm="1">
        <f t="array" ref="O1204">IF(B1204&gt;0,IF(OR(VLOOKUP(C1189,'Boats Data Sheet 2026'!$C$3:$F$60,4,0)="Own",VLOOKUP(C1189,'Boats Data Sheet 2026'!$C$3:$F$60,4,0)="Management"),('Direct Costs 2026'!$C$37+'Direct Costs 2026'!$C$39),"N/A"),"N/A")</f>
        <v>N/A</v>
      </c>
      <c r="P1204" t="str" s="431" cm="1">
        <f t="array" ref="P1204">_xlfn.IFERROR('Direct Costs 2026'!$C$27*C1204,"N/A")</f>
        <v>N/A</v>
      </c>
      <c r="Q1204" t="str" s="431" cm="1">
        <f t="array" ref="Q1204">_xlfn.IFERROR(C1204+SUM(E1204:P1204),"N/A")</f>
        <v>N/A</v>
      </c>
      <c r="R1204" s="424"/>
      <c r="S1204" t="str" s="431" cm="1">
        <f t="array" ref="S1204">IF(B1204&gt;0,'Allocation OH and Target 2026'!$E$31,"N/A")</f>
        <v>N/A</v>
      </c>
      <c r="T1204" t="str" s="431" cm="1">
        <f t="array" ref="T1204">IF(B1204&gt;0,VLOOKUP(C1189,'Allocation OH and Target 2026'!$C$35:$S$91,16,0),"N/A")</f>
        <v>N/A</v>
      </c>
      <c r="U1204" t="str" s="431" cm="1">
        <f t="array" ref="U1204">_xlfn.IFERROR((S1204+T1204),"N/A")</f>
        <v>N/A</v>
      </c>
      <c r="V1204" s="424"/>
      <c r="W1204" t="str" s="431" cm="1">
        <f t="array" ref="W1204">_xlfn.IFERROR(U1204+Q1204,"N/A")</f>
        <v>N/A</v>
      </c>
      <c r="X1204" t="str" s="431" cm="1">
        <f t="array" ref="X1204">_xlfn.IFERROR(W1204*0.5%,"N/A")</f>
        <v>N/A</v>
      </c>
      <c r="Y1204" t="str" s="431" cm="1">
        <f t="array" ref="Y1204">_xlfn.IFERROR(W1204*25%,"N/A")</f>
        <v>N/A</v>
      </c>
      <c r="Z1204" t="str" s="426" cm="1">
        <f t="array" ref="Z1204">IF(B1204&gt;0,SUM(W1204:Y1204),"N/A")</f>
        <v>N/A</v>
      </c>
      <c r="AA1204" t="str" s="426" cm="1">
        <f t="array" ref="AA1204">_xlfn.IFERROR((Z1204-Z1203),"N/A")</f>
        <v>N/A</v>
      </c>
      <c r="AB1204" s="424"/>
      <c r="AC1204" t="str" s="426" cm="1">
        <f t="array" ref="AC1204">IF(B1204=6,AVERAGE(Z1192:Z1197),"N/A")</f>
        <v>N/A</v>
      </c>
      <c r="AD1204" s="424"/>
      <c r="AE1204" s="423"/>
      <c r="AF1204" s="423"/>
      <c r="AG1204" s="423"/>
      <c r="AH1204" s="423"/>
      <c r="AI1204" s="423"/>
      <c r="AJ1204" s="423"/>
      <c r="AK1204" s="423"/>
      <c r="AL1204" s="423"/>
      <c r="AM1204" s="423"/>
      <c r="AN1204" s="427"/>
    </row>
    <row r="1205" ht="15" customHeight="1">
      <c r="A1205" s="12"/>
      <c r="B1205" s="428" cm="1">
        <f t="array" ref="B1205">IF(B1204=0,0,IF(B1204&lt;VLOOKUP(C1189,'Boats Data Sheet 2026'!$C$3:$H$60,6,0),B1204+1,0))</f>
        <v>0</v>
      </c>
      <c r="C1205" t="str" s="431" cm="1">
        <f t="array" ref="C1205">IF(B1205&gt;0,IF(VLOOKUP(C1189,'Boats Data Sheet 2026'!$C$3:$J$60,8,0)="N/A",0,VLOOKUP(C1189,'Boats Data Sheet 2026'!$C$3:$J$60,8,0)),"N/A")</f>
        <v>N/A</v>
      </c>
      <c r="D1205" t="str" s="431" cm="1">
        <f t="array" ref="D1205">IF(B1205&gt;7,2,IF(B1205=0,"N/A",1))</f>
        <v>N/A</v>
      </c>
      <c r="E1205" t="str" s="431" cm="1">
        <f t="array" ref="E1205">_xlfn.IFERROR(SUM('Direct Costs 2026'!$C$4:$C$5)*D1205,"N/A")</f>
        <v>N/A</v>
      </c>
      <c r="F1205" s="423" cm="1">
        <f t="array" ref="F1205">_xlfn.IFERROR('Direct Costs 2026'!$C$43*B1205,"N/A")</f>
        <v>0</v>
      </c>
      <c r="G1205" t="str" s="431" cm="1">
        <f t="array" ref="G1205">IF(B1205&gt;0,'Direct Costs 2026'!$C$25,"N/A")</f>
        <v>N/A</v>
      </c>
      <c r="H1205" t="str" s="431" cm="1">
        <f t="array" ref="H1205">IF(B1205&gt;0,'Direct Costs 2026'!$C$15+'Direct Costs 2026'!$C$14,"N/A")</f>
        <v>N/A</v>
      </c>
      <c r="I1205" s="423">
        <v>0</v>
      </c>
      <c r="J1205" s="423">
        <v>0</v>
      </c>
      <c r="K1205" t="str" s="431" cm="1">
        <f t="array" ref="K1205">IF(B1205&gt;0,'Direct Costs 2026'!$C$26,"N/A")</f>
        <v>N/A</v>
      </c>
      <c r="L1205" t="str" s="431" cm="1">
        <f t="array" ref="L1205">IF(B1205&gt;0,'Direct Costs 2026'!$C$23,"N/A")</f>
        <v>N/A</v>
      </c>
      <c r="M1205" t="str" s="431" cm="1">
        <f t="array" ref="M1205">IF(B1205&gt;0,'Direct Costs 2026'!$C$45*B1205,"N/A")</f>
        <v>N/A</v>
      </c>
      <c r="N1205" t="str" s="431" cm="1">
        <f t="array" ref="N1205">IF(B1205&gt;0,_xlfn.IFERROR(VLOOKUP(C1189,'Boats Data Sheet 2026'!$C$3:$I$60,7,0)*'Direct Costs 2026'!$C$36,"N/A"),"N/A")</f>
        <v>N/A</v>
      </c>
      <c r="O1205" t="str" s="431" cm="1">
        <f t="array" ref="O1205">IF(B1205&gt;0,IF(OR(VLOOKUP(C1189,'Boats Data Sheet 2026'!$C$3:$F$60,4,0)="Own",VLOOKUP(C1189,'Boats Data Sheet 2026'!$C$3:$F$60,4,0)="Management"),('Direct Costs 2026'!$C$37+'Direct Costs 2026'!$C$39),"N/A"),"N/A")</f>
        <v>N/A</v>
      </c>
      <c r="P1205" t="str" s="431" cm="1">
        <f t="array" ref="P1205">_xlfn.IFERROR('Direct Costs 2026'!$C$27*C1205,"N/A")</f>
        <v>N/A</v>
      </c>
      <c r="Q1205" t="str" s="431" cm="1">
        <f t="array" ref="Q1205">_xlfn.IFERROR(C1205+SUM(E1205:P1205),"N/A")</f>
        <v>N/A</v>
      </c>
      <c r="R1205" s="424"/>
      <c r="S1205" t="str" s="431" cm="1">
        <f t="array" ref="S1205">IF(B1205&gt;0,'Allocation OH and Target 2026'!$E$31,"N/A")</f>
        <v>N/A</v>
      </c>
      <c r="T1205" t="str" s="431" cm="1">
        <f t="array" ref="T1205">IF(B1205&gt;0,VLOOKUP(C1189,'Allocation OH and Target 2026'!$C$35:$S$91,16,0),"N/A")</f>
        <v>N/A</v>
      </c>
      <c r="U1205" t="str" s="431" cm="1">
        <f t="array" ref="U1205">_xlfn.IFERROR((S1205+T1205),"N/A")</f>
        <v>N/A</v>
      </c>
      <c r="V1205" s="424"/>
      <c r="W1205" t="str" s="431" cm="1">
        <f t="array" ref="W1205">_xlfn.IFERROR(U1205+Q1205,"N/A")</f>
        <v>N/A</v>
      </c>
      <c r="X1205" t="str" s="431" cm="1">
        <f t="array" ref="X1205">_xlfn.IFERROR(W1205*0.5%,"N/A")</f>
        <v>N/A</v>
      </c>
      <c r="Y1205" t="str" s="431" cm="1">
        <f t="array" ref="Y1205">_xlfn.IFERROR(W1205*25%,"N/A")</f>
        <v>N/A</v>
      </c>
      <c r="Z1205" t="str" s="426" cm="1">
        <f t="array" ref="Z1205">IF(B1205&gt;0,SUM(W1205:Y1205),"N/A")</f>
        <v>N/A</v>
      </c>
      <c r="AA1205" t="str" s="426" cm="1">
        <f t="array" ref="AA1205">_xlfn.IFERROR((Z1205-Z1204),"N/A")</f>
        <v>N/A</v>
      </c>
      <c r="AB1205" s="424"/>
      <c r="AC1205" t="str" s="426" cm="1">
        <f t="array" ref="AC1205">IF(B1205=6,AVERAGE(Z1192:Z1197),"N/A")</f>
        <v>N/A</v>
      </c>
      <c r="AD1205" s="424"/>
      <c r="AE1205" s="423"/>
      <c r="AF1205" s="423"/>
      <c r="AG1205" s="423"/>
      <c r="AH1205" s="423"/>
      <c r="AI1205" s="423"/>
      <c r="AJ1205" s="423"/>
      <c r="AK1205" s="423"/>
      <c r="AL1205" s="423"/>
      <c r="AM1205" s="423"/>
      <c r="AN1205" s="427"/>
    </row>
    <row r="1206" ht="15" customHeight="1">
      <c r="A1206" s="12"/>
      <c r="B1206" s="428" cm="1">
        <f t="array" ref="B1206">IF(B1205=0,0,IF(B1205&lt;VLOOKUP(C1189,'Boats Data Sheet 2026'!$C$3:$H$60,6,0),B1205+1,0))</f>
        <v>0</v>
      </c>
      <c r="C1206" t="str" s="431" cm="1">
        <f t="array" ref="C1206">IF(B1206&gt;0,IF(VLOOKUP(C1189,'Boats Data Sheet 2026'!$C$3:$J$60,8,0)="N/A",0,VLOOKUP(C1189,'Boats Data Sheet 2026'!$C$3:$J$60,8,0)),"N/A")</f>
        <v>N/A</v>
      </c>
      <c r="D1206" t="str" s="431" cm="1">
        <f t="array" ref="D1206">IF(B1206&gt;7,2,IF(B1206=0,"N/A",1))</f>
        <v>N/A</v>
      </c>
      <c r="E1206" t="str" s="431" cm="1">
        <f t="array" ref="E1206">_xlfn.IFERROR(SUM('Direct Costs 2026'!$C$4:$C$5)*D1206,"N/A")</f>
        <v>N/A</v>
      </c>
      <c r="F1206" s="423" cm="1">
        <f t="array" ref="F1206">_xlfn.IFERROR('Direct Costs 2026'!$C$43*B1206,"N/A")</f>
        <v>0</v>
      </c>
      <c r="G1206" t="str" s="431" cm="1">
        <f t="array" ref="G1206">IF(B1206&gt;0,'Direct Costs 2026'!$C$25,"N/A")</f>
        <v>N/A</v>
      </c>
      <c r="H1206" t="str" s="431" cm="1">
        <f t="array" ref="H1206">IF(B1206&gt;0,'Direct Costs 2026'!$C$15+'Direct Costs 2026'!$C$14,"N/A")</f>
        <v>N/A</v>
      </c>
      <c r="I1206" s="423">
        <v>0</v>
      </c>
      <c r="J1206" s="423">
        <v>0</v>
      </c>
      <c r="K1206" t="str" s="431" cm="1">
        <f t="array" ref="K1206">IF(B1206&gt;0,'Direct Costs 2026'!$C$26,"N/A")</f>
        <v>N/A</v>
      </c>
      <c r="L1206" t="str" s="431" cm="1">
        <f t="array" ref="L1206">IF(B1206&gt;0,'Direct Costs 2026'!$C$23,"N/A")</f>
        <v>N/A</v>
      </c>
      <c r="M1206" t="str" s="431" cm="1">
        <f t="array" ref="M1206">IF(B1206&gt;0,'Direct Costs 2026'!$C$45*B1206,"N/A")</f>
        <v>N/A</v>
      </c>
      <c r="N1206" t="str" s="431" cm="1">
        <f t="array" ref="N1206">IF(B1206&gt;0,_xlfn.IFERROR(VLOOKUP(C1189,'Boats Data Sheet 2026'!$C$3:$I$60,7,0)*'Direct Costs 2026'!$C$36,"N/A"),"N/A")</f>
        <v>N/A</v>
      </c>
      <c r="O1206" t="str" s="431" cm="1">
        <f t="array" ref="O1206">IF(B1206&gt;0,IF(OR(VLOOKUP(C1189,'Boats Data Sheet 2026'!$C$3:$F$60,4,0)="Own",VLOOKUP(C1189,'Boats Data Sheet 2026'!$C$3:$F$60,4,0)="Management"),('Direct Costs 2026'!$C$37+'Direct Costs 2026'!$C$39),"N/A"),"N/A")</f>
        <v>N/A</v>
      </c>
      <c r="P1206" t="str" s="431" cm="1">
        <f t="array" ref="P1206">_xlfn.IFERROR('Direct Costs 2026'!$C$27*C1206,"N/A")</f>
        <v>N/A</v>
      </c>
      <c r="Q1206" t="str" s="431" cm="1">
        <f t="array" ref="Q1206">_xlfn.IFERROR(C1206+SUM(E1206:P1206),"N/A")</f>
        <v>N/A</v>
      </c>
      <c r="R1206" s="424"/>
      <c r="S1206" t="str" s="431" cm="1">
        <f t="array" ref="S1206">IF(B1206&gt;0,'Allocation OH and Target 2026'!$E$31,"N/A")</f>
        <v>N/A</v>
      </c>
      <c r="T1206" t="str" s="431" cm="1">
        <f t="array" ref="T1206">IF(B1206&gt;0,VLOOKUP(C1189,'Allocation OH and Target 2026'!$C$35:$S$91,16,0),"N/A")</f>
        <v>N/A</v>
      </c>
      <c r="U1206" t="str" s="431" cm="1">
        <f t="array" ref="U1206">_xlfn.IFERROR((S1206+T1206),"N/A")</f>
        <v>N/A</v>
      </c>
      <c r="V1206" s="424"/>
      <c r="W1206" t="str" s="431" cm="1">
        <f t="array" ref="W1206">_xlfn.IFERROR(U1206+Q1206,"N/A")</f>
        <v>N/A</v>
      </c>
      <c r="X1206" t="str" s="431" cm="1">
        <f t="array" ref="X1206">_xlfn.IFERROR(W1206*0.5%,"N/A")</f>
        <v>N/A</v>
      </c>
      <c r="Y1206" t="str" s="431" cm="1">
        <f t="array" ref="Y1206">_xlfn.IFERROR(W1206*25%,"N/A")</f>
        <v>N/A</v>
      </c>
      <c r="Z1206" t="str" s="426" cm="1">
        <f t="array" ref="Z1206">IF(B1206&gt;0,SUM(W1206:Y1206),"N/A")</f>
        <v>N/A</v>
      </c>
      <c r="AA1206" t="str" s="426" cm="1">
        <f t="array" ref="AA1206">_xlfn.IFERROR((Z1206-Z1205),"N/A")</f>
        <v>N/A</v>
      </c>
      <c r="AB1206" s="424"/>
      <c r="AC1206" t="str" s="426" cm="1">
        <f t="array" ref="AC1206">IF(B1206=6,AVERAGE(Z1192:Z1197),"N/A")</f>
        <v>N/A</v>
      </c>
      <c r="AD1206" s="424"/>
      <c r="AE1206" s="423"/>
      <c r="AF1206" s="423"/>
      <c r="AG1206" s="423"/>
      <c r="AH1206" s="423"/>
      <c r="AI1206" s="423"/>
      <c r="AJ1206" s="423"/>
      <c r="AK1206" s="423"/>
      <c r="AL1206" s="423"/>
      <c r="AM1206" s="423"/>
      <c r="AN1206" s="427"/>
    </row>
    <row r="1207" ht="15" customHeight="1">
      <c r="A1207" s="12"/>
      <c r="B1207" s="428" cm="1">
        <f t="array" ref="B1207">IF(B1206=0,0,IF(B1206&lt;VLOOKUP(C1189,'Boats Data Sheet 2026'!$C$3:$H$60,6,0),B1206+1,0))</f>
        <v>0</v>
      </c>
      <c r="C1207" t="str" s="431" cm="1">
        <f t="array" ref="C1207">IF(B1207&gt;0,IF(VLOOKUP(C1189,'Boats Data Sheet 2026'!$C$3:$J$60,8,0)="N/A",0,VLOOKUP(C1189,'Boats Data Sheet 2026'!$C$3:$J$60,8,0)),"N/A")</f>
        <v>N/A</v>
      </c>
      <c r="D1207" t="str" s="431" cm="1">
        <f t="array" ref="D1207">IF(B1207&gt;7,2,IF(B1207=0,"N/A",1))</f>
        <v>N/A</v>
      </c>
      <c r="E1207" t="str" s="431" cm="1">
        <f t="array" ref="E1207">_xlfn.IFERROR(SUM('Direct Costs 2026'!$C$4:$C$5)*D1207,"N/A")</f>
        <v>N/A</v>
      </c>
      <c r="F1207" s="423" cm="1">
        <f t="array" ref="F1207">_xlfn.IFERROR('Direct Costs 2026'!$C$43*B1207,"N/A")</f>
        <v>0</v>
      </c>
      <c r="G1207" t="str" s="431" cm="1">
        <f t="array" ref="G1207">IF(B1207&gt;0,'Direct Costs 2026'!$C$25,"N/A")</f>
        <v>N/A</v>
      </c>
      <c r="H1207" t="str" s="431" cm="1">
        <f t="array" ref="H1207">IF(B1207&gt;0,'Direct Costs 2026'!$C$15+'Direct Costs 2026'!$C$14,"N/A")</f>
        <v>N/A</v>
      </c>
      <c r="I1207" s="423">
        <v>0</v>
      </c>
      <c r="J1207" s="423">
        <v>0</v>
      </c>
      <c r="K1207" t="str" s="431" cm="1">
        <f t="array" ref="K1207">IF(B1207&gt;0,'Direct Costs 2026'!$C$26,"N/A")</f>
        <v>N/A</v>
      </c>
      <c r="L1207" t="str" s="431" cm="1">
        <f t="array" ref="L1207">IF(B1207&gt;0,'Direct Costs 2026'!$C$23,"N/A")</f>
        <v>N/A</v>
      </c>
      <c r="M1207" t="str" s="431" cm="1">
        <f t="array" ref="M1207">IF(B1207&gt;0,'Direct Costs 2026'!$C$45*B1207,"N/A")</f>
        <v>N/A</v>
      </c>
      <c r="N1207" t="str" s="431" cm="1">
        <f t="array" ref="N1207">IF(B1207&gt;0,_xlfn.IFERROR(VLOOKUP(C1189,'Boats Data Sheet 2026'!$C$3:$I$60,7,0)*'Direct Costs 2026'!$C$36,"N/A"),"N/A")</f>
        <v>N/A</v>
      </c>
      <c r="O1207" t="str" s="431" cm="1">
        <f t="array" ref="O1207">IF(B1207&gt;0,IF(OR(VLOOKUP(C1189,'Boats Data Sheet 2026'!$C$3:$F$60,4,0)="Own",VLOOKUP(C1189,'Boats Data Sheet 2026'!$C$3:$F$60,4,0)="Management"),('Direct Costs 2026'!$C$37+'Direct Costs 2026'!$C$39),"N/A"),"N/A")</f>
        <v>N/A</v>
      </c>
      <c r="P1207" t="str" s="431" cm="1">
        <f t="array" ref="P1207">_xlfn.IFERROR('Direct Costs 2026'!$C$27*C1207,"N/A")</f>
        <v>N/A</v>
      </c>
      <c r="Q1207" t="str" s="431" cm="1">
        <f t="array" ref="Q1207">_xlfn.IFERROR(C1207+SUM(E1207:P1207),"N/A")</f>
        <v>N/A</v>
      </c>
      <c r="R1207" s="424"/>
      <c r="S1207" t="str" s="431" cm="1">
        <f t="array" ref="S1207">IF(B1207&gt;0,'Allocation OH and Target 2026'!$E$31,"N/A")</f>
        <v>N/A</v>
      </c>
      <c r="T1207" t="str" s="431" cm="1">
        <f t="array" ref="T1207">IF(B1207&gt;0,VLOOKUP(C1189,'Allocation OH and Target 2026'!$C$35:$S$91,16,0),"N/A")</f>
        <v>N/A</v>
      </c>
      <c r="U1207" t="str" s="431" cm="1">
        <f t="array" ref="U1207">_xlfn.IFERROR((S1207+T1207),"N/A")</f>
        <v>N/A</v>
      </c>
      <c r="V1207" s="424"/>
      <c r="W1207" t="str" s="431" cm="1">
        <f t="array" ref="W1207">_xlfn.IFERROR(U1207+Q1207,"N/A")</f>
        <v>N/A</v>
      </c>
      <c r="X1207" t="str" s="431" cm="1">
        <f t="array" ref="X1207">_xlfn.IFERROR(W1207*0.5%,"N/A")</f>
        <v>N/A</v>
      </c>
      <c r="Y1207" t="str" s="431" cm="1">
        <f t="array" ref="Y1207">_xlfn.IFERROR(W1207*25%,"N/A")</f>
        <v>N/A</v>
      </c>
      <c r="Z1207" t="str" s="426" cm="1">
        <f t="array" ref="Z1207">IF(B1207&gt;0,SUM(W1207:Y1207),"N/A")</f>
        <v>N/A</v>
      </c>
      <c r="AA1207" t="str" s="426" cm="1">
        <f t="array" ref="AA1207">_xlfn.IFERROR((Z1207-Z1206),"N/A")</f>
        <v>N/A</v>
      </c>
      <c r="AB1207" s="424"/>
      <c r="AC1207" t="str" s="426" cm="1">
        <f t="array" ref="AC1207">IF(B1207=6,AVERAGE(Z1192:Z1197),"N/A")</f>
        <v>N/A</v>
      </c>
      <c r="AD1207" s="424"/>
      <c r="AE1207" s="423"/>
      <c r="AF1207" s="423"/>
      <c r="AG1207" s="423"/>
      <c r="AH1207" s="423"/>
      <c r="AI1207" s="423"/>
      <c r="AJ1207" s="423"/>
      <c r="AK1207" s="423"/>
      <c r="AL1207" s="423"/>
      <c r="AM1207" s="423"/>
      <c r="AN1207" s="427"/>
    </row>
    <row r="1208" ht="15" customHeight="1">
      <c r="A1208" s="12"/>
      <c r="B1208" s="428" cm="1">
        <f t="array" ref="B1208">IF(B1207=0,0,IF(B1207&lt;VLOOKUP(C1189,'Boats Data Sheet 2026'!$C$3:$H$60,6,0),B1207+1,0))</f>
        <v>0</v>
      </c>
      <c r="C1208" t="str" s="431" cm="1">
        <f t="array" ref="C1208">IF(B1208&gt;0,IF(VLOOKUP(C1189,'Boats Data Sheet 2026'!$C$3:$J$60,8,0)="N/A",0,VLOOKUP(C1189,'Boats Data Sheet 2026'!$C$3:$J$60,8,0)),"N/A")</f>
        <v>N/A</v>
      </c>
      <c r="D1208" t="str" s="431" cm="1">
        <f t="array" ref="D1208">IF(B1208&gt;7,2,IF(B1208=0,"N/A",1))</f>
        <v>N/A</v>
      </c>
      <c r="E1208" t="str" s="431" cm="1">
        <f t="array" ref="E1208">_xlfn.IFERROR(SUM('Direct Costs 2026'!$C$4:$C$5)*D1208,"N/A")</f>
        <v>N/A</v>
      </c>
      <c r="F1208" s="423" cm="1">
        <f t="array" ref="F1208">_xlfn.IFERROR('Direct Costs 2026'!$C$43*B1208,"N/A")</f>
        <v>0</v>
      </c>
      <c r="G1208" t="str" s="431" cm="1">
        <f t="array" ref="G1208">IF(B1208&gt;0,'Direct Costs 2026'!$C$25,"N/A")</f>
        <v>N/A</v>
      </c>
      <c r="H1208" t="str" s="431" cm="1">
        <f t="array" ref="H1208">IF(B1208&gt;0,'Direct Costs 2026'!$C$15+'Direct Costs 2026'!$C$14,"N/A")</f>
        <v>N/A</v>
      </c>
      <c r="I1208" s="423">
        <v>0</v>
      </c>
      <c r="J1208" s="423">
        <v>0</v>
      </c>
      <c r="K1208" t="str" s="431" cm="1">
        <f t="array" ref="K1208">IF(B1208&gt;0,'Direct Costs 2026'!$C$26,"N/A")</f>
        <v>N/A</v>
      </c>
      <c r="L1208" t="str" s="431" cm="1">
        <f t="array" ref="L1208">IF(B1208&gt;0,'Direct Costs 2026'!$C$23,"N/A")</f>
        <v>N/A</v>
      </c>
      <c r="M1208" t="str" s="431" cm="1">
        <f t="array" ref="M1208">IF(B1208&gt;0,'Direct Costs 2026'!$C$45*B1208,"N/A")</f>
        <v>N/A</v>
      </c>
      <c r="N1208" t="str" s="431" cm="1">
        <f t="array" ref="N1208">IF(B1208&gt;0,_xlfn.IFERROR(VLOOKUP(C1189,'Boats Data Sheet 2026'!$C$3:$I$60,7,0)*'Direct Costs 2026'!$C$36,"N/A"),"N/A")</f>
        <v>N/A</v>
      </c>
      <c r="O1208" t="str" s="431" cm="1">
        <f t="array" ref="O1208">IF(B1208&gt;0,IF(OR(VLOOKUP(C1189,'Boats Data Sheet 2026'!$C$3:$F$60,4,0)="Own",VLOOKUP(C1189,'Boats Data Sheet 2026'!$C$3:$F$60,4,0)="Management"),('Direct Costs 2026'!$C$37+'Direct Costs 2026'!$C$39),"N/A"),"N/A")</f>
        <v>N/A</v>
      </c>
      <c r="P1208" t="str" s="431" cm="1">
        <f t="array" ref="P1208">_xlfn.IFERROR('Direct Costs 2026'!$C$27*C1208,"N/A")</f>
        <v>N/A</v>
      </c>
      <c r="Q1208" t="str" s="431" cm="1">
        <f t="array" ref="Q1208">_xlfn.IFERROR(C1208+SUM(E1208:P1208),"N/A")</f>
        <v>N/A</v>
      </c>
      <c r="R1208" s="424"/>
      <c r="S1208" t="str" s="431" cm="1">
        <f t="array" ref="S1208">IF(B1208&gt;0,'Allocation OH and Target 2026'!$E$31,"N/A")</f>
        <v>N/A</v>
      </c>
      <c r="T1208" t="str" s="431" cm="1">
        <f t="array" ref="T1208">IF(B1208&gt;0,VLOOKUP(C1189,'Allocation OH and Target 2026'!$C$35:$S$91,16,0),"N/A")</f>
        <v>N/A</v>
      </c>
      <c r="U1208" t="str" s="431" cm="1">
        <f t="array" ref="U1208">_xlfn.IFERROR((S1208+T1208),"N/A")</f>
        <v>N/A</v>
      </c>
      <c r="V1208" s="424"/>
      <c r="W1208" t="str" s="431" cm="1">
        <f t="array" ref="W1208">_xlfn.IFERROR(U1208+Q1208,"N/A")</f>
        <v>N/A</v>
      </c>
      <c r="X1208" t="str" s="431" cm="1">
        <f t="array" ref="X1208">_xlfn.IFERROR(W1208*0.5%,"N/A")</f>
        <v>N/A</v>
      </c>
      <c r="Y1208" t="str" s="431" cm="1">
        <f t="array" ref="Y1208">_xlfn.IFERROR(W1208*25%,"N/A")</f>
        <v>N/A</v>
      </c>
      <c r="Z1208" t="str" s="426" cm="1">
        <f t="array" ref="Z1208">IF(B1208&gt;0,SUM(W1208:Y1208),"N/A")</f>
        <v>N/A</v>
      </c>
      <c r="AA1208" t="str" s="426" cm="1">
        <f t="array" ref="AA1208">_xlfn.IFERROR((Z1208-Z1207),"N/A")</f>
        <v>N/A</v>
      </c>
      <c r="AB1208" s="424"/>
      <c r="AC1208" t="str" s="426" cm="1">
        <f t="array" ref="AC1208">IF(B1208=6,AVERAGE(Z1192:Z1197),"N/A")</f>
        <v>N/A</v>
      </c>
      <c r="AD1208" s="424"/>
      <c r="AE1208" s="423"/>
      <c r="AF1208" s="423"/>
      <c r="AG1208" s="423"/>
      <c r="AH1208" s="423"/>
      <c r="AI1208" s="423"/>
      <c r="AJ1208" s="423"/>
      <c r="AK1208" s="423"/>
      <c r="AL1208" s="423"/>
      <c r="AM1208" s="423"/>
      <c r="AN1208" s="427"/>
    </row>
    <row r="1209" ht="15.5" customHeight="1">
      <c r="A1209" s="12"/>
      <c r="B1209" s="432" cm="1">
        <f t="array" ref="B1209">IF(B1208=0,0,IF(B1208&lt;VLOOKUP(C1189,'Boats Data Sheet 2026'!$C$3:$H$60,6,0),B1208+1,0))</f>
        <v>0</v>
      </c>
      <c r="C1209" t="str" s="433" cm="1">
        <f t="array" ref="C1209">IF(B1209&gt;0,IF(VLOOKUP(C1189,'Boats Data Sheet 2026'!$C$3:$J$60,8,0)="N/A",0,VLOOKUP(C1189,'Boats Data Sheet 2026'!$C$3:$J$60,8,0)),"N/A")</f>
        <v>N/A</v>
      </c>
      <c r="D1209" t="str" s="433" cm="1">
        <f t="array" ref="D1209">IF(B1209&gt;7,2,IF(B1209=0,"N/A",1))</f>
        <v>N/A</v>
      </c>
      <c r="E1209" t="str" s="433" cm="1">
        <f t="array" ref="E1209">_xlfn.IFERROR(SUM('Direct Costs 2026'!$C$4:$C$5)*D1209,"N/A")</f>
        <v>N/A</v>
      </c>
      <c r="F1209" s="434" cm="1">
        <f t="array" ref="F1209">_xlfn.IFERROR('Direct Costs 2026'!$C$43*B1209,"N/A")</f>
        <v>0</v>
      </c>
      <c r="G1209" t="str" s="433" cm="1">
        <f t="array" ref="G1209">IF(B1209&gt;0,'Direct Costs 2026'!$C$25,"N/A")</f>
        <v>N/A</v>
      </c>
      <c r="H1209" t="str" s="433" cm="1">
        <f t="array" ref="H1209">IF(B1209&gt;0,'Direct Costs 2026'!$C$15+'Direct Costs 2026'!$C$14,"N/A")</f>
        <v>N/A</v>
      </c>
      <c r="I1209" s="434">
        <v>0</v>
      </c>
      <c r="J1209" s="434">
        <v>0</v>
      </c>
      <c r="K1209" t="str" s="433" cm="1">
        <f t="array" ref="K1209">IF(B1209&gt;0,'Direct Costs 2026'!$C$26,"N/A")</f>
        <v>N/A</v>
      </c>
      <c r="L1209" t="str" s="433" cm="1">
        <f t="array" ref="L1209">IF(B1209&gt;0,'Direct Costs 2026'!$C$23,"N/A")</f>
        <v>N/A</v>
      </c>
      <c r="M1209" t="str" s="433" cm="1">
        <f t="array" ref="M1209">IF(B1209&gt;0,'Direct Costs 2026'!$C$45*B1209,"N/A")</f>
        <v>N/A</v>
      </c>
      <c r="N1209" t="str" s="433" cm="1">
        <f t="array" ref="N1209">IF(B1209&gt;0,_xlfn.IFERROR(VLOOKUP(C1189,'Boats Data Sheet 2026'!$C$3:$I$60,7,0)*'Direct Costs 2026'!$C$36,"N/A"),"N/A")</f>
        <v>N/A</v>
      </c>
      <c r="O1209" t="str" s="433" cm="1">
        <f t="array" ref="O1209">IF(B1209&gt;0,IF(OR(VLOOKUP(C1189,'Boats Data Sheet 2026'!$C$3:$F$60,4,0)="Own",VLOOKUP(C1189,'Boats Data Sheet 2026'!$C$3:$F$60,4,0)="Management"),('Direct Costs 2026'!$C$37+'Direct Costs 2026'!$C$39),"N/A"),"N/A")</f>
        <v>N/A</v>
      </c>
      <c r="P1209" t="str" s="433" cm="1">
        <f t="array" ref="P1209">_xlfn.IFERROR('Direct Costs 2026'!$C$27*C1209,"N/A")</f>
        <v>N/A</v>
      </c>
      <c r="Q1209" t="str" s="433" cm="1">
        <f t="array" ref="Q1209">_xlfn.IFERROR(C1209+SUM(E1209:P1209),"N/A")</f>
        <v>N/A</v>
      </c>
      <c r="R1209" s="435"/>
      <c r="S1209" t="str" s="433" cm="1">
        <f t="array" ref="S1209">IF(B1209&gt;0,'Allocation OH and Target 2026'!$E$31,"N/A")</f>
        <v>N/A</v>
      </c>
      <c r="T1209" t="str" s="433" cm="1">
        <f t="array" ref="T1209">IF(B1209&gt;0,VLOOKUP(C1189,'Allocation OH and Target 2026'!$C$35:$S$91,16,0),"N/A")</f>
        <v>N/A</v>
      </c>
      <c r="U1209" t="str" s="433" cm="1">
        <f t="array" ref="U1209">_xlfn.IFERROR((S1209+T1209),"N/A")</f>
        <v>N/A</v>
      </c>
      <c r="V1209" s="435"/>
      <c r="W1209" t="str" s="433" cm="1">
        <f t="array" ref="W1209">_xlfn.IFERROR(U1209+Q1209,"N/A")</f>
        <v>N/A</v>
      </c>
      <c r="X1209" t="str" s="433" cm="1">
        <f t="array" ref="X1209">_xlfn.IFERROR(W1209*0.5%,"N/A")</f>
        <v>N/A</v>
      </c>
      <c r="Y1209" t="str" s="433" cm="1">
        <f t="array" ref="Y1209">_xlfn.IFERROR(W1209*25%,"N/A")</f>
        <v>N/A</v>
      </c>
      <c r="Z1209" t="str" s="436" cm="1">
        <f t="array" ref="Z1209">IF(B1209&gt;0,SUM(W1209:Y1209),"N/A")</f>
        <v>N/A</v>
      </c>
      <c r="AA1209" t="str" s="436" cm="1">
        <f t="array" ref="AA1209">_xlfn.IFERROR((Z1209-Z1208),"N/A")</f>
        <v>N/A</v>
      </c>
      <c r="AB1209" s="435"/>
      <c r="AC1209" t="str" s="436" cm="1">
        <f t="array" ref="AC1209">IF(B1209=6,AVERAGE(Z1192:Z1197),"N/A")</f>
        <v>N/A</v>
      </c>
      <c r="AD1209" s="435"/>
      <c r="AE1209" s="434"/>
      <c r="AF1209" s="434"/>
      <c r="AG1209" s="434"/>
      <c r="AH1209" s="434"/>
      <c r="AI1209" s="434"/>
      <c r="AJ1209" s="434"/>
      <c r="AK1209" s="434"/>
      <c r="AL1209" s="434"/>
      <c r="AM1209" s="434"/>
      <c r="AN1209" s="437"/>
    </row>
    <row r="1210" ht="15" customHeight="1">
      <c r="A1210" s="32"/>
      <c r="B1210" s="124"/>
      <c r="C1210" s="124"/>
      <c r="D1210" s="124"/>
      <c r="E1210" s="124"/>
      <c r="F1210" s="124"/>
      <c r="G1210" s="124"/>
      <c r="H1210" s="124"/>
      <c r="I1210" s="124"/>
      <c r="J1210" s="124"/>
      <c r="K1210" s="124"/>
      <c r="L1210" s="124"/>
      <c r="M1210" s="124"/>
      <c r="N1210" s="124"/>
      <c r="O1210" s="124"/>
      <c r="P1210" s="124"/>
      <c r="Q1210" s="124"/>
      <c r="R1210" s="124"/>
      <c r="S1210" s="124"/>
      <c r="T1210" s="124"/>
      <c r="U1210" s="124"/>
      <c r="V1210" s="124"/>
      <c r="W1210" s="124"/>
      <c r="X1210" s="124"/>
      <c r="Y1210" s="124"/>
      <c r="Z1210" s="124"/>
      <c r="AA1210" s="124"/>
      <c r="AB1210" s="124"/>
      <c r="AC1210" s="124"/>
      <c r="AD1210" s="124"/>
      <c r="AE1210" s="124"/>
      <c r="AF1210" s="124"/>
      <c r="AG1210" s="124"/>
      <c r="AH1210" s="124"/>
      <c r="AI1210" s="124"/>
      <c r="AJ1210" s="124"/>
      <c r="AK1210" s="124"/>
      <c r="AL1210" s="124"/>
      <c r="AM1210" s="124"/>
      <c r="AN1210" s="313"/>
    </row>
    <row r="1211" ht="15" customHeight="1">
      <c r="A1211" s="32"/>
      <c r="B1211" s="35"/>
      <c r="C1211" s="35"/>
      <c r="D1211" s="35"/>
      <c r="E1211" s="35"/>
      <c r="F1211" s="35"/>
      <c r="G1211" s="35"/>
      <c r="H1211" s="35"/>
      <c r="I1211" s="35"/>
      <c r="J1211" s="35"/>
      <c r="K1211" s="35"/>
      <c r="L1211" s="35"/>
      <c r="M1211" s="35"/>
      <c r="N1211" s="35"/>
      <c r="O1211" s="35"/>
      <c r="P1211" s="35"/>
      <c r="Q1211" s="35"/>
      <c r="R1211" s="35"/>
      <c r="S1211" s="35"/>
      <c r="T1211" s="35"/>
      <c r="U1211" s="35"/>
      <c r="V1211" s="35"/>
      <c r="W1211" s="35"/>
      <c r="X1211" s="35"/>
      <c r="Y1211" s="35"/>
      <c r="Z1211" s="35"/>
      <c r="AA1211" s="35"/>
      <c r="AB1211" s="35"/>
      <c r="AC1211" s="35"/>
      <c r="AD1211" s="35"/>
      <c r="AE1211" s="35"/>
      <c r="AF1211" s="35"/>
      <c r="AG1211" s="35"/>
      <c r="AH1211" s="35"/>
      <c r="AI1211" s="35"/>
      <c r="AJ1211" s="35"/>
      <c r="AK1211" s="35"/>
      <c r="AL1211" s="35"/>
      <c r="AM1211" s="35"/>
      <c r="AN1211" s="442"/>
    </row>
    <row r="1212" ht="15.5" customHeight="1">
      <c r="A1212" s="395">
        <v>43</v>
      </c>
      <c r="B1212" t="s" s="396">
        <v>506</v>
      </c>
      <c r="C1212" t="s" s="397">
        <v>110</v>
      </c>
      <c r="D1212" s="502"/>
      <c r="E1212" s="398"/>
      <c r="F1212" s="398"/>
      <c r="G1212" s="398"/>
      <c r="H1212" s="398"/>
      <c r="I1212" s="398"/>
      <c r="J1212" s="398"/>
      <c r="K1212" s="398"/>
      <c r="L1212" s="398"/>
      <c r="M1212" s="398"/>
      <c r="N1212" s="398"/>
      <c r="O1212" s="398"/>
      <c r="P1212" s="398"/>
      <c r="Q1212" s="398"/>
      <c r="R1212" s="399"/>
      <c r="S1212" s="398"/>
      <c r="T1212" s="398"/>
      <c r="U1212" s="398"/>
      <c r="V1212" s="399"/>
      <c r="W1212" s="398"/>
      <c r="X1212" s="398"/>
      <c r="Y1212" s="398"/>
      <c r="Z1212" s="398"/>
      <c r="AA1212" s="398"/>
      <c r="AB1212" s="399"/>
      <c r="AC1212" s="398"/>
      <c r="AD1212" s="399"/>
      <c r="AE1212" t="s" s="397">
        <v>508</v>
      </c>
      <c r="AF1212" s="401" cm="1">
        <f t="array" ref="AF1212">AVERAGE(Q1215:Q1220)</f>
        <v>25581500</v>
      </c>
      <c r="AG1212" t="s" s="400">
        <v>509</v>
      </c>
      <c r="AH1212" s="401" cm="1">
        <f t="array" ref="AH1212">AVERAGE(Q1221:Q1228)-AF1212</f>
        <v>1858062.5</v>
      </c>
      <c r="AI1212" t="s" s="400">
        <v>510</v>
      </c>
      <c r="AJ1212" s="401" cm="1">
        <f t="array" ref="AJ1212">AVERAGE(Y1215:Y1222)</f>
        <v>7236846.16442453</v>
      </c>
      <c r="AK1212" t="s" s="397">
        <v>511</v>
      </c>
      <c r="AL1212" s="401" cm="1">
        <f t="array" ref="AL1212">AVERAGE(W1215:W1220)</f>
        <v>28681947.1576981</v>
      </c>
      <c r="AM1212" t="s" s="400">
        <v>512</v>
      </c>
      <c r="AN1212" s="402" cm="1">
        <f t="array" ref="AN1212">W1215</f>
        <v>28291947.1576981</v>
      </c>
    </row>
    <row r="1213" ht="15" customHeight="1">
      <c r="A1213" s="12"/>
      <c r="B1213" s="403"/>
      <c r="C1213" t="s" s="404">
        <v>513</v>
      </c>
      <c r="D1213" s="405"/>
      <c r="E1213" s="405"/>
      <c r="F1213" s="405"/>
      <c r="G1213" s="405"/>
      <c r="H1213" s="405"/>
      <c r="I1213" s="405"/>
      <c r="J1213" s="405"/>
      <c r="K1213" s="405"/>
      <c r="L1213" s="405"/>
      <c r="M1213" s="405"/>
      <c r="N1213" s="405"/>
      <c r="O1213" s="405"/>
      <c r="P1213" s="405"/>
      <c r="Q1213" s="406"/>
      <c r="R1213" s="407"/>
      <c r="S1213" t="s" s="404">
        <v>514</v>
      </c>
      <c r="T1213" s="405"/>
      <c r="U1213" s="406"/>
      <c r="V1213" s="407"/>
      <c r="W1213" t="s" s="404">
        <v>515</v>
      </c>
      <c r="X1213" s="405"/>
      <c r="Y1213" s="405"/>
      <c r="Z1213" s="405"/>
      <c r="AA1213" s="405"/>
      <c r="AB1213" s="408"/>
      <c r="AC1213" s="443"/>
      <c r="AD1213" s="410"/>
      <c r="AE1213" s="443"/>
      <c r="AF1213" s="443"/>
      <c r="AG1213" s="443"/>
      <c r="AH1213" s="443"/>
      <c r="AI1213" s="443"/>
      <c r="AJ1213" s="443"/>
      <c r="AK1213" s="443"/>
      <c r="AL1213" s="414"/>
      <c r="AM1213" s="415"/>
      <c r="AN1213" s="414"/>
    </row>
    <row r="1214" ht="46.25" customHeight="1">
      <c r="A1214" s="187"/>
      <c r="B1214" t="s" s="416">
        <v>517</v>
      </c>
      <c r="C1214" t="s" s="417">
        <v>518</v>
      </c>
      <c r="D1214" t="s" s="417">
        <v>519</v>
      </c>
      <c r="E1214" t="s" s="417">
        <v>520</v>
      </c>
      <c r="F1214" t="s" s="159">
        <v>521</v>
      </c>
      <c r="G1214" t="s" s="159">
        <v>522</v>
      </c>
      <c r="H1214" t="s" s="159">
        <v>553</v>
      </c>
      <c r="I1214" t="s" s="159">
        <v>524</v>
      </c>
      <c r="J1214" t="s" s="159">
        <v>525</v>
      </c>
      <c r="K1214" t="s" s="159">
        <v>526</v>
      </c>
      <c r="L1214" t="s" s="159">
        <v>527</v>
      </c>
      <c r="M1214" t="s" s="159">
        <v>528</v>
      </c>
      <c r="N1214" t="s" s="159">
        <v>529</v>
      </c>
      <c r="O1214" t="s" s="159">
        <v>530</v>
      </c>
      <c r="P1214" t="s" s="159">
        <v>531</v>
      </c>
      <c r="Q1214" t="s" s="159">
        <v>532</v>
      </c>
      <c r="R1214" s="418"/>
      <c r="S1214" t="s" s="159">
        <v>533</v>
      </c>
      <c r="T1214" t="s" s="159">
        <v>534</v>
      </c>
      <c r="U1214" t="s" s="159">
        <v>535</v>
      </c>
      <c r="V1214" s="418"/>
      <c r="W1214" t="s" s="159">
        <v>536</v>
      </c>
      <c r="X1214" t="s" s="159">
        <v>537</v>
      </c>
      <c r="Y1214" t="s" s="159">
        <v>538</v>
      </c>
      <c r="Z1214" t="s" s="159">
        <v>539</v>
      </c>
      <c r="AA1214" t="s" s="159">
        <v>121</v>
      </c>
      <c r="AB1214" s="419"/>
      <c r="AC1214" t="s" s="159">
        <v>39</v>
      </c>
      <c r="AD1214" s="419"/>
      <c r="AE1214" s="77"/>
      <c r="AF1214" s="77"/>
      <c r="AG1214" s="77"/>
      <c r="AH1214" s="77"/>
      <c r="AI1214" s="77"/>
      <c r="AJ1214" s="77"/>
      <c r="AK1214" s="77"/>
      <c r="AL1214" s="77"/>
      <c r="AM1214" s="77"/>
      <c r="AN1214" s="78"/>
    </row>
    <row r="1215" ht="15" customHeight="1">
      <c r="A1215" s="12"/>
      <c r="B1215" s="420">
        <v>1</v>
      </c>
      <c r="C1215" s="421" cm="1">
        <f t="array" ref="C1215">IF(B1215&gt;0,IF(VLOOKUP(C1212,'Boats Data Sheet 2026'!$C$3:$J$60,8,0)="N/A",0,VLOOKUP(C1212,'Boats Data Sheet 2026'!$C$3:$J$60,8,0)),"N/A")</f>
        <v>24000000</v>
      </c>
      <c r="D1215" s="422" cm="1">
        <f t="array" ref="D1215">IF(B1215&gt;7,2,IF(B1215=0,"N/A",1))</f>
        <v>1</v>
      </c>
      <c r="E1215" s="421" cm="1">
        <f t="array" ref="E1215">_xlfn.IFERROR(SUM('Direct Costs 2026'!$C$4:$C$5)*D1215,"N/A")</f>
        <v>875500</v>
      </c>
      <c r="F1215" s="423" cm="1">
        <f t="array" ref="F1215">_xlfn.IFERROR('Direct Costs 2026'!$C$43*B1215,"N/A")</f>
        <v>6000</v>
      </c>
      <c r="G1215" s="423">
        <v>0</v>
      </c>
      <c r="H1215" s="423">
        <v>0</v>
      </c>
      <c r="I1215" s="423">
        <v>0</v>
      </c>
      <c r="J1215" s="423">
        <v>0</v>
      </c>
      <c r="K1215" s="423" cm="1">
        <f t="array" ref="K1215">IF(B1215&gt;0,'Direct Costs 2026'!$C$26,"N/A")</f>
        <v>20000</v>
      </c>
      <c r="L1215" s="423" cm="1">
        <f t="array" ref="L1215">IF(B1215&gt;0,'Direct Costs 2026'!$C$23,"N/A")</f>
        <v>140000</v>
      </c>
      <c r="M1215" s="423" cm="1">
        <f t="array" ref="M1215">IF(B1215&gt;0,'Direct Costs 2026'!$C$45*B1215,"N/A")</f>
        <v>150000</v>
      </c>
      <c r="N1215" t="str" s="431" cm="1">
        <f t="array" ref="N1215">IF(B1215&gt;0,_xlfn.IFERROR(VLOOKUP(C1212,'Boats Data Sheet 2026'!$C$3:$I$60,7,0)*'Direct Costs 2026'!$C$36,"N/A"),"N/A")</f>
        <v>N/A</v>
      </c>
      <c r="O1215" t="str" s="431" cm="1">
        <f t="array" ref="O1215">IF(B1215&gt;0,IF(OR(VLOOKUP(C1212,'Boats Data Sheet 2026'!$C$3:$F$60,4,0)="Own",VLOOKUP(C1212,'Boats Data Sheet 2026'!$C$3:$F$60,4,0)="Management"),('Direct Costs 2026'!$C$37+'Direct Costs 2026'!$C$39),"N/A"),"N/A")</f>
        <v>N/A</v>
      </c>
      <c r="P1215" s="423">
        <v>0</v>
      </c>
      <c r="Q1215" s="423" cm="1">
        <f t="array" ref="Q1215">_xlfn.IFERROR(C1215+SUM(E1215:P1215),"N/A")</f>
        <v>25191500</v>
      </c>
      <c r="R1215" s="424"/>
      <c r="S1215" s="423" cm="1">
        <f t="array" ref="S1215">IF(B1215&gt;0,'Allocation OH and Target 2026'!$E$31,"N/A")</f>
        <v>3100447.15769812</v>
      </c>
      <c r="T1215" s="423" cm="1">
        <f t="array" ref="T1215">IF(B1215&gt;0,VLOOKUP(C1212,'Allocation OH and Target 2026'!$C$35:$S$91,16,0),"N/A")</f>
        <v>0</v>
      </c>
      <c r="U1215" s="423" cm="1">
        <f t="array" ref="U1215">_xlfn.IFERROR((S1215+T1215),"N/A")</f>
        <v>3100447.15769812</v>
      </c>
      <c r="V1215" s="424"/>
      <c r="W1215" s="423" cm="1">
        <f t="array" ref="W1215">_xlfn.IFERROR(U1215+Q1215,"N/A")</f>
        <v>28291947.1576981</v>
      </c>
      <c r="X1215" s="423" cm="1">
        <f t="array" ref="X1215">_xlfn.IFERROR(W1215*0.5%,"N/A")</f>
        <v>141459.735788491</v>
      </c>
      <c r="Y1215" s="423" cm="1">
        <f t="array" ref="Y1215">_xlfn.IFERROR(W1215*25%,"N/A")</f>
        <v>7072986.78942453</v>
      </c>
      <c r="Z1215" s="425" cm="1">
        <f t="array" ref="Z1215">IF(B1215&gt;0,SUM(W1215:Y1215),"N/A")</f>
        <v>35506393.6829111</v>
      </c>
      <c r="AA1215" s="425">
        <v>0</v>
      </c>
      <c r="AB1215" s="424"/>
      <c r="AC1215" t="str" s="426" cm="1">
        <f t="array" ref="AC1215">IF(B1215=6,AVERAGE(Z1215:Z1220),"N/A")</f>
        <v>N/A</v>
      </c>
      <c r="AD1215" s="424"/>
      <c r="AE1215" s="423"/>
      <c r="AF1215" s="423"/>
      <c r="AG1215" s="423"/>
      <c r="AH1215" s="423"/>
      <c r="AI1215" s="423"/>
      <c r="AJ1215" s="423"/>
      <c r="AK1215" s="423"/>
      <c r="AL1215" s="423"/>
      <c r="AM1215" s="423"/>
      <c r="AN1215" s="427"/>
    </row>
    <row r="1216" ht="15" customHeight="1">
      <c r="A1216" s="12"/>
      <c r="B1216" s="428" cm="1">
        <f t="array" ref="B1216">IF(B1215=0,0,IF(B1215&lt;VLOOKUP(C1212,'Boats Data Sheet 2026'!$C$3:$H$60,6,0),B1215+1,0))</f>
        <v>2</v>
      </c>
      <c r="C1216" s="423" cm="1">
        <f t="array" ref="C1216">IF(B1216&gt;0,IF(VLOOKUP(C1212,'Boats Data Sheet 2026'!$C$3:$J$60,8,0)="N/A",0,VLOOKUP(C1212,'Boats Data Sheet 2026'!$C$3:$J$60,8,0)),"N/A")</f>
        <v>24000000</v>
      </c>
      <c r="D1216" s="429" cm="1">
        <f t="array" ref="D1216">IF(B1216&gt;7,2,IF(B1216=0,"N/A",1))</f>
        <v>1</v>
      </c>
      <c r="E1216" s="423" cm="1">
        <f t="array" ref="E1216">_xlfn.IFERROR(SUM('Direct Costs 2026'!$C$4:$C$5)*D1216,"N/A")</f>
        <v>875500</v>
      </c>
      <c r="F1216" s="423" cm="1">
        <f t="array" ref="F1216">_xlfn.IFERROR('Direct Costs 2026'!$C$43*B1216,"N/A")</f>
        <v>12000</v>
      </c>
      <c r="G1216" s="423">
        <v>0</v>
      </c>
      <c r="H1216" s="423">
        <v>0</v>
      </c>
      <c r="I1216" s="423">
        <v>0</v>
      </c>
      <c r="J1216" s="423">
        <v>0</v>
      </c>
      <c r="K1216" s="423" cm="1">
        <f t="array" ref="K1216">IF(B1216&gt;0,'Direct Costs 2026'!$C$26,"N/A")</f>
        <v>20000</v>
      </c>
      <c r="L1216" s="423" cm="1">
        <f t="array" ref="L1216">IF(B1216&gt;0,'Direct Costs 2026'!$C$23,"N/A")</f>
        <v>140000</v>
      </c>
      <c r="M1216" s="423" cm="1">
        <f t="array" ref="M1216">IF(B1216&gt;0,'Direct Costs 2026'!$C$45*B1216,"N/A")</f>
        <v>300000</v>
      </c>
      <c r="N1216" t="str" s="431" cm="1">
        <f t="array" ref="N1216">IF(B1216&gt;0,_xlfn.IFERROR(VLOOKUP(C1212,'Boats Data Sheet 2026'!$C$3:$I$60,7,0)*'Direct Costs 2026'!$C$36,"N/A"),"N/A")</f>
        <v>N/A</v>
      </c>
      <c r="O1216" t="str" s="431" cm="1">
        <f t="array" ref="O1216">IF(B1216&gt;0,IF(OR(VLOOKUP(C1212,'Boats Data Sheet 2026'!$C$3:$F$60,4,0)="Own",VLOOKUP(C1212,'Boats Data Sheet 2026'!$C$3:$F$60,4,0)="Management"),('Direct Costs 2026'!$C$37+'Direct Costs 2026'!$C$39),"N/A"),"N/A")</f>
        <v>N/A</v>
      </c>
      <c r="P1216" s="423">
        <v>0</v>
      </c>
      <c r="Q1216" s="423" cm="1">
        <f t="array" ref="Q1216">_xlfn.IFERROR(C1216+SUM(E1216:P1216),"N/A")</f>
        <v>25347500</v>
      </c>
      <c r="R1216" s="424"/>
      <c r="S1216" s="423" cm="1">
        <f t="array" ref="S1216">IF(B1216&gt;0,'Allocation OH and Target 2026'!$E$31,"N/A")</f>
        <v>3100447.15769812</v>
      </c>
      <c r="T1216" s="423" cm="1">
        <f t="array" ref="T1216">IF(B1216&gt;0,VLOOKUP(C1212,'Allocation OH and Target 2026'!$C$35:$S$91,16,0),"N/A")</f>
        <v>0</v>
      </c>
      <c r="U1216" s="423" cm="1">
        <f t="array" ref="U1216">_xlfn.IFERROR((S1216+T1216),"N/A")</f>
        <v>3100447.15769812</v>
      </c>
      <c r="V1216" s="424"/>
      <c r="W1216" s="423" cm="1">
        <f t="array" ref="W1216">_xlfn.IFERROR(U1216+Q1216,"N/A")</f>
        <v>28447947.1576981</v>
      </c>
      <c r="X1216" s="423" cm="1">
        <f t="array" ref="X1216">_xlfn.IFERROR(W1216*0.5%,"N/A")</f>
        <v>142239.735788491</v>
      </c>
      <c r="Y1216" s="423" cm="1">
        <f t="array" ref="Y1216">_xlfn.IFERROR(W1216*25%,"N/A")</f>
        <v>7111986.78942453</v>
      </c>
      <c r="Z1216" s="425" cm="1">
        <f t="array" ref="Z1216">IF(B1216&gt;0,SUM(W1216:Y1216),"N/A")</f>
        <v>35702173.6829111</v>
      </c>
      <c r="AA1216" s="425" cm="1">
        <f t="array" ref="AA1216">_xlfn.IFERROR((Z1216-Z1215),"N/A")</f>
        <v>195780</v>
      </c>
      <c r="AB1216" s="424"/>
      <c r="AC1216" t="str" s="426" cm="1">
        <f t="array" ref="AC1216">IF(B1216=6,AVERAGE(Z1215:Z1220),"N/A")</f>
        <v>N/A</v>
      </c>
      <c r="AD1216" s="424"/>
      <c r="AE1216" s="423"/>
      <c r="AF1216" s="423"/>
      <c r="AG1216" s="423"/>
      <c r="AH1216" s="423"/>
      <c r="AI1216" s="423"/>
      <c r="AJ1216" s="423"/>
      <c r="AK1216" s="423"/>
      <c r="AL1216" s="423"/>
      <c r="AM1216" s="423"/>
      <c r="AN1216" s="427"/>
    </row>
    <row r="1217" ht="15" customHeight="1">
      <c r="A1217" s="12"/>
      <c r="B1217" s="428" cm="1">
        <f t="array" ref="B1217">IF(B1216=0,0,IF(B1216&lt;VLOOKUP(C1212,'Boats Data Sheet 2026'!$C$3:$H$60,6,0),B1216+1,0))</f>
        <v>3</v>
      </c>
      <c r="C1217" s="423" cm="1">
        <f t="array" ref="C1217">IF(B1217&gt;0,IF(VLOOKUP(C1212,'Boats Data Sheet 2026'!$C$3:$J$60,8,0)="N/A",0,VLOOKUP(C1212,'Boats Data Sheet 2026'!$C$3:$J$60,8,0)),"N/A")</f>
        <v>24000000</v>
      </c>
      <c r="D1217" s="429" cm="1">
        <f t="array" ref="D1217">IF(B1217&gt;7,2,IF(B1217=0,"N/A",1))</f>
        <v>1</v>
      </c>
      <c r="E1217" s="423" cm="1">
        <f t="array" ref="E1217">_xlfn.IFERROR(SUM('Direct Costs 2026'!$C$4:$C$5)*D1217,"N/A")</f>
        <v>875500</v>
      </c>
      <c r="F1217" s="423" cm="1">
        <f t="array" ref="F1217">_xlfn.IFERROR('Direct Costs 2026'!$C$43*B1217,"N/A")</f>
        <v>18000</v>
      </c>
      <c r="G1217" s="423">
        <v>0</v>
      </c>
      <c r="H1217" s="423">
        <v>0</v>
      </c>
      <c r="I1217" s="423">
        <v>0</v>
      </c>
      <c r="J1217" s="423">
        <v>0</v>
      </c>
      <c r="K1217" s="423" cm="1">
        <f t="array" ref="K1217">IF(B1217&gt;0,'Direct Costs 2026'!$C$26,"N/A")</f>
        <v>20000</v>
      </c>
      <c r="L1217" s="423" cm="1">
        <f t="array" ref="L1217">IF(B1217&gt;0,'Direct Costs 2026'!$C$23,"N/A")</f>
        <v>140000</v>
      </c>
      <c r="M1217" s="423" cm="1">
        <f t="array" ref="M1217">IF(B1217&gt;0,'Direct Costs 2026'!$C$45*B1217,"N/A")</f>
        <v>450000</v>
      </c>
      <c r="N1217" t="str" s="431" cm="1">
        <f t="array" ref="N1217">IF(B1217&gt;0,_xlfn.IFERROR(VLOOKUP(C1212,'Boats Data Sheet 2026'!$C$3:$I$60,7,0)*'Direct Costs 2026'!$C$36,"N/A"),"N/A")</f>
        <v>N/A</v>
      </c>
      <c r="O1217" t="str" s="431" cm="1">
        <f t="array" ref="O1217">IF(B1217&gt;0,IF(OR(VLOOKUP(C1212,'Boats Data Sheet 2026'!$C$3:$F$60,4,0)="Own",VLOOKUP(C1212,'Boats Data Sheet 2026'!$C$3:$F$60,4,0)="Management"),('Direct Costs 2026'!$C$37+'Direct Costs 2026'!$C$39),"N/A"),"N/A")</f>
        <v>N/A</v>
      </c>
      <c r="P1217" s="423">
        <v>0</v>
      </c>
      <c r="Q1217" s="423" cm="1">
        <f t="array" ref="Q1217">_xlfn.IFERROR(C1217+SUM(E1217:P1217),"N/A")</f>
        <v>25503500</v>
      </c>
      <c r="R1217" s="424"/>
      <c r="S1217" s="423" cm="1">
        <f t="array" ref="S1217">IF(B1217&gt;0,'Allocation OH and Target 2026'!$E$31,"N/A")</f>
        <v>3100447.15769812</v>
      </c>
      <c r="T1217" s="423" cm="1">
        <f t="array" ref="T1217">IF(B1217&gt;0,VLOOKUP(C1212,'Allocation OH and Target 2026'!$C$35:$S$91,16,0),"N/A")</f>
        <v>0</v>
      </c>
      <c r="U1217" s="423" cm="1">
        <f t="array" ref="U1217">_xlfn.IFERROR((S1217+T1217),"N/A")</f>
        <v>3100447.15769812</v>
      </c>
      <c r="V1217" s="424"/>
      <c r="W1217" s="423" cm="1">
        <f t="array" ref="W1217">_xlfn.IFERROR(U1217+Q1217,"N/A")</f>
        <v>28603947.1576981</v>
      </c>
      <c r="X1217" s="423" cm="1">
        <f t="array" ref="X1217">_xlfn.IFERROR(W1217*0.5%,"N/A")</f>
        <v>143019.735788491</v>
      </c>
      <c r="Y1217" s="423" cm="1">
        <f t="array" ref="Y1217">_xlfn.IFERROR(W1217*25%,"N/A")</f>
        <v>7150986.78942453</v>
      </c>
      <c r="Z1217" s="425" cm="1">
        <f t="array" ref="Z1217">IF(B1217&gt;0,SUM(W1217:Y1217),"N/A")</f>
        <v>35897953.6829111</v>
      </c>
      <c r="AA1217" s="425" cm="1">
        <f t="array" ref="AA1217">_xlfn.IFERROR((Z1217-Z1216),"N/A")</f>
        <v>195780</v>
      </c>
      <c r="AB1217" s="424"/>
      <c r="AC1217" t="str" s="426" cm="1">
        <f t="array" ref="AC1217">IF(B1217=6,AVERAGE(Z1215:Z1220),"N/A")</f>
        <v>N/A</v>
      </c>
      <c r="AD1217" s="424"/>
      <c r="AE1217" s="423"/>
      <c r="AF1217" s="423"/>
      <c r="AG1217" s="423"/>
      <c r="AH1217" s="423"/>
      <c r="AI1217" s="423"/>
      <c r="AJ1217" s="423"/>
      <c r="AK1217" s="423"/>
      <c r="AL1217" s="423"/>
      <c r="AM1217" s="423"/>
      <c r="AN1217" s="427"/>
    </row>
    <row r="1218" ht="15" customHeight="1">
      <c r="A1218" s="12"/>
      <c r="B1218" s="428" cm="1">
        <f t="array" ref="B1218">IF(B1217=0,0,IF(B1217&lt;VLOOKUP(C1212,'Boats Data Sheet 2026'!$C$3:$H$60,6,0),B1217+1,0))</f>
        <v>4</v>
      </c>
      <c r="C1218" s="423" cm="1">
        <f t="array" ref="C1218">IF(B1218&gt;0,IF(VLOOKUP(C1212,'Boats Data Sheet 2026'!$C$3:$J$60,8,0)="N/A",0,VLOOKUP(C1212,'Boats Data Sheet 2026'!$C$3:$J$60,8,0)),"N/A")</f>
        <v>24000000</v>
      </c>
      <c r="D1218" s="429" cm="1">
        <f t="array" ref="D1218">IF(B1218&gt;7,2,IF(B1218=0,"N/A",1))</f>
        <v>1</v>
      </c>
      <c r="E1218" s="423" cm="1">
        <f t="array" ref="E1218">_xlfn.IFERROR(SUM('Direct Costs 2026'!$C$4:$C$5)*D1218,"N/A")</f>
        <v>875500</v>
      </c>
      <c r="F1218" s="423" cm="1">
        <f t="array" ref="F1218">_xlfn.IFERROR('Direct Costs 2026'!$C$43*B1218,"N/A")</f>
        <v>24000</v>
      </c>
      <c r="G1218" s="423">
        <v>0</v>
      </c>
      <c r="H1218" s="423">
        <v>0</v>
      </c>
      <c r="I1218" s="423">
        <v>0</v>
      </c>
      <c r="J1218" s="423">
        <v>0</v>
      </c>
      <c r="K1218" s="423" cm="1">
        <f t="array" ref="K1218">IF(B1218&gt;0,'Direct Costs 2026'!$C$26,"N/A")</f>
        <v>20000</v>
      </c>
      <c r="L1218" s="423" cm="1">
        <f t="array" ref="L1218">IF(B1218&gt;0,'Direct Costs 2026'!$C$23,"N/A")</f>
        <v>140000</v>
      </c>
      <c r="M1218" s="423" cm="1">
        <f t="array" ref="M1218">IF(B1218&gt;0,'Direct Costs 2026'!$C$45*B1218,"N/A")</f>
        <v>600000</v>
      </c>
      <c r="N1218" t="str" s="431" cm="1">
        <f t="array" ref="N1218">IF(B1218&gt;0,_xlfn.IFERROR(VLOOKUP(C1212,'Boats Data Sheet 2026'!$C$3:$I$60,7,0)*'Direct Costs 2026'!$C$36,"N/A"),"N/A")</f>
        <v>N/A</v>
      </c>
      <c r="O1218" t="str" s="431" cm="1">
        <f t="array" ref="O1218">IF(B1218&gt;0,IF(OR(VLOOKUP(C1212,'Boats Data Sheet 2026'!$C$3:$F$60,4,0)="Own",VLOOKUP(C1212,'Boats Data Sheet 2026'!$C$3:$F$60,4,0)="Management"),('Direct Costs 2026'!$C$37+'Direct Costs 2026'!$C$39),"N/A"),"N/A")</f>
        <v>N/A</v>
      </c>
      <c r="P1218" s="423">
        <v>0</v>
      </c>
      <c r="Q1218" s="423" cm="1">
        <f t="array" ref="Q1218">_xlfn.IFERROR(C1218+SUM(E1218:P1218),"N/A")</f>
        <v>25659500</v>
      </c>
      <c r="R1218" s="424"/>
      <c r="S1218" s="423" cm="1">
        <f t="array" ref="S1218">IF(B1218&gt;0,'Allocation OH and Target 2026'!$E$31,"N/A")</f>
        <v>3100447.15769812</v>
      </c>
      <c r="T1218" s="423" cm="1">
        <f t="array" ref="T1218">IF(B1218&gt;0,VLOOKUP(C1212,'Allocation OH and Target 2026'!$C$35:$S$91,16,0),"N/A")</f>
        <v>0</v>
      </c>
      <c r="U1218" s="423" cm="1">
        <f t="array" ref="U1218">_xlfn.IFERROR((S1218+T1218),"N/A")</f>
        <v>3100447.15769812</v>
      </c>
      <c r="V1218" s="424"/>
      <c r="W1218" s="423" cm="1">
        <f t="array" ref="W1218">_xlfn.IFERROR(U1218+Q1218,"N/A")</f>
        <v>28759947.1576981</v>
      </c>
      <c r="X1218" s="423" cm="1">
        <f t="array" ref="X1218">_xlfn.IFERROR(W1218*0.5%,"N/A")</f>
        <v>143799.735788491</v>
      </c>
      <c r="Y1218" s="423" cm="1">
        <f t="array" ref="Y1218">_xlfn.IFERROR(W1218*25%,"N/A")</f>
        <v>7189986.78942453</v>
      </c>
      <c r="Z1218" s="425" cm="1">
        <f t="array" ref="Z1218">IF(B1218&gt;0,SUM(W1218:Y1218),"N/A")</f>
        <v>36093733.6829111</v>
      </c>
      <c r="AA1218" s="425" cm="1">
        <f t="array" ref="AA1218">_xlfn.IFERROR((Z1218-Z1217),"N/A")</f>
        <v>195780</v>
      </c>
      <c r="AB1218" s="424"/>
      <c r="AC1218" t="str" s="426" cm="1">
        <f t="array" ref="AC1218">IF(B1218=6,AVERAGE(Z1215:Z1220),"N/A")</f>
        <v>N/A</v>
      </c>
      <c r="AD1218" s="424"/>
      <c r="AE1218" s="423"/>
      <c r="AF1218" s="423"/>
      <c r="AG1218" s="423"/>
      <c r="AH1218" s="423"/>
      <c r="AI1218" s="423"/>
      <c r="AJ1218" s="423"/>
      <c r="AK1218" s="423"/>
      <c r="AL1218" s="423"/>
      <c r="AM1218" s="423"/>
      <c r="AN1218" s="427"/>
    </row>
    <row r="1219" ht="15" customHeight="1">
      <c r="A1219" s="12"/>
      <c r="B1219" s="428" cm="1">
        <f t="array" ref="B1219">IF(B1218=0,0,IF(B1218&lt;VLOOKUP(C1212,'Boats Data Sheet 2026'!$C$3:$H$60,6,0),B1218+1,0))</f>
        <v>5</v>
      </c>
      <c r="C1219" s="423" cm="1">
        <f t="array" ref="C1219">IF(B1219&gt;0,IF(VLOOKUP(C1212,'Boats Data Sheet 2026'!$C$3:$J$60,8,0)="N/A",0,VLOOKUP(C1212,'Boats Data Sheet 2026'!$C$3:$J$60,8,0)),"N/A")</f>
        <v>24000000</v>
      </c>
      <c r="D1219" s="429" cm="1">
        <f t="array" ref="D1219">IF(B1219&gt;7,2,IF(B1219=0,"N/A",1))</f>
        <v>1</v>
      </c>
      <c r="E1219" s="423" cm="1">
        <f t="array" ref="E1219">_xlfn.IFERROR(SUM('Direct Costs 2026'!$C$4:$C$5)*D1219,"N/A")</f>
        <v>875500</v>
      </c>
      <c r="F1219" s="423" cm="1">
        <f t="array" ref="F1219">_xlfn.IFERROR('Direct Costs 2026'!$C$43*B1219,"N/A")</f>
        <v>30000</v>
      </c>
      <c r="G1219" s="423">
        <v>0</v>
      </c>
      <c r="H1219" s="423">
        <v>0</v>
      </c>
      <c r="I1219" s="423">
        <v>0</v>
      </c>
      <c r="J1219" s="423">
        <v>0</v>
      </c>
      <c r="K1219" s="423" cm="1">
        <f t="array" ref="K1219">IF(B1219&gt;0,'Direct Costs 2026'!$C$26,"N/A")</f>
        <v>20000</v>
      </c>
      <c r="L1219" s="423" cm="1">
        <f t="array" ref="L1219">IF(B1219&gt;0,'Direct Costs 2026'!$C$23,"N/A")</f>
        <v>140000</v>
      </c>
      <c r="M1219" s="423" cm="1">
        <f t="array" ref="M1219">IF(B1219&gt;0,'Direct Costs 2026'!$C$45*B1219,"N/A")</f>
        <v>750000</v>
      </c>
      <c r="N1219" t="str" s="431" cm="1">
        <f t="array" ref="N1219">IF(B1219&gt;0,_xlfn.IFERROR(VLOOKUP(C1212,'Boats Data Sheet 2026'!$C$3:$I$60,7,0)*'Direct Costs 2026'!$C$36,"N/A"),"N/A")</f>
        <v>N/A</v>
      </c>
      <c r="O1219" t="str" s="431" cm="1">
        <f t="array" ref="O1219">IF(B1219&gt;0,IF(OR(VLOOKUP(C1212,'Boats Data Sheet 2026'!$C$3:$F$60,4,0)="Own",VLOOKUP(C1212,'Boats Data Sheet 2026'!$C$3:$F$60,4,0)="Management"),('Direct Costs 2026'!$C$37+'Direct Costs 2026'!$C$39),"N/A"),"N/A")</f>
        <v>N/A</v>
      </c>
      <c r="P1219" s="423">
        <v>0</v>
      </c>
      <c r="Q1219" s="423" cm="1">
        <f t="array" ref="Q1219">_xlfn.IFERROR(C1219+SUM(E1219:P1219),"N/A")</f>
        <v>25815500</v>
      </c>
      <c r="R1219" s="424"/>
      <c r="S1219" s="423" cm="1">
        <f t="array" ref="S1219">IF(B1219&gt;0,'Allocation OH and Target 2026'!$E$31,"N/A")</f>
        <v>3100447.15769812</v>
      </c>
      <c r="T1219" s="423" cm="1">
        <f t="array" ref="T1219">IF(B1219&gt;0,VLOOKUP(C1212,'Allocation OH and Target 2026'!$C$35:$S$91,16,0),"N/A")</f>
        <v>0</v>
      </c>
      <c r="U1219" s="423" cm="1">
        <f t="array" ref="U1219">_xlfn.IFERROR((S1219+T1219),"N/A")</f>
        <v>3100447.15769812</v>
      </c>
      <c r="V1219" s="424"/>
      <c r="W1219" s="423" cm="1">
        <f t="array" ref="W1219">_xlfn.IFERROR(U1219+Q1219,"N/A")</f>
        <v>28915947.1576981</v>
      </c>
      <c r="X1219" s="423" cm="1">
        <f t="array" ref="X1219">_xlfn.IFERROR(W1219*0.5%,"N/A")</f>
        <v>144579.735788491</v>
      </c>
      <c r="Y1219" s="423" cm="1">
        <f t="array" ref="Y1219">_xlfn.IFERROR(W1219*25%,"N/A")</f>
        <v>7228986.78942453</v>
      </c>
      <c r="Z1219" s="425" cm="1">
        <f t="array" ref="Z1219">IF(B1219&gt;0,SUM(W1219:Y1219),"N/A")</f>
        <v>36289513.6829111</v>
      </c>
      <c r="AA1219" s="425" cm="1">
        <f t="array" ref="AA1219">_xlfn.IFERROR((Z1219-Z1218),"N/A")</f>
        <v>195780</v>
      </c>
      <c r="AB1219" s="424"/>
      <c r="AC1219" t="str" s="426" cm="1">
        <f t="array" ref="AC1219">IF(B1219=6,AVERAGE(Z1215:Z1220),"N/A")</f>
        <v>N/A</v>
      </c>
      <c r="AD1219" s="424"/>
      <c r="AE1219" s="423"/>
      <c r="AF1219" s="423"/>
      <c r="AG1219" s="423"/>
      <c r="AH1219" s="423"/>
      <c r="AI1219" s="423"/>
      <c r="AJ1219" s="423"/>
      <c r="AK1219" s="423"/>
      <c r="AL1219" s="423"/>
      <c r="AM1219" s="423"/>
      <c r="AN1219" s="427"/>
    </row>
    <row r="1220" ht="15" customHeight="1">
      <c r="A1220" s="12"/>
      <c r="B1220" s="428" cm="1">
        <f t="array" ref="B1220">IF(B1219=0,0,IF(B1219&lt;VLOOKUP(C1212,'Boats Data Sheet 2026'!$C$3:$H$60,6,0),B1219+1,0))</f>
        <v>6</v>
      </c>
      <c r="C1220" s="423" cm="1">
        <f t="array" ref="C1220">IF(B1220&gt;0,IF(VLOOKUP(C1212,'Boats Data Sheet 2026'!$C$3:$J$60,8,0)="N/A",0,VLOOKUP(C1212,'Boats Data Sheet 2026'!$C$3:$J$60,8,0)),"N/A")</f>
        <v>24000000</v>
      </c>
      <c r="D1220" s="429" cm="1">
        <f t="array" ref="D1220">IF(B1220&gt;7,2,IF(B1220=0,"N/A",1))</f>
        <v>1</v>
      </c>
      <c r="E1220" s="423" cm="1">
        <f t="array" ref="E1220">_xlfn.IFERROR(SUM('Direct Costs 2026'!$C$4:$C$5)*D1220,"N/A")</f>
        <v>875500</v>
      </c>
      <c r="F1220" s="423" cm="1">
        <f t="array" ref="F1220">_xlfn.IFERROR('Direct Costs 2026'!$C$43*B1220,"N/A")</f>
        <v>36000</v>
      </c>
      <c r="G1220" s="423">
        <v>0</v>
      </c>
      <c r="H1220" s="423">
        <v>0</v>
      </c>
      <c r="I1220" s="423">
        <v>0</v>
      </c>
      <c r="J1220" s="423">
        <v>0</v>
      </c>
      <c r="K1220" s="423" cm="1">
        <f t="array" ref="K1220">IF(B1220&gt;0,'Direct Costs 2026'!$C$26,"N/A")</f>
        <v>20000</v>
      </c>
      <c r="L1220" s="423" cm="1">
        <f t="array" ref="L1220">IF(B1220&gt;0,'Direct Costs 2026'!$C$23,"N/A")</f>
        <v>140000</v>
      </c>
      <c r="M1220" s="423" cm="1">
        <f t="array" ref="M1220">IF(B1220&gt;0,'Direct Costs 2026'!$C$45*B1220,"N/A")</f>
        <v>900000</v>
      </c>
      <c r="N1220" t="str" s="431" cm="1">
        <f t="array" ref="N1220">IF(B1220&gt;0,_xlfn.IFERROR(VLOOKUP(C1212,'Boats Data Sheet 2026'!$C$3:$I$60,7,0)*'Direct Costs 2026'!$C$36,"N/A"),"N/A")</f>
        <v>N/A</v>
      </c>
      <c r="O1220" t="str" s="431" cm="1">
        <f t="array" ref="O1220">IF(B1220&gt;0,IF(OR(VLOOKUP(C1212,'Boats Data Sheet 2026'!$C$3:$F$60,4,0)="Own",VLOOKUP(C1212,'Boats Data Sheet 2026'!$C$3:$F$60,4,0)="Management"),('Direct Costs 2026'!$C$37+'Direct Costs 2026'!$C$39),"N/A"),"N/A")</f>
        <v>N/A</v>
      </c>
      <c r="P1220" s="423">
        <v>0</v>
      </c>
      <c r="Q1220" s="423" cm="1">
        <f t="array" ref="Q1220">_xlfn.IFERROR(C1220+SUM(E1220:P1220),"N/A")</f>
        <v>25971500</v>
      </c>
      <c r="R1220" s="424"/>
      <c r="S1220" s="423" cm="1">
        <f t="array" ref="S1220">IF(B1220&gt;0,'Allocation OH and Target 2026'!$E$31,"N/A")</f>
        <v>3100447.15769812</v>
      </c>
      <c r="T1220" s="423" cm="1">
        <f t="array" ref="T1220">IF(B1220&gt;0,VLOOKUP(C1212,'Allocation OH and Target 2026'!$C$35:$S$91,16,0),"N/A")</f>
        <v>0</v>
      </c>
      <c r="U1220" s="423" cm="1">
        <f t="array" ref="U1220">_xlfn.IFERROR((S1220+T1220),"N/A")</f>
        <v>3100447.15769812</v>
      </c>
      <c r="V1220" s="424"/>
      <c r="W1220" s="423" cm="1">
        <f t="array" ref="W1220">_xlfn.IFERROR(U1220+Q1220,"N/A")</f>
        <v>29071947.1576981</v>
      </c>
      <c r="X1220" s="423" cm="1">
        <f t="array" ref="X1220">_xlfn.IFERROR(W1220*0.5%,"N/A")</f>
        <v>145359.735788491</v>
      </c>
      <c r="Y1220" s="423" cm="1">
        <f t="array" ref="Y1220">_xlfn.IFERROR(W1220*25%,"N/A")</f>
        <v>7267986.78942453</v>
      </c>
      <c r="Z1220" s="425" cm="1">
        <f t="array" ref="Z1220">IF(B1220&gt;0,SUM(W1220:Y1220),"N/A")</f>
        <v>36485293.6829111</v>
      </c>
      <c r="AA1220" s="425" cm="1">
        <f t="array" ref="AA1220">_xlfn.IFERROR((Z1220-Z1219),"N/A")</f>
        <v>195780</v>
      </c>
      <c r="AB1220" s="424"/>
      <c r="AC1220" s="425" cm="1">
        <f t="array" ref="AC1220">IF(B1220=6,AVERAGE(Z1215:Z1220),"N/A")</f>
        <v>35995843.6829111</v>
      </c>
      <c r="AD1220" s="424"/>
      <c r="AE1220" s="423"/>
      <c r="AF1220" s="423"/>
      <c r="AG1220" s="423"/>
      <c r="AH1220" s="423"/>
      <c r="AI1220" s="423"/>
      <c r="AJ1220" s="423"/>
      <c r="AK1220" s="423"/>
      <c r="AL1220" s="423"/>
      <c r="AM1220" s="423"/>
      <c r="AN1220" s="427"/>
    </row>
    <row r="1221" ht="15" customHeight="1">
      <c r="A1221" s="12"/>
      <c r="B1221" s="428" cm="1">
        <f t="array" ref="B1221">IF(B1220=0,0,IF(B1220&lt;VLOOKUP(C1212,'Boats Data Sheet 2026'!$C$3:$H$60,6,0),B1220+1,0))</f>
        <v>7</v>
      </c>
      <c r="C1221" s="423" cm="1">
        <f t="array" ref="C1221">IF(B1221&gt;0,IF(VLOOKUP(C1212,'Boats Data Sheet 2026'!$C$3:$J$60,8,0)="N/A",0,VLOOKUP(C1212,'Boats Data Sheet 2026'!$C$3:$J$60,8,0)),"N/A")</f>
        <v>24000000</v>
      </c>
      <c r="D1221" s="429" cm="1">
        <f t="array" ref="D1221">IF(B1221&gt;7,2,IF(B1221=0,"N/A",1))</f>
        <v>1</v>
      </c>
      <c r="E1221" s="423" cm="1">
        <f t="array" ref="E1221">_xlfn.IFERROR(SUM('Direct Costs 2026'!$C$4:$C$5)*D1221,"N/A")</f>
        <v>875500</v>
      </c>
      <c r="F1221" s="423" cm="1">
        <f t="array" ref="F1221">_xlfn.IFERROR('Direct Costs 2026'!$C$43*B1221,"N/A")</f>
        <v>42000</v>
      </c>
      <c r="G1221" s="423">
        <v>0</v>
      </c>
      <c r="H1221" s="423">
        <v>0</v>
      </c>
      <c r="I1221" s="423">
        <v>0</v>
      </c>
      <c r="J1221" s="423">
        <v>0</v>
      </c>
      <c r="K1221" s="423" cm="1">
        <f t="array" ref="K1221">IF(B1221&gt;0,'Direct Costs 2026'!$C$26,"N/A")</f>
        <v>20000</v>
      </c>
      <c r="L1221" s="423" cm="1">
        <f t="array" ref="L1221">IF(B1221&gt;0,'Direct Costs 2026'!$C$23,"N/A")</f>
        <v>140000</v>
      </c>
      <c r="M1221" s="423" cm="1">
        <f t="array" ref="M1221">IF(B1221&gt;0,'Direct Costs 2026'!$C$45*B1221,"N/A")</f>
        <v>1050000</v>
      </c>
      <c r="N1221" t="str" s="431" cm="1">
        <f t="array" ref="N1221">IF(B1221&gt;0,_xlfn.IFERROR(VLOOKUP(C1212,'Boats Data Sheet 2026'!$C$3:$I$60,7,0)*'Direct Costs 2026'!$C$36,"N/A"),"N/A")</f>
        <v>N/A</v>
      </c>
      <c r="O1221" t="str" s="431" cm="1">
        <f t="array" ref="O1221">IF(B1221&gt;0,IF(OR(VLOOKUP(C1212,'Boats Data Sheet 2026'!$C$3:$F$60,4,0)="Own",VLOOKUP(C1212,'Boats Data Sheet 2026'!$C$3:$F$60,4,0)="Management"),('Direct Costs 2026'!$C$37+'Direct Costs 2026'!$C$39),"N/A"),"N/A")</f>
        <v>N/A</v>
      </c>
      <c r="P1221" s="423">
        <v>0</v>
      </c>
      <c r="Q1221" s="423" cm="1">
        <f t="array" ref="Q1221">_xlfn.IFERROR(C1221+SUM(E1221:P1221),"N/A")</f>
        <v>26127500</v>
      </c>
      <c r="R1221" s="424"/>
      <c r="S1221" s="423" cm="1">
        <f t="array" ref="S1221">IF(B1221&gt;0,'Allocation OH and Target 2026'!$E$31,"N/A")</f>
        <v>3100447.15769812</v>
      </c>
      <c r="T1221" s="423" cm="1">
        <f t="array" ref="T1221">IF(B1221&gt;0,VLOOKUP(C1212,'Allocation OH and Target 2026'!$C$35:$S$91,16,0),"N/A")</f>
        <v>0</v>
      </c>
      <c r="U1221" s="423" cm="1">
        <f t="array" ref="U1221">_xlfn.IFERROR((S1221+T1221),"N/A")</f>
        <v>3100447.15769812</v>
      </c>
      <c r="V1221" s="424"/>
      <c r="W1221" s="423" cm="1">
        <f t="array" ref="W1221">_xlfn.IFERROR(U1221+Q1221,"N/A")</f>
        <v>29227947.1576981</v>
      </c>
      <c r="X1221" s="423" cm="1">
        <f t="array" ref="X1221">_xlfn.IFERROR(W1221*0.5%,"N/A")</f>
        <v>146139.735788491</v>
      </c>
      <c r="Y1221" s="423" cm="1">
        <f t="array" ref="Y1221">_xlfn.IFERROR(W1221*25%,"N/A")</f>
        <v>7306986.78942453</v>
      </c>
      <c r="Z1221" s="425" cm="1">
        <f t="array" ref="Z1221">IF(B1221&gt;0,SUM(W1221:Y1221),"N/A")</f>
        <v>36681073.6829111</v>
      </c>
      <c r="AA1221" s="425" cm="1">
        <f t="array" ref="AA1221">_xlfn.IFERROR((Z1221-Z1220),"N/A")</f>
        <v>195780</v>
      </c>
      <c r="AB1221" s="424"/>
      <c r="AC1221" t="str" s="426" cm="1">
        <f t="array" ref="AC1221">IF(B1221=6,AVERAGE(Z1215:Z1220),"N/A")</f>
        <v>N/A</v>
      </c>
      <c r="AD1221" s="424"/>
      <c r="AE1221" s="423"/>
      <c r="AF1221" s="423"/>
      <c r="AG1221" s="423"/>
      <c r="AH1221" s="423"/>
      <c r="AI1221" s="423"/>
      <c r="AJ1221" s="423"/>
      <c r="AK1221" s="423"/>
      <c r="AL1221" s="423"/>
      <c r="AM1221" s="423"/>
      <c r="AN1221" s="427"/>
    </row>
    <row r="1222" ht="15" customHeight="1">
      <c r="A1222" s="12"/>
      <c r="B1222" s="428" cm="1">
        <f t="array" ref="B1222">IF(B1221=0,0,IF(B1221&lt;VLOOKUP(C1212,'Boats Data Sheet 2026'!$C$3:$H$60,6,0),B1221+1,0))</f>
        <v>8</v>
      </c>
      <c r="C1222" s="423" cm="1">
        <f t="array" ref="C1222">IF(B1222&gt;0,IF(VLOOKUP(C1212,'Boats Data Sheet 2026'!$C$3:$J$60,8,0)="N/A",0,VLOOKUP(C1212,'Boats Data Sheet 2026'!$C$3:$J$60,8,0)),"N/A")</f>
        <v>24000000</v>
      </c>
      <c r="D1222" s="429" cm="1">
        <f t="array" ref="D1222">IF(B1222&gt;7,2,IF(B1222=0,"N/A",1))</f>
        <v>2</v>
      </c>
      <c r="E1222" s="423" cm="1">
        <f t="array" ref="E1222">_xlfn.IFERROR(SUM('Direct Costs 2026'!$C$4:$C$5)*D1222,"N/A")</f>
        <v>1751000</v>
      </c>
      <c r="F1222" s="423" cm="1">
        <f t="array" ref="F1222">_xlfn.IFERROR('Direct Costs 2026'!$C$43*B1222,"N/A")</f>
        <v>48000</v>
      </c>
      <c r="G1222" s="423">
        <v>0</v>
      </c>
      <c r="H1222" s="423">
        <v>0</v>
      </c>
      <c r="I1222" s="423">
        <v>0</v>
      </c>
      <c r="J1222" s="423">
        <v>0</v>
      </c>
      <c r="K1222" s="423" cm="1">
        <f t="array" ref="K1222">IF(B1222&gt;0,'Direct Costs 2026'!$C$26,"N/A")</f>
        <v>20000</v>
      </c>
      <c r="L1222" s="423" cm="1">
        <f t="array" ref="L1222">IF(B1222&gt;0,'Direct Costs 2026'!$C$23,"N/A")</f>
        <v>140000</v>
      </c>
      <c r="M1222" s="423" cm="1">
        <f t="array" ref="M1222">IF(B1222&gt;0,'Direct Costs 2026'!$C$45*B1222,"N/A")</f>
        <v>1200000</v>
      </c>
      <c r="N1222" t="str" s="431" cm="1">
        <f t="array" ref="N1222">IF(B1222&gt;0,_xlfn.IFERROR(VLOOKUP(C1212,'Boats Data Sheet 2026'!$C$3:$I$60,7,0)*'Direct Costs 2026'!$C$36,"N/A"),"N/A")</f>
        <v>N/A</v>
      </c>
      <c r="O1222" t="str" s="431" cm="1">
        <f t="array" ref="O1222">IF(B1222&gt;0,IF(OR(VLOOKUP(C1212,'Boats Data Sheet 2026'!$C$3:$F$60,4,0)="Own",VLOOKUP(C1212,'Boats Data Sheet 2026'!$C$3:$F$60,4,0)="Management"),('Direct Costs 2026'!$C$37+'Direct Costs 2026'!$C$39),"N/A"),"N/A")</f>
        <v>N/A</v>
      </c>
      <c r="P1222" s="423">
        <v>0</v>
      </c>
      <c r="Q1222" s="423" cm="1">
        <f t="array" ref="Q1222">_xlfn.IFERROR(C1222+SUM(E1222:P1222),"N/A")</f>
        <v>27159000</v>
      </c>
      <c r="R1222" s="424"/>
      <c r="S1222" s="423" cm="1">
        <f t="array" ref="S1222">IF(B1222&gt;0,'Allocation OH and Target 2026'!$E$31,"N/A")</f>
        <v>3100447.15769812</v>
      </c>
      <c r="T1222" s="423" cm="1">
        <f t="array" ref="T1222">IF(B1222&gt;0,VLOOKUP(C1212,'Allocation OH and Target 2026'!$C$35:$S$91,16,0),"N/A")</f>
        <v>0</v>
      </c>
      <c r="U1222" s="423" cm="1">
        <f t="array" ref="U1222">_xlfn.IFERROR((S1222+T1222),"N/A")</f>
        <v>3100447.15769812</v>
      </c>
      <c r="V1222" s="424"/>
      <c r="W1222" s="423" cm="1">
        <f t="array" ref="W1222">_xlfn.IFERROR(U1222+Q1222,"N/A")</f>
        <v>30259447.1576981</v>
      </c>
      <c r="X1222" s="423" cm="1">
        <f t="array" ref="X1222">_xlfn.IFERROR(W1222*0.5%,"N/A")</f>
        <v>151297.235788491</v>
      </c>
      <c r="Y1222" s="423" cm="1">
        <f t="array" ref="Y1222">_xlfn.IFERROR(W1222*25%,"N/A")</f>
        <v>7564861.78942453</v>
      </c>
      <c r="Z1222" s="425" cm="1">
        <f t="array" ref="Z1222">IF(B1222&gt;0,SUM(W1222:Y1222),"N/A")</f>
        <v>37975606.1829111</v>
      </c>
      <c r="AA1222" s="425" cm="1">
        <f t="array" ref="AA1222">_xlfn.IFERROR((Z1222-Z1221),"N/A")</f>
        <v>1294532.5</v>
      </c>
      <c r="AB1222" s="424"/>
      <c r="AC1222" t="str" s="426" cm="1">
        <f t="array" ref="AC1222">IF(B1222=6,AVERAGE(Z1215:Z1220),"N/A")</f>
        <v>N/A</v>
      </c>
      <c r="AD1222" s="424"/>
      <c r="AE1222" s="423"/>
      <c r="AF1222" s="423"/>
      <c r="AG1222" s="423"/>
      <c r="AH1222" s="423"/>
      <c r="AI1222" s="423"/>
      <c r="AJ1222" s="423"/>
      <c r="AK1222" s="423"/>
      <c r="AL1222" s="423"/>
      <c r="AM1222" s="423"/>
      <c r="AN1222" s="427"/>
    </row>
    <row r="1223" ht="15" customHeight="1">
      <c r="A1223" s="12"/>
      <c r="B1223" s="428" cm="1">
        <f t="array" ref="B1223">IF(B1222=0,0,IF(B1222&lt;VLOOKUP(C1212,'Boats Data Sheet 2026'!$C$3:$H$60,6,0),B1222+1,0))</f>
        <v>9</v>
      </c>
      <c r="C1223" s="423" cm="1">
        <f t="array" ref="C1223">IF(B1223&gt;0,IF(VLOOKUP(C1212,'Boats Data Sheet 2026'!$C$3:$J$60,8,0)="N/A",0,VLOOKUP(C1212,'Boats Data Sheet 2026'!$C$3:$J$60,8,0)),"N/A")</f>
        <v>24000000</v>
      </c>
      <c r="D1223" s="429" cm="1">
        <f t="array" ref="D1223">IF(B1223&gt;7,2,IF(B1223=0,"N/A",1))</f>
        <v>2</v>
      </c>
      <c r="E1223" s="423" cm="1">
        <f t="array" ref="E1223">_xlfn.IFERROR(SUM('Direct Costs 2026'!$C$4:$C$5)*D1223,"N/A")</f>
        <v>1751000</v>
      </c>
      <c r="F1223" s="423" cm="1">
        <f t="array" ref="F1223">_xlfn.IFERROR('Direct Costs 2026'!$C$43*B1223,"N/A")</f>
        <v>54000</v>
      </c>
      <c r="G1223" s="423">
        <v>0</v>
      </c>
      <c r="H1223" s="423">
        <v>0</v>
      </c>
      <c r="I1223" s="423">
        <v>0</v>
      </c>
      <c r="J1223" s="423">
        <v>0</v>
      </c>
      <c r="K1223" s="423" cm="1">
        <f t="array" ref="K1223">IF(B1223&gt;0,'Direct Costs 2026'!$C$26,"N/A")</f>
        <v>20000</v>
      </c>
      <c r="L1223" s="423" cm="1">
        <f t="array" ref="L1223">IF(B1223&gt;0,'Direct Costs 2026'!$C$23,"N/A")</f>
        <v>140000</v>
      </c>
      <c r="M1223" s="423" cm="1">
        <f t="array" ref="M1223">IF(B1223&gt;0,'Direct Costs 2026'!$C$45*B1223,"N/A")</f>
        <v>1350000</v>
      </c>
      <c r="N1223" t="str" s="431" cm="1">
        <f t="array" ref="N1223">IF(B1223&gt;0,_xlfn.IFERROR(VLOOKUP(C1212,'Boats Data Sheet 2026'!$C$3:$I$60,7,0)*'Direct Costs 2026'!$C$36,"N/A"),"N/A")</f>
        <v>N/A</v>
      </c>
      <c r="O1223" t="str" s="431" cm="1">
        <f t="array" ref="O1223">IF(B1223&gt;0,IF(OR(VLOOKUP(C1212,'Boats Data Sheet 2026'!$C$3:$F$60,4,0)="Own",VLOOKUP(C1212,'Boats Data Sheet 2026'!$C$3:$F$60,4,0)="Management"),('Direct Costs 2026'!$C$37+'Direct Costs 2026'!$C$39),"N/A"),"N/A")</f>
        <v>N/A</v>
      </c>
      <c r="P1223" s="423">
        <v>0</v>
      </c>
      <c r="Q1223" s="423" cm="1">
        <f t="array" ref="Q1223">_xlfn.IFERROR(C1223+SUM(E1223:P1223),"N/A")</f>
        <v>27315000</v>
      </c>
      <c r="R1223" s="424"/>
      <c r="S1223" s="423" cm="1">
        <f t="array" ref="S1223">IF(B1223&gt;0,'Allocation OH and Target 2026'!$E$31,"N/A")</f>
        <v>3100447.15769812</v>
      </c>
      <c r="T1223" s="423" cm="1">
        <f t="array" ref="T1223">IF(B1223&gt;0,VLOOKUP(C1212,'Allocation OH and Target 2026'!$C$35:$S$91,16,0),"N/A")</f>
        <v>0</v>
      </c>
      <c r="U1223" s="423" cm="1">
        <f t="array" ref="U1223">_xlfn.IFERROR((S1223+T1223),"N/A")</f>
        <v>3100447.15769812</v>
      </c>
      <c r="V1223" s="424"/>
      <c r="W1223" s="423" cm="1">
        <f t="array" ref="W1223">_xlfn.IFERROR(U1223+Q1223,"N/A")</f>
        <v>30415447.1576981</v>
      </c>
      <c r="X1223" s="423" cm="1">
        <f t="array" ref="X1223">_xlfn.IFERROR(W1223*0.5%,"N/A")</f>
        <v>152077.235788491</v>
      </c>
      <c r="Y1223" s="423" cm="1">
        <f t="array" ref="Y1223">_xlfn.IFERROR(W1223*25%,"N/A")</f>
        <v>7603861.78942453</v>
      </c>
      <c r="Z1223" s="425" cm="1">
        <f t="array" ref="Z1223">IF(B1223&gt;0,SUM(W1223:Y1223),"N/A")</f>
        <v>38171386.1829111</v>
      </c>
      <c r="AA1223" s="425" cm="1">
        <f t="array" ref="AA1223">_xlfn.IFERROR((Z1223-Z1222),"N/A")</f>
        <v>195780</v>
      </c>
      <c r="AB1223" s="424"/>
      <c r="AC1223" t="str" s="426" cm="1">
        <f t="array" ref="AC1223">IF(B1223=6,AVERAGE(Z1215:Z1220),"N/A")</f>
        <v>N/A</v>
      </c>
      <c r="AD1223" s="424"/>
      <c r="AE1223" s="423"/>
      <c r="AF1223" s="423"/>
      <c r="AG1223" s="423"/>
      <c r="AH1223" s="423"/>
      <c r="AI1223" s="423"/>
      <c r="AJ1223" s="423"/>
      <c r="AK1223" s="423"/>
      <c r="AL1223" s="423"/>
      <c r="AM1223" s="423"/>
      <c r="AN1223" s="427"/>
    </row>
    <row r="1224" ht="15" customHeight="1">
      <c r="A1224" s="12"/>
      <c r="B1224" s="428" cm="1">
        <f t="array" ref="B1224">IF(B1223=0,0,IF(B1223&lt;VLOOKUP(C1212,'Boats Data Sheet 2026'!$C$3:$H$60,6,0),B1223+1,0))</f>
        <v>10</v>
      </c>
      <c r="C1224" s="423" cm="1">
        <f t="array" ref="C1224">IF(B1224&gt;0,IF(VLOOKUP(C1212,'Boats Data Sheet 2026'!$C$3:$J$60,8,0)="N/A",0,VLOOKUP(C1212,'Boats Data Sheet 2026'!$C$3:$J$60,8,0)),"N/A")</f>
        <v>24000000</v>
      </c>
      <c r="D1224" s="429" cm="1">
        <f t="array" ref="D1224">IF(B1224&gt;7,2,IF(B1224=0,"N/A",1))</f>
        <v>2</v>
      </c>
      <c r="E1224" s="423" cm="1">
        <f t="array" ref="E1224">_xlfn.IFERROR(SUM('Direct Costs 2026'!$C$4:$C$5)*D1224,"N/A")</f>
        <v>1751000</v>
      </c>
      <c r="F1224" s="423" cm="1">
        <f t="array" ref="F1224">_xlfn.IFERROR('Direct Costs 2026'!$C$43*B1224,"N/A")</f>
        <v>60000</v>
      </c>
      <c r="G1224" s="423">
        <v>0</v>
      </c>
      <c r="H1224" s="423">
        <v>0</v>
      </c>
      <c r="I1224" s="423">
        <v>0</v>
      </c>
      <c r="J1224" s="423">
        <v>0</v>
      </c>
      <c r="K1224" s="423" cm="1">
        <f t="array" ref="K1224">IF(B1224&gt;0,'Direct Costs 2026'!$C$26,"N/A")</f>
        <v>20000</v>
      </c>
      <c r="L1224" s="423" cm="1">
        <f t="array" ref="L1224">IF(B1224&gt;0,'Direct Costs 2026'!$C$23,"N/A")</f>
        <v>140000</v>
      </c>
      <c r="M1224" s="423" cm="1">
        <f t="array" ref="M1224">IF(B1224&gt;0,'Direct Costs 2026'!$C$45*B1224,"N/A")</f>
        <v>1500000</v>
      </c>
      <c r="N1224" t="str" s="431" cm="1">
        <f t="array" ref="N1224">IF(B1224&gt;0,_xlfn.IFERROR(VLOOKUP(C1212,'Boats Data Sheet 2026'!$C$3:$I$60,7,0)*'Direct Costs 2026'!$C$36,"N/A"),"N/A")</f>
        <v>N/A</v>
      </c>
      <c r="O1224" t="str" s="431" cm="1">
        <f t="array" ref="O1224">IF(B1224&gt;0,IF(OR(VLOOKUP(C1212,'Boats Data Sheet 2026'!$C$3:$F$60,4,0)="Own",VLOOKUP(C1212,'Boats Data Sheet 2026'!$C$3:$F$60,4,0)="Management"),('Direct Costs 2026'!$C$37+'Direct Costs 2026'!$C$39),"N/A"),"N/A")</f>
        <v>N/A</v>
      </c>
      <c r="P1224" s="423">
        <v>0</v>
      </c>
      <c r="Q1224" s="423" cm="1">
        <f t="array" ref="Q1224">_xlfn.IFERROR(C1224+SUM(E1224:P1224),"N/A")</f>
        <v>27471000</v>
      </c>
      <c r="R1224" s="424"/>
      <c r="S1224" s="423" cm="1">
        <f t="array" ref="S1224">IF(B1224&gt;0,'Allocation OH and Target 2026'!$E$31,"N/A")</f>
        <v>3100447.15769812</v>
      </c>
      <c r="T1224" s="423" cm="1">
        <f t="array" ref="T1224">IF(B1224&gt;0,VLOOKUP(C1212,'Allocation OH and Target 2026'!$C$35:$S$91,16,0),"N/A")</f>
        <v>0</v>
      </c>
      <c r="U1224" s="423" cm="1">
        <f t="array" ref="U1224">_xlfn.IFERROR((S1224+T1224),"N/A")</f>
        <v>3100447.15769812</v>
      </c>
      <c r="V1224" s="424"/>
      <c r="W1224" s="423" cm="1">
        <f t="array" ref="W1224">_xlfn.IFERROR(U1224+Q1224,"N/A")</f>
        <v>30571447.1576981</v>
      </c>
      <c r="X1224" s="423" cm="1">
        <f t="array" ref="X1224">_xlfn.IFERROR(W1224*0.5%,"N/A")</f>
        <v>152857.235788491</v>
      </c>
      <c r="Y1224" s="423" cm="1">
        <f t="array" ref="Y1224">_xlfn.IFERROR(W1224*25%,"N/A")</f>
        <v>7642861.78942453</v>
      </c>
      <c r="Z1224" s="425" cm="1">
        <f t="array" ref="Z1224">IF(B1224&gt;0,SUM(W1224:Y1224),"N/A")</f>
        <v>38367166.1829111</v>
      </c>
      <c r="AA1224" s="425" cm="1">
        <f t="array" ref="AA1224">_xlfn.IFERROR((Z1224-Z1223),"N/A")</f>
        <v>195780</v>
      </c>
      <c r="AB1224" s="424"/>
      <c r="AC1224" t="str" s="426" cm="1">
        <f t="array" ref="AC1224">IF(B1224=6,AVERAGE(Z1215:Z1220),"N/A")</f>
        <v>N/A</v>
      </c>
      <c r="AD1224" s="424"/>
      <c r="AE1224" s="423"/>
      <c r="AF1224" s="423"/>
      <c r="AG1224" s="423"/>
      <c r="AH1224" s="423"/>
      <c r="AI1224" s="423"/>
      <c r="AJ1224" s="423"/>
      <c r="AK1224" s="423"/>
      <c r="AL1224" s="423"/>
      <c r="AM1224" s="423"/>
      <c r="AN1224" s="427"/>
    </row>
    <row r="1225" ht="15" customHeight="1">
      <c r="A1225" s="12"/>
      <c r="B1225" s="428" cm="1">
        <f t="array" ref="B1225">IF(B1224=0,0,IF(B1224&lt;VLOOKUP(C1212,'Boats Data Sheet 2026'!$C$3:$H$60,6,0),B1224+1,0))</f>
        <v>11</v>
      </c>
      <c r="C1225" s="423" cm="1">
        <f t="array" ref="C1225">IF(B1225&gt;0,IF(VLOOKUP(C1212,'Boats Data Sheet 2026'!$C$3:$J$60,8,0)="N/A",0,VLOOKUP(C1212,'Boats Data Sheet 2026'!$C$3:$J$60,8,0)),"N/A")</f>
        <v>24000000</v>
      </c>
      <c r="D1225" s="429" cm="1">
        <f t="array" ref="D1225">IF(B1225&gt;7,2,IF(B1225=0,"N/A",1))</f>
        <v>2</v>
      </c>
      <c r="E1225" s="423" cm="1">
        <f t="array" ref="E1225">_xlfn.IFERROR(SUM('Direct Costs 2026'!$C$4:$C$5)*D1225,"N/A")</f>
        <v>1751000</v>
      </c>
      <c r="F1225" s="423" cm="1">
        <f t="array" ref="F1225">_xlfn.IFERROR('Direct Costs 2026'!$C$43*B1225,"N/A")</f>
        <v>66000</v>
      </c>
      <c r="G1225" s="423">
        <v>0</v>
      </c>
      <c r="H1225" s="423">
        <v>0</v>
      </c>
      <c r="I1225" s="423">
        <v>0</v>
      </c>
      <c r="J1225" s="423">
        <v>0</v>
      </c>
      <c r="K1225" s="423" cm="1">
        <f t="array" ref="K1225">IF(B1225&gt;0,'Direct Costs 2026'!$C$26,"N/A")</f>
        <v>20000</v>
      </c>
      <c r="L1225" s="423" cm="1">
        <f t="array" ref="L1225">IF(B1225&gt;0,'Direct Costs 2026'!$C$23,"N/A")</f>
        <v>140000</v>
      </c>
      <c r="M1225" s="423" cm="1">
        <f t="array" ref="M1225">IF(B1225&gt;0,'Direct Costs 2026'!$C$45*B1225,"N/A")</f>
        <v>1650000</v>
      </c>
      <c r="N1225" t="str" s="431" cm="1">
        <f t="array" ref="N1225">IF(B1225&gt;0,_xlfn.IFERROR(VLOOKUP(C1212,'Boats Data Sheet 2026'!$C$3:$I$60,7,0)*'Direct Costs 2026'!$C$36,"N/A"),"N/A")</f>
        <v>N/A</v>
      </c>
      <c r="O1225" t="str" s="431" cm="1">
        <f t="array" ref="O1225">IF(B1225&gt;0,IF(OR(VLOOKUP(C1212,'Boats Data Sheet 2026'!$C$3:$F$60,4,0)="Own",VLOOKUP(C1212,'Boats Data Sheet 2026'!$C$3:$F$60,4,0)="Management"),('Direct Costs 2026'!$C$37+'Direct Costs 2026'!$C$39),"N/A"),"N/A")</f>
        <v>N/A</v>
      </c>
      <c r="P1225" s="423">
        <v>0</v>
      </c>
      <c r="Q1225" s="423" cm="1">
        <f t="array" ref="Q1225">_xlfn.IFERROR(C1225+SUM(E1225:P1225),"N/A")</f>
        <v>27627000</v>
      </c>
      <c r="R1225" s="424"/>
      <c r="S1225" s="423" cm="1">
        <f t="array" ref="S1225">IF(B1225&gt;0,'Allocation OH and Target 2026'!$E$31,"N/A")</f>
        <v>3100447.15769812</v>
      </c>
      <c r="T1225" s="423" cm="1">
        <f t="array" ref="T1225">IF(B1225&gt;0,VLOOKUP(C1212,'Allocation OH and Target 2026'!$C$35:$S$91,16,0),"N/A")</f>
        <v>0</v>
      </c>
      <c r="U1225" s="423" cm="1">
        <f t="array" ref="U1225">_xlfn.IFERROR((S1225+T1225),"N/A")</f>
        <v>3100447.15769812</v>
      </c>
      <c r="V1225" s="424"/>
      <c r="W1225" s="423" cm="1">
        <f t="array" ref="W1225">_xlfn.IFERROR(U1225+Q1225,"N/A")</f>
        <v>30727447.1576981</v>
      </c>
      <c r="X1225" s="423" cm="1">
        <f t="array" ref="X1225">_xlfn.IFERROR(W1225*0.5%,"N/A")</f>
        <v>153637.235788491</v>
      </c>
      <c r="Y1225" s="423" cm="1">
        <f t="array" ref="Y1225">_xlfn.IFERROR(W1225*25%,"N/A")</f>
        <v>7681861.78942453</v>
      </c>
      <c r="Z1225" s="425" cm="1">
        <f t="array" ref="Z1225">IF(B1225&gt;0,SUM(W1225:Y1225),"N/A")</f>
        <v>38562946.1829111</v>
      </c>
      <c r="AA1225" s="425" cm="1">
        <f t="array" ref="AA1225">_xlfn.IFERROR((Z1225-Z1224),"N/A")</f>
        <v>195780</v>
      </c>
      <c r="AB1225" s="424"/>
      <c r="AC1225" t="str" s="426" cm="1">
        <f t="array" ref="AC1225">IF(B1225=6,AVERAGE(Z1215:Z1220),"N/A")</f>
        <v>N/A</v>
      </c>
      <c r="AD1225" s="424"/>
      <c r="AE1225" s="423"/>
      <c r="AF1225" s="423"/>
      <c r="AG1225" s="423"/>
      <c r="AH1225" s="423"/>
      <c r="AI1225" s="423"/>
      <c r="AJ1225" s="423"/>
      <c r="AK1225" s="423"/>
      <c r="AL1225" s="423"/>
      <c r="AM1225" s="423"/>
      <c r="AN1225" s="427"/>
    </row>
    <row r="1226" ht="15" customHeight="1">
      <c r="A1226" s="12"/>
      <c r="B1226" s="428" cm="1">
        <f t="array" ref="B1226">IF(B1225=0,0,IF(B1225&lt;VLOOKUP(C1212,'Boats Data Sheet 2026'!$C$3:$H$60,6,0),B1225+1,0))</f>
        <v>12</v>
      </c>
      <c r="C1226" s="423" cm="1">
        <f t="array" ref="C1226">IF(B1226&gt;0,IF(VLOOKUP(C1212,'Boats Data Sheet 2026'!$C$3:$J$60,8,0)="N/A",0,VLOOKUP(C1212,'Boats Data Sheet 2026'!$C$3:$J$60,8,0)),"N/A")</f>
        <v>24000000</v>
      </c>
      <c r="D1226" s="429" cm="1">
        <f t="array" ref="D1226">IF(B1226&gt;7,2,IF(B1226=0,"N/A",1))</f>
        <v>2</v>
      </c>
      <c r="E1226" s="423" cm="1">
        <f t="array" ref="E1226">_xlfn.IFERROR(SUM('Direct Costs 2026'!$C$4:$C$5)*D1226,"N/A")</f>
        <v>1751000</v>
      </c>
      <c r="F1226" s="423" cm="1">
        <f t="array" ref="F1226">_xlfn.IFERROR('Direct Costs 2026'!$C$43*B1226,"N/A")</f>
        <v>72000</v>
      </c>
      <c r="G1226" s="423">
        <v>0</v>
      </c>
      <c r="H1226" s="423">
        <v>0</v>
      </c>
      <c r="I1226" s="423">
        <v>0</v>
      </c>
      <c r="J1226" s="423">
        <v>0</v>
      </c>
      <c r="K1226" s="423" cm="1">
        <f t="array" ref="K1226">IF(B1226&gt;0,'Direct Costs 2026'!$C$26,"N/A")</f>
        <v>20000</v>
      </c>
      <c r="L1226" s="423" cm="1">
        <f t="array" ref="L1226">IF(B1226&gt;0,'Direct Costs 2026'!$C$23,"N/A")</f>
        <v>140000</v>
      </c>
      <c r="M1226" s="423" cm="1">
        <f t="array" ref="M1226">IF(B1226&gt;0,'Direct Costs 2026'!$C$45*B1226,"N/A")</f>
        <v>1800000</v>
      </c>
      <c r="N1226" t="str" s="431" cm="1">
        <f t="array" ref="N1226">IF(B1226&gt;0,_xlfn.IFERROR(VLOOKUP(C1212,'Boats Data Sheet 2026'!$C$3:$I$60,7,0)*'Direct Costs 2026'!$C$36,"N/A"),"N/A")</f>
        <v>N/A</v>
      </c>
      <c r="O1226" t="str" s="431" cm="1">
        <f t="array" ref="O1226">IF(B1226&gt;0,IF(OR(VLOOKUP(C1212,'Boats Data Sheet 2026'!$C$3:$F$60,4,0)="Own",VLOOKUP(C1212,'Boats Data Sheet 2026'!$C$3:$F$60,4,0)="Management"),('Direct Costs 2026'!$C$37+'Direct Costs 2026'!$C$39),"N/A"),"N/A")</f>
        <v>N/A</v>
      </c>
      <c r="P1226" s="423">
        <v>0</v>
      </c>
      <c r="Q1226" s="423" cm="1">
        <f t="array" ref="Q1226">_xlfn.IFERROR(C1226+SUM(E1226:P1226),"N/A")</f>
        <v>27783000</v>
      </c>
      <c r="R1226" s="424"/>
      <c r="S1226" s="423" cm="1">
        <f t="array" ref="S1226">IF(B1226&gt;0,'Allocation OH and Target 2026'!$E$31,"N/A")</f>
        <v>3100447.15769812</v>
      </c>
      <c r="T1226" s="423" cm="1">
        <f t="array" ref="T1226">IF(B1226&gt;0,VLOOKUP(C1212,'Allocation OH and Target 2026'!$C$35:$S$91,16,0),"N/A")</f>
        <v>0</v>
      </c>
      <c r="U1226" s="423" cm="1">
        <f t="array" ref="U1226">_xlfn.IFERROR((S1226+T1226),"N/A")</f>
        <v>3100447.15769812</v>
      </c>
      <c r="V1226" s="424"/>
      <c r="W1226" s="423" cm="1">
        <f t="array" ref="W1226">_xlfn.IFERROR(U1226+Q1226,"N/A")</f>
        <v>30883447.1576981</v>
      </c>
      <c r="X1226" s="423" cm="1">
        <f t="array" ref="X1226">_xlfn.IFERROR(W1226*0.5%,"N/A")</f>
        <v>154417.235788491</v>
      </c>
      <c r="Y1226" s="423" cm="1">
        <f t="array" ref="Y1226">_xlfn.IFERROR(W1226*25%,"N/A")</f>
        <v>7720861.78942453</v>
      </c>
      <c r="Z1226" s="425" cm="1">
        <f t="array" ref="Z1226">IF(B1226&gt;0,SUM(W1226:Y1226),"N/A")</f>
        <v>38758726.1829111</v>
      </c>
      <c r="AA1226" s="425" cm="1">
        <f t="array" ref="AA1226">_xlfn.IFERROR((Z1226-Z1225),"N/A")</f>
        <v>195780</v>
      </c>
      <c r="AB1226" s="424"/>
      <c r="AC1226" t="str" s="426" cm="1">
        <f t="array" ref="AC1226">IF(B1226=6,AVERAGE(Z1215:Z1220),"N/A")</f>
        <v>N/A</v>
      </c>
      <c r="AD1226" s="424"/>
      <c r="AE1226" s="423"/>
      <c r="AF1226" s="423"/>
      <c r="AG1226" s="423"/>
      <c r="AH1226" s="423"/>
      <c r="AI1226" s="423"/>
      <c r="AJ1226" s="423"/>
      <c r="AK1226" s="423"/>
      <c r="AL1226" s="423"/>
      <c r="AM1226" s="423"/>
      <c r="AN1226" s="427"/>
    </row>
    <row r="1227" ht="15" customHeight="1">
      <c r="A1227" s="12"/>
      <c r="B1227" s="428" cm="1">
        <f t="array" ref="B1227">IF(B1226=0,0,IF(B1226&lt;VLOOKUP(C1212,'Boats Data Sheet 2026'!$C$3:$H$60,6,0),B1226+1,0))</f>
        <v>13</v>
      </c>
      <c r="C1227" s="423" cm="1">
        <f t="array" ref="C1227">IF(B1227&gt;0,IF(VLOOKUP(C1212,'Boats Data Sheet 2026'!$C$3:$J$60,8,0)="N/A",0,VLOOKUP(C1212,'Boats Data Sheet 2026'!$C$3:$J$60,8,0)),"N/A")</f>
        <v>24000000</v>
      </c>
      <c r="D1227" s="429" cm="1">
        <f t="array" ref="D1227">IF(B1227&gt;7,2,IF(B1227=0,"N/A",1))</f>
        <v>2</v>
      </c>
      <c r="E1227" s="423" cm="1">
        <f t="array" ref="E1227">_xlfn.IFERROR(SUM('Direct Costs 2026'!$C$4:$C$5)*D1227,"N/A")</f>
        <v>1751000</v>
      </c>
      <c r="F1227" s="423" cm="1">
        <f t="array" ref="F1227">_xlfn.IFERROR('Direct Costs 2026'!$C$43*B1227,"N/A")</f>
        <v>78000</v>
      </c>
      <c r="G1227" s="423">
        <v>0</v>
      </c>
      <c r="H1227" s="423">
        <v>0</v>
      </c>
      <c r="I1227" s="423">
        <v>0</v>
      </c>
      <c r="J1227" s="423">
        <v>0</v>
      </c>
      <c r="K1227" s="423" cm="1">
        <f t="array" ref="K1227">IF(B1227&gt;0,'Direct Costs 2026'!$C$26,"N/A")</f>
        <v>20000</v>
      </c>
      <c r="L1227" s="423" cm="1">
        <f t="array" ref="L1227">IF(B1227&gt;0,'Direct Costs 2026'!$C$23,"N/A")</f>
        <v>140000</v>
      </c>
      <c r="M1227" s="423" cm="1">
        <f t="array" ref="M1227">IF(B1227&gt;0,'Direct Costs 2026'!$C$45*B1227,"N/A")</f>
        <v>1950000</v>
      </c>
      <c r="N1227" t="str" s="431" cm="1">
        <f t="array" ref="N1227">IF(B1227&gt;0,_xlfn.IFERROR(VLOOKUP(C1212,'Boats Data Sheet 2026'!$C$3:$I$60,7,0)*'Direct Costs 2026'!$C$36,"N/A"),"N/A")</f>
        <v>N/A</v>
      </c>
      <c r="O1227" t="str" s="431" cm="1">
        <f t="array" ref="O1227">IF(B1227&gt;0,IF(OR(VLOOKUP(C1212,'Boats Data Sheet 2026'!$C$3:$F$60,4,0)="Own",VLOOKUP(C1212,'Boats Data Sheet 2026'!$C$3:$F$60,4,0)="Management"),('Direct Costs 2026'!$C$37+'Direct Costs 2026'!$C$39),"N/A"),"N/A")</f>
        <v>N/A</v>
      </c>
      <c r="P1227" s="423">
        <v>0</v>
      </c>
      <c r="Q1227" s="423" cm="1">
        <f t="array" ref="Q1227">_xlfn.IFERROR(C1227+SUM(E1227:P1227),"N/A")</f>
        <v>27939000</v>
      </c>
      <c r="R1227" s="424"/>
      <c r="S1227" s="423" cm="1">
        <f t="array" ref="S1227">IF(B1227&gt;0,'Allocation OH and Target 2026'!$E$31,"N/A")</f>
        <v>3100447.15769812</v>
      </c>
      <c r="T1227" s="423" cm="1">
        <f t="array" ref="T1227">IF(B1227&gt;0,VLOOKUP(C1212,'Allocation OH and Target 2026'!$C$35:$S$91,16,0),"N/A")</f>
        <v>0</v>
      </c>
      <c r="U1227" s="423" cm="1">
        <f t="array" ref="U1227">_xlfn.IFERROR((S1227+T1227),"N/A")</f>
        <v>3100447.15769812</v>
      </c>
      <c r="V1227" s="424"/>
      <c r="W1227" s="423" cm="1">
        <f t="array" ref="W1227">_xlfn.IFERROR(U1227+Q1227,"N/A")</f>
        <v>31039447.1576981</v>
      </c>
      <c r="X1227" s="423" cm="1">
        <f t="array" ref="X1227">_xlfn.IFERROR(W1227*0.5%,"N/A")</f>
        <v>155197.235788491</v>
      </c>
      <c r="Y1227" s="423" cm="1">
        <f t="array" ref="Y1227">_xlfn.IFERROR(W1227*25%,"N/A")</f>
        <v>7759861.78942453</v>
      </c>
      <c r="Z1227" s="425" cm="1">
        <f t="array" ref="Z1227">IF(B1227&gt;0,SUM(W1227:Y1227),"N/A")</f>
        <v>38954506.1829111</v>
      </c>
      <c r="AA1227" s="425" cm="1">
        <f t="array" ref="AA1227">_xlfn.IFERROR((Z1227-Z1226),"N/A")</f>
        <v>195780</v>
      </c>
      <c r="AB1227" s="424"/>
      <c r="AC1227" t="str" s="426" cm="1">
        <f t="array" ref="AC1227">IF(B1227=6,AVERAGE(Z1215:Z1220),"N/A")</f>
        <v>N/A</v>
      </c>
      <c r="AD1227" s="424"/>
      <c r="AE1227" s="423"/>
      <c r="AF1227" s="423"/>
      <c r="AG1227" s="423"/>
      <c r="AH1227" s="423"/>
      <c r="AI1227" s="423"/>
      <c r="AJ1227" s="423"/>
      <c r="AK1227" s="423"/>
      <c r="AL1227" s="423"/>
      <c r="AM1227" s="423"/>
      <c r="AN1227" s="427"/>
    </row>
    <row r="1228" ht="15" customHeight="1">
      <c r="A1228" s="12"/>
      <c r="B1228" s="428" cm="1">
        <f t="array" ref="B1228">IF(B1227=0,0,IF(B1227&lt;VLOOKUP(C1212,'Boats Data Sheet 2026'!$C$3:$H$60,6,0),B1227+1,0))</f>
        <v>14</v>
      </c>
      <c r="C1228" s="423" cm="1">
        <f t="array" ref="C1228">IF(B1228&gt;0,IF(VLOOKUP(C1212,'Boats Data Sheet 2026'!$C$3:$J$60,8,0)="N/A",0,VLOOKUP(C1212,'Boats Data Sheet 2026'!$C$3:$J$60,8,0)),"N/A")</f>
        <v>24000000</v>
      </c>
      <c r="D1228" s="430" cm="1">
        <f t="array" ref="D1228">IF(B1228&gt;7,2,IF(B1228=0,"N/A",1))</f>
        <v>2</v>
      </c>
      <c r="E1228" s="423" cm="1">
        <f t="array" ref="E1228">_xlfn.IFERROR(SUM('Direct Costs 2026'!$C$4:$C$5)*D1228,"N/A")</f>
        <v>1751000</v>
      </c>
      <c r="F1228" s="423" cm="1">
        <f t="array" ref="F1228">_xlfn.IFERROR('Direct Costs 2026'!$C$43*B1228,"N/A")</f>
        <v>84000</v>
      </c>
      <c r="G1228" s="423">
        <v>0</v>
      </c>
      <c r="H1228" s="423">
        <v>0</v>
      </c>
      <c r="I1228" s="423">
        <v>0</v>
      </c>
      <c r="J1228" s="423">
        <v>0</v>
      </c>
      <c r="K1228" s="423" cm="1">
        <f t="array" ref="K1228">IF(B1228&gt;0,'Direct Costs 2026'!$C$26,"N/A")</f>
        <v>20000</v>
      </c>
      <c r="L1228" s="423" cm="1">
        <f t="array" ref="L1228">IF(B1228&gt;0,'Direct Costs 2026'!$C$23,"N/A")</f>
        <v>140000</v>
      </c>
      <c r="M1228" s="423" cm="1">
        <f t="array" ref="M1228">IF(B1228&gt;0,'Direct Costs 2026'!$C$45*B1228,"N/A")</f>
        <v>2100000</v>
      </c>
      <c r="N1228" t="str" s="431" cm="1">
        <f t="array" ref="N1228">IF(B1228&gt;0,_xlfn.IFERROR(VLOOKUP(C1212,'Boats Data Sheet 2026'!$C$3:$I$60,7,0)*'Direct Costs 2026'!$C$36,"N/A"),"N/A")</f>
        <v>N/A</v>
      </c>
      <c r="O1228" t="str" s="431" cm="1">
        <f t="array" ref="O1228">IF(B1228&gt;0,IF(OR(VLOOKUP(C1212,'Boats Data Sheet 2026'!$C$3:$F$60,4,0)="Own",VLOOKUP(C1212,'Boats Data Sheet 2026'!$C$3:$F$60,4,0)="Management"),('Direct Costs 2026'!$C$37+'Direct Costs 2026'!$C$39),"N/A"),"N/A")</f>
        <v>N/A</v>
      </c>
      <c r="P1228" s="423">
        <v>0</v>
      </c>
      <c r="Q1228" s="423" cm="1">
        <f t="array" ref="Q1228">_xlfn.IFERROR(C1228+SUM(E1228:P1228),"N/A")</f>
        <v>28095000</v>
      </c>
      <c r="R1228" s="424"/>
      <c r="S1228" s="423" cm="1">
        <f t="array" ref="S1228">IF(B1228&gt;0,'Allocation OH and Target 2026'!$E$31,"N/A")</f>
        <v>3100447.15769812</v>
      </c>
      <c r="T1228" s="423" cm="1">
        <f t="array" ref="T1228">IF(B1228&gt;0,VLOOKUP(C1212,'Allocation OH and Target 2026'!$C$35:$S$91,16,0),"N/A")</f>
        <v>0</v>
      </c>
      <c r="U1228" s="423" cm="1">
        <f t="array" ref="U1228">_xlfn.IFERROR((S1228+T1228),"N/A")</f>
        <v>3100447.15769812</v>
      </c>
      <c r="V1228" s="424"/>
      <c r="W1228" s="423" cm="1">
        <f t="array" ref="W1228">_xlfn.IFERROR(U1228+Q1228,"N/A")</f>
        <v>31195447.1576981</v>
      </c>
      <c r="X1228" s="423" cm="1">
        <f t="array" ref="X1228">_xlfn.IFERROR(W1228*0.5%,"N/A")</f>
        <v>155977.235788491</v>
      </c>
      <c r="Y1228" s="423" cm="1">
        <f t="array" ref="Y1228">_xlfn.IFERROR(W1228*25%,"N/A")</f>
        <v>7798861.78942453</v>
      </c>
      <c r="Z1228" s="425" cm="1">
        <f t="array" ref="Z1228">IF(B1228&gt;0,SUM(W1228:Y1228),"N/A")</f>
        <v>39150286.1829111</v>
      </c>
      <c r="AA1228" s="425" cm="1">
        <f t="array" ref="AA1228">_xlfn.IFERROR((Z1228-Z1227),"N/A")</f>
        <v>195780</v>
      </c>
      <c r="AB1228" s="424"/>
      <c r="AC1228" t="str" s="426" cm="1">
        <f t="array" ref="AC1228">IF(B1228=6,AVERAGE(Z1215:Z1220),"N/A")</f>
        <v>N/A</v>
      </c>
      <c r="AD1228" s="424"/>
      <c r="AE1228" s="423"/>
      <c r="AF1228" s="423"/>
      <c r="AG1228" s="423"/>
      <c r="AH1228" s="423"/>
      <c r="AI1228" s="423"/>
      <c r="AJ1228" s="423"/>
      <c r="AK1228" s="423"/>
      <c r="AL1228" s="423"/>
      <c r="AM1228" s="423"/>
      <c r="AN1228" s="427"/>
    </row>
    <row r="1229" ht="15" customHeight="1">
      <c r="A1229" s="12"/>
      <c r="B1229" s="428" cm="1">
        <f t="array" ref="B1229">IF(B1228=0,0,IF(B1228&lt;VLOOKUP(C1212,'Boats Data Sheet 2026'!$C$3:$H$60,6,0),B1228+1,0))</f>
        <v>15</v>
      </c>
      <c r="C1229" s="423" cm="1">
        <f t="array" ref="C1229">IF(B1229&gt;0,IF(VLOOKUP(C1212,'Boats Data Sheet 2026'!$C$3:$J$60,8,0)="N/A",0,VLOOKUP(C1212,'Boats Data Sheet 2026'!$C$3:$J$60,8,0)),"N/A")</f>
        <v>24000000</v>
      </c>
      <c r="D1229" s="430" cm="1">
        <f t="array" ref="D1229">IF(B1229&gt;7,2,IF(B1229=0,"N/A",1))</f>
        <v>2</v>
      </c>
      <c r="E1229" s="423" cm="1">
        <f t="array" ref="E1229">_xlfn.IFERROR(SUM('Direct Costs 2026'!$C$4:$C$5)*D1229,"N/A")</f>
        <v>1751000</v>
      </c>
      <c r="F1229" s="423" cm="1">
        <f t="array" ref="F1229">_xlfn.IFERROR('Direct Costs 2026'!$C$43*B1229,"N/A")</f>
        <v>90000</v>
      </c>
      <c r="G1229" s="423">
        <v>0</v>
      </c>
      <c r="H1229" s="423">
        <v>0</v>
      </c>
      <c r="I1229" s="423">
        <v>0</v>
      </c>
      <c r="J1229" s="423">
        <v>0</v>
      </c>
      <c r="K1229" s="423" cm="1">
        <f t="array" ref="K1229">IF(B1229&gt;0,'Direct Costs 2026'!$C$26,"N/A")</f>
        <v>20000</v>
      </c>
      <c r="L1229" s="423" cm="1">
        <f t="array" ref="L1229">IF(B1229&gt;0,'Direct Costs 2026'!$C$23,"N/A")</f>
        <v>140000</v>
      </c>
      <c r="M1229" s="423" cm="1">
        <f t="array" ref="M1229">IF(B1229&gt;0,'Direct Costs 2026'!$C$45*B1229,"N/A")</f>
        <v>2250000</v>
      </c>
      <c r="N1229" t="str" s="431" cm="1">
        <f t="array" ref="N1229">IF(B1229&gt;0,_xlfn.IFERROR(VLOOKUP(C1212,'Boats Data Sheet 2026'!$C$3:$I$60,7,0)*'Direct Costs 2026'!$C$36,"N/A"),"N/A")</f>
        <v>N/A</v>
      </c>
      <c r="O1229" t="str" s="431" cm="1">
        <f t="array" ref="O1229">IF(B1229&gt;0,IF(OR(VLOOKUP(C1212,'Boats Data Sheet 2026'!$C$3:$F$60,4,0)="Own",VLOOKUP(C1212,'Boats Data Sheet 2026'!$C$3:$F$60,4,0)="Management"),('Direct Costs 2026'!$C$37+'Direct Costs 2026'!$C$39),"N/A"),"N/A")</f>
        <v>N/A</v>
      </c>
      <c r="P1229" s="423">
        <v>0</v>
      </c>
      <c r="Q1229" s="423" cm="1">
        <f t="array" ref="Q1229">_xlfn.IFERROR(C1229+SUM(E1229:P1229),"N/A")</f>
        <v>28251000</v>
      </c>
      <c r="R1229" s="424"/>
      <c r="S1229" s="423" cm="1">
        <f t="array" ref="S1229">IF(B1229&gt;0,'Allocation OH and Target 2026'!$E$31,"N/A")</f>
        <v>3100447.15769812</v>
      </c>
      <c r="T1229" s="423" cm="1">
        <f t="array" ref="T1229">IF(B1229&gt;0,VLOOKUP(C1212,'Allocation OH and Target 2026'!$C$35:$S$91,16,0),"N/A")</f>
        <v>0</v>
      </c>
      <c r="U1229" s="423" cm="1">
        <f t="array" ref="U1229">_xlfn.IFERROR((S1229+T1229),"N/A")</f>
        <v>3100447.15769812</v>
      </c>
      <c r="V1229" s="424"/>
      <c r="W1229" s="423" cm="1">
        <f t="array" ref="W1229">_xlfn.IFERROR(U1229+Q1229,"N/A")</f>
        <v>31351447.1576981</v>
      </c>
      <c r="X1229" s="423" cm="1">
        <f t="array" ref="X1229">_xlfn.IFERROR(W1229*0.5%,"N/A")</f>
        <v>156757.235788491</v>
      </c>
      <c r="Y1229" s="423" cm="1">
        <f t="array" ref="Y1229">_xlfn.IFERROR(W1229*25%,"N/A")</f>
        <v>7837861.78942453</v>
      </c>
      <c r="Z1229" s="425" cm="1">
        <f t="array" ref="Z1229">IF(B1229&gt;0,SUM(W1229:Y1229),"N/A")</f>
        <v>39346066.1829111</v>
      </c>
      <c r="AA1229" s="425" cm="1">
        <f t="array" ref="AA1229">_xlfn.IFERROR((Z1229-Z1228),"N/A")</f>
        <v>195780</v>
      </c>
      <c r="AB1229" s="424"/>
      <c r="AC1229" t="str" s="426" cm="1">
        <f t="array" ref="AC1229">IF(B1229=6,AVERAGE(Z1215:Z1220),"N/A")</f>
        <v>N/A</v>
      </c>
      <c r="AD1229" s="424"/>
      <c r="AE1229" s="423"/>
      <c r="AF1229" s="423"/>
      <c r="AG1229" s="423"/>
      <c r="AH1229" s="423"/>
      <c r="AI1229" s="423"/>
      <c r="AJ1229" s="423"/>
      <c r="AK1229" s="423"/>
      <c r="AL1229" s="423"/>
      <c r="AM1229" s="423"/>
      <c r="AN1229" s="427"/>
    </row>
    <row r="1230" ht="15" customHeight="1">
      <c r="A1230" s="12"/>
      <c r="B1230" s="428" cm="1">
        <f t="array" ref="B1230">IF(B1229=0,0,IF(B1229&lt;VLOOKUP(C1212,'Boats Data Sheet 2026'!$C$3:$H$60,6,0),B1229+1,0))</f>
        <v>16</v>
      </c>
      <c r="C1230" s="423" cm="1">
        <f t="array" ref="C1230">IF(B1230&gt;0,IF(VLOOKUP(C1212,'Boats Data Sheet 2026'!$C$3:$J$60,8,0)="N/A",0,VLOOKUP(C1212,'Boats Data Sheet 2026'!$C$3:$J$60,8,0)),"N/A")</f>
        <v>24000000</v>
      </c>
      <c r="D1230" s="430" cm="1">
        <f t="array" ref="D1230">IF(B1230&gt;7,2,IF(B1230=0,"N/A",1))</f>
        <v>2</v>
      </c>
      <c r="E1230" s="423" cm="1">
        <f t="array" ref="E1230">_xlfn.IFERROR(SUM('Direct Costs 2026'!$C$4:$C$5)*D1230,"N/A")</f>
        <v>1751000</v>
      </c>
      <c r="F1230" s="423" cm="1">
        <f t="array" ref="F1230">_xlfn.IFERROR('Direct Costs 2026'!$C$43*B1230,"N/A")</f>
        <v>96000</v>
      </c>
      <c r="G1230" s="423">
        <v>0</v>
      </c>
      <c r="H1230" s="423">
        <v>0</v>
      </c>
      <c r="I1230" s="423">
        <v>0</v>
      </c>
      <c r="J1230" s="423">
        <v>0</v>
      </c>
      <c r="K1230" s="423" cm="1">
        <f t="array" ref="K1230">IF(B1230&gt;0,'Direct Costs 2026'!$C$26,"N/A")</f>
        <v>20000</v>
      </c>
      <c r="L1230" s="423" cm="1">
        <f t="array" ref="L1230">IF(B1230&gt;0,'Direct Costs 2026'!$C$23,"N/A")</f>
        <v>140000</v>
      </c>
      <c r="M1230" s="423" cm="1">
        <f t="array" ref="M1230">IF(B1230&gt;0,'Direct Costs 2026'!$C$45*B1230,"N/A")</f>
        <v>2400000</v>
      </c>
      <c r="N1230" t="str" s="431" cm="1">
        <f t="array" ref="N1230">IF(B1230&gt;0,_xlfn.IFERROR(VLOOKUP(C1212,'Boats Data Sheet 2026'!$C$3:$I$60,7,0)*'Direct Costs 2026'!$C$36,"N/A"),"N/A")</f>
        <v>N/A</v>
      </c>
      <c r="O1230" t="str" s="431" cm="1">
        <f t="array" ref="O1230">IF(B1230&gt;0,IF(OR(VLOOKUP(C1212,'Boats Data Sheet 2026'!$C$3:$F$60,4,0)="Own",VLOOKUP(C1212,'Boats Data Sheet 2026'!$C$3:$F$60,4,0)="Management"),('Direct Costs 2026'!$C$37+'Direct Costs 2026'!$C$39),"N/A"),"N/A")</f>
        <v>N/A</v>
      </c>
      <c r="P1230" s="423">
        <v>0</v>
      </c>
      <c r="Q1230" s="423" cm="1">
        <f t="array" ref="Q1230">_xlfn.IFERROR(C1230+SUM(E1230:P1230),"N/A")</f>
        <v>28407000</v>
      </c>
      <c r="R1230" s="424"/>
      <c r="S1230" s="423" cm="1">
        <f t="array" ref="S1230">IF(B1230&gt;0,'Allocation OH and Target 2026'!$E$31,"N/A")</f>
        <v>3100447.15769812</v>
      </c>
      <c r="T1230" s="423" cm="1">
        <f t="array" ref="T1230">IF(B1230&gt;0,VLOOKUP(C1212,'Allocation OH and Target 2026'!$C$35:$S$91,16,0),"N/A")</f>
        <v>0</v>
      </c>
      <c r="U1230" s="423" cm="1">
        <f t="array" ref="U1230">_xlfn.IFERROR((S1230+T1230),"N/A")</f>
        <v>3100447.15769812</v>
      </c>
      <c r="V1230" s="424"/>
      <c r="W1230" s="423" cm="1">
        <f t="array" ref="W1230">_xlfn.IFERROR(U1230+Q1230,"N/A")</f>
        <v>31507447.1576981</v>
      </c>
      <c r="X1230" s="423" cm="1">
        <f t="array" ref="X1230">_xlfn.IFERROR(W1230*0.5%,"N/A")</f>
        <v>157537.235788491</v>
      </c>
      <c r="Y1230" s="423" cm="1">
        <f t="array" ref="Y1230">_xlfn.IFERROR(W1230*25%,"N/A")</f>
        <v>7876861.78942453</v>
      </c>
      <c r="Z1230" s="425" cm="1">
        <f t="array" ref="Z1230">IF(B1230&gt;0,SUM(W1230:Y1230),"N/A")</f>
        <v>39541846.1829111</v>
      </c>
      <c r="AA1230" s="425" cm="1">
        <f t="array" ref="AA1230">_xlfn.IFERROR((Z1230-Z1229),"N/A")</f>
        <v>195780</v>
      </c>
      <c r="AB1230" s="424"/>
      <c r="AC1230" t="str" s="426" cm="1">
        <f t="array" ref="AC1230">IF(B1230=6,AVERAGE(Z1215:Z1220),"N/A")</f>
        <v>N/A</v>
      </c>
      <c r="AD1230" s="424"/>
      <c r="AE1230" s="423"/>
      <c r="AF1230" s="423"/>
      <c r="AG1230" s="423"/>
      <c r="AH1230" s="423"/>
      <c r="AI1230" s="423"/>
      <c r="AJ1230" s="423"/>
      <c r="AK1230" s="423"/>
      <c r="AL1230" s="423"/>
      <c r="AM1230" s="423"/>
      <c r="AN1230" s="427"/>
    </row>
    <row r="1231" ht="15" customHeight="1">
      <c r="A1231" s="12"/>
      <c r="B1231" s="428" cm="1">
        <f t="array" ref="B1231">IF(B1230=0,0,IF(B1230&lt;VLOOKUP(C1212,'Boats Data Sheet 2026'!$C$3:$H$60,6,0),B1230+1,0))</f>
        <v>17</v>
      </c>
      <c r="C1231" s="423" cm="1">
        <f t="array" ref="C1231">IF(B1231&gt;0,IF(VLOOKUP(C1212,'Boats Data Sheet 2026'!$C$3:$J$60,8,0)="N/A",0,VLOOKUP(C1212,'Boats Data Sheet 2026'!$C$3:$J$60,8,0)),"N/A")</f>
        <v>24000000</v>
      </c>
      <c r="D1231" s="430" cm="1">
        <f t="array" ref="D1231">IF(B1231&gt;7,2,IF(B1231=0,"N/A",1))</f>
        <v>2</v>
      </c>
      <c r="E1231" s="423" cm="1">
        <f t="array" ref="E1231">_xlfn.IFERROR(SUM('Direct Costs 2026'!$C$4:$C$5)*D1231,"N/A")</f>
        <v>1751000</v>
      </c>
      <c r="F1231" s="423" cm="1">
        <f t="array" ref="F1231">_xlfn.IFERROR('Direct Costs 2026'!$C$43*B1231,"N/A")</f>
        <v>102000</v>
      </c>
      <c r="G1231" s="423">
        <v>0</v>
      </c>
      <c r="H1231" s="423">
        <v>0</v>
      </c>
      <c r="I1231" s="423">
        <v>0</v>
      </c>
      <c r="J1231" s="423">
        <v>0</v>
      </c>
      <c r="K1231" s="423" cm="1">
        <f t="array" ref="K1231">IF(B1231&gt;0,'Direct Costs 2026'!$C$26,"N/A")</f>
        <v>20000</v>
      </c>
      <c r="L1231" s="423" cm="1">
        <f t="array" ref="L1231">IF(B1231&gt;0,'Direct Costs 2026'!$C$23,"N/A")</f>
        <v>140000</v>
      </c>
      <c r="M1231" s="423" cm="1">
        <f t="array" ref="M1231">IF(B1231&gt;0,'Direct Costs 2026'!$C$45*B1231,"N/A")</f>
        <v>2550000</v>
      </c>
      <c r="N1231" t="str" s="431" cm="1">
        <f t="array" ref="N1231">IF(B1231&gt;0,_xlfn.IFERROR(VLOOKUP(C1212,'Boats Data Sheet 2026'!$C$3:$I$60,7,0)*'Direct Costs 2026'!$C$36,"N/A"),"N/A")</f>
        <v>N/A</v>
      </c>
      <c r="O1231" t="str" s="431" cm="1">
        <f t="array" ref="O1231">IF(B1231&gt;0,IF(OR(VLOOKUP(C1212,'Boats Data Sheet 2026'!$C$3:$F$60,4,0)="Own",VLOOKUP(C1212,'Boats Data Sheet 2026'!$C$3:$F$60,4,0)="Management"),('Direct Costs 2026'!$C$37+'Direct Costs 2026'!$C$39),"N/A"),"N/A")</f>
        <v>N/A</v>
      </c>
      <c r="P1231" s="423">
        <v>0</v>
      </c>
      <c r="Q1231" s="423" cm="1">
        <f t="array" ref="Q1231">_xlfn.IFERROR(C1231+SUM(E1231:P1231),"N/A")</f>
        <v>28563000</v>
      </c>
      <c r="R1231" s="424"/>
      <c r="S1231" s="423" cm="1">
        <f t="array" ref="S1231">IF(B1231&gt;0,'Allocation OH and Target 2026'!$E$31,"N/A")</f>
        <v>3100447.15769812</v>
      </c>
      <c r="T1231" s="423" cm="1">
        <f t="array" ref="T1231">IF(B1231&gt;0,VLOOKUP(C1212,'Allocation OH and Target 2026'!$C$35:$S$91,16,0),"N/A")</f>
        <v>0</v>
      </c>
      <c r="U1231" s="423" cm="1">
        <f t="array" ref="U1231">_xlfn.IFERROR((S1231+T1231),"N/A")</f>
        <v>3100447.15769812</v>
      </c>
      <c r="V1231" s="424"/>
      <c r="W1231" s="423" cm="1">
        <f t="array" ref="W1231">_xlfn.IFERROR(U1231+Q1231,"N/A")</f>
        <v>31663447.1576981</v>
      </c>
      <c r="X1231" s="423" cm="1">
        <f t="array" ref="X1231">_xlfn.IFERROR(W1231*0.5%,"N/A")</f>
        <v>158317.235788491</v>
      </c>
      <c r="Y1231" s="423" cm="1">
        <f t="array" ref="Y1231">_xlfn.IFERROR(W1231*25%,"N/A")</f>
        <v>7915861.78942453</v>
      </c>
      <c r="Z1231" s="425" cm="1">
        <f t="array" ref="Z1231">IF(B1231&gt;0,SUM(W1231:Y1231),"N/A")</f>
        <v>39737626.1829111</v>
      </c>
      <c r="AA1231" s="425" cm="1">
        <f t="array" ref="AA1231">_xlfn.IFERROR((Z1231-Z1230),"N/A")</f>
        <v>195780</v>
      </c>
      <c r="AB1231" s="424"/>
      <c r="AC1231" t="str" s="426" cm="1">
        <f t="array" ref="AC1231">IF(B1231=6,AVERAGE(Z1215:Z1220),"N/A")</f>
        <v>N/A</v>
      </c>
      <c r="AD1231" s="424"/>
      <c r="AE1231" s="423"/>
      <c r="AF1231" s="423"/>
      <c r="AG1231" s="423"/>
      <c r="AH1231" s="423"/>
      <c r="AI1231" s="423"/>
      <c r="AJ1231" s="423"/>
      <c r="AK1231" s="423"/>
      <c r="AL1231" s="423"/>
      <c r="AM1231" s="423"/>
      <c r="AN1231" s="427"/>
    </row>
    <row r="1232" ht="15" customHeight="1">
      <c r="A1232" s="12"/>
      <c r="B1232" s="428" cm="1">
        <f t="array" ref="B1232">IF(B1231=0,0,IF(B1231&lt;VLOOKUP(C1212,'Boats Data Sheet 2026'!$C$3:$H$60,6,0),B1231+1,0))</f>
        <v>18</v>
      </c>
      <c r="C1232" s="423" cm="1">
        <f t="array" ref="C1232">IF(B1232&gt;0,IF(VLOOKUP(C1212,'Boats Data Sheet 2026'!$C$3:$J$60,8,0)="N/A",0,VLOOKUP(C1212,'Boats Data Sheet 2026'!$C$3:$J$60,8,0)),"N/A")</f>
        <v>24000000</v>
      </c>
      <c r="D1232" s="430" cm="1">
        <f t="array" ref="D1232">IF(B1232&gt;7,2,IF(B1232=0,"N/A",1))</f>
        <v>2</v>
      </c>
      <c r="E1232" s="423" cm="1">
        <f t="array" ref="E1232">_xlfn.IFERROR(SUM('Direct Costs 2026'!$C$4:$C$5)*D1232,"N/A")</f>
        <v>1751000</v>
      </c>
      <c r="F1232" s="423" cm="1">
        <f t="array" ref="F1232">_xlfn.IFERROR('Direct Costs 2026'!$C$43*B1232,"N/A")</f>
        <v>108000</v>
      </c>
      <c r="G1232" s="423">
        <v>0</v>
      </c>
      <c r="H1232" s="423">
        <v>0</v>
      </c>
      <c r="I1232" s="423">
        <v>0</v>
      </c>
      <c r="J1232" s="423">
        <v>0</v>
      </c>
      <c r="K1232" s="423" cm="1">
        <f t="array" ref="K1232">IF(B1232&gt;0,'Direct Costs 2026'!$C$26,"N/A")</f>
        <v>20000</v>
      </c>
      <c r="L1232" s="423" cm="1">
        <f t="array" ref="L1232">IF(B1232&gt;0,'Direct Costs 2026'!$C$23,"N/A")</f>
        <v>140000</v>
      </c>
      <c r="M1232" s="423" cm="1">
        <f t="array" ref="M1232">IF(B1232&gt;0,'Direct Costs 2026'!$C$45*B1232,"N/A")</f>
        <v>2700000</v>
      </c>
      <c r="N1232" t="str" s="431" cm="1">
        <f t="array" ref="N1232">IF(B1232&gt;0,_xlfn.IFERROR(VLOOKUP(C1213,'Boats Data Sheet 2026'!$C$3:$I$60,7,0)*'Direct Costs 2026'!$C$36,"N/A"),"N/A")</f>
        <v>N/A</v>
      </c>
      <c r="O1232" t="str" s="431" cm="1">
        <f t="array" ref="O1232">IF(B1232&gt;0,IF(OR(VLOOKUP(C1212,'Boats Data Sheet 2026'!$C$3:$F$60,4,0)="Own",VLOOKUP(C1212,'Boats Data Sheet 2026'!$C$3:$F$60,4,0)="Management"),('Direct Costs 2026'!$C$37+'Direct Costs 2026'!$C$39),"N/A"),"N/A")</f>
        <v>N/A</v>
      </c>
      <c r="P1232" s="423">
        <v>0</v>
      </c>
      <c r="Q1232" s="423" cm="1">
        <f t="array" ref="Q1232">_xlfn.IFERROR(C1232+SUM(E1232:P1232),"N/A")</f>
        <v>28719000</v>
      </c>
      <c r="R1232" s="424"/>
      <c r="S1232" s="423" cm="1">
        <f t="array" ref="S1232">IF(B1232&gt;0,'Allocation OH and Target 2026'!$E$31,"N/A")</f>
        <v>3100447.15769812</v>
      </c>
      <c r="T1232" s="423" cm="1">
        <f t="array" ref="T1232">IF(B1232&gt;0,VLOOKUP(C1212,'Allocation OH and Target 2026'!$C$35:$S$91,16,0),"N/A")</f>
        <v>0</v>
      </c>
      <c r="U1232" s="423" cm="1">
        <f t="array" ref="U1232">_xlfn.IFERROR((S1232+T1232),"N/A")</f>
        <v>3100447.15769812</v>
      </c>
      <c r="V1232" s="424"/>
      <c r="W1232" s="423" cm="1">
        <f t="array" ref="W1232">_xlfn.IFERROR(U1232+Q1232,"N/A")</f>
        <v>31819447.1576981</v>
      </c>
      <c r="X1232" s="423" cm="1">
        <f t="array" ref="X1232">_xlfn.IFERROR(W1232*0.5%,"N/A")</f>
        <v>159097.235788491</v>
      </c>
      <c r="Y1232" s="423" cm="1">
        <f t="array" ref="Y1232">_xlfn.IFERROR(W1232*25%,"N/A")</f>
        <v>7954861.78942453</v>
      </c>
      <c r="Z1232" s="425" cm="1">
        <f t="array" ref="Z1232">IF(B1232&gt;0,SUM(W1232:Y1232),"N/A")</f>
        <v>39933406.1829111</v>
      </c>
      <c r="AA1232" s="425" cm="1">
        <f t="array" ref="AA1232">_xlfn.IFERROR((Z1232-Z1231),"N/A")</f>
        <v>195780</v>
      </c>
      <c r="AB1232" s="424"/>
      <c r="AC1232" t="str" s="426" cm="1">
        <f t="array" ref="AC1232">IF(B1232=6,AVERAGE(Z1216:Z1221),"N/A")</f>
        <v>N/A</v>
      </c>
      <c r="AD1232" s="424"/>
      <c r="AE1232" s="423"/>
      <c r="AF1232" s="423"/>
      <c r="AG1232" s="423"/>
      <c r="AH1232" s="423"/>
      <c r="AI1232" s="423"/>
      <c r="AJ1232" s="423"/>
      <c r="AK1232" s="423"/>
      <c r="AL1232" s="423"/>
      <c r="AM1232" s="423"/>
      <c r="AN1232" s="427"/>
    </row>
    <row r="1233" ht="15.5" customHeight="1">
      <c r="A1233" s="12"/>
      <c r="B1233" s="432" cm="1">
        <f t="array" ref="B1233">IF(B1232=0,0,IF(B1232&lt;VLOOKUP(C1212,'Boats Data Sheet 2026'!$C$3:$H$60,6,0),B1232+1,0))</f>
        <v>19</v>
      </c>
      <c r="C1233" s="434" cm="1">
        <f t="array" ref="C1233">IF(B1233&gt;0,IF(VLOOKUP(C1212,'Boats Data Sheet 2026'!$C$3:$J$60,8,0)="N/A",0,VLOOKUP(C1212,'Boats Data Sheet 2026'!$C$3:$J$60,8,0)),"N/A")</f>
        <v>24000000</v>
      </c>
      <c r="D1233" s="496" cm="1">
        <f t="array" ref="D1233">IF(B1233&gt;7,2,IF(B1233=0,"N/A",1))</f>
        <v>2</v>
      </c>
      <c r="E1233" s="434" cm="1">
        <f t="array" ref="E1233">_xlfn.IFERROR(SUM('Direct Costs 2026'!$C$4:$C$5)*D1233,"N/A")</f>
        <v>1751000</v>
      </c>
      <c r="F1233" s="434" cm="1">
        <f t="array" ref="F1233">_xlfn.IFERROR('Direct Costs 2026'!$C$43*B1233,"N/A")</f>
        <v>114000</v>
      </c>
      <c r="G1233" s="434">
        <v>0</v>
      </c>
      <c r="H1233" s="434">
        <v>0</v>
      </c>
      <c r="I1233" s="434">
        <v>0</v>
      </c>
      <c r="J1233" s="434">
        <v>0</v>
      </c>
      <c r="K1233" s="434" cm="1">
        <f t="array" ref="K1233">IF(B1233&gt;0,'Direct Costs 2026'!$C$26,"N/A")</f>
        <v>20000</v>
      </c>
      <c r="L1233" s="434" cm="1">
        <f t="array" ref="L1233">IF(B1233&gt;0,'Direct Costs 2026'!$C$23,"N/A")</f>
        <v>140000</v>
      </c>
      <c r="M1233" s="434" cm="1">
        <f t="array" ref="M1233">IF(B1233&gt;0,'Direct Costs 2026'!$C$45*B1233,"N/A")</f>
        <v>2850000</v>
      </c>
      <c r="N1233" t="str" s="433" cm="1">
        <f t="array" ref="N1233">IF(B1233&gt;0,_xlfn.IFERROR(VLOOKUP(C1212,'Boats Data Sheet 2026'!$C$3:$I$60,7,0)*'Direct Costs 2026'!$C$36,"N/A"),"N/A")</f>
        <v>N/A</v>
      </c>
      <c r="O1233" t="str" s="433" cm="1">
        <f t="array" ref="O1233">IF(B1233&gt;0,IF(OR(VLOOKUP(C1212,'Boats Data Sheet 2026'!$C$3:$F$60,4,0)="Own",VLOOKUP(C1212,'Boats Data Sheet 2026'!$C$3:$F$60,4,0)="Management"),('Direct Costs 2026'!$C$37+'Direct Costs 2026'!$C$39),"N/A"),"N/A")</f>
        <v>N/A</v>
      </c>
      <c r="P1233" s="434">
        <v>0</v>
      </c>
      <c r="Q1233" s="434" cm="1">
        <f t="array" ref="Q1233">_xlfn.IFERROR(C1233+SUM(E1233:P1233),"N/A")</f>
        <v>28875000</v>
      </c>
      <c r="R1233" s="435"/>
      <c r="S1233" s="434" cm="1">
        <f t="array" ref="S1233">IF(B1233&gt;0,'Allocation OH and Target 2026'!$E$31,"N/A")</f>
        <v>3100447.15769812</v>
      </c>
      <c r="T1233" s="434" cm="1">
        <f t="array" ref="T1233">IF(B1233&gt;0,VLOOKUP(C1212,'Allocation OH and Target 2026'!$C$35:$S$91,16,0),"N/A")</f>
        <v>0</v>
      </c>
      <c r="U1233" s="434" cm="1">
        <f t="array" ref="U1233">_xlfn.IFERROR((S1233+T1233),"N/A")</f>
        <v>3100447.15769812</v>
      </c>
      <c r="V1233" s="435"/>
      <c r="W1233" s="434" cm="1">
        <f t="array" ref="W1233">_xlfn.IFERROR(U1233+Q1233,"N/A")</f>
        <v>31975447.1576981</v>
      </c>
      <c r="X1233" s="434" cm="1">
        <f t="array" ref="X1233">_xlfn.IFERROR(W1233*0.5%,"N/A")</f>
        <v>159877.235788491</v>
      </c>
      <c r="Y1233" s="434" cm="1">
        <f t="array" ref="Y1233">_xlfn.IFERROR(W1233*25%,"N/A")</f>
        <v>7993861.78942453</v>
      </c>
      <c r="Z1233" s="497" cm="1">
        <f t="array" ref="Z1233">IF(B1233&gt;0,SUM(W1233:Y1233),"N/A")</f>
        <v>40129186.1829111</v>
      </c>
      <c r="AA1233" s="497" cm="1">
        <f t="array" ref="AA1233">_xlfn.IFERROR((Z1233-Z1232),"N/A")</f>
        <v>195780</v>
      </c>
      <c r="AB1233" s="435"/>
      <c r="AC1233" t="str" s="436" cm="1">
        <f t="array" ref="AC1233">IF(B1233=6,AVERAGE(Z1215:Z1220),"N/A")</f>
        <v>N/A</v>
      </c>
      <c r="AD1233" s="435"/>
      <c r="AE1233" s="434"/>
      <c r="AF1233" s="434"/>
      <c r="AG1233" s="434"/>
      <c r="AH1233" s="434"/>
      <c r="AI1233" s="434"/>
      <c r="AJ1233" s="434"/>
      <c r="AK1233" s="434"/>
      <c r="AL1233" s="434"/>
      <c r="AM1233" s="434"/>
      <c r="AN1233" s="437"/>
    </row>
    <row r="1234" ht="15" customHeight="1">
      <c r="A1234" s="32"/>
      <c r="B1234" s="124"/>
      <c r="C1234" s="124"/>
      <c r="D1234" s="124"/>
      <c r="E1234" s="124"/>
      <c r="F1234" s="124"/>
      <c r="G1234" s="124"/>
      <c r="H1234" s="124"/>
      <c r="I1234" s="124"/>
      <c r="J1234" s="124"/>
      <c r="K1234" s="124"/>
      <c r="L1234" s="124"/>
      <c r="M1234" s="124"/>
      <c r="N1234" s="124"/>
      <c r="O1234" s="124"/>
      <c r="P1234" s="124"/>
      <c r="Q1234" s="124"/>
      <c r="R1234" s="124"/>
      <c r="S1234" s="124"/>
      <c r="T1234" s="124"/>
      <c r="U1234" s="124"/>
      <c r="V1234" s="124"/>
      <c r="W1234" s="124"/>
      <c r="X1234" s="124"/>
      <c r="Y1234" s="124"/>
      <c r="Z1234" s="124"/>
      <c r="AA1234" s="124"/>
      <c r="AB1234" s="124"/>
      <c r="AC1234" s="124"/>
      <c r="AD1234" s="124"/>
      <c r="AE1234" s="124"/>
      <c r="AF1234" s="124"/>
      <c r="AG1234" s="124"/>
      <c r="AH1234" s="124"/>
      <c r="AI1234" s="124"/>
      <c r="AJ1234" s="124"/>
      <c r="AK1234" s="124"/>
      <c r="AL1234" s="124"/>
      <c r="AM1234" s="124"/>
      <c r="AN1234" s="313"/>
    </row>
    <row r="1235" ht="15" customHeight="1">
      <c r="A1235" s="32"/>
      <c r="B1235" s="35"/>
      <c r="C1235" s="35"/>
      <c r="D1235" s="35"/>
      <c r="E1235" s="35"/>
      <c r="F1235" s="35"/>
      <c r="G1235" s="35"/>
      <c r="H1235" s="35"/>
      <c r="I1235" s="35"/>
      <c r="J1235" s="35"/>
      <c r="K1235" s="35"/>
      <c r="L1235" s="35"/>
      <c r="M1235" s="35"/>
      <c r="N1235" s="35"/>
      <c r="O1235" s="35"/>
      <c r="P1235" s="35"/>
      <c r="Q1235" s="35"/>
      <c r="R1235" s="35"/>
      <c r="S1235" s="35"/>
      <c r="T1235" s="35"/>
      <c r="U1235" s="35"/>
      <c r="V1235" s="35"/>
      <c r="W1235" s="35"/>
      <c r="X1235" s="35"/>
      <c r="Y1235" s="35"/>
      <c r="Z1235" s="493"/>
      <c r="AA1235" s="35"/>
      <c r="AB1235" s="35"/>
      <c r="AC1235" s="35"/>
      <c r="AD1235" s="35"/>
      <c r="AE1235" s="35"/>
      <c r="AF1235" s="35"/>
      <c r="AG1235" s="35"/>
      <c r="AH1235" s="35"/>
      <c r="AI1235" s="35"/>
      <c r="AJ1235" s="35"/>
      <c r="AK1235" s="35"/>
      <c r="AL1235" s="35"/>
      <c r="AM1235" s="35"/>
      <c r="AN1235" s="442"/>
    </row>
    <row r="1236" ht="15.5" customHeight="1">
      <c r="A1236" s="395">
        <v>43</v>
      </c>
      <c r="B1236" t="s" s="396">
        <v>506</v>
      </c>
      <c r="C1236" t="s" s="397">
        <v>111</v>
      </c>
      <c r="D1236" s="502"/>
      <c r="E1236" s="398"/>
      <c r="F1236" s="398"/>
      <c r="G1236" s="398"/>
      <c r="H1236" s="398"/>
      <c r="I1236" s="398"/>
      <c r="J1236" s="398"/>
      <c r="K1236" s="398"/>
      <c r="L1236" s="398"/>
      <c r="M1236" s="398"/>
      <c r="N1236" s="398"/>
      <c r="O1236" s="398"/>
      <c r="P1236" s="398"/>
      <c r="Q1236" s="398"/>
      <c r="R1236" s="399"/>
      <c r="S1236" s="398"/>
      <c r="T1236" s="398"/>
      <c r="U1236" s="398"/>
      <c r="V1236" s="399"/>
      <c r="W1236" s="398"/>
      <c r="X1236" s="398"/>
      <c r="Y1236" s="398"/>
      <c r="Z1236" s="398"/>
      <c r="AA1236" s="398"/>
      <c r="AB1236" s="399"/>
      <c r="AC1236" s="398"/>
      <c r="AD1236" s="399"/>
      <c r="AE1236" t="s" s="397">
        <v>508</v>
      </c>
      <c r="AF1236" s="401" cm="1">
        <f t="array" ref="AF1236">AVERAGE(Q1239:Q1244)</f>
        <v>10081500</v>
      </c>
      <c r="AG1236" t="s" s="400">
        <v>509</v>
      </c>
      <c r="AH1236" s="401" cm="1">
        <f t="array" ref="AH1236">AVERAGE(Q1245:Q1252)-AF1236</f>
        <v>1764428.57142857</v>
      </c>
      <c r="AI1236" t="s" s="400">
        <v>510</v>
      </c>
      <c r="AJ1236" s="401" cm="1">
        <f t="array" ref="AJ1236">AVERAGE(Y1239:Y1246)</f>
        <v>3361846.16442453</v>
      </c>
      <c r="AK1236" t="s" s="397">
        <v>511</v>
      </c>
      <c r="AL1236" s="401" cm="1">
        <f t="array" ref="AL1236">AVERAGE(W1239:W1244)</f>
        <v>13181947.1576981</v>
      </c>
      <c r="AM1236" t="s" s="400">
        <v>512</v>
      </c>
      <c r="AN1236" s="402" cm="1">
        <f t="array" ref="AN1236">W1239</f>
        <v>12791947.1576981</v>
      </c>
    </row>
    <row r="1237" ht="15" customHeight="1">
      <c r="A1237" s="12"/>
      <c r="B1237" s="403"/>
      <c r="C1237" t="s" s="404">
        <v>513</v>
      </c>
      <c r="D1237" s="405"/>
      <c r="E1237" s="405"/>
      <c r="F1237" s="405"/>
      <c r="G1237" s="405"/>
      <c r="H1237" s="405"/>
      <c r="I1237" s="405"/>
      <c r="J1237" s="405"/>
      <c r="K1237" s="405"/>
      <c r="L1237" s="405"/>
      <c r="M1237" s="405"/>
      <c r="N1237" s="405"/>
      <c r="O1237" s="405"/>
      <c r="P1237" s="405"/>
      <c r="Q1237" s="406"/>
      <c r="R1237" s="407"/>
      <c r="S1237" t="s" s="404">
        <v>514</v>
      </c>
      <c r="T1237" s="405"/>
      <c r="U1237" s="406"/>
      <c r="V1237" s="407"/>
      <c r="W1237" t="s" s="404">
        <v>515</v>
      </c>
      <c r="X1237" s="405"/>
      <c r="Y1237" s="405"/>
      <c r="Z1237" s="405"/>
      <c r="AA1237" s="405"/>
      <c r="AB1237" s="408"/>
      <c r="AC1237" s="443"/>
      <c r="AD1237" s="410"/>
      <c r="AE1237" s="443"/>
      <c r="AF1237" s="443"/>
      <c r="AG1237" s="443"/>
      <c r="AH1237" s="443"/>
      <c r="AI1237" s="443"/>
      <c r="AJ1237" s="443"/>
      <c r="AK1237" s="443"/>
      <c r="AL1237" s="414"/>
      <c r="AM1237" s="415"/>
      <c r="AN1237" s="414"/>
    </row>
    <row r="1238" ht="46.25" customHeight="1">
      <c r="A1238" s="187"/>
      <c r="B1238" t="s" s="416">
        <v>517</v>
      </c>
      <c r="C1238" t="s" s="417">
        <v>518</v>
      </c>
      <c r="D1238" t="s" s="417">
        <v>519</v>
      </c>
      <c r="E1238" t="s" s="417">
        <v>520</v>
      </c>
      <c r="F1238" t="s" s="159">
        <v>521</v>
      </c>
      <c r="G1238" t="s" s="159">
        <v>522</v>
      </c>
      <c r="H1238" t="s" s="159">
        <v>553</v>
      </c>
      <c r="I1238" t="s" s="159">
        <v>524</v>
      </c>
      <c r="J1238" t="s" s="159">
        <v>525</v>
      </c>
      <c r="K1238" t="s" s="159">
        <v>526</v>
      </c>
      <c r="L1238" t="s" s="159">
        <v>527</v>
      </c>
      <c r="M1238" t="s" s="159">
        <v>528</v>
      </c>
      <c r="N1238" t="s" s="159">
        <v>529</v>
      </c>
      <c r="O1238" t="s" s="159">
        <v>530</v>
      </c>
      <c r="P1238" t="s" s="159">
        <v>531</v>
      </c>
      <c r="Q1238" t="s" s="159">
        <v>532</v>
      </c>
      <c r="R1238" s="418"/>
      <c r="S1238" t="s" s="159">
        <v>533</v>
      </c>
      <c r="T1238" t="s" s="159">
        <v>534</v>
      </c>
      <c r="U1238" t="s" s="159">
        <v>535</v>
      </c>
      <c r="V1238" s="418"/>
      <c r="W1238" t="s" s="159">
        <v>536</v>
      </c>
      <c r="X1238" t="s" s="159">
        <v>537</v>
      </c>
      <c r="Y1238" t="s" s="159">
        <v>538</v>
      </c>
      <c r="Z1238" t="s" s="159">
        <v>539</v>
      </c>
      <c r="AA1238" t="s" s="159">
        <v>121</v>
      </c>
      <c r="AB1238" s="419"/>
      <c r="AC1238" t="s" s="159">
        <v>39</v>
      </c>
      <c r="AD1238" s="419"/>
      <c r="AE1238" s="77"/>
      <c r="AF1238" s="77"/>
      <c r="AG1238" s="77"/>
      <c r="AH1238" s="77"/>
      <c r="AI1238" s="77"/>
      <c r="AJ1238" s="77"/>
      <c r="AK1238" s="77"/>
      <c r="AL1238" s="77"/>
      <c r="AM1238" s="77"/>
      <c r="AN1238" s="78"/>
    </row>
    <row r="1239" ht="15" customHeight="1">
      <c r="A1239" s="12"/>
      <c r="B1239" s="420">
        <v>1</v>
      </c>
      <c r="C1239" s="421" cm="1">
        <f t="array" ref="C1239">IF(B1239&gt;0,IF(VLOOKUP(C1236,'Boats Data Sheet 2026'!$C$3:$J$57,8,0)="N/A",0,VLOOKUP(C1236,'Boats Data Sheet 2026'!$C$3:$J$57,8,0)),"N/A")</f>
        <v>8500000</v>
      </c>
      <c r="D1239" s="422" cm="1">
        <f t="array" ref="D1239">IF(B1239&gt;7,2,IF(B1239=0,"N/A",1))</f>
        <v>1</v>
      </c>
      <c r="E1239" s="421" cm="1">
        <f t="array" ref="E1239">_xlfn.IFERROR(SUM('Direct Costs 2026'!$C$4:$C$5)*D1239,"N/A")</f>
        <v>875500</v>
      </c>
      <c r="F1239" s="423" cm="1">
        <f t="array" ref="F1239">_xlfn.IFERROR('Direct Costs 2026'!$C$43*B1239,"N/A")</f>
        <v>6000</v>
      </c>
      <c r="G1239" s="423">
        <v>0</v>
      </c>
      <c r="H1239" s="423">
        <v>0</v>
      </c>
      <c r="I1239" s="423">
        <v>0</v>
      </c>
      <c r="J1239" s="423">
        <v>0</v>
      </c>
      <c r="K1239" s="423" cm="1">
        <f t="array" ref="K1239">IF(B1239&gt;0,'Direct Costs 2026'!$C$26,"N/A")</f>
        <v>20000</v>
      </c>
      <c r="L1239" s="423" cm="1">
        <f t="array" ref="L1239">IF(B1239&gt;0,'Direct Costs 2026'!$C$23,"N/A")</f>
        <v>140000</v>
      </c>
      <c r="M1239" s="423" cm="1">
        <f t="array" ref="M1239">IF(B1239&gt;0,'Direct Costs 2026'!$C$45*B1239,"N/A")</f>
        <v>150000</v>
      </c>
      <c r="N1239" t="str" s="431" cm="1">
        <f t="array" ref="N1239">IF(B1239&gt;0,_xlfn.IFERROR(VLOOKUP(C1236,'Boats Data Sheet 2026'!$C$3:$I$57,7,0)*'Direct Costs 2026'!$C$36,"N/A"),"N/A")</f>
        <v>N/A</v>
      </c>
      <c r="O1239" t="str" s="431" cm="1">
        <f t="array" ref="O1239">IF(B1239&gt;0,IF(OR(VLOOKUP(C1236,'Boats Data Sheet 2026'!$C$3:$F$57,4,0)="Own",VLOOKUP(C1236,'Boats Data Sheet 2026'!$C$3:$F$57,4,0)="Management"),('Direct Costs 2026'!$C$37+'Direct Costs 2026'!$C$39),"N/A"),"N/A")</f>
        <v>N/A</v>
      </c>
      <c r="P1239" s="423">
        <v>0</v>
      </c>
      <c r="Q1239" s="423" cm="1">
        <f t="array" ref="Q1239">_xlfn.IFERROR(C1239+SUM(E1239:P1239),"N/A")</f>
        <v>9691500</v>
      </c>
      <c r="R1239" s="424"/>
      <c r="S1239" s="423" cm="1">
        <f t="array" ref="S1239">IF(B1239&gt;0,'Allocation OH and Target 2026'!$E$31,"N/A")</f>
        <v>3100447.15769812</v>
      </c>
      <c r="T1239" s="423" cm="1">
        <f t="array" ref="T1239">IF(B1239&gt;0,VLOOKUP(C1236,'Allocation OH and Target 2026'!$C$35:$S$87,16,0),"N/A")</f>
        <v>0</v>
      </c>
      <c r="U1239" s="423" cm="1">
        <f t="array" ref="U1239">_xlfn.IFERROR((S1239+T1239),"N/A")</f>
        <v>3100447.15769812</v>
      </c>
      <c r="V1239" s="424"/>
      <c r="W1239" s="423" cm="1">
        <f t="array" ref="W1239">_xlfn.IFERROR(U1239+Q1239,"N/A")</f>
        <v>12791947.1576981</v>
      </c>
      <c r="X1239" s="423" cm="1">
        <f t="array" ref="X1239">_xlfn.IFERROR(W1239*0.5%,"N/A")</f>
        <v>63959.7357884905</v>
      </c>
      <c r="Y1239" s="423" cm="1">
        <f t="array" ref="Y1239">_xlfn.IFERROR(W1239*25%,"N/A")</f>
        <v>3197986.78942453</v>
      </c>
      <c r="Z1239" s="425" cm="1">
        <f t="array" ref="Z1239">IF(B1239&gt;0,SUM(W1239:Y1239),"N/A")</f>
        <v>16053893.6829111</v>
      </c>
      <c r="AA1239" s="425">
        <v>0</v>
      </c>
      <c r="AB1239" s="424"/>
      <c r="AC1239" t="str" s="426" cm="1">
        <f t="array" ref="AC1239">IF(B1239=6,AVERAGE(Z1239:Z1244),"N/A")</f>
        <v>N/A</v>
      </c>
      <c r="AD1239" s="424"/>
      <c r="AE1239" s="423"/>
      <c r="AF1239" s="423"/>
      <c r="AG1239" s="423"/>
      <c r="AH1239" s="423"/>
      <c r="AI1239" s="423"/>
      <c r="AJ1239" s="423"/>
      <c r="AK1239" s="423"/>
      <c r="AL1239" s="423"/>
      <c r="AM1239" s="423"/>
      <c r="AN1239" s="427"/>
    </row>
    <row r="1240" ht="15" customHeight="1">
      <c r="A1240" s="12"/>
      <c r="B1240" s="428" cm="1">
        <f t="array" ref="B1240">IF(B1239=0,0,IF(B1239&lt;VLOOKUP(C1236,'Boats Data Sheet 2026'!$C$3:$H$57,6,0),B1239+1,0))</f>
        <v>2</v>
      </c>
      <c r="C1240" s="423" cm="1">
        <f t="array" ref="C1240">IF(B1240&gt;0,IF(VLOOKUP(C1236,'Boats Data Sheet 2026'!$C$3:$J$57,8,0)="N/A",0,VLOOKUP(C1236,'Boats Data Sheet 2026'!$C$3:$J$57,8,0)),"N/A")</f>
        <v>8500000</v>
      </c>
      <c r="D1240" s="429" cm="1">
        <f t="array" ref="D1240">IF(B1240&gt;7,2,IF(B1240=0,"N/A",1))</f>
        <v>1</v>
      </c>
      <c r="E1240" s="423" cm="1">
        <f t="array" ref="E1240">_xlfn.IFERROR(SUM('Direct Costs 2026'!$C$4:$C$5)*D1240,"N/A")</f>
        <v>875500</v>
      </c>
      <c r="F1240" s="423" cm="1">
        <f t="array" ref="F1240">_xlfn.IFERROR('Direct Costs 2026'!$C$43*B1240,"N/A")</f>
        <v>12000</v>
      </c>
      <c r="G1240" s="423">
        <v>0</v>
      </c>
      <c r="H1240" s="423">
        <v>0</v>
      </c>
      <c r="I1240" s="423">
        <v>0</v>
      </c>
      <c r="J1240" s="423">
        <v>0</v>
      </c>
      <c r="K1240" s="423" cm="1">
        <f t="array" ref="K1240">IF(B1240&gt;0,'Direct Costs 2026'!$C$26,"N/A")</f>
        <v>20000</v>
      </c>
      <c r="L1240" s="423" cm="1">
        <f t="array" ref="L1240">IF(B1240&gt;0,'Direct Costs 2026'!$C$23,"N/A")</f>
        <v>140000</v>
      </c>
      <c r="M1240" s="423" cm="1">
        <f t="array" ref="M1240">IF(B1240&gt;0,'Direct Costs 2026'!$C$45*B1240,"N/A")</f>
        <v>300000</v>
      </c>
      <c r="N1240" t="str" s="431" cm="1">
        <f t="array" ref="N1240">IF(B1240&gt;0,_xlfn.IFERROR(VLOOKUP(C1236,'Boats Data Sheet 2026'!$C$3:$I$57,7,0)*'Direct Costs 2026'!$C$36,"N/A"),"N/A")</f>
        <v>N/A</v>
      </c>
      <c r="O1240" t="str" s="431" cm="1">
        <f t="array" ref="O1240">IF(B1240&gt;0,IF(OR(VLOOKUP(C1236,'Boats Data Sheet 2026'!$C$3:$F$57,4,0)="Own",VLOOKUP(C1236,'Boats Data Sheet 2026'!$C$3:$F$57,4,0)="Management"),('Direct Costs 2026'!$C$37+'Direct Costs 2026'!$C$39),"N/A"),"N/A")</f>
        <v>N/A</v>
      </c>
      <c r="P1240" s="423">
        <v>0</v>
      </c>
      <c r="Q1240" s="423" cm="1">
        <f t="array" ref="Q1240">_xlfn.IFERROR(C1240+SUM(E1240:P1240),"N/A")</f>
        <v>9847500</v>
      </c>
      <c r="R1240" s="424"/>
      <c r="S1240" s="423" cm="1">
        <f t="array" ref="S1240">IF(B1240&gt;0,'Allocation OH and Target 2026'!$E$31,"N/A")</f>
        <v>3100447.15769812</v>
      </c>
      <c r="T1240" s="423" cm="1">
        <f t="array" ref="T1240">IF(B1240&gt;0,VLOOKUP(C1236,'Allocation OH and Target 2026'!$C$35:$S$87,16,0),"N/A")</f>
        <v>0</v>
      </c>
      <c r="U1240" s="423" cm="1">
        <f t="array" ref="U1240">_xlfn.IFERROR((S1240+T1240),"N/A")</f>
        <v>3100447.15769812</v>
      </c>
      <c r="V1240" s="424"/>
      <c r="W1240" s="423" cm="1">
        <f t="array" ref="W1240">_xlfn.IFERROR(U1240+Q1240,"N/A")</f>
        <v>12947947.1576981</v>
      </c>
      <c r="X1240" s="423" cm="1">
        <f t="array" ref="X1240">_xlfn.IFERROR(W1240*0.5%,"N/A")</f>
        <v>64739.7357884905</v>
      </c>
      <c r="Y1240" s="423" cm="1">
        <f t="array" ref="Y1240">_xlfn.IFERROR(W1240*25%,"N/A")</f>
        <v>3236986.78942453</v>
      </c>
      <c r="Z1240" s="425" cm="1">
        <f t="array" ref="Z1240">IF(B1240&gt;0,SUM(W1240:Y1240),"N/A")</f>
        <v>16249673.6829111</v>
      </c>
      <c r="AA1240" s="425" cm="1">
        <f t="array" ref="AA1240">_xlfn.IFERROR((Z1240-Z1239),"N/A")</f>
        <v>195780</v>
      </c>
      <c r="AB1240" s="424"/>
      <c r="AC1240" t="str" s="426" cm="1">
        <f t="array" ref="AC1240">IF(B1240=6,AVERAGE(Z1239:Z1244),"N/A")</f>
        <v>N/A</v>
      </c>
      <c r="AD1240" s="424"/>
      <c r="AE1240" s="423"/>
      <c r="AF1240" s="423"/>
      <c r="AG1240" s="423"/>
      <c r="AH1240" s="423"/>
      <c r="AI1240" s="423"/>
      <c r="AJ1240" s="423"/>
      <c r="AK1240" s="423"/>
      <c r="AL1240" s="423"/>
      <c r="AM1240" s="423"/>
      <c r="AN1240" s="427"/>
    </row>
    <row r="1241" ht="15" customHeight="1">
      <c r="A1241" s="12"/>
      <c r="B1241" s="428" cm="1">
        <f t="array" ref="B1241">IF(B1240=0,0,IF(B1240&lt;VLOOKUP(C1236,'Boats Data Sheet 2026'!$C$3:$H$57,6,0),B1240+1,0))</f>
        <v>3</v>
      </c>
      <c r="C1241" s="423" cm="1">
        <f t="array" ref="C1241">IF(B1241&gt;0,IF(VLOOKUP(C1236,'Boats Data Sheet 2026'!$C$3:$J$57,8,0)="N/A",0,VLOOKUP(C1236,'Boats Data Sheet 2026'!$C$3:$J$57,8,0)),"N/A")</f>
        <v>8500000</v>
      </c>
      <c r="D1241" s="429" cm="1">
        <f t="array" ref="D1241">IF(B1241&gt;7,2,IF(B1241=0,"N/A",1))</f>
        <v>1</v>
      </c>
      <c r="E1241" s="423" cm="1">
        <f t="array" ref="E1241">_xlfn.IFERROR(SUM('Direct Costs 2026'!$C$4:$C$5)*D1241,"N/A")</f>
        <v>875500</v>
      </c>
      <c r="F1241" s="423" cm="1">
        <f t="array" ref="F1241">_xlfn.IFERROR('Direct Costs 2026'!$C$43*B1241,"N/A")</f>
        <v>18000</v>
      </c>
      <c r="G1241" s="423">
        <v>0</v>
      </c>
      <c r="H1241" s="423">
        <v>0</v>
      </c>
      <c r="I1241" s="423">
        <v>0</v>
      </c>
      <c r="J1241" s="423">
        <v>0</v>
      </c>
      <c r="K1241" s="423" cm="1">
        <f t="array" ref="K1241">IF(B1241&gt;0,'Direct Costs 2026'!$C$26,"N/A")</f>
        <v>20000</v>
      </c>
      <c r="L1241" s="423" cm="1">
        <f t="array" ref="L1241">IF(B1241&gt;0,'Direct Costs 2026'!$C$23,"N/A")</f>
        <v>140000</v>
      </c>
      <c r="M1241" s="423" cm="1">
        <f t="array" ref="M1241">IF(B1241&gt;0,'Direct Costs 2026'!$C$45*B1241,"N/A")</f>
        <v>450000</v>
      </c>
      <c r="N1241" t="str" s="431" cm="1">
        <f t="array" ref="N1241">IF(B1241&gt;0,_xlfn.IFERROR(VLOOKUP(C1236,'Boats Data Sheet 2026'!$C$3:$I$57,7,0)*'Direct Costs 2026'!$C$36,"N/A"),"N/A")</f>
        <v>N/A</v>
      </c>
      <c r="O1241" t="str" s="431" cm="1">
        <f t="array" ref="O1241">IF(B1241&gt;0,IF(OR(VLOOKUP(C1236,'Boats Data Sheet 2026'!$C$3:$F$57,4,0)="Own",VLOOKUP(C1236,'Boats Data Sheet 2026'!$C$3:$F$57,4,0)="Management"),('Direct Costs 2026'!$C$37+'Direct Costs 2026'!$C$39),"N/A"),"N/A")</f>
        <v>N/A</v>
      </c>
      <c r="P1241" s="423">
        <v>0</v>
      </c>
      <c r="Q1241" s="423" cm="1">
        <f t="array" ref="Q1241">_xlfn.IFERROR(C1241+SUM(E1241:P1241),"N/A")</f>
        <v>10003500</v>
      </c>
      <c r="R1241" s="424"/>
      <c r="S1241" s="423" cm="1">
        <f t="array" ref="S1241">IF(B1241&gt;0,'Allocation OH and Target 2026'!$E$31,"N/A")</f>
        <v>3100447.15769812</v>
      </c>
      <c r="T1241" s="423" cm="1">
        <f t="array" ref="T1241">IF(B1241&gt;0,VLOOKUP(C1236,'Allocation OH and Target 2026'!$C$35:$S$87,16,0),"N/A")</f>
        <v>0</v>
      </c>
      <c r="U1241" s="423" cm="1">
        <f t="array" ref="U1241">_xlfn.IFERROR((S1241+T1241),"N/A")</f>
        <v>3100447.15769812</v>
      </c>
      <c r="V1241" s="424"/>
      <c r="W1241" s="423" cm="1">
        <f t="array" ref="W1241">_xlfn.IFERROR(U1241+Q1241,"N/A")</f>
        <v>13103947.1576981</v>
      </c>
      <c r="X1241" s="423" cm="1">
        <f t="array" ref="X1241">_xlfn.IFERROR(W1241*0.5%,"N/A")</f>
        <v>65519.7357884905</v>
      </c>
      <c r="Y1241" s="423" cm="1">
        <f t="array" ref="Y1241">_xlfn.IFERROR(W1241*25%,"N/A")</f>
        <v>3275986.78942453</v>
      </c>
      <c r="Z1241" s="425" cm="1">
        <f t="array" ref="Z1241">IF(B1241&gt;0,SUM(W1241:Y1241),"N/A")</f>
        <v>16445453.6829111</v>
      </c>
      <c r="AA1241" s="425" cm="1">
        <f t="array" ref="AA1241">_xlfn.IFERROR((Z1241-Z1240),"N/A")</f>
        <v>195780</v>
      </c>
      <c r="AB1241" s="424"/>
      <c r="AC1241" t="str" s="426" cm="1">
        <f t="array" ref="AC1241">IF(B1241=6,AVERAGE(Z1239:Z1244),"N/A")</f>
        <v>N/A</v>
      </c>
      <c r="AD1241" s="424"/>
      <c r="AE1241" s="423"/>
      <c r="AF1241" s="423"/>
      <c r="AG1241" s="423"/>
      <c r="AH1241" s="423"/>
      <c r="AI1241" s="423"/>
      <c r="AJ1241" s="423"/>
      <c r="AK1241" s="423"/>
      <c r="AL1241" s="423"/>
      <c r="AM1241" s="423"/>
      <c r="AN1241" s="427"/>
    </row>
    <row r="1242" ht="15" customHeight="1">
      <c r="A1242" s="12"/>
      <c r="B1242" s="428" cm="1">
        <f t="array" ref="B1242">IF(B1241=0,0,IF(B1241&lt;VLOOKUP(C1236,'Boats Data Sheet 2026'!$C$3:$H$57,6,0),B1241+1,0))</f>
        <v>4</v>
      </c>
      <c r="C1242" s="423" cm="1">
        <f t="array" ref="C1242">IF(B1242&gt;0,IF(VLOOKUP(C1236,'Boats Data Sheet 2026'!$C$3:$J$57,8,0)="N/A",0,VLOOKUP(C1236,'Boats Data Sheet 2026'!$C$3:$J$57,8,0)),"N/A")</f>
        <v>8500000</v>
      </c>
      <c r="D1242" s="429" cm="1">
        <f t="array" ref="D1242">IF(B1242&gt;7,2,IF(B1242=0,"N/A",1))</f>
        <v>1</v>
      </c>
      <c r="E1242" s="423" cm="1">
        <f t="array" ref="E1242">_xlfn.IFERROR(SUM('Direct Costs 2026'!$C$4:$C$5)*D1242,"N/A")</f>
        <v>875500</v>
      </c>
      <c r="F1242" s="423" cm="1">
        <f t="array" ref="F1242">_xlfn.IFERROR('Direct Costs 2026'!$C$43*B1242,"N/A")</f>
        <v>24000</v>
      </c>
      <c r="G1242" s="423">
        <v>0</v>
      </c>
      <c r="H1242" s="423">
        <v>0</v>
      </c>
      <c r="I1242" s="423">
        <v>0</v>
      </c>
      <c r="J1242" s="423">
        <v>0</v>
      </c>
      <c r="K1242" s="423" cm="1">
        <f t="array" ref="K1242">IF(B1242&gt;0,'Direct Costs 2026'!$C$26,"N/A")</f>
        <v>20000</v>
      </c>
      <c r="L1242" s="423" cm="1">
        <f t="array" ref="L1242">IF(B1242&gt;0,'Direct Costs 2026'!$C$23,"N/A")</f>
        <v>140000</v>
      </c>
      <c r="M1242" s="423" cm="1">
        <f t="array" ref="M1242">IF(B1242&gt;0,'Direct Costs 2026'!$C$45*B1242,"N/A")</f>
        <v>600000</v>
      </c>
      <c r="N1242" t="str" s="431" cm="1">
        <f t="array" ref="N1242">IF(B1242&gt;0,_xlfn.IFERROR(VLOOKUP(C1236,'Boats Data Sheet 2026'!$C$3:$I$57,7,0)*'Direct Costs 2026'!$C$36,"N/A"),"N/A")</f>
        <v>N/A</v>
      </c>
      <c r="O1242" t="str" s="431" cm="1">
        <f t="array" ref="O1242">IF(B1242&gt;0,IF(OR(VLOOKUP(C1236,'Boats Data Sheet 2026'!$C$3:$F$57,4,0)="Own",VLOOKUP(C1236,'Boats Data Sheet 2026'!$C$3:$F$57,4,0)="Management"),('Direct Costs 2026'!$C$37+'Direct Costs 2026'!$C$39),"N/A"),"N/A")</f>
        <v>N/A</v>
      </c>
      <c r="P1242" s="423">
        <v>0</v>
      </c>
      <c r="Q1242" s="423" cm="1">
        <f t="array" ref="Q1242">_xlfn.IFERROR(C1242+SUM(E1242:P1242),"N/A")</f>
        <v>10159500</v>
      </c>
      <c r="R1242" s="424"/>
      <c r="S1242" s="423" cm="1">
        <f t="array" ref="S1242">IF(B1242&gt;0,'Allocation OH and Target 2026'!$E$31,"N/A")</f>
        <v>3100447.15769812</v>
      </c>
      <c r="T1242" s="423" cm="1">
        <f t="array" ref="T1242">IF(B1242&gt;0,VLOOKUP(C1236,'Allocation OH and Target 2026'!$C$35:$S$87,16,0),"N/A")</f>
        <v>0</v>
      </c>
      <c r="U1242" s="423" cm="1">
        <f t="array" ref="U1242">_xlfn.IFERROR((S1242+T1242),"N/A")</f>
        <v>3100447.15769812</v>
      </c>
      <c r="V1242" s="424"/>
      <c r="W1242" s="423" cm="1">
        <f t="array" ref="W1242">_xlfn.IFERROR(U1242+Q1242,"N/A")</f>
        <v>13259947.1576981</v>
      </c>
      <c r="X1242" s="423" cm="1">
        <f t="array" ref="X1242">_xlfn.IFERROR(W1242*0.5%,"N/A")</f>
        <v>66299.735788490507</v>
      </c>
      <c r="Y1242" s="423" cm="1">
        <f t="array" ref="Y1242">_xlfn.IFERROR(W1242*25%,"N/A")</f>
        <v>3314986.78942453</v>
      </c>
      <c r="Z1242" s="425" cm="1">
        <f t="array" ref="Z1242">IF(B1242&gt;0,SUM(W1242:Y1242),"N/A")</f>
        <v>16641233.6829111</v>
      </c>
      <c r="AA1242" s="425" cm="1">
        <f t="array" ref="AA1242">_xlfn.IFERROR((Z1242-Z1241),"N/A")</f>
        <v>195780</v>
      </c>
      <c r="AB1242" s="424"/>
      <c r="AC1242" t="str" s="426" cm="1">
        <f t="array" ref="AC1242">IF(B1242=6,AVERAGE(Z1239:Z1244),"N/A")</f>
        <v>N/A</v>
      </c>
      <c r="AD1242" s="424"/>
      <c r="AE1242" s="423"/>
      <c r="AF1242" s="423"/>
      <c r="AG1242" s="423"/>
      <c r="AH1242" s="423"/>
      <c r="AI1242" s="423"/>
      <c r="AJ1242" s="423"/>
      <c r="AK1242" s="423"/>
      <c r="AL1242" s="423"/>
      <c r="AM1242" s="423"/>
      <c r="AN1242" s="427"/>
    </row>
    <row r="1243" ht="15" customHeight="1">
      <c r="A1243" s="12"/>
      <c r="B1243" s="428" cm="1">
        <f t="array" ref="B1243">IF(B1242=0,0,IF(B1242&lt;VLOOKUP(C1236,'Boats Data Sheet 2026'!$C$3:$H$57,6,0),B1242+1,0))</f>
        <v>5</v>
      </c>
      <c r="C1243" s="423" cm="1">
        <f t="array" ref="C1243">IF(B1243&gt;0,IF(VLOOKUP(C1236,'Boats Data Sheet 2026'!$C$3:$J$57,8,0)="N/A",0,VLOOKUP(C1236,'Boats Data Sheet 2026'!$C$3:$J$57,8,0)),"N/A")</f>
        <v>8500000</v>
      </c>
      <c r="D1243" s="429" cm="1">
        <f t="array" ref="D1243">IF(B1243&gt;7,2,IF(B1243=0,"N/A",1))</f>
        <v>1</v>
      </c>
      <c r="E1243" s="423" cm="1">
        <f t="array" ref="E1243">_xlfn.IFERROR(SUM('Direct Costs 2026'!$C$4:$C$5)*D1243,"N/A")</f>
        <v>875500</v>
      </c>
      <c r="F1243" s="423" cm="1">
        <f t="array" ref="F1243">_xlfn.IFERROR('Direct Costs 2026'!$C$43*B1243,"N/A")</f>
        <v>30000</v>
      </c>
      <c r="G1243" s="423">
        <v>0</v>
      </c>
      <c r="H1243" s="423">
        <v>0</v>
      </c>
      <c r="I1243" s="423">
        <v>0</v>
      </c>
      <c r="J1243" s="423">
        <v>0</v>
      </c>
      <c r="K1243" s="423" cm="1">
        <f t="array" ref="K1243">IF(B1243&gt;0,'Direct Costs 2026'!$C$26,"N/A")</f>
        <v>20000</v>
      </c>
      <c r="L1243" s="423" cm="1">
        <f t="array" ref="L1243">IF(B1243&gt;0,'Direct Costs 2026'!$C$23,"N/A")</f>
        <v>140000</v>
      </c>
      <c r="M1243" s="423" cm="1">
        <f t="array" ref="M1243">IF(B1243&gt;0,'Direct Costs 2026'!$C$45*B1243,"N/A")</f>
        <v>750000</v>
      </c>
      <c r="N1243" t="str" s="431" cm="1">
        <f t="array" ref="N1243">IF(B1243&gt;0,_xlfn.IFERROR(VLOOKUP(C1236,'Boats Data Sheet 2026'!$C$3:$I$57,7,0)*'Direct Costs 2026'!$C$36,"N/A"),"N/A")</f>
        <v>N/A</v>
      </c>
      <c r="O1243" t="str" s="431" cm="1">
        <f t="array" ref="O1243">IF(B1243&gt;0,IF(OR(VLOOKUP(C1236,'Boats Data Sheet 2026'!$C$3:$F$57,4,0)="Own",VLOOKUP(C1236,'Boats Data Sheet 2026'!$C$3:$F$57,4,0)="Management"),('Direct Costs 2026'!$C$37+'Direct Costs 2026'!$C$39),"N/A"),"N/A")</f>
        <v>N/A</v>
      </c>
      <c r="P1243" s="423">
        <v>0</v>
      </c>
      <c r="Q1243" s="423" cm="1">
        <f t="array" ref="Q1243">_xlfn.IFERROR(C1243+SUM(E1243:P1243),"N/A")</f>
        <v>10315500</v>
      </c>
      <c r="R1243" s="424"/>
      <c r="S1243" s="423" cm="1">
        <f t="array" ref="S1243">IF(B1243&gt;0,'Allocation OH and Target 2026'!$E$31,"N/A")</f>
        <v>3100447.15769812</v>
      </c>
      <c r="T1243" s="423" cm="1">
        <f t="array" ref="T1243">IF(B1243&gt;0,VLOOKUP(C1236,'Allocation OH and Target 2026'!$C$35:$S$87,16,0),"N/A")</f>
        <v>0</v>
      </c>
      <c r="U1243" s="423" cm="1">
        <f t="array" ref="U1243">_xlfn.IFERROR((S1243+T1243),"N/A")</f>
        <v>3100447.15769812</v>
      </c>
      <c r="V1243" s="424"/>
      <c r="W1243" s="423" cm="1">
        <f t="array" ref="W1243">_xlfn.IFERROR(U1243+Q1243,"N/A")</f>
        <v>13415947.1576981</v>
      </c>
      <c r="X1243" s="423" cm="1">
        <f t="array" ref="X1243">_xlfn.IFERROR(W1243*0.5%,"N/A")</f>
        <v>67079.735788490507</v>
      </c>
      <c r="Y1243" s="423" cm="1">
        <f t="array" ref="Y1243">_xlfn.IFERROR(W1243*25%,"N/A")</f>
        <v>3353986.78942453</v>
      </c>
      <c r="Z1243" s="425" cm="1">
        <f t="array" ref="Z1243">IF(B1243&gt;0,SUM(W1243:Y1243),"N/A")</f>
        <v>16837013.6829111</v>
      </c>
      <c r="AA1243" s="425" cm="1">
        <f t="array" ref="AA1243">_xlfn.IFERROR((Z1243-Z1242),"N/A")</f>
        <v>195780</v>
      </c>
      <c r="AB1243" s="424"/>
      <c r="AC1243" t="str" s="426" cm="1">
        <f t="array" ref="AC1243">IF(B1243=6,AVERAGE(Z1239:Z1244),"N/A")</f>
        <v>N/A</v>
      </c>
      <c r="AD1243" s="424"/>
      <c r="AE1243" s="423"/>
      <c r="AF1243" s="423"/>
      <c r="AG1243" s="423"/>
      <c r="AH1243" s="423"/>
      <c r="AI1243" s="423"/>
      <c r="AJ1243" s="423"/>
      <c r="AK1243" s="423"/>
      <c r="AL1243" s="423"/>
      <c r="AM1243" s="423"/>
      <c r="AN1243" s="427"/>
    </row>
    <row r="1244" ht="15" customHeight="1">
      <c r="A1244" s="12"/>
      <c r="B1244" s="428" cm="1">
        <f t="array" ref="B1244">IF(B1243=0,0,IF(B1243&lt;VLOOKUP(C1236,'Boats Data Sheet 2026'!$C$3:$H$57,6,0),B1243+1,0))</f>
        <v>6</v>
      </c>
      <c r="C1244" s="423" cm="1">
        <f t="array" ref="C1244">IF(B1244&gt;0,IF(VLOOKUP(C1236,'Boats Data Sheet 2026'!$C$3:$J$57,8,0)="N/A",0,VLOOKUP(C1236,'Boats Data Sheet 2026'!$C$3:$J$57,8,0)),"N/A")</f>
        <v>8500000</v>
      </c>
      <c r="D1244" s="429" cm="1">
        <f t="array" ref="D1244">IF(B1244&gt;7,2,IF(B1244=0,"N/A",1))</f>
        <v>1</v>
      </c>
      <c r="E1244" s="423" cm="1">
        <f t="array" ref="E1244">_xlfn.IFERROR(SUM('Direct Costs 2026'!$C$4:$C$5)*D1244,"N/A")</f>
        <v>875500</v>
      </c>
      <c r="F1244" s="423" cm="1">
        <f t="array" ref="F1244">_xlfn.IFERROR('Direct Costs 2026'!$C$43*B1244,"N/A")</f>
        <v>36000</v>
      </c>
      <c r="G1244" s="423">
        <v>0</v>
      </c>
      <c r="H1244" s="423">
        <v>0</v>
      </c>
      <c r="I1244" s="423">
        <v>0</v>
      </c>
      <c r="J1244" s="423">
        <v>0</v>
      </c>
      <c r="K1244" s="423" cm="1">
        <f t="array" ref="K1244">IF(B1244&gt;0,'Direct Costs 2026'!$C$26,"N/A")</f>
        <v>20000</v>
      </c>
      <c r="L1244" s="423" cm="1">
        <f t="array" ref="L1244">IF(B1244&gt;0,'Direct Costs 2026'!$C$23,"N/A")</f>
        <v>140000</v>
      </c>
      <c r="M1244" s="423" cm="1">
        <f t="array" ref="M1244">IF(B1244&gt;0,'Direct Costs 2026'!$C$45*B1244,"N/A")</f>
        <v>900000</v>
      </c>
      <c r="N1244" t="str" s="431" cm="1">
        <f t="array" ref="N1244">IF(B1244&gt;0,_xlfn.IFERROR(VLOOKUP(C1236,'Boats Data Sheet 2026'!$C$3:$I$57,7,0)*'Direct Costs 2026'!$C$36,"N/A"),"N/A")</f>
        <v>N/A</v>
      </c>
      <c r="O1244" t="str" s="431" cm="1">
        <f t="array" ref="O1244">IF(B1244&gt;0,IF(OR(VLOOKUP(C1236,'Boats Data Sheet 2026'!$C$3:$F$57,4,0)="Own",VLOOKUP(C1236,'Boats Data Sheet 2026'!$C$3:$F$57,4,0)="Management"),('Direct Costs 2026'!$C$37+'Direct Costs 2026'!$C$39),"N/A"),"N/A")</f>
        <v>N/A</v>
      </c>
      <c r="P1244" s="423">
        <v>0</v>
      </c>
      <c r="Q1244" s="423" cm="1">
        <f t="array" ref="Q1244">_xlfn.IFERROR(C1244+SUM(E1244:P1244),"N/A")</f>
        <v>10471500</v>
      </c>
      <c r="R1244" s="424"/>
      <c r="S1244" s="423" cm="1">
        <f t="array" ref="S1244">IF(B1244&gt;0,'Allocation OH and Target 2026'!$E$31,"N/A")</f>
        <v>3100447.15769812</v>
      </c>
      <c r="T1244" s="423" cm="1">
        <f t="array" ref="T1244">IF(B1244&gt;0,VLOOKUP(C1236,'Allocation OH and Target 2026'!$C$35:$S$87,16,0),"N/A")</f>
        <v>0</v>
      </c>
      <c r="U1244" s="423" cm="1">
        <f t="array" ref="U1244">_xlfn.IFERROR((S1244+T1244),"N/A")</f>
        <v>3100447.15769812</v>
      </c>
      <c r="V1244" s="424"/>
      <c r="W1244" s="423" cm="1">
        <f t="array" ref="W1244">_xlfn.IFERROR(U1244+Q1244,"N/A")</f>
        <v>13571947.1576981</v>
      </c>
      <c r="X1244" s="423" cm="1">
        <f t="array" ref="X1244">_xlfn.IFERROR(W1244*0.5%,"N/A")</f>
        <v>67859.735788490507</v>
      </c>
      <c r="Y1244" s="423" cm="1">
        <f t="array" ref="Y1244">_xlfn.IFERROR(W1244*25%,"N/A")</f>
        <v>3392986.78942453</v>
      </c>
      <c r="Z1244" s="425" cm="1">
        <f t="array" ref="Z1244">IF(B1244&gt;0,SUM(W1244:Y1244),"N/A")</f>
        <v>17032793.6829111</v>
      </c>
      <c r="AA1244" s="425" cm="1">
        <f t="array" ref="AA1244">_xlfn.IFERROR((Z1244-Z1243),"N/A")</f>
        <v>195780</v>
      </c>
      <c r="AB1244" s="424"/>
      <c r="AC1244" s="425" cm="1">
        <f t="array" ref="AC1244">IF(B1244=6,AVERAGE(Z1239:Z1244),"N/A")</f>
        <v>16543343.6829111</v>
      </c>
      <c r="AD1244" s="424"/>
      <c r="AE1244" s="423"/>
      <c r="AF1244" s="423"/>
      <c r="AG1244" s="423"/>
      <c r="AH1244" s="423"/>
      <c r="AI1244" s="423"/>
      <c r="AJ1244" s="423"/>
      <c r="AK1244" s="423"/>
      <c r="AL1244" s="423"/>
      <c r="AM1244" s="423"/>
      <c r="AN1244" s="427"/>
    </row>
    <row r="1245" ht="15" customHeight="1">
      <c r="A1245" s="12"/>
      <c r="B1245" s="428" cm="1">
        <f t="array" ref="B1245">IF(B1244=0,0,IF(B1244&lt;VLOOKUP(C1236,'Boats Data Sheet 2026'!$C$3:$H$57,6,0),B1244+1,0))</f>
        <v>7</v>
      </c>
      <c r="C1245" s="423" cm="1">
        <f t="array" ref="C1245">IF(B1245&gt;0,IF(VLOOKUP(C1236,'Boats Data Sheet 2026'!$C$3:$J$57,8,0)="N/A",0,VLOOKUP(C1236,'Boats Data Sheet 2026'!$C$3:$J$57,8,0)),"N/A")</f>
        <v>8500000</v>
      </c>
      <c r="D1245" s="429" cm="1">
        <f t="array" ref="D1245">IF(B1245&gt;7,2,IF(B1245=0,"N/A",1))</f>
        <v>1</v>
      </c>
      <c r="E1245" s="423" cm="1">
        <f t="array" ref="E1245">_xlfn.IFERROR(SUM('Direct Costs 2026'!$C$4:$C$5)*D1245,"N/A")</f>
        <v>875500</v>
      </c>
      <c r="F1245" s="423" cm="1">
        <f t="array" ref="F1245">_xlfn.IFERROR('Direct Costs 2026'!$C$43*B1245,"N/A")</f>
        <v>42000</v>
      </c>
      <c r="G1245" s="423">
        <v>0</v>
      </c>
      <c r="H1245" s="423">
        <v>0</v>
      </c>
      <c r="I1245" s="423">
        <v>0</v>
      </c>
      <c r="J1245" s="423">
        <v>0</v>
      </c>
      <c r="K1245" s="423" cm="1">
        <f t="array" ref="K1245">IF(B1245&gt;0,'Direct Costs 2026'!$C$26,"N/A")</f>
        <v>20000</v>
      </c>
      <c r="L1245" s="423" cm="1">
        <f t="array" ref="L1245">IF(B1245&gt;0,'Direct Costs 2026'!$C$23,"N/A")</f>
        <v>140000</v>
      </c>
      <c r="M1245" s="423" cm="1">
        <f t="array" ref="M1245">IF(B1245&gt;0,'Direct Costs 2026'!$C$45*B1245,"N/A")</f>
        <v>1050000</v>
      </c>
      <c r="N1245" t="str" s="431" cm="1">
        <f t="array" ref="N1245">IF(B1245&gt;0,_xlfn.IFERROR(VLOOKUP(C1236,'Boats Data Sheet 2026'!$C$3:$I$57,7,0)*'Direct Costs 2026'!$C$36,"N/A"),"N/A")</f>
        <v>N/A</v>
      </c>
      <c r="O1245" t="str" s="431" cm="1">
        <f t="array" ref="O1245">IF(B1245&gt;0,IF(OR(VLOOKUP(C1236,'Boats Data Sheet 2026'!$C$3:$F$57,4,0)="Own",VLOOKUP(C1236,'Boats Data Sheet 2026'!$C$3:$F$57,4,0)="Management"),('Direct Costs 2026'!$C$37+'Direct Costs 2026'!$C$39),"N/A"),"N/A")</f>
        <v>N/A</v>
      </c>
      <c r="P1245" s="423">
        <v>0</v>
      </c>
      <c r="Q1245" s="423" cm="1">
        <f t="array" ref="Q1245">_xlfn.IFERROR(C1245+SUM(E1245:P1245),"N/A")</f>
        <v>10627500</v>
      </c>
      <c r="R1245" s="424"/>
      <c r="S1245" s="423" cm="1">
        <f t="array" ref="S1245">IF(B1245&gt;0,'Allocation OH and Target 2026'!$E$31,"N/A")</f>
        <v>3100447.15769812</v>
      </c>
      <c r="T1245" s="423" cm="1">
        <f t="array" ref="T1245">IF(B1245&gt;0,VLOOKUP(C1236,'Allocation OH and Target 2026'!$C$35:$S$87,16,0),"N/A")</f>
        <v>0</v>
      </c>
      <c r="U1245" s="423" cm="1">
        <f t="array" ref="U1245">_xlfn.IFERROR((S1245+T1245),"N/A")</f>
        <v>3100447.15769812</v>
      </c>
      <c r="V1245" s="424"/>
      <c r="W1245" s="423" cm="1">
        <f t="array" ref="W1245">_xlfn.IFERROR(U1245+Q1245,"N/A")</f>
        <v>13727947.1576981</v>
      </c>
      <c r="X1245" s="423" cm="1">
        <f t="array" ref="X1245">_xlfn.IFERROR(W1245*0.5%,"N/A")</f>
        <v>68639.735788490507</v>
      </c>
      <c r="Y1245" s="423" cm="1">
        <f t="array" ref="Y1245">_xlfn.IFERROR(W1245*25%,"N/A")</f>
        <v>3431986.78942453</v>
      </c>
      <c r="Z1245" s="425" cm="1">
        <f t="array" ref="Z1245">IF(B1245&gt;0,SUM(W1245:Y1245),"N/A")</f>
        <v>17228573.6829111</v>
      </c>
      <c r="AA1245" s="425" cm="1">
        <f t="array" ref="AA1245">_xlfn.IFERROR((Z1245-Z1244),"N/A")</f>
        <v>195780</v>
      </c>
      <c r="AB1245" s="424"/>
      <c r="AC1245" t="str" s="426" cm="1">
        <f t="array" ref="AC1245">IF(B1245=6,AVERAGE(Z1239:Z1244),"N/A")</f>
        <v>N/A</v>
      </c>
      <c r="AD1245" s="424"/>
      <c r="AE1245" s="423"/>
      <c r="AF1245" s="423"/>
      <c r="AG1245" s="423"/>
      <c r="AH1245" s="423"/>
      <c r="AI1245" s="423"/>
      <c r="AJ1245" s="423"/>
      <c r="AK1245" s="423"/>
      <c r="AL1245" s="423"/>
      <c r="AM1245" s="423"/>
      <c r="AN1245" s="427"/>
    </row>
    <row r="1246" ht="15" customHeight="1">
      <c r="A1246" s="12"/>
      <c r="B1246" s="428" cm="1">
        <f t="array" ref="B1246">IF(B1245=0,0,IF(B1245&lt;VLOOKUP(C1236,'Boats Data Sheet 2026'!$C$3:$H$57,6,0),B1245+1,0))</f>
        <v>8</v>
      </c>
      <c r="C1246" s="423" cm="1">
        <f t="array" ref="C1246">IF(B1246&gt;0,IF(VLOOKUP(C1236,'Boats Data Sheet 2026'!$C$3:$J$57,8,0)="N/A",0,VLOOKUP(C1236,'Boats Data Sheet 2026'!$C$3:$J$57,8,0)),"N/A")</f>
        <v>8500000</v>
      </c>
      <c r="D1246" s="429" cm="1">
        <f t="array" ref="D1246">IF(B1246&gt;7,2,IF(B1246=0,"N/A",1))</f>
        <v>2</v>
      </c>
      <c r="E1246" s="423" cm="1">
        <f t="array" ref="E1246">_xlfn.IFERROR(SUM('Direct Costs 2026'!$C$4:$C$5)*D1246,"N/A")</f>
        <v>1751000</v>
      </c>
      <c r="F1246" s="423" cm="1">
        <f t="array" ref="F1246">_xlfn.IFERROR('Direct Costs 2026'!$C$43*B1246,"N/A")</f>
        <v>48000</v>
      </c>
      <c r="G1246" s="423">
        <v>0</v>
      </c>
      <c r="H1246" s="423">
        <v>0</v>
      </c>
      <c r="I1246" s="423">
        <v>0</v>
      </c>
      <c r="J1246" s="423">
        <v>0</v>
      </c>
      <c r="K1246" s="423" cm="1">
        <f t="array" ref="K1246">IF(B1246&gt;0,'Direct Costs 2026'!$C$26,"N/A")</f>
        <v>20000</v>
      </c>
      <c r="L1246" s="423" cm="1">
        <f t="array" ref="L1246">IF(B1246&gt;0,'Direct Costs 2026'!$C$23,"N/A")</f>
        <v>140000</v>
      </c>
      <c r="M1246" s="423" cm="1">
        <f t="array" ref="M1246">IF(B1246&gt;0,'Direct Costs 2026'!$C$45*B1246,"N/A")</f>
        <v>1200000</v>
      </c>
      <c r="N1246" t="str" s="431" cm="1">
        <f t="array" ref="N1246">IF(B1246&gt;0,_xlfn.IFERROR(VLOOKUP(C1236,'Boats Data Sheet 2026'!$C$3:$I$57,7,0)*'Direct Costs 2026'!$C$36,"N/A"),"N/A")</f>
        <v>N/A</v>
      </c>
      <c r="O1246" t="str" s="431" cm="1">
        <f t="array" ref="O1246">IF(B1246&gt;0,IF(OR(VLOOKUP(C1236,'Boats Data Sheet 2026'!$C$3:$F$57,4,0)="Own",VLOOKUP(C1236,'Boats Data Sheet 2026'!$C$3:$F$57,4,0)="Management"),('Direct Costs 2026'!$C$37+'Direct Costs 2026'!$C$39),"N/A"),"N/A")</f>
        <v>N/A</v>
      </c>
      <c r="P1246" s="423">
        <v>0</v>
      </c>
      <c r="Q1246" s="423" cm="1">
        <f t="array" ref="Q1246">_xlfn.IFERROR(C1246+SUM(E1246:P1246),"N/A")</f>
        <v>11659000</v>
      </c>
      <c r="R1246" s="424"/>
      <c r="S1246" s="423" cm="1">
        <f t="array" ref="S1246">IF(B1246&gt;0,'Allocation OH and Target 2026'!$E$31,"N/A")</f>
        <v>3100447.15769812</v>
      </c>
      <c r="T1246" s="423" cm="1">
        <f t="array" ref="T1246">IF(B1246&gt;0,VLOOKUP(C1236,'Allocation OH and Target 2026'!$C$35:$S$87,16,0),"N/A")</f>
        <v>0</v>
      </c>
      <c r="U1246" s="423" cm="1">
        <f t="array" ref="U1246">_xlfn.IFERROR((S1246+T1246),"N/A")</f>
        <v>3100447.15769812</v>
      </c>
      <c r="V1246" s="424"/>
      <c r="W1246" s="423" cm="1">
        <f t="array" ref="W1246">_xlfn.IFERROR(U1246+Q1246,"N/A")</f>
        <v>14759447.1576981</v>
      </c>
      <c r="X1246" s="423" cm="1">
        <f t="array" ref="X1246">_xlfn.IFERROR(W1246*0.5%,"N/A")</f>
        <v>73797.235788490507</v>
      </c>
      <c r="Y1246" s="423" cm="1">
        <f t="array" ref="Y1246">_xlfn.IFERROR(W1246*25%,"N/A")</f>
        <v>3689861.78942453</v>
      </c>
      <c r="Z1246" s="425" cm="1">
        <f t="array" ref="Z1246">IF(B1246&gt;0,SUM(W1246:Y1246),"N/A")</f>
        <v>18523106.1829111</v>
      </c>
      <c r="AA1246" s="425" cm="1">
        <f t="array" ref="AA1246">_xlfn.IFERROR((Z1246-Z1245),"N/A")</f>
        <v>1294532.5</v>
      </c>
      <c r="AB1246" s="424"/>
      <c r="AC1246" t="str" s="426" cm="1">
        <f t="array" ref="AC1246">IF(B1246=6,AVERAGE(Z1239:Z1244),"N/A")</f>
        <v>N/A</v>
      </c>
      <c r="AD1246" s="424"/>
      <c r="AE1246" s="423"/>
      <c r="AF1246" s="423"/>
      <c r="AG1246" s="423"/>
      <c r="AH1246" s="423"/>
      <c r="AI1246" s="423"/>
      <c r="AJ1246" s="423"/>
      <c r="AK1246" s="423"/>
      <c r="AL1246" s="423"/>
      <c r="AM1246" s="423"/>
      <c r="AN1246" s="427"/>
    </row>
    <row r="1247" ht="15" customHeight="1">
      <c r="A1247" s="12"/>
      <c r="B1247" s="428" cm="1">
        <f t="array" ref="B1247">IF(B1246=0,0,IF(B1246&lt;VLOOKUP(C1236,'Boats Data Sheet 2026'!$C$3:$H$57,6,0),B1246+1,0))</f>
        <v>9</v>
      </c>
      <c r="C1247" s="423" cm="1">
        <f t="array" ref="C1247">IF(B1247&gt;0,IF(VLOOKUP(C1236,'Boats Data Sheet 2026'!$C$3:$J$57,8,0)="N/A",0,VLOOKUP(C1236,'Boats Data Sheet 2026'!$C$3:$J$57,8,0)),"N/A")</f>
        <v>8500000</v>
      </c>
      <c r="D1247" s="429" cm="1">
        <f t="array" ref="D1247">IF(B1247&gt;7,2,IF(B1247=0,"N/A",1))</f>
        <v>2</v>
      </c>
      <c r="E1247" s="423" cm="1">
        <f t="array" ref="E1247">_xlfn.IFERROR(SUM('Direct Costs 2026'!$C$4:$C$5)*D1247,"N/A")</f>
        <v>1751000</v>
      </c>
      <c r="F1247" s="423" cm="1">
        <f t="array" ref="F1247">_xlfn.IFERROR('Direct Costs 2026'!$C$43*B1247,"N/A")</f>
        <v>54000</v>
      </c>
      <c r="G1247" s="423">
        <v>0</v>
      </c>
      <c r="H1247" s="423">
        <v>0</v>
      </c>
      <c r="I1247" s="423">
        <v>0</v>
      </c>
      <c r="J1247" s="423">
        <v>0</v>
      </c>
      <c r="K1247" s="423" cm="1">
        <f t="array" ref="K1247">IF(B1247&gt;0,'Direct Costs 2026'!$C$26,"N/A")</f>
        <v>20000</v>
      </c>
      <c r="L1247" s="423" cm="1">
        <f t="array" ref="L1247">IF(B1247&gt;0,'Direct Costs 2026'!$C$23,"N/A")</f>
        <v>140000</v>
      </c>
      <c r="M1247" s="423" cm="1">
        <f t="array" ref="M1247">IF(B1247&gt;0,'Direct Costs 2026'!$C$45*B1247,"N/A")</f>
        <v>1350000</v>
      </c>
      <c r="N1247" t="str" s="431" cm="1">
        <f t="array" ref="N1247">IF(B1247&gt;0,_xlfn.IFERROR(VLOOKUP(C1236,'Boats Data Sheet 2026'!$C$3:$I$57,7,0)*'Direct Costs 2026'!$C$36,"N/A"),"N/A")</f>
        <v>N/A</v>
      </c>
      <c r="O1247" t="str" s="431" cm="1">
        <f t="array" ref="O1247">IF(B1247&gt;0,IF(OR(VLOOKUP(C1236,'Boats Data Sheet 2026'!$C$3:$F$57,4,0)="Own",VLOOKUP(C1236,'Boats Data Sheet 2026'!$C$3:$F$57,4,0)="Management"),('Direct Costs 2026'!$C$37+'Direct Costs 2026'!$C$39),"N/A"),"N/A")</f>
        <v>N/A</v>
      </c>
      <c r="P1247" s="423">
        <v>0</v>
      </c>
      <c r="Q1247" s="423" cm="1">
        <f t="array" ref="Q1247">_xlfn.IFERROR(C1247+SUM(E1247:P1247),"N/A")</f>
        <v>11815000</v>
      </c>
      <c r="R1247" s="424"/>
      <c r="S1247" s="423" cm="1">
        <f t="array" ref="S1247">IF(B1247&gt;0,'Allocation OH and Target 2026'!$E$31,"N/A")</f>
        <v>3100447.15769812</v>
      </c>
      <c r="T1247" s="423" cm="1">
        <f t="array" ref="T1247">IF(B1247&gt;0,VLOOKUP(C1236,'Allocation OH and Target 2026'!$C$35:$S$87,16,0),"N/A")</f>
        <v>0</v>
      </c>
      <c r="U1247" s="423" cm="1">
        <f t="array" ref="U1247">_xlfn.IFERROR((S1247+T1247),"N/A")</f>
        <v>3100447.15769812</v>
      </c>
      <c r="V1247" s="424"/>
      <c r="W1247" s="423" cm="1">
        <f t="array" ref="W1247">_xlfn.IFERROR(U1247+Q1247,"N/A")</f>
        <v>14915447.1576981</v>
      </c>
      <c r="X1247" s="423" cm="1">
        <f t="array" ref="X1247">_xlfn.IFERROR(W1247*0.5%,"N/A")</f>
        <v>74577.235788490507</v>
      </c>
      <c r="Y1247" s="423" cm="1">
        <f t="array" ref="Y1247">_xlfn.IFERROR(W1247*25%,"N/A")</f>
        <v>3728861.78942453</v>
      </c>
      <c r="Z1247" s="425" cm="1">
        <f t="array" ref="Z1247">IF(B1247&gt;0,SUM(W1247:Y1247),"N/A")</f>
        <v>18718886.1829111</v>
      </c>
      <c r="AA1247" s="425" cm="1">
        <f t="array" ref="AA1247">_xlfn.IFERROR((Z1247-Z1246),"N/A")</f>
        <v>195780</v>
      </c>
      <c r="AB1247" s="424"/>
      <c r="AC1247" t="str" s="426" cm="1">
        <f t="array" ref="AC1247">IF(B1247=6,AVERAGE(Z1239:Z1244),"N/A")</f>
        <v>N/A</v>
      </c>
      <c r="AD1247" s="424"/>
      <c r="AE1247" s="423"/>
      <c r="AF1247" s="423"/>
      <c r="AG1247" s="423"/>
      <c r="AH1247" s="423"/>
      <c r="AI1247" s="423"/>
      <c r="AJ1247" s="423"/>
      <c r="AK1247" s="423"/>
      <c r="AL1247" s="423"/>
      <c r="AM1247" s="423"/>
      <c r="AN1247" s="427"/>
    </row>
    <row r="1248" ht="15" customHeight="1">
      <c r="A1248" s="12"/>
      <c r="B1248" s="428" cm="1">
        <f t="array" ref="B1248">IF(B1247=0,0,IF(B1247&lt;VLOOKUP(C1236,'Boats Data Sheet 2026'!$C$3:$H$57,6,0),B1247+1,0))</f>
        <v>10</v>
      </c>
      <c r="C1248" s="423" cm="1">
        <f t="array" ref="C1248">IF(B1248&gt;0,IF(VLOOKUP(C1236,'Boats Data Sheet 2026'!$C$3:$J$57,8,0)="N/A",0,VLOOKUP(C1236,'Boats Data Sheet 2026'!$C$3:$J$57,8,0)),"N/A")</f>
        <v>8500000</v>
      </c>
      <c r="D1248" s="429" cm="1">
        <f t="array" ref="D1248">IF(B1248&gt;7,2,IF(B1248=0,"N/A",1))</f>
        <v>2</v>
      </c>
      <c r="E1248" s="423" cm="1">
        <f t="array" ref="E1248">_xlfn.IFERROR(SUM('Direct Costs 2026'!$C$4:$C$5)*D1248,"N/A")</f>
        <v>1751000</v>
      </c>
      <c r="F1248" s="423" cm="1">
        <f t="array" ref="F1248">_xlfn.IFERROR('Direct Costs 2026'!$C$43*B1248,"N/A")</f>
        <v>60000</v>
      </c>
      <c r="G1248" s="423">
        <v>0</v>
      </c>
      <c r="H1248" s="423">
        <v>0</v>
      </c>
      <c r="I1248" s="423">
        <v>0</v>
      </c>
      <c r="J1248" s="423">
        <v>0</v>
      </c>
      <c r="K1248" s="423" cm="1">
        <f t="array" ref="K1248">IF(B1248&gt;0,'Direct Costs 2026'!$C$26,"N/A")</f>
        <v>20000</v>
      </c>
      <c r="L1248" s="423" cm="1">
        <f t="array" ref="L1248">IF(B1248&gt;0,'Direct Costs 2026'!$C$23,"N/A")</f>
        <v>140000</v>
      </c>
      <c r="M1248" s="423" cm="1">
        <f t="array" ref="M1248">IF(B1248&gt;0,'Direct Costs 2026'!$C$45*B1248,"N/A")</f>
        <v>1500000</v>
      </c>
      <c r="N1248" t="str" s="431" cm="1">
        <f t="array" ref="N1248">IF(B1248&gt;0,_xlfn.IFERROR(VLOOKUP(C1236,'Boats Data Sheet 2026'!$C$3:$I$57,7,0)*'Direct Costs 2026'!$C$36,"N/A"),"N/A")</f>
        <v>N/A</v>
      </c>
      <c r="O1248" t="str" s="431" cm="1">
        <f t="array" ref="O1248">IF(B1248&gt;0,IF(OR(VLOOKUP(C1236,'Boats Data Sheet 2026'!$C$3:$F$57,4,0)="Own",VLOOKUP(C1236,'Boats Data Sheet 2026'!$C$3:$F$57,4,0)="Management"),('Direct Costs 2026'!$C$37+'Direct Costs 2026'!$C$39),"N/A"),"N/A")</f>
        <v>N/A</v>
      </c>
      <c r="P1248" s="423">
        <v>0</v>
      </c>
      <c r="Q1248" s="423" cm="1">
        <f t="array" ref="Q1248">_xlfn.IFERROR(C1248+SUM(E1248:P1248),"N/A")</f>
        <v>11971000</v>
      </c>
      <c r="R1248" s="424"/>
      <c r="S1248" s="423" cm="1">
        <f t="array" ref="S1248">IF(B1248&gt;0,'Allocation OH and Target 2026'!$E$31,"N/A")</f>
        <v>3100447.15769812</v>
      </c>
      <c r="T1248" s="423" cm="1">
        <f t="array" ref="T1248">IF(B1248&gt;0,VLOOKUP(C1236,'Allocation OH and Target 2026'!$C$35:$S$87,16,0),"N/A")</f>
        <v>0</v>
      </c>
      <c r="U1248" s="423" cm="1">
        <f t="array" ref="U1248">_xlfn.IFERROR((S1248+T1248),"N/A")</f>
        <v>3100447.15769812</v>
      </c>
      <c r="V1248" s="424"/>
      <c r="W1248" s="423" cm="1">
        <f t="array" ref="W1248">_xlfn.IFERROR(U1248+Q1248,"N/A")</f>
        <v>15071447.1576981</v>
      </c>
      <c r="X1248" s="423" cm="1">
        <f t="array" ref="X1248">_xlfn.IFERROR(W1248*0.5%,"N/A")</f>
        <v>75357.235788490507</v>
      </c>
      <c r="Y1248" s="423" cm="1">
        <f t="array" ref="Y1248">_xlfn.IFERROR(W1248*25%,"N/A")</f>
        <v>3767861.78942453</v>
      </c>
      <c r="Z1248" s="425" cm="1">
        <f t="array" ref="Z1248">IF(B1248&gt;0,SUM(W1248:Y1248),"N/A")</f>
        <v>18914666.1829111</v>
      </c>
      <c r="AA1248" s="425" cm="1">
        <f t="array" ref="AA1248">_xlfn.IFERROR((Z1248-Z1247),"N/A")</f>
        <v>195780</v>
      </c>
      <c r="AB1248" s="424"/>
      <c r="AC1248" t="str" s="426" cm="1">
        <f t="array" ref="AC1248">IF(B1248=6,AVERAGE(Z1239:Z1244),"N/A")</f>
        <v>N/A</v>
      </c>
      <c r="AD1248" s="424"/>
      <c r="AE1248" s="423"/>
      <c r="AF1248" s="423"/>
      <c r="AG1248" s="423"/>
      <c r="AH1248" s="423"/>
      <c r="AI1248" s="423"/>
      <c r="AJ1248" s="423"/>
      <c r="AK1248" s="423"/>
      <c r="AL1248" s="423"/>
      <c r="AM1248" s="423"/>
      <c r="AN1248" s="427"/>
    </row>
    <row r="1249" ht="15" customHeight="1">
      <c r="A1249" s="12"/>
      <c r="B1249" s="428" cm="1">
        <f t="array" ref="B1249">IF(B1248=0,0,IF(B1248&lt;VLOOKUP(C1236,'Boats Data Sheet 2026'!$C$3:$H$57,6,0),B1248+1,0))</f>
        <v>11</v>
      </c>
      <c r="C1249" s="423" cm="1">
        <f t="array" ref="C1249">IF(B1249&gt;0,IF(VLOOKUP(C1236,'Boats Data Sheet 2026'!$C$3:$J$57,8,0)="N/A",0,VLOOKUP(C1236,'Boats Data Sheet 2026'!$C$3:$J$57,8,0)),"N/A")</f>
        <v>8500000</v>
      </c>
      <c r="D1249" s="429" cm="1">
        <f t="array" ref="D1249">IF(B1249&gt;7,2,IF(B1249=0,"N/A",1))</f>
        <v>2</v>
      </c>
      <c r="E1249" s="423" cm="1">
        <f t="array" ref="E1249">_xlfn.IFERROR(SUM('Direct Costs 2026'!$C$4:$C$5)*D1249,"N/A")</f>
        <v>1751000</v>
      </c>
      <c r="F1249" s="423" cm="1">
        <f t="array" ref="F1249">_xlfn.IFERROR('Direct Costs 2026'!$C$43*B1249,"N/A")</f>
        <v>66000</v>
      </c>
      <c r="G1249" s="423">
        <v>0</v>
      </c>
      <c r="H1249" s="423">
        <v>0</v>
      </c>
      <c r="I1249" s="423">
        <v>0</v>
      </c>
      <c r="J1249" s="423">
        <v>0</v>
      </c>
      <c r="K1249" s="423" cm="1">
        <f t="array" ref="K1249">IF(B1249&gt;0,'Direct Costs 2026'!$C$26,"N/A")</f>
        <v>20000</v>
      </c>
      <c r="L1249" s="423" cm="1">
        <f t="array" ref="L1249">IF(B1249&gt;0,'Direct Costs 2026'!$C$23,"N/A")</f>
        <v>140000</v>
      </c>
      <c r="M1249" s="423" cm="1">
        <f t="array" ref="M1249">IF(B1249&gt;0,'Direct Costs 2026'!$C$45*B1249,"N/A")</f>
        <v>1650000</v>
      </c>
      <c r="N1249" t="str" s="431" cm="1">
        <f t="array" ref="N1249">IF(B1249&gt;0,_xlfn.IFERROR(VLOOKUP(C1236,'Boats Data Sheet 2026'!$C$3:$I$57,7,0)*'Direct Costs 2026'!$C$36,"N/A"),"N/A")</f>
        <v>N/A</v>
      </c>
      <c r="O1249" t="str" s="431" cm="1">
        <f t="array" ref="O1249">IF(B1249&gt;0,IF(OR(VLOOKUP(C1236,'Boats Data Sheet 2026'!$C$3:$F$57,4,0)="Own",VLOOKUP(C1236,'Boats Data Sheet 2026'!$C$3:$F$57,4,0)="Management"),('Direct Costs 2026'!$C$37+'Direct Costs 2026'!$C$39),"N/A"),"N/A")</f>
        <v>N/A</v>
      </c>
      <c r="P1249" s="423">
        <v>0</v>
      </c>
      <c r="Q1249" s="423" cm="1">
        <f t="array" ref="Q1249">_xlfn.IFERROR(C1249+SUM(E1249:P1249),"N/A")</f>
        <v>12127000</v>
      </c>
      <c r="R1249" s="424"/>
      <c r="S1249" s="423" cm="1">
        <f t="array" ref="S1249">IF(B1249&gt;0,'Allocation OH and Target 2026'!$E$31,"N/A")</f>
        <v>3100447.15769812</v>
      </c>
      <c r="T1249" s="423" cm="1">
        <f t="array" ref="T1249">IF(B1249&gt;0,VLOOKUP(C1236,'Allocation OH and Target 2026'!$C$35:$S$87,16,0),"N/A")</f>
        <v>0</v>
      </c>
      <c r="U1249" s="423" cm="1">
        <f t="array" ref="U1249">_xlfn.IFERROR((S1249+T1249),"N/A")</f>
        <v>3100447.15769812</v>
      </c>
      <c r="V1249" s="424"/>
      <c r="W1249" s="423" cm="1">
        <f t="array" ref="W1249">_xlfn.IFERROR(U1249+Q1249,"N/A")</f>
        <v>15227447.1576981</v>
      </c>
      <c r="X1249" s="423" cm="1">
        <f t="array" ref="X1249">_xlfn.IFERROR(W1249*0.5%,"N/A")</f>
        <v>76137.235788490507</v>
      </c>
      <c r="Y1249" s="423" cm="1">
        <f t="array" ref="Y1249">_xlfn.IFERROR(W1249*25%,"N/A")</f>
        <v>3806861.78942453</v>
      </c>
      <c r="Z1249" s="425" cm="1">
        <f t="array" ref="Z1249">IF(B1249&gt;0,SUM(W1249:Y1249),"N/A")</f>
        <v>19110446.1829111</v>
      </c>
      <c r="AA1249" s="425" cm="1">
        <f t="array" ref="AA1249">_xlfn.IFERROR((Z1249-Z1248),"N/A")</f>
        <v>195780</v>
      </c>
      <c r="AB1249" s="424"/>
      <c r="AC1249" t="str" s="426" cm="1">
        <f t="array" ref="AC1249">IF(B1249=6,AVERAGE(Z1239:Z1244),"N/A")</f>
        <v>N/A</v>
      </c>
      <c r="AD1249" s="424"/>
      <c r="AE1249" s="423"/>
      <c r="AF1249" s="423"/>
      <c r="AG1249" s="423"/>
      <c r="AH1249" s="423"/>
      <c r="AI1249" s="423"/>
      <c r="AJ1249" s="423"/>
      <c r="AK1249" s="423"/>
      <c r="AL1249" s="423"/>
      <c r="AM1249" s="423"/>
      <c r="AN1249" s="427"/>
    </row>
    <row r="1250" ht="15" customHeight="1">
      <c r="A1250" s="12"/>
      <c r="B1250" s="428" cm="1">
        <f t="array" ref="B1250">IF(B1249=0,0,IF(B1249&lt;VLOOKUP(C1236,'Boats Data Sheet 2026'!$C$3:$H$57,6,0),B1249+1,0))</f>
        <v>12</v>
      </c>
      <c r="C1250" s="423" cm="1">
        <f t="array" ref="C1250">IF(B1250&gt;0,IF(VLOOKUP(C1236,'Boats Data Sheet 2026'!$C$3:$J$57,8,0)="N/A",0,VLOOKUP(C1236,'Boats Data Sheet 2026'!$C$3:$J$57,8,0)),"N/A")</f>
        <v>8500000</v>
      </c>
      <c r="D1250" s="429" cm="1">
        <f t="array" ref="D1250">IF(B1250&gt;7,2,IF(B1250=0,"N/A",1))</f>
        <v>2</v>
      </c>
      <c r="E1250" s="423" cm="1">
        <f t="array" ref="E1250">_xlfn.IFERROR(SUM('Direct Costs 2026'!$C$4:$C$5)*D1250,"N/A")</f>
        <v>1751000</v>
      </c>
      <c r="F1250" s="423" cm="1">
        <f t="array" ref="F1250">_xlfn.IFERROR('Direct Costs 2026'!$C$43*B1250,"N/A")</f>
        <v>72000</v>
      </c>
      <c r="G1250" s="423">
        <v>0</v>
      </c>
      <c r="H1250" s="423">
        <v>0</v>
      </c>
      <c r="I1250" s="423">
        <v>0</v>
      </c>
      <c r="J1250" s="423">
        <v>0</v>
      </c>
      <c r="K1250" s="423" cm="1">
        <f t="array" ref="K1250">IF(B1250&gt;0,'Direct Costs 2026'!$C$26,"N/A")</f>
        <v>20000</v>
      </c>
      <c r="L1250" s="423" cm="1">
        <f t="array" ref="L1250">IF(B1250&gt;0,'Direct Costs 2026'!$C$23,"N/A")</f>
        <v>140000</v>
      </c>
      <c r="M1250" s="423" cm="1">
        <f t="array" ref="M1250">IF(B1250&gt;0,'Direct Costs 2026'!$C$45*B1250,"N/A")</f>
        <v>1800000</v>
      </c>
      <c r="N1250" t="str" s="431" cm="1">
        <f t="array" ref="N1250">IF(B1250&gt;0,_xlfn.IFERROR(VLOOKUP(C1236,'Boats Data Sheet 2026'!$C$3:$I$57,7,0)*'Direct Costs 2026'!$C$36,"N/A"),"N/A")</f>
        <v>N/A</v>
      </c>
      <c r="O1250" t="str" s="431" cm="1">
        <f t="array" ref="O1250">IF(B1250&gt;0,IF(OR(VLOOKUP(C1236,'Boats Data Sheet 2026'!$C$3:$F$57,4,0)="Own",VLOOKUP(C1236,'Boats Data Sheet 2026'!$C$3:$F$57,4,0)="Management"),('Direct Costs 2026'!$C$37+'Direct Costs 2026'!$C$39),"N/A"),"N/A")</f>
        <v>N/A</v>
      </c>
      <c r="P1250" s="423">
        <v>0</v>
      </c>
      <c r="Q1250" s="423" cm="1">
        <f t="array" ref="Q1250">_xlfn.IFERROR(C1250+SUM(E1250:P1250),"N/A")</f>
        <v>12283000</v>
      </c>
      <c r="R1250" s="424"/>
      <c r="S1250" s="423" cm="1">
        <f t="array" ref="S1250">IF(B1250&gt;0,'Allocation OH and Target 2026'!$E$31,"N/A")</f>
        <v>3100447.15769812</v>
      </c>
      <c r="T1250" s="423" cm="1">
        <f t="array" ref="T1250">IF(B1250&gt;0,VLOOKUP(C1236,'Allocation OH and Target 2026'!$C$35:$S$87,16,0),"N/A")</f>
        <v>0</v>
      </c>
      <c r="U1250" s="423" cm="1">
        <f t="array" ref="U1250">_xlfn.IFERROR((S1250+T1250),"N/A")</f>
        <v>3100447.15769812</v>
      </c>
      <c r="V1250" s="424"/>
      <c r="W1250" s="423" cm="1">
        <f t="array" ref="W1250">_xlfn.IFERROR(U1250+Q1250,"N/A")</f>
        <v>15383447.1576981</v>
      </c>
      <c r="X1250" s="423" cm="1">
        <f t="array" ref="X1250">_xlfn.IFERROR(W1250*0.5%,"N/A")</f>
        <v>76917.235788490507</v>
      </c>
      <c r="Y1250" s="423" cm="1">
        <f t="array" ref="Y1250">_xlfn.IFERROR(W1250*25%,"N/A")</f>
        <v>3845861.78942453</v>
      </c>
      <c r="Z1250" s="425" cm="1">
        <f t="array" ref="Z1250">IF(B1250&gt;0,SUM(W1250:Y1250),"N/A")</f>
        <v>19306226.1829111</v>
      </c>
      <c r="AA1250" s="425" cm="1">
        <f t="array" ref="AA1250">_xlfn.IFERROR((Z1250-Z1249),"N/A")</f>
        <v>195780</v>
      </c>
      <c r="AB1250" s="424"/>
      <c r="AC1250" t="str" s="426" cm="1">
        <f t="array" ref="AC1250">IF(B1250=6,AVERAGE(Z1239:Z1244),"N/A")</f>
        <v>N/A</v>
      </c>
      <c r="AD1250" s="424"/>
      <c r="AE1250" s="423"/>
      <c r="AF1250" s="423"/>
      <c r="AG1250" s="423"/>
      <c r="AH1250" s="423"/>
      <c r="AI1250" s="423"/>
      <c r="AJ1250" s="423"/>
      <c r="AK1250" s="423"/>
      <c r="AL1250" s="423"/>
      <c r="AM1250" s="423"/>
      <c r="AN1250" s="427"/>
    </row>
    <row r="1251" ht="15" customHeight="1">
      <c r="A1251" s="12"/>
      <c r="B1251" s="428" cm="1">
        <f t="array" ref="B1251">IF(B1250=0,0,IF(B1250&lt;VLOOKUP(C1236,'Boats Data Sheet 2026'!$C$3:$H$57,6,0),B1250+1,0))</f>
        <v>13</v>
      </c>
      <c r="C1251" s="423" cm="1">
        <f t="array" ref="C1251">IF(B1251&gt;0,IF(VLOOKUP(C1236,'Boats Data Sheet 2026'!$C$3:$J$57,8,0)="N/A",0,VLOOKUP(C1236,'Boats Data Sheet 2026'!$C$3:$J$57,8,0)),"N/A")</f>
        <v>8500000</v>
      </c>
      <c r="D1251" s="429" cm="1">
        <f t="array" ref="D1251">IF(B1251&gt;7,2,IF(B1251=0,"N/A",1))</f>
        <v>2</v>
      </c>
      <c r="E1251" s="423" cm="1">
        <f t="array" ref="E1251">_xlfn.IFERROR(SUM('Direct Costs 2026'!$C$4:$C$5)*D1251,"N/A")</f>
        <v>1751000</v>
      </c>
      <c r="F1251" s="423" cm="1">
        <f t="array" ref="F1251">_xlfn.IFERROR('Direct Costs 2026'!$C$43*B1251,"N/A")</f>
        <v>78000</v>
      </c>
      <c r="G1251" s="423">
        <v>0</v>
      </c>
      <c r="H1251" s="423">
        <v>0</v>
      </c>
      <c r="I1251" s="423">
        <v>0</v>
      </c>
      <c r="J1251" s="423">
        <v>0</v>
      </c>
      <c r="K1251" s="423" cm="1">
        <f t="array" ref="K1251">IF(B1251&gt;0,'Direct Costs 2026'!$C$26,"N/A")</f>
        <v>20000</v>
      </c>
      <c r="L1251" s="423" cm="1">
        <f t="array" ref="L1251">IF(B1251&gt;0,'Direct Costs 2026'!$C$23,"N/A")</f>
        <v>140000</v>
      </c>
      <c r="M1251" s="423" cm="1">
        <f t="array" ref="M1251">IF(B1251&gt;0,'Direct Costs 2026'!$C$45*B1251,"N/A")</f>
        <v>1950000</v>
      </c>
      <c r="N1251" t="str" s="431" cm="1">
        <f t="array" ref="N1251">IF(B1251&gt;0,_xlfn.IFERROR(VLOOKUP(C1236,'Boats Data Sheet 2026'!$C$3:$I$57,7,0)*'Direct Costs 2026'!$C$36,"N/A"),"N/A")</f>
        <v>N/A</v>
      </c>
      <c r="O1251" t="str" s="431" cm="1">
        <f t="array" ref="O1251">IF(B1251&gt;0,IF(OR(VLOOKUP(C1236,'Boats Data Sheet 2026'!$C$3:$F$57,4,0)="Own",VLOOKUP(C1236,'Boats Data Sheet 2026'!$C$3:$F$57,4,0)="Management"),('Direct Costs 2026'!$C$37+'Direct Costs 2026'!$C$39),"N/A"),"N/A")</f>
        <v>N/A</v>
      </c>
      <c r="P1251" s="423">
        <v>0</v>
      </c>
      <c r="Q1251" s="423" cm="1">
        <f t="array" ref="Q1251">_xlfn.IFERROR(C1251+SUM(E1251:P1251),"N/A")</f>
        <v>12439000</v>
      </c>
      <c r="R1251" s="424"/>
      <c r="S1251" s="423" cm="1">
        <f t="array" ref="S1251">IF(B1251&gt;0,'Allocation OH and Target 2026'!$E$31,"N/A")</f>
        <v>3100447.15769812</v>
      </c>
      <c r="T1251" s="423" cm="1">
        <f t="array" ref="T1251">IF(B1251&gt;0,VLOOKUP(C1236,'Allocation OH and Target 2026'!$C$35:$S$87,16,0),"N/A")</f>
        <v>0</v>
      </c>
      <c r="U1251" s="423" cm="1">
        <f t="array" ref="U1251">_xlfn.IFERROR((S1251+T1251),"N/A")</f>
        <v>3100447.15769812</v>
      </c>
      <c r="V1251" s="424"/>
      <c r="W1251" s="423" cm="1">
        <f t="array" ref="W1251">_xlfn.IFERROR(U1251+Q1251,"N/A")</f>
        <v>15539447.1576981</v>
      </c>
      <c r="X1251" s="423" cm="1">
        <f t="array" ref="X1251">_xlfn.IFERROR(W1251*0.5%,"N/A")</f>
        <v>77697.235788490507</v>
      </c>
      <c r="Y1251" s="423" cm="1">
        <f t="array" ref="Y1251">_xlfn.IFERROR(W1251*25%,"N/A")</f>
        <v>3884861.78942453</v>
      </c>
      <c r="Z1251" s="425" cm="1">
        <f t="array" ref="Z1251">IF(B1251&gt;0,SUM(W1251:Y1251),"N/A")</f>
        <v>19502006.1829111</v>
      </c>
      <c r="AA1251" s="425" cm="1">
        <f t="array" ref="AA1251">_xlfn.IFERROR((Z1251-Z1250),"N/A")</f>
        <v>195780</v>
      </c>
      <c r="AB1251" s="424"/>
      <c r="AC1251" t="str" s="426" cm="1">
        <f t="array" ref="AC1251">IF(B1251=6,AVERAGE(Z1239:Z1244),"N/A")</f>
        <v>N/A</v>
      </c>
      <c r="AD1251" s="424"/>
      <c r="AE1251" s="423"/>
      <c r="AF1251" s="423"/>
      <c r="AG1251" s="423"/>
      <c r="AH1251" s="423"/>
      <c r="AI1251" s="423"/>
      <c r="AJ1251" s="423"/>
      <c r="AK1251" s="423"/>
      <c r="AL1251" s="423"/>
      <c r="AM1251" s="423"/>
      <c r="AN1251" s="427"/>
    </row>
    <row r="1252" ht="15" customHeight="1">
      <c r="A1252" s="12"/>
      <c r="B1252" s="428" cm="1">
        <f t="array" ref="B1252">IF(B1251=0,0,IF(B1251&lt;VLOOKUP(C1236,'Boats Data Sheet 2026'!$C$3:$H$57,6,0),B1251+1,0))</f>
        <v>0</v>
      </c>
      <c r="C1252" t="str" s="431" cm="1">
        <f t="array" ref="C1252">IF(B1252&gt;0,IF(VLOOKUP(C1236,'Boats Data Sheet 2026'!$C$3:$J$57,8,0)="N/A",0,VLOOKUP(C1236,'Boats Data Sheet 2026'!$C$3:$J$57,8,0)),"N/A")</f>
        <v>N/A</v>
      </c>
      <c r="D1252" t="str" s="431" cm="1">
        <f t="array" ref="D1252">IF(B1252&gt;7,2,IF(B1252=0,"N/A",1))</f>
        <v>N/A</v>
      </c>
      <c r="E1252" t="str" s="431" cm="1">
        <f t="array" ref="E1252">_xlfn.IFERROR(SUM('Direct Costs 2026'!$C$4:$C$5)*D1252,"N/A")</f>
        <v>N/A</v>
      </c>
      <c r="F1252" s="423" cm="1">
        <f t="array" ref="F1252">_xlfn.IFERROR('Direct Costs 2026'!$C$43*B1252,"N/A")</f>
        <v>0</v>
      </c>
      <c r="G1252" s="423">
        <v>0</v>
      </c>
      <c r="H1252" s="423">
        <v>0</v>
      </c>
      <c r="I1252" s="423">
        <v>0</v>
      </c>
      <c r="J1252" s="423">
        <v>0</v>
      </c>
      <c r="K1252" t="str" s="431" cm="1">
        <f t="array" ref="K1252">IF(B1252&gt;0,'Direct Costs 2026'!$C$26,"N/A")</f>
        <v>N/A</v>
      </c>
      <c r="L1252" t="str" s="431" cm="1">
        <f t="array" ref="L1252">IF(B1252&gt;0,'Direct Costs 2026'!$C$23,"N/A")</f>
        <v>N/A</v>
      </c>
      <c r="M1252" t="str" s="431" cm="1">
        <f t="array" ref="M1252">IF(B1252&gt;0,'Direct Costs 2026'!$C$45*B1252,"N/A")</f>
        <v>N/A</v>
      </c>
      <c r="N1252" t="str" s="431" cm="1">
        <f t="array" ref="N1252">IF(B1252&gt;0,_xlfn.IFERROR(VLOOKUP(C1236,'Boats Data Sheet 2026'!$C$3:$I$57,7,0)*'Direct Costs 2026'!$C$36,"N/A"),"N/A")</f>
        <v>N/A</v>
      </c>
      <c r="O1252" t="str" s="431" cm="1">
        <f t="array" ref="O1252">IF(B1252&gt;0,IF(OR(VLOOKUP(C1236,'Boats Data Sheet 2026'!$C$3:$F$57,4,0)="Own",VLOOKUP(C1236,'Boats Data Sheet 2026'!$C$3:$F$57,4,0)="Management"),('Direct Costs 2026'!$C$37+'Direct Costs 2026'!$C$39),"N/A"),"N/A")</f>
        <v>N/A</v>
      </c>
      <c r="P1252" s="423">
        <v>0</v>
      </c>
      <c r="Q1252" t="str" s="431" cm="1">
        <f t="array" ref="Q1252">_xlfn.IFERROR(C1252+SUM(E1252:P1252),"N/A")</f>
        <v>N/A</v>
      </c>
      <c r="R1252" s="424"/>
      <c r="S1252" t="str" s="431" cm="1">
        <f t="array" ref="S1252">IF(B1252&gt;0,'Allocation OH and Target 2026'!$E$31,"N/A")</f>
        <v>N/A</v>
      </c>
      <c r="T1252" t="str" s="431" cm="1">
        <f t="array" ref="T1252">IF(B1252&gt;0,VLOOKUP(C1236,'Allocation OH and Target 2026'!$C$35:$S$87,16,0),"N/A")</f>
        <v>N/A</v>
      </c>
      <c r="U1252" t="str" s="431" cm="1">
        <f t="array" ref="U1252">_xlfn.IFERROR((S1252+T1252),"N/A")</f>
        <v>N/A</v>
      </c>
      <c r="V1252" s="424"/>
      <c r="W1252" t="str" s="431" cm="1">
        <f t="array" ref="W1252">_xlfn.IFERROR(U1252+Q1252,"N/A")</f>
        <v>N/A</v>
      </c>
      <c r="X1252" t="str" s="431" cm="1">
        <f t="array" ref="X1252">_xlfn.IFERROR(W1252*0.5%,"N/A")</f>
        <v>N/A</v>
      </c>
      <c r="Y1252" t="str" s="431" cm="1">
        <f t="array" ref="Y1252">_xlfn.IFERROR(W1252*25%,"N/A")</f>
        <v>N/A</v>
      </c>
      <c r="Z1252" t="str" s="426" cm="1">
        <f t="array" ref="Z1252">IF(B1252&gt;0,SUM(W1252:Y1252),"N/A")</f>
        <v>N/A</v>
      </c>
      <c r="AA1252" t="str" s="426" cm="1">
        <f t="array" ref="AA1252">_xlfn.IFERROR((Z1252-Z1251),"N/A")</f>
        <v>N/A</v>
      </c>
      <c r="AB1252" s="424"/>
      <c r="AC1252" t="str" s="426" cm="1">
        <f t="array" ref="AC1252">IF(B1252=6,AVERAGE(Z1239:Z1244),"N/A")</f>
        <v>N/A</v>
      </c>
      <c r="AD1252" s="424"/>
      <c r="AE1252" s="423"/>
      <c r="AF1252" s="423"/>
      <c r="AG1252" s="423"/>
      <c r="AH1252" s="423"/>
      <c r="AI1252" s="423"/>
      <c r="AJ1252" s="423"/>
      <c r="AK1252" s="423"/>
      <c r="AL1252" s="423"/>
      <c r="AM1252" s="423"/>
      <c r="AN1252" s="427"/>
    </row>
    <row r="1253" ht="15" customHeight="1">
      <c r="A1253" s="12"/>
      <c r="B1253" s="428" cm="1">
        <f t="array" ref="B1253">IF(B1252=0,0,IF(B1252&lt;VLOOKUP(C1236,'Boats Data Sheet 2026'!$C$3:$H$57,6,0),B1252+1,0))</f>
        <v>0</v>
      </c>
      <c r="C1253" t="str" s="431" cm="1">
        <f t="array" ref="C1253">IF(B1253&gt;0,IF(VLOOKUP(C1236,'Boats Data Sheet 2026'!$C$3:$J$57,8,0)="N/A",0,VLOOKUP(C1236,'Boats Data Sheet 2026'!$C$3:$J$57,8,0)),"N/A")</f>
        <v>N/A</v>
      </c>
      <c r="D1253" t="str" s="431" cm="1">
        <f t="array" ref="D1253">IF(B1253&gt;7,2,IF(B1253=0,"N/A",1))</f>
        <v>N/A</v>
      </c>
      <c r="E1253" t="str" s="431" cm="1">
        <f t="array" ref="E1253">_xlfn.IFERROR(SUM('Direct Costs 2026'!$C$4:$C$5)*D1253,"N/A")</f>
        <v>N/A</v>
      </c>
      <c r="F1253" s="423" cm="1">
        <f t="array" ref="F1253">_xlfn.IFERROR('Direct Costs 2026'!$C$43*B1253,"N/A")</f>
        <v>0</v>
      </c>
      <c r="G1253" s="423">
        <v>0</v>
      </c>
      <c r="H1253" s="423">
        <v>0</v>
      </c>
      <c r="I1253" s="423">
        <v>0</v>
      </c>
      <c r="J1253" s="423">
        <v>0</v>
      </c>
      <c r="K1253" t="str" s="431" cm="1">
        <f t="array" ref="K1253">IF(B1253&gt;0,'Direct Costs 2026'!$C$26,"N/A")</f>
        <v>N/A</v>
      </c>
      <c r="L1253" t="str" s="431" cm="1">
        <f t="array" ref="L1253">IF(B1253&gt;0,'Direct Costs 2026'!$C$23,"N/A")</f>
        <v>N/A</v>
      </c>
      <c r="M1253" t="str" s="431" cm="1">
        <f t="array" ref="M1253">IF(B1253&gt;0,'Direct Costs 2026'!$C$45*B1253,"N/A")</f>
        <v>N/A</v>
      </c>
      <c r="N1253" t="str" s="431" cm="1">
        <f t="array" ref="N1253">IF(B1253&gt;0,_xlfn.IFERROR(VLOOKUP(C1236,'Boats Data Sheet 2026'!$C$3:$I$57,7,0)*'Direct Costs 2026'!$C$36,"N/A"),"N/A")</f>
        <v>N/A</v>
      </c>
      <c r="O1253" t="str" s="431" cm="1">
        <f t="array" ref="O1253">IF(B1253&gt;0,IF(OR(VLOOKUP(C1236,'Boats Data Sheet 2026'!$C$3:$F$57,4,0)="Own",VLOOKUP(C1236,'Boats Data Sheet 2026'!$C$3:$F$57,4,0)="Management"),('Direct Costs 2026'!$C$37+'Direct Costs 2026'!$C$39),"N/A"),"N/A")</f>
        <v>N/A</v>
      </c>
      <c r="P1253" s="423">
        <v>0</v>
      </c>
      <c r="Q1253" t="str" s="431" cm="1">
        <f t="array" ref="Q1253">_xlfn.IFERROR(C1253+SUM(E1253:P1253),"N/A")</f>
        <v>N/A</v>
      </c>
      <c r="R1253" s="424"/>
      <c r="S1253" t="str" s="431" cm="1">
        <f t="array" ref="S1253">IF(B1253&gt;0,'Allocation OH and Target 2026'!$E$31,"N/A")</f>
        <v>N/A</v>
      </c>
      <c r="T1253" t="str" s="431" cm="1">
        <f t="array" ref="T1253">IF(B1253&gt;0,VLOOKUP(C1236,'Allocation OH and Target 2026'!$C$35:$S$87,16,0),"N/A")</f>
        <v>N/A</v>
      </c>
      <c r="U1253" t="str" s="431" cm="1">
        <f t="array" ref="U1253">_xlfn.IFERROR((S1253+T1253),"N/A")</f>
        <v>N/A</v>
      </c>
      <c r="V1253" s="424"/>
      <c r="W1253" t="str" s="431" cm="1">
        <f t="array" ref="W1253">_xlfn.IFERROR(U1253+Q1253,"N/A")</f>
        <v>N/A</v>
      </c>
      <c r="X1253" t="str" s="431" cm="1">
        <f t="array" ref="X1253">_xlfn.IFERROR(W1253*0.5%,"N/A")</f>
        <v>N/A</v>
      </c>
      <c r="Y1253" t="str" s="431" cm="1">
        <f t="array" ref="Y1253">_xlfn.IFERROR(W1253*25%,"N/A")</f>
        <v>N/A</v>
      </c>
      <c r="Z1253" t="str" s="426" cm="1">
        <f t="array" ref="Z1253">IF(B1253&gt;0,SUM(W1253:Y1253),"N/A")</f>
        <v>N/A</v>
      </c>
      <c r="AA1253" t="str" s="426" cm="1">
        <f t="array" ref="AA1253">_xlfn.IFERROR((Z1253-Z1252),"N/A")</f>
        <v>N/A</v>
      </c>
      <c r="AB1253" s="424"/>
      <c r="AC1253" t="str" s="426" cm="1">
        <f t="array" ref="AC1253">IF(B1253=6,AVERAGE(Z1239:Z1244),"N/A")</f>
        <v>N/A</v>
      </c>
      <c r="AD1253" s="424"/>
      <c r="AE1253" s="423"/>
      <c r="AF1253" s="423"/>
      <c r="AG1253" s="423"/>
      <c r="AH1253" s="423"/>
      <c r="AI1253" s="423"/>
      <c r="AJ1253" s="423"/>
      <c r="AK1253" s="423"/>
      <c r="AL1253" s="423"/>
      <c r="AM1253" s="423"/>
      <c r="AN1253" s="427"/>
    </row>
    <row r="1254" ht="15" customHeight="1">
      <c r="A1254" s="12"/>
      <c r="B1254" s="428" cm="1">
        <f t="array" ref="B1254">IF(B1253=0,0,IF(B1253&lt;VLOOKUP(C1236,'Boats Data Sheet 2026'!$C$3:$H$57,6,0),B1253+1,0))</f>
        <v>0</v>
      </c>
      <c r="C1254" t="str" s="431" cm="1">
        <f t="array" ref="C1254">IF(B1254&gt;0,IF(VLOOKUP(C1236,'Boats Data Sheet 2026'!$C$3:$J$57,8,0)="N/A",0,VLOOKUP(C1236,'Boats Data Sheet 2026'!$C$3:$J$57,8,0)),"N/A")</f>
        <v>N/A</v>
      </c>
      <c r="D1254" t="str" s="431" cm="1">
        <f t="array" ref="D1254">IF(B1254&gt;7,2,IF(B1254=0,"N/A",1))</f>
        <v>N/A</v>
      </c>
      <c r="E1254" t="str" s="431" cm="1">
        <f t="array" ref="E1254">_xlfn.IFERROR(SUM('Direct Costs 2026'!$C$4:$C$5)*D1254,"N/A")</f>
        <v>N/A</v>
      </c>
      <c r="F1254" s="423" cm="1">
        <f t="array" ref="F1254">_xlfn.IFERROR('Direct Costs 2026'!$C$43*B1254,"N/A")</f>
        <v>0</v>
      </c>
      <c r="G1254" s="423">
        <v>0</v>
      </c>
      <c r="H1254" s="423">
        <v>0</v>
      </c>
      <c r="I1254" s="423">
        <v>0</v>
      </c>
      <c r="J1254" s="423">
        <v>0</v>
      </c>
      <c r="K1254" t="str" s="431" cm="1">
        <f t="array" ref="K1254">IF(B1254&gt;0,'Direct Costs 2026'!$C$26,"N/A")</f>
        <v>N/A</v>
      </c>
      <c r="L1254" t="str" s="431" cm="1">
        <f t="array" ref="L1254">IF(B1254&gt;0,'Direct Costs 2026'!$C$23,"N/A")</f>
        <v>N/A</v>
      </c>
      <c r="M1254" t="str" s="431" cm="1">
        <f t="array" ref="M1254">IF(B1254&gt;0,'Direct Costs 2026'!$C$45*B1254,"N/A")</f>
        <v>N/A</v>
      </c>
      <c r="N1254" t="str" s="431" cm="1">
        <f t="array" ref="N1254">IF(B1254&gt;0,_xlfn.IFERROR(VLOOKUP(C1236,'Boats Data Sheet 2026'!$C$3:$I$57,7,0)*'Direct Costs 2026'!$C$36,"N/A"),"N/A")</f>
        <v>N/A</v>
      </c>
      <c r="O1254" t="str" s="431" cm="1">
        <f t="array" ref="O1254">IF(B1254&gt;0,IF(OR(VLOOKUP(C1236,'Boats Data Sheet 2026'!$C$3:$F$57,4,0)="Own",VLOOKUP(C1236,'Boats Data Sheet 2026'!$C$3:$F$57,4,0)="Management"),('Direct Costs 2026'!$C$37+'Direct Costs 2026'!$C$39),"N/A"),"N/A")</f>
        <v>N/A</v>
      </c>
      <c r="P1254" s="423">
        <v>0</v>
      </c>
      <c r="Q1254" t="str" s="431" cm="1">
        <f t="array" ref="Q1254">_xlfn.IFERROR(C1254+SUM(E1254:P1254),"N/A")</f>
        <v>N/A</v>
      </c>
      <c r="R1254" s="424"/>
      <c r="S1254" t="str" s="431" cm="1">
        <f t="array" ref="S1254">IF(B1254&gt;0,'Allocation OH and Target 2026'!$E$31,"N/A")</f>
        <v>N/A</v>
      </c>
      <c r="T1254" t="str" s="431" cm="1">
        <f t="array" ref="T1254">IF(B1254&gt;0,VLOOKUP(C1236,'Allocation OH and Target 2026'!$C$35:$S$87,16,0),"N/A")</f>
        <v>N/A</v>
      </c>
      <c r="U1254" t="str" s="431" cm="1">
        <f t="array" ref="U1254">_xlfn.IFERROR((S1254+T1254),"N/A")</f>
        <v>N/A</v>
      </c>
      <c r="V1254" s="424"/>
      <c r="W1254" t="str" s="431" cm="1">
        <f t="array" ref="W1254">_xlfn.IFERROR(U1254+Q1254,"N/A")</f>
        <v>N/A</v>
      </c>
      <c r="X1254" t="str" s="431" cm="1">
        <f t="array" ref="X1254">_xlfn.IFERROR(W1254*0.5%,"N/A")</f>
        <v>N/A</v>
      </c>
      <c r="Y1254" t="str" s="431" cm="1">
        <f t="array" ref="Y1254">_xlfn.IFERROR(W1254*25%,"N/A")</f>
        <v>N/A</v>
      </c>
      <c r="Z1254" t="str" s="426" cm="1">
        <f t="array" ref="Z1254">IF(B1254&gt;0,SUM(W1254:Y1254),"N/A")</f>
        <v>N/A</v>
      </c>
      <c r="AA1254" t="str" s="426" cm="1">
        <f t="array" ref="AA1254">_xlfn.IFERROR((Z1254-Z1253),"N/A")</f>
        <v>N/A</v>
      </c>
      <c r="AB1254" s="424"/>
      <c r="AC1254" t="str" s="426" cm="1">
        <f t="array" ref="AC1254">IF(B1254=6,AVERAGE(Z1239:Z1244),"N/A")</f>
        <v>N/A</v>
      </c>
      <c r="AD1254" s="424"/>
      <c r="AE1254" s="423"/>
      <c r="AF1254" s="423"/>
      <c r="AG1254" s="423"/>
      <c r="AH1254" s="423"/>
      <c r="AI1254" s="423"/>
      <c r="AJ1254" s="423"/>
      <c r="AK1254" s="423"/>
      <c r="AL1254" s="423"/>
      <c r="AM1254" s="423"/>
      <c r="AN1254" s="427"/>
    </row>
    <row r="1255" ht="15" customHeight="1">
      <c r="A1255" s="12"/>
      <c r="B1255" s="428" cm="1">
        <f t="array" ref="B1255">IF(B1254=0,0,IF(B1254&lt;VLOOKUP(C1236,'Boats Data Sheet 2026'!$C$3:$H$57,6,0),B1254+1,0))</f>
        <v>0</v>
      </c>
      <c r="C1255" t="str" s="431" cm="1">
        <f t="array" ref="C1255">IF(B1255&gt;0,IF(VLOOKUP(C1236,'Boats Data Sheet 2026'!$C$3:$J$57,8,0)="N/A",0,VLOOKUP(C1236,'Boats Data Sheet 2026'!$C$3:$J$57,8,0)),"N/A")</f>
        <v>N/A</v>
      </c>
      <c r="D1255" t="str" s="431" cm="1">
        <f t="array" ref="D1255">IF(B1255&gt;7,2,IF(B1255=0,"N/A",1))</f>
        <v>N/A</v>
      </c>
      <c r="E1255" t="str" s="431" cm="1">
        <f t="array" ref="E1255">_xlfn.IFERROR(SUM('Direct Costs 2026'!$C$4:$C$5)*D1255,"N/A")</f>
        <v>N/A</v>
      </c>
      <c r="F1255" s="423" cm="1">
        <f t="array" ref="F1255">_xlfn.IFERROR('Direct Costs 2026'!$C$43*B1255,"N/A")</f>
        <v>0</v>
      </c>
      <c r="G1255" s="423">
        <v>0</v>
      </c>
      <c r="H1255" s="423">
        <v>0</v>
      </c>
      <c r="I1255" s="423">
        <v>0</v>
      </c>
      <c r="J1255" s="423">
        <v>0</v>
      </c>
      <c r="K1255" t="str" s="431" cm="1">
        <f t="array" ref="K1255">IF(B1255&gt;0,'Direct Costs 2026'!$C$26,"N/A")</f>
        <v>N/A</v>
      </c>
      <c r="L1255" t="str" s="431" cm="1">
        <f t="array" ref="L1255">IF(B1255&gt;0,'Direct Costs 2026'!$C$23,"N/A")</f>
        <v>N/A</v>
      </c>
      <c r="M1255" t="str" s="431" cm="1">
        <f t="array" ref="M1255">IF(B1255&gt;0,'Direct Costs 2026'!$C$45*B1255,"N/A")</f>
        <v>N/A</v>
      </c>
      <c r="N1255" t="str" s="431" cm="1">
        <f t="array" ref="N1255">IF(B1255&gt;0,_xlfn.IFERROR(VLOOKUP(C1236,'Boats Data Sheet 2026'!$C$3:$I$57,7,0)*'Direct Costs 2026'!$C$36,"N/A"),"N/A")</f>
        <v>N/A</v>
      </c>
      <c r="O1255" t="str" s="431" cm="1">
        <f t="array" ref="O1255">IF(B1255&gt;0,IF(OR(VLOOKUP(C1236,'Boats Data Sheet 2026'!$C$3:$F$57,4,0)="Own",VLOOKUP(C1236,'Boats Data Sheet 2026'!$C$3:$F$57,4,0)="Management"),('Direct Costs 2026'!$C$37+'Direct Costs 2026'!$C$39),"N/A"),"N/A")</f>
        <v>N/A</v>
      </c>
      <c r="P1255" s="423">
        <v>0</v>
      </c>
      <c r="Q1255" t="str" s="431" cm="1">
        <f t="array" ref="Q1255">_xlfn.IFERROR(C1255+SUM(E1255:P1255),"N/A")</f>
        <v>N/A</v>
      </c>
      <c r="R1255" s="424"/>
      <c r="S1255" t="str" s="431" cm="1">
        <f t="array" ref="S1255">IF(B1255&gt;0,'Allocation OH and Target 2026'!$E$31,"N/A")</f>
        <v>N/A</v>
      </c>
      <c r="T1255" t="str" s="431" cm="1">
        <f t="array" ref="T1255">IF(B1255&gt;0,VLOOKUP(C1236,'Allocation OH and Target 2026'!$C$35:$S$87,16,0),"N/A")</f>
        <v>N/A</v>
      </c>
      <c r="U1255" t="str" s="431" cm="1">
        <f t="array" ref="U1255">_xlfn.IFERROR((S1255+T1255),"N/A")</f>
        <v>N/A</v>
      </c>
      <c r="V1255" s="424"/>
      <c r="W1255" t="str" s="431" cm="1">
        <f t="array" ref="W1255">_xlfn.IFERROR(U1255+Q1255,"N/A")</f>
        <v>N/A</v>
      </c>
      <c r="X1255" t="str" s="431" cm="1">
        <f t="array" ref="X1255">_xlfn.IFERROR(W1255*0.5%,"N/A")</f>
        <v>N/A</v>
      </c>
      <c r="Y1255" t="str" s="431" cm="1">
        <f t="array" ref="Y1255">_xlfn.IFERROR(W1255*25%,"N/A")</f>
        <v>N/A</v>
      </c>
      <c r="Z1255" t="str" s="426" cm="1">
        <f t="array" ref="Z1255">IF(B1255&gt;0,SUM(W1255:Y1255),"N/A")</f>
        <v>N/A</v>
      </c>
      <c r="AA1255" t="str" s="426" cm="1">
        <f t="array" ref="AA1255">_xlfn.IFERROR((Z1255-Z1254),"N/A")</f>
        <v>N/A</v>
      </c>
      <c r="AB1255" s="424"/>
      <c r="AC1255" t="str" s="426" cm="1">
        <f t="array" ref="AC1255">IF(B1255=6,AVERAGE(Z1239:Z1244),"N/A")</f>
        <v>N/A</v>
      </c>
      <c r="AD1255" s="424"/>
      <c r="AE1255" s="423"/>
      <c r="AF1255" s="423"/>
      <c r="AG1255" s="423"/>
      <c r="AH1255" s="423"/>
      <c r="AI1255" s="423"/>
      <c r="AJ1255" s="423"/>
      <c r="AK1255" s="423"/>
      <c r="AL1255" s="423"/>
      <c r="AM1255" s="423"/>
      <c r="AN1255" s="427"/>
    </row>
    <row r="1256" ht="15" customHeight="1">
      <c r="A1256" s="12"/>
      <c r="B1256" s="428" cm="1">
        <f t="array" ref="B1256">IF(B1255=0,0,IF(B1255&lt;VLOOKUP(C1236,'Boats Data Sheet 2026'!$C$3:$H$57,6,0),B1255+1,0))</f>
        <v>0</v>
      </c>
      <c r="C1256" t="str" s="431" cm="1">
        <f t="array" ref="C1256">IF(B1256&gt;0,IF(VLOOKUP(C1236,'Boats Data Sheet 2026'!$C$3:$J$57,8,0)="N/A",0,VLOOKUP(C1236,'Boats Data Sheet 2026'!$C$3:$J$57,8,0)),"N/A")</f>
        <v>N/A</v>
      </c>
      <c r="D1256" t="str" s="431" cm="1">
        <f t="array" ref="D1256">IF(B1256&gt;7,2,IF(B1256=0,"N/A",1))</f>
        <v>N/A</v>
      </c>
      <c r="E1256" t="str" s="431" cm="1">
        <f t="array" ref="E1256">_xlfn.IFERROR(SUM('Direct Costs 2026'!$C$4:$C$5)*D1256,"N/A")</f>
        <v>N/A</v>
      </c>
      <c r="F1256" s="423" cm="1">
        <f t="array" ref="F1256">_xlfn.IFERROR('Direct Costs 2026'!$C$43*B1256,"N/A")</f>
        <v>0</v>
      </c>
      <c r="G1256" s="423">
        <v>0</v>
      </c>
      <c r="H1256" s="423">
        <v>0</v>
      </c>
      <c r="I1256" s="423">
        <v>0</v>
      </c>
      <c r="J1256" s="423">
        <v>0</v>
      </c>
      <c r="K1256" t="str" s="431" cm="1">
        <f t="array" ref="K1256">IF(B1256&gt;0,'Direct Costs 2026'!$C$26,"N/A")</f>
        <v>N/A</v>
      </c>
      <c r="L1256" t="str" s="431" cm="1">
        <f t="array" ref="L1256">IF(B1256&gt;0,'Direct Costs 2026'!$C$23,"N/A")</f>
        <v>N/A</v>
      </c>
      <c r="M1256" t="str" s="431" cm="1">
        <f t="array" ref="M1256">IF(B1256&gt;0,'Direct Costs 2026'!$C$45*B1256,"N/A")</f>
        <v>N/A</v>
      </c>
      <c r="N1256" t="str" s="431" cm="1">
        <f t="array" ref="N1256">IF(B1256&gt;0,_xlfn.IFERROR(VLOOKUP(C1237,'Boats Data Sheet 2026'!$C$3:$I$57,7,0)*'Direct Costs 2026'!$C$36,"N/A"),"N/A")</f>
        <v>N/A</v>
      </c>
      <c r="O1256" t="str" s="431" cm="1">
        <f t="array" ref="O1256">IF(B1256&gt;0,IF(OR(VLOOKUP(C1236,'Boats Data Sheet 2026'!$C$3:$F$57,4,0)="Own",VLOOKUP(C1236,'Boats Data Sheet 2026'!$C$3:$F$57,4,0)="Management"),('Direct Costs 2026'!$C$37+'Direct Costs 2026'!$C$39),"N/A"),"N/A")</f>
        <v>N/A</v>
      </c>
      <c r="P1256" s="423">
        <v>0</v>
      </c>
      <c r="Q1256" t="str" s="431" cm="1">
        <f t="array" ref="Q1256">_xlfn.IFERROR(C1256+SUM(E1256:P1256),"N/A")</f>
        <v>N/A</v>
      </c>
      <c r="R1256" s="424"/>
      <c r="S1256" t="str" s="431" cm="1">
        <f t="array" ref="S1256">IF(B1256&gt;0,'Allocation OH and Target 2026'!$E$31,"N/A")</f>
        <v>N/A</v>
      </c>
      <c r="T1256" t="str" s="431" cm="1">
        <f t="array" ref="T1256">IF(B1256&gt;0,VLOOKUP(C1236,'Allocation OH and Target 2026'!$C$35:$S$87,16,0),"N/A")</f>
        <v>N/A</v>
      </c>
      <c r="U1256" t="str" s="431" cm="1">
        <f t="array" ref="U1256">_xlfn.IFERROR((S1256+T1256),"N/A")</f>
        <v>N/A</v>
      </c>
      <c r="V1256" s="424"/>
      <c r="W1256" t="str" s="431" cm="1">
        <f t="array" ref="W1256">_xlfn.IFERROR(U1256+Q1256,"N/A")</f>
        <v>N/A</v>
      </c>
      <c r="X1256" t="str" s="431" cm="1">
        <f t="array" ref="X1256">_xlfn.IFERROR(W1256*0.5%,"N/A")</f>
        <v>N/A</v>
      </c>
      <c r="Y1256" t="str" s="431" cm="1">
        <f t="array" ref="Y1256">_xlfn.IFERROR(W1256*25%,"N/A")</f>
        <v>N/A</v>
      </c>
      <c r="Z1256" t="str" s="426" cm="1">
        <f t="array" ref="Z1256">IF(B1256&gt;0,SUM(W1256:Y1256),"N/A")</f>
        <v>N/A</v>
      </c>
      <c r="AA1256" t="str" s="426" cm="1">
        <f t="array" ref="AA1256">_xlfn.IFERROR((Z1256-Z1255),"N/A")</f>
        <v>N/A</v>
      </c>
      <c r="AB1256" s="424"/>
      <c r="AC1256" t="str" s="426" cm="1">
        <f t="array" ref="AC1256">IF(B1256=6,AVERAGE(Z1240:Z1245),"N/A")</f>
        <v>N/A</v>
      </c>
      <c r="AD1256" s="424"/>
      <c r="AE1256" s="423"/>
      <c r="AF1256" s="423"/>
      <c r="AG1256" s="423"/>
      <c r="AH1256" s="423"/>
      <c r="AI1256" s="423"/>
      <c r="AJ1256" s="423"/>
      <c r="AK1256" s="423"/>
      <c r="AL1256" s="423"/>
      <c r="AM1256" s="423"/>
      <c r="AN1256" s="427"/>
    </row>
    <row r="1257" ht="15.5" customHeight="1">
      <c r="A1257" s="12"/>
      <c r="B1257" s="432" cm="1">
        <f t="array" ref="B1257">IF(B1256=0,0,IF(B1256&lt;VLOOKUP(C1236,'Boats Data Sheet 2026'!$C$3:$H$57,6,0),B1256+1,0))</f>
        <v>0</v>
      </c>
      <c r="C1257" t="str" s="433" cm="1">
        <f t="array" ref="C1257">IF(B1257&gt;0,IF(VLOOKUP(C1236,'Boats Data Sheet 2026'!$C$3:$J$57,8,0)="N/A",0,VLOOKUP(C1236,'Boats Data Sheet 2026'!$C$3:$J$57,8,0)),"N/A")</f>
        <v>N/A</v>
      </c>
      <c r="D1257" t="str" s="433" cm="1">
        <f t="array" ref="D1257">IF(B1257&gt;7,2,IF(B1257=0,"N/A",1))</f>
        <v>N/A</v>
      </c>
      <c r="E1257" t="str" s="433" cm="1">
        <f t="array" ref="E1257">_xlfn.IFERROR(SUM('Direct Costs 2026'!$C$4:$C$5)*D1257,"N/A")</f>
        <v>N/A</v>
      </c>
      <c r="F1257" s="434" cm="1">
        <f t="array" ref="F1257">_xlfn.IFERROR('Direct Costs 2026'!$C$43*B1257,"N/A")</f>
        <v>0</v>
      </c>
      <c r="G1257" s="434">
        <v>0</v>
      </c>
      <c r="H1257" s="434">
        <v>0</v>
      </c>
      <c r="I1257" s="434">
        <v>0</v>
      </c>
      <c r="J1257" s="434">
        <v>0</v>
      </c>
      <c r="K1257" t="str" s="433" cm="1">
        <f t="array" ref="K1257">IF(B1257&gt;0,'Direct Costs 2026'!$C$26,"N/A")</f>
        <v>N/A</v>
      </c>
      <c r="L1257" t="str" s="433" cm="1">
        <f t="array" ref="L1257">IF(B1257&gt;0,'Direct Costs 2026'!$C$23,"N/A")</f>
        <v>N/A</v>
      </c>
      <c r="M1257" t="str" s="433" cm="1">
        <f t="array" ref="M1257">IF(B1257&gt;0,'Direct Costs 2026'!$C$45*B1257,"N/A")</f>
        <v>N/A</v>
      </c>
      <c r="N1257" t="str" s="433" cm="1">
        <f t="array" ref="N1257">IF(B1257&gt;0,_xlfn.IFERROR(VLOOKUP(C1236,'Boats Data Sheet 2026'!$C$3:$I$57,7,0)*'Direct Costs 2026'!$C$36,"N/A"),"N/A")</f>
        <v>N/A</v>
      </c>
      <c r="O1257" t="str" s="433" cm="1">
        <f t="array" ref="O1257">IF(B1257&gt;0,IF(OR(VLOOKUP(C1236,'Boats Data Sheet 2026'!$C$3:$F$57,4,0)="Own",VLOOKUP(C1236,'Boats Data Sheet 2026'!$C$3:$F$57,4,0)="Management"),('Direct Costs 2026'!$C$37+'Direct Costs 2026'!$C$39),"N/A"),"N/A")</f>
        <v>N/A</v>
      </c>
      <c r="P1257" s="434">
        <v>0</v>
      </c>
      <c r="Q1257" t="str" s="433" cm="1">
        <f t="array" ref="Q1257">_xlfn.IFERROR(C1257+SUM(E1257:P1257),"N/A")</f>
        <v>N/A</v>
      </c>
      <c r="R1257" s="435"/>
      <c r="S1257" t="str" s="433" cm="1">
        <f t="array" ref="S1257">IF(B1257&gt;0,'Allocation OH and Target 2026'!$E$31,"N/A")</f>
        <v>N/A</v>
      </c>
      <c r="T1257" t="str" s="433" cm="1">
        <f t="array" ref="T1257">IF(B1257&gt;0,VLOOKUP(C1236,'Allocation OH and Target 2026'!$C$35:$S$87,16,0),"N/A")</f>
        <v>N/A</v>
      </c>
      <c r="U1257" t="str" s="433" cm="1">
        <f t="array" ref="U1257">_xlfn.IFERROR((S1257+T1257),"N/A")</f>
        <v>N/A</v>
      </c>
      <c r="V1257" s="435"/>
      <c r="W1257" t="str" s="433" cm="1">
        <f t="array" ref="W1257">_xlfn.IFERROR(U1257+Q1257,"N/A")</f>
        <v>N/A</v>
      </c>
      <c r="X1257" t="str" s="433" cm="1">
        <f t="array" ref="X1257">_xlfn.IFERROR(W1257*0.5%,"N/A")</f>
        <v>N/A</v>
      </c>
      <c r="Y1257" t="str" s="433" cm="1">
        <f t="array" ref="Y1257">_xlfn.IFERROR(W1257*25%,"N/A")</f>
        <v>N/A</v>
      </c>
      <c r="Z1257" t="str" s="436" cm="1">
        <f t="array" ref="Z1257">IF(B1257&gt;0,SUM(W1257:Y1257),"N/A")</f>
        <v>N/A</v>
      </c>
      <c r="AA1257" t="str" s="436" cm="1">
        <f t="array" ref="AA1257">_xlfn.IFERROR((Z1257-Z1256),"N/A")</f>
        <v>N/A</v>
      </c>
      <c r="AB1257" s="435"/>
      <c r="AC1257" t="str" s="436" cm="1">
        <f t="array" ref="AC1257">IF(B1257=6,AVERAGE(Z1239:Z1244),"N/A")</f>
        <v>N/A</v>
      </c>
      <c r="AD1257" s="435"/>
      <c r="AE1257" s="434"/>
      <c r="AF1257" s="434"/>
      <c r="AG1257" s="434"/>
      <c r="AH1257" s="434"/>
      <c r="AI1257" s="434"/>
      <c r="AJ1257" s="434"/>
      <c r="AK1257" s="434"/>
      <c r="AL1257" s="434"/>
      <c r="AM1257" s="434"/>
      <c r="AN1257" s="437"/>
    </row>
    <row r="1258" ht="15" customHeight="1">
      <c r="A1258" s="32"/>
      <c r="B1258" s="124"/>
      <c r="C1258" s="124"/>
      <c r="D1258" s="124"/>
      <c r="E1258" s="124"/>
      <c r="F1258" s="124"/>
      <c r="G1258" s="124"/>
      <c r="H1258" s="124"/>
      <c r="I1258" s="124"/>
      <c r="J1258" s="124"/>
      <c r="K1258" s="124"/>
      <c r="L1258" s="124"/>
      <c r="M1258" s="124"/>
      <c r="N1258" s="124"/>
      <c r="O1258" s="124"/>
      <c r="P1258" s="124"/>
      <c r="Q1258" s="124"/>
      <c r="R1258" s="124"/>
      <c r="S1258" s="124"/>
      <c r="T1258" s="124"/>
      <c r="U1258" s="124"/>
      <c r="V1258" s="124"/>
      <c r="W1258" s="124"/>
      <c r="X1258" s="124"/>
      <c r="Y1258" s="124"/>
      <c r="Z1258" s="124"/>
      <c r="AA1258" s="124"/>
      <c r="AB1258" s="124"/>
      <c r="AC1258" s="124"/>
      <c r="AD1258" s="124"/>
      <c r="AE1258" s="124"/>
      <c r="AF1258" s="124"/>
      <c r="AG1258" s="124"/>
      <c r="AH1258" s="124"/>
      <c r="AI1258" s="124"/>
      <c r="AJ1258" s="124"/>
      <c r="AK1258" s="124"/>
      <c r="AL1258" s="124"/>
      <c r="AM1258" s="124"/>
      <c r="AN1258" s="313"/>
    </row>
    <row r="1259" ht="15" customHeight="1">
      <c r="A1259" s="32"/>
      <c r="B1259" s="35"/>
      <c r="C1259" s="35"/>
      <c r="D1259" s="35"/>
      <c r="E1259" s="35"/>
      <c r="F1259" s="35"/>
      <c r="G1259" s="35"/>
      <c r="H1259" s="35"/>
      <c r="I1259" s="35"/>
      <c r="J1259" s="35"/>
      <c r="K1259" s="35"/>
      <c r="L1259" s="35"/>
      <c r="M1259" s="35"/>
      <c r="N1259" s="35"/>
      <c r="O1259" s="35"/>
      <c r="P1259" s="35"/>
      <c r="Q1259" s="35"/>
      <c r="R1259" s="35"/>
      <c r="S1259" s="35"/>
      <c r="T1259" s="35"/>
      <c r="U1259" s="35"/>
      <c r="V1259" s="35"/>
      <c r="W1259" s="35"/>
      <c r="X1259" s="35"/>
      <c r="Y1259" s="35"/>
      <c r="Z1259" s="35"/>
      <c r="AA1259" s="35"/>
      <c r="AB1259" s="35"/>
      <c r="AC1259" s="35"/>
      <c r="AD1259" s="35"/>
      <c r="AE1259" s="35"/>
      <c r="AF1259" s="35"/>
      <c r="AG1259" s="35"/>
      <c r="AH1259" s="35"/>
      <c r="AI1259" s="35"/>
      <c r="AJ1259" s="35"/>
      <c r="AK1259" s="35"/>
      <c r="AL1259" s="35"/>
      <c r="AM1259" s="35"/>
      <c r="AN1259" s="442"/>
    </row>
    <row r="1260" ht="15.5" customHeight="1">
      <c r="A1260" s="395">
        <v>39</v>
      </c>
      <c r="B1260" t="s" s="396">
        <v>506</v>
      </c>
      <c r="C1260" t="s" s="397">
        <v>58</v>
      </c>
      <c r="D1260" s="398"/>
      <c r="E1260" s="398"/>
      <c r="F1260" s="398"/>
      <c r="G1260" s="398"/>
      <c r="H1260" s="398"/>
      <c r="I1260" s="398"/>
      <c r="J1260" s="398"/>
      <c r="K1260" s="398"/>
      <c r="L1260" s="398"/>
      <c r="M1260" s="398"/>
      <c r="N1260" s="398"/>
      <c r="O1260" s="398"/>
      <c r="P1260" s="398"/>
      <c r="Q1260" s="398"/>
      <c r="R1260" s="399"/>
      <c r="S1260" s="398"/>
      <c r="T1260" s="398"/>
      <c r="U1260" s="398"/>
      <c r="V1260" s="399"/>
      <c r="W1260" s="398"/>
      <c r="X1260" s="398"/>
      <c r="Y1260" s="398"/>
      <c r="Z1260" s="398"/>
      <c r="AA1260" s="398"/>
      <c r="AB1260" s="399"/>
      <c r="AC1260" s="398"/>
      <c r="AD1260" s="399"/>
      <c r="AE1260" t="s" s="400">
        <v>508</v>
      </c>
      <c r="AF1260" s="401" cm="1">
        <f t="array" ref="AF1260">AVERAGE(Q1263:Q1268)</f>
        <v>6984733.33333333</v>
      </c>
      <c r="AG1260" t="s" s="400">
        <v>509</v>
      </c>
      <c r="AH1260" s="401" cm="1">
        <f t="array" ref="AH1260">AVERAGE(Q1269:Q1276)-AF1260</f>
        <v>1991928.57142857</v>
      </c>
      <c r="AI1260" t="s" s="400">
        <v>510</v>
      </c>
      <c r="AJ1260" s="401" cm="1">
        <f t="array" ref="AJ1260">AVERAGE(Y1263:Y1270)</f>
        <v>2596404.49775787</v>
      </c>
      <c r="AK1260" t="s" s="397">
        <v>511</v>
      </c>
      <c r="AL1260" s="401" cm="1">
        <f t="array" ref="AL1260">AVERAGE(W1263:W1268)</f>
        <v>10085180.4910315</v>
      </c>
      <c r="AM1260" t="s" s="400">
        <v>512</v>
      </c>
      <c r="AN1260" s="402" cm="1">
        <f t="array" ref="AN1260">W1263</f>
        <v>9607680.491031449</v>
      </c>
    </row>
    <row r="1261" ht="15" customHeight="1">
      <c r="A1261" s="12"/>
      <c r="B1261" s="403"/>
      <c r="C1261" t="s" s="404">
        <v>513</v>
      </c>
      <c r="D1261" s="405"/>
      <c r="E1261" s="405"/>
      <c r="F1261" s="405"/>
      <c r="G1261" s="405"/>
      <c r="H1261" s="405"/>
      <c r="I1261" s="405"/>
      <c r="J1261" s="405"/>
      <c r="K1261" s="405"/>
      <c r="L1261" s="405"/>
      <c r="M1261" s="405"/>
      <c r="N1261" s="405"/>
      <c r="O1261" s="405"/>
      <c r="P1261" s="405"/>
      <c r="Q1261" s="406"/>
      <c r="R1261" s="407"/>
      <c r="S1261" t="s" s="404">
        <v>514</v>
      </c>
      <c r="T1261" s="405"/>
      <c r="U1261" s="406"/>
      <c r="V1261" s="407"/>
      <c r="W1261" t="s" s="404">
        <v>515</v>
      </c>
      <c r="X1261" s="405"/>
      <c r="Y1261" s="405"/>
      <c r="Z1261" s="405"/>
      <c r="AA1261" s="405"/>
      <c r="AB1261" s="408"/>
      <c r="AC1261" s="443"/>
      <c r="AD1261" s="410"/>
      <c r="AE1261" s="411"/>
      <c r="AF1261" s="412"/>
      <c r="AG1261" s="412"/>
      <c r="AH1261" s="412"/>
      <c r="AI1261" s="412"/>
      <c r="AJ1261" s="412"/>
      <c r="AK1261" s="413"/>
      <c r="AL1261" s="414"/>
      <c r="AM1261" s="415"/>
      <c r="AN1261" s="414"/>
    </row>
    <row r="1262" ht="46.25" customHeight="1">
      <c r="A1262" s="187"/>
      <c r="B1262" t="s" s="416">
        <v>517</v>
      </c>
      <c r="C1262" t="s" s="417">
        <v>518</v>
      </c>
      <c r="D1262" t="s" s="417">
        <v>519</v>
      </c>
      <c r="E1262" t="s" s="417">
        <v>520</v>
      </c>
      <c r="F1262" t="s" s="159">
        <v>521</v>
      </c>
      <c r="G1262" t="s" s="159">
        <v>522</v>
      </c>
      <c r="H1262" t="s" s="159">
        <v>523</v>
      </c>
      <c r="I1262" t="s" s="159">
        <v>524</v>
      </c>
      <c r="J1262" t="s" s="159">
        <v>525</v>
      </c>
      <c r="K1262" t="s" s="159">
        <v>526</v>
      </c>
      <c r="L1262" t="s" s="159">
        <v>527</v>
      </c>
      <c r="M1262" t="s" s="159">
        <v>528</v>
      </c>
      <c r="N1262" t="s" s="159">
        <v>529</v>
      </c>
      <c r="O1262" t="s" s="159">
        <v>530</v>
      </c>
      <c r="P1262" t="s" s="159">
        <v>531</v>
      </c>
      <c r="Q1262" t="s" s="159">
        <v>532</v>
      </c>
      <c r="R1262" s="418"/>
      <c r="S1262" t="s" s="159">
        <v>533</v>
      </c>
      <c r="T1262" t="s" s="159">
        <v>534</v>
      </c>
      <c r="U1262" t="s" s="159">
        <v>535</v>
      </c>
      <c r="V1262" s="418"/>
      <c r="W1262" t="s" s="159">
        <v>536</v>
      </c>
      <c r="X1262" t="s" s="159">
        <v>537</v>
      </c>
      <c r="Y1262" t="s" s="159">
        <v>538</v>
      </c>
      <c r="Z1262" t="s" s="159">
        <v>539</v>
      </c>
      <c r="AA1262" t="s" s="159">
        <v>121</v>
      </c>
      <c r="AB1262" s="419"/>
      <c r="AC1262" t="s" s="159">
        <v>39</v>
      </c>
      <c r="AD1262" s="419"/>
      <c r="AE1262" t="s" s="159">
        <v>569</v>
      </c>
      <c r="AF1262" t="s" s="159">
        <v>544</v>
      </c>
      <c r="AG1262" s="77"/>
      <c r="AH1262" s="77"/>
      <c r="AI1262" s="77"/>
      <c r="AJ1262" s="77"/>
      <c r="AK1262" s="77"/>
      <c r="AL1262" s="77"/>
      <c r="AM1262" s="77"/>
      <c r="AN1262" s="78"/>
    </row>
    <row r="1263" ht="15" customHeight="1">
      <c r="A1263" s="12"/>
      <c r="B1263" s="420">
        <v>1</v>
      </c>
      <c r="C1263" s="421" cm="1">
        <f t="array" ref="C1263">IF(B1263&gt;0,IF(VLOOKUP(C1260,'Boats Data Sheet 2026'!$C$3:$J$57,8,0)="N/A",0,VLOOKUP(C1260,'Boats Data Sheet 2026'!$C$3:$J$57,8,0)),"N/A")</f>
        <v>0</v>
      </c>
      <c r="D1263" s="422" cm="1">
        <f t="array" ref="D1263">IF(B1263&gt;7,2,IF(B1263=0,"N/A",1))</f>
        <v>1</v>
      </c>
      <c r="E1263" s="421" cm="1">
        <f t="array" ref="E1263">_xlfn.IFERROR(SUM('Direct Costs 2026'!$C$4:$C$5)*D1263,"N/A")</f>
        <v>875500</v>
      </c>
      <c r="F1263" s="423" cm="1">
        <f t="array" ref="F1263">_xlfn.IFERROR('Direct Costs 2026'!$C$43*B1263,"N/A")</f>
        <v>6000</v>
      </c>
      <c r="G1263" s="423" cm="1">
        <f t="array" ref="G1263">IF(B1263&gt;0,'Direct Costs 2026'!$C$25,"N/A")</f>
        <v>90000</v>
      </c>
      <c r="H1263" s="423" cm="1">
        <f t="array" ref="H1263">IF(B1263&gt;0,('Direct Costs 2026'!$C$15+'Direct Costs 2026'!$C$17+'Direct Costs 2026'!$C$14),"N/A")</f>
        <v>580000</v>
      </c>
      <c r="I1263" s="423" cm="1">
        <f t="array" ref="I1263">IF(B1263&gt;0,'Direct Costs 2026'!$C$19+'Direct Costs 2026'!$C$18*B1263,"N/A")</f>
        <v>110000</v>
      </c>
      <c r="J1263" s="423" cm="1">
        <f t="array" ref="J1263">IF(B1263&gt;0,SUM('Direct Costs 2026'!$C$20:$C$21),"N/A")</f>
        <v>98333.3333333333</v>
      </c>
      <c r="K1263" s="423" cm="1">
        <f t="array" ref="K1263">IF(B1263&gt;0,'Direct Costs 2026'!$C$26,"N/A")</f>
        <v>20000</v>
      </c>
      <c r="L1263" s="423" cm="1">
        <f t="array" ref="L1263">IF(B1263&gt;0,'Direct Costs 2026'!$C$23,"N/A")</f>
        <v>140000</v>
      </c>
      <c r="M1263" s="423" cm="1">
        <f t="array" ref="M1263">IF(B1263&gt;0,'Direct Costs 2026'!$C$45*B1263,"N/A")</f>
        <v>150000</v>
      </c>
      <c r="N1263" s="423" cm="1">
        <f t="array" ref="N1263">IF(B1263&gt;0,_xlfn.IFERROR(VLOOKUP(C1260,'Boats Data Sheet 2026'!$C$3:$I$57,7,0)*'Direct Costs 2026'!$C$36,"N/A"),"N/A")</f>
        <v>3325000</v>
      </c>
      <c r="O1263" s="423" cm="1">
        <f t="array" ref="O1263">IF(B1263&gt;0,IF(OR(VLOOKUP(C1260,'Boats Data Sheet 2026'!$C$3:$F$57,4,0)="Own",VLOOKUP(C1260,'Boats Data Sheet 2026'!$C$3:$F$57,4,0)="Management"),('Direct Costs 2026'!$C$37+'Direct Costs 2026'!$C$39),"N/A"),"N/A")</f>
        <v>1112400</v>
      </c>
      <c r="P1263" s="423" cm="1">
        <f t="array" ref="P1263">_xlfn.IFERROR('Direct Costs 2026'!$C$27*C1263,"N/A")</f>
        <v>0</v>
      </c>
      <c r="Q1263" s="423" cm="1">
        <f t="array" ref="Q1263">_xlfn.IFERROR(C1263+SUM(E1263:P1263),"N/A")</f>
        <v>6507233.33333333</v>
      </c>
      <c r="R1263" s="424"/>
      <c r="S1263" s="423" cm="1">
        <f t="array" ref="S1263">IF(B1263&gt;0,'Allocation OH and Target 2026'!$E$31,"N/A")</f>
        <v>3100447.15769812</v>
      </c>
      <c r="T1263" s="423" cm="1">
        <f t="array" ref="T1263">IF(B1263&gt;0,VLOOKUP(C1260,'Allocation OH and Target 2026'!$C$35:$S$87,17,0),"N/A")</f>
        <v>0</v>
      </c>
      <c r="U1263" s="423" cm="1">
        <f t="array" ref="U1263">_xlfn.IFERROR((S1263+T1263),"N/A")</f>
        <v>3100447.15769812</v>
      </c>
      <c r="V1263" s="424"/>
      <c r="W1263" s="423" cm="1">
        <f t="array" ref="W1263">_xlfn.IFERROR(U1263+Q1263,"N/A")</f>
        <v>9607680.491031449</v>
      </c>
      <c r="X1263" s="423" cm="1">
        <f t="array" ref="X1263">_xlfn.IFERROR(W1263*0.5%,"N/A")</f>
        <v>48038.4024551573</v>
      </c>
      <c r="Y1263" s="423" cm="1">
        <f t="array" ref="Y1263">_xlfn.IFERROR(W1263*25%,"N/A")</f>
        <v>2401920.12275786</v>
      </c>
      <c r="Z1263" s="425" cm="1">
        <f t="array" ref="Z1263">IF(B1263&gt;0,SUM(W1263:Y1263),"N/A")</f>
        <v>12057639.0162445</v>
      </c>
      <c r="AA1263" s="425">
        <v>0</v>
      </c>
      <c r="AB1263" s="424"/>
      <c r="AC1263" t="str" s="426" cm="1">
        <f t="array" ref="AC1263">IF(B1263=6,AVERAGE(Z1263:Z1268),"N/A")</f>
        <v>N/A</v>
      </c>
      <c r="AD1263" s="424"/>
      <c r="AE1263" t="s" s="504">
        <v>563</v>
      </c>
      <c r="AF1263" s="505" cm="1">
        <f t="array" ref="AF1263">VLOOKUP(C1260,'Allocation OH and Target 2026'!$C$35:$K$87,9,0)</f>
        <v>102</v>
      </c>
      <c r="AG1263" s="423"/>
      <c r="AH1263" s="423"/>
      <c r="AI1263" s="423"/>
      <c r="AJ1263" s="423"/>
      <c r="AK1263" s="423"/>
      <c r="AL1263" s="423"/>
      <c r="AM1263" s="423"/>
      <c r="AN1263" s="427"/>
    </row>
    <row r="1264" ht="15" customHeight="1">
      <c r="A1264" s="12"/>
      <c r="B1264" s="428" cm="1">
        <f t="array" ref="B1264">IF(B1263=0,0,IF(B1263&lt;VLOOKUP(C1260,'Boats Data Sheet 2026'!$C$3:$H$57,6,0),B1263+1,0))</f>
        <v>2</v>
      </c>
      <c r="C1264" s="423" cm="1">
        <f t="array" ref="C1264">IF(B1264&gt;0,IF(VLOOKUP(C1260,'Boats Data Sheet 2026'!$C$3:$J$57,8,0)="N/A",0,VLOOKUP(C1260,'Boats Data Sheet 2026'!$C$3:$J$57,8,0)),"N/A")</f>
        <v>0</v>
      </c>
      <c r="D1264" s="429" cm="1">
        <f t="array" ref="D1264">IF(B1264&gt;7,2,IF(B1264=0,"N/A",1))</f>
        <v>1</v>
      </c>
      <c r="E1264" s="423" cm="1">
        <f t="array" ref="E1264">_xlfn.IFERROR(SUM('Direct Costs 2026'!$C$4:$C$5)*D1264,"N/A")</f>
        <v>875500</v>
      </c>
      <c r="F1264" s="423" cm="1">
        <f t="array" ref="F1264">_xlfn.IFERROR('Direct Costs 2026'!$C$43*B1264,"N/A")</f>
        <v>12000</v>
      </c>
      <c r="G1264" s="423" cm="1">
        <f t="array" ref="G1264">IF(B1264&gt;0,'Direct Costs 2026'!$C$25,"N/A")</f>
        <v>90000</v>
      </c>
      <c r="H1264" s="423" cm="1">
        <f t="array" ref="H1264">IF(B1264&gt;0,('Direct Costs 2026'!$C$15+'Direct Costs 2026'!$C$17+'Direct Costs 2026'!$C$14),"N/A")</f>
        <v>580000</v>
      </c>
      <c r="I1264" s="423" cm="1">
        <f t="array" ref="I1264">IF(B1264&gt;0,'Direct Costs 2026'!$C$19+'Direct Costs 2026'!$C$18*B1264,"N/A")</f>
        <v>145000</v>
      </c>
      <c r="J1264" s="423" cm="1">
        <f t="array" ref="J1264">IF(B1264&gt;0,SUM('Direct Costs 2026'!$C$20:$C$21),"N/A")</f>
        <v>98333.3333333333</v>
      </c>
      <c r="K1264" s="423" cm="1">
        <f t="array" ref="K1264">IF(B1264&gt;0,'Direct Costs 2026'!$C$26,"N/A")</f>
        <v>20000</v>
      </c>
      <c r="L1264" s="423" cm="1">
        <f t="array" ref="L1264">IF(B1264&gt;0,'Direct Costs 2026'!$C$23,"N/A")</f>
        <v>140000</v>
      </c>
      <c r="M1264" s="423" cm="1">
        <f t="array" ref="M1264">IF(B1264&gt;0,'Direct Costs 2026'!$C$45*B1264,"N/A")</f>
        <v>300000</v>
      </c>
      <c r="N1264" s="423" cm="1">
        <f t="array" ref="N1264">IF(B1264&gt;0,_xlfn.IFERROR(VLOOKUP(C1260,'Boats Data Sheet 2026'!$C$3:$I$57,7,0)*'Direct Costs 2026'!$C$36,"N/A"),"N/A")</f>
        <v>3325000</v>
      </c>
      <c r="O1264" s="423" cm="1">
        <f t="array" ref="O1264">IF(B1264&gt;0,IF(OR(VLOOKUP(C1260,'Boats Data Sheet 2026'!$C$3:$F$57,4,0)="Own",VLOOKUP(C1260,'Boats Data Sheet 2026'!$C$3:$F$57,4,0)="Management"),('Direct Costs 2026'!$C$37+'Direct Costs 2026'!$C$39),"N/A"),"N/A")</f>
        <v>1112400</v>
      </c>
      <c r="P1264" s="423" cm="1">
        <f t="array" ref="P1264">_xlfn.IFERROR('Direct Costs 2026'!$C$27*C1264,"N/A")</f>
        <v>0</v>
      </c>
      <c r="Q1264" s="423" cm="1">
        <f t="array" ref="Q1264">_xlfn.IFERROR(C1264+SUM(E1264:P1264),"N/A")</f>
        <v>6698233.33333333</v>
      </c>
      <c r="R1264" s="424"/>
      <c r="S1264" s="423" cm="1">
        <f t="array" ref="S1264">IF(B1264&gt;0,'Allocation OH and Target 2026'!$E$31,"N/A")</f>
        <v>3100447.15769812</v>
      </c>
      <c r="T1264" s="423" cm="1">
        <f t="array" ref="T1264">IF(B1264&gt;0,VLOOKUP(C1260,'Allocation OH and Target 2026'!$C$35:$S$87,17,0),"N/A")</f>
        <v>0</v>
      </c>
      <c r="U1264" s="423" cm="1">
        <f t="array" ref="U1264">_xlfn.IFERROR((S1264+T1264),"N/A")</f>
        <v>3100447.15769812</v>
      </c>
      <c r="V1264" s="424"/>
      <c r="W1264" s="423" cm="1">
        <f t="array" ref="W1264">_xlfn.IFERROR(U1264+Q1264,"N/A")</f>
        <v>9798680.491031449</v>
      </c>
      <c r="X1264" s="423" cm="1">
        <f t="array" ref="X1264">_xlfn.IFERROR(W1264*0.5%,"N/A")</f>
        <v>48993.4024551573</v>
      </c>
      <c r="Y1264" s="423" cm="1">
        <f t="array" ref="Y1264">_xlfn.IFERROR(W1264*25%,"N/A")</f>
        <v>2449670.12275786</v>
      </c>
      <c r="Z1264" s="425" cm="1">
        <f t="array" ref="Z1264">IF(B1264&gt;0,SUM(W1264:Y1264),"N/A")</f>
        <v>12297344.0162445</v>
      </c>
      <c r="AA1264" s="425" cm="1">
        <f t="array" ref="AA1264">_xlfn.IFERROR((Z1264-Z1263),"N/A")</f>
        <v>239705</v>
      </c>
      <c r="AB1264" s="424"/>
      <c r="AC1264" t="str" s="426" cm="1">
        <f t="array" ref="AC1264">IF(B1264=6,AVERAGE(Z1263:Z1268),"N/A")</f>
        <v>N/A</v>
      </c>
      <c r="AD1264" s="424"/>
      <c r="AE1264" t="s" s="506">
        <v>546</v>
      </c>
      <c r="AF1264" s="423"/>
      <c r="AG1264" s="423"/>
      <c r="AH1264" s="423"/>
      <c r="AI1264" s="423"/>
      <c r="AJ1264" s="423"/>
      <c r="AK1264" s="423"/>
      <c r="AL1264" s="423"/>
      <c r="AM1264" s="423"/>
      <c r="AN1264" s="427"/>
    </row>
    <row r="1265" ht="15" customHeight="1">
      <c r="A1265" s="12"/>
      <c r="B1265" s="428" cm="1">
        <f t="array" ref="B1265">IF(B1264=0,0,IF(B1264&lt;VLOOKUP(C1260,'Boats Data Sheet 2026'!$C$3:$H$57,6,0),B1264+1,0))</f>
        <v>3</v>
      </c>
      <c r="C1265" s="423" cm="1">
        <f t="array" ref="C1265">IF(B1265&gt;0,IF(VLOOKUP(C1260,'Boats Data Sheet 2026'!$C$3:$J$57,8,0)="N/A",0,VLOOKUP(C1260,'Boats Data Sheet 2026'!$C$3:$J$57,8,0)),"N/A")</f>
        <v>0</v>
      </c>
      <c r="D1265" s="429" cm="1">
        <f t="array" ref="D1265">IF(B1265&gt;7,2,IF(B1265=0,"N/A",1))</f>
        <v>1</v>
      </c>
      <c r="E1265" s="423" cm="1">
        <f t="array" ref="E1265">_xlfn.IFERROR(SUM('Direct Costs 2026'!$C$4:$C$5)*D1265,"N/A")</f>
        <v>875500</v>
      </c>
      <c r="F1265" s="423" cm="1">
        <f t="array" ref="F1265">_xlfn.IFERROR('Direct Costs 2026'!$C$43*B1265,"N/A")</f>
        <v>18000</v>
      </c>
      <c r="G1265" s="423" cm="1">
        <f t="array" ref="G1265">IF(B1265&gt;0,'Direct Costs 2026'!$C$25,"N/A")</f>
        <v>90000</v>
      </c>
      <c r="H1265" s="423" cm="1">
        <f t="array" ref="H1265">IF(B1265&gt;0,('Direct Costs 2026'!$C$15+'Direct Costs 2026'!$C$17+'Direct Costs 2026'!$C$14),"N/A")</f>
        <v>580000</v>
      </c>
      <c r="I1265" s="423" cm="1">
        <f t="array" ref="I1265">IF(B1265&gt;0,'Direct Costs 2026'!$C$19+'Direct Costs 2026'!$C$18*B1265,"N/A")</f>
        <v>180000</v>
      </c>
      <c r="J1265" s="423" cm="1">
        <f t="array" ref="J1265">IF(B1265&gt;0,SUM('Direct Costs 2026'!$C$20:$C$21),"N/A")</f>
        <v>98333.3333333333</v>
      </c>
      <c r="K1265" s="423" cm="1">
        <f t="array" ref="K1265">IF(B1265&gt;0,'Direct Costs 2026'!$C$26,"N/A")</f>
        <v>20000</v>
      </c>
      <c r="L1265" s="423" cm="1">
        <f t="array" ref="L1265">IF(B1265&gt;0,'Direct Costs 2026'!$C$23,"N/A")</f>
        <v>140000</v>
      </c>
      <c r="M1265" s="423" cm="1">
        <f t="array" ref="M1265">IF(B1265&gt;0,'Direct Costs 2026'!$C$45*B1265,"N/A")</f>
        <v>450000</v>
      </c>
      <c r="N1265" s="423" cm="1">
        <f t="array" ref="N1265">IF(B1265&gt;0,_xlfn.IFERROR(VLOOKUP(C1260,'Boats Data Sheet 2026'!$C$3:$I$57,7,0)*'Direct Costs 2026'!$C$36,"N/A"),"N/A")</f>
        <v>3325000</v>
      </c>
      <c r="O1265" s="423" cm="1">
        <f t="array" ref="O1265">IF(B1265&gt;0,IF(OR(VLOOKUP(C1260,'Boats Data Sheet 2026'!$C$3:$F$57,4,0)="Own",VLOOKUP(C1260,'Boats Data Sheet 2026'!$C$3:$F$57,4,0)="Management"),('Direct Costs 2026'!$C$37+'Direct Costs 2026'!$C$39),"N/A"),"N/A")</f>
        <v>1112400</v>
      </c>
      <c r="P1265" s="423" cm="1">
        <f t="array" ref="P1265">_xlfn.IFERROR('Direct Costs 2026'!$C$27*C1265,"N/A")</f>
        <v>0</v>
      </c>
      <c r="Q1265" s="423" cm="1">
        <f t="array" ref="Q1265">_xlfn.IFERROR(C1265+SUM(E1265:P1265),"N/A")</f>
        <v>6889233.33333333</v>
      </c>
      <c r="R1265" s="424"/>
      <c r="S1265" s="423" cm="1">
        <f t="array" ref="S1265">IF(B1265&gt;0,'Allocation OH and Target 2026'!$E$31,"N/A")</f>
        <v>3100447.15769812</v>
      </c>
      <c r="T1265" s="423" cm="1">
        <f t="array" ref="T1265">IF(B1265&gt;0,VLOOKUP(C1260,'Allocation OH and Target 2026'!$C$35:$S$87,17,0),"N/A")</f>
        <v>0</v>
      </c>
      <c r="U1265" s="423" cm="1">
        <f t="array" ref="U1265">_xlfn.IFERROR((S1265+T1265),"N/A")</f>
        <v>3100447.15769812</v>
      </c>
      <c r="V1265" s="424"/>
      <c r="W1265" s="423" cm="1">
        <f t="array" ref="W1265">_xlfn.IFERROR(U1265+Q1265,"N/A")</f>
        <v>9989680.491031449</v>
      </c>
      <c r="X1265" s="423" cm="1">
        <f t="array" ref="X1265">_xlfn.IFERROR(W1265*0.5%,"N/A")</f>
        <v>49948.4024551573</v>
      </c>
      <c r="Y1265" s="423" cm="1">
        <f t="array" ref="Y1265">_xlfn.IFERROR(W1265*25%,"N/A")</f>
        <v>2497420.12275786</v>
      </c>
      <c r="Z1265" s="425" cm="1">
        <f t="array" ref="Z1265">IF(B1265&gt;0,SUM(W1265:Y1265),"N/A")</f>
        <v>12537049.0162445</v>
      </c>
      <c r="AA1265" s="425" cm="1">
        <f t="array" ref="AA1265">_xlfn.IFERROR((Z1265-Z1264),"N/A")</f>
        <v>239705</v>
      </c>
      <c r="AB1265" s="424"/>
      <c r="AC1265" t="str" s="426" cm="1">
        <f t="array" ref="AC1265">IF(B1265=6,AVERAGE(Z1263:Z1268),"N/A")</f>
        <v>N/A</v>
      </c>
      <c r="AD1265" s="424"/>
      <c r="AE1265" t="s" s="504">
        <v>547</v>
      </c>
      <c r="AF1265" s="423" cm="1">
        <f t="array" ref="AF1265">AF1263*'RECOMMENDED PRICES'!$D$17</f>
        <v>1254090000</v>
      </c>
      <c r="AG1265" s="423"/>
      <c r="AH1265" s="423"/>
      <c r="AI1265" s="423"/>
      <c r="AJ1265" s="423"/>
      <c r="AK1265" s="423"/>
      <c r="AL1265" s="423"/>
      <c r="AM1265" s="423"/>
      <c r="AN1265" s="427"/>
    </row>
    <row r="1266" ht="15" customHeight="1">
      <c r="A1266" s="12"/>
      <c r="B1266" s="428" cm="1">
        <f t="array" ref="B1266">IF(B1265=0,0,IF(B1265&lt;VLOOKUP(C1260,'Boats Data Sheet 2026'!$C$3:$H$57,6,0),B1265+1,0))</f>
        <v>4</v>
      </c>
      <c r="C1266" s="423" cm="1">
        <f t="array" ref="C1266">IF(B1266&gt;0,IF(VLOOKUP(C1260,'Boats Data Sheet 2026'!$C$3:$J$57,8,0)="N/A",0,VLOOKUP(C1260,'Boats Data Sheet 2026'!$C$3:$J$57,8,0)),"N/A")</f>
        <v>0</v>
      </c>
      <c r="D1266" s="429" cm="1">
        <f t="array" ref="D1266">IF(B1266&gt;7,2,IF(B1266=0,"N/A",1))</f>
        <v>1</v>
      </c>
      <c r="E1266" s="423" cm="1">
        <f t="array" ref="E1266">_xlfn.IFERROR(SUM('Direct Costs 2026'!$C$4:$C$5)*D1266,"N/A")</f>
        <v>875500</v>
      </c>
      <c r="F1266" s="423" cm="1">
        <f t="array" ref="F1266">_xlfn.IFERROR('Direct Costs 2026'!$C$43*B1266,"N/A")</f>
        <v>24000</v>
      </c>
      <c r="G1266" s="423" cm="1">
        <f t="array" ref="G1266">IF(B1266&gt;0,'Direct Costs 2026'!$C$25,"N/A")</f>
        <v>90000</v>
      </c>
      <c r="H1266" s="423" cm="1">
        <f t="array" ref="H1266">IF(B1266&gt;0,('Direct Costs 2026'!$C$15+'Direct Costs 2026'!$C$17+'Direct Costs 2026'!$C$14),"N/A")</f>
        <v>580000</v>
      </c>
      <c r="I1266" s="423" cm="1">
        <f t="array" ref="I1266">IF(B1266&gt;0,'Direct Costs 2026'!$C$19+'Direct Costs 2026'!$C$18*B1266,"N/A")</f>
        <v>215000</v>
      </c>
      <c r="J1266" s="423" cm="1">
        <f t="array" ref="J1266">IF(B1266&gt;0,SUM('Direct Costs 2026'!$C$20:$C$21),"N/A")</f>
        <v>98333.3333333333</v>
      </c>
      <c r="K1266" s="423" cm="1">
        <f t="array" ref="K1266">IF(B1266&gt;0,'Direct Costs 2026'!$C$26,"N/A")</f>
        <v>20000</v>
      </c>
      <c r="L1266" s="423" cm="1">
        <f t="array" ref="L1266">IF(B1266&gt;0,'Direct Costs 2026'!$C$23,"N/A")</f>
        <v>140000</v>
      </c>
      <c r="M1266" s="423" cm="1">
        <f t="array" ref="M1266">IF(B1266&gt;0,'Direct Costs 2026'!$C$45*B1266,"N/A")</f>
        <v>600000</v>
      </c>
      <c r="N1266" s="423" cm="1">
        <f t="array" ref="N1266">IF(B1266&gt;0,_xlfn.IFERROR(VLOOKUP(C1260,'Boats Data Sheet 2026'!$C$3:$I$57,7,0)*'Direct Costs 2026'!$C$36,"N/A"),"N/A")</f>
        <v>3325000</v>
      </c>
      <c r="O1266" s="423" cm="1">
        <f t="array" ref="O1266">IF(B1266&gt;0,IF(OR(VLOOKUP(C1260,'Boats Data Sheet 2026'!$C$3:$F$57,4,0)="Own",VLOOKUP(C1260,'Boats Data Sheet 2026'!$C$3:$F$57,4,0)="Management"),('Direct Costs 2026'!$C$37+'Direct Costs 2026'!$C$39),"N/A"),"N/A")</f>
        <v>1112400</v>
      </c>
      <c r="P1266" s="423" cm="1">
        <f t="array" ref="P1266">_xlfn.IFERROR('Direct Costs 2026'!$C$27*C1266,"N/A")</f>
        <v>0</v>
      </c>
      <c r="Q1266" s="423" cm="1">
        <f t="array" ref="Q1266">_xlfn.IFERROR(C1266+SUM(E1266:P1266),"N/A")</f>
        <v>7080233.33333333</v>
      </c>
      <c r="R1266" s="424"/>
      <c r="S1266" s="423" cm="1">
        <f t="array" ref="S1266">IF(B1266&gt;0,'Allocation OH and Target 2026'!$E$31,"N/A")</f>
        <v>3100447.15769812</v>
      </c>
      <c r="T1266" s="423" cm="1">
        <f t="array" ref="T1266">IF(B1266&gt;0,VLOOKUP(C1260,'Allocation OH and Target 2026'!$C$35:$S$87,17,0),"N/A")</f>
        <v>0</v>
      </c>
      <c r="U1266" s="423" cm="1">
        <f t="array" ref="U1266">_xlfn.IFERROR((S1266+T1266),"N/A")</f>
        <v>3100447.15769812</v>
      </c>
      <c r="V1266" s="424"/>
      <c r="W1266" s="423" cm="1">
        <f t="array" ref="W1266">_xlfn.IFERROR(U1266+Q1266,"N/A")</f>
        <v>10180680.4910315</v>
      </c>
      <c r="X1266" s="423" cm="1">
        <f t="array" ref="X1266">_xlfn.IFERROR(W1266*0.5%,"N/A")</f>
        <v>50903.4024551575</v>
      </c>
      <c r="Y1266" s="423" cm="1">
        <f t="array" ref="Y1266">_xlfn.IFERROR(W1266*25%,"N/A")</f>
        <v>2545170.12275788</v>
      </c>
      <c r="Z1266" s="425" cm="1">
        <f t="array" ref="Z1266">IF(B1266&gt;0,SUM(W1266:Y1266),"N/A")</f>
        <v>12776754.0162445</v>
      </c>
      <c r="AA1266" s="425" cm="1">
        <f t="array" ref="AA1266">_xlfn.IFERROR((Z1266-Z1265),"N/A")</f>
        <v>239705</v>
      </c>
      <c r="AB1266" s="424"/>
      <c r="AC1266" t="str" s="426" cm="1">
        <f t="array" ref="AC1266">IF(B1266=6,AVERAGE(Z1263:Z1268),"N/A")</f>
        <v>N/A</v>
      </c>
      <c r="AD1266" s="424"/>
      <c r="AE1266" t="s" s="504">
        <v>548</v>
      </c>
      <c r="AF1266" s="423" cm="1">
        <f t="array" ref="AF1266">AF1263*VLOOKUP(C1260,'RECOMMENDED PRICES'!$B$20:$F$76,5,0)</f>
        <v>424320000</v>
      </c>
      <c r="AG1266" s="423"/>
      <c r="AH1266" s="423"/>
      <c r="AI1266" s="423"/>
      <c r="AJ1266" s="423"/>
      <c r="AK1266" s="423"/>
      <c r="AL1266" s="423"/>
      <c r="AM1266" s="423"/>
      <c r="AN1266" s="427"/>
    </row>
    <row r="1267" ht="15" customHeight="1">
      <c r="A1267" s="12"/>
      <c r="B1267" s="428" cm="1">
        <f t="array" ref="B1267">IF(B1266=0,0,IF(B1266&lt;VLOOKUP(C1260,'Boats Data Sheet 2026'!$C$3:$H$57,6,0),B1266+1,0))</f>
        <v>5</v>
      </c>
      <c r="C1267" s="423" cm="1">
        <f t="array" ref="C1267">IF(B1267&gt;0,IF(VLOOKUP(C1260,'Boats Data Sheet 2026'!$C$3:$J$57,8,0)="N/A",0,VLOOKUP(C1260,'Boats Data Sheet 2026'!$C$3:$J$57,8,0)),"N/A")</f>
        <v>0</v>
      </c>
      <c r="D1267" s="429" cm="1">
        <f t="array" ref="D1267">IF(B1267&gt;7,2,IF(B1267=0,"N/A",1))</f>
        <v>1</v>
      </c>
      <c r="E1267" s="423" cm="1">
        <f t="array" ref="E1267">_xlfn.IFERROR(SUM('Direct Costs 2026'!$C$4:$C$5)*D1267,"N/A")</f>
        <v>875500</v>
      </c>
      <c r="F1267" s="423" cm="1">
        <f t="array" ref="F1267">_xlfn.IFERROR('Direct Costs 2026'!$C$43*B1267,"N/A")</f>
        <v>30000</v>
      </c>
      <c r="G1267" s="423" cm="1">
        <f t="array" ref="G1267">IF(B1267&gt;0,'Direct Costs 2026'!$C$25,"N/A")</f>
        <v>90000</v>
      </c>
      <c r="H1267" s="423" cm="1">
        <f t="array" ref="H1267">IF(B1267&gt;0,('Direct Costs 2026'!$C$15+'Direct Costs 2026'!$C$17+'Direct Costs 2026'!$C$14),"N/A")</f>
        <v>580000</v>
      </c>
      <c r="I1267" s="423" cm="1">
        <f t="array" ref="I1267">IF(B1267&gt;0,'Direct Costs 2026'!$C$19+'Direct Costs 2026'!$C$18*B1267,"N/A")</f>
        <v>250000</v>
      </c>
      <c r="J1267" s="423" cm="1">
        <f t="array" ref="J1267">IF(B1267&gt;0,SUM('Direct Costs 2026'!$C$20:$C$21),"N/A")</f>
        <v>98333.3333333333</v>
      </c>
      <c r="K1267" s="423" cm="1">
        <f t="array" ref="K1267">IF(B1267&gt;0,'Direct Costs 2026'!$C$26,"N/A")</f>
        <v>20000</v>
      </c>
      <c r="L1267" s="423" cm="1">
        <f t="array" ref="L1267">IF(B1267&gt;0,'Direct Costs 2026'!$C$23,"N/A")</f>
        <v>140000</v>
      </c>
      <c r="M1267" s="423" cm="1">
        <f t="array" ref="M1267">IF(B1267&gt;0,'Direct Costs 2026'!$C$45*B1267,"N/A")</f>
        <v>750000</v>
      </c>
      <c r="N1267" s="423" cm="1">
        <f t="array" ref="N1267">IF(B1267&gt;0,_xlfn.IFERROR(VLOOKUP(C1260,'Boats Data Sheet 2026'!$C$3:$I$57,7,0)*'Direct Costs 2026'!$C$36,"N/A"),"N/A")</f>
        <v>3325000</v>
      </c>
      <c r="O1267" s="423" cm="1">
        <f t="array" ref="O1267">IF(B1267&gt;0,IF(OR(VLOOKUP(C1260,'Boats Data Sheet 2026'!$C$3:$F$57,4,0)="Own",VLOOKUP(C1260,'Boats Data Sheet 2026'!$C$3:$F$57,4,0)="Management"),('Direct Costs 2026'!$C$37+'Direct Costs 2026'!$C$39),"N/A"),"N/A")</f>
        <v>1112400</v>
      </c>
      <c r="P1267" s="423" cm="1">
        <f t="array" ref="P1267">_xlfn.IFERROR('Direct Costs 2026'!$C$27*C1267,"N/A")</f>
        <v>0</v>
      </c>
      <c r="Q1267" s="423" cm="1">
        <f t="array" ref="Q1267">_xlfn.IFERROR(C1267+SUM(E1267:P1267),"N/A")</f>
        <v>7271233.33333333</v>
      </c>
      <c r="R1267" s="424"/>
      <c r="S1267" s="423" cm="1">
        <f t="array" ref="S1267">IF(B1267&gt;0,'Allocation OH and Target 2026'!$E$31,"N/A")</f>
        <v>3100447.15769812</v>
      </c>
      <c r="T1267" s="423" cm="1">
        <f t="array" ref="T1267">IF(B1267&gt;0,VLOOKUP(C1260,'Allocation OH and Target 2026'!$C$35:$S$87,17,0),"N/A")</f>
        <v>0</v>
      </c>
      <c r="U1267" s="423" cm="1">
        <f t="array" ref="U1267">_xlfn.IFERROR((S1267+T1267),"N/A")</f>
        <v>3100447.15769812</v>
      </c>
      <c r="V1267" s="424"/>
      <c r="W1267" s="423" cm="1">
        <f t="array" ref="W1267">_xlfn.IFERROR(U1267+Q1267,"N/A")</f>
        <v>10371680.4910315</v>
      </c>
      <c r="X1267" s="423" cm="1">
        <f t="array" ref="X1267">_xlfn.IFERROR(W1267*0.5%,"N/A")</f>
        <v>51858.4024551575</v>
      </c>
      <c r="Y1267" s="423" cm="1">
        <f t="array" ref="Y1267">_xlfn.IFERROR(W1267*25%,"N/A")</f>
        <v>2592920.12275788</v>
      </c>
      <c r="Z1267" s="425" cm="1">
        <f t="array" ref="Z1267">IF(B1267&gt;0,SUM(W1267:Y1267),"N/A")</f>
        <v>13016459.0162445</v>
      </c>
      <c r="AA1267" s="425" cm="1">
        <f t="array" ref="AA1267">_xlfn.IFERROR((Z1267-Z1266),"N/A")</f>
        <v>239705</v>
      </c>
      <c r="AB1267" s="424"/>
      <c r="AC1267" t="str" s="426" cm="1">
        <f t="array" ref="AC1267">IF(B1267=6,AVERAGE(Z1263:Z1268),"N/A")</f>
        <v>N/A</v>
      </c>
      <c r="AD1267" s="424"/>
      <c r="AE1267" t="s" s="504">
        <v>549</v>
      </c>
      <c r="AF1267" s="423">
        <v>0</v>
      </c>
      <c r="AG1267" s="423"/>
      <c r="AH1267" s="423"/>
      <c r="AI1267" s="423"/>
      <c r="AJ1267" s="423"/>
      <c r="AK1267" s="423"/>
      <c r="AL1267" s="423"/>
      <c r="AM1267" s="423"/>
      <c r="AN1267" s="427"/>
    </row>
    <row r="1268" ht="15" customHeight="1">
      <c r="A1268" s="12"/>
      <c r="B1268" s="428" cm="1">
        <f t="array" ref="B1268">IF(B1267=0,0,IF(B1267&lt;VLOOKUP(C1260,'Boats Data Sheet 2026'!$C$3:$H$57,6,0),B1267+1,0))</f>
        <v>6</v>
      </c>
      <c r="C1268" s="423" cm="1">
        <f t="array" ref="C1268">IF(B1268&gt;0,IF(VLOOKUP(C1260,'Boats Data Sheet 2026'!$C$3:$J$57,8,0)="N/A",0,VLOOKUP(C1260,'Boats Data Sheet 2026'!$C$3:$J$57,8,0)),"N/A")</f>
        <v>0</v>
      </c>
      <c r="D1268" s="429" cm="1">
        <f t="array" ref="D1268">IF(B1268&gt;7,2,IF(B1268=0,"N/A",1))</f>
        <v>1</v>
      </c>
      <c r="E1268" s="423" cm="1">
        <f t="array" ref="E1268">_xlfn.IFERROR(SUM('Direct Costs 2026'!$C$4:$C$5)*D1268,"N/A")</f>
        <v>875500</v>
      </c>
      <c r="F1268" s="423" cm="1">
        <f t="array" ref="F1268">_xlfn.IFERROR('Direct Costs 2026'!$C$43*B1268,"N/A")</f>
        <v>36000</v>
      </c>
      <c r="G1268" s="423" cm="1">
        <f t="array" ref="G1268">IF(B1268&gt;0,'Direct Costs 2026'!$C$25,"N/A")</f>
        <v>90000</v>
      </c>
      <c r="H1268" s="423" cm="1">
        <f t="array" ref="H1268">IF(B1268&gt;0,('Direct Costs 2026'!$C$15+'Direct Costs 2026'!$C$17+'Direct Costs 2026'!$C$14),"N/A")</f>
        <v>580000</v>
      </c>
      <c r="I1268" s="423" cm="1">
        <f t="array" ref="I1268">IF(B1268&gt;0,'Direct Costs 2026'!$C$19+'Direct Costs 2026'!$C$18*B1268,"N/A")</f>
        <v>285000</v>
      </c>
      <c r="J1268" s="423" cm="1">
        <f t="array" ref="J1268">IF(B1268&gt;0,SUM('Direct Costs 2026'!$C$20:$C$21),"N/A")</f>
        <v>98333.3333333333</v>
      </c>
      <c r="K1268" s="423" cm="1">
        <f t="array" ref="K1268">IF(B1268&gt;0,'Direct Costs 2026'!$C$26,"N/A")</f>
        <v>20000</v>
      </c>
      <c r="L1268" s="423" cm="1">
        <f t="array" ref="L1268">IF(B1268&gt;0,'Direct Costs 2026'!$C$23,"N/A")</f>
        <v>140000</v>
      </c>
      <c r="M1268" s="423" cm="1">
        <f t="array" ref="M1268">IF(B1268&gt;0,'Direct Costs 2026'!$C$45*B1268,"N/A")</f>
        <v>900000</v>
      </c>
      <c r="N1268" s="423" cm="1">
        <f t="array" ref="N1268">IF(B1268&gt;0,_xlfn.IFERROR(VLOOKUP(C1260,'Boats Data Sheet 2026'!$C$3:$I$57,7,0)*'Direct Costs 2026'!$C$36,"N/A"),"N/A")</f>
        <v>3325000</v>
      </c>
      <c r="O1268" s="423" cm="1">
        <f t="array" ref="O1268">IF(B1268&gt;0,IF(OR(VLOOKUP(C1260,'Boats Data Sheet 2026'!$C$3:$F$57,4,0)="Own",VLOOKUP(C1260,'Boats Data Sheet 2026'!$C$3:$F$57,4,0)="Management"),('Direct Costs 2026'!$C$37+'Direct Costs 2026'!$C$39),"N/A"),"N/A")</f>
        <v>1112400</v>
      </c>
      <c r="P1268" s="423" cm="1">
        <f t="array" ref="P1268">_xlfn.IFERROR('Direct Costs 2026'!$C$27*C1268,"N/A")</f>
        <v>0</v>
      </c>
      <c r="Q1268" s="423" cm="1">
        <f t="array" ref="Q1268">_xlfn.IFERROR(C1268+SUM(E1268:P1268),"N/A")</f>
        <v>7462233.33333333</v>
      </c>
      <c r="R1268" s="424"/>
      <c r="S1268" s="423" cm="1">
        <f t="array" ref="S1268">IF(B1268&gt;0,'Allocation OH and Target 2026'!$E$31,"N/A")</f>
        <v>3100447.15769812</v>
      </c>
      <c r="T1268" s="423" cm="1">
        <f t="array" ref="T1268">IF(B1268&gt;0,VLOOKUP(C1260,'Allocation OH and Target 2026'!$C$35:$S$87,17,0),"N/A")</f>
        <v>0</v>
      </c>
      <c r="U1268" s="423" cm="1">
        <f t="array" ref="U1268">_xlfn.IFERROR((S1268+T1268),"N/A")</f>
        <v>3100447.15769812</v>
      </c>
      <c r="V1268" s="424"/>
      <c r="W1268" s="423" cm="1">
        <f t="array" ref="W1268">_xlfn.IFERROR(U1268+Q1268,"N/A")</f>
        <v>10562680.4910315</v>
      </c>
      <c r="X1268" s="423" cm="1">
        <f t="array" ref="X1268">_xlfn.IFERROR(W1268*0.5%,"N/A")</f>
        <v>52813.4024551575</v>
      </c>
      <c r="Y1268" s="423" cm="1">
        <f t="array" ref="Y1268">_xlfn.IFERROR(W1268*25%,"N/A")</f>
        <v>2640670.12275788</v>
      </c>
      <c r="Z1268" s="425" cm="1">
        <f t="array" ref="Z1268">IF(B1268&gt;0,SUM(W1268:Y1268),"N/A")</f>
        <v>13256164.0162445</v>
      </c>
      <c r="AA1268" s="425" cm="1">
        <f t="array" ref="AA1268">_xlfn.IFERROR((Z1268-Z1267),"N/A")</f>
        <v>239705</v>
      </c>
      <c r="AB1268" s="424"/>
      <c r="AC1268" s="425" cm="1">
        <f t="array" ref="AC1268">IF(B1268=6,AVERAGE(Z1263:Z1268),"N/A")</f>
        <v>12656901.5162445</v>
      </c>
      <c r="AD1268" s="424"/>
      <c r="AE1268" t="s" s="506">
        <v>550</v>
      </c>
      <c r="AF1268" s="423"/>
      <c r="AG1268" s="423"/>
      <c r="AH1268" s="423"/>
      <c r="AI1268" s="423"/>
      <c r="AJ1268" s="423"/>
      <c r="AK1268" s="423"/>
      <c r="AL1268" s="423"/>
      <c r="AM1268" s="423"/>
      <c r="AN1268" s="427"/>
    </row>
    <row r="1269" ht="15" customHeight="1">
      <c r="A1269" s="12"/>
      <c r="B1269" s="428" cm="1">
        <f t="array" ref="B1269">IF(B1268=0,0,IF(B1268&lt;VLOOKUP(C1260,'Boats Data Sheet 2026'!$C$3:$H$57,6,0),B1268+1,0))</f>
        <v>7</v>
      </c>
      <c r="C1269" s="423" cm="1">
        <f t="array" ref="C1269">IF(B1269&gt;0,IF(VLOOKUP(C1260,'Boats Data Sheet 2026'!$C$3:$J$57,8,0)="N/A",0,VLOOKUP(C1260,'Boats Data Sheet 2026'!$C$3:$J$57,8,0)),"N/A")</f>
        <v>0</v>
      </c>
      <c r="D1269" s="429" cm="1">
        <f t="array" ref="D1269">IF(B1269&gt;7,2,IF(B1269=0,"N/A",1))</f>
        <v>1</v>
      </c>
      <c r="E1269" s="423" cm="1">
        <f t="array" ref="E1269">_xlfn.IFERROR(SUM('Direct Costs 2026'!$C$4:$C$5)*D1269,"N/A")</f>
        <v>875500</v>
      </c>
      <c r="F1269" s="423" cm="1">
        <f t="array" ref="F1269">_xlfn.IFERROR('Direct Costs 2026'!$C$43*B1269,"N/A")</f>
        <v>42000</v>
      </c>
      <c r="G1269" s="423" cm="1">
        <f t="array" ref="G1269">IF(B1269&gt;0,'Direct Costs 2026'!$C$25,"N/A")</f>
        <v>90000</v>
      </c>
      <c r="H1269" s="423" cm="1">
        <f t="array" ref="H1269">IF(B1269&gt;0,('Direct Costs 2026'!$C$15+'Direct Costs 2026'!$C$17+'Direct Costs 2026'!$C$14),"N/A")</f>
        <v>580000</v>
      </c>
      <c r="I1269" s="423" cm="1">
        <f t="array" ref="I1269">IF(B1269&gt;0,'Direct Costs 2026'!$C$19+'Direct Costs 2026'!$C$18*B1269,"N/A")</f>
        <v>320000</v>
      </c>
      <c r="J1269" s="423" cm="1">
        <f t="array" ref="J1269">IF(B1269&gt;0,SUM('Direct Costs 2026'!$C$20:$C$21),"N/A")</f>
        <v>98333.3333333333</v>
      </c>
      <c r="K1269" s="423" cm="1">
        <f t="array" ref="K1269">IF(B1269&gt;0,'Direct Costs 2026'!$C$26,"N/A")</f>
        <v>20000</v>
      </c>
      <c r="L1269" s="423" cm="1">
        <f t="array" ref="L1269">IF(B1269&gt;0,'Direct Costs 2026'!$C$23,"N/A")</f>
        <v>140000</v>
      </c>
      <c r="M1269" s="423" cm="1">
        <f t="array" ref="M1269">IF(B1269&gt;0,'Direct Costs 2026'!$C$45*B1269,"N/A")</f>
        <v>1050000</v>
      </c>
      <c r="N1269" s="423" cm="1">
        <f t="array" ref="N1269">IF(B1269&gt;0,_xlfn.IFERROR(VLOOKUP(C1260,'Boats Data Sheet 2026'!$C$3:$I$57,7,0)*'Direct Costs 2026'!$C$36,"N/A"),"N/A")</f>
        <v>3325000</v>
      </c>
      <c r="O1269" s="423" cm="1">
        <f t="array" ref="O1269">IF(B1269&gt;0,IF(OR(VLOOKUP(C1260,'Boats Data Sheet 2026'!$C$3:$F$57,4,0)="Own",VLOOKUP(C1260,'Boats Data Sheet 2026'!$C$3:$F$57,4,0)="Management"),('Direct Costs 2026'!$C$37+'Direct Costs 2026'!$C$39),"N/A"),"N/A")</f>
        <v>1112400</v>
      </c>
      <c r="P1269" s="423" cm="1">
        <f t="array" ref="P1269">_xlfn.IFERROR('Direct Costs 2026'!$C$27*C1269,"N/A")</f>
        <v>0</v>
      </c>
      <c r="Q1269" s="423" cm="1">
        <f t="array" ref="Q1269">_xlfn.IFERROR(C1269+SUM(E1269:P1269),"N/A")</f>
        <v>7653233.33333333</v>
      </c>
      <c r="R1269" s="424"/>
      <c r="S1269" s="423" cm="1">
        <f t="array" ref="S1269">IF(B1269&gt;0,'Allocation OH and Target 2026'!$E$31,"N/A")</f>
        <v>3100447.15769812</v>
      </c>
      <c r="T1269" s="423" cm="1">
        <f t="array" ref="T1269">IF(B1269&gt;0,VLOOKUP(C1260,'Allocation OH and Target 2026'!$C$35:$S$87,17,0),"N/A")</f>
        <v>0</v>
      </c>
      <c r="U1269" s="423" cm="1">
        <f t="array" ref="U1269">_xlfn.IFERROR((S1269+T1269),"N/A")</f>
        <v>3100447.15769812</v>
      </c>
      <c r="V1269" s="424"/>
      <c r="W1269" s="423" cm="1">
        <f t="array" ref="W1269">_xlfn.IFERROR(U1269+Q1269,"N/A")</f>
        <v>10753680.4910315</v>
      </c>
      <c r="X1269" s="423" cm="1">
        <f t="array" ref="X1269">_xlfn.IFERROR(W1269*0.5%,"N/A")</f>
        <v>53768.4024551575</v>
      </c>
      <c r="Y1269" s="423" cm="1">
        <f t="array" ref="Y1269">_xlfn.IFERROR(W1269*25%,"N/A")</f>
        <v>2688420.12275788</v>
      </c>
      <c r="Z1269" s="425" cm="1">
        <f t="array" ref="Z1269">IF(B1269&gt;0,SUM(W1269:Y1269),"N/A")</f>
        <v>13495869.0162445</v>
      </c>
      <c r="AA1269" s="425" cm="1">
        <f t="array" ref="AA1269">_xlfn.IFERROR((Z1269-Z1268),"N/A")</f>
        <v>239705</v>
      </c>
      <c r="AB1269" s="424"/>
      <c r="AC1269" t="str" s="426" cm="1">
        <f t="array" ref="AC1269">IF(B1269=6,AVERAGE(Z1263:Z1268),"N/A")</f>
        <v>N/A</v>
      </c>
      <c r="AD1269" s="424"/>
      <c r="AE1269" t="s" s="504">
        <v>551</v>
      </c>
      <c r="AF1269" s="507" cm="1">
        <f t="array" ref="AF1269">-AVERAGE(W1263:W1275)*AF1263</f>
        <v>-1138091256.23906</v>
      </c>
      <c r="AG1269" s="423"/>
      <c r="AH1269" s="423"/>
      <c r="AI1269" s="423"/>
      <c r="AJ1269" s="423"/>
      <c r="AK1269" s="423"/>
      <c r="AL1269" s="423"/>
      <c r="AM1269" s="423"/>
      <c r="AN1269" s="427"/>
    </row>
    <row r="1270" ht="15" customHeight="1">
      <c r="A1270" s="12"/>
      <c r="B1270" s="428" cm="1">
        <f t="array" ref="B1270">IF(B1269=0,0,IF(B1269&lt;VLOOKUP(C1260,'Boats Data Sheet 2026'!$C$3:$H$57,6,0),B1269+1,0))</f>
        <v>8</v>
      </c>
      <c r="C1270" s="423" cm="1">
        <f t="array" ref="C1270">IF(B1270&gt;0,IF(VLOOKUP(C1260,'Boats Data Sheet 2026'!$C$3:$J$57,8,0)="N/A",0,VLOOKUP(C1260,'Boats Data Sheet 2026'!$C$3:$J$57,8,0)),"N/A")</f>
        <v>0</v>
      </c>
      <c r="D1270" s="429" cm="1">
        <f t="array" ref="D1270">IF(B1270&gt;7,2,IF(B1270=0,"N/A",1))</f>
        <v>2</v>
      </c>
      <c r="E1270" s="423" cm="1">
        <f t="array" ref="E1270">_xlfn.IFERROR(SUM('Direct Costs 2026'!$C$4:$C$5)*D1270,"N/A")</f>
        <v>1751000</v>
      </c>
      <c r="F1270" s="423" cm="1">
        <f t="array" ref="F1270">_xlfn.IFERROR('Direct Costs 2026'!$C$43*B1270,"N/A")</f>
        <v>48000</v>
      </c>
      <c r="G1270" s="423" cm="1">
        <f t="array" ref="G1270">IF(B1270&gt;0,'Direct Costs 2026'!$C$25,"N/A")</f>
        <v>90000</v>
      </c>
      <c r="H1270" s="423" cm="1">
        <f t="array" ref="H1270">IF(B1270&gt;0,('Direct Costs 2026'!$C$15+'Direct Costs 2026'!$C$17+'Direct Costs 2026'!$C$14),"N/A")</f>
        <v>580000</v>
      </c>
      <c r="I1270" s="423" cm="1">
        <f t="array" ref="I1270">IF(B1270&gt;0,'Direct Costs 2026'!$C$19+'Direct Costs 2026'!$C$18*B1270,"N/A")</f>
        <v>355000</v>
      </c>
      <c r="J1270" s="423" cm="1">
        <f t="array" ref="J1270">IF(B1270&gt;0,SUM('Direct Costs 2026'!$C$20:$C$21),"N/A")</f>
        <v>98333.3333333333</v>
      </c>
      <c r="K1270" s="423" cm="1">
        <f t="array" ref="K1270">IF(B1270&gt;0,'Direct Costs 2026'!$C$26,"N/A")</f>
        <v>20000</v>
      </c>
      <c r="L1270" s="423" cm="1">
        <f t="array" ref="L1270">IF(B1270&gt;0,'Direct Costs 2026'!$C$23,"N/A")</f>
        <v>140000</v>
      </c>
      <c r="M1270" s="423" cm="1">
        <f t="array" ref="M1270">IF(B1270&gt;0,'Direct Costs 2026'!$C$45*B1270,"N/A")</f>
        <v>1200000</v>
      </c>
      <c r="N1270" s="423" cm="1">
        <f t="array" ref="N1270">IF(B1270&gt;0,_xlfn.IFERROR(VLOOKUP(C1260,'Boats Data Sheet 2026'!$C$3:$I$57,7,0)*'Direct Costs 2026'!$C$36,"N/A"),"N/A")</f>
        <v>3325000</v>
      </c>
      <c r="O1270" s="423" cm="1">
        <f t="array" ref="O1270">IF(B1270&gt;0,IF(OR(VLOOKUP(C1260,'Boats Data Sheet 2026'!$C$3:$F$57,4,0)="Own",VLOOKUP(C1260,'Boats Data Sheet 2026'!$C$3:$F$57,4,0)="Management"),('Direct Costs 2026'!$C$37+'Direct Costs 2026'!$C$39),"N/A"),"N/A")</f>
        <v>1112400</v>
      </c>
      <c r="P1270" s="423" cm="1">
        <f t="array" ref="P1270">_xlfn.IFERROR('Direct Costs 2026'!$C$27*C1270,"N/A")</f>
        <v>0</v>
      </c>
      <c r="Q1270" s="423" cm="1">
        <f t="array" ref="Q1270">_xlfn.IFERROR(C1270+SUM(E1270:P1270),"N/A")</f>
        <v>8719733.33333333</v>
      </c>
      <c r="R1270" s="424"/>
      <c r="S1270" s="423" cm="1">
        <f t="array" ref="S1270">IF(B1270&gt;0,'Allocation OH and Target 2026'!$E$31,"N/A")</f>
        <v>3100447.15769812</v>
      </c>
      <c r="T1270" s="423" cm="1">
        <f t="array" ref="T1270">IF(B1270&gt;0,VLOOKUP(C1260,'Allocation OH and Target 2026'!$C$35:$S$87,17,0),"N/A")</f>
        <v>0</v>
      </c>
      <c r="U1270" s="423" cm="1">
        <f t="array" ref="U1270">_xlfn.IFERROR((S1270+T1270),"N/A")</f>
        <v>3100447.15769812</v>
      </c>
      <c r="V1270" s="424"/>
      <c r="W1270" s="423" cm="1">
        <f t="array" ref="W1270">_xlfn.IFERROR(U1270+Q1270,"N/A")</f>
        <v>11820180.4910315</v>
      </c>
      <c r="X1270" s="423" cm="1">
        <f t="array" ref="X1270">_xlfn.IFERROR(W1270*0.5%,"N/A")</f>
        <v>59100.9024551575</v>
      </c>
      <c r="Y1270" s="423" cm="1">
        <f t="array" ref="Y1270">_xlfn.IFERROR(W1270*25%,"N/A")</f>
        <v>2955045.12275788</v>
      </c>
      <c r="Z1270" s="425" cm="1">
        <f t="array" ref="Z1270">IF(B1270&gt;0,SUM(W1270:Y1270),"N/A")</f>
        <v>14834326.5162445</v>
      </c>
      <c r="AA1270" s="425" cm="1">
        <f t="array" ref="AA1270">_xlfn.IFERROR((Z1270-Z1269),"N/A")</f>
        <v>1338457.5</v>
      </c>
      <c r="AB1270" s="424"/>
      <c r="AC1270" t="str" s="426" cm="1">
        <f t="array" ref="AC1270">IF(B1270=6,AVERAGE(Z1263:Z1268),"N/A")</f>
        <v>N/A</v>
      </c>
      <c r="AD1270" s="424"/>
      <c r="AE1270" t="s" s="506">
        <v>394</v>
      </c>
      <c r="AF1270" s="508" cm="1">
        <f t="array" ref="AF1270">SUM(AF1265:AF1269)</f>
        <v>540318743.76094</v>
      </c>
      <c r="AG1270" s="423"/>
      <c r="AH1270" s="423"/>
      <c r="AI1270" s="423"/>
      <c r="AJ1270" s="423"/>
      <c r="AK1270" s="423"/>
      <c r="AL1270" s="423"/>
      <c r="AM1270" s="423"/>
      <c r="AN1270" s="427"/>
    </row>
    <row r="1271" ht="15" customHeight="1">
      <c r="A1271" s="12"/>
      <c r="B1271" s="428" cm="1">
        <f t="array" ref="B1271">IF(B1270=0,0,IF(B1270&lt;VLOOKUP(C1260,'Boats Data Sheet 2026'!$C$3:$H$57,6,0),B1270+1,0))</f>
        <v>9</v>
      </c>
      <c r="C1271" s="423" cm="1">
        <f t="array" ref="C1271">IF(B1271&gt;0,IF(VLOOKUP(C1260,'Boats Data Sheet 2026'!$C$3:$J$57,8,0)="N/A",0,VLOOKUP(C1260,'Boats Data Sheet 2026'!$C$3:$J$57,8,0)),"N/A")</f>
        <v>0</v>
      </c>
      <c r="D1271" s="429" cm="1">
        <f t="array" ref="D1271">IF(B1271&gt;7,2,IF(B1271=0,"N/A",1))</f>
        <v>2</v>
      </c>
      <c r="E1271" s="423" cm="1">
        <f t="array" ref="E1271">_xlfn.IFERROR(SUM('Direct Costs 2026'!$C$4:$C$5)*D1271,"N/A")</f>
        <v>1751000</v>
      </c>
      <c r="F1271" s="423" cm="1">
        <f t="array" ref="F1271">_xlfn.IFERROR('Direct Costs 2026'!$C$43*B1271,"N/A")</f>
        <v>54000</v>
      </c>
      <c r="G1271" s="423" cm="1">
        <f t="array" ref="G1271">IF(B1271&gt;0,'Direct Costs 2026'!$C$25,"N/A")</f>
        <v>90000</v>
      </c>
      <c r="H1271" s="423" cm="1">
        <f t="array" ref="H1271">IF(B1271&gt;0,('Direct Costs 2026'!$C$15+'Direct Costs 2026'!$C$17+'Direct Costs 2026'!$C$14),"N/A")</f>
        <v>580000</v>
      </c>
      <c r="I1271" s="423" cm="1">
        <f t="array" ref="I1271">IF(B1271&gt;0,'Direct Costs 2026'!$C$19+'Direct Costs 2026'!$C$18*B1271,"N/A")</f>
        <v>390000</v>
      </c>
      <c r="J1271" s="423" cm="1">
        <f t="array" ref="J1271">IF(B1271&gt;0,SUM('Direct Costs 2026'!$C$20:$C$21),"N/A")</f>
        <v>98333.3333333333</v>
      </c>
      <c r="K1271" s="423" cm="1">
        <f t="array" ref="K1271">IF(B1271&gt;0,'Direct Costs 2026'!$C$26,"N/A")</f>
        <v>20000</v>
      </c>
      <c r="L1271" s="423" cm="1">
        <f t="array" ref="L1271">IF(B1271&gt;0,'Direct Costs 2026'!$C$23,"N/A")</f>
        <v>140000</v>
      </c>
      <c r="M1271" s="423" cm="1">
        <f t="array" ref="M1271">IF(B1271&gt;0,'Direct Costs 2026'!$C$45*B1271,"N/A")</f>
        <v>1350000</v>
      </c>
      <c r="N1271" s="423" cm="1">
        <f t="array" ref="N1271">IF(B1271&gt;0,_xlfn.IFERROR(VLOOKUP(C1260,'Boats Data Sheet 2026'!$C$3:$I$57,7,0)*'Direct Costs 2026'!$C$36,"N/A"),"N/A")</f>
        <v>3325000</v>
      </c>
      <c r="O1271" s="423" cm="1">
        <f t="array" ref="O1271">IF(B1271&gt;0,IF(OR(VLOOKUP(C1260,'Boats Data Sheet 2026'!$C$3:$F$57,4,0)="Own",VLOOKUP(C1260,'Boats Data Sheet 2026'!$C$3:$F$57,4,0)="Management"),('Direct Costs 2026'!$C$37+'Direct Costs 2026'!$C$39),"N/A"),"N/A")</f>
        <v>1112400</v>
      </c>
      <c r="P1271" s="423" cm="1">
        <f t="array" ref="P1271">_xlfn.IFERROR('Direct Costs 2026'!$C$27*C1271,"N/A")</f>
        <v>0</v>
      </c>
      <c r="Q1271" s="423" cm="1">
        <f t="array" ref="Q1271">_xlfn.IFERROR(C1271+SUM(E1271:P1271),"N/A")</f>
        <v>8910733.33333333</v>
      </c>
      <c r="R1271" s="424"/>
      <c r="S1271" s="423" cm="1">
        <f t="array" ref="S1271">IF(B1271&gt;0,'Allocation OH and Target 2026'!$E$31,"N/A")</f>
        <v>3100447.15769812</v>
      </c>
      <c r="T1271" s="423" cm="1">
        <f t="array" ref="T1271">IF(B1271&gt;0,VLOOKUP(C1260,'Allocation OH and Target 2026'!$C$35:$S$87,17,0),"N/A")</f>
        <v>0</v>
      </c>
      <c r="U1271" s="423" cm="1">
        <f t="array" ref="U1271">_xlfn.IFERROR((S1271+T1271),"N/A")</f>
        <v>3100447.15769812</v>
      </c>
      <c r="V1271" s="424"/>
      <c r="W1271" s="423" cm="1">
        <f t="array" ref="W1271">_xlfn.IFERROR(U1271+Q1271,"N/A")</f>
        <v>12011180.4910315</v>
      </c>
      <c r="X1271" s="423" cm="1">
        <f t="array" ref="X1271">_xlfn.IFERROR(W1271*0.5%,"N/A")</f>
        <v>60055.9024551575</v>
      </c>
      <c r="Y1271" s="423" cm="1">
        <f t="array" ref="Y1271">_xlfn.IFERROR(W1271*25%,"N/A")</f>
        <v>3002795.12275788</v>
      </c>
      <c r="Z1271" s="425" cm="1">
        <f t="array" ref="Z1271">IF(B1271&gt;0,SUM(W1271:Y1271),"N/A")</f>
        <v>15074031.5162445</v>
      </c>
      <c r="AA1271" s="425" cm="1">
        <f t="array" ref="AA1271">_xlfn.IFERROR((Z1271-Z1270),"N/A")</f>
        <v>239705</v>
      </c>
      <c r="AB1271" s="424"/>
      <c r="AC1271" t="str" s="426" cm="1">
        <f t="array" ref="AC1271">IF(B1271=6,AVERAGE(Z1263:Z1268),"N/A")</f>
        <v>N/A</v>
      </c>
      <c r="AD1271" s="424"/>
      <c r="AE1271" t="s" s="509">
        <v>570</v>
      </c>
      <c r="AF1271" s="510" cm="1">
        <f t="array" ref="AF1271">AF1270*50%</f>
        <v>270159371.88047</v>
      </c>
      <c r="AG1271" s="423"/>
      <c r="AH1271" s="423"/>
      <c r="AI1271" s="423"/>
      <c r="AJ1271" s="423"/>
      <c r="AK1271" s="423"/>
      <c r="AL1271" s="423"/>
      <c r="AM1271" s="423"/>
      <c r="AN1271" s="427"/>
    </row>
    <row r="1272" ht="15" customHeight="1">
      <c r="A1272" s="12"/>
      <c r="B1272" s="428" cm="1">
        <f t="array" ref="B1272">IF(B1271=0,0,IF(B1271&lt;VLOOKUP(C1260,'Boats Data Sheet 2026'!$C$3:$H$57,6,0),B1271+1,0))</f>
        <v>10</v>
      </c>
      <c r="C1272" s="423" cm="1">
        <f t="array" ref="C1272">IF(B1272&gt;0,IF(VLOOKUP(C1260,'Boats Data Sheet 2026'!$C$3:$J$57,8,0)="N/A",0,VLOOKUP(C1260,'Boats Data Sheet 2026'!$C$3:$J$57,8,0)),"N/A")</f>
        <v>0</v>
      </c>
      <c r="D1272" s="429" cm="1">
        <f t="array" ref="D1272">IF(B1272&gt;7,2,IF(B1272=0,"N/A",1))</f>
        <v>2</v>
      </c>
      <c r="E1272" s="423" cm="1">
        <f t="array" ref="E1272">_xlfn.IFERROR(SUM('Direct Costs 2026'!$C$4:$C$5)*D1272,"N/A")</f>
        <v>1751000</v>
      </c>
      <c r="F1272" s="423" cm="1">
        <f t="array" ref="F1272">_xlfn.IFERROR('Direct Costs 2026'!$C$43*B1272,"N/A")</f>
        <v>60000</v>
      </c>
      <c r="G1272" s="423" cm="1">
        <f t="array" ref="G1272">IF(B1272&gt;0,'Direct Costs 2026'!$C$25,"N/A")</f>
        <v>90000</v>
      </c>
      <c r="H1272" s="423" cm="1">
        <f t="array" ref="H1272">IF(B1272&gt;0,('Direct Costs 2026'!$C$15+'Direct Costs 2026'!$C$17+'Direct Costs 2026'!$C$14),"N/A")</f>
        <v>580000</v>
      </c>
      <c r="I1272" s="423" cm="1">
        <f t="array" ref="I1272">IF(B1272&gt;0,'Direct Costs 2026'!$C$19+'Direct Costs 2026'!$C$18*B1272,"N/A")</f>
        <v>425000</v>
      </c>
      <c r="J1272" s="423" cm="1">
        <f t="array" ref="J1272">IF(B1272&gt;0,SUM('Direct Costs 2026'!$C$20:$C$21),"N/A")</f>
        <v>98333.3333333333</v>
      </c>
      <c r="K1272" s="423" cm="1">
        <f t="array" ref="K1272">IF(B1272&gt;0,'Direct Costs 2026'!$C$26,"N/A")</f>
        <v>20000</v>
      </c>
      <c r="L1272" s="423" cm="1">
        <f t="array" ref="L1272">IF(B1272&gt;0,'Direct Costs 2026'!$C$23,"N/A")</f>
        <v>140000</v>
      </c>
      <c r="M1272" s="423" cm="1">
        <f t="array" ref="M1272">IF(B1272&gt;0,'Direct Costs 2026'!$C$45*B1272,"N/A")</f>
        <v>1500000</v>
      </c>
      <c r="N1272" s="423" cm="1">
        <f t="array" ref="N1272">IF(B1272&gt;0,_xlfn.IFERROR(VLOOKUP(C1260,'Boats Data Sheet 2026'!$C$3:$I$57,7,0)*'Direct Costs 2026'!$C$36,"N/A"),"N/A")</f>
        <v>3325000</v>
      </c>
      <c r="O1272" s="423" cm="1">
        <f t="array" ref="O1272">IF(B1272&gt;0,IF(OR(VLOOKUP(C1260,'Boats Data Sheet 2026'!$C$3:$F$57,4,0)="Own",VLOOKUP(C1260,'Boats Data Sheet 2026'!$C$3:$F$57,4,0)="Management"),('Direct Costs 2026'!$C$37+'Direct Costs 2026'!$C$39),"N/A"),"N/A")</f>
        <v>1112400</v>
      </c>
      <c r="P1272" s="423" cm="1">
        <f t="array" ref="P1272">_xlfn.IFERROR('Direct Costs 2026'!$C$27*C1272,"N/A")</f>
        <v>0</v>
      </c>
      <c r="Q1272" s="423" cm="1">
        <f t="array" ref="Q1272">_xlfn.IFERROR(C1272+SUM(E1272:P1272),"N/A")</f>
        <v>9101733.33333333</v>
      </c>
      <c r="R1272" s="424"/>
      <c r="S1272" s="423" cm="1">
        <f t="array" ref="S1272">IF(B1272&gt;0,'Allocation OH and Target 2026'!$E$31,"N/A")</f>
        <v>3100447.15769812</v>
      </c>
      <c r="T1272" s="423" cm="1">
        <f t="array" ref="T1272">IF(B1272&gt;0,VLOOKUP(C1260,'Allocation OH and Target 2026'!$C$35:$S$87,17,0),"N/A")</f>
        <v>0</v>
      </c>
      <c r="U1272" s="423" cm="1">
        <f t="array" ref="U1272">_xlfn.IFERROR((S1272+T1272),"N/A")</f>
        <v>3100447.15769812</v>
      </c>
      <c r="V1272" s="424"/>
      <c r="W1272" s="423" cm="1">
        <f t="array" ref="W1272">_xlfn.IFERROR(U1272+Q1272,"N/A")</f>
        <v>12202180.4910315</v>
      </c>
      <c r="X1272" s="423" cm="1">
        <f t="array" ref="X1272">_xlfn.IFERROR(W1272*0.5%,"N/A")</f>
        <v>61010.9024551575</v>
      </c>
      <c r="Y1272" s="423" cm="1">
        <f t="array" ref="Y1272">_xlfn.IFERROR(W1272*25%,"N/A")</f>
        <v>3050545.12275788</v>
      </c>
      <c r="Z1272" s="425" cm="1">
        <f t="array" ref="Z1272">IF(B1272&gt;0,SUM(W1272:Y1272),"N/A")</f>
        <v>15313736.5162445</v>
      </c>
      <c r="AA1272" s="425" cm="1">
        <f t="array" ref="AA1272">_xlfn.IFERROR((Z1272-Z1271),"N/A")</f>
        <v>239705</v>
      </c>
      <c r="AB1272" s="424"/>
      <c r="AC1272" t="str" s="426" cm="1">
        <f t="array" ref="AC1272">IF(B1272=6,AVERAGE(Z1263:Z1268),"N/A")</f>
        <v>N/A</v>
      </c>
      <c r="AD1272" s="424"/>
      <c r="AE1272" s="423"/>
      <c r="AF1272" s="423"/>
      <c r="AG1272" s="423"/>
      <c r="AH1272" s="423"/>
      <c r="AI1272" s="423"/>
      <c r="AJ1272" s="423"/>
      <c r="AK1272" s="423"/>
      <c r="AL1272" s="423"/>
      <c r="AM1272" s="423"/>
      <c r="AN1272" s="427"/>
    </row>
    <row r="1273" ht="15" customHeight="1">
      <c r="A1273" s="12"/>
      <c r="B1273" s="428" cm="1">
        <f t="array" ref="B1273">IF(B1272=0,0,IF(B1272&lt;VLOOKUP(C1260,'Boats Data Sheet 2026'!$C$3:$H$57,6,0),B1272+1,0))</f>
        <v>11</v>
      </c>
      <c r="C1273" s="423" cm="1">
        <f t="array" ref="C1273">IF(B1273&gt;0,IF(VLOOKUP(C1260,'Boats Data Sheet 2026'!$C$3:$J$57,8,0)="N/A",0,VLOOKUP(C1260,'Boats Data Sheet 2026'!$C$3:$J$57,8,0)),"N/A")</f>
        <v>0</v>
      </c>
      <c r="D1273" s="429" cm="1">
        <f t="array" ref="D1273">IF(B1273&gt;7,2,IF(B1273=0,"N/A",1))</f>
        <v>2</v>
      </c>
      <c r="E1273" s="423" cm="1">
        <f t="array" ref="E1273">_xlfn.IFERROR(SUM('Direct Costs 2026'!$C$4:$C$5)*D1273,"N/A")</f>
        <v>1751000</v>
      </c>
      <c r="F1273" s="423" cm="1">
        <f t="array" ref="F1273">_xlfn.IFERROR('Direct Costs 2026'!$C$43*B1273,"N/A")</f>
        <v>66000</v>
      </c>
      <c r="G1273" s="423" cm="1">
        <f t="array" ref="G1273">IF(B1273&gt;0,'Direct Costs 2026'!$C$25,"N/A")</f>
        <v>90000</v>
      </c>
      <c r="H1273" s="423" cm="1">
        <f t="array" ref="H1273">IF(B1273&gt;0,('Direct Costs 2026'!$C$15+'Direct Costs 2026'!$C$17+'Direct Costs 2026'!$C$14),"N/A")</f>
        <v>580000</v>
      </c>
      <c r="I1273" s="423" cm="1">
        <f t="array" ref="I1273">IF(B1273&gt;0,'Direct Costs 2026'!$C$19+'Direct Costs 2026'!$C$18*B1273,"N/A")</f>
        <v>460000</v>
      </c>
      <c r="J1273" s="423" cm="1">
        <f t="array" ref="J1273">IF(B1273&gt;0,SUM('Direct Costs 2026'!$C$20:$C$21),"N/A")</f>
        <v>98333.3333333333</v>
      </c>
      <c r="K1273" s="423" cm="1">
        <f t="array" ref="K1273">IF(B1273&gt;0,'Direct Costs 2026'!$C$26,"N/A")</f>
        <v>20000</v>
      </c>
      <c r="L1273" s="423" cm="1">
        <f t="array" ref="L1273">IF(B1273&gt;0,'Direct Costs 2026'!$C$23,"N/A")</f>
        <v>140000</v>
      </c>
      <c r="M1273" s="423" cm="1">
        <f t="array" ref="M1273">IF(B1273&gt;0,'Direct Costs 2026'!$C$45*B1273,"N/A")</f>
        <v>1650000</v>
      </c>
      <c r="N1273" s="423" cm="1">
        <f t="array" ref="N1273">IF(B1273&gt;0,_xlfn.IFERROR(VLOOKUP(C1260,'Boats Data Sheet 2026'!$C$3:$I$57,7,0)*'Direct Costs 2026'!$C$36,"N/A"),"N/A")</f>
        <v>3325000</v>
      </c>
      <c r="O1273" s="423" cm="1">
        <f t="array" ref="O1273">IF(B1273&gt;0,IF(OR(VLOOKUP(C1260,'Boats Data Sheet 2026'!$C$3:$F$57,4,0)="Own",VLOOKUP(C1260,'Boats Data Sheet 2026'!$C$3:$F$57,4,0)="Management"),('Direct Costs 2026'!$C$37+'Direct Costs 2026'!$C$39),"N/A"),"N/A")</f>
        <v>1112400</v>
      </c>
      <c r="P1273" s="423" cm="1">
        <f t="array" ref="P1273">_xlfn.IFERROR('Direct Costs 2026'!$C$27*C1273,"N/A")</f>
        <v>0</v>
      </c>
      <c r="Q1273" s="423" cm="1">
        <f t="array" ref="Q1273">_xlfn.IFERROR(C1273+SUM(E1273:P1273),"N/A")</f>
        <v>9292733.33333333</v>
      </c>
      <c r="R1273" s="424"/>
      <c r="S1273" s="423" cm="1">
        <f t="array" ref="S1273">IF(B1273&gt;0,'Allocation OH and Target 2026'!$E$31,"N/A")</f>
        <v>3100447.15769812</v>
      </c>
      <c r="T1273" s="423" cm="1">
        <f t="array" ref="T1273">IF(B1273&gt;0,VLOOKUP(C1260,'Allocation OH and Target 2026'!$C$35:$S$87,17,0),"N/A")</f>
        <v>0</v>
      </c>
      <c r="U1273" s="423" cm="1">
        <f t="array" ref="U1273">_xlfn.IFERROR((S1273+T1273),"N/A")</f>
        <v>3100447.15769812</v>
      </c>
      <c r="V1273" s="424"/>
      <c r="W1273" s="423" cm="1">
        <f t="array" ref="W1273">_xlfn.IFERROR(U1273+Q1273,"N/A")</f>
        <v>12393180.4910315</v>
      </c>
      <c r="X1273" s="423" cm="1">
        <f t="array" ref="X1273">_xlfn.IFERROR(W1273*0.5%,"N/A")</f>
        <v>61965.9024551575</v>
      </c>
      <c r="Y1273" s="423" cm="1">
        <f t="array" ref="Y1273">_xlfn.IFERROR(W1273*25%,"N/A")</f>
        <v>3098295.12275788</v>
      </c>
      <c r="Z1273" s="425" cm="1">
        <f t="array" ref="Z1273">IF(B1273&gt;0,SUM(W1273:Y1273),"N/A")</f>
        <v>15553441.5162445</v>
      </c>
      <c r="AA1273" s="425" cm="1">
        <f t="array" ref="AA1273">_xlfn.IFERROR((Z1273-Z1272),"N/A")</f>
        <v>239705</v>
      </c>
      <c r="AB1273" s="424"/>
      <c r="AC1273" t="str" s="426" cm="1">
        <f t="array" ref="AC1273">IF(B1273=6,AVERAGE(Z1263:Z1268),"N/A")</f>
        <v>N/A</v>
      </c>
      <c r="AD1273" s="424"/>
      <c r="AE1273" s="423"/>
      <c r="AF1273" s="423"/>
      <c r="AG1273" s="423"/>
      <c r="AH1273" s="423"/>
      <c r="AI1273" s="423"/>
      <c r="AJ1273" s="423"/>
      <c r="AK1273" s="423"/>
      <c r="AL1273" s="423"/>
      <c r="AM1273" s="423"/>
      <c r="AN1273" s="427"/>
    </row>
    <row r="1274" ht="15" customHeight="1">
      <c r="A1274" s="12"/>
      <c r="B1274" s="428" cm="1">
        <f t="array" ref="B1274">IF(B1273=0,0,IF(B1273&lt;VLOOKUP(C1260,'Boats Data Sheet 2026'!$C$3:$H$57,6,0),B1273+1,0))</f>
        <v>12</v>
      </c>
      <c r="C1274" s="423" cm="1">
        <f t="array" ref="C1274">IF(B1274&gt;0,IF(VLOOKUP(C1260,'Boats Data Sheet 2026'!$C$3:$J$57,8,0)="N/A",0,VLOOKUP(C1260,'Boats Data Sheet 2026'!$C$3:$J$57,8,0)),"N/A")</f>
        <v>0</v>
      </c>
      <c r="D1274" s="429" cm="1">
        <f t="array" ref="D1274">IF(B1274&gt;7,2,IF(B1274=0,"N/A",1))</f>
        <v>2</v>
      </c>
      <c r="E1274" s="423" cm="1">
        <f t="array" ref="E1274">_xlfn.IFERROR(SUM('Direct Costs 2026'!$C$4:$C$5)*D1274,"N/A")</f>
        <v>1751000</v>
      </c>
      <c r="F1274" s="423" cm="1">
        <f t="array" ref="F1274">_xlfn.IFERROR('Direct Costs 2026'!$C$43*B1274,"N/A")</f>
        <v>72000</v>
      </c>
      <c r="G1274" s="423" cm="1">
        <f t="array" ref="G1274">IF(B1274&gt;0,'Direct Costs 2026'!$C$25,"N/A")</f>
        <v>90000</v>
      </c>
      <c r="H1274" s="423" cm="1">
        <f t="array" ref="H1274">IF(B1274&gt;0,('Direct Costs 2026'!$C$15+'Direct Costs 2026'!$C$17+'Direct Costs 2026'!$C$14),"N/A")</f>
        <v>580000</v>
      </c>
      <c r="I1274" s="423" cm="1">
        <f t="array" ref="I1274">IF(B1274&gt;0,'Direct Costs 2026'!$C$19+'Direct Costs 2026'!$C$18*B1274,"N/A")</f>
        <v>495000</v>
      </c>
      <c r="J1274" s="423" cm="1">
        <f t="array" ref="J1274">IF(B1274&gt;0,SUM('Direct Costs 2026'!$C$20:$C$21),"N/A")</f>
        <v>98333.3333333333</v>
      </c>
      <c r="K1274" s="423" cm="1">
        <f t="array" ref="K1274">IF(B1274&gt;0,'Direct Costs 2026'!$C$26,"N/A")</f>
        <v>20000</v>
      </c>
      <c r="L1274" s="423" cm="1">
        <f t="array" ref="L1274">IF(B1274&gt;0,'Direct Costs 2026'!$C$23,"N/A")</f>
        <v>140000</v>
      </c>
      <c r="M1274" s="423" cm="1">
        <f t="array" ref="M1274">IF(B1274&gt;0,'Direct Costs 2026'!$C$45*B1274,"N/A")</f>
        <v>1800000</v>
      </c>
      <c r="N1274" s="423" cm="1">
        <f t="array" ref="N1274">IF(B1274&gt;0,_xlfn.IFERROR(VLOOKUP(C1260,'Boats Data Sheet 2026'!$C$3:$I$57,7,0)*'Direct Costs 2026'!$C$36,"N/A"),"N/A")</f>
        <v>3325000</v>
      </c>
      <c r="O1274" s="423" cm="1">
        <f t="array" ref="O1274">IF(B1274&gt;0,IF(OR(VLOOKUP(C1260,'Boats Data Sheet 2026'!$C$3:$F$57,4,0)="Own",VLOOKUP(C1260,'Boats Data Sheet 2026'!$C$3:$F$57,4,0)="Management"),('Direct Costs 2026'!$C$37+'Direct Costs 2026'!$C$39),"N/A"),"N/A")</f>
        <v>1112400</v>
      </c>
      <c r="P1274" s="423" cm="1">
        <f t="array" ref="P1274">_xlfn.IFERROR('Direct Costs 2026'!$C$27*C1274,"N/A")</f>
        <v>0</v>
      </c>
      <c r="Q1274" s="423" cm="1">
        <f t="array" ref="Q1274">_xlfn.IFERROR(C1274+SUM(E1274:P1274),"N/A")</f>
        <v>9483733.33333333</v>
      </c>
      <c r="R1274" s="424"/>
      <c r="S1274" s="423" cm="1">
        <f t="array" ref="S1274">IF(B1274&gt;0,'Allocation OH and Target 2026'!$E$31,"N/A")</f>
        <v>3100447.15769812</v>
      </c>
      <c r="T1274" s="423" cm="1">
        <f t="array" ref="T1274">IF(B1275&gt;0,VLOOKUP(C1260,'Allocation OH and Target 2026'!$C$35:$S$87,17,0),"N/A")</f>
        <v>0</v>
      </c>
      <c r="U1274" s="423" cm="1">
        <f t="array" ref="U1274">_xlfn.IFERROR((S1274+T1274),"N/A")</f>
        <v>3100447.15769812</v>
      </c>
      <c r="V1274" s="424"/>
      <c r="W1274" s="423" cm="1">
        <f t="array" ref="W1274">_xlfn.IFERROR(U1274+Q1274,"N/A")</f>
        <v>12584180.4910315</v>
      </c>
      <c r="X1274" s="423" cm="1">
        <f t="array" ref="X1274">_xlfn.IFERROR(W1274*0.5%,"N/A")</f>
        <v>62920.9024551575</v>
      </c>
      <c r="Y1274" s="423" cm="1">
        <f t="array" ref="Y1274">_xlfn.IFERROR(W1274*25%,"N/A")</f>
        <v>3146045.12275788</v>
      </c>
      <c r="Z1274" s="425" cm="1">
        <f t="array" ref="Z1274">IF(B1274&gt;0,SUM(W1274:Y1274),"N/A")</f>
        <v>15793146.5162445</v>
      </c>
      <c r="AA1274" s="425" cm="1">
        <f t="array" ref="AA1274">_xlfn.IFERROR((Z1274-Z1273),"N/A")</f>
        <v>239705</v>
      </c>
      <c r="AB1274" s="424"/>
      <c r="AC1274" t="str" s="426" cm="1">
        <f t="array" ref="AC1274">IF(B1274=6,AVERAGE(Z1263:Z1268),"N/A")</f>
        <v>N/A</v>
      </c>
      <c r="AD1274" s="424"/>
      <c r="AE1274" s="423"/>
      <c r="AF1274" s="423"/>
      <c r="AG1274" s="423"/>
      <c r="AH1274" s="423"/>
      <c r="AI1274" s="423"/>
      <c r="AJ1274" s="423"/>
      <c r="AK1274" s="423"/>
      <c r="AL1274" s="423"/>
      <c r="AM1274" s="423"/>
      <c r="AN1274" s="427"/>
    </row>
    <row r="1275" ht="15" customHeight="1">
      <c r="A1275" s="12"/>
      <c r="B1275" s="428" cm="1">
        <f t="array" ref="B1275">IF(B1274=0,0,IF(B1274&lt;VLOOKUP(C1260,'Boats Data Sheet 2026'!$C$3:$H$57,6,0),B1274+1,0))</f>
        <v>13</v>
      </c>
      <c r="C1275" s="423" cm="1">
        <f t="array" ref="C1275">IF(B1275&gt;0,IF(VLOOKUP(C1260,'Boats Data Sheet 2026'!$C$3:$J$57,8,0)="N/A",0,VLOOKUP(C1260,'Boats Data Sheet 2026'!$C$3:$J$57,8,0)),"N/A")</f>
        <v>0</v>
      </c>
      <c r="D1275" s="429" cm="1">
        <f t="array" ref="D1275">IF(B1275&gt;7,2,IF(B1275=0,"N/A",1))</f>
        <v>2</v>
      </c>
      <c r="E1275" s="423" cm="1">
        <f t="array" ref="E1275">_xlfn.IFERROR(SUM('Direct Costs 2026'!$C$4:$C$5)*D1275,"N/A")</f>
        <v>1751000</v>
      </c>
      <c r="F1275" s="423" cm="1">
        <f t="array" ref="F1275">_xlfn.IFERROR('Direct Costs 2026'!$C$43*B1275,"N/A")</f>
        <v>78000</v>
      </c>
      <c r="G1275" s="423" cm="1">
        <f t="array" ref="G1275">IF(B1275&gt;0,'Direct Costs 2026'!$C$25,"N/A")</f>
        <v>90000</v>
      </c>
      <c r="H1275" s="423" cm="1">
        <f t="array" ref="H1275">IF(B1275&gt;0,('Direct Costs 2026'!$C$15+'Direct Costs 2026'!$C$17+'Direct Costs 2026'!$C$14),"N/A")</f>
        <v>580000</v>
      </c>
      <c r="I1275" s="423" cm="1">
        <f t="array" ref="I1275">IF(B1275&gt;0,'Direct Costs 2026'!$C$19+'Direct Costs 2026'!$C$18*B1275,"N/A")</f>
        <v>530000</v>
      </c>
      <c r="J1275" s="423" cm="1">
        <f t="array" ref="J1275">IF(B1275&gt;0,SUM('Direct Costs 2026'!$C$20:$C$21),"N/A")</f>
        <v>98333.3333333333</v>
      </c>
      <c r="K1275" s="423" cm="1">
        <f t="array" ref="K1275">IF(B1275&gt;0,'Direct Costs 2026'!$C$26,"N/A")</f>
        <v>20000</v>
      </c>
      <c r="L1275" s="423" cm="1">
        <f t="array" ref="L1275">IF(B1275&gt;0,'Direct Costs 2026'!$C$23,"N/A")</f>
        <v>140000</v>
      </c>
      <c r="M1275" s="423" cm="1">
        <f t="array" ref="M1275">IF(B1275&gt;0,'Direct Costs 2026'!$C$45*B1275,"N/A")</f>
        <v>1950000</v>
      </c>
      <c r="N1275" s="423" cm="1">
        <f t="array" ref="N1275">IF(B1275&gt;0,_xlfn.IFERROR(VLOOKUP(C1260,'Boats Data Sheet 2026'!$C$3:$I$57,7,0)*'Direct Costs 2026'!$C$36,"N/A"),"N/A")</f>
        <v>3325000</v>
      </c>
      <c r="O1275" s="423" cm="1">
        <f t="array" ref="O1275">IF(B1275&gt;0,IF(OR(VLOOKUP(C1260,'Boats Data Sheet 2026'!$C$3:$F$57,4,0)="Own",VLOOKUP(C1260,'Boats Data Sheet 2026'!$C$3:$F$57,4,0)="Management"),('Direct Costs 2026'!$C$37+'Direct Costs 2026'!$C$39),"N/A"),"N/A")</f>
        <v>1112400</v>
      </c>
      <c r="P1275" s="423" cm="1">
        <f t="array" ref="P1275">_xlfn.IFERROR('Direct Costs 2026'!$C$27*C1275,"N/A")</f>
        <v>0</v>
      </c>
      <c r="Q1275" s="423" cm="1">
        <f t="array" ref="Q1275">_xlfn.IFERROR(C1275+SUM(E1275:P1275),"N/A")</f>
        <v>9674733.33333333</v>
      </c>
      <c r="R1275" s="424"/>
      <c r="S1275" s="423" cm="1">
        <f t="array" ref="S1275">IF(B1275&gt;0,'Allocation OH and Target 2026'!$E$31,"N/A")</f>
        <v>3100447.15769812</v>
      </c>
      <c r="T1275" s="423" cm="1">
        <f t="array" ref="T1275">IF(B1275&gt;0,VLOOKUP(C1260,'Allocation OH and Target 2026'!$C$35:$S$87,17,0),"N/A")</f>
        <v>0</v>
      </c>
      <c r="U1275" s="423" cm="1">
        <f t="array" ref="U1275">_xlfn.IFERROR((S1275+T1275),"N/A")</f>
        <v>3100447.15769812</v>
      </c>
      <c r="V1275" s="424"/>
      <c r="W1275" s="423" cm="1">
        <f t="array" ref="W1275">_xlfn.IFERROR(U1275+Q1275,"N/A")</f>
        <v>12775180.4910315</v>
      </c>
      <c r="X1275" s="423" cm="1">
        <f t="array" ref="X1275">_xlfn.IFERROR(W1275*0.5%,"N/A")</f>
        <v>63875.9024551575</v>
      </c>
      <c r="Y1275" s="423" cm="1">
        <f t="array" ref="Y1275">_xlfn.IFERROR(W1275*25%,"N/A")</f>
        <v>3193795.12275788</v>
      </c>
      <c r="Z1275" s="425" cm="1">
        <f t="array" ref="Z1275">IF(B1275&gt;0,SUM(W1275:Y1275),"N/A")</f>
        <v>16032851.5162445</v>
      </c>
      <c r="AA1275" s="425" cm="1">
        <f t="array" ref="AA1275">_xlfn.IFERROR((Z1275-Z1274),"N/A")</f>
        <v>239705</v>
      </c>
      <c r="AB1275" s="424"/>
      <c r="AC1275" t="str" s="426" cm="1">
        <f t="array" ref="AC1275">IF(B1275=6,AVERAGE(Z1263:Z1268),"N/A")</f>
        <v>N/A</v>
      </c>
      <c r="AD1275" s="424"/>
      <c r="AE1275" s="423"/>
      <c r="AF1275" s="423"/>
      <c r="AG1275" s="423"/>
      <c r="AH1275" s="423"/>
      <c r="AI1275" s="423"/>
      <c r="AJ1275" s="423"/>
      <c r="AK1275" s="423"/>
      <c r="AL1275" s="423"/>
      <c r="AM1275" s="423"/>
      <c r="AN1275" s="427"/>
    </row>
    <row r="1276" ht="15" customHeight="1">
      <c r="A1276" s="12"/>
      <c r="B1276" s="428" cm="1">
        <f t="array" ref="B1276">IF(B1275=0,0,IF(B1275&lt;VLOOKUP(C1260,'Boats Data Sheet 2026'!$C$3:$H$57,6,0),B1275+1,0))</f>
        <v>0</v>
      </c>
      <c r="C1276" t="str" s="431" cm="1">
        <f t="array" ref="C1276">IF(B1276&gt;0,IF(VLOOKUP(C1260,'Boats Data Sheet 2026'!$C$3:$J$57,8,0)="N/A",0,VLOOKUP(C1260,'Boats Data Sheet 2026'!$C$3:$J$57,8,0)),"N/A")</f>
        <v>N/A</v>
      </c>
      <c r="D1276" t="str" s="431" cm="1">
        <f t="array" ref="D1276">IF(B1276&gt;7,2,IF(B1276=0,"N/A",1))</f>
        <v>N/A</v>
      </c>
      <c r="E1276" t="str" s="431" cm="1">
        <f t="array" ref="E1276">_xlfn.IFERROR(SUM('Direct Costs 2026'!$C$4:$C$5)*D1276,"N/A")</f>
        <v>N/A</v>
      </c>
      <c r="F1276" s="423" cm="1">
        <f t="array" ref="F1276">_xlfn.IFERROR('Direct Costs 2026'!$C$43*B1276,"N/A")</f>
        <v>0</v>
      </c>
      <c r="G1276" t="str" s="431" cm="1">
        <f t="array" ref="G1276">IF(B1276&gt;0,'Direct Costs 2026'!$C$25,"N/A")</f>
        <v>N/A</v>
      </c>
      <c r="H1276" t="str" s="431" cm="1">
        <f t="array" ref="H1276">IF(B1276&gt;0,('Direct Costs 2026'!$C$15+'Direct Costs 2026'!$C$17+'Direct Costs 2026'!$C$14),"N/A")</f>
        <v>N/A</v>
      </c>
      <c r="I1276" t="str" s="431" cm="1">
        <f t="array" ref="I1276">IF(B1276&gt;0,'Direct Costs 2026'!$C$19+'Direct Costs 2026'!$C$18*B1276,"N/A")</f>
        <v>N/A</v>
      </c>
      <c r="J1276" t="str" s="431" cm="1">
        <f t="array" ref="J1276">IF(B1276&gt;0,SUM('Direct Costs 2026'!$C$20:$C$21),"N/A")</f>
        <v>N/A</v>
      </c>
      <c r="K1276" t="str" s="431" cm="1">
        <f t="array" ref="K1276">IF(B1276&gt;0,'Direct Costs 2026'!$C$26,"N/A")</f>
        <v>N/A</v>
      </c>
      <c r="L1276" t="str" s="431" cm="1">
        <f t="array" ref="L1276">IF(B1276&gt;0,'Direct Costs 2026'!$C$23,"N/A")</f>
        <v>N/A</v>
      </c>
      <c r="M1276" t="str" s="431" cm="1">
        <f t="array" ref="M1276">IF(B1276&gt;0,'Direct Costs 2026'!$C$45*B1276,"N/A")</f>
        <v>N/A</v>
      </c>
      <c r="N1276" t="str" s="431" cm="1">
        <f t="array" ref="N1276">IF(B1276&gt;0,_xlfn.IFERROR(VLOOKUP(C1260,'Boats Data Sheet 2026'!$C$3:$I$57,7,0)*'Direct Costs 2026'!$C$36,"N/A"),"N/A")</f>
        <v>N/A</v>
      </c>
      <c r="O1276" t="str" s="431" cm="1">
        <f t="array" ref="O1276">IF(B1276&gt;0,IF(OR(VLOOKUP(C1260,'Boats Data Sheet 2026'!$C$3:$F$57,4,0)="Own",VLOOKUP(C1260,'Boats Data Sheet 2026'!$C$3:$F$57,4,0)="Management"),('Direct Costs 2026'!$C$37+'Direct Costs 2026'!$C$39),"N/A"),"N/A")</f>
        <v>N/A</v>
      </c>
      <c r="P1276" t="str" s="431" cm="1">
        <f t="array" ref="P1276">_xlfn.IFERROR('Direct Costs 2026'!$C$27*C1276,"N/A")</f>
        <v>N/A</v>
      </c>
      <c r="Q1276" t="str" s="431" cm="1">
        <f t="array" ref="Q1276">_xlfn.IFERROR(C1276+SUM(E1276:P1276),"N/A")</f>
        <v>N/A</v>
      </c>
      <c r="R1276" s="424"/>
      <c r="S1276" t="str" s="431" cm="1">
        <f t="array" ref="S1276">IF(B1276&gt;0,'Allocation OH and Target 2026'!$E$31,"N/A")</f>
        <v>N/A</v>
      </c>
      <c r="T1276" t="str" s="431" cm="1">
        <f t="array" ref="T1276">IF(B1276&gt;0,VLOOKUP(C1260,'Allocation OH and Target 2026'!$C$35:$S$87,17,0),"N/A")</f>
        <v>N/A</v>
      </c>
      <c r="U1276" t="str" s="431" cm="1">
        <f t="array" ref="U1276">_xlfn.IFERROR((S1276+T1276),"N/A")</f>
        <v>N/A</v>
      </c>
      <c r="V1276" s="424"/>
      <c r="W1276" t="str" s="431" cm="1">
        <f t="array" ref="W1276">_xlfn.IFERROR(U1276+Q1276,"N/A")</f>
        <v>N/A</v>
      </c>
      <c r="X1276" t="str" s="431" cm="1">
        <f t="array" ref="X1276">_xlfn.IFERROR(W1276*0.5%,"N/A")</f>
        <v>N/A</v>
      </c>
      <c r="Y1276" t="str" s="431" cm="1">
        <f t="array" ref="Y1276">_xlfn.IFERROR(W1276*25%,"N/A")</f>
        <v>N/A</v>
      </c>
      <c r="Z1276" t="str" s="426" cm="1">
        <f t="array" ref="Z1276">IF(B1276&gt;0,SUM(W1276:Y1276),"N/A")</f>
        <v>N/A</v>
      </c>
      <c r="AA1276" t="str" s="426" cm="1">
        <f t="array" ref="AA1276">_xlfn.IFERROR((Z1276-Z1275),"N/A")</f>
        <v>N/A</v>
      </c>
      <c r="AB1276" s="424"/>
      <c r="AC1276" t="str" s="426" cm="1">
        <f t="array" ref="AC1276">IF(B1276=6,AVERAGE(Z1263:Z1268),"N/A")</f>
        <v>N/A</v>
      </c>
      <c r="AD1276" s="424"/>
      <c r="AE1276" s="423"/>
      <c r="AF1276" s="423"/>
      <c r="AG1276" s="423"/>
      <c r="AH1276" s="423"/>
      <c r="AI1276" s="423"/>
      <c r="AJ1276" s="423"/>
      <c r="AK1276" s="423"/>
      <c r="AL1276" s="423"/>
      <c r="AM1276" s="423"/>
      <c r="AN1276" s="427"/>
    </row>
    <row r="1277" ht="15" customHeight="1">
      <c r="A1277" s="12"/>
      <c r="B1277" s="428" cm="1">
        <f t="array" ref="B1277">IF(B1276=0,0,IF(B1276&lt;VLOOKUP(C1260,'Boats Data Sheet 2026'!$C$3:$H$57,6,0),B1276+1,0))</f>
        <v>0</v>
      </c>
      <c r="C1277" t="str" s="431" cm="1">
        <f t="array" ref="C1277">IF(B1277&gt;0,IF(VLOOKUP(C1260,'Boats Data Sheet 2026'!$C$3:$J$57,8,0)="N/A",0,VLOOKUP(C1260,'Boats Data Sheet 2026'!$C$3:$J$57,8,0)),"N/A")</f>
        <v>N/A</v>
      </c>
      <c r="D1277" t="str" s="431" cm="1">
        <f t="array" ref="D1277">IF(B1277&gt;7,2,IF(B1277=0,"N/A",1))</f>
        <v>N/A</v>
      </c>
      <c r="E1277" t="str" s="431" cm="1">
        <f t="array" ref="E1277">_xlfn.IFERROR(SUM('Direct Costs 2026'!$C$4:$C$5)*D1277,"N/A")</f>
        <v>N/A</v>
      </c>
      <c r="F1277" s="423" cm="1">
        <f t="array" ref="F1277">_xlfn.IFERROR('Direct Costs 2026'!$C$43*B1277,"N/A")</f>
        <v>0</v>
      </c>
      <c r="G1277" t="str" s="431" cm="1">
        <f t="array" ref="G1277">IF(B1277&gt;0,'Direct Costs 2026'!$C$25,"N/A")</f>
        <v>N/A</v>
      </c>
      <c r="H1277" t="str" s="431" cm="1">
        <f t="array" ref="H1277">IF(B1277&gt;0,('Direct Costs 2026'!$C$15+'Direct Costs 2026'!$C$17+'Direct Costs 2026'!$C$14),"N/A")</f>
        <v>N/A</v>
      </c>
      <c r="I1277" t="str" s="431" cm="1">
        <f t="array" ref="I1277">IF(B1277&gt;0,'Direct Costs 2026'!$C$19+'Direct Costs 2026'!$C$18*B1277,"N/A")</f>
        <v>N/A</v>
      </c>
      <c r="J1277" t="str" s="431" cm="1">
        <f t="array" ref="J1277">IF(B1277&gt;0,SUM('Direct Costs 2026'!$C$20:$C$21),"N/A")</f>
        <v>N/A</v>
      </c>
      <c r="K1277" t="str" s="431" cm="1">
        <f t="array" ref="K1277">IF(B1277&gt;0,'Direct Costs 2026'!$C$26,"N/A")</f>
        <v>N/A</v>
      </c>
      <c r="L1277" t="str" s="431" cm="1">
        <f t="array" ref="L1277">IF(B1277&gt;0,'Direct Costs 2026'!$C$23,"N/A")</f>
        <v>N/A</v>
      </c>
      <c r="M1277" t="str" s="431" cm="1">
        <f t="array" ref="M1277">IF(B1277&gt;0,'Direct Costs 2026'!$C$45*B1277,"N/A")</f>
        <v>N/A</v>
      </c>
      <c r="N1277" t="str" s="431" cm="1">
        <f t="array" ref="N1277">IF(B1277&gt;0,_xlfn.IFERROR(VLOOKUP(C1260,'Boats Data Sheet 2026'!$C$3:$I$57,7,0)*'Direct Costs 2026'!$C$36,"N/A"),"N/A")</f>
        <v>N/A</v>
      </c>
      <c r="O1277" t="str" s="431" cm="1">
        <f t="array" ref="O1277">IF(B1277&gt;0,IF(OR(VLOOKUP(C1260,'Boats Data Sheet 2026'!$C$3:$F$57,4,0)="Own",VLOOKUP(C1260,'Boats Data Sheet 2026'!$C$3:$F$57,4,0)="Management"),('Direct Costs 2026'!$C$37+'Direct Costs 2026'!$C$39),"N/A"),"N/A")</f>
        <v>N/A</v>
      </c>
      <c r="P1277" t="str" s="431" cm="1">
        <f t="array" ref="P1277">_xlfn.IFERROR('Direct Costs 2026'!$C$27*C1277,"N/A")</f>
        <v>N/A</v>
      </c>
      <c r="Q1277" t="str" s="431" cm="1">
        <f t="array" ref="Q1277">_xlfn.IFERROR(C1277+SUM(E1277:P1277),"N/A")</f>
        <v>N/A</v>
      </c>
      <c r="R1277" s="424"/>
      <c r="S1277" t="str" s="431" cm="1">
        <f t="array" ref="S1277">IF(B1277&gt;0,'Allocation OH and Target 2026'!$E$31,"N/A")</f>
        <v>N/A</v>
      </c>
      <c r="T1277" t="str" s="431" cm="1">
        <f t="array" ref="T1277">IF(B1277&gt;0,VLOOKUP(C1260,'Allocation OH and Target 2026'!$C$35:$S$87,16,0),"N/A")</f>
        <v>N/A</v>
      </c>
      <c r="U1277" t="str" s="431" cm="1">
        <f t="array" ref="U1277">_xlfn.IFERROR((S1277+T1277),"N/A")</f>
        <v>N/A</v>
      </c>
      <c r="V1277" s="424"/>
      <c r="W1277" t="str" s="431" cm="1">
        <f t="array" ref="W1277">_xlfn.IFERROR(U1277+Q1277,"N/A")</f>
        <v>N/A</v>
      </c>
      <c r="X1277" t="str" s="431" cm="1">
        <f t="array" ref="X1277">_xlfn.IFERROR(W1277*0.5%,"N/A")</f>
        <v>N/A</v>
      </c>
      <c r="Y1277" t="str" s="431" cm="1">
        <f t="array" ref="Y1277">_xlfn.IFERROR(W1277*25%,"N/A")</f>
        <v>N/A</v>
      </c>
      <c r="Z1277" t="str" s="426" cm="1">
        <f t="array" ref="Z1277">IF(B1277&gt;0,SUM(W1277:Y1277),"N/A")</f>
        <v>N/A</v>
      </c>
      <c r="AA1277" t="str" s="426" cm="1">
        <f t="array" ref="AA1277">_xlfn.IFERROR((Z1277-Z1276),"N/A")</f>
        <v>N/A</v>
      </c>
      <c r="AB1277" s="424"/>
      <c r="AC1277" t="str" s="426" cm="1">
        <f t="array" ref="AC1277">IF(B1277=6,AVERAGE(Z1263:Z1268),"N/A")</f>
        <v>N/A</v>
      </c>
      <c r="AD1277" s="424"/>
      <c r="AE1277" s="423"/>
      <c r="AF1277" s="423"/>
      <c r="AG1277" s="423"/>
      <c r="AH1277" s="423"/>
      <c r="AI1277" s="423"/>
      <c r="AJ1277" s="423"/>
      <c r="AK1277" s="423"/>
      <c r="AL1277" s="423"/>
      <c r="AM1277" s="423"/>
      <c r="AN1277" s="427"/>
    </row>
    <row r="1278" ht="15" customHeight="1">
      <c r="A1278" s="12"/>
      <c r="B1278" s="428" cm="1">
        <f t="array" ref="B1278">IF(B1277=0,0,IF(B1277&lt;VLOOKUP(C1260,'Boats Data Sheet 2026'!$C$3:$H$57,6,0),B1277+1,0))</f>
        <v>0</v>
      </c>
      <c r="C1278" t="str" s="431" cm="1">
        <f t="array" ref="C1278">IF(B1278&gt;0,IF(VLOOKUP(C1260,'Boats Data Sheet 2026'!$C$3:$J$57,8,0)="N/A",0,VLOOKUP(C1260,'Boats Data Sheet 2026'!$C$3:$J$57,8,0)),"N/A")</f>
        <v>N/A</v>
      </c>
      <c r="D1278" t="str" s="431" cm="1">
        <f t="array" ref="D1278">IF(B1278&gt;7,2,IF(B1278=0,"N/A",1))</f>
        <v>N/A</v>
      </c>
      <c r="E1278" t="str" s="431" cm="1">
        <f t="array" ref="E1278">_xlfn.IFERROR(SUM('Direct Costs 2026'!$C$4:$C$5)*D1278,"N/A")</f>
        <v>N/A</v>
      </c>
      <c r="F1278" s="423" cm="1">
        <f t="array" ref="F1278">_xlfn.IFERROR('Direct Costs 2026'!$C$43*B1278,"N/A")</f>
        <v>0</v>
      </c>
      <c r="G1278" t="str" s="431" cm="1">
        <f t="array" ref="G1278">IF(B1278&gt;0,'Direct Costs 2026'!$C$25,"N/A")</f>
        <v>N/A</v>
      </c>
      <c r="H1278" t="str" s="431" cm="1">
        <f t="array" ref="H1278">IF(B1278&gt;0,('Direct Costs 2026'!$C$15+'Direct Costs 2026'!$C$17+'Direct Costs 2026'!$C$14),"N/A")</f>
        <v>N/A</v>
      </c>
      <c r="I1278" t="str" s="431" cm="1">
        <f t="array" ref="I1278">IF(B1278&gt;0,'Direct Costs 2026'!$C$19+'Direct Costs 2026'!$C$18*B1278,"N/A")</f>
        <v>N/A</v>
      </c>
      <c r="J1278" t="str" s="431" cm="1">
        <f t="array" ref="J1278">IF(B1278&gt;0,SUM('Direct Costs 2026'!$C$20:$C$21),"N/A")</f>
        <v>N/A</v>
      </c>
      <c r="K1278" t="str" s="431" cm="1">
        <f t="array" ref="K1278">IF(B1278&gt;0,'Direct Costs 2026'!$C$26,"N/A")</f>
        <v>N/A</v>
      </c>
      <c r="L1278" t="str" s="431" cm="1">
        <f t="array" ref="L1278">IF(B1278&gt;0,'Direct Costs 2026'!$C$23,"N/A")</f>
        <v>N/A</v>
      </c>
      <c r="M1278" t="str" s="431" cm="1">
        <f t="array" ref="M1278">IF(B1278&gt;0,'Direct Costs 2026'!$C$45*B1278,"N/A")</f>
        <v>N/A</v>
      </c>
      <c r="N1278" t="str" s="431" cm="1">
        <f t="array" ref="N1278">IF(B1278&gt;0,_xlfn.IFERROR(VLOOKUP(C1260,'Boats Data Sheet 2026'!$C$3:$I$57,7,0)*'Direct Costs 2026'!$C$36,"N/A"),"N/A")</f>
        <v>N/A</v>
      </c>
      <c r="O1278" t="str" s="431" cm="1">
        <f t="array" ref="O1278">IF(B1278&gt;0,IF(OR(VLOOKUP(C1260,'Boats Data Sheet 2026'!$C$3:$F$57,4,0)="Own",VLOOKUP(C1260,'Boats Data Sheet 2026'!$C$3:$F$57,4,0)="Management"),('Direct Costs 2026'!$C$37+'Direct Costs 2026'!$C$39),"N/A"),"N/A")</f>
        <v>N/A</v>
      </c>
      <c r="P1278" t="str" s="431" cm="1">
        <f t="array" ref="P1278">_xlfn.IFERROR('Direct Costs 2026'!$C$27*C1278,"N/A")</f>
        <v>N/A</v>
      </c>
      <c r="Q1278" t="str" s="431" cm="1">
        <f t="array" ref="Q1278">_xlfn.IFERROR(C1278+SUM(E1278:P1278),"N/A")</f>
        <v>N/A</v>
      </c>
      <c r="R1278" s="424"/>
      <c r="S1278" t="str" s="431" cm="1">
        <f t="array" ref="S1278">IF(B1278&gt;0,'Allocation OH and Target 2026'!$E$31,"N/A")</f>
        <v>N/A</v>
      </c>
      <c r="T1278" t="str" s="431" cm="1">
        <f t="array" ref="T1278">IF(B1278&gt;0,VLOOKUP(C1260,'Allocation OH and Target 2026'!$C$35:$S$87,16,0),"N/A")</f>
        <v>N/A</v>
      </c>
      <c r="U1278" t="str" s="431" cm="1">
        <f t="array" ref="U1278">_xlfn.IFERROR((S1278+T1278),"N/A")</f>
        <v>N/A</v>
      </c>
      <c r="V1278" s="424"/>
      <c r="W1278" t="str" s="431" cm="1">
        <f t="array" ref="W1278">_xlfn.IFERROR(U1278+Q1278,"N/A")</f>
        <v>N/A</v>
      </c>
      <c r="X1278" t="str" s="431" cm="1">
        <f t="array" ref="X1278">_xlfn.IFERROR(W1278*0.5%,"N/A")</f>
        <v>N/A</v>
      </c>
      <c r="Y1278" t="str" s="431" cm="1">
        <f t="array" ref="Y1278">_xlfn.IFERROR(W1278*25%,"N/A")</f>
        <v>N/A</v>
      </c>
      <c r="Z1278" t="str" s="426" cm="1">
        <f t="array" ref="Z1278">IF(B1278&gt;0,SUM(W1278:Y1278),"N/A")</f>
        <v>N/A</v>
      </c>
      <c r="AA1278" t="str" s="426" cm="1">
        <f t="array" ref="AA1278">_xlfn.IFERROR((Z1278-Z1277),"N/A")</f>
        <v>N/A</v>
      </c>
      <c r="AB1278" s="424"/>
      <c r="AC1278" t="str" s="426" cm="1">
        <f t="array" ref="AC1278">IF(B1278=6,AVERAGE(Z1263:Z1268),"N/A")</f>
        <v>N/A</v>
      </c>
      <c r="AD1278" s="424"/>
      <c r="AE1278" s="423"/>
      <c r="AF1278" s="423"/>
      <c r="AG1278" s="423"/>
      <c r="AH1278" s="423"/>
      <c r="AI1278" s="423"/>
      <c r="AJ1278" s="423"/>
      <c r="AK1278" s="423"/>
      <c r="AL1278" s="423"/>
      <c r="AM1278" s="423"/>
      <c r="AN1278" s="427"/>
    </row>
    <row r="1279" ht="15" customHeight="1">
      <c r="A1279" s="12"/>
      <c r="B1279" s="428" cm="1">
        <f t="array" ref="B1279">IF(B1278=0,0,IF(B1278&lt;VLOOKUP(C1260,'Boats Data Sheet 2026'!$C$3:$H$57,6,0),B1278+1,0))</f>
        <v>0</v>
      </c>
      <c r="C1279" t="str" s="431" cm="1">
        <f t="array" ref="C1279">IF(B1279&gt;0,IF(VLOOKUP(C1260,'Boats Data Sheet 2026'!$C$3:$J$57,8,0)="N/A",0,VLOOKUP(C1260,'Boats Data Sheet 2026'!$C$3:$J$57,8,0)),"N/A")</f>
        <v>N/A</v>
      </c>
      <c r="D1279" t="str" s="431" cm="1">
        <f t="array" ref="D1279">IF(B1279&gt;7,2,IF(B1279=0,"N/A",1))</f>
        <v>N/A</v>
      </c>
      <c r="E1279" t="str" s="431" cm="1">
        <f t="array" ref="E1279">_xlfn.IFERROR(SUM('Direct Costs 2026'!$C$4:$C$5)*D1279,"N/A")</f>
        <v>N/A</v>
      </c>
      <c r="F1279" s="423" cm="1">
        <f t="array" ref="F1279">_xlfn.IFERROR('Direct Costs 2026'!$C$43*B1279,"N/A")</f>
        <v>0</v>
      </c>
      <c r="G1279" t="str" s="431" cm="1">
        <f t="array" ref="G1279">IF(B1279&gt;0,'Direct Costs 2026'!$C$25,"N/A")</f>
        <v>N/A</v>
      </c>
      <c r="H1279" t="str" s="431" cm="1">
        <f t="array" ref="H1279">IF(B1279&gt;0,('Direct Costs 2026'!$C$15+'Direct Costs 2026'!$C$17+'Direct Costs 2026'!$C$14),"N/A")</f>
        <v>N/A</v>
      </c>
      <c r="I1279" t="str" s="431" cm="1">
        <f t="array" ref="I1279">IF(B1279&gt;0,'Direct Costs 2026'!$C$19+'Direct Costs 2026'!$C$18*B1279,"N/A")</f>
        <v>N/A</v>
      </c>
      <c r="J1279" t="str" s="431" cm="1">
        <f t="array" ref="J1279">IF(B1279&gt;0,SUM('Direct Costs 2026'!$C$20:$C$21),"N/A")</f>
        <v>N/A</v>
      </c>
      <c r="K1279" t="str" s="431" cm="1">
        <f t="array" ref="K1279">IF(B1279&gt;0,'Direct Costs 2026'!$C$26,"N/A")</f>
        <v>N/A</v>
      </c>
      <c r="L1279" t="str" s="431" cm="1">
        <f t="array" ref="L1279">IF(B1279&gt;0,'Direct Costs 2026'!$C$23,"N/A")</f>
        <v>N/A</v>
      </c>
      <c r="M1279" t="str" s="431" cm="1">
        <f t="array" ref="M1279">IF(B1279&gt;0,'Direct Costs 2026'!$C$45*B1279,"N/A")</f>
        <v>N/A</v>
      </c>
      <c r="N1279" t="str" s="431" cm="1">
        <f t="array" ref="N1279">IF(B1279&gt;0,_xlfn.IFERROR(VLOOKUP(C1260,'Boats Data Sheet 2026'!$C$3:$I$57,7,0)*'Direct Costs 2026'!$C$36,"N/A"),"N/A")</f>
        <v>N/A</v>
      </c>
      <c r="O1279" t="str" s="431" cm="1">
        <f t="array" ref="O1279">IF(B1279&gt;0,IF(OR(VLOOKUP(C1260,'Boats Data Sheet 2026'!$C$3:$F$57,4,0)="Own",VLOOKUP(C1260,'Boats Data Sheet 2026'!$C$3:$F$57,4,0)="Management"),('Direct Costs 2026'!$C$37+'Direct Costs 2026'!$C$39),"N/A"),"N/A")</f>
        <v>N/A</v>
      </c>
      <c r="P1279" t="str" s="431" cm="1">
        <f t="array" ref="P1279">_xlfn.IFERROR('Direct Costs 2026'!$C$27*C1279,"N/A")</f>
        <v>N/A</v>
      </c>
      <c r="Q1279" t="str" s="431" cm="1">
        <f t="array" ref="Q1279">_xlfn.IFERROR(C1279+SUM(E1279:P1279),"N/A")</f>
        <v>N/A</v>
      </c>
      <c r="R1279" s="424"/>
      <c r="S1279" t="str" s="431" cm="1">
        <f t="array" ref="S1279">IF(B1279&gt;0,'Allocation OH and Target 2026'!$E$31,"N/A")</f>
        <v>N/A</v>
      </c>
      <c r="T1279" t="str" s="431" cm="1">
        <f t="array" ref="T1279">IF(B1279&gt;0,VLOOKUP(C1260,'Allocation OH and Target 2026'!$C$35:$S$87,16,0),"N/A")</f>
        <v>N/A</v>
      </c>
      <c r="U1279" t="str" s="431" cm="1">
        <f t="array" ref="U1279">_xlfn.IFERROR((S1279+T1279),"N/A")</f>
        <v>N/A</v>
      </c>
      <c r="V1279" s="424"/>
      <c r="W1279" t="str" s="431" cm="1">
        <f t="array" ref="W1279">_xlfn.IFERROR(U1279+Q1279,"N/A")</f>
        <v>N/A</v>
      </c>
      <c r="X1279" t="str" s="431" cm="1">
        <f t="array" ref="X1279">_xlfn.IFERROR(W1279*0.5%,"N/A")</f>
        <v>N/A</v>
      </c>
      <c r="Y1279" t="str" s="431" cm="1">
        <f t="array" ref="Y1279">_xlfn.IFERROR(W1279*25%,"N/A")</f>
        <v>N/A</v>
      </c>
      <c r="Z1279" t="str" s="426" cm="1">
        <f t="array" ref="Z1279">IF(B1279&gt;0,SUM(W1279:Y1279),"N/A")</f>
        <v>N/A</v>
      </c>
      <c r="AA1279" t="str" s="426" cm="1">
        <f t="array" ref="AA1279">_xlfn.IFERROR((Z1279-Z1278),"N/A")</f>
        <v>N/A</v>
      </c>
      <c r="AB1279" s="424"/>
      <c r="AC1279" t="str" s="426" cm="1">
        <f t="array" ref="AC1279">IF(B1279=6,AVERAGE(Z1263:Z1268),"N/A")</f>
        <v>N/A</v>
      </c>
      <c r="AD1279" s="424"/>
      <c r="AE1279" s="423"/>
      <c r="AF1279" s="423"/>
      <c r="AG1279" s="423"/>
      <c r="AH1279" s="423"/>
      <c r="AI1279" s="423"/>
      <c r="AJ1279" s="423"/>
      <c r="AK1279" s="423"/>
      <c r="AL1279" s="423"/>
      <c r="AM1279" s="423"/>
      <c r="AN1279" s="427"/>
    </row>
    <row r="1280" ht="15.5" customHeight="1">
      <c r="A1280" s="12"/>
      <c r="B1280" s="432" cm="1">
        <f t="array" ref="B1280">IF(B1279=0,0,IF(B1279&lt;VLOOKUP(C1260,'Boats Data Sheet 2026'!$C$3:$H$57,6,0),B1279+1,0))</f>
        <v>0</v>
      </c>
      <c r="C1280" t="str" s="433" cm="1">
        <f t="array" ref="C1280">IF(B1280&gt;0,IF(VLOOKUP(C1260,'Boats Data Sheet 2026'!$C$3:$J$57,8,0)="N/A",0,VLOOKUP(C1260,'Boats Data Sheet 2026'!$C$3:$J$57,8,0)),"N/A")</f>
        <v>N/A</v>
      </c>
      <c r="D1280" t="str" s="433" cm="1">
        <f t="array" ref="D1280">IF(B1280&gt;7,2,IF(B1280=0,"N/A",1))</f>
        <v>N/A</v>
      </c>
      <c r="E1280" t="str" s="433" cm="1">
        <f t="array" ref="E1280">_xlfn.IFERROR(SUM('Direct Costs 2026'!$C$4:$C$5)*D1280,"N/A")</f>
        <v>N/A</v>
      </c>
      <c r="F1280" s="434" cm="1">
        <f t="array" ref="F1280">_xlfn.IFERROR('Direct Costs 2026'!$C$43*B1280,"N/A")</f>
        <v>0</v>
      </c>
      <c r="G1280" t="str" s="433" cm="1">
        <f t="array" ref="G1280">IF(B1280&gt;0,'Direct Costs 2026'!$C$25,"N/A")</f>
        <v>N/A</v>
      </c>
      <c r="H1280" t="str" s="433" cm="1">
        <f t="array" ref="H1280">IF(B1280&gt;0,('Direct Costs 2026'!$C$15+'Direct Costs 2026'!$C$17+'Direct Costs 2026'!$C$14),"N/A")</f>
        <v>N/A</v>
      </c>
      <c r="I1280" t="str" s="433" cm="1">
        <f t="array" ref="I1280">IF(B1280&gt;0,'Direct Costs 2026'!$C$19+'Direct Costs 2026'!$C$18*B1280,"N/A")</f>
        <v>N/A</v>
      </c>
      <c r="J1280" t="str" s="433" cm="1">
        <f t="array" ref="J1280">IF(B1280&gt;0,SUM('Direct Costs 2026'!$C$20:$C$21),"N/A")</f>
        <v>N/A</v>
      </c>
      <c r="K1280" t="str" s="433" cm="1">
        <f t="array" ref="K1280">IF(B1280&gt;0,'Direct Costs 2026'!$C$26,"N/A")</f>
        <v>N/A</v>
      </c>
      <c r="L1280" t="str" s="433" cm="1">
        <f t="array" ref="L1280">IF(B1280&gt;0,'Direct Costs 2026'!$C$23,"N/A")</f>
        <v>N/A</v>
      </c>
      <c r="M1280" t="str" s="433" cm="1">
        <f t="array" ref="M1280">IF(B1280&gt;0,'Direct Costs 2026'!$C$45*B1280,"N/A")</f>
        <v>N/A</v>
      </c>
      <c r="N1280" t="str" s="433" cm="1">
        <f t="array" ref="N1280">IF(B1280&gt;0,_xlfn.IFERROR(VLOOKUP(C1260,'Boats Data Sheet 2026'!$C$3:$I$57,7,0)*'Direct Costs 2026'!$C$36,"N/A"),"N/A")</f>
        <v>N/A</v>
      </c>
      <c r="O1280" t="str" s="433" cm="1">
        <f t="array" ref="O1280">IF(B1280&gt;0,IF(OR(VLOOKUP(C1260,'Boats Data Sheet 2026'!$C$3:$F$57,4,0)="Own",VLOOKUP(C1260,'Boats Data Sheet 2026'!$C$3:$F$57,4,0)="Management"),('Direct Costs 2026'!$C$37+'Direct Costs 2026'!$C$39),"N/A"),"N/A")</f>
        <v>N/A</v>
      </c>
      <c r="P1280" t="str" s="433" cm="1">
        <f t="array" ref="P1280">_xlfn.IFERROR('Direct Costs 2026'!$C$27*C1280,"N/A")</f>
        <v>N/A</v>
      </c>
      <c r="Q1280" t="str" s="433" cm="1">
        <f t="array" ref="Q1280">_xlfn.IFERROR(C1280+SUM(E1280:P1280),"N/A")</f>
        <v>N/A</v>
      </c>
      <c r="R1280" s="435"/>
      <c r="S1280" t="str" s="433" cm="1">
        <f t="array" ref="S1280">IF(B1280&gt;0,'Allocation OH and Target 2026'!$E$31,"N/A")</f>
        <v>N/A</v>
      </c>
      <c r="T1280" t="str" s="433" cm="1">
        <f t="array" ref="T1280">IF(B1280&gt;0,VLOOKUP(C1260,'Allocation OH and Target 2026'!$C$35:$S$87,16,0),"N/A")</f>
        <v>N/A</v>
      </c>
      <c r="U1280" t="str" s="433" cm="1">
        <f t="array" ref="U1280">_xlfn.IFERROR((S1280+T1280),"N/A")</f>
        <v>N/A</v>
      </c>
      <c r="V1280" s="435"/>
      <c r="W1280" t="str" s="433" cm="1">
        <f t="array" ref="W1280">_xlfn.IFERROR(U1280+Q1280,"N/A")</f>
        <v>N/A</v>
      </c>
      <c r="X1280" t="str" s="433" cm="1">
        <f t="array" ref="X1280">_xlfn.IFERROR(W1280*0.5%,"N/A")</f>
        <v>N/A</v>
      </c>
      <c r="Y1280" t="str" s="433" cm="1">
        <f t="array" ref="Y1280">_xlfn.IFERROR(W1280*25%,"N/A")</f>
        <v>N/A</v>
      </c>
      <c r="Z1280" t="str" s="436" cm="1">
        <f t="array" ref="Z1280">IF(B1280&gt;0,SUM(W1280:Y1280),"N/A")</f>
        <v>N/A</v>
      </c>
      <c r="AA1280" t="str" s="436" cm="1">
        <f t="array" ref="AA1280">_xlfn.IFERROR((Z1280-Z1279),"N/A")</f>
        <v>N/A</v>
      </c>
      <c r="AB1280" s="435"/>
      <c r="AC1280" t="str" s="436" cm="1">
        <f t="array" ref="AC1280">IF(B1280=6,AVERAGE(Z1263:Z1268),"N/A")</f>
        <v>N/A</v>
      </c>
      <c r="AD1280" s="435"/>
      <c r="AE1280" s="434"/>
      <c r="AF1280" s="434"/>
      <c r="AG1280" s="434"/>
      <c r="AH1280" s="434"/>
      <c r="AI1280" s="434"/>
      <c r="AJ1280" s="434"/>
      <c r="AK1280" s="434"/>
      <c r="AL1280" s="434"/>
      <c r="AM1280" s="434"/>
      <c r="AN1280" s="437"/>
    </row>
    <row r="1281" ht="15" customHeight="1">
      <c r="A1281" s="32"/>
      <c r="B1281" s="124"/>
      <c r="C1281" s="124"/>
      <c r="D1281" s="124"/>
      <c r="E1281" s="124"/>
      <c r="F1281" s="124"/>
      <c r="G1281" s="124"/>
      <c r="H1281" s="124"/>
      <c r="I1281" s="124"/>
      <c r="J1281" s="124"/>
      <c r="K1281" s="124"/>
      <c r="L1281" s="124"/>
      <c r="M1281" s="124"/>
      <c r="N1281" s="124"/>
      <c r="O1281" s="124"/>
      <c r="P1281" s="124"/>
      <c r="Q1281" s="124"/>
      <c r="R1281" s="124"/>
      <c r="S1281" s="124"/>
      <c r="T1281" s="124"/>
      <c r="U1281" s="124"/>
      <c r="V1281" s="124"/>
      <c r="W1281" s="124"/>
      <c r="X1281" s="124"/>
      <c r="Y1281" s="124"/>
      <c r="Z1281" s="124"/>
      <c r="AA1281" s="124"/>
      <c r="AB1281" s="124"/>
      <c r="AC1281" s="124"/>
      <c r="AD1281" s="124"/>
      <c r="AE1281" s="124"/>
      <c r="AF1281" s="124"/>
      <c r="AG1281" s="124"/>
      <c r="AH1281" s="124"/>
      <c r="AI1281" s="124"/>
      <c r="AJ1281" s="124"/>
      <c r="AK1281" s="124"/>
      <c r="AL1281" s="124"/>
      <c r="AM1281" s="124"/>
      <c r="AN1281" s="313"/>
    </row>
    <row r="1282" ht="15" customHeight="1">
      <c r="A1282" s="32"/>
      <c r="B1282" s="35"/>
      <c r="C1282" s="35"/>
      <c r="D1282" s="35"/>
      <c r="E1282" s="35"/>
      <c r="F1282" s="35"/>
      <c r="G1282" s="35"/>
      <c r="H1282" s="35"/>
      <c r="I1282" s="35"/>
      <c r="J1282" s="35"/>
      <c r="K1282" s="35"/>
      <c r="L1282" s="35"/>
      <c r="M1282" s="35"/>
      <c r="N1282" s="35"/>
      <c r="O1282" s="35"/>
      <c r="P1282" s="35"/>
      <c r="Q1282" s="35"/>
      <c r="R1282" s="35"/>
      <c r="S1282" s="35"/>
      <c r="T1282" s="35"/>
      <c r="U1282" s="35"/>
      <c r="V1282" s="35"/>
      <c r="W1282" s="35"/>
      <c r="X1282" s="35"/>
      <c r="Y1282" s="35"/>
      <c r="Z1282" s="35"/>
      <c r="AA1282" s="35"/>
      <c r="AB1282" s="35"/>
      <c r="AC1282" s="35"/>
      <c r="AD1282" s="35"/>
      <c r="AE1282" s="35"/>
      <c r="AF1282" s="35"/>
      <c r="AG1282" s="35"/>
      <c r="AH1282" s="35"/>
      <c r="AI1282" s="35"/>
      <c r="AJ1282" s="35"/>
      <c r="AK1282" s="35"/>
      <c r="AL1282" s="35"/>
      <c r="AM1282" s="35"/>
      <c r="AN1282" s="442"/>
    </row>
    <row r="1283" ht="15.5" customHeight="1">
      <c r="A1283" s="395">
        <v>39</v>
      </c>
      <c r="B1283" t="s" s="396">
        <v>506</v>
      </c>
      <c r="C1283" t="s" s="397">
        <v>56</v>
      </c>
      <c r="D1283" s="398"/>
      <c r="E1283" s="398"/>
      <c r="F1283" s="398"/>
      <c r="G1283" s="398"/>
      <c r="H1283" s="398"/>
      <c r="I1283" s="398"/>
      <c r="J1283" s="398"/>
      <c r="K1283" s="398"/>
      <c r="L1283" s="398"/>
      <c r="M1283" s="398"/>
      <c r="N1283" s="398"/>
      <c r="O1283" s="398"/>
      <c r="P1283" s="398"/>
      <c r="Q1283" s="398"/>
      <c r="R1283" s="399"/>
      <c r="S1283" s="398"/>
      <c r="T1283" s="398"/>
      <c r="U1283" s="398"/>
      <c r="V1283" s="399"/>
      <c r="W1283" s="398"/>
      <c r="X1283" s="398"/>
      <c r="Y1283" s="398"/>
      <c r="Z1283" s="398"/>
      <c r="AA1283" s="398"/>
      <c r="AB1283" s="399"/>
      <c r="AC1283" s="398"/>
      <c r="AD1283" s="399"/>
      <c r="AE1283" t="s" s="400">
        <v>508</v>
      </c>
      <c r="AF1283" s="401" cm="1">
        <f t="array" ref="AF1283">AVERAGE(Q1286:Q1291)</f>
        <v>10707333.3333333</v>
      </c>
      <c r="AG1283" t="s" s="400">
        <v>509</v>
      </c>
      <c r="AH1283" s="401" cm="1">
        <f t="array" ref="AH1283">AVERAGE(Q1292:Q1299)-AF1283</f>
        <v>1991928.57142857</v>
      </c>
      <c r="AI1283" t="s" s="400">
        <v>510</v>
      </c>
      <c r="AJ1283" s="401" cm="1">
        <f t="array" ref="AJ1283">AVERAGE(Y1286:Y1293)</f>
        <v>3527054.49775785</v>
      </c>
      <c r="AK1283" t="s" s="397">
        <v>511</v>
      </c>
      <c r="AL1283" s="401" cm="1">
        <f t="array" ref="AL1283">AVERAGE(W1286:W1291)</f>
        <v>13807780.4910314</v>
      </c>
      <c r="AM1283" t="s" s="400">
        <v>512</v>
      </c>
      <c r="AN1283" s="402" cm="1">
        <f t="array" ref="AN1283">W1286</f>
        <v>13330280.4910314</v>
      </c>
    </row>
    <row r="1284" ht="15" customHeight="1">
      <c r="A1284" s="12"/>
      <c r="B1284" s="403"/>
      <c r="C1284" t="s" s="404">
        <v>513</v>
      </c>
      <c r="D1284" s="405"/>
      <c r="E1284" s="405"/>
      <c r="F1284" s="405"/>
      <c r="G1284" s="405"/>
      <c r="H1284" s="405"/>
      <c r="I1284" s="405"/>
      <c r="J1284" s="405"/>
      <c r="K1284" s="405"/>
      <c r="L1284" s="405"/>
      <c r="M1284" s="405"/>
      <c r="N1284" s="405"/>
      <c r="O1284" s="405"/>
      <c r="P1284" s="405"/>
      <c r="Q1284" s="406"/>
      <c r="R1284" s="407"/>
      <c r="S1284" t="s" s="404">
        <v>514</v>
      </c>
      <c r="T1284" s="405"/>
      <c r="U1284" s="406"/>
      <c r="V1284" s="407"/>
      <c r="W1284" t="s" s="404">
        <v>515</v>
      </c>
      <c r="X1284" s="405"/>
      <c r="Y1284" s="405"/>
      <c r="Z1284" s="405"/>
      <c r="AA1284" s="405"/>
      <c r="AB1284" s="408"/>
      <c r="AC1284" s="443"/>
      <c r="AD1284" s="410"/>
      <c r="AE1284" s="411"/>
      <c r="AF1284" s="412"/>
      <c r="AG1284" s="412"/>
      <c r="AH1284" s="412"/>
      <c r="AI1284" s="412"/>
      <c r="AJ1284" s="412"/>
      <c r="AK1284" s="413"/>
      <c r="AL1284" s="414"/>
      <c r="AM1284" s="415"/>
      <c r="AN1284" s="414"/>
    </row>
    <row r="1285" ht="46.25" customHeight="1">
      <c r="A1285" s="187"/>
      <c r="B1285" t="s" s="416">
        <v>517</v>
      </c>
      <c r="C1285" t="s" s="417">
        <v>518</v>
      </c>
      <c r="D1285" t="s" s="417">
        <v>519</v>
      </c>
      <c r="E1285" t="s" s="417">
        <v>520</v>
      </c>
      <c r="F1285" t="s" s="159">
        <v>521</v>
      </c>
      <c r="G1285" t="s" s="159">
        <v>522</v>
      </c>
      <c r="H1285" t="s" s="159">
        <v>523</v>
      </c>
      <c r="I1285" t="s" s="159">
        <v>524</v>
      </c>
      <c r="J1285" t="s" s="159">
        <v>525</v>
      </c>
      <c r="K1285" t="s" s="159">
        <v>526</v>
      </c>
      <c r="L1285" t="s" s="159">
        <v>527</v>
      </c>
      <c r="M1285" t="s" s="159">
        <v>528</v>
      </c>
      <c r="N1285" t="s" s="159">
        <v>529</v>
      </c>
      <c r="O1285" t="s" s="159">
        <v>530</v>
      </c>
      <c r="P1285" t="s" s="159">
        <v>531</v>
      </c>
      <c r="Q1285" t="s" s="159">
        <v>532</v>
      </c>
      <c r="R1285" s="418"/>
      <c r="S1285" t="s" s="159">
        <v>533</v>
      </c>
      <c r="T1285" t="s" s="159">
        <v>534</v>
      </c>
      <c r="U1285" t="s" s="159">
        <v>535</v>
      </c>
      <c r="V1285" s="418"/>
      <c r="W1285" t="s" s="159">
        <v>536</v>
      </c>
      <c r="X1285" t="s" s="159">
        <v>537</v>
      </c>
      <c r="Y1285" t="s" s="159">
        <v>538</v>
      </c>
      <c r="Z1285" t="s" s="159">
        <v>539</v>
      </c>
      <c r="AA1285" t="s" s="159">
        <v>121</v>
      </c>
      <c r="AB1285" s="419"/>
      <c r="AC1285" t="s" s="159">
        <v>39</v>
      </c>
      <c r="AD1285" s="419"/>
      <c r="AE1285" s="77"/>
      <c r="AF1285" s="77"/>
      <c r="AG1285" s="77"/>
      <c r="AH1285" s="77"/>
      <c r="AI1285" s="77"/>
      <c r="AJ1285" s="77"/>
      <c r="AK1285" s="77"/>
      <c r="AL1285" s="77"/>
      <c r="AM1285" s="77"/>
      <c r="AN1285" s="78"/>
    </row>
    <row r="1286" ht="15" customHeight="1">
      <c r="A1286" s="12"/>
      <c r="B1286" s="420">
        <v>1</v>
      </c>
      <c r="C1286" s="421" cm="1">
        <f t="array" ref="C1286">IF(B1286&gt;0,IF(VLOOKUP(C1283,'Boats Data Sheet 2026'!$C$3:$J$57,8,0)="N/A",0,VLOOKUP(C1283,'Boats Data Sheet 2026'!$C$3:$J$57,8,0)),"N/A")</f>
        <v>8000000</v>
      </c>
      <c r="D1286" s="422" cm="1">
        <f t="array" ref="D1286">IF(B1286&gt;7,2,IF(B1286=0,"N/A",1))</f>
        <v>1</v>
      </c>
      <c r="E1286" s="421" cm="1">
        <f t="array" ref="E1286">_xlfn.IFERROR(SUM('Direct Costs 2026'!$C$4:$C$5)*D1286,"N/A")</f>
        <v>875500</v>
      </c>
      <c r="F1286" s="423" cm="1">
        <f t="array" ref="F1286">_xlfn.IFERROR('Direct Costs 2026'!$C$43*B1286,"N/A")</f>
        <v>6000</v>
      </c>
      <c r="G1286" s="423" cm="1">
        <f t="array" ref="G1286">IF(B1286&gt;0,'Direct Costs 2026'!$C$25,"N/A")</f>
        <v>90000</v>
      </c>
      <c r="H1286" s="423" cm="1">
        <f t="array" ref="H1286">IF(B1286&gt;0,('Direct Costs 2026'!$C$15+'Direct Costs 2026'!$C$17+'Direct Costs 2026'!$C$14),"N/A")</f>
        <v>580000</v>
      </c>
      <c r="I1286" s="423" cm="1">
        <f t="array" ref="I1286">IF(B1286&gt;0,'Direct Costs 2026'!$C$19+'Direct Costs 2026'!$C$18*B1286,"N/A")</f>
        <v>110000</v>
      </c>
      <c r="J1286" s="423" cm="1">
        <f t="array" ref="J1286">IF(B1286&gt;0,SUM('Direct Costs 2026'!$C$20:$C$21),"N/A")</f>
        <v>98333.3333333333</v>
      </c>
      <c r="K1286" s="423" cm="1">
        <f t="array" ref="K1286">IF(B1286&gt;0,'Direct Costs 2026'!$C$26,"N/A")</f>
        <v>20000</v>
      </c>
      <c r="L1286" s="423" cm="1">
        <f t="array" ref="L1286">IF(B1286&gt;0,'Direct Costs 2026'!$C$23,"N/A")</f>
        <v>140000</v>
      </c>
      <c r="M1286" s="423" cm="1">
        <f t="array" ref="M1286">IF(B1286&gt;0,'Direct Costs 2026'!$C$45*B1286,"N/A")</f>
        <v>150000</v>
      </c>
      <c r="N1286" t="str" s="431" cm="1">
        <f t="array" ref="N1286">IF(B1286&gt;0,_xlfn.IFERROR(VLOOKUP(C1283,'Boats Data Sheet 2026'!$C$3:$I$57,7,0)*'Direct Costs 2026'!$C$36,"N/A"),"N/A")</f>
        <v>N/A</v>
      </c>
      <c r="O1286" t="str" s="431" cm="1">
        <f t="array" ref="O1286">IF(B1286&gt;0,IF(OR(VLOOKUP(C1283,'Boats Data Sheet 2026'!$C$3:$F$57,4,0)="Own",VLOOKUP(C1283,'Boats Data Sheet 2026'!$C$3:$F$57,4,0)="Management"),('Direct Costs 2026'!$C$37+'Direct Costs 2026'!$C$39),"N/A"),"N/A")</f>
        <v>N/A</v>
      </c>
      <c r="P1286" s="423" cm="1">
        <f t="array" ref="P1286">_xlfn.IFERROR('Direct Costs 2026'!$C$27*C1286,"N/A")</f>
        <v>160000</v>
      </c>
      <c r="Q1286" s="423" cm="1">
        <f t="array" ref="Q1286">_xlfn.IFERROR(C1286+SUM(E1286:P1286),"N/A")</f>
        <v>10229833.3333333</v>
      </c>
      <c r="R1286" s="424"/>
      <c r="S1286" s="423" cm="1">
        <f t="array" ref="S1286">IF(B1286&gt;0,'Allocation OH and Target 2026'!$E$31,"N/A")</f>
        <v>3100447.15769812</v>
      </c>
      <c r="T1286" s="423" cm="1">
        <f t="array" ref="T1286">IF(B1286&gt;0,VLOOKUP(C1283,'Allocation OH and Target 2026'!$C$35:$S$87,17,0),"N/A")</f>
        <v>0</v>
      </c>
      <c r="U1286" s="423" cm="1">
        <f t="array" ref="U1286">_xlfn.IFERROR((S1286+T1286),"N/A")</f>
        <v>3100447.15769812</v>
      </c>
      <c r="V1286" s="424"/>
      <c r="W1286" s="423" cm="1">
        <f t="array" ref="W1286">_xlfn.IFERROR(U1286+Q1286,"N/A")</f>
        <v>13330280.4910314</v>
      </c>
      <c r="X1286" s="423" cm="1">
        <f t="array" ref="X1286">_xlfn.IFERROR(W1286*0.5%,"N/A")</f>
        <v>66651.402455157</v>
      </c>
      <c r="Y1286" s="423" cm="1">
        <f t="array" ref="Y1286">_xlfn.IFERROR(W1286*25%,"N/A")</f>
        <v>3332570.12275785</v>
      </c>
      <c r="Z1286" s="425" cm="1">
        <f t="array" ref="Z1286">IF(B1286&gt;0,SUM(W1286:Y1286),"N/A")</f>
        <v>16729502.0162444</v>
      </c>
      <c r="AA1286" s="425">
        <v>0</v>
      </c>
      <c r="AB1286" s="424"/>
      <c r="AC1286" t="str" s="426" cm="1">
        <f t="array" ref="AC1286">IF(B1286=6,AVERAGE(Z1286:Z1291),"N/A")</f>
        <v>N/A</v>
      </c>
      <c r="AD1286" s="424"/>
      <c r="AE1286" s="423"/>
      <c r="AF1286" s="505"/>
      <c r="AG1286" s="423"/>
      <c r="AH1286" s="423"/>
      <c r="AI1286" s="423"/>
      <c r="AJ1286" s="423"/>
      <c r="AK1286" s="423"/>
      <c r="AL1286" s="423"/>
      <c r="AM1286" s="423"/>
      <c r="AN1286" s="427"/>
    </row>
    <row r="1287" ht="15" customHeight="1">
      <c r="A1287" s="12"/>
      <c r="B1287" s="428" cm="1">
        <f t="array" ref="B1287">IF(B1286=0,0,IF(B1286&lt;VLOOKUP(C1283,'Boats Data Sheet 2026'!$C$3:$H$57,6,0),B1286+1,0))</f>
        <v>2</v>
      </c>
      <c r="C1287" s="423" cm="1">
        <f t="array" ref="C1287">IF(B1287&gt;0,IF(VLOOKUP(C1283,'Boats Data Sheet 2026'!$C$3:$J$57,8,0)="N/A",0,VLOOKUP(C1283,'Boats Data Sheet 2026'!$C$3:$J$57,8,0)),"N/A")</f>
        <v>8000000</v>
      </c>
      <c r="D1287" s="429" cm="1">
        <f t="array" ref="D1287">IF(B1287&gt;7,2,IF(B1287=0,"N/A",1))</f>
        <v>1</v>
      </c>
      <c r="E1287" s="423" cm="1">
        <f t="array" ref="E1287">_xlfn.IFERROR(SUM('Direct Costs 2026'!$C$4:$C$5)*D1287,"N/A")</f>
        <v>875500</v>
      </c>
      <c r="F1287" s="423" cm="1">
        <f t="array" ref="F1287">_xlfn.IFERROR('Direct Costs 2026'!$C$43*B1287,"N/A")</f>
        <v>12000</v>
      </c>
      <c r="G1287" s="423" cm="1">
        <f t="array" ref="G1287">IF(B1287&gt;0,'Direct Costs 2026'!$C$25,"N/A")</f>
        <v>90000</v>
      </c>
      <c r="H1287" s="423" cm="1">
        <f t="array" ref="H1287">IF(B1287&gt;0,('Direct Costs 2026'!$C$15+'Direct Costs 2026'!$C$17+'Direct Costs 2026'!$C$14),"N/A")</f>
        <v>580000</v>
      </c>
      <c r="I1287" s="423" cm="1">
        <f t="array" ref="I1287">IF(B1287&gt;0,'Direct Costs 2026'!$C$19+'Direct Costs 2026'!$C$18*B1287,"N/A")</f>
        <v>145000</v>
      </c>
      <c r="J1287" s="423" cm="1">
        <f t="array" ref="J1287">IF(B1287&gt;0,SUM('Direct Costs 2026'!$C$20:$C$21),"N/A")</f>
        <v>98333.3333333333</v>
      </c>
      <c r="K1287" s="423" cm="1">
        <f t="array" ref="K1287">IF(B1287&gt;0,'Direct Costs 2026'!$C$26,"N/A")</f>
        <v>20000</v>
      </c>
      <c r="L1287" s="423" cm="1">
        <f t="array" ref="L1287">IF(B1287&gt;0,'Direct Costs 2026'!$C$23,"N/A")</f>
        <v>140000</v>
      </c>
      <c r="M1287" s="423" cm="1">
        <f t="array" ref="M1287">IF(B1287&gt;0,'Direct Costs 2026'!$C$45*B1287,"N/A")</f>
        <v>300000</v>
      </c>
      <c r="N1287" t="str" s="431" cm="1">
        <f t="array" ref="N1287">IF(B1287&gt;0,_xlfn.IFERROR(VLOOKUP(C1283,'Boats Data Sheet 2026'!$C$3:$I$57,7,0)*'Direct Costs 2026'!$C$36,"N/A"),"N/A")</f>
        <v>N/A</v>
      </c>
      <c r="O1287" t="str" s="431" cm="1">
        <f t="array" ref="O1287">IF(B1287&gt;0,IF(OR(VLOOKUP(C1283,'Boats Data Sheet 2026'!$C$3:$F$57,4,0)="Own",VLOOKUP(C1283,'Boats Data Sheet 2026'!$C$3:$F$57,4,0)="Management"),('Direct Costs 2026'!$C$37+'Direct Costs 2026'!$C$39),"N/A"),"N/A")</f>
        <v>N/A</v>
      </c>
      <c r="P1287" s="423" cm="1">
        <f t="array" ref="P1287">_xlfn.IFERROR('Direct Costs 2026'!$C$27*C1287,"N/A")</f>
        <v>160000</v>
      </c>
      <c r="Q1287" s="423" cm="1">
        <f t="array" ref="Q1287">_xlfn.IFERROR(C1287+SUM(E1287:P1287),"N/A")</f>
        <v>10420833.3333333</v>
      </c>
      <c r="R1287" s="424"/>
      <c r="S1287" s="423" cm="1">
        <f t="array" ref="S1287">IF(B1287&gt;0,'Allocation OH and Target 2026'!$E$31,"N/A")</f>
        <v>3100447.15769812</v>
      </c>
      <c r="T1287" s="423" cm="1">
        <f t="array" ref="T1287">IF(B1287&gt;0,VLOOKUP(C1283,'Allocation OH and Target 2026'!$C$35:$S$87,17,0),"N/A")</f>
        <v>0</v>
      </c>
      <c r="U1287" s="423" cm="1">
        <f t="array" ref="U1287">_xlfn.IFERROR((S1287+T1287),"N/A")</f>
        <v>3100447.15769812</v>
      </c>
      <c r="V1287" s="424"/>
      <c r="W1287" s="423" cm="1">
        <f t="array" ref="W1287">_xlfn.IFERROR(U1287+Q1287,"N/A")</f>
        <v>13521280.4910314</v>
      </c>
      <c r="X1287" s="423" cm="1">
        <f t="array" ref="X1287">_xlfn.IFERROR(W1287*0.5%,"N/A")</f>
        <v>67606.402455157</v>
      </c>
      <c r="Y1287" s="423" cm="1">
        <f t="array" ref="Y1287">_xlfn.IFERROR(W1287*25%,"N/A")</f>
        <v>3380320.12275785</v>
      </c>
      <c r="Z1287" s="425" cm="1">
        <f t="array" ref="Z1287">IF(B1287&gt;0,SUM(W1287:Y1287),"N/A")</f>
        <v>16969207.0162444</v>
      </c>
      <c r="AA1287" s="425" cm="1">
        <f t="array" ref="AA1287">_xlfn.IFERROR((Z1287-Z1286),"N/A")</f>
        <v>239705</v>
      </c>
      <c r="AB1287" s="424"/>
      <c r="AC1287" t="str" s="426" cm="1">
        <f t="array" ref="AC1287">IF(B1287=6,AVERAGE(Z1286:Z1291),"N/A")</f>
        <v>N/A</v>
      </c>
      <c r="AD1287" s="424"/>
      <c r="AE1287" s="512"/>
      <c r="AF1287" s="423"/>
      <c r="AG1287" s="423"/>
      <c r="AH1287" s="423"/>
      <c r="AI1287" s="423"/>
      <c r="AJ1287" s="423"/>
      <c r="AK1287" s="423"/>
      <c r="AL1287" s="423"/>
      <c r="AM1287" s="423"/>
      <c r="AN1287" s="427"/>
    </row>
    <row r="1288" ht="15" customHeight="1">
      <c r="A1288" s="12"/>
      <c r="B1288" s="428" cm="1">
        <f t="array" ref="B1288">IF(B1287=0,0,IF(B1287&lt;VLOOKUP(C1283,'Boats Data Sheet 2026'!$C$3:$H$57,6,0),B1287+1,0))</f>
        <v>3</v>
      </c>
      <c r="C1288" s="423" cm="1">
        <f t="array" ref="C1288">IF(B1288&gt;0,IF(VLOOKUP(C1283,'Boats Data Sheet 2026'!$C$3:$J$57,8,0)="N/A",0,VLOOKUP(C1283,'Boats Data Sheet 2026'!$C$3:$J$57,8,0)),"N/A")</f>
        <v>8000000</v>
      </c>
      <c r="D1288" s="429" cm="1">
        <f t="array" ref="D1288">IF(B1288&gt;7,2,IF(B1288=0,"N/A",1))</f>
        <v>1</v>
      </c>
      <c r="E1288" s="423" cm="1">
        <f t="array" ref="E1288">_xlfn.IFERROR(SUM('Direct Costs 2026'!$C$4:$C$5)*D1288,"N/A")</f>
        <v>875500</v>
      </c>
      <c r="F1288" s="423" cm="1">
        <f t="array" ref="F1288">_xlfn.IFERROR('Direct Costs 2026'!$C$43*B1288,"N/A")</f>
        <v>18000</v>
      </c>
      <c r="G1288" s="423" cm="1">
        <f t="array" ref="G1288">IF(B1288&gt;0,'Direct Costs 2026'!$C$25,"N/A")</f>
        <v>90000</v>
      </c>
      <c r="H1288" s="423" cm="1">
        <f t="array" ref="H1288">IF(B1288&gt;0,('Direct Costs 2026'!$C$15+'Direct Costs 2026'!$C$17+'Direct Costs 2026'!$C$14),"N/A")</f>
        <v>580000</v>
      </c>
      <c r="I1288" s="423" cm="1">
        <f t="array" ref="I1288">IF(B1288&gt;0,'Direct Costs 2026'!$C$19+'Direct Costs 2026'!$C$18*B1288,"N/A")</f>
        <v>180000</v>
      </c>
      <c r="J1288" s="423" cm="1">
        <f t="array" ref="J1288">IF(B1288&gt;0,SUM('Direct Costs 2026'!$C$20:$C$21),"N/A")</f>
        <v>98333.3333333333</v>
      </c>
      <c r="K1288" s="423" cm="1">
        <f t="array" ref="K1288">IF(B1288&gt;0,'Direct Costs 2026'!$C$26,"N/A")</f>
        <v>20000</v>
      </c>
      <c r="L1288" s="423" cm="1">
        <f t="array" ref="L1288">IF(B1288&gt;0,'Direct Costs 2026'!$C$23,"N/A")</f>
        <v>140000</v>
      </c>
      <c r="M1288" s="423" cm="1">
        <f t="array" ref="M1288">IF(B1288&gt;0,'Direct Costs 2026'!$C$45*B1288,"N/A")</f>
        <v>450000</v>
      </c>
      <c r="N1288" t="str" s="431" cm="1">
        <f t="array" ref="N1288">IF(B1288&gt;0,_xlfn.IFERROR(VLOOKUP(C1283,'Boats Data Sheet 2026'!$C$3:$I$57,7,0)*'Direct Costs 2026'!$C$36,"N/A"),"N/A")</f>
        <v>N/A</v>
      </c>
      <c r="O1288" t="str" s="431" cm="1">
        <f t="array" ref="O1288">IF(B1288&gt;0,IF(OR(VLOOKUP(C1283,'Boats Data Sheet 2026'!$C$3:$F$57,4,0)="Own",VLOOKUP(C1283,'Boats Data Sheet 2026'!$C$3:$F$57,4,0)="Management"),('Direct Costs 2026'!$C$37+'Direct Costs 2026'!$C$39),"N/A"),"N/A")</f>
        <v>N/A</v>
      </c>
      <c r="P1288" s="423" cm="1">
        <f t="array" ref="P1288">_xlfn.IFERROR('Direct Costs 2026'!$C$27*C1288,"N/A")</f>
        <v>160000</v>
      </c>
      <c r="Q1288" s="423" cm="1">
        <f t="array" ref="Q1288">_xlfn.IFERROR(C1288+SUM(E1288:P1288),"N/A")</f>
        <v>10611833.3333333</v>
      </c>
      <c r="R1288" s="424"/>
      <c r="S1288" s="423" cm="1">
        <f t="array" ref="S1288">IF(B1288&gt;0,'Allocation OH and Target 2026'!$E$31,"N/A")</f>
        <v>3100447.15769812</v>
      </c>
      <c r="T1288" s="423" cm="1">
        <f t="array" ref="T1288">IF(B1288&gt;0,VLOOKUP(C1283,'Allocation OH and Target 2026'!$C$35:$S$87,17,0),"N/A")</f>
        <v>0</v>
      </c>
      <c r="U1288" s="423" cm="1">
        <f t="array" ref="U1288">_xlfn.IFERROR((S1288+T1288),"N/A")</f>
        <v>3100447.15769812</v>
      </c>
      <c r="V1288" s="424"/>
      <c r="W1288" s="423" cm="1">
        <f t="array" ref="W1288">_xlfn.IFERROR(U1288+Q1288,"N/A")</f>
        <v>13712280.4910314</v>
      </c>
      <c r="X1288" s="423" cm="1">
        <f t="array" ref="X1288">_xlfn.IFERROR(W1288*0.5%,"N/A")</f>
        <v>68561.402455157</v>
      </c>
      <c r="Y1288" s="423" cm="1">
        <f t="array" ref="Y1288">_xlfn.IFERROR(W1288*25%,"N/A")</f>
        <v>3428070.12275785</v>
      </c>
      <c r="Z1288" s="425" cm="1">
        <f t="array" ref="Z1288">IF(B1288&gt;0,SUM(W1288:Y1288),"N/A")</f>
        <v>17208912.0162444</v>
      </c>
      <c r="AA1288" s="425" cm="1">
        <f t="array" ref="AA1288">_xlfn.IFERROR((Z1288-Z1287),"N/A")</f>
        <v>239705</v>
      </c>
      <c r="AB1288" s="424"/>
      <c r="AC1288" t="str" s="426" cm="1">
        <f t="array" ref="AC1288">IF(B1288=6,AVERAGE(Z1286:Z1291),"N/A")</f>
        <v>N/A</v>
      </c>
      <c r="AD1288" s="424"/>
      <c r="AE1288" s="423"/>
      <c r="AF1288" s="423"/>
      <c r="AG1288" s="423"/>
      <c r="AH1288" s="423"/>
      <c r="AI1288" s="423"/>
      <c r="AJ1288" s="423"/>
      <c r="AK1288" s="423"/>
      <c r="AL1288" s="423"/>
      <c r="AM1288" s="423"/>
      <c r="AN1288" s="427"/>
    </row>
    <row r="1289" ht="15" customHeight="1">
      <c r="A1289" s="12"/>
      <c r="B1289" s="428" cm="1">
        <f t="array" ref="B1289">IF(B1288=0,0,IF(B1288&lt;VLOOKUP(C1283,'Boats Data Sheet 2026'!$C$3:$H$57,6,0),B1288+1,0))</f>
        <v>4</v>
      </c>
      <c r="C1289" s="423" cm="1">
        <f t="array" ref="C1289">IF(B1289&gt;0,IF(VLOOKUP(C1283,'Boats Data Sheet 2026'!$C$3:$J$57,8,0)="N/A",0,VLOOKUP(C1283,'Boats Data Sheet 2026'!$C$3:$J$57,8,0)),"N/A")</f>
        <v>8000000</v>
      </c>
      <c r="D1289" s="429" cm="1">
        <f t="array" ref="D1289">IF(B1289&gt;7,2,IF(B1289=0,"N/A",1))</f>
        <v>1</v>
      </c>
      <c r="E1289" s="423" cm="1">
        <f t="array" ref="E1289">_xlfn.IFERROR(SUM('Direct Costs 2026'!$C$4:$C$5)*D1289,"N/A")</f>
        <v>875500</v>
      </c>
      <c r="F1289" s="423" cm="1">
        <f t="array" ref="F1289">_xlfn.IFERROR('Direct Costs 2026'!$C$43*B1289,"N/A")</f>
        <v>24000</v>
      </c>
      <c r="G1289" s="423" cm="1">
        <f t="array" ref="G1289">IF(B1289&gt;0,'Direct Costs 2026'!$C$25,"N/A")</f>
        <v>90000</v>
      </c>
      <c r="H1289" s="423" cm="1">
        <f t="array" ref="H1289">IF(B1289&gt;0,('Direct Costs 2026'!$C$15+'Direct Costs 2026'!$C$17+'Direct Costs 2026'!$C$14),"N/A")</f>
        <v>580000</v>
      </c>
      <c r="I1289" s="423" cm="1">
        <f t="array" ref="I1289">IF(B1289&gt;0,'Direct Costs 2026'!$C$19+'Direct Costs 2026'!$C$18*B1289,"N/A")</f>
        <v>215000</v>
      </c>
      <c r="J1289" s="423" cm="1">
        <f t="array" ref="J1289">IF(B1289&gt;0,SUM('Direct Costs 2026'!$C$20:$C$21),"N/A")</f>
        <v>98333.3333333333</v>
      </c>
      <c r="K1289" s="423" cm="1">
        <f t="array" ref="K1289">IF(B1289&gt;0,'Direct Costs 2026'!$C$26,"N/A")</f>
        <v>20000</v>
      </c>
      <c r="L1289" s="423" cm="1">
        <f t="array" ref="L1289">IF(B1289&gt;0,'Direct Costs 2026'!$C$23,"N/A")</f>
        <v>140000</v>
      </c>
      <c r="M1289" s="423" cm="1">
        <f t="array" ref="M1289">IF(B1289&gt;0,'Direct Costs 2026'!$C$45*B1289,"N/A")</f>
        <v>600000</v>
      </c>
      <c r="N1289" t="str" s="431" cm="1">
        <f t="array" ref="N1289">IF(B1289&gt;0,_xlfn.IFERROR(VLOOKUP(C1283,'Boats Data Sheet 2026'!$C$3:$I$57,7,0)*'Direct Costs 2026'!$C$36,"N/A"),"N/A")</f>
        <v>N/A</v>
      </c>
      <c r="O1289" t="str" s="431" cm="1">
        <f t="array" ref="O1289">IF(B1289&gt;0,IF(OR(VLOOKUP(C1283,'Boats Data Sheet 2026'!$C$3:$F$57,4,0)="Own",VLOOKUP(C1283,'Boats Data Sheet 2026'!$C$3:$F$57,4,0)="Management"),('Direct Costs 2026'!$C$37+'Direct Costs 2026'!$C$39),"N/A"),"N/A")</f>
        <v>N/A</v>
      </c>
      <c r="P1289" s="423" cm="1">
        <f t="array" ref="P1289">_xlfn.IFERROR('Direct Costs 2026'!$C$27*C1289,"N/A")</f>
        <v>160000</v>
      </c>
      <c r="Q1289" s="423" cm="1">
        <f t="array" ref="Q1289">_xlfn.IFERROR(C1289+SUM(E1289:P1289),"N/A")</f>
        <v>10802833.3333333</v>
      </c>
      <c r="R1289" s="424"/>
      <c r="S1289" s="423" cm="1">
        <f t="array" ref="S1289">IF(B1289&gt;0,'Allocation OH and Target 2026'!$E$31,"N/A")</f>
        <v>3100447.15769812</v>
      </c>
      <c r="T1289" s="423" cm="1">
        <f t="array" ref="T1289">IF(B1289&gt;0,VLOOKUP(C1283,'Allocation OH and Target 2026'!$C$35:$S$87,17,0),"N/A")</f>
        <v>0</v>
      </c>
      <c r="U1289" s="423" cm="1">
        <f t="array" ref="U1289">_xlfn.IFERROR((S1289+T1289),"N/A")</f>
        <v>3100447.15769812</v>
      </c>
      <c r="V1289" s="424"/>
      <c r="W1289" s="423" cm="1">
        <f t="array" ref="W1289">_xlfn.IFERROR(U1289+Q1289,"N/A")</f>
        <v>13903280.4910314</v>
      </c>
      <c r="X1289" s="423" cm="1">
        <f t="array" ref="X1289">_xlfn.IFERROR(W1289*0.5%,"N/A")</f>
        <v>69516.402455157</v>
      </c>
      <c r="Y1289" s="423" cm="1">
        <f t="array" ref="Y1289">_xlfn.IFERROR(W1289*25%,"N/A")</f>
        <v>3475820.12275785</v>
      </c>
      <c r="Z1289" s="425" cm="1">
        <f t="array" ref="Z1289">IF(B1289&gt;0,SUM(W1289:Y1289),"N/A")</f>
        <v>17448617.0162444</v>
      </c>
      <c r="AA1289" s="425" cm="1">
        <f t="array" ref="AA1289">_xlfn.IFERROR((Z1289-Z1288),"N/A")</f>
        <v>239705</v>
      </c>
      <c r="AB1289" s="424"/>
      <c r="AC1289" t="str" s="426" cm="1">
        <f t="array" ref="AC1289">IF(B1289=6,AVERAGE(Z1286:Z1291),"N/A")</f>
        <v>N/A</v>
      </c>
      <c r="AD1289" s="424"/>
      <c r="AE1289" s="423"/>
      <c r="AF1289" s="423"/>
      <c r="AG1289" s="423"/>
      <c r="AH1289" s="423"/>
      <c r="AI1289" s="423"/>
      <c r="AJ1289" s="423"/>
      <c r="AK1289" s="423"/>
      <c r="AL1289" s="423"/>
      <c r="AM1289" s="423"/>
      <c r="AN1289" s="427"/>
    </row>
    <row r="1290" ht="15" customHeight="1">
      <c r="A1290" s="12"/>
      <c r="B1290" s="428" cm="1">
        <f t="array" ref="B1290">IF(B1289=0,0,IF(B1289&lt;VLOOKUP(C1283,'Boats Data Sheet 2026'!$C$3:$H$57,6,0),B1289+1,0))</f>
        <v>5</v>
      </c>
      <c r="C1290" s="423" cm="1">
        <f t="array" ref="C1290">IF(B1290&gt;0,IF(VLOOKUP(C1283,'Boats Data Sheet 2026'!$C$3:$J$57,8,0)="N/A",0,VLOOKUP(C1283,'Boats Data Sheet 2026'!$C$3:$J$57,8,0)),"N/A")</f>
        <v>8000000</v>
      </c>
      <c r="D1290" s="429" cm="1">
        <f t="array" ref="D1290">IF(B1290&gt;7,2,IF(B1290=0,"N/A",1))</f>
        <v>1</v>
      </c>
      <c r="E1290" s="423" cm="1">
        <f t="array" ref="E1290">_xlfn.IFERROR(SUM('Direct Costs 2026'!$C$4:$C$5)*D1290,"N/A")</f>
        <v>875500</v>
      </c>
      <c r="F1290" s="423" cm="1">
        <f t="array" ref="F1290">_xlfn.IFERROR('Direct Costs 2026'!$C$43*B1290,"N/A")</f>
        <v>30000</v>
      </c>
      <c r="G1290" s="423" cm="1">
        <f t="array" ref="G1290">IF(B1290&gt;0,'Direct Costs 2026'!$C$25,"N/A")</f>
        <v>90000</v>
      </c>
      <c r="H1290" s="423" cm="1">
        <f t="array" ref="H1290">IF(B1290&gt;0,('Direct Costs 2026'!$C$15+'Direct Costs 2026'!$C$17+'Direct Costs 2026'!$C$14),"N/A")</f>
        <v>580000</v>
      </c>
      <c r="I1290" s="423" cm="1">
        <f t="array" ref="I1290">IF(B1290&gt;0,'Direct Costs 2026'!$C$19+'Direct Costs 2026'!$C$18*B1290,"N/A")</f>
        <v>250000</v>
      </c>
      <c r="J1290" s="423" cm="1">
        <f t="array" ref="J1290">IF(B1290&gt;0,SUM('Direct Costs 2026'!$C$20:$C$21),"N/A")</f>
        <v>98333.3333333333</v>
      </c>
      <c r="K1290" s="423" cm="1">
        <f t="array" ref="K1290">IF(B1290&gt;0,'Direct Costs 2026'!$C$26,"N/A")</f>
        <v>20000</v>
      </c>
      <c r="L1290" s="423" cm="1">
        <f t="array" ref="L1290">IF(B1290&gt;0,'Direct Costs 2026'!$C$23,"N/A")</f>
        <v>140000</v>
      </c>
      <c r="M1290" s="423" cm="1">
        <f t="array" ref="M1290">IF(B1290&gt;0,'Direct Costs 2026'!$C$45*B1290,"N/A")</f>
        <v>750000</v>
      </c>
      <c r="N1290" t="str" s="431" cm="1">
        <f t="array" ref="N1290">IF(B1290&gt;0,_xlfn.IFERROR(VLOOKUP(C1283,'Boats Data Sheet 2026'!$C$3:$I$57,7,0)*'Direct Costs 2026'!$C$36,"N/A"),"N/A")</f>
        <v>N/A</v>
      </c>
      <c r="O1290" t="str" s="431" cm="1">
        <f t="array" ref="O1290">IF(B1290&gt;0,IF(OR(VLOOKUP(C1283,'Boats Data Sheet 2026'!$C$3:$F$57,4,0)="Own",VLOOKUP(C1283,'Boats Data Sheet 2026'!$C$3:$F$57,4,0)="Management"),('Direct Costs 2026'!$C$37+'Direct Costs 2026'!$C$39),"N/A"),"N/A")</f>
        <v>N/A</v>
      </c>
      <c r="P1290" s="423" cm="1">
        <f t="array" ref="P1290">_xlfn.IFERROR('Direct Costs 2026'!$C$27*C1290,"N/A")</f>
        <v>160000</v>
      </c>
      <c r="Q1290" s="423" cm="1">
        <f t="array" ref="Q1290">_xlfn.IFERROR(C1290+SUM(E1290:P1290),"N/A")</f>
        <v>10993833.3333333</v>
      </c>
      <c r="R1290" s="424"/>
      <c r="S1290" s="423" cm="1">
        <f t="array" ref="S1290">IF(B1290&gt;0,'Allocation OH and Target 2026'!$E$31,"N/A")</f>
        <v>3100447.15769812</v>
      </c>
      <c r="T1290" s="423" cm="1">
        <f t="array" ref="T1290">IF(B1290&gt;0,VLOOKUP(C1283,'Allocation OH and Target 2026'!$C$35:$S$87,17,0),"N/A")</f>
        <v>0</v>
      </c>
      <c r="U1290" s="423" cm="1">
        <f t="array" ref="U1290">_xlfn.IFERROR((S1290+T1290),"N/A")</f>
        <v>3100447.15769812</v>
      </c>
      <c r="V1290" s="424"/>
      <c r="W1290" s="423" cm="1">
        <f t="array" ref="W1290">_xlfn.IFERROR(U1290+Q1290,"N/A")</f>
        <v>14094280.4910314</v>
      </c>
      <c r="X1290" s="423" cm="1">
        <f t="array" ref="X1290">_xlfn.IFERROR(W1290*0.5%,"N/A")</f>
        <v>70471.402455157</v>
      </c>
      <c r="Y1290" s="423" cm="1">
        <f t="array" ref="Y1290">_xlfn.IFERROR(W1290*25%,"N/A")</f>
        <v>3523570.12275785</v>
      </c>
      <c r="Z1290" s="425" cm="1">
        <f t="array" ref="Z1290">IF(B1290&gt;0,SUM(W1290:Y1290),"N/A")</f>
        <v>17688322.0162444</v>
      </c>
      <c r="AA1290" s="425" cm="1">
        <f t="array" ref="AA1290">_xlfn.IFERROR((Z1290-Z1289),"N/A")</f>
        <v>239705</v>
      </c>
      <c r="AB1290" s="424"/>
      <c r="AC1290" t="str" s="426" cm="1">
        <f t="array" ref="AC1290">IF(B1290=6,AVERAGE(Z1286:Z1291),"N/A")</f>
        <v>N/A</v>
      </c>
      <c r="AD1290" s="424"/>
      <c r="AE1290" s="423"/>
      <c r="AF1290" s="423"/>
      <c r="AG1290" s="423"/>
      <c r="AH1290" s="423"/>
      <c r="AI1290" s="423"/>
      <c r="AJ1290" s="423"/>
      <c r="AK1290" s="423"/>
      <c r="AL1290" s="423"/>
      <c r="AM1290" s="423"/>
      <c r="AN1290" s="427"/>
    </row>
    <row r="1291" ht="15" customHeight="1">
      <c r="A1291" s="12"/>
      <c r="B1291" s="428" cm="1">
        <f t="array" ref="B1291">IF(B1290=0,0,IF(B1290&lt;VLOOKUP(C1283,'Boats Data Sheet 2026'!$C$3:$H$57,6,0),B1290+1,0))</f>
        <v>6</v>
      </c>
      <c r="C1291" s="423" cm="1">
        <f t="array" ref="C1291">IF(B1291&gt;0,IF(VLOOKUP(C1283,'Boats Data Sheet 2026'!$C$3:$J$57,8,0)="N/A",0,VLOOKUP(C1283,'Boats Data Sheet 2026'!$C$3:$J$57,8,0)),"N/A")</f>
        <v>8000000</v>
      </c>
      <c r="D1291" s="429" cm="1">
        <f t="array" ref="D1291">IF(B1291&gt;7,2,IF(B1291=0,"N/A",1))</f>
        <v>1</v>
      </c>
      <c r="E1291" s="423" cm="1">
        <f t="array" ref="E1291">_xlfn.IFERROR(SUM('Direct Costs 2026'!$C$4:$C$5)*D1291,"N/A")</f>
        <v>875500</v>
      </c>
      <c r="F1291" s="423" cm="1">
        <f t="array" ref="F1291">_xlfn.IFERROR('Direct Costs 2026'!$C$43*B1291,"N/A")</f>
        <v>36000</v>
      </c>
      <c r="G1291" s="423" cm="1">
        <f t="array" ref="G1291">IF(B1291&gt;0,'Direct Costs 2026'!$C$25,"N/A")</f>
        <v>90000</v>
      </c>
      <c r="H1291" s="423" cm="1">
        <f t="array" ref="H1291">IF(B1291&gt;0,('Direct Costs 2026'!$C$15+'Direct Costs 2026'!$C$17+'Direct Costs 2026'!$C$14),"N/A")</f>
        <v>580000</v>
      </c>
      <c r="I1291" s="423" cm="1">
        <f t="array" ref="I1291">IF(B1291&gt;0,'Direct Costs 2026'!$C$19+'Direct Costs 2026'!$C$18*B1291,"N/A")</f>
        <v>285000</v>
      </c>
      <c r="J1291" s="423" cm="1">
        <f t="array" ref="J1291">IF(B1291&gt;0,SUM('Direct Costs 2026'!$C$20:$C$21),"N/A")</f>
        <v>98333.3333333333</v>
      </c>
      <c r="K1291" s="423" cm="1">
        <f t="array" ref="K1291">IF(B1291&gt;0,'Direct Costs 2026'!$C$26,"N/A")</f>
        <v>20000</v>
      </c>
      <c r="L1291" s="423" cm="1">
        <f t="array" ref="L1291">IF(B1291&gt;0,'Direct Costs 2026'!$C$23,"N/A")</f>
        <v>140000</v>
      </c>
      <c r="M1291" s="423" cm="1">
        <f t="array" ref="M1291">IF(B1291&gt;0,'Direct Costs 2026'!$C$45*B1291,"N/A")</f>
        <v>900000</v>
      </c>
      <c r="N1291" t="str" s="431" cm="1">
        <f t="array" ref="N1291">IF(B1291&gt;0,_xlfn.IFERROR(VLOOKUP(C1283,'Boats Data Sheet 2026'!$C$3:$I$57,7,0)*'Direct Costs 2026'!$C$36,"N/A"),"N/A")</f>
        <v>N/A</v>
      </c>
      <c r="O1291" t="str" s="431" cm="1">
        <f t="array" ref="O1291">IF(B1291&gt;0,IF(OR(VLOOKUP(C1283,'Boats Data Sheet 2026'!$C$3:$F$57,4,0)="Own",VLOOKUP(C1283,'Boats Data Sheet 2026'!$C$3:$F$57,4,0)="Management"),('Direct Costs 2026'!$C$37+'Direct Costs 2026'!$C$39),"N/A"),"N/A")</f>
        <v>N/A</v>
      </c>
      <c r="P1291" s="423" cm="1">
        <f t="array" ref="P1291">_xlfn.IFERROR('Direct Costs 2026'!$C$27*C1291,"N/A")</f>
        <v>160000</v>
      </c>
      <c r="Q1291" s="423" cm="1">
        <f t="array" ref="Q1291">_xlfn.IFERROR(C1291+SUM(E1291:P1291),"N/A")</f>
        <v>11184833.3333333</v>
      </c>
      <c r="R1291" s="424"/>
      <c r="S1291" s="423" cm="1">
        <f t="array" ref="S1291">IF(B1291&gt;0,'Allocation OH and Target 2026'!$E$31,"N/A")</f>
        <v>3100447.15769812</v>
      </c>
      <c r="T1291" s="423" cm="1">
        <f t="array" ref="T1291">IF(B1291&gt;0,VLOOKUP(C1283,'Allocation OH and Target 2026'!$C$35:$S$87,17,0),"N/A")</f>
        <v>0</v>
      </c>
      <c r="U1291" s="423" cm="1">
        <f t="array" ref="U1291">_xlfn.IFERROR((S1291+T1291),"N/A")</f>
        <v>3100447.15769812</v>
      </c>
      <c r="V1291" s="424"/>
      <c r="W1291" s="423" cm="1">
        <f t="array" ref="W1291">_xlfn.IFERROR(U1291+Q1291,"N/A")</f>
        <v>14285280.4910314</v>
      </c>
      <c r="X1291" s="423" cm="1">
        <f t="array" ref="X1291">_xlfn.IFERROR(W1291*0.5%,"N/A")</f>
        <v>71426.402455157</v>
      </c>
      <c r="Y1291" s="423" cm="1">
        <f t="array" ref="Y1291">_xlfn.IFERROR(W1291*25%,"N/A")</f>
        <v>3571320.12275785</v>
      </c>
      <c r="Z1291" s="425" cm="1">
        <f t="array" ref="Z1291">IF(B1291&gt;0,SUM(W1291:Y1291),"N/A")</f>
        <v>17928027.0162444</v>
      </c>
      <c r="AA1291" s="425" cm="1">
        <f t="array" ref="AA1291">_xlfn.IFERROR((Z1291-Z1290),"N/A")</f>
        <v>239705</v>
      </c>
      <c r="AB1291" s="424"/>
      <c r="AC1291" s="425" cm="1">
        <f t="array" ref="AC1291">IF(B1291=6,AVERAGE(Z1286:Z1291),"N/A")</f>
        <v>17328764.5162444</v>
      </c>
      <c r="AD1291" s="424"/>
      <c r="AE1291" s="512"/>
      <c r="AF1291" s="423"/>
      <c r="AG1291" s="423"/>
      <c r="AH1291" s="423"/>
      <c r="AI1291" s="423"/>
      <c r="AJ1291" s="423"/>
      <c r="AK1291" s="423"/>
      <c r="AL1291" s="423"/>
      <c r="AM1291" s="423"/>
      <c r="AN1291" s="427"/>
    </row>
    <row r="1292" ht="15" customHeight="1">
      <c r="A1292" s="12"/>
      <c r="B1292" s="428" cm="1">
        <f t="array" ref="B1292">IF(B1291=0,0,IF(B1291&lt;VLOOKUP(C1283,'Boats Data Sheet 2026'!$C$3:$H$57,6,0),B1291+1,0))</f>
        <v>7</v>
      </c>
      <c r="C1292" s="423" cm="1">
        <f t="array" ref="C1292">IF(B1292&gt;0,IF(VLOOKUP(C1283,'Boats Data Sheet 2026'!$C$3:$J$57,8,0)="N/A",0,VLOOKUP(C1283,'Boats Data Sheet 2026'!$C$3:$J$57,8,0)),"N/A")</f>
        <v>8000000</v>
      </c>
      <c r="D1292" s="429" cm="1">
        <f t="array" ref="D1292">IF(B1292&gt;7,2,IF(B1292=0,"N/A",1))</f>
        <v>1</v>
      </c>
      <c r="E1292" s="423" cm="1">
        <f t="array" ref="E1292">_xlfn.IFERROR(SUM('Direct Costs 2026'!$C$4:$C$5)*D1292,"N/A")</f>
        <v>875500</v>
      </c>
      <c r="F1292" s="423" cm="1">
        <f t="array" ref="F1292">_xlfn.IFERROR('Direct Costs 2026'!$C$43*B1292,"N/A")</f>
        <v>42000</v>
      </c>
      <c r="G1292" s="423" cm="1">
        <f t="array" ref="G1292">IF(B1292&gt;0,'Direct Costs 2026'!$C$25,"N/A")</f>
        <v>90000</v>
      </c>
      <c r="H1292" s="423" cm="1">
        <f t="array" ref="H1292">IF(B1292&gt;0,('Direct Costs 2026'!$C$15+'Direct Costs 2026'!$C$17+'Direct Costs 2026'!$C$14),"N/A")</f>
        <v>580000</v>
      </c>
      <c r="I1292" s="423" cm="1">
        <f t="array" ref="I1292">IF(B1292&gt;0,'Direct Costs 2026'!$C$19+'Direct Costs 2026'!$C$18*B1292,"N/A")</f>
        <v>320000</v>
      </c>
      <c r="J1292" s="423" cm="1">
        <f t="array" ref="J1292">IF(B1292&gt;0,SUM('Direct Costs 2026'!$C$20:$C$21),"N/A")</f>
        <v>98333.3333333333</v>
      </c>
      <c r="K1292" s="423" cm="1">
        <f t="array" ref="K1292">IF(B1292&gt;0,'Direct Costs 2026'!$C$26,"N/A")</f>
        <v>20000</v>
      </c>
      <c r="L1292" s="423" cm="1">
        <f t="array" ref="L1292">IF(B1292&gt;0,'Direct Costs 2026'!$C$23,"N/A")</f>
        <v>140000</v>
      </c>
      <c r="M1292" s="423" cm="1">
        <f t="array" ref="M1292">IF(B1292&gt;0,'Direct Costs 2026'!$C$45*B1292,"N/A")</f>
        <v>1050000</v>
      </c>
      <c r="N1292" t="str" s="431" cm="1">
        <f t="array" ref="N1292">IF(B1292&gt;0,_xlfn.IFERROR(VLOOKUP(C1283,'Boats Data Sheet 2026'!$C$3:$I$57,7,0)*'Direct Costs 2026'!$C$36,"N/A"),"N/A")</f>
        <v>N/A</v>
      </c>
      <c r="O1292" t="str" s="431" cm="1">
        <f t="array" ref="O1292">IF(B1292&gt;0,IF(OR(VLOOKUP(C1283,'Boats Data Sheet 2026'!$C$3:$F$57,4,0)="Own",VLOOKUP(C1283,'Boats Data Sheet 2026'!$C$3:$F$57,4,0)="Management"),('Direct Costs 2026'!$C$37+'Direct Costs 2026'!$C$39),"N/A"),"N/A")</f>
        <v>N/A</v>
      </c>
      <c r="P1292" s="423" cm="1">
        <f t="array" ref="P1292">_xlfn.IFERROR('Direct Costs 2026'!$C$27*C1292,"N/A")</f>
        <v>160000</v>
      </c>
      <c r="Q1292" s="423" cm="1">
        <f t="array" ref="Q1292">_xlfn.IFERROR(C1292+SUM(E1292:P1292),"N/A")</f>
        <v>11375833.3333333</v>
      </c>
      <c r="R1292" s="424"/>
      <c r="S1292" s="423" cm="1">
        <f t="array" ref="S1292">IF(B1292&gt;0,'Allocation OH and Target 2026'!$E$31,"N/A")</f>
        <v>3100447.15769812</v>
      </c>
      <c r="T1292" s="423" cm="1">
        <f t="array" ref="T1292">IF(B1292&gt;0,VLOOKUP(C1283,'Allocation OH and Target 2026'!$C$35:$S$87,17,0),"N/A")</f>
        <v>0</v>
      </c>
      <c r="U1292" s="423" cm="1">
        <f t="array" ref="U1292">_xlfn.IFERROR((S1292+T1292),"N/A")</f>
        <v>3100447.15769812</v>
      </c>
      <c r="V1292" s="424"/>
      <c r="W1292" s="423" cm="1">
        <f t="array" ref="W1292">_xlfn.IFERROR(U1292+Q1292,"N/A")</f>
        <v>14476280.4910314</v>
      </c>
      <c r="X1292" s="423" cm="1">
        <f t="array" ref="X1292">_xlfn.IFERROR(W1292*0.5%,"N/A")</f>
        <v>72381.402455157</v>
      </c>
      <c r="Y1292" s="423" cm="1">
        <f t="array" ref="Y1292">_xlfn.IFERROR(W1292*25%,"N/A")</f>
        <v>3619070.12275785</v>
      </c>
      <c r="Z1292" s="425" cm="1">
        <f t="array" ref="Z1292">IF(B1292&gt;0,SUM(W1292:Y1292),"N/A")</f>
        <v>18167732.0162444</v>
      </c>
      <c r="AA1292" s="425" cm="1">
        <f t="array" ref="AA1292">_xlfn.IFERROR((Z1292-Z1291),"N/A")</f>
        <v>239705</v>
      </c>
      <c r="AB1292" s="424"/>
      <c r="AC1292" t="str" s="426" cm="1">
        <f t="array" ref="AC1292">IF(B1292=6,AVERAGE(Z1286:Z1291),"N/A")</f>
        <v>N/A</v>
      </c>
      <c r="AD1292" s="424"/>
      <c r="AE1292" s="512"/>
      <c r="AF1292" s="423"/>
      <c r="AG1292" s="423"/>
      <c r="AH1292" s="423"/>
      <c r="AI1292" s="423"/>
      <c r="AJ1292" s="423"/>
      <c r="AK1292" s="423"/>
      <c r="AL1292" s="423"/>
      <c r="AM1292" s="423"/>
      <c r="AN1292" s="427"/>
    </row>
    <row r="1293" ht="15" customHeight="1">
      <c r="A1293" s="12"/>
      <c r="B1293" s="428" cm="1">
        <f t="array" ref="B1293">IF(B1292=0,0,IF(B1292&lt;VLOOKUP(C1283,'Boats Data Sheet 2026'!$C$3:$H$57,6,0),B1292+1,0))</f>
        <v>8</v>
      </c>
      <c r="C1293" s="423" cm="1">
        <f t="array" ref="C1293">IF(B1293&gt;0,IF(VLOOKUP(C1283,'Boats Data Sheet 2026'!$C$3:$J$57,8,0)="N/A",0,VLOOKUP(C1283,'Boats Data Sheet 2026'!$C$3:$J$57,8,0)),"N/A")</f>
        <v>8000000</v>
      </c>
      <c r="D1293" s="429" cm="1">
        <f t="array" ref="D1293">IF(B1293&gt;7,2,IF(B1293=0,"N/A",1))</f>
        <v>2</v>
      </c>
      <c r="E1293" s="423" cm="1">
        <f t="array" ref="E1293">_xlfn.IFERROR(SUM('Direct Costs 2026'!$C$4:$C$5)*D1293,"N/A")</f>
        <v>1751000</v>
      </c>
      <c r="F1293" s="423" cm="1">
        <f t="array" ref="F1293">_xlfn.IFERROR('Direct Costs 2026'!$C$43*B1293,"N/A")</f>
        <v>48000</v>
      </c>
      <c r="G1293" s="423" cm="1">
        <f t="array" ref="G1293">IF(B1293&gt;0,'Direct Costs 2026'!$C$25,"N/A")</f>
        <v>90000</v>
      </c>
      <c r="H1293" s="423" cm="1">
        <f t="array" ref="H1293">IF(B1293&gt;0,('Direct Costs 2026'!$C$15+'Direct Costs 2026'!$C$17+'Direct Costs 2026'!$C$14),"N/A")</f>
        <v>580000</v>
      </c>
      <c r="I1293" s="423" cm="1">
        <f t="array" ref="I1293">IF(B1293&gt;0,'Direct Costs 2026'!$C$19+'Direct Costs 2026'!$C$18*B1293,"N/A")</f>
        <v>355000</v>
      </c>
      <c r="J1293" s="423" cm="1">
        <f t="array" ref="J1293">IF(B1293&gt;0,SUM('Direct Costs 2026'!$C$20:$C$21),"N/A")</f>
        <v>98333.3333333333</v>
      </c>
      <c r="K1293" s="423" cm="1">
        <f t="array" ref="K1293">IF(B1293&gt;0,'Direct Costs 2026'!$C$26,"N/A")</f>
        <v>20000</v>
      </c>
      <c r="L1293" s="423" cm="1">
        <f t="array" ref="L1293">IF(B1293&gt;0,'Direct Costs 2026'!$C$23,"N/A")</f>
        <v>140000</v>
      </c>
      <c r="M1293" s="423" cm="1">
        <f t="array" ref="M1293">IF(B1293&gt;0,'Direct Costs 2026'!$C$45*B1293,"N/A")</f>
        <v>1200000</v>
      </c>
      <c r="N1293" t="str" s="431" cm="1">
        <f t="array" ref="N1293">IF(B1293&gt;0,_xlfn.IFERROR(VLOOKUP(C1283,'Boats Data Sheet 2026'!$C$3:$I$57,7,0)*'Direct Costs 2026'!$C$36,"N/A"),"N/A")</f>
        <v>N/A</v>
      </c>
      <c r="O1293" t="str" s="431" cm="1">
        <f t="array" ref="O1293">IF(B1293&gt;0,IF(OR(VLOOKUP(C1283,'Boats Data Sheet 2026'!$C$3:$F$57,4,0)="Own",VLOOKUP(C1283,'Boats Data Sheet 2026'!$C$3:$F$57,4,0)="Management"),('Direct Costs 2026'!$C$37+'Direct Costs 2026'!$C$39),"N/A"),"N/A")</f>
        <v>N/A</v>
      </c>
      <c r="P1293" s="423" cm="1">
        <f t="array" ref="P1293">_xlfn.IFERROR('Direct Costs 2026'!$C$27*C1293,"N/A")</f>
        <v>160000</v>
      </c>
      <c r="Q1293" s="423" cm="1">
        <f t="array" ref="Q1293">_xlfn.IFERROR(C1293+SUM(E1293:P1293),"N/A")</f>
        <v>12442333.3333333</v>
      </c>
      <c r="R1293" s="424"/>
      <c r="S1293" s="423" cm="1">
        <f t="array" ref="S1293">IF(B1293&gt;0,'Allocation OH and Target 2026'!$E$31,"N/A")</f>
        <v>3100447.15769812</v>
      </c>
      <c r="T1293" s="423" cm="1">
        <f t="array" ref="T1293">IF(B1293&gt;0,VLOOKUP(C1283,'Allocation OH and Target 2026'!$C$35:$S$87,17,0),"N/A")</f>
        <v>0</v>
      </c>
      <c r="U1293" s="423" cm="1">
        <f t="array" ref="U1293">_xlfn.IFERROR((S1293+T1293),"N/A")</f>
        <v>3100447.15769812</v>
      </c>
      <c r="V1293" s="424"/>
      <c r="W1293" s="423" cm="1">
        <f t="array" ref="W1293">_xlfn.IFERROR(U1293+Q1293,"N/A")</f>
        <v>15542780.4910314</v>
      </c>
      <c r="X1293" s="423" cm="1">
        <f t="array" ref="X1293">_xlfn.IFERROR(W1293*0.5%,"N/A")</f>
        <v>77713.902455157</v>
      </c>
      <c r="Y1293" s="423" cm="1">
        <f t="array" ref="Y1293">_xlfn.IFERROR(W1293*25%,"N/A")</f>
        <v>3885695.12275785</v>
      </c>
      <c r="Z1293" s="425" cm="1">
        <f t="array" ref="Z1293">IF(B1293&gt;0,SUM(W1293:Y1293),"N/A")</f>
        <v>19506189.5162444</v>
      </c>
      <c r="AA1293" s="425" cm="1">
        <f t="array" ref="AA1293">_xlfn.IFERROR((Z1293-Z1292),"N/A")</f>
        <v>1338457.5</v>
      </c>
      <c r="AB1293" s="424"/>
      <c r="AC1293" t="str" s="426" cm="1">
        <f t="array" ref="AC1293">IF(B1293=6,AVERAGE(Z1286:Z1291),"N/A")</f>
        <v>N/A</v>
      </c>
      <c r="AD1293" s="424"/>
      <c r="AE1293" s="512"/>
      <c r="AF1293" s="423"/>
      <c r="AG1293" s="423"/>
      <c r="AH1293" s="423"/>
      <c r="AI1293" s="423"/>
      <c r="AJ1293" s="423"/>
      <c r="AK1293" s="423"/>
      <c r="AL1293" s="423"/>
      <c r="AM1293" s="423"/>
      <c r="AN1293" s="427"/>
    </row>
    <row r="1294" ht="15" customHeight="1">
      <c r="A1294" s="12"/>
      <c r="B1294" s="428" cm="1">
        <f t="array" ref="B1294">IF(B1293=0,0,IF(B1293&lt;VLOOKUP(C1283,'Boats Data Sheet 2026'!$C$3:$H$57,6,0),B1293+1,0))</f>
        <v>9</v>
      </c>
      <c r="C1294" s="423" cm="1">
        <f t="array" ref="C1294">IF(B1294&gt;0,IF(VLOOKUP(C1283,'Boats Data Sheet 2026'!$C$3:$J$57,8,0)="N/A",0,VLOOKUP(C1283,'Boats Data Sheet 2026'!$C$3:$J$57,8,0)),"N/A")</f>
        <v>8000000</v>
      </c>
      <c r="D1294" s="429" cm="1">
        <f t="array" ref="D1294">IF(B1294&gt;7,2,IF(B1294=0,"N/A",1))</f>
        <v>2</v>
      </c>
      <c r="E1294" s="423" cm="1">
        <f t="array" ref="E1294">_xlfn.IFERROR(SUM('Direct Costs 2026'!$C$4:$C$5)*D1294,"N/A")</f>
        <v>1751000</v>
      </c>
      <c r="F1294" s="423" cm="1">
        <f t="array" ref="F1294">_xlfn.IFERROR('Direct Costs 2026'!$C$43*B1294,"N/A")</f>
        <v>54000</v>
      </c>
      <c r="G1294" s="423" cm="1">
        <f t="array" ref="G1294">IF(B1294&gt;0,'Direct Costs 2026'!$C$25,"N/A")</f>
        <v>90000</v>
      </c>
      <c r="H1294" s="423" cm="1">
        <f t="array" ref="H1294">IF(B1294&gt;0,('Direct Costs 2026'!$C$15+'Direct Costs 2026'!$C$17+'Direct Costs 2026'!$C$14),"N/A")</f>
        <v>580000</v>
      </c>
      <c r="I1294" s="423" cm="1">
        <f t="array" ref="I1294">IF(B1294&gt;0,'Direct Costs 2026'!$C$19+'Direct Costs 2026'!$C$18*B1294,"N/A")</f>
        <v>390000</v>
      </c>
      <c r="J1294" s="423" cm="1">
        <f t="array" ref="J1294">IF(B1294&gt;0,SUM('Direct Costs 2026'!$C$20:$C$21),"N/A")</f>
        <v>98333.3333333333</v>
      </c>
      <c r="K1294" s="423" cm="1">
        <f t="array" ref="K1294">IF(B1294&gt;0,'Direct Costs 2026'!$C$26,"N/A")</f>
        <v>20000</v>
      </c>
      <c r="L1294" s="423" cm="1">
        <f t="array" ref="L1294">IF(B1294&gt;0,'Direct Costs 2026'!$C$23,"N/A")</f>
        <v>140000</v>
      </c>
      <c r="M1294" s="423" cm="1">
        <f t="array" ref="M1294">IF(B1294&gt;0,'Direct Costs 2026'!$C$45*B1294,"N/A")</f>
        <v>1350000</v>
      </c>
      <c r="N1294" t="str" s="431" cm="1">
        <f t="array" ref="N1294">IF(B1294&gt;0,_xlfn.IFERROR(VLOOKUP(C1283,'Boats Data Sheet 2026'!$C$3:$I$57,7,0)*'Direct Costs 2026'!$C$36,"N/A"),"N/A")</f>
        <v>N/A</v>
      </c>
      <c r="O1294" t="str" s="431" cm="1">
        <f t="array" ref="O1294">IF(B1294&gt;0,IF(OR(VLOOKUP(C1283,'Boats Data Sheet 2026'!$C$3:$F$57,4,0)="Own",VLOOKUP(C1283,'Boats Data Sheet 2026'!$C$3:$F$57,4,0)="Management"),('Direct Costs 2026'!$C$37+'Direct Costs 2026'!$C$39),"N/A"),"N/A")</f>
        <v>N/A</v>
      </c>
      <c r="P1294" s="423" cm="1">
        <f t="array" ref="P1294">_xlfn.IFERROR('Direct Costs 2026'!$C$27*C1294,"N/A")</f>
        <v>160000</v>
      </c>
      <c r="Q1294" s="423" cm="1">
        <f t="array" ref="Q1294">_xlfn.IFERROR(C1294+SUM(E1294:P1294),"N/A")</f>
        <v>12633333.3333333</v>
      </c>
      <c r="R1294" s="424"/>
      <c r="S1294" s="423" cm="1">
        <f t="array" ref="S1294">IF(B1294&gt;0,'Allocation OH and Target 2026'!$E$31,"N/A")</f>
        <v>3100447.15769812</v>
      </c>
      <c r="T1294" s="423" cm="1">
        <f t="array" ref="T1294">IF(B1294&gt;0,VLOOKUP(C1283,'Allocation OH and Target 2026'!$C$35:$S$87,17,0),"N/A")</f>
        <v>0</v>
      </c>
      <c r="U1294" s="423" cm="1">
        <f t="array" ref="U1294">_xlfn.IFERROR((S1294+T1294),"N/A")</f>
        <v>3100447.15769812</v>
      </c>
      <c r="V1294" s="424"/>
      <c r="W1294" s="423" cm="1">
        <f t="array" ref="W1294">_xlfn.IFERROR(U1294+Q1294,"N/A")</f>
        <v>15733780.4910314</v>
      </c>
      <c r="X1294" s="423" cm="1">
        <f t="array" ref="X1294">_xlfn.IFERROR(W1294*0.5%,"N/A")</f>
        <v>78668.902455157</v>
      </c>
      <c r="Y1294" s="423" cm="1">
        <f t="array" ref="Y1294">_xlfn.IFERROR(W1294*25%,"N/A")</f>
        <v>3933445.12275785</v>
      </c>
      <c r="Z1294" s="425" cm="1">
        <f t="array" ref="Z1294">IF(B1294&gt;0,SUM(W1294:Y1294),"N/A")</f>
        <v>19745894.5162444</v>
      </c>
      <c r="AA1294" s="425" cm="1">
        <f t="array" ref="AA1294">_xlfn.IFERROR((Z1294-Z1293),"N/A")</f>
        <v>239705</v>
      </c>
      <c r="AB1294" s="424"/>
      <c r="AC1294" t="str" s="426" cm="1">
        <f t="array" ref="AC1294">IF(B1294=6,AVERAGE(Z1286:Z1291),"N/A")</f>
        <v>N/A</v>
      </c>
      <c r="AD1294" s="424"/>
      <c r="AE1294" s="513"/>
      <c r="AF1294" s="425"/>
      <c r="AG1294" s="423"/>
      <c r="AH1294" s="423"/>
      <c r="AI1294" s="423"/>
      <c r="AJ1294" s="423"/>
      <c r="AK1294" s="423"/>
      <c r="AL1294" s="423"/>
      <c r="AM1294" s="423"/>
      <c r="AN1294" s="427"/>
    </row>
    <row r="1295" ht="15" customHeight="1">
      <c r="A1295" s="12"/>
      <c r="B1295" s="428" cm="1">
        <f t="array" ref="B1295">IF(B1294=0,0,IF(B1294&lt;VLOOKUP(C1283,'Boats Data Sheet 2026'!$C$3:$H$57,6,0),B1294+1,0))</f>
        <v>10</v>
      </c>
      <c r="C1295" s="423" cm="1">
        <f t="array" ref="C1295">IF(B1295&gt;0,IF(VLOOKUP(C1283,'Boats Data Sheet 2026'!$C$3:$J$57,8,0)="N/A",0,VLOOKUP(C1283,'Boats Data Sheet 2026'!$C$3:$J$57,8,0)),"N/A")</f>
        <v>8000000</v>
      </c>
      <c r="D1295" s="429" cm="1">
        <f t="array" ref="D1295">IF(B1295&gt;7,2,IF(B1295=0,"N/A",1))</f>
        <v>2</v>
      </c>
      <c r="E1295" s="423" cm="1">
        <f t="array" ref="E1295">_xlfn.IFERROR(SUM('Direct Costs 2026'!$C$4:$C$5)*D1295,"N/A")</f>
        <v>1751000</v>
      </c>
      <c r="F1295" s="423" cm="1">
        <f t="array" ref="F1295">_xlfn.IFERROR('Direct Costs 2026'!$C$43*B1295,"N/A")</f>
        <v>60000</v>
      </c>
      <c r="G1295" s="423" cm="1">
        <f t="array" ref="G1295">IF(B1295&gt;0,'Direct Costs 2026'!$C$25,"N/A")</f>
        <v>90000</v>
      </c>
      <c r="H1295" s="423" cm="1">
        <f t="array" ref="H1295">IF(B1295&gt;0,('Direct Costs 2026'!$C$15+'Direct Costs 2026'!$C$17+'Direct Costs 2026'!$C$14),"N/A")</f>
        <v>580000</v>
      </c>
      <c r="I1295" s="423" cm="1">
        <f t="array" ref="I1295">IF(B1295&gt;0,'Direct Costs 2026'!$C$19+'Direct Costs 2026'!$C$18*B1295,"N/A")</f>
        <v>425000</v>
      </c>
      <c r="J1295" s="423" cm="1">
        <f t="array" ref="J1295">IF(B1295&gt;0,SUM('Direct Costs 2026'!$C$20:$C$21),"N/A")</f>
        <v>98333.3333333333</v>
      </c>
      <c r="K1295" s="423" cm="1">
        <f t="array" ref="K1295">IF(B1295&gt;0,'Direct Costs 2026'!$C$26,"N/A")</f>
        <v>20000</v>
      </c>
      <c r="L1295" s="423" cm="1">
        <f t="array" ref="L1295">IF(B1295&gt;0,'Direct Costs 2026'!$C$23,"N/A")</f>
        <v>140000</v>
      </c>
      <c r="M1295" s="423" cm="1">
        <f t="array" ref="M1295">IF(B1295&gt;0,'Direct Costs 2026'!$C$45*B1295,"N/A")</f>
        <v>1500000</v>
      </c>
      <c r="N1295" t="str" s="431" cm="1">
        <f t="array" ref="N1295">IF(B1295&gt;0,_xlfn.IFERROR(VLOOKUP(C1283,'Boats Data Sheet 2026'!$C$3:$I$57,7,0)*'Direct Costs 2026'!$C$36,"N/A"),"N/A")</f>
        <v>N/A</v>
      </c>
      <c r="O1295" t="str" s="431" cm="1">
        <f t="array" ref="O1295">IF(B1295&gt;0,IF(OR(VLOOKUP(C1283,'Boats Data Sheet 2026'!$C$3:$F$57,4,0)="Own",VLOOKUP(C1283,'Boats Data Sheet 2026'!$C$3:$F$57,4,0)="Management"),('Direct Costs 2026'!$C$37+'Direct Costs 2026'!$C$39),"N/A"),"N/A")</f>
        <v>N/A</v>
      </c>
      <c r="P1295" s="423" cm="1">
        <f t="array" ref="P1295">_xlfn.IFERROR('Direct Costs 2026'!$C$27*C1295,"N/A")</f>
        <v>160000</v>
      </c>
      <c r="Q1295" s="423" cm="1">
        <f t="array" ref="Q1295">_xlfn.IFERROR(C1295+SUM(E1295:P1295),"N/A")</f>
        <v>12824333.3333333</v>
      </c>
      <c r="R1295" s="424"/>
      <c r="S1295" s="423" cm="1">
        <f t="array" ref="S1295">IF(B1295&gt;0,'Allocation OH and Target 2026'!$E$31,"N/A")</f>
        <v>3100447.15769812</v>
      </c>
      <c r="T1295" s="423" cm="1">
        <f t="array" ref="T1295">IF(B1295&gt;0,VLOOKUP(C1283,'Allocation OH and Target 2026'!$C$35:$S$87,17,0),"N/A")</f>
        <v>0</v>
      </c>
      <c r="U1295" s="423" cm="1">
        <f t="array" ref="U1295">_xlfn.IFERROR((S1295+T1295),"N/A")</f>
        <v>3100447.15769812</v>
      </c>
      <c r="V1295" s="424"/>
      <c r="W1295" s="423" cm="1">
        <f t="array" ref="W1295">_xlfn.IFERROR(U1295+Q1295,"N/A")</f>
        <v>15924780.4910314</v>
      </c>
      <c r="X1295" s="423" cm="1">
        <f t="array" ref="X1295">_xlfn.IFERROR(W1295*0.5%,"N/A")</f>
        <v>79623.902455157</v>
      </c>
      <c r="Y1295" s="423" cm="1">
        <f t="array" ref="Y1295">_xlfn.IFERROR(W1295*25%,"N/A")</f>
        <v>3981195.12275785</v>
      </c>
      <c r="Z1295" s="425" cm="1">
        <f t="array" ref="Z1295">IF(B1295&gt;0,SUM(W1295:Y1295),"N/A")</f>
        <v>19985599.5162444</v>
      </c>
      <c r="AA1295" s="425" cm="1">
        <f t="array" ref="AA1295">_xlfn.IFERROR((Z1295-Z1294),"N/A")</f>
        <v>239705</v>
      </c>
      <c r="AB1295" s="424"/>
      <c r="AC1295" t="str" s="426" cm="1">
        <f t="array" ref="AC1295">IF(B1295=6,AVERAGE(Z1286:Z1291),"N/A")</f>
        <v>N/A</v>
      </c>
      <c r="AD1295" s="424"/>
      <c r="AE1295" s="423"/>
      <c r="AF1295" s="423"/>
      <c r="AG1295" s="423"/>
      <c r="AH1295" s="423"/>
      <c r="AI1295" s="423"/>
      <c r="AJ1295" s="423"/>
      <c r="AK1295" s="423"/>
      <c r="AL1295" s="423"/>
      <c r="AM1295" s="423"/>
      <c r="AN1295" s="427"/>
    </row>
    <row r="1296" ht="15" customHeight="1">
      <c r="A1296" s="12"/>
      <c r="B1296" s="428" cm="1">
        <f t="array" ref="B1296">IF(B1295=0,0,IF(B1295&lt;VLOOKUP(C1283,'Boats Data Sheet 2026'!$C$3:$H$57,6,0),B1295+1,0))</f>
        <v>11</v>
      </c>
      <c r="C1296" s="423" cm="1">
        <f t="array" ref="C1296">IF(B1296&gt;0,IF(VLOOKUP(C1283,'Boats Data Sheet 2026'!$C$3:$J$57,8,0)="N/A",0,VLOOKUP(C1283,'Boats Data Sheet 2026'!$C$3:$J$57,8,0)),"N/A")</f>
        <v>8000000</v>
      </c>
      <c r="D1296" s="429" cm="1">
        <f t="array" ref="D1296">IF(B1296&gt;7,2,IF(B1296=0,"N/A",1))</f>
        <v>2</v>
      </c>
      <c r="E1296" s="423" cm="1">
        <f t="array" ref="E1296">_xlfn.IFERROR(SUM('Direct Costs 2026'!$C$4:$C$5)*D1296,"N/A")</f>
        <v>1751000</v>
      </c>
      <c r="F1296" s="423" cm="1">
        <f t="array" ref="F1296">_xlfn.IFERROR('Direct Costs 2026'!$C$43*B1296,"N/A")</f>
        <v>66000</v>
      </c>
      <c r="G1296" s="423" cm="1">
        <f t="array" ref="G1296">IF(B1296&gt;0,'Direct Costs 2026'!$C$25,"N/A")</f>
        <v>90000</v>
      </c>
      <c r="H1296" s="423" cm="1">
        <f t="array" ref="H1296">IF(B1296&gt;0,('Direct Costs 2026'!$C$15+'Direct Costs 2026'!$C$17+'Direct Costs 2026'!$C$14),"N/A")</f>
        <v>580000</v>
      </c>
      <c r="I1296" s="423" cm="1">
        <f t="array" ref="I1296">IF(B1296&gt;0,'Direct Costs 2026'!$C$19+'Direct Costs 2026'!$C$18*B1296,"N/A")</f>
        <v>460000</v>
      </c>
      <c r="J1296" s="423" cm="1">
        <f t="array" ref="J1296">IF(B1296&gt;0,SUM('Direct Costs 2026'!$C$20:$C$21),"N/A")</f>
        <v>98333.3333333333</v>
      </c>
      <c r="K1296" s="423" cm="1">
        <f t="array" ref="K1296">IF(B1296&gt;0,'Direct Costs 2026'!$C$26,"N/A")</f>
        <v>20000</v>
      </c>
      <c r="L1296" s="423" cm="1">
        <f t="array" ref="L1296">IF(B1296&gt;0,'Direct Costs 2026'!$C$23,"N/A")</f>
        <v>140000</v>
      </c>
      <c r="M1296" s="423" cm="1">
        <f t="array" ref="M1296">IF(B1296&gt;0,'Direct Costs 2026'!$C$45*B1296,"N/A")</f>
        <v>1650000</v>
      </c>
      <c r="N1296" t="str" s="431" cm="1">
        <f t="array" ref="N1296">IF(B1296&gt;0,_xlfn.IFERROR(VLOOKUP(C1283,'Boats Data Sheet 2026'!$C$3:$I$57,7,0)*'Direct Costs 2026'!$C$36,"N/A"),"N/A")</f>
        <v>N/A</v>
      </c>
      <c r="O1296" t="str" s="431" cm="1">
        <f t="array" ref="O1296">IF(B1296&gt;0,IF(OR(VLOOKUP(C1283,'Boats Data Sheet 2026'!$C$3:$F$57,4,0)="Own",VLOOKUP(C1283,'Boats Data Sheet 2026'!$C$3:$F$57,4,0)="Management"),('Direct Costs 2026'!$C$37+'Direct Costs 2026'!$C$39),"N/A"),"N/A")</f>
        <v>N/A</v>
      </c>
      <c r="P1296" s="423" cm="1">
        <f t="array" ref="P1296">_xlfn.IFERROR('Direct Costs 2026'!$C$27*C1296,"N/A")</f>
        <v>160000</v>
      </c>
      <c r="Q1296" s="423" cm="1">
        <f t="array" ref="Q1296">_xlfn.IFERROR(C1296+SUM(E1296:P1296),"N/A")</f>
        <v>13015333.3333333</v>
      </c>
      <c r="R1296" s="424"/>
      <c r="S1296" s="423" cm="1">
        <f t="array" ref="S1296">IF(B1296&gt;0,'Allocation OH and Target 2026'!$E$31,"N/A")</f>
        <v>3100447.15769812</v>
      </c>
      <c r="T1296" s="423" cm="1">
        <f t="array" ref="T1296">IF(B1296&gt;0,VLOOKUP(C1283,'Allocation OH and Target 2026'!$C$35:$S$87,17,0),"N/A")</f>
        <v>0</v>
      </c>
      <c r="U1296" s="423" cm="1">
        <f t="array" ref="U1296">_xlfn.IFERROR((S1296+T1296),"N/A")</f>
        <v>3100447.15769812</v>
      </c>
      <c r="V1296" s="424"/>
      <c r="W1296" s="423" cm="1">
        <f t="array" ref="W1296">_xlfn.IFERROR(U1296+Q1296,"N/A")</f>
        <v>16115780.4910314</v>
      </c>
      <c r="X1296" s="423" cm="1">
        <f t="array" ref="X1296">_xlfn.IFERROR(W1296*0.5%,"N/A")</f>
        <v>80578.902455157</v>
      </c>
      <c r="Y1296" s="423" cm="1">
        <f t="array" ref="Y1296">_xlfn.IFERROR(W1296*25%,"N/A")</f>
        <v>4028945.12275785</v>
      </c>
      <c r="Z1296" s="425" cm="1">
        <f t="array" ref="Z1296">IF(B1296&gt;0,SUM(W1296:Y1296),"N/A")</f>
        <v>20225304.5162444</v>
      </c>
      <c r="AA1296" s="425" cm="1">
        <f t="array" ref="AA1296">_xlfn.IFERROR((Z1296-Z1295),"N/A")</f>
        <v>239705</v>
      </c>
      <c r="AB1296" s="424"/>
      <c r="AC1296" t="str" s="426" cm="1">
        <f t="array" ref="AC1296">IF(B1296=6,AVERAGE(Z1286:Z1291),"N/A")</f>
        <v>N/A</v>
      </c>
      <c r="AD1296" s="424"/>
      <c r="AE1296" s="423"/>
      <c r="AF1296" s="423"/>
      <c r="AG1296" s="423"/>
      <c r="AH1296" s="423"/>
      <c r="AI1296" s="423"/>
      <c r="AJ1296" s="423"/>
      <c r="AK1296" s="423"/>
      <c r="AL1296" s="423"/>
      <c r="AM1296" s="423"/>
      <c r="AN1296" s="427"/>
    </row>
    <row r="1297" ht="15" customHeight="1">
      <c r="A1297" s="12"/>
      <c r="B1297" s="428" cm="1">
        <f t="array" ref="B1297">IF(B1296=0,0,IF(B1296&lt;VLOOKUP(C1283,'Boats Data Sheet 2026'!$C$3:$H$57,6,0),B1296+1,0))</f>
        <v>12</v>
      </c>
      <c r="C1297" s="423" cm="1">
        <f t="array" ref="C1297">IF(B1297&gt;0,IF(VLOOKUP(C1283,'Boats Data Sheet 2026'!$C$3:$J$57,8,0)="N/A",0,VLOOKUP(C1283,'Boats Data Sheet 2026'!$C$3:$J$57,8,0)),"N/A")</f>
        <v>8000000</v>
      </c>
      <c r="D1297" s="429" cm="1">
        <f t="array" ref="D1297">IF(B1297&gt;7,2,IF(B1297=0,"N/A",1))</f>
        <v>2</v>
      </c>
      <c r="E1297" s="423" cm="1">
        <f t="array" ref="E1297">_xlfn.IFERROR(SUM('Direct Costs 2026'!$C$4:$C$5)*D1297,"N/A")</f>
        <v>1751000</v>
      </c>
      <c r="F1297" s="423" cm="1">
        <f t="array" ref="F1297">_xlfn.IFERROR('Direct Costs 2026'!$C$43*B1297,"N/A")</f>
        <v>72000</v>
      </c>
      <c r="G1297" s="423" cm="1">
        <f t="array" ref="G1297">IF(B1297&gt;0,'Direct Costs 2026'!$C$25,"N/A")</f>
        <v>90000</v>
      </c>
      <c r="H1297" s="423" cm="1">
        <f t="array" ref="H1297">IF(B1297&gt;0,('Direct Costs 2026'!$C$15+'Direct Costs 2026'!$C$17+'Direct Costs 2026'!$C$14),"N/A")</f>
        <v>580000</v>
      </c>
      <c r="I1297" s="423" cm="1">
        <f t="array" ref="I1297">IF(B1297&gt;0,'Direct Costs 2026'!$C$19+'Direct Costs 2026'!$C$18*B1297,"N/A")</f>
        <v>495000</v>
      </c>
      <c r="J1297" s="423" cm="1">
        <f t="array" ref="J1297">IF(B1297&gt;0,SUM('Direct Costs 2026'!$C$20:$C$21),"N/A")</f>
        <v>98333.3333333333</v>
      </c>
      <c r="K1297" s="423" cm="1">
        <f t="array" ref="K1297">IF(B1297&gt;0,'Direct Costs 2026'!$C$26,"N/A")</f>
        <v>20000</v>
      </c>
      <c r="L1297" s="423" cm="1">
        <f t="array" ref="L1297">IF(B1297&gt;0,'Direct Costs 2026'!$C$23,"N/A")</f>
        <v>140000</v>
      </c>
      <c r="M1297" s="423" cm="1">
        <f t="array" ref="M1297">IF(B1297&gt;0,'Direct Costs 2026'!$C$45*B1297,"N/A")</f>
        <v>1800000</v>
      </c>
      <c r="N1297" t="str" s="431" cm="1">
        <f t="array" ref="N1297">IF(B1297&gt;0,_xlfn.IFERROR(VLOOKUP(C1283,'Boats Data Sheet 2026'!$C$3:$I$57,7,0)*'Direct Costs 2026'!$C$36,"N/A"),"N/A")</f>
        <v>N/A</v>
      </c>
      <c r="O1297" t="str" s="431" cm="1">
        <f t="array" ref="O1297">IF(B1297&gt;0,IF(OR(VLOOKUP(C1283,'Boats Data Sheet 2026'!$C$3:$F$57,4,0)="Own",VLOOKUP(C1283,'Boats Data Sheet 2026'!$C$3:$F$57,4,0)="Management"),('Direct Costs 2026'!$C$37+'Direct Costs 2026'!$C$39),"N/A"),"N/A")</f>
        <v>N/A</v>
      </c>
      <c r="P1297" s="423" cm="1">
        <f t="array" ref="P1297">_xlfn.IFERROR('Direct Costs 2026'!$C$27*C1297,"N/A")</f>
        <v>160000</v>
      </c>
      <c r="Q1297" s="423" cm="1">
        <f t="array" ref="Q1297">_xlfn.IFERROR(C1297+SUM(E1297:P1297),"N/A")</f>
        <v>13206333.3333333</v>
      </c>
      <c r="R1297" s="424"/>
      <c r="S1297" s="423" cm="1">
        <f t="array" ref="S1297">IF(B1297&gt;0,'Allocation OH and Target 2026'!$E$31,"N/A")</f>
        <v>3100447.15769812</v>
      </c>
      <c r="T1297" s="423" cm="1">
        <f t="array" ref="T1297">IF(B1298&gt;0,VLOOKUP(C1283,'Allocation OH and Target 2026'!$C$35:$S$87,17,0),"N/A")</f>
        <v>0</v>
      </c>
      <c r="U1297" s="423" cm="1">
        <f t="array" ref="U1297">_xlfn.IFERROR((S1297+T1297),"N/A")</f>
        <v>3100447.15769812</v>
      </c>
      <c r="V1297" s="424"/>
      <c r="W1297" s="423" cm="1">
        <f t="array" ref="W1297">_xlfn.IFERROR(U1297+Q1297,"N/A")</f>
        <v>16306780.4910314</v>
      </c>
      <c r="X1297" s="423" cm="1">
        <f t="array" ref="X1297">_xlfn.IFERROR(W1297*0.5%,"N/A")</f>
        <v>81533.902455157</v>
      </c>
      <c r="Y1297" s="423" cm="1">
        <f t="array" ref="Y1297">_xlfn.IFERROR(W1297*25%,"N/A")</f>
        <v>4076695.12275785</v>
      </c>
      <c r="Z1297" s="425" cm="1">
        <f t="array" ref="Z1297">IF(B1297&gt;0,SUM(W1297:Y1297),"N/A")</f>
        <v>20465009.5162444</v>
      </c>
      <c r="AA1297" s="425" cm="1">
        <f t="array" ref="AA1297">_xlfn.IFERROR((Z1297-Z1296),"N/A")</f>
        <v>239705</v>
      </c>
      <c r="AB1297" s="424"/>
      <c r="AC1297" t="str" s="426" cm="1">
        <f t="array" ref="AC1297">IF(B1297=6,AVERAGE(Z1286:Z1291),"N/A")</f>
        <v>N/A</v>
      </c>
      <c r="AD1297" s="424"/>
      <c r="AE1297" s="423"/>
      <c r="AF1297" s="423"/>
      <c r="AG1297" s="423"/>
      <c r="AH1297" s="423"/>
      <c r="AI1297" s="423"/>
      <c r="AJ1297" s="423"/>
      <c r="AK1297" s="423"/>
      <c r="AL1297" s="423"/>
      <c r="AM1297" s="423"/>
      <c r="AN1297" s="427"/>
    </row>
    <row r="1298" ht="15" customHeight="1">
      <c r="A1298" s="12"/>
      <c r="B1298" s="428" cm="1">
        <f t="array" ref="B1298">IF(B1297=0,0,IF(B1297&lt;VLOOKUP(C1283,'Boats Data Sheet 2026'!$C$3:$H$57,6,0),B1297+1,0))</f>
        <v>13</v>
      </c>
      <c r="C1298" s="423" cm="1">
        <f t="array" ref="C1298">IF(B1298&gt;0,IF(VLOOKUP(C1283,'Boats Data Sheet 2026'!$C$3:$J$57,8,0)="N/A",0,VLOOKUP(C1283,'Boats Data Sheet 2026'!$C$3:$J$57,8,0)),"N/A")</f>
        <v>8000000</v>
      </c>
      <c r="D1298" s="429" cm="1">
        <f t="array" ref="D1298">IF(B1298&gt;7,2,IF(B1298=0,"N/A",1))</f>
        <v>2</v>
      </c>
      <c r="E1298" s="423" cm="1">
        <f t="array" ref="E1298">_xlfn.IFERROR(SUM('Direct Costs 2026'!$C$4:$C$5)*D1298,"N/A")</f>
        <v>1751000</v>
      </c>
      <c r="F1298" s="423" cm="1">
        <f t="array" ref="F1298">_xlfn.IFERROR('Direct Costs 2026'!$C$43*B1298,"N/A")</f>
        <v>78000</v>
      </c>
      <c r="G1298" s="423" cm="1">
        <f t="array" ref="G1298">IF(B1298&gt;0,'Direct Costs 2026'!$C$25,"N/A")</f>
        <v>90000</v>
      </c>
      <c r="H1298" s="423" cm="1">
        <f t="array" ref="H1298">IF(B1298&gt;0,('Direct Costs 2026'!$C$15+'Direct Costs 2026'!$C$17+'Direct Costs 2026'!$C$14),"N/A")</f>
        <v>580000</v>
      </c>
      <c r="I1298" s="423" cm="1">
        <f t="array" ref="I1298">IF(B1298&gt;0,'Direct Costs 2026'!$C$19+'Direct Costs 2026'!$C$18*B1298,"N/A")</f>
        <v>530000</v>
      </c>
      <c r="J1298" s="423" cm="1">
        <f t="array" ref="J1298">IF(B1298&gt;0,SUM('Direct Costs 2026'!$C$20:$C$21),"N/A")</f>
        <v>98333.3333333333</v>
      </c>
      <c r="K1298" s="423" cm="1">
        <f t="array" ref="K1298">IF(B1298&gt;0,'Direct Costs 2026'!$C$26,"N/A")</f>
        <v>20000</v>
      </c>
      <c r="L1298" s="423" cm="1">
        <f t="array" ref="L1298">IF(B1298&gt;0,'Direct Costs 2026'!$C$23,"N/A")</f>
        <v>140000</v>
      </c>
      <c r="M1298" s="423" cm="1">
        <f t="array" ref="M1298">IF(B1298&gt;0,'Direct Costs 2026'!$C$45*B1298,"N/A")</f>
        <v>1950000</v>
      </c>
      <c r="N1298" t="str" s="431" cm="1">
        <f t="array" ref="N1298">IF(B1298&gt;0,_xlfn.IFERROR(VLOOKUP(C1283,'Boats Data Sheet 2026'!$C$3:$I$57,7,0)*'Direct Costs 2026'!$C$36,"N/A"),"N/A")</f>
        <v>N/A</v>
      </c>
      <c r="O1298" t="str" s="431" cm="1">
        <f t="array" ref="O1298">IF(B1298&gt;0,IF(OR(VLOOKUP(C1283,'Boats Data Sheet 2026'!$C$3:$F$57,4,0)="Own",VLOOKUP(C1283,'Boats Data Sheet 2026'!$C$3:$F$57,4,0)="Management"),('Direct Costs 2026'!$C$37+'Direct Costs 2026'!$C$39),"N/A"),"N/A")</f>
        <v>N/A</v>
      </c>
      <c r="P1298" s="423" cm="1">
        <f t="array" ref="P1298">_xlfn.IFERROR('Direct Costs 2026'!$C$27*C1298,"N/A")</f>
        <v>160000</v>
      </c>
      <c r="Q1298" s="423" cm="1">
        <f t="array" ref="Q1298">_xlfn.IFERROR(C1298+SUM(E1298:P1298),"N/A")</f>
        <v>13397333.3333333</v>
      </c>
      <c r="R1298" s="424"/>
      <c r="S1298" s="423" cm="1">
        <f t="array" ref="S1298">IF(B1298&gt;0,'Allocation OH and Target 2026'!$E$31,"N/A")</f>
        <v>3100447.15769812</v>
      </c>
      <c r="T1298" s="423" cm="1">
        <f t="array" ref="T1298">IF(B1298&gt;0,VLOOKUP(C1283,'Allocation OH and Target 2026'!$C$35:$S$87,17,0),"N/A")</f>
        <v>0</v>
      </c>
      <c r="U1298" s="423" cm="1">
        <f t="array" ref="U1298">_xlfn.IFERROR((S1298+T1298),"N/A")</f>
        <v>3100447.15769812</v>
      </c>
      <c r="V1298" s="424"/>
      <c r="W1298" s="423" cm="1">
        <f t="array" ref="W1298">_xlfn.IFERROR(U1298+Q1298,"N/A")</f>
        <v>16497780.4910314</v>
      </c>
      <c r="X1298" s="423" cm="1">
        <f t="array" ref="X1298">_xlfn.IFERROR(W1298*0.5%,"N/A")</f>
        <v>82488.902455157</v>
      </c>
      <c r="Y1298" s="423" cm="1">
        <f t="array" ref="Y1298">_xlfn.IFERROR(W1298*25%,"N/A")</f>
        <v>4124445.12275785</v>
      </c>
      <c r="Z1298" s="425" cm="1">
        <f t="array" ref="Z1298">IF(B1298&gt;0,SUM(W1298:Y1298),"N/A")</f>
        <v>20704714.5162444</v>
      </c>
      <c r="AA1298" s="425" cm="1">
        <f t="array" ref="AA1298">_xlfn.IFERROR((Z1298-Z1297),"N/A")</f>
        <v>239705</v>
      </c>
      <c r="AB1298" s="424"/>
      <c r="AC1298" t="str" s="426" cm="1">
        <f t="array" ref="AC1298">IF(B1298=6,AVERAGE(Z1286:Z1291),"N/A")</f>
        <v>N/A</v>
      </c>
      <c r="AD1298" s="424"/>
      <c r="AE1298" s="423"/>
      <c r="AF1298" s="423"/>
      <c r="AG1298" s="423"/>
      <c r="AH1298" s="423"/>
      <c r="AI1298" s="423"/>
      <c r="AJ1298" s="423"/>
      <c r="AK1298" s="423"/>
      <c r="AL1298" s="423"/>
      <c r="AM1298" s="423"/>
      <c r="AN1298" s="427"/>
    </row>
    <row r="1299" ht="15" customHeight="1">
      <c r="A1299" s="12"/>
      <c r="B1299" s="428" cm="1">
        <f t="array" ref="B1299">IF(B1298=0,0,IF(B1298&lt;VLOOKUP(C1283,'Boats Data Sheet 2026'!$C$3:$H$57,6,0),B1298+1,0))</f>
        <v>0</v>
      </c>
      <c r="C1299" t="str" s="431" cm="1">
        <f t="array" ref="C1299">IF(B1299&gt;0,IF(VLOOKUP(C1283,'Boats Data Sheet 2026'!$C$3:$J$57,8,0)="N/A",0,VLOOKUP(C1283,'Boats Data Sheet 2026'!$C$3:$J$57,8,0)),"N/A")</f>
        <v>N/A</v>
      </c>
      <c r="D1299" t="str" s="431" cm="1">
        <f t="array" ref="D1299">IF(B1299&gt;7,2,IF(B1299=0,"N/A",1))</f>
        <v>N/A</v>
      </c>
      <c r="E1299" t="str" s="431" cm="1">
        <f t="array" ref="E1299">_xlfn.IFERROR(SUM('Direct Costs 2026'!$C$4:$C$5)*D1299,"N/A")</f>
        <v>N/A</v>
      </c>
      <c r="F1299" s="423" cm="1">
        <f t="array" ref="F1299">_xlfn.IFERROR('Direct Costs 2026'!$C$43*B1299,"N/A")</f>
        <v>0</v>
      </c>
      <c r="G1299" t="str" s="431" cm="1">
        <f t="array" ref="G1299">IF(B1299&gt;0,'Direct Costs 2026'!$C$25,"N/A")</f>
        <v>N/A</v>
      </c>
      <c r="H1299" t="str" s="431" cm="1">
        <f t="array" ref="H1299">IF(B1299&gt;0,('Direct Costs 2026'!$C$15+'Direct Costs 2026'!$C$17+'Direct Costs 2026'!$C$14),"N/A")</f>
        <v>N/A</v>
      </c>
      <c r="I1299" t="str" s="431" cm="1">
        <f t="array" ref="I1299">IF(B1299&gt;0,'Direct Costs 2026'!$C$19+'Direct Costs 2026'!$C$18*B1299,"N/A")</f>
        <v>N/A</v>
      </c>
      <c r="J1299" t="str" s="431" cm="1">
        <f t="array" ref="J1299">IF(B1299&gt;0,SUM('Direct Costs 2026'!$C$20:$C$21),"N/A")</f>
        <v>N/A</v>
      </c>
      <c r="K1299" t="str" s="431" cm="1">
        <f t="array" ref="K1299">IF(B1299&gt;0,'Direct Costs 2026'!$C$26,"N/A")</f>
        <v>N/A</v>
      </c>
      <c r="L1299" t="str" s="431" cm="1">
        <f t="array" ref="L1299">IF(B1299&gt;0,'Direct Costs 2026'!$C$23,"N/A")</f>
        <v>N/A</v>
      </c>
      <c r="M1299" t="str" s="431" cm="1">
        <f t="array" ref="M1299">IF(B1299&gt;0,'Direct Costs 2026'!$C$45*B1299,"N/A")</f>
        <v>N/A</v>
      </c>
      <c r="N1299" t="str" s="431" cm="1">
        <f t="array" ref="N1299">IF(B1299&gt;0,_xlfn.IFERROR(VLOOKUP(C1283,'Boats Data Sheet 2026'!$C$3:$I$57,7,0)*'Direct Costs 2026'!$C$36,"N/A"),"N/A")</f>
        <v>N/A</v>
      </c>
      <c r="O1299" t="str" s="431" cm="1">
        <f t="array" ref="O1299">IF(B1299&gt;0,IF(OR(VLOOKUP(C1283,'Boats Data Sheet 2026'!$C$3:$F$57,4,0)="Own",VLOOKUP(C1283,'Boats Data Sheet 2026'!$C$3:$F$57,4,0)="Management"),('Direct Costs 2026'!$C$37+'Direct Costs 2026'!$C$39),"N/A"),"N/A")</f>
        <v>N/A</v>
      </c>
      <c r="P1299" t="str" s="431" cm="1">
        <f t="array" ref="P1299">_xlfn.IFERROR('Direct Costs 2026'!$C$27*C1299,"N/A")</f>
        <v>N/A</v>
      </c>
      <c r="Q1299" t="str" s="431" cm="1">
        <f t="array" ref="Q1299">_xlfn.IFERROR(C1299+SUM(E1299:P1299),"N/A")</f>
        <v>N/A</v>
      </c>
      <c r="R1299" s="424"/>
      <c r="S1299" t="str" s="431" cm="1">
        <f t="array" ref="S1299">IF(B1299&gt;0,'Allocation OH and Target 2026'!$E$31,"N/A")</f>
        <v>N/A</v>
      </c>
      <c r="T1299" t="str" s="431" cm="1">
        <f t="array" ref="T1299">IF(B1299&gt;0,VLOOKUP(C1283,'Allocation OH and Target 2026'!$C$35:$S$87,17,0),"N/A")</f>
        <v>N/A</v>
      </c>
      <c r="U1299" t="str" s="431" cm="1">
        <f t="array" ref="U1299">_xlfn.IFERROR((S1299+T1299),"N/A")</f>
        <v>N/A</v>
      </c>
      <c r="V1299" s="424"/>
      <c r="W1299" t="str" s="431" cm="1">
        <f t="array" ref="W1299">_xlfn.IFERROR(U1299+Q1299,"N/A")</f>
        <v>N/A</v>
      </c>
      <c r="X1299" t="str" s="431" cm="1">
        <f t="array" ref="X1299">_xlfn.IFERROR(W1299*0.5%,"N/A")</f>
        <v>N/A</v>
      </c>
      <c r="Y1299" t="str" s="431" cm="1">
        <f t="array" ref="Y1299">_xlfn.IFERROR(W1299*25%,"N/A")</f>
        <v>N/A</v>
      </c>
      <c r="Z1299" t="str" s="426" cm="1">
        <f t="array" ref="Z1299">IF(B1299&gt;0,SUM(W1299:Y1299),"N/A")</f>
        <v>N/A</v>
      </c>
      <c r="AA1299" t="str" s="426" cm="1">
        <f t="array" ref="AA1299">_xlfn.IFERROR((Z1299-Z1298),"N/A")</f>
        <v>N/A</v>
      </c>
      <c r="AB1299" s="424"/>
      <c r="AC1299" t="str" s="426" cm="1">
        <f t="array" ref="AC1299">IF(B1299=6,AVERAGE(Z1286:Z1291),"N/A")</f>
        <v>N/A</v>
      </c>
      <c r="AD1299" s="424"/>
      <c r="AE1299" s="423"/>
      <c r="AF1299" s="423"/>
      <c r="AG1299" s="423"/>
      <c r="AH1299" s="423"/>
      <c r="AI1299" s="423"/>
      <c r="AJ1299" s="423"/>
      <c r="AK1299" s="423"/>
      <c r="AL1299" s="423"/>
      <c r="AM1299" s="423"/>
      <c r="AN1299" s="427"/>
    </row>
    <row r="1300" ht="15" customHeight="1">
      <c r="A1300" s="12"/>
      <c r="B1300" s="428" cm="1">
        <f t="array" ref="B1300">IF(B1299=0,0,IF(B1299&lt;VLOOKUP(C1283,'Boats Data Sheet 2026'!$C$3:$H$57,6,0),B1299+1,0))</f>
        <v>0</v>
      </c>
      <c r="C1300" t="str" s="431" cm="1">
        <f t="array" ref="C1300">IF(B1300&gt;0,IF(VLOOKUP(C1283,'Boats Data Sheet 2026'!$C$3:$J$57,8,0)="N/A",0,VLOOKUP(C1283,'Boats Data Sheet 2026'!$C$3:$J$57,8,0)),"N/A")</f>
        <v>N/A</v>
      </c>
      <c r="D1300" t="str" s="431" cm="1">
        <f t="array" ref="D1300">IF(B1300&gt;7,2,IF(B1300=0,"N/A",1))</f>
        <v>N/A</v>
      </c>
      <c r="E1300" t="str" s="431" cm="1">
        <f t="array" ref="E1300">_xlfn.IFERROR(SUM('Direct Costs 2026'!$C$4:$C$5)*D1300,"N/A")</f>
        <v>N/A</v>
      </c>
      <c r="F1300" s="423" cm="1">
        <f t="array" ref="F1300">_xlfn.IFERROR('Direct Costs 2026'!$C$43*B1300,"N/A")</f>
        <v>0</v>
      </c>
      <c r="G1300" t="str" s="431" cm="1">
        <f t="array" ref="G1300">IF(B1300&gt;0,'Direct Costs 2026'!$C$25,"N/A")</f>
        <v>N/A</v>
      </c>
      <c r="H1300" t="str" s="431" cm="1">
        <f t="array" ref="H1300">IF(B1300&gt;0,('Direct Costs 2026'!$C$15+'Direct Costs 2026'!$C$17+'Direct Costs 2026'!$C$14),"N/A")</f>
        <v>N/A</v>
      </c>
      <c r="I1300" t="str" s="431" cm="1">
        <f t="array" ref="I1300">IF(B1300&gt;0,'Direct Costs 2026'!$C$19+'Direct Costs 2026'!$C$18*B1300,"N/A")</f>
        <v>N/A</v>
      </c>
      <c r="J1300" t="str" s="431" cm="1">
        <f t="array" ref="J1300">IF(B1300&gt;0,SUM('Direct Costs 2026'!$C$20:$C$21),"N/A")</f>
        <v>N/A</v>
      </c>
      <c r="K1300" t="str" s="431" cm="1">
        <f t="array" ref="K1300">IF(B1300&gt;0,'Direct Costs 2026'!$C$26,"N/A")</f>
        <v>N/A</v>
      </c>
      <c r="L1300" t="str" s="431" cm="1">
        <f t="array" ref="L1300">IF(B1300&gt;0,'Direct Costs 2026'!$C$23,"N/A")</f>
        <v>N/A</v>
      </c>
      <c r="M1300" t="str" s="431" cm="1">
        <f t="array" ref="M1300">IF(B1300&gt;0,'Direct Costs 2026'!$C$45*B1300,"N/A")</f>
        <v>N/A</v>
      </c>
      <c r="N1300" t="str" s="431" cm="1">
        <f t="array" ref="N1300">IF(B1300&gt;0,_xlfn.IFERROR(VLOOKUP(C1283,'Boats Data Sheet 2026'!$C$3:$I$57,7,0)*'Direct Costs 2026'!$C$36,"N/A"),"N/A")</f>
        <v>N/A</v>
      </c>
      <c r="O1300" t="str" s="431" cm="1">
        <f t="array" ref="O1300">IF(B1300&gt;0,IF(OR(VLOOKUP(C1283,'Boats Data Sheet 2026'!$C$3:$F$57,4,0)="Own",VLOOKUP(C1283,'Boats Data Sheet 2026'!$C$3:$F$57,4,0)="Management"),('Direct Costs 2026'!$C$37+'Direct Costs 2026'!$C$39),"N/A"),"N/A")</f>
        <v>N/A</v>
      </c>
      <c r="P1300" t="str" s="431" cm="1">
        <f t="array" ref="P1300">_xlfn.IFERROR('Direct Costs 2026'!$C$27*C1300,"N/A")</f>
        <v>N/A</v>
      </c>
      <c r="Q1300" t="str" s="431" cm="1">
        <f t="array" ref="Q1300">_xlfn.IFERROR(C1300+SUM(E1300:P1300),"N/A")</f>
        <v>N/A</v>
      </c>
      <c r="R1300" s="424"/>
      <c r="S1300" t="str" s="431" cm="1">
        <f t="array" ref="S1300">IF(B1300&gt;0,'Allocation OH and Target 2026'!$E$31,"N/A")</f>
        <v>N/A</v>
      </c>
      <c r="T1300" t="str" s="431" cm="1">
        <f t="array" ref="T1300">IF(B1300&gt;0,VLOOKUP(C1283,'Allocation OH and Target 2026'!$C$35:$S$87,16,0),"N/A")</f>
        <v>N/A</v>
      </c>
      <c r="U1300" t="str" s="431" cm="1">
        <f t="array" ref="U1300">_xlfn.IFERROR((S1300+T1300),"N/A")</f>
        <v>N/A</v>
      </c>
      <c r="V1300" s="424"/>
      <c r="W1300" t="str" s="431" cm="1">
        <f t="array" ref="W1300">_xlfn.IFERROR(U1300+Q1300,"N/A")</f>
        <v>N/A</v>
      </c>
      <c r="X1300" t="str" s="431" cm="1">
        <f t="array" ref="X1300">_xlfn.IFERROR(W1300*0.5%,"N/A")</f>
        <v>N/A</v>
      </c>
      <c r="Y1300" t="str" s="431" cm="1">
        <f t="array" ref="Y1300">_xlfn.IFERROR(W1300*25%,"N/A")</f>
        <v>N/A</v>
      </c>
      <c r="Z1300" t="str" s="426" cm="1">
        <f t="array" ref="Z1300">IF(B1300&gt;0,SUM(W1300:Y1300),"N/A")</f>
        <v>N/A</v>
      </c>
      <c r="AA1300" t="str" s="426" cm="1">
        <f t="array" ref="AA1300">_xlfn.IFERROR((Z1300-Z1299),"N/A")</f>
        <v>N/A</v>
      </c>
      <c r="AB1300" s="424"/>
      <c r="AC1300" t="str" s="426" cm="1">
        <f t="array" ref="AC1300">IF(B1300=6,AVERAGE(Z1286:Z1291),"N/A")</f>
        <v>N/A</v>
      </c>
      <c r="AD1300" s="424"/>
      <c r="AE1300" s="423"/>
      <c r="AF1300" s="423"/>
      <c r="AG1300" s="423"/>
      <c r="AH1300" s="423"/>
      <c r="AI1300" s="423"/>
      <c r="AJ1300" s="423"/>
      <c r="AK1300" s="423"/>
      <c r="AL1300" s="423"/>
      <c r="AM1300" s="423"/>
      <c r="AN1300" s="427"/>
    </row>
    <row r="1301" ht="15" customHeight="1">
      <c r="A1301" s="12"/>
      <c r="B1301" s="428" cm="1">
        <f t="array" ref="B1301">IF(B1300=0,0,IF(B1300&lt;VLOOKUP(C1283,'Boats Data Sheet 2026'!$C$3:$H$57,6,0),B1300+1,0))</f>
        <v>0</v>
      </c>
      <c r="C1301" t="str" s="431" cm="1">
        <f t="array" ref="C1301">IF(B1301&gt;0,IF(VLOOKUP(C1283,'Boats Data Sheet 2026'!$C$3:$J$57,8,0)="N/A",0,VLOOKUP(C1283,'Boats Data Sheet 2026'!$C$3:$J$57,8,0)),"N/A")</f>
        <v>N/A</v>
      </c>
      <c r="D1301" t="str" s="431" cm="1">
        <f t="array" ref="D1301">IF(B1301&gt;7,2,IF(B1301=0,"N/A",1))</f>
        <v>N/A</v>
      </c>
      <c r="E1301" t="str" s="431" cm="1">
        <f t="array" ref="E1301">_xlfn.IFERROR(SUM('Direct Costs 2026'!$C$4:$C$5)*D1301,"N/A")</f>
        <v>N/A</v>
      </c>
      <c r="F1301" s="423" cm="1">
        <f t="array" ref="F1301">_xlfn.IFERROR('Direct Costs 2026'!$C$43*B1301,"N/A")</f>
        <v>0</v>
      </c>
      <c r="G1301" t="str" s="431" cm="1">
        <f t="array" ref="G1301">IF(B1301&gt;0,'Direct Costs 2026'!$C$25,"N/A")</f>
        <v>N/A</v>
      </c>
      <c r="H1301" t="str" s="431" cm="1">
        <f t="array" ref="H1301">IF(B1301&gt;0,('Direct Costs 2026'!$C$15+'Direct Costs 2026'!$C$17+'Direct Costs 2026'!$C$14),"N/A")</f>
        <v>N/A</v>
      </c>
      <c r="I1301" t="str" s="431" cm="1">
        <f t="array" ref="I1301">IF(B1301&gt;0,'Direct Costs 2026'!$C$19+'Direct Costs 2026'!$C$18*B1301,"N/A")</f>
        <v>N/A</v>
      </c>
      <c r="J1301" t="str" s="431" cm="1">
        <f t="array" ref="J1301">IF(B1301&gt;0,SUM('Direct Costs 2026'!$C$20:$C$21),"N/A")</f>
        <v>N/A</v>
      </c>
      <c r="K1301" t="str" s="431" cm="1">
        <f t="array" ref="K1301">IF(B1301&gt;0,'Direct Costs 2026'!$C$26,"N/A")</f>
        <v>N/A</v>
      </c>
      <c r="L1301" t="str" s="431" cm="1">
        <f t="array" ref="L1301">IF(B1301&gt;0,'Direct Costs 2026'!$C$23,"N/A")</f>
        <v>N/A</v>
      </c>
      <c r="M1301" t="str" s="431" cm="1">
        <f t="array" ref="M1301">IF(B1301&gt;0,'Direct Costs 2026'!$C$45*B1301,"N/A")</f>
        <v>N/A</v>
      </c>
      <c r="N1301" t="str" s="431" cm="1">
        <f t="array" ref="N1301">IF(B1301&gt;0,_xlfn.IFERROR(VLOOKUP(C1283,'Boats Data Sheet 2026'!$C$3:$I$57,7,0)*'Direct Costs 2026'!$C$36,"N/A"),"N/A")</f>
        <v>N/A</v>
      </c>
      <c r="O1301" t="str" s="431" cm="1">
        <f t="array" ref="O1301">IF(B1301&gt;0,IF(OR(VLOOKUP(C1283,'Boats Data Sheet 2026'!$C$3:$F$57,4,0)="Own",VLOOKUP(C1283,'Boats Data Sheet 2026'!$C$3:$F$57,4,0)="Management"),('Direct Costs 2026'!$C$37+'Direct Costs 2026'!$C$39),"N/A"),"N/A")</f>
        <v>N/A</v>
      </c>
      <c r="P1301" t="str" s="431" cm="1">
        <f t="array" ref="P1301">_xlfn.IFERROR('Direct Costs 2026'!$C$27*C1301,"N/A")</f>
        <v>N/A</v>
      </c>
      <c r="Q1301" t="str" s="431" cm="1">
        <f t="array" ref="Q1301">_xlfn.IFERROR(C1301+SUM(E1301:P1301),"N/A")</f>
        <v>N/A</v>
      </c>
      <c r="R1301" s="424"/>
      <c r="S1301" t="str" s="431" cm="1">
        <f t="array" ref="S1301">IF(B1301&gt;0,'Allocation OH and Target 2026'!$E$31,"N/A")</f>
        <v>N/A</v>
      </c>
      <c r="T1301" t="str" s="431" cm="1">
        <f t="array" ref="T1301">IF(B1301&gt;0,VLOOKUP(C1283,'Allocation OH and Target 2026'!$C$35:$S$87,16,0),"N/A")</f>
        <v>N/A</v>
      </c>
      <c r="U1301" t="str" s="431" cm="1">
        <f t="array" ref="U1301">_xlfn.IFERROR((S1301+T1301),"N/A")</f>
        <v>N/A</v>
      </c>
      <c r="V1301" s="424"/>
      <c r="W1301" t="str" s="431" cm="1">
        <f t="array" ref="W1301">_xlfn.IFERROR(U1301+Q1301,"N/A")</f>
        <v>N/A</v>
      </c>
      <c r="X1301" t="str" s="431" cm="1">
        <f t="array" ref="X1301">_xlfn.IFERROR(W1301*0.5%,"N/A")</f>
        <v>N/A</v>
      </c>
      <c r="Y1301" t="str" s="431" cm="1">
        <f t="array" ref="Y1301">_xlfn.IFERROR(W1301*25%,"N/A")</f>
        <v>N/A</v>
      </c>
      <c r="Z1301" t="str" s="426" cm="1">
        <f t="array" ref="Z1301">IF(B1301&gt;0,SUM(W1301:Y1301),"N/A")</f>
        <v>N/A</v>
      </c>
      <c r="AA1301" t="str" s="426" cm="1">
        <f t="array" ref="AA1301">_xlfn.IFERROR((Z1301-Z1300),"N/A")</f>
        <v>N/A</v>
      </c>
      <c r="AB1301" s="424"/>
      <c r="AC1301" t="str" s="426" cm="1">
        <f t="array" ref="AC1301">IF(B1301=6,AVERAGE(Z1286:Z1291),"N/A")</f>
        <v>N/A</v>
      </c>
      <c r="AD1301" s="424"/>
      <c r="AE1301" s="423"/>
      <c r="AF1301" s="423"/>
      <c r="AG1301" s="423"/>
      <c r="AH1301" s="423"/>
      <c r="AI1301" s="423"/>
      <c r="AJ1301" s="423"/>
      <c r="AK1301" s="423"/>
      <c r="AL1301" s="423"/>
      <c r="AM1301" s="423"/>
      <c r="AN1301" s="427"/>
    </row>
    <row r="1302" ht="15" customHeight="1">
      <c r="A1302" s="12"/>
      <c r="B1302" s="428" cm="1">
        <f t="array" ref="B1302">IF(B1301=0,0,IF(B1301&lt;VLOOKUP(C1283,'Boats Data Sheet 2026'!$C$3:$H$57,6,0),B1301+1,0))</f>
        <v>0</v>
      </c>
      <c r="C1302" t="str" s="431" cm="1">
        <f t="array" ref="C1302">IF(B1302&gt;0,IF(VLOOKUP(C1283,'Boats Data Sheet 2026'!$C$3:$J$57,8,0)="N/A",0,VLOOKUP(C1283,'Boats Data Sheet 2026'!$C$3:$J$57,8,0)),"N/A")</f>
        <v>N/A</v>
      </c>
      <c r="D1302" t="str" s="431" cm="1">
        <f t="array" ref="D1302">IF(B1302&gt;7,2,IF(B1302=0,"N/A",1))</f>
        <v>N/A</v>
      </c>
      <c r="E1302" t="str" s="431" cm="1">
        <f t="array" ref="E1302">_xlfn.IFERROR(SUM('Direct Costs 2026'!$C$4:$C$5)*D1302,"N/A")</f>
        <v>N/A</v>
      </c>
      <c r="F1302" s="423" cm="1">
        <f t="array" ref="F1302">_xlfn.IFERROR('Direct Costs 2026'!$C$43*B1302,"N/A")</f>
        <v>0</v>
      </c>
      <c r="G1302" t="str" s="431" cm="1">
        <f t="array" ref="G1302">IF(B1302&gt;0,'Direct Costs 2026'!$C$25,"N/A")</f>
        <v>N/A</v>
      </c>
      <c r="H1302" t="str" s="431" cm="1">
        <f t="array" ref="H1302">IF(B1302&gt;0,('Direct Costs 2026'!$C$15+'Direct Costs 2026'!$C$17+'Direct Costs 2026'!$C$14),"N/A")</f>
        <v>N/A</v>
      </c>
      <c r="I1302" t="str" s="431" cm="1">
        <f t="array" ref="I1302">IF(B1302&gt;0,'Direct Costs 2026'!$C$19+'Direct Costs 2026'!$C$18*B1302,"N/A")</f>
        <v>N/A</v>
      </c>
      <c r="J1302" t="str" s="431" cm="1">
        <f t="array" ref="J1302">IF(B1302&gt;0,SUM('Direct Costs 2026'!$C$20:$C$21),"N/A")</f>
        <v>N/A</v>
      </c>
      <c r="K1302" t="str" s="431" cm="1">
        <f t="array" ref="K1302">IF(B1302&gt;0,'Direct Costs 2026'!$C$26,"N/A")</f>
        <v>N/A</v>
      </c>
      <c r="L1302" t="str" s="431" cm="1">
        <f t="array" ref="L1302">IF(B1302&gt;0,'Direct Costs 2026'!$C$23,"N/A")</f>
        <v>N/A</v>
      </c>
      <c r="M1302" t="str" s="431" cm="1">
        <f t="array" ref="M1302">IF(B1302&gt;0,'Direct Costs 2026'!$C$45*B1302,"N/A")</f>
        <v>N/A</v>
      </c>
      <c r="N1302" t="str" s="431" cm="1">
        <f t="array" ref="N1302">IF(B1302&gt;0,_xlfn.IFERROR(VLOOKUP(C1283,'Boats Data Sheet 2026'!$C$3:$I$57,7,0)*'Direct Costs 2026'!$C$36,"N/A"),"N/A")</f>
        <v>N/A</v>
      </c>
      <c r="O1302" t="str" s="431" cm="1">
        <f t="array" ref="O1302">IF(B1302&gt;0,IF(OR(VLOOKUP(C1283,'Boats Data Sheet 2026'!$C$3:$F$57,4,0)="Own",VLOOKUP(C1283,'Boats Data Sheet 2026'!$C$3:$F$57,4,0)="Management"),('Direct Costs 2026'!$C$37+'Direct Costs 2026'!$C$39),"N/A"),"N/A")</f>
        <v>N/A</v>
      </c>
      <c r="P1302" t="str" s="431" cm="1">
        <f t="array" ref="P1302">_xlfn.IFERROR('Direct Costs 2026'!$C$27*C1302,"N/A")</f>
        <v>N/A</v>
      </c>
      <c r="Q1302" t="str" s="431" cm="1">
        <f t="array" ref="Q1302">_xlfn.IFERROR(C1302+SUM(E1302:P1302),"N/A")</f>
        <v>N/A</v>
      </c>
      <c r="R1302" s="424"/>
      <c r="S1302" t="str" s="431" cm="1">
        <f t="array" ref="S1302">IF(B1302&gt;0,'Allocation OH and Target 2026'!$E$31,"N/A")</f>
        <v>N/A</v>
      </c>
      <c r="T1302" t="str" s="431" cm="1">
        <f t="array" ref="T1302">IF(B1302&gt;0,VLOOKUP(C1283,'Allocation OH and Target 2026'!$C$35:$S$87,16,0),"N/A")</f>
        <v>N/A</v>
      </c>
      <c r="U1302" t="str" s="431" cm="1">
        <f t="array" ref="U1302">_xlfn.IFERROR((S1302+T1302),"N/A")</f>
        <v>N/A</v>
      </c>
      <c r="V1302" s="424"/>
      <c r="W1302" t="str" s="431" cm="1">
        <f t="array" ref="W1302">_xlfn.IFERROR(U1302+Q1302,"N/A")</f>
        <v>N/A</v>
      </c>
      <c r="X1302" t="str" s="431" cm="1">
        <f t="array" ref="X1302">_xlfn.IFERROR(W1302*0.5%,"N/A")</f>
        <v>N/A</v>
      </c>
      <c r="Y1302" t="str" s="431" cm="1">
        <f t="array" ref="Y1302">_xlfn.IFERROR(W1302*25%,"N/A")</f>
        <v>N/A</v>
      </c>
      <c r="Z1302" t="str" s="426" cm="1">
        <f t="array" ref="Z1302">IF(B1302&gt;0,SUM(W1302:Y1302),"N/A")</f>
        <v>N/A</v>
      </c>
      <c r="AA1302" t="str" s="426" cm="1">
        <f t="array" ref="AA1302">_xlfn.IFERROR((Z1302-Z1301),"N/A")</f>
        <v>N/A</v>
      </c>
      <c r="AB1302" s="424"/>
      <c r="AC1302" t="str" s="426" cm="1">
        <f t="array" ref="AC1302">IF(B1302=6,AVERAGE(Z1286:Z1291),"N/A")</f>
        <v>N/A</v>
      </c>
      <c r="AD1302" s="424"/>
      <c r="AE1302" s="423"/>
      <c r="AF1302" s="423"/>
      <c r="AG1302" s="423"/>
      <c r="AH1302" s="423"/>
      <c r="AI1302" s="423"/>
      <c r="AJ1302" s="423"/>
      <c r="AK1302" s="423"/>
      <c r="AL1302" s="423"/>
      <c r="AM1302" s="423"/>
      <c r="AN1302" s="427"/>
    </row>
    <row r="1303" ht="15.5" customHeight="1">
      <c r="A1303" s="12"/>
      <c r="B1303" s="432" cm="1">
        <f t="array" ref="B1303">IF(B1302=0,0,IF(B1302&lt;VLOOKUP(C1283,'Boats Data Sheet 2026'!$C$3:$H$57,6,0),B1302+1,0))</f>
        <v>0</v>
      </c>
      <c r="C1303" t="str" s="433" cm="1">
        <f t="array" ref="C1303">IF(B1303&gt;0,IF(VLOOKUP(C1283,'Boats Data Sheet 2026'!$C$3:$J$57,8,0)="N/A",0,VLOOKUP(C1283,'Boats Data Sheet 2026'!$C$3:$J$57,8,0)),"N/A")</f>
        <v>N/A</v>
      </c>
      <c r="D1303" t="str" s="433" cm="1">
        <f t="array" ref="D1303">IF(B1303&gt;7,2,IF(B1303=0,"N/A",1))</f>
        <v>N/A</v>
      </c>
      <c r="E1303" t="str" s="433" cm="1">
        <f t="array" ref="E1303">_xlfn.IFERROR(SUM('Direct Costs 2026'!$C$4:$C$5)*D1303,"N/A")</f>
        <v>N/A</v>
      </c>
      <c r="F1303" s="434" cm="1">
        <f t="array" ref="F1303">_xlfn.IFERROR('Direct Costs 2026'!$C$43*B1303,"N/A")</f>
        <v>0</v>
      </c>
      <c r="G1303" t="str" s="433" cm="1">
        <f t="array" ref="G1303">IF(B1303&gt;0,'Direct Costs 2026'!$C$25,"N/A")</f>
        <v>N/A</v>
      </c>
      <c r="H1303" t="str" s="433" cm="1">
        <f t="array" ref="H1303">IF(B1303&gt;0,('Direct Costs 2026'!$C$15+'Direct Costs 2026'!$C$17+'Direct Costs 2026'!$C$14),"N/A")</f>
        <v>N/A</v>
      </c>
      <c r="I1303" t="str" s="433" cm="1">
        <f t="array" ref="I1303">IF(B1303&gt;0,'Direct Costs 2026'!$C$19+'Direct Costs 2026'!$C$18*B1303,"N/A")</f>
        <v>N/A</v>
      </c>
      <c r="J1303" t="str" s="433" cm="1">
        <f t="array" ref="J1303">IF(B1303&gt;0,SUM('Direct Costs 2026'!$C$20:$C$21),"N/A")</f>
        <v>N/A</v>
      </c>
      <c r="K1303" t="str" s="433" cm="1">
        <f t="array" ref="K1303">IF(B1303&gt;0,'Direct Costs 2026'!$C$26,"N/A")</f>
        <v>N/A</v>
      </c>
      <c r="L1303" t="str" s="433" cm="1">
        <f t="array" ref="L1303">IF(B1303&gt;0,'Direct Costs 2026'!$C$23,"N/A")</f>
        <v>N/A</v>
      </c>
      <c r="M1303" t="str" s="433" cm="1">
        <f t="array" ref="M1303">IF(B1303&gt;0,'Direct Costs 2026'!$C$45*B1303,"N/A")</f>
        <v>N/A</v>
      </c>
      <c r="N1303" t="str" s="433" cm="1">
        <f t="array" ref="N1303">IF(B1303&gt;0,_xlfn.IFERROR(VLOOKUP(C1283,'Boats Data Sheet 2026'!$C$3:$I$57,7,0)*'Direct Costs 2026'!$C$36,"N/A"),"N/A")</f>
        <v>N/A</v>
      </c>
      <c r="O1303" t="str" s="433" cm="1">
        <f t="array" ref="O1303">IF(B1303&gt;0,IF(OR(VLOOKUP(C1283,'Boats Data Sheet 2026'!$C$3:$F$57,4,0)="Own",VLOOKUP(C1283,'Boats Data Sheet 2026'!$C$3:$F$57,4,0)="Management"),('Direct Costs 2026'!$C$37+'Direct Costs 2026'!$C$39),"N/A"),"N/A")</f>
        <v>N/A</v>
      </c>
      <c r="P1303" t="str" s="433" cm="1">
        <f t="array" ref="P1303">_xlfn.IFERROR('Direct Costs 2026'!$C$27*C1303,"N/A")</f>
        <v>N/A</v>
      </c>
      <c r="Q1303" t="str" s="433" cm="1">
        <f t="array" ref="Q1303">_xlfn.IFERROR(C1303+SUM(E1303:P1303),"N/A")</f>
        <v>N/A</v>
      </c>
      <c r="R1303" s="435"/>
      <c r="S1303" t="str" s="433" cm="1">
        <f t="array" ref="S1303">IF(B1303&gt;0,'Allocation OH and Target 2026'!$E$31,"N/A")</f>
        <v>N/A</v>
      </c>
      <c r="T1303" t="str" s="433" cm="1">
        <f t="array" ref="T1303">IF(B1303&gt;0,VLOOKUP(C1283,'Allocation OH and Target 2026'!$C$35:$S$87,16,0),"N/A")</f>
        <v>N/A</v>
      </c>
      <c r="U1303" t="str" s="433" cm="1">
        <f t="array" ref="U1303">_xlfn.IFERROR((S1303+T1303),"N/A")</f>
        <v>N/A</v>
      </c>
      <c r="V1303" s="435"/>
      <c r="W1303" t="str" s="433" cm="1">
        <f t="array" ref="W1303">_xlfn.IFERROR(U1303+Q1303,"N/A")</f>
        <v>N/A</v>
      </c>
      <c r="X1303" t="str" s="433" cm="1">
        <f t="array" ref="X1303">_xlfn.IFERROR(W1303*0.5%,"N/A")</f>
        <v>N/A</v>
      </c>
      <c r="Y1303" t="str" s="433" cm="1">
        <f t="array" ref="Y1303">_xlfn.IFERROR(W1303*25%,"N/A")</f>
        <v>N/A</v>
      </c>
      <c r="Z1303" t="str" s="436" cm="1">
        <f t="array" ref="Z1303">IF(B1303&gt;0,SUM(W1303:Y1303),"N/A")</f>
        <v>N/A</v>
      </c>
      <c r="AA1303" t="str" s="436" cm="1">
        <f t="array" ref="AA1303">_xlfn.IFERROR((Z1303-Z1302),"N/A")</f>
        <v>N/A</v>
      </c>
      <c r="AB1303" s="435"/>
      <c r="AC1303" t="str" s="436" cm="1">
        <f t="array" ref="AC1303">IF(B1303=6,AVERAGE(Z1286:Z1291),"N/A")</f>
        <v>N/A</v>
      </c>
      <c r="AD1303" s="435"/>
      <c r="AE1303" s="434"/>
      <c r="AF1303" s="434"/>
      <c r="AG1303" s="434"/>
      <c r="AH1303" s="434"/>
      <c r="AI1303" s="434"/>
      <c r="AJ1303" s="434"/>
      <c r="AK1303" s="434"/>
      <c r="AL1303" s="434"/>
      <c r="AM1303" s="434"/>
      <c r="AN1303" s="437"/>
    </row>
    <row r="1304" ht="15" customHeight="1">
      <c r="A1304" s="32"/>
      <c r="B1304" s="124"/>
      <c r="C1304" s="124"/>
      <c r="D1304" s="124"/>
      <c r="E1304" s="124"/>
      <c r="F1304" s="124"/>
      <c r="G1304" s="124"/>
      <c r="H1304" s="124"/>
      <c r="I1304" s="124"/>
      <c r="J1304" s="124"/>
      <c r="K1304" s="124"/>
      <c r="L1304" s="124"/>
      <c r="M1304" s="124"/>
      <c r="N1304" s="124"/>
      <c r="O1304" s="124"/>
      <c r="P1304" s="124"/>
      <c r="Q1304" s="124"/>
      <c r="R1304" s="124"/>
      <c r="S1304" s="124"/>
      <c r="T1304" s="124"/>
      <c r="U1304" s="124"/>
      <c r="V1304" s="124"/>
      <c r="W1304" s="124"/>
      <c r="X1304" s="124"/>
      <c r="Y1304" s="124"/>
      <c r="Z1304" s="124"/>
      <c r="AA1304" s="124"/>
      <c r="AB1304" s="124"/>
      <c r="AC1304" s="124"/>
      <c r="AD1304" s="124"/>
      <c r="AE1304" s="124"/>
      <c r="AF1304" s="124"/>
      <c r="AG1304" s="124"/>
      <c r="AH1304" s="124"/>
      <c r="AI1304" s="124"/>
      <c r="AJ1304" s="124"/>
      <c r="AK1304" s="124"/>
      <c r="AL1304" s="124"/>
      <c r="AM1304" s="124"/>
      <c r="AN1304" s="313"/>
    </row>
    <row r="1305" ht="15" customHeight="1">
      <c r="A1305" s="32"/>
      <c r="B1305" s="35"/>
      <c r="C1305" s="35"/>
      <c r="D1305" s="35"/>
      <c r="E1305" s="35"/>
      <c r="F1305" s="35"/>
      <c r="G1305" s="35"/>
      <c r="H1305" s="35"/>
      <c r="I1305" s="35"/>
      <c r="J1305" s="35"/>
      <c r="K1305" s="35"/>
      <c r="L1305" s="35"/>
      <c r="M1305" s="35"/>
      <c r="N1305" s="35"/>
      <c r="O1305" s="35"/>
      <c r="P1305" s="35"/>
      <c r="Q1305" s="35"/>
      <c r="R1305" s="35"/>
      <c r="S1305" s="35"/>
      <c r="T1305" s="35"/>
      <c r="U1305" s="35"/>
      <c r="V1305" s="35"/>
      <c r="W1305" s="35"/>
      <c r="X1305" s="35"/>
      <c r="Y1305" s="35"/>
      <c r="Z1305" s="35"/>
      <c r="AA1305" s="35"/>
      <c r="AB1305" s="35"/>
      <c r="AC1305" s="35"/>
      <c r="AD1305" s="35"/>
      <c r="AE1305" s="35"/>
      <c r="AF1305" s="35"/>
      <c r="AG1305" s="35"/>
      <c r="AH1305" s="35"/>
      <c r="AI1305" s="35"/>
      <c r="AJ1305" s="35"/>
      <c r="AK1305" s="35"/>
      <c r="AL1305" s="35"/>
      <c r="AM1305" s="35"/>
      <c r="AN1305" s="442"/>
    </row>
    <row r="1306" ht="15.5" customHeight="1">
      <c r="A1306" s="395">
        <v>39</v>
      </c>
      <c r="B1306" t="s" s="396">
        <v>506</v>
      </c>
      <c r="C1306" t="s" s="397">
        <v>57</v>
      </c>
      <c r="D1306" s="398"/>
      <c r="E1306" s="398"/>
      <c r="F1306" s="398"/>
      <c r="G1306" s="398"/>
      <c r="H1306" s="398"/>
      <c r="I1306" s="398"/>
      <c r="J1306" s="398"/>
      <c r="K1306" s="398"/>
      <c r="L1306" s="398"/>
      <c r="M1306" s="398"/>
      <c r="N1306" s="398"/>
      <c r="O1306" s="398"/>
      <c r="P1306" s="398"/>
      <c r="Q1306" s="398"/>
      <c r="R1306" s="399"/>
      <c r="S1306" s="398"/>
      <c r="T1306" s="398"/>
      <c r="U1306" s="398"/>
      <c r="V1306" s="399"/>
      <c r="W1306" s="398"/>
      <c r="X1306" s="398"/>
      <c r="Y1306" s="398"/>
      <c r="Z1306" s="398"/>
      <c r="AA1306" s="398"/>
      <c r="AB1306" s="399"/>
      <c r="AC1306" s="398"/>
      <c r="AD1306" s="399"/>
      <c r="AE1306" t="s" s="400">
        <v>508</v>
      </c>
      <c r="AF1306" s="401" cm="1">
        <f t="array" ref="AF1306">AVERAGE(Q1309:Q1314)</f>
        <v>10707333.3333333</v>
      </c>
      <c r="AG1306" t="s" s="400">
        <v>509</v>
      </c>
      <c r="AH1306" s="401" cm="1">
        <f t="array" ref="AH1306">AVERAGE(Q1315:Q1322)-AF1306</f>
        <v>1991928.57142857</v>
      </c>
      <c r="AI1306" t="s" s="400">
        <v>510</v>
      </c>
      <c r="AJ1306" s="401" cm="1">
        <f t="array" ref="AJ1306">AVERAGE(Y1309:Y1316)</f>
        <v>3527054.49775785</v>
      </c>
      <c r="AK1306" t="s" s="397">
        <v>511</v>
      </c>
      <c r="AL1306" s="401" cm="1">
        <f t="array" ref="AL1306">AVERAGE(W1309:W1314)</f>
        <v>13807780.4910314</v>
      </c>
      <c r="AM1306" t="s" s="400">
        <v>512</v>
      </c>
      <c r="AN1306" s="402" cm="1">
        <f t="array" ref="AN1306">W1309</f>
        <v>13330280.4910314</v>
      </c>
    </row>
    <row r="1307" ht="15" customHeight="1">
      <c r="A1307" s="12"/>
      <c r="B1307" s="403"/>
      <c r="C1307" t="s" s="404">
        <v>513</v>
      </c>
      <c r="D1307" s="405"/>
      <c r="E1307" s="405"/>
      <c r="F1307" s="405"/>
      <c r="G1307" s="405"/>
      <c r="H1307" s="405"/>
      <c r="I1307" s="405"/>
      <c r="J1307" s="405"/>
      <c r="K1307" s="405"/>
      <c r="L1307" s="405"/>
      <c r="M1307" s="405"/>
      <c r="N1307" s="405"/>
      <c r="O1307" s="405"/>
      <c r="P1307" s="405"/>
      <c r="Q1307" s="406"/>
      <c r="R1307" s="407"/>
      <c r="S1307" t="s" s="404">
        <v>514</v>
      </c>
      <c r="T1307" s="405"/>
      <c r="U1307" s="406"/>
      <c r="V1307" s="407"/>
      <c r="W1307" t="s" s="404">
        <v>515</v>
      </c>
      <c r="X1307" s="405"/>
      <c r="Y1307" s="405"/>
      <c r="Z1307" s="405"/>
      <c r="AA1307" s="405"/>
      <c r="AB1307" s="408"/>
      <c r="AC1307" s="443"/>
      <c r="AD1307" s="410"/>
      <c r="AE1307" s="411"/>
      <c r="AF1307" s="412"/>
      <c r="AG1307" s="412"/>
      <c r="AH1307" s="412"/>
      <c r="AI1307" s="412"/>
      <c r="AJ1307" s="412"/>
      <c r="AK1307" s="413"/>
      <c r="AL1307" s="414"/>
      <c r="AM1307" s="415"/>
      <c r="AN1307" s="414"/>
    </row>
    <row r="1308" ht="46.25" customHeight="1">
      <c r="A1308" s="187"/>
      <c r="B1308" t="s" s="416">
        <v>517</v>
      </c>
      <c r="C1308" t="s" s="417">
        <v>518</v>
      </c>
      <c r="D1308" t="s" s="417">
        <v>519</v>
      </c>
      <c r="E1308" t="s" s="417">
        <v>520</v>
      </c>
      <c r="F1308" t="s" s="159">
        <v>521</v>
      </c>
      <c r="G1308" t="s" s="159">
        <v>522</v>
      </c>
      <c r="H1308" t="s" s="159">
        <v>523</v>
      </c>
      <c r="I1308" t="s" s="159">
        <v>524</v>
      </c>
      <c r="J1308" t="s" s="159">
        <v>525</v>
      </c>
      <c r="K1308" t="s" s="159">
        <v>526</v>
      </c>
      <c r="L1308" t="s" s="159">
        <v>527</v>
      </c>
      <c r="M1308" t="s" s="159">
        <v>528</v>
      </c>
      <c r="N1308" t="s" s="159">
        <v>529</v>
      </c>
      <c r="O1308" t="s" s="159">
        <v>530</v>
      </c>
      <c r="P1308" t="s" s="159">
        <v>531</v>
      </c>
      <c r="Q1308" t="s" s="159">
        <v>532</v>
      </c>
      <c r="R1308" s="418"/>
      <c r="S1308" t="s" s="159">
        <v>533</v>
      </c>
      <c r="T1308" t="s" s="159">
        <v>534</v>
      </c>
      <c r="U1308" t="s" s="159">
        <v>535</v>
      </c>
      <c r="V1308" s="418"/>
      <c r="W1308" t="s" s="159">
        <v>536</v>
      </c>
      <c r="X1308" t="s" s="159">
        <v>537</v>
      </c>
      <c r="Y1308" t="s" s="159">
        <v>538</v>
      </c>
      <c r="Z1308" t="s" s="159">
        <v>539</v>
      </c>
      <c r="AA1308" t="s" s="159">
        <v>121</v>
      </c>
      <c r="AB1308" s="419"/>
      <c r="AC1308" t="s" s="159">
        <v>39</v>
      </c>
      <c r="AD1308" s="419"/>
      <c r="AE1308" s="77"/>
      <c r="AF1308" s="77"/>
      <c r="AG1308" s="77"/>
      <c r="AH1308" s="77"/>
      <c r="AI1308" s="77"/>
      <c r="AJ1308" s="77"/>
      <c r="AK1308" s="77"/>
      <c r="AL1308" s="77"/>
      <c r="AM1308" s="77"/>
      <c r="AN1308" s="78"/>
    </row>
    <row r="1309" ht="15" customHeight="1">
      <c r="A1309" s="12"/>
      <c r="B1309" s="420">
        <v>1</v>
      </c>
      <c r="C1309" s="421" cm="1">
        <f t="array" ref="C1309">IF(B1309&gt;0,IF(VLOOKUP(C1306,'Boats Data Sheet 2026'!$C$3:$J$57,8,0)="N/A",0,VLOOKUP(C1306,'Boats Data Sheet 2026'!$C$3:$J$57,8,0)),"N/A")</f>
        <v>8000000</v>
      </c>
      <c r="D1309" s="422" cm="1">
        <f t="array" ref="D1309">IF(B1309&gt;7,2,IF(B1309=0,"N/A",1))</f>
        <v>1</v>
      </c>
      <c r="E1309" s="421" cm="1">
        <f t="array" ref="E1309">_xlfn.IFERROR(SUM('Direct Costs 2026'!$C$4:$C$5)*D1309,"N/A")</f>
        <v>875500</v>
      </c>
      <c r="F1309" s="423" cm="1">
        <f t="array" ref="F1309">_xlfn.IFERROR('Direct Costs 2026'!$C$43*B1309,"N/A")</f>
        <v>6000</v>
      </c>
      <c r="G1309" s="423" cm="1">
        <f t="array" ref="G1309">IF(B1309&gt;0,'Direct Costs 2026'!$C$25,"N/A")</f>
        <v>90000</v>
      </c>
      <c r="H1309" s="423" cm="1">
        <f t="array" ref="H1309">IF(B1309&gt;0,('Direct Costs 2026'!$C$15+'Direct Costs 2026'!$C$17+'Direct Costs 2026'!$C$14),"N/A")</f>
        <v>580000</v>
      </c>
      <c r="I1309" s="423" cm="1">
        <f t="array" ref="I1309">IF(B1309&gt;0,'Direct Costs 2026'!$C$19+'Direct Costs 2026'!$C$18*B1309,"N/A")</f>
        <v>110000</v>
      </c>
      <c r="J1309" s="423" cm="1">
        <f t="array" ref="J1309">IF(B1309&gt;0,SUM('Direct Costs 2026'!$C$20:$C$21),"N/A")</f>
        <v>98333.3333333333</v>
      </c>
      <c r="K1309" s="423" cm="1">
        <f t="array" ref="K1309">IF(B1309&gt;0,'Direct Costs 2026'!$C$26,"N/A")</f>
        <v>20000</v>
      </c>
      <c r="L1309" s="423" cm="1">
        <f t="array" ref="L1309">IF(B1309&gt;0,'Direct Costs 2026'!$C$23,"N/A")</f>
        <v>140000</v>
      </c>
      <c r="M1309" s="423" cm="1">
        <f t="array" ref="M1309">IF(B1309&gt;0,'Direct Costs 2026'!$C$45*B1309,"N/A")</f>
        <v>150000</v>
      </c>
      <c r="N1309" t="str" s="431" cm="1">
        <f t="array" ref="N1309">IF(B1309&gt;0,_xlfn.IFERROR(VLOOKUP(C1306,'Boats Data Sheet 2026'!$C$3:$I$57,7,0)*'Direct Costs 2026'!$C$36,"N/A"),"N/A")</f>
        <v>N/A</v>
      </c>
      <c r="O1309" t="str" s="431" cm="1">
        <f t="array" ref="O1309">IF(B1309&gt;0,IF(OR(VLOOKUP(C1306,'Boats Data Sheet 2026'!$C$3:$F$57,4,0)="Own",VLOOKUP(C1306,'Boats Data Sheet 2026'!$C$3:$F$57,4,0)="Management"),('Direct Costs 2026'!$C$37+'Direct Costs 2026'!$C$39),"N/A"),"N/A")</f>
        <v>N/A</v>
      </c>
      <c r="P1309" s="423" cm="1">
        <f t="array" ref="P1309">_xlfn.IFERROR('Direct Costs 2026'!$C$27*C1309,"N/A")</f>
        <v>160000</v>
      </c>
      <c r="Q1309" s="423" cm="1">
        <f t="array" ref="Q1309">_xlfn.IFERROR(C1309+SUM(E1309:P1309),"N/A")</f>
        <v>10229833.3333333</v>
      </c>
      <c r="R1309" s="424"/>
      <c r="S1309" s="423" cm="1">
        <f t="array" ref="S1309">IF(B1309&gt;0,'Allocation OH and Target 2026'!$E$31,"N/A")</f>
        <v>3100447.15769812</v>
      </c>
      <c r="T1309" s="423" cm="1">
        <f t="array" ref="T1309">IF(B1309&gt;0,VLOOKUP(C1306,'Allocation OH and Target 2026'!$C$35:$S$87,17,0),"N/A")</f>
        <v>0</v>
      </c>
      <c r="U1309" s="423" cm="1">
        <f t="array" ref="U1309">_xlfn.IFERROR((S1309+T1309),"N/A")</f>
        <v>3100447.15769812</v>
      </c>
      <c r="V1309" s="424"/>
      <c r="W1309" s="423" cm="1">
        <f t="array" ref="W1309">_xlfn.IFERROR(U1309+Q1309,"N/A")</f>
        <v>13330280.4910314</v>
      </c>
      <c r="X1309" s="423" cm="1">
        <f t="array" ref="X1309">_xlfn.IFERROR(W1309*0.5%,"N/A")</f>
        <v>66651.402455157</v>
      </c>
      <c r="Y1309" s="423" cm="1">
        <f t="array" ref="Y1309">_xlfn.IFERROR(W1309*25%,"N/A")</f>
        <v>3332570.12275785</v>
      </c>
      <c r="Z1309" s="425" cm="1">
        <f t="array" ref="Z1309">IF(B1309&gt;0,SUM(W1309:Y1309),"N/A")</f>
        <v>16729502.0162444</v>
      </c>
      <c r="AA1309" s="425">
        <v>0</v>
      </c>
      <c r="AB1309" s="424"/>
      <c r="AC1309" t="str" s="426" cm="1">
        <f t="array" ref="AC1309">IF(B1309=6,AVERAGE(Z1309:Z1314),"N/A")</f>
        <v>N/A</v>
      </c>
      <c r="AD1309" s="424"/>
      <c r="AE1309" s="423"/>
      <c r="AF1309" s="505"/>
      <c r="AG1309" s="423"/>
      <c r="AH1309" s="423"/>
      <c r="AI1309" s="423"/>
      <c r="AJ1309" s="423"/>
      <c r="AK1309" s="423"/>
      <c r="AL1309" s="423"/>
      <c r="AM1309" s="423"/>
      <c r="AN1309" s="427"/>
    </row>
    <row r="1310" ht="15" customHeight="1">
      <c r="A1310" s="12"/>
      <c r="B1310" s="428" cm="1">
        <f t="array" ref="B1310">IF(B1309=0,0,IF(B1309&lt;VLOOKUP(C1306,'Boats Data Sheet 2026'!$C$3:$H$57,6,0),B1309+1,0))</f>
        <v>2</v>
      </c>
      <c r="C1310" s="423" cm="1">
        <f t="array" ref="C1310">IF(B1310&gt;0,IF(VLOOKUP(C1306,'Boats Data Sheet 2026'!$C$3:$J$57,8,0)="N/A",0,VLOOKUP(C1306,'Boats Data Sheet 2026'!$C$3:$J$57,8,0)),"N/A")</f>
        <v>8000000</v>
      </c>
      <c r="D1310" s="429" cm="1">
        <f t="array" ref="D1310">IF(B1310&gt;7,2,IF(B1310=0,"N/A",1))</f>
        <v>1</v>
      </c>
      <c r="E1310" s="423" cm="1">
        <f t="array" ref="E1310">_xlfn.IFERROR(SUM('Direct Costs 2026'!$C$4:$C$5)*D1310,"N/A")</f>
        <v>875500</v>
      </c>
      <c r="F1310" s="423" cm="1">
        <f t="array" ref="F1310">_xlfn.IFERROR('Direct Costs 2026'!$C$43*B1310,"N/A")</f>
        <v>12000</v>
      </c>
      <c r="G1310" s="423" cm="1">
        <f t="array" ref="G1310">IF(B1310&gt;0,'Direct Costs 2026'!$C$25,"N/A")</f>
        <v>90000</v>
      </c>
      <c r="H1310" s="423" cm="1">
        <f t="array" ref="H1310">IF(B1310&gt;0,('Direct Costs 2026'!$C$15+'Direct Costs 2026'!$C$17+'Direct Costs 2026'!$C$14),"N/A")</f>
        <v>580000</v>
      </c>
      <c r="I1310" s="423" cm="1">
        <f t="array" ref="I1310">IF(B1310&gt;0,'Direct Costs 2026'!$C$19+'Direct Costs 2026'!$C$18*B1310,"N/A")</f>
        <v>145000</v>
      </c>
      <c r="J1310" s="423" cm="1">
        <f t="array" ref="J1310">IF(B1310&gt;0,SUM('Direct Costs 2026'!$C$20:$C$21),"N/A")</f>
        <v>98333.3333333333</v>
      </c>
      <c r="K1310" s="423" cm="1">
        <f t="array" ref="K1310">IF(B1310&gt;0,'Direct Costs 2026'!$C$26,"N/A")</f>
        <v>20000</v>
      </c>
      <c r="L1310" s="423" cm="1">
        <f t="array" ref="L1310">IF(B1310&gt;0,'Direct Costs 2026'!$C$23,"N/A")</f>
        <v>140000</v>
      </c>
      <c r="M1310" s="423" cm="1">
        <f t="array" ref="M1310">IF(B1310&gt;0,'Direct Costs 2026'!$C$45*B1310,"N/A")</f>
        <v>300000</v>
      </c>
      <c r="N1310" t="str" s="431" cm="1">
        <f t="array" ref="N1310">IF(B1310&gt;0,_xlfn.IFERROR(VLOOKUP(C1306,'Boats Data Sheet 2026'!$C$3:$I$57,7,0)*'Direct Costs 2026'!$C$36,"N/A"),"N/A")</f>
        <v>N/A</v>
      </c>
      <c r="O1310" t="str" s="431" cm="1">
        <f t="array" ref="O1310">IF(B1310&gt;0,IF(OR(VLOOKUP(C1306,'Boats Data Sheet 2026'!$C$3:$F$57,4,0)="Own",VLOOKUP(C1306,'Boats Data Sheet 2026'!$C$3:$F$57,4,0)="Management"),('Direct Costs 2026'!$C$37+'Direct Costs 2026'!$C$39),"N/A"),"N/A")</f>
        <v>N/A</v>
      </c>
      <c r="P1310" s="423" cm="1">
        <f t="array" ref="P1310">_xlfn.IFERROR('Direct Costs 2026'!$C$27*C1310,"N/A")</f>
        <v>160000</v>
      </c>
      <c r="Q1310" s="423" cm="1">
        <f t="array" ref="Q1310">_xlfn.IFERROR(C1310+SUM(E1310:P1310),"N/A")</f>
        <v>10420833.3333333</v>
      </c>
      <c r="R1310" s="424"/>
      <c r="S1310" s="423" cm="1">
        <f t="array" ref="S1310">IF(B1310&gt;0,'Allocation OH and Target 2026'!$E$31,"N/A")</f>
        <v>3100447.15769812</v>
      </c>
      <c r="T1310" s="423" cm="1">
        <f t="array" ref="T1310">IF(B1310&gt;0,VLOOKUP(C1306,'Allocation OH and Target 2026'!$C$35:$S$87,17,0),"N/A")</f>
        <v>0</v>
      </c>
      <c r="U1310" s="423" cm="1">
        <f t="array" ref="U1310">_xlfn.IFERROR((S1310+T1310),"N/A")</f>
        <v>3100447.15769812</v>
      </c>
      <c r="V1310" s="424"/>
      <c r="W1310" s="423" cm="1">
        <f t="array" ref="W1310">_xlfn.IFERROR(U1310+Q1310,"N/A")</f>
        <v>13521280.4910314</v>
      </c>
      <c r="X1310" s="423" cm="1">
        <f t="array" ref="X1310">_xlfn.IFERROR(W1310*0.5%,"N/A")</f>
        <v>67606.402455157</v>
      </c>
      <c r="Y1310" s="423" cm="1">
        <f t="array" ref="Y1310">_xlfn.IFERROR(W1310*25%,"N/A")</f>
        <v>3380320.12275785</v>
      </c>
      <c r="Z1310" s="425" cm="1">
        <f t="array" ref="Z1310">IF(B1310&gt;0,SUM(W1310:Y1310),"N/A")</f>
        <v>16969207.0162444</v>
      </c>
      <c r="AA1310" s="425" cm="1">
        <f t="array" ref="AA1310">_xlfn.IFERROR((Z1310-Z1309),"N/A")</f>
        <v>239705</v>
      </c>
      <c r="AB1310" s="424"/>
      <c r="AC1310" t="str" s="426" cm="1">
        <f t="array" ref="AC1310">IF(B1310=6,AVERAGE(Z1309:Z1314),"N/A")</f>
        <v>N/A</v>
      </c>
      <c r="AD1310" s="424"/>
      <c r="AE1310" s="512"/>
      <c r="AF1310" s="423"/>
      <c r="AG1310" s="423"/>
      <c r="AH1310" s="423"/>
      <c r="AI1310" s="423"/>
      <c r="AJ1310" s="423"/>
      <c r="AK1310" s="423"/>
      <c r="AL1310" s="423"/>
      <c r="AM1310" s="423"/>
      <c r="AN1310" s="427"/>
    </row>
    <row r="1311" ht="15" customHeight="1">
      <c r="A1311" s="12"/>
      <c r="B1311" s="428" cm="1">
        <f t="array" ref="B1311">IF(B1310=0,0,IF(B1310&lt;VLOOKUP(C1306,'Boats Data Sheet 2026'!$C$3:$H$57,6,0),B1310+1,0))</f>
        <v>3</v>
      </c>
      <c r="C1311" s="423" cm="1">
        <f t="array" ref="C1311">IF(B1311&gt;0,IF(VLOOKUP(C1306,'Boats Data Sheet 2026'!$C$3:$J$57,8,0)="N/A",0,VLOOKUP(C1306,'Boats Data Sheet 2026'!$C$3:$J$57,8,0)),"N/A")</f>
        <v>8000000</v>
      </c>
      <c r="D1311" s="429" cm="1">
        <f t="array" ref="D1311">IF(B1311&gt;7,2,IF(B1311=0,"N/A",1))</f>
        <v>1</v>
      </c>
      <c r="E1311" s="423" cm="1">
        <f t="array" ref="E1311">_xlfn.IFERROR(SUM('Direct Costs 2026'!$C$4:$C$5)*D1311,"N/A")</f>
        <v>875500</v>
      </c>
      <c r="F1311" s="423" cm="1">
        <f t="array" ref="F1311">_xlfn.IFERROR('Direct Costs 2026'!$C$43*B1311,"N/A")</f>
        <v>18000</v>
      </c>
      <c r="G1311" s="423" cm="1">
        <f t="array" ref="G1311">IF(B1311&gt;0,'Direct Costs 2026'!$C$25,"N/A")</f>
        <v>90000</v>
      </c>
      <c r="H1311" s="423" cm="1">
        <f t="array" ref="H1311">IF(B1311&gt;0,('Direct Costs 2026'!$C$15+'Direct Costs 2026'!$C$17+'Direct Costs 2026'!$C$14),"N/A")</f>
        <v>580000</v>
      </c>
      <c r="I1311" s="423" cm="1">
        <f t="array" ref="I1311">IF(B1311&gt;0,'Direct Costs 2026'!$C$19+'Direct Costs 2026'!$C$18*B1311,"N/A")</f>
        <v>180000</v>
      </c>
      <c r="J1311" s="423" cm="1">
        <f t="array" ref="J1311">IF(B1311&gt;0,SUM('Direct Costs 2026'!$C$20:$C$21),"N/A")</f>
        <v>98333.3333333333</v>
      </c>
      <c r="K1311" s="423" cm="1">
        <f t="array" ref="K1311">IF(B1311&gt;0,'Direct Costs 2026'!$C$26,"N/A")</f>
        <v>20000</v>
      </c>
      <c r="L1311" s="423" cm="1">
        <f t="array" ref="L1311">IF(B1311&gt;0,'Direct Costs 2026'!$C$23,"N/A")</f>
        <v>140000</v>
      </c>
      <c r="M1311" s="423" cm="1">
        <f t="array" ref="M1311">IF(B1311&gt;0,'Direct Costs 2026'!$C$45*B1311,"N/A")</f>
        <v>450000</v>
      </c>
      <c r="N1311" t="str" s="431" cm="1">
        <f t="array" ref="N1311">IF(B1311&gt;0,_xlfn.IFERROR(VLOOKUP(C1306,'Boats Data Sheet 2026'!$C$3:$I$57,7,0)*'Direct Costs 2026'!$C$36,"N/A"),"N/A")</f>
        <v>N/A</v>
      </c>
      <c r="O1311" t="str" s="431" cm="1">
        <f t="array" ref="O1311">IF(B1311&gt;0,IF(OR(VLOOKUP(C1306,'Boats Data Sheet 2026'!$C$3:$F$57,4,0)="Own",VLOOKUP(C1306,'Boats Data Sheet 2026'!$C$3:$F$57,4,0)="Management"),('Direct Costs 2026'!$C$37+'Direct Costs 2026'!$C$39),"N/A"),"N/A")</f>
        <v>N/A</v>
      </c>
      <c r="P1311" s="423" cm="1">
        <f t="array" ref="P1311">_xlfn.IFERROR('Direct Costs 2026'!$C$27*C1311,"N/A")</f>
        <v>160000</v>
      </c>
      <c r="Q1311" s="423" cm="1">
        <f t="array" ref="Q1311">_xlfn.IFERROR(C1311+SUM(E1311:P1311),"N/A")</f>
        <v>10611833.3333333</v>
      </c>
      <c r="R1311" s="424"/>
      <c r="S1311" s="423" cm="1">
        <f t="array" ref="S1311">IF(B1311&gt;0,'Allocation OH and Target 2026'!$E$31,"N/A")</f>
        <v>3100447.15769812</v>
      </c>
      <c r="T1311" s="423" cm="1">
        <f t="array" ref="T1311">IF(B1311&gt;0,VLOOKUP(C1306,'Allocation OH and Target 2026'!$C$35:$S$87,17,0),"N/A")</f>
        <v>0</v>
      </c>
      <c r="U1311" s="423" cm="1">
        <f t="array" ref="U1311">_xlfn.IFERROR((S1311+T1311),"N/A")</f>
        <v>3100447.15769812</v>
      </c>
      <c r="V1311" s="424"/>
      <c r="W1311" s="423" cm="1">
        <f t="array" ref="W1311">_xlfn.IFERROR(U1311+Q1311,"N/A")</f>
        <v>13712280.4910314</v>
      </c>
      <c r="X1311" s="423" cm="1">
        <f t="array" ref="X1311">_xlfn.IFERROR(W1311*0.5%,"N/A")</f>
        <v>68561.402455157</v>
      </c>
      <c r="Y1311" s="423" cm="1">
        <f t="array" ref="Y1311">_xlfn.IFERROR(W1311*25%,"N/A")</f>
        <v>3428070.12275785</v>
      </c>
      <c r="Z1311" s="425" cm="1">
        <f t="array" ref="Z1311">IF(B1311&gt;0,SUM(W1311:Y1311),"N/A")</f>
        <v>17208912.0162444</v>
      </c>
      <c r="AA1311" s="425" cm="1">
        <f t="array" ref="AA1311">_xlfn.IFERROR((Z1311-Z1310),"N/A")</f>
        <v>239705</v>
      </c>
      <c r="AB1311" s="424"/>
      <c r="AC1311" t="str" s="426" cm="1">
        <f t="array" ref="AC1311">IF(B1311=6,AVERAGE(Z1309:Z1314),"N/A")</f>
        <v>N/A</v>
      </c>
      <c r="AD1311" s="424"/>
      <c r="AE1311" s="423"/>
      <c r="AF1311" s="423"/>
      <c r="AG1311" s="423"/>
      <c r="AH1311" s="423"/>
      <c r="AI1311" s="423"/>
      <c r="AJ1311" s="423"/>
      <c r="AK1311" s="423"/>
      <c r="AL1311" s="423"/>
      <c r="AM1311" s="423"/>
      <c r="AN1311" s="427"/>
    </row>
    <row r="1312" ht="15" customHeight="1">
      <c r="A1312" s="12"/>
      <c r="B1312" s="428" cm="1">
        <f t="array" ref="B1312">IF(B1311=0,0,IF(B1311&lt;VLOOKUP(C1306,'Boats Data Sheet 2026'!$C$3:$H$57,6,0),B1311+1,0))</f>
        <v>4</v>
      </c>
      <c r="C1312" s="423" cm="1">
        <f t="array" ref="C1312">IF(B1312&gt;0,IF(VLOOKUP(C1306,'Boats Data Sheet 2026'!$C$3:$J$57,8,0)="N/A",0,VLOOKUP(C1306,'Boats Data Sheet 2026'!$C$3:$J$57,8,0)),"N/A")</f>
        <v>8000000</v>
      </c>
      <c r="D1312" s="429" cm="1">
        <f t="array" ref="D1312">IF(B1312&gt;7,2,IF(B1312=0,"N/A",1))</f>
        <v>1</v>
      </c>
      <c r="E1312" s="423" cm="1">
        <f t="array" ref="E1312">_xlfn.IFERROR(SUM('Direct Costs 2026'!$C$4:$C$5)*D1312,"N/A")</f>
        <v>875500</v>
      </c>
      <c r="F1312" s="423" cm="1">
        <f t="array" ref="F1312">_xlfn.IFERROR('Direct Costs 2026'!$C$43*B1312,"N/A")</f>
        <v>24000</v>
      </c>
      <c r="G1312" s="423" cm="1">
        <f t="array" ref="G1312">IF(B1312&gt;0,'Direct Costs 2026'!$C$25,"N/A")</f>
        <v>90000</v>
      </c>
      <c r="H1312" s="423" cm="1">
        <f t="array" ref="H1312">IF(B1312&gt;0,('Direct Costs 2026'!$C$15+'Direct Costs 2026'!$C$17+'Direct Costs 2026'!$C$14),"N/A")</f>
        <v>580000</v>
      </c>
      <c r="I1312" s="423" cm="1">
        <f t="array" ref="I1312">IF(B1312&gt;0,'Direct Costs 2026'!$C$19+'Direct Costs 2026'!$C$18*B1312,"N/A")</f>
        <v>215000</v>
      </c>
      <c r="J1312" s="423" cm="1">
        <f t="array" ref="J1312">IF(B1312&gt;0,SUM('Direct Costs 2026'!$C$20:$C$21),"N/A")</f>
        <v>98333.3333333333</v>
      </c>
      <c r="K1312" s="423" cm="1">
        <f t="array" ref="K1312">IF(B1312&gt;0,'Direct Costs 2026'!$C$26,"N/A")</f>
        <v>20000</v>
      </c>
      <c r="L1312" s="423" cm="1">
        <f t="array" ref="L1312">IF(B1312&gt;0,'Direct Costs 2026'!$C$23,"N/A")</f>
        <v>140000</v>
      </c>
      <c r="M1312" s="423" cm="1">
        <f t="array" ref="M1312">IF(B1312&gt;0,'Direct Costs 2026'!$C$45*B1312,"N/A")</f>
        <v>600000</v>
      </c>
      <c r="N1312" t="str" s="431" cm="1">
        <f t="array" ref="N1312">IF(B1312&gt;0,_xlfn.IFERROR(VLOOKUP(C1306,'Boats Data Sheet 2026'!$C$3:$I$57,7,0)*'Direct Costs 2026'!$C$36,"N/A"),"N/A")</f>
        <v>N/A</v>
      </c>
      <c r="O1312" t="str" s="431" cm="1">
        <f t="array" ref="O1312">IF(B1312&gt;0,IF(OR(VLOOKUP(C1306,'Boats Data Sheet 2026'!$C$3:$F$57,4,0)="Own",VLOOKUP(C1306,'Boats Data Sheet 2026'!$C$3:$F$57,4,0)="Management"),('Direct Costs 2026'!$C$37+'Direct Costs 2026'!$C$39),"N/A"),"N/A")</f>
        <v>N/A</v>
      </c>
      <c r="P1312" s="423" cm="1">
        <f t="array" ref="P1312">_xlfn.IFERROR('Direct Costs 2026'!$C$27*C1312,"N/A")</f>
        <v>160000</v>
      </c>
      <c r="Q1312" s="423" cm="1">
        <f t="array" ref="Q1312">_xlfn.IFERROR(C1312+SUM(E1312:P1312),"N/A")</f>
        <v>10802833.3333333</v>
      </c>
      <c r="R1312" s="424"/>
      <c r="S1312" s="423" cm="1">
        <f t="array" ref="S1312">IF(B1312&gt;0,'Allocation OH and Target 2026'!$E$31,"N/A")</f>
        <v>3100447.15769812</v>
      </c>
      <c r="T1312" s="423" cm="1">
        <f t="array" ref="T1312">IF(B1312&gt;0,VLOOKUP(C1306,'Allocation OH and Target 2026'!$C$35:$S$87,17,0),"N/A")</f>
        <v>0</v>
      </c>
      <c r="U1312" s="423" cm="1">
        <f t="array" ref="U1312">_xlfn.IFERROR((S1312+T1312),"N/A")</f>
        <v>3100447.15769812</v>
      </c>
      <c r="V1312" s="424"/>
      <c r="W1312" s="423" cm="1">
        <f t="array" ref="W1312">_xlfn.IFERROR(U1312+Q1312,"N/A")</f>
        <v>13903280.4910314</v>
      </c>
      <c r="X1312" s="423" cm="1">
        <f t="array" ref="X1312">_xlfn.IFERROR(W1312*0.5%,"N/A")</f>
        <v>69516.402455157</v>
      </c>
      <c r="Y1312" s="423" cm="1">
        <f t="array" ref="Y1312">_xlfn.IFERROR(W1312*25%,"N/A")</f>
        <v>3475820.12275785</v>
      </c>
      <c r="Z1312" s="425" cm="1">
        <f t="array" ref="Z1312">IF(B1312&gt;0,SUM(W1312:Y1312),"N/A")</f>
        <v>17448617.0162444</v>
      </c>
      <c r="AA1312" s="425" cm="1">
        <f t="array" ref="AA1312">_xlfn.IFERROR((Z1312-Z1311),"N/A")</f>
        <v>239705</v>
      </c>
      <c r="AB1312" s="424"/>
      <c r="AC1312" t="str" s="426" cm="1">
        <f t="array" ref="AC1312">IF(B1312=6,AVERAGE(Z1309:Z1314),"N/A")</f>
        <v>N/A</v>
      </c>
      <c r="AD1312" s="424"/>
      <c r="AE1312" s="423"/>
      <c r="AF1312" s="423"/>
      <c r="AG1312" s="423"/>
      <c r="AH1312" s="423"/>
      <c r="AI1312" s="423"/>
      <c r="AJ1312" s="423"/>
      <c r="AK1312" s="423"/>
      <c r="AL1312" s="423"/>
      <c r="AM1312" s="423"/>
      <c r="AN1312" s="427"/>
    </row>
    <row r="1313" ht="15" customHeight="1">
      <c r="A1313" s="12"/>
      <c r="B1313" s="428" cm="1">
        <f t="array" ref="B1313">IF(B1312=0,0,IF(B1312&lt;VLOOKUP(C1306,'Boats Data Sheet 2026'!$C$3:$H$57,6,0),B1312+1,0))</f>
        <v>5</v>
      </c>
      <c r="C1313" s="423" cm="1">
        <f t="array" ref="C1313">IF(B1313&gt;0,IF(VLOOKUP(C1306,'Boats Data Sheet 2026'!$C$3:$J$57,8,0)="N/A",0,VLOOKUP(C1306,'Boats Data Sheet 2026'!$C$3:$J$57,8,0)),"N/A")</f>
        <v>8000000</v>
      </c>
      <c r="D1313" s="429" cm="1">
        <f t="array" ref="D1313">IF(B1313&gt;7,2,IF(B1313=0,"N/A",1))</f>
        <v>1</v>
      </c>
      <c r="E1313" s="423" cm="1">
        <f t="array" ref="E1313">_xlfn.IFERROR(SUM('Direct Costs 2026'!$C$4:$C$5)*D1313,"N/A")</f>
        <v>875500</v>
      </c>
      <c r="F1313" s="423" cm="1">
        <f t="array" ref="F1313">_xlfn.IFERROR('Direct Costs 2026'!$C$43*B1313,"N/A")</f>
        <v>30000</v>
      </c>
      <c r="G1313" s="423" cm="1">
        <f t="array" ref="G1313">IF(B1313&gt;0,'Direct Costs 2026'!$C$25,"N/A")</f>
        <v>90000</v>
      </c>
      <c r="H1313" s="423" cm="1">
        <f t="array" ref="H1313">IF(B1313&gt;0,('Direct Costs 2026'!$C$15+'Direct Costs 2026'!$C$17+'Direct Costs 2026'!$C$14),"N/A")</f>
        <v>580000</v>
      </c>
      <c r="I1313" s="423" cm="1">
        <f t="array" ref="I1313">IF(B1313&gt;0,'Direct Costs 2026'!$C$19+'Direct Costs 2026'!$C$18*B1313,"N/A")</f>
        <v>250000</v>
      </c>
      <c r="J1313" s="423" cm="1">
        <f t="array" ref="J1313">IF(B1313&gt;0,SUM('Direct Costs 2026'!$C$20:$C$21),"N/A")</f>
        <v>98333.3333333333</v>
      </c>
      <c r="K1313" s="423" cm="1">
        <f t="array" ref="K1313">IF(B1313&gt;0,'Direct Costs 2026'!$C$26,"N/A")</f>
        <v>20000</v>
      </c>
      <c r="L1313" s="423" cm="1">
        <f t="array" ref="L1313">IF(B1313&gt;0,'Direct Costs 2026'!$C$23,"N/A")</f>
        <v>140000</v>
      </c>
      <c r="M1313" s="423" cm="1">
        <f t="array" ref="M1313">IF(B1313&gt;0,'Direct Costs 2026'!$C$45*B1313,"N/A")</f>
        <v>750000</v>
      </c>
      <c r="N1313" t="str" s="431" cm="1">
        <f t="array" ref="N1313">IF(B1313&gt;0,_xlfn.IFERROR(VLOOKUP(C1306,'Boats Data Sheet 2026'!$C$3:$I$57,7,0)*'Direct Costs 2026'!$C$36,"N/A"),"N/A")</f>
        <v>N/A</v>
      </c>
      <c r="O1313" t="str" s="431" cm="1">
        <f t="array" ref="O1313">IF(B1313&gt;0,IF(OR(VLOOKUP(C1306,'Boats Data Sheet 2026'!$C$3:$F$57,4,0)="Own",VLOOKUP(C1306,'Boats Data Sheet 2026'!$C$3:$F$57,4,0)="Management"),('Direct Costs 2026'!$C$37+'Direct Costs 2026'!$C$39),"N/A"),"N/A")</f>
        <v>N/A</v>
      </c>
      <c r="P1313" s="423" cm="1">
        <f t="array" ref="P1313">_xlfn.IFERROR('Direct Costs 2026'!$C$27*C1313,"N/A")</f>
        <v>160000</v>
      </c>
      <c r="Q1313" s="423" cm="1">
        <f t="array" ref="Q1313">_xlfn.IFERROR(C1313+SUM(E1313:P1313),"N/A")</f>
        <v>10993833.3333333</v>
      </c>
      <c r="R1313" s="424"/>
      <c r="S1313" s="423" cm="1">
        <f t="array" ref="S1313">IF(B1313&gt;0,'Allocation OH and Target 2026'!$E$31,"N/A")</f>
        <v>3100447.15769812</v>
      </c>
      <c r="T1313" s="423" cm="1">
        <f t="array" ref="T1313">IF(B1313&gt;0,VLOOKUP(C1306,'Allocation OH and Target 2026'!$C$35:$S$87,17,0),"N/A")</f>
        <v>0</v>
      </c>
      <c r="U1313" s="423" cm="1">
        <f t="array" ref="U1313">_xlfn.IFERROR((S1313+T1313),"N/A")</f>
        <v>3100447.15769812</v>
      </c>
      <c r="V1313" s="424"/>
      <c r="W1313" s="423" cm="1">
        <f t="array" ref="W1313">_xlfn.IFERROR(U1313+Q1313,"N/A")</f>
        <v>14094280.4910314</v>
      </c>
      <c r="X1313" s="423" cm="1">
        <f t="array" ref="X1313">_xlfn.IFERROR(W1313*0.5%,"N/A")</f>
        <v>70471.402455157</v>
      </c>
      <c r="Y1313" s="423" cm="1">
        <f t="array" ref="Y1313">_xlfn.IFERROR(W1313*25%,"N/A")</f>
        <v>3523570.12275785</v>
      </c>
      <c r="Z1313" s="425" cm="1">
        <f t="array" ref="Z1313">IF(B1313&gt;0,SUM(W1313:Y1313),"N/A")</f>
        <v>17688322.0162444</v>
      </c>
      <c r="AA1313" s="425" cm="1">
        <f t="array" ref="AA1313">_xlfn.IFERROR((Z1313-Z1312),"N/A")</f>
        <v>239705</v>
      </c>
      <c r="AB1313" s="424"/>
      <c r="AC1313" t="str" s="426" cm="1">
        <f t="array" ref="AC1313">IF(B1313=6,AVERAGE(Z1309:Z1314),"N/A")</f>
        <v>N/A</v>
      </c>
      <c r="AD1313" s="424"/>
      <c r="AE1313" s="423"/>
      <c r="AF1313" s="423"/>
      <c r="AG1313" s="423"/>
      <c r="AH1313" s="423"/>
      <c r="AI1313" s="423"/>
      <c r="AJ1313" s="423"/>
      <c r="AK1313" s="423"/>
      <c r="AL1313" s="423"/>
      <c r="AM1313" s="423"/>
      <c r="AN1313" s="427"/>
    </row>
    <row r="1314" ht="15" customHeight="1">
      <c r="A1314" s="12"/>
      <c r="B1314" s="428" cm="1">
        <f t="array" ref="B1314">IF(B1313=0,0,IF(B1313&lt;VLOOKUP(C1306,'Boats Data Sheet 2026'!$C$3:$H$57,6,0),B1313+1,0))</f>
        <v>6</v>
      </c>
      <c r="C1314" s="423" cm="1">
        <f t="array" ref="C1314">IF(B1314&gt;0,IF(VLOOKUP(C1306,'Boats Data Sheet 2026'!$C$3:$J$57,8,0)="N/A",0,VLOOKUP(C1306,'Boats Data Sheet 2026'!$C$3:$J$57,8,0)),"N/A")</f>
        <v>8000000</v>
      </c>
      <c r="D1314" s="429" cm="1">
        <f t="array" ref="D1314">IF(B1314&gt;7,2,IF(B1314=0,"N/A",1))</f>
        <v>1</v>
      </c>
      <c r="E1314" s="423" cm="1">
        <f t="array" ref="E1314">_xlfn.IFERROR(SUM('Direct Costs 2026'!$C$4:$C$5)*D1314,"N/A")</f>
        <v>875500</v>
      </c>
      <c r="F1314" s="423" cm="1">
        <f t="array" ref="F1314">_xlfn.IFERROR('Direct Costs 2026'!$C$43*B1314,"N/A")</f>
        <v>36000</v>
      </c>
      <c r="G1314" s="423" cm="1">
        <f t="array" ref="G1314">IF(B1314&gt;0,'Direct Costs 2026'!$C$25,"N/A")</f>
        <v>90000</v>
      </c>
      <c r="H1314" s="423" cm="1">
        <f t="array" ref="H1314">IF(B1314&gt;0,('Direct Costs 2026'!$C$15+'Direct Costs 2026'!$C$17+'Direct Costs 2026'!$C$14),"N/A")</f>
        <v>580000</v>
      </c>
      <c r="I1314" s="423" cm="1">
        <f t="array" ref="I1314">IF(B1314&gt;0,'Direct Costs 2026'!$C$19+'Direct Costs 2026'!$C$18*B1314,"N/A")</f>
        <v>285000</v>
      </c>
      <c r="J1314" s="423" cm="1">
        <f t="array" ref="J1314">IF(B1314&gt;0,SUM('Direct Costs 2026'!$C$20:$C$21),"N/A")</f>
        <v>98333.3333333333</v>
      </c>
      <c r="K1314" s="423" cm="1">
        <f t="array" ref="K1314">IF(B1314&gt;0,'Direct Costs 2026'!$C$26,"N/A")</f>
        <v>20000</v>
      </c>
      <c r="L1314" s="423" cm="1">
        <f t="array" ref="L1314">IF(B1314&gt;0,'Direct Costs 2026'!$C$23,"N/A")</f>
        <v>140000</v>
      </c>
      <c r="M1314" s="423" cm="1">
        <f t="array" ref="M1314">IF(B1314&gt;0,'Direct Costs 2026'!$C$45*B1314,"N/A")</f>
        <v>900000</v>
      </c>
      <c r="N1314" t="str" s="431" cm="1">
        <f t="array" ref="N1314">IF(B1314&gt;0,_xlfn.IFERROR(VLOOKUP(C1306,'Boats Data Sheet 2026'!$C$3:$I$57,7,0)*'Direct Costs 2026'!$C$36,"N/A"),"N/A")</f>
        <v>N/A</v>
      </c>
      <c r="O1314" t="str" s="431" cm="1">
        <f t="array" ref="O1314">IF(B1314&gt;0,IF(OR(VLOOKUP(C1306,'Boats Data Sheet 2026'!$C$3:$F$57,4,0)="Own",VLOOKUP(C1306,'Boats Data Sheet 2026'!$C$3:$F$57,4,0)="Management"),('Direct Costs 2026'!$C$37+'Direct Costs 2026'!$C$39),"N/A"),"N/A")</f>
        <v>N/A</v>
      </c>
      <c r="P1314" s="423" cm="1">
        <f t="array" ref="P1314">_xlfn.IFERROR('Direct Costs 2026'!$C$27*C1314,"N/A")</f>
        <v>160000</v>
      </c>
      <c r="Q1314" s="423" cm="1">
        <f t="array" ref="Q1314">_xlfn.IFERROR(C1314+SUM(E1314:P1314),"N/A")</f>
        <v>11184833.3333333</v>
      </c>
      <c r="R1314" s="424"/>
      <c r="S1314" s="423" cm="1">
        <f t="array" ref="S1314">IF(B1314&gt;0,'Allocation OH and Target 2026'!$E$31,"N/A")</f>
        <v>3100447.15769812</v>
      </c>
      <c r="T1314" s="423" cm="1">
        <f t="array" ref="T1314">IF(B1314&gt;0,VLOOKUP(C1306,'Allocation OH and Target 2026'!$C$35:$S$87,17,0),"N/A")</f>
        <v>0</v>
      </c>
      <c r="U1314" s="423" cm="1">
        <f t="array" ref="U1314">_xlfn.IFERROR((S1314+T1314),"N/A")</f>
        <v>3100447.15769812</v>
      </c>
      <c r="V1314" s="424"/>
      <c r="W1314" s="423" cm="1">
        <f t="array" ref="W1314">_xlfn.IFERROR(U1314+Q1314,"N/A")</f>
        <v>14285280.4910314</v>
      </c>
      <c r="X1314" s="423" cm="1">
        <f t="array" ref="X1314">_xlfn.IFERROR(W1314*0.5%,"N/A")</f>
        <v>71426.402455157</v>
      </c>
      <c r="Y1314" s="423" cm="1">
        <f t="array" ref="Y1314">_xlfn.IFERROR(W1314*25%,"N/A")</f>
        <v>3571320.12275785</v>
      </c>
      <c r="Z1314" s="425" cm="1">
        <f t="array" ref="Z1314">IF(B1314&gt;0,SUM(W1314:Y1314),"N/A")</f>
        <v>17928027.0162444</v>
      </c>
      <c r="AA1314" s="425" cm="1">
        <f t="array" ref="AA1314">_xlfn.IFERROR((Z1314-Z1313),"N/A")</f>
        <v>239705</v>
      </c>
      <c r="AB1314" s="424"/>
      <c r="AC1314" s="425" cm="1">
        <f t="array" ref="AC1314">IF(B1314=6,AVERAGE(Z1309:Z1314),"N/A")</f>
        <v>17328764.5162444</v>
      </c>
      <c r="AD1314" s="424"/>
      <c r="AE1314" s="512"/>
      <c r="AF1314" s="423"/>
      <c r="AG1314" s="423"/>
      <c r="AH1314" s="423"/>
      <c r="AI1314" s="423"/>
      <c r="AJ1314" s="423"/>
      <c r="AK1314" s="423"/>
      <c r="AL1314" s="423"/>
      <c r="AM1314" s="423"/>
      <c r="AN1314" s="427"/>
    </row>
    <row r="1315" ht="15" customHeight="1">
      <c r="A1315" s="12"/>
      <c r="B1315" s="428" cm="1">
        <f t="array" ref="B1315">IF(B1314=0,0,IF(B1314&lt;VLOOKUP(C1306,'Boats Data Sheet 2026'!$C$3:$H$57,6,0),B1314+1,0))</f>
        <v>7</v>
      </c>
      <c r="C1315" s="423" cm="1">
        <f t="array" ref="C1315">IF(B1315&gt;0,IF(VLOOKUP(C1306,'Boats Data Sheet 2026'!$C$3:$J$57,8,0)="N/A",0,VLOOKUP(C1306,'Boats Data Sheet 2026'!$C$3:$J$57,8,0)),"N/A")</f>
        <v>8000000</v>
      </c>
      <c r="D1315" s="429" cm="1">
        <f t="array" ref="D1315">IF(B1315&gt;7,2,IF(B1315=0,"N/A",1))</f>
        <v>1</v>
      </c>
      <c r="E1315" s="423" cm="1">
        <f t="array" ref="E1315">_xlfn.IFERROR(SUM('Direct Costs 2026'!$C$4:$C$5)*D1315,"N/A")</f>
        <v>875500</v>
      </c>
      <c r="F1315" s="423" cm="1">
        <f t="array" ref="F1315">_xlfn.IFERROR('Direct Costs 2026'!$C$43*B1315,"N/A")</f>
        <v>42000</v>
      </c>
      <c r="G1315" s="423" cm="1">
        <f t="array" ref="G1315">IF(B1315&gt;0,'Direct Costs 2026'!$C$25,"N/A")</f>
        <v>90000</v>
      </c>
      <c r="H1315" s="423" cm="1">
        <f t="array" ref="H1315">IF(B1315&gt;0,('Direct Costs 2026'!$C$15+'Direct Costs 2026'!$C$17+'Direct Costs 2026'!$C$14),"N/A")</f>
        <v>580000</v>
      </c>
      <c r="I1315" s="423" cm="1">
        <f t="array" ref="I1315">IF(B1315&gt;0,'Direct Costs 2026'!$C$19+'Direct Costs 2026'!$C$18*B1315,"N/A")</f>
        <v>320000</v>
      </c>
      <c r="J1315" s="423" cm="1">
        <f t="array" ref="J1315">IF(B1315&gt;0,SUM('Direct Costs 2026'!$C$20:$C$21),"N/A")</f>
        <v>98333.3333333333</v>
      </c>
      <c r="K1315" s="423" cm="1">
        <f t="array" ref="K1315">IF(B1315&gt;0,'Direct Costs 2026'!$C$26,"N/A")</f>
        <v>20000</v>
      </c>
      <c r="L1315" s="423" cm="1">
        <f t="array" ref="L1315">IF(B1315&gt;0,'Direct Costs 2026'!$C$23,"N/A")</f>
        <v>140000</v>
      </c>
      <c r="M1315" s="423" cm="1">
        <f t="array" ref="M1315">IF(B1315&gt;0,'Direct Costs 2026'!$C$45*B1315,"N/A")</f>
        <v>1050000</v>
      </c>
      <c r="N1315" t="str" s="431" cm="1">
        <f t="array" ref="N1315">IF(B1315&gt;0,_xlfn.IFERROR(VLOOKUP(C1306,'Boats Data Sheet 2026'!$C$3:$I$57,7,0)*'Direct Costs 2026'!$C$36,"N/A"),"N/A")</f>
        <v>N/A</v>
      </c>
      <c r="O1315" t="str" s="431" cm="1">
        <f t="array" ref="O1315">IF(B1315&gt;0,IF(OR(VLOOKUP(C1306,'Boats Data Sheet 2026'!$C$3:$F$57,4,0)="Own",VLOOKUP(C1306,'Boats Data Sheet 2026'!$C$3:$F$57,4,0)="Management"),('Direct Costs 2026'!$C$37+'Direct Costs 2026'!$C$39),"N/A"),"N/A")</f>
        <v>N/A</v>
      </c>
      <c r="P1315" s="423" cm="1">
        <f t="array" ref="P1315">_xlfn.IFERROR('Direct Costs 2026'!$C$27*C1315,"N/A")</f>
        <v>160000</v>
      </c>
      <c r="Q1315" s="423" cm="1">
        <f t="array" ref="Q1315">_xlfn.IFERROR(C1315+SUM(E1315:P1315),"N/A")</f>
        <v>11375833.3333333</v>
      </c>
      <c r="R1315" s="424"/>
      <c r="S1315" s="423" cm="1">
        <f t="array" ref="S1315">IF(B1315&gt;0,'Allocation OH and Target 2026'!$E$31,"N/A")</f>
        <v>3100447.15769812</v>
      </c>
      <c r="T1315" s="423" cm="1">
        <f t="array" ref="T1315">IF(B1315&gt;0,VLOOKUP(C1306,'Allocation OH and Target 2026'!$C$35:$S$87,17,0),"N/A")</f>
        <v>0</v>
      </c>
      <c r="U1315" s="423" cm="1">
        <f t="array" ref="U1315">_xlfn.IFERROR((S1315+T1315),"N/A")</f>
        <v>3100447.15769812</v>
      </c>
      <c r="V1315" s="424"/>
      <c r="W1315" s="423" cm="1">
        <f t="array" ref="W1315">_xlfn.IFERROR(U1315+Q1315,"N/A")</f>
        <v>14476280.4910314</v>
      </c>
      <c r="X1315" s="423" cm="1">
        <f t="array" ref="X1315">_xlfn.IFERROR(W1315*0.5%,"N/A")</f>
        <v>72381.402455157</v>
      </c>
      <c r="Y1315" s="423" cm="1">
        <f t="array" ref="Y1315">_xlfn.IFERROR(W1315*25%,"N/A")</f>
        <v>3619070.12275785</v>
      </c>
      <c r="Z1315" s="425" cm="1">
        <f t="array" ref="Z1315">IF(B1315&gt;0,SUM(W1315:Y1315),"N/A")</f>
        <v>18167732.0162444</v>
      </c>
      <c r="AA1315" s="425" cm="1">
        <f t="array" ref="AA1315">_xlfn.IFERROR((Z1315-Z1314),"N/A")</f>
        <v>239705</v>
      </c>
      <c r="AB1315" s="424"/>
      <c r="AC1315" t="str" s="426" cm="1">
        <f t="array" ref="AC1315">IF(B1315=6,AVERAGE(Z1309:Z1314),"N/A")</f>
        <v>N/A</v>
      </c>
      <c r="AD1315" s="424"/>
      <c r="AE1315" s="512"/>
      <c r="AF1315" s="423"/>
      <c r="AG1315" s="423"/>
      <c r="AH1315" s="423"/>
      <c r="AI1315" s="423"/>
      <c r="AJ1315" s="423"/>
      <c r="AK1315" s="423"/>
      <c r="AL1315" s="423"/>
      <c r="AM1315" s="423"/>
      <c r="AN1315" s="427"/>
    </row>
    <row r="1316" ht="15" customHeight="1">
      <c r="A1316" s="12"/>
      <c r="B1316" s="428" cm="1">
        <f t="array" ref="B1316">IF(B1315=0,0,IF(B1315&lt;VLOOKUP(C1306,'Boats Data Sheet 2026'!$C$3:$H$57,6,0),B1315+1,0))</f>
        <v>8</v>
      </c>
      <c r="C1316" s="423" cm="1">
        <f t="array" ref="C1316">IF(B1316&gt;0,IF(VLOOKUP(C1306,'Boats Data Sheet 2026'!$C$3:$J$57,8,0)="N/A",0,VLOOKUP(C1306,'Boats Data Sheet 2026'!$C$3:$J$57,8,0)),"N/A")</f>
        <v>8000000</v>
      </c>
      <c r="D1316" s="429" cm="1">
        <f t="array" ref="D1316">IF(B1316&gt;7,2,IF(B1316=0,"N/A",1))</f>
        <v>2</v>
      </c>
      <c r="E1316" s="423" cm="1">
        <f t="array" ref="E1316">_xlfn.IFERROR(SUM('Direct Costs 2026'!$C$4:$C$5)*D1316,"N/A")</f>
        <v>1751000</v>
      </c>
      <c r="F1316" s="423" cm="1">
        <f t="array" ref="F1316">_xlfn.IFERROR('Direct Costs 2026'!$C$43*B1316,"N/A")</f>
        <v>48000</v>
      </c>
      <c r="G1316" s="423" cm="1">
        <f t="array" ref="G1316">IF(B1316&gt;0,'Direct Costs 2026'!$C$25,"N/A")</f>
        <v>90000</v>
      </c>
      <c r="H1316" s="423" cm="1">
        <f t="array" ref="H1316">IF(B1316&gt;0,('Direct Costs 2026'!$C$15+'Direct Costs 2026'!$C$17+'Direct Costs 2026'!$C$14),"N/A")</f>
        <v>580000</v>
      </c>
      <c r="I1316" s="423" cm="1">
        <f t="array" ref="I1316">IF(B1316&gt;0,'Direct Costs 2026'!$C$19+'Direct Costs 2026'!$C$18*B1316,"N/A")</f>
        <v>355000</v>
      </c>
      <c r="J1316" s="423" cm="1">
        <f t="array" ref="J1316">IF(B1316&gt;0,SUM('Direct Costs 2026'!$C$20:$C$21),"N/A")</f>
        <v>98333.3333333333</v>
      </c>
      <c r="K1316" s="423" cm="1">
        <f t="array" ref="K1316">IF(B1316&gt;0,'Direct Costs 2026'!$C$26,"N/A")</f>
        <v>20000</v>
      </c>
      <c r="L1316" s="423" cm="1">
        <f t="array" ref="L1316">IF(B1316&gt;0,'Direct Costs 2026'!$C$23,"N/A")</f>
        <v>140000</v>
      </c>
      <c r="M1316" s="423" cm="1">
        <f t="array" ref="M1316">IF(B1316&gt;0,'Direct Costs 2026'!$C$45*B1316,"N/A")</f>
        <v>1200000</v>
      </c>
      <c r="N1316" t="str" s="431" cm="1">
        <f t="array" ref="N1316">IF(B1316&gt;0,_xlfn.IFERROR(VLOOKUP(C1306,'Boats Data Sheet 2026'!$C$3:$I$57,7,0)*'Direct Costs 2026'!$C$36,"N/A"),"N/A")</f>
        <v>N/A</v>
      </c>
      <c r="O1316" t="str" s="431" cm="1">
        <f t="array" ref="O1316">IF(B1316&gt;0,IF(OR(VLOOKUP(C1306,'Boats Data Sheet 2026'!$C$3:$F$57,4,0)="Own",VLOOKUP(C1306,'Boats Data Sheet 2026'!$C$3:$F$57,4,0)="Management"),('Direct Costs 2026'!$C$37+'Direct Costs 2026'!$C$39),"N/A"),"N/A")</f>
        <v>N/A</v>
      </c>
      <c r="P1316" s="423" cm="1">
        <f t="array" ref="P1316">_xlfn.IFERROR('Direct Costs 2026'!$C$27*C1316,"N/A")</f>
        <v>160000</v>
      </c>
      <c r="Q1316" s="423" cm="1">
        <f t="array" ref="Q1316">_xlfn.IFERROR(C1316+SUM(E1316:P1316),"N/A")</f>
        <v>12442333.3333333</v>
      </c>
      <c r="R1316" s="424"/>
      <c r="S1316" s="423" cm="1">
        <f t="array" ref="S1316">IF(B1316&gt;0,'Allocation OH and Target 2026'!$E$31,"N/A")</f>
        <v>3100447.15769812</v>
      </c>
      <c r="T1316" s="423" cm="1">
        <f t="array" ref="T1316">IF(B1316&gt;0,VLOOKUP(C1306,'Allocation OH and Target 2026'!$C$35:$S$87,17,0),"N/A")</f>
        <v>0</v>
      </c>
      <c r="U1316" s="423" cm="1">
        <f t="array" ref="U1316">_xlfn.IFERROR((S1316+T1316),"N/A")</f>
        <v>3100447.15769812</v>
      </c>
      <c r="V1316" s="424"/>
      <c r="W1316" s="423" cm="1">
        <f t="array" ref="W1316">_xlfn.IFERROR(U1316+Q1316,"N/A")</f>
        <v>15542780.4910314</v>
      </c>
      <c r="X1316" s="423" cm="1">
        <f t="array" ref="X1316">_xlfn.IFERROR(W1316*0.5%,"N/A")</f>
        <v>77713.902455157</v>
      </c>
      <c r="Y1316" s="423" cm="1">
        <f t="array" ref="Y1316">_xlfn.IFERROR(W1316*25%,"N/A")</f>
        <v>3885695.12275785</v>
      </c>
      <c r="Z1316" s="425" cm="1">
        <f t="array" ref="Z1316">IF(B1316&gt;0,SUM(W1316:Y1316),"N/A")</f>
        <v>19506189.5162444</v>
      </c>
      <c r="AA1316" s="425" cm="1">
        <f t="array" ref="AA1316">_xlfn.IFERROR((Z1316-Z1315),"N/A")</f>
        <v>1338457.5</v>
      </c>
      <c r="AB1316" s="424"/>
      <c r="AC1316" t="str" s="426" cm="1">
        <f t="array" ref="AC1316">IF(B1316=6,AVERAGE(Z1309:Z1314),"N/A")</f>
        <v>N/A</v>
      </c>
      <c r="AD1316" s="424"/>
      <c r="AE1316" s="512"/>
      <c r="AF1316" s="423"/>
      <c r="AG1316" s="423"/>
      <c r="AH1316" s="423"/>
      <c r="AI1316" s="423"/>
      <c r="AJ1316" s="423"/>
      <c r="AK1316" s="423"/>
      <c r="AL1316" s="423"/>
      <c r="AM1316" s="423"/>
      <c r="AN1316" s="427"/>
    </row>
    <row r="1317" ht="15" customHeight="1">
      <c r="A1317" s="12"/>
      <c r="B1317" s="428" cm="1">
        <f t="array" ref="B1317">IF(B1316=0,0,IF(B1316&lt;VLOOKUP(C1306,'Boats Data Sheet 2026'!$C$3:$H$57,6,0),B1316+1,0))</f>
        <v>9</v>
      </c>
      <c r="C1317" s="423" cm="1">
        <f t="array" ref="C1317">IF(B1317&gt;0,IF(VLOOKUP(C1306,'Boats Data Sheet 2026'!$C$3:$J$57,8,0)="N/A",0,VLOOKUP(C1306,'Boats Data Sheet 2026'!$C$3:$J$57,8,0)),"N/A")</f>
        <v>8000000</v>
      </c>
      <c r="D1317" s="429" cm="1">
        <f t="array" ref="D1317">IF(B1317&gt;7,2,IF(B1317=0,"N/A",1))</f>
        <v>2</v>
      </c>
      <c r="E1317" s="423" cm="1">
        <f t="array" ref="E1317">_xlfn.IFERROR(SUM('Direct Costs 2026'!$C$4:$C$5)*D1317,"N/A")</f>
        <v>1751000</v>
      </c>
      <c r="F1317" s="423" cm="1">
        <f t="array" ref="F1317">_xlfn.IFERROR('Direct Costs 2026'!$C$43*B1317,"N/A")</f>
        <v>54000</v>
      </c>
      <c r="G1317" s="423" cm="1">
        <f t="array" ref="G1317">IF(B1317&gt;0,'Direct Costs 2026'!$C$25,"N/A")</f>
        <v>90000</v>
      </c>
      <c r="H1317" s="423" cm="1">
        <f t="array" ref="H1317">IF(B1317&gt;0,('Direct Costs 2026'!$C$15+'Direct Costs 2026'!$C$17+'Direct Costs 2026'!$C$14),"N/A")</f>
        <v>580000</v>
      </c>
      <c r="I1317" s="423" cm="1">
        <f t="array" ref="I1317">IF(B1317&gt;0,'Direct Costs 2026'!$C$19+'Direct Costs 2026'!$C$18*B1317,"N/A")</f>
        <v>390000</v>
      </c>
      <c r="J1317" s="423" cm="1">
        <f t="array" ref="J1317">IF(B1317&gt;0,SUM('Direct Costs 2026'!$C$20:$C$21),"N/A")</f>
        <v>98333.3333333333</v>
      </c>
      <c r="K1317" s="423" cm="1">
        <f t="array" ref="K1317">IF(B1317&gt;0,'Direct Costs 2026'!$C$26,"N/A")</f>
        <v>20000</v>
      </c>
      <c r="L1317" s="423" cm="1">
        <f t="array" ref="L1317">IF(B1317&gt;0,'Direct Costs 2026'!$C$23,"N/A")</f>
        <v>140000</v>
      </c>
      <c r="M1317" s="423" cm="1">
        <f t="array" ref="M1317">IF(B1317&gt;0,'Direct Costs 2026'!$C$45*B1317,"N/A")</f>
        <v>1350000</v>
      </c>
      <c r="N1317" t="str" s="431" cm="1">
        <f t="array" ref="N1317">IF(B1317&gt;0,_xlfn.IFERROR(VLOOKUP(C1306,'Boats Data Sheet 2026'!$C$3:$I$57,7,0)*'Direct Costs 2026'!$C$36,"N/A"),"N/A")</f>
        <v>N/A</v>
      </c>
      <c r="O1317" t="str" s="431" cm="1">
        <f t="array" ref="O1317">IF(B1317&gt;0,IF(OR(VLOOKUP(C1306,'Boats Data Sheet 2026'!$C$3:$F$57,4,0)="Own",VLOOKUP(C1306,'Boats Data Sheet 2026'!$C$3:$F$57,4,0)="Management"),('Direct Costs 2026'!$C$37+'Direct Costs 2026'!$C$39),"N/A"),"N/A")</f>
        <v>N/A</v>
      </c>
      <c r="P1317" s="423" cm="1">
        <f t="array" ref="P1317">_xlfn.IFERROR('Direct Costs 2026'!$C$27*C1317,"N/A")</f>
        <v>160000</v>
      </c>
      <c r="Q1317" s="423" cm="1">
        <f t="array" ref="Q1317">_xlfn.IFERROR(C1317+SUM(E1317:P1317),"N/A")</f>
        <v>12633333.3333333</v>
      </c>
      <c r="R1317" s="424"/>
      <c r="S1317" s="423" cm="1">
        <f t="array" ref="S1317">IF(B1317&gt;0,'Allocation OH and Target 2026'!$E$31,"N/A")</f>
        <v>3100447.15769812</v>
      </c>
      <c r="T1317" s="423" cm="1">
        <f t="array" ref="T1317">IF(B1317&gt;0,VLOOKUP(C1306,'Allocation OH and Target 2026'!$C$35:$S$87,17,0),"N/A")</f>
        <v>0</v>
      </c>
      <c r="U1317" s="423" cm="1">
        <f t="array" ref="U1317">_xlfn.IFERROR((S1317+T1317),"N/A")</f>
        <v>3100447.15769812</v>
      </c>
      <c r="V1317" s="424"/>
      <c r="W1317" s="423" cm="1">
        <f t="array" ref="W1317">_xlfn.IFERROR(U1317+Q1317,"N/A")</f>
        <v>15733780.4910314</v>
      </c>
      <c r="X1317" s="423" cm="1">
        <f t="array" ref="X1317">_xlfn.IFERROR(W1317*0.5%,"N/A")</f>
        <v>78668.902455157</v>
      </c>
      <c r="Y1317" s="423" cm="1">
        <f t="array" ref="Y1317">_xlfn.IFERROR(W1317*25%,"N/A")</f>
        <v>3933445.12275785</v>
      </c>
      <c r="Z1317" s="425" cm="1">
        <f t="array" ref="Z1317">IF(B1317&gt;0,SUM(W1317:Y1317),"N/A")</f>
        <v>19745894.5162444</v>
      </c>
      <c r="AA1317" s="425" cm="1">
        <f t="array" ref="AA1317">_xlfn.IFERROR((Z1317-Z1316),"N/A")</f>
        <v>239705</v>
      </c>
      <c r="AB1317" s="424"/>
      <c r="AC1317" t="str" s="426" cm="1">
        <f t="array" ref="AC1317">IF(B1317=6,AVERAGE(Z1309:Z1314),"N/A")</f>
        <v>N/A</v>
      </c>
      <c r="AD1317" s="424"/>
      <c r="AE1317" s="513"/>
      <c r="AF1317" s="425"/>
      <c r="AG1317" s="423"/>
      <c r="AH1317" s="423"/>
      <c r="AI1317" s="423"/>
      <c r="AJ1317" s="423"/>
      <c r="AK1317" s="423"/>
      <c r="AL1317" s="423"/>
      <c r="AM1317" s="423"/>
      <c r="AN1317" s="427"/>
    </row>
    <row r="1318" ht="15" customHeight="1">
      <c r="A1318" s="12"/>
      <c r="B1318" s="428" cm="1">
        <f t="array" ref="B1318">IF(B1317=0,0,IF(B1317&lt;VLOOKUP(C1306,'Boats Data Sheet 2026'!$C$3:$H$57,6,0),B1317+1,0))</f>
        <v>10</v>
      </c>
      <c r="C1318" s="423" cm="1">
        <f t="array" ref="C1318">IF(B1318&gt;0,IF(VLOOKUP(C1306,'Boats Data Sheet 2026'!$C$3:$J$57,8,0)="N/A",0,VLOOKUP(C1306,'Boats Data Sheet 2026'!$C$3:$J$57,8,0)),"N/A")</f>
        <v>8000000</v>
      </c>
      <c r="D1318" s="429" cm="1">
        <f t="array" ref="D1318">IF(B1318&gt;7,2,IF(B1318=0,"N/A",1))</f>
        <v>2</v>
      </c>
      <c r="E1318" s="423" cm="1">
        <f t="array" ref="E1318">_xlfn.IFERROR(SUM('Direct Costs 2026'!$C$4:$C$5)*D1318,"N/A")</f>
        <v>1751000</v>
      </c>
      <c r="F1318" s="423" cm="1">
        <f t="array" ref="F1318">_xlfn.IFERROR('Direct Costs 2026'!$C$43*B1318,"N/A")</f>
        <v>60000</v>
      </c>
      <c r="G1318" s="423" cm="1">
        <f t="array" ref="G1318">IF(B1318&gt;0,'Direct Costs 2026'!$C$25,"N/A")</f>
        <v>90000</v>
      </c>
      <c r="H1318" s="423" cm="1">
        <f t="array" ref="H1318">IF(B1318&gt;0,('Direct Costs 2026'!$C$15+'Direct Costs 2026'!$C$17+'Direct Costs 2026'!$C$14),"N/A")</f>
        <v>580000</v>
      </c>
      <c r="I1318" s="423" cm="1">
        <f t="array" ref="I1318">IF(B1318&gt;0,'Direct Costs 2026'!$C$19+'Direct Costs 2026'!$C$18*B1318,"N/A")</f>
        <v>425000</v>
      </c>
      <c r="J1318" s="423" cm="1">
        <f t="array" ref="J1318">IF(B1318&gt;0,SUM('Direct Costs 2026'!$C$20:$C$21),"N/A")</f>
        <v>98333.3333333333</v>
      </c>
      <c r="K1318" s="423" cm="1">
        <f t="array" ref="K1318">IF(B1318&gt;0,'Direct Costs 2026'!$C$26,"N/A")</f>
        <v>20000</v>
      </c>
      <c r="L1318" s="423" cm="1">
        <f t="array" ref="L1318">IF(B1318&gt;0,'Direct Costs 2026'!$C$23,"N/A")</f>
        <v>140000</v>
      </c>
      <c r="M1318" s="423" cm="1">
        <f t="array" ref="M1318">IF(B1318&gt;0,'Direct Costs 2026'!$C$45*B1318,"N/A")</f>
        <v>1500000</v>
      </c>
      <c r="N1318" t="str" s="431" cm="1">
        <f t="array" ref="N1318">IF(B1318&gt;0,_xlfn.IFERROR(VLOOKUP(C1306,'Boats Data Sheet 2026'!$C$3:$I$57,7,0)*'Direct Costs 2026'!$C$36,"N/A"),"N/A")</f>
        <v>N/A</v>
      </c>
      <c r="O1318" t="str" s="431" cm="1">
        <f t="array" ref="O1318">IF(B1318&gt;0,IF(OR(VLOOKUP(C1306,'Boats Data Sheet 2026'!$C$3:$F$57,4,0)="Own",VLOOKUP(C1306,'Boats Data Sheet 2026'!$C$3:$F$57,4,0)="Management"),('Direct Costs 2026'!$C$37+'Direct Costs 2026'!$C$39),"N/A"),"N/A")</f>
        <v>N/A</v>
      </c>
      <c r="P1318" s="423" cm="1">
        <f t="array" ref="P1318">_xlfn.IFERROR('Direct Costs 2026'!$C$27*C1318,"N/A")</f>
        <v>160000</v>
      </c>
      <c r="Q1318" s="423" cm="1">
        <f t="array" ref="Q1318">_xlfn.IFERROR(C1318+SUM(E1318:P1318),"N/A")</f>
        <v>12824333.3333333</v>
      </c>
      <c r="R1318" s="424"/>
      <c r="S1318" s="423" cm="1">
        <f t="array" ref="S1318">IF(B1318&gt;0,'Allocation OH and Target 2026'!$E$31,"N/A")</f>
        <v>3100447.15769812</v>
      </c>
      <c r="T1318" s="423" cm="1">
        <f t="array" ref="T1318">IF(B1318&gt;0,VLOOKUP(C1306,'Allocation OH and Target 2026'!$C$35:$S$87,17,0),"N/A")</f>
        <v>0</v>
      </c>
      <c r="U1318" s="423" cm="1">
        <f t="array" ref="U1318">_xlfn.IFERROR((S1318+T1318),"N/A")</f>
        <v>3100447.15769812</v>
      </c>
      <c r="V1318" s="424"/>
      <c r="W1318" s="423" cm="1">
        <f t="array" ref="W1318">_xlfn.IFERROR(U1318+Q1318,"N/A")</f>
        <v>15924780.4910314</v>
      </c>
      <c r="X1318" s="423" cm="1">
        <f t="array" ref="X1318">_xlfn.IFERROR(W1318*0.5%,"N/A")</f>
        <v>79623.902455157</v>
      </c>
      <c r="Y1318" s="423" cm="1">
        <f t="array" ref="Y1318">_xlfn.IFERROR(W1318*25%,"N/A")</f>
        <v>3981195.12275785</v>
      </c>
      <c r="Z1318" s="425" cm="1">
        <f t="array" ref="Z1318">IF(B1318&gt;0,SUM(W1318:Y1318),"N/A")</f>
        <v>19985599.5162444</v>
      </c>
      <c r="AA1318" s="425" cm="1">
        <f t="array" ref="AA1318">_xlfn.IFERROR((Z1318-Z1317),"N/A")</f>
        <v>239705</v>
      </c>
      <c r="AB1318" s="424"/>
      <c r="AC1318" t="str" s="426" cm="1">
        <f t="array" ref="AC1318">IF(B1318=6,AVERAGE(Z1309:Z1314),"N/A")</f>
        <v>N/A</v>
      </c>
      <c r="AD1318" s="424"/>
      <c r="AE1318" s="423"/>
      <c r="AF1318" s="423"/>
      <c r="AG1318" s="423"/>
      <c r="AH1318" s="423"/>
      <c r="AI1318" s="423"/>
      <c r="AJ1318" s="423"/>
      <c r="AK1318" s="423"/>
      <c r="AL1318" s="423"/>
      <c r="AM1318" s="423"/>
      <c r="AN1318" s="427"/>
    </row>
    <row r="1319" ht="15" customHeight="1">
      <c r="A1319" s="12"/>
      <c r="B1319" s="428" cm="1">
        <f t="array" ref="B1319">IF(B1318=0,0,IF(B1318&lt;VLOOKUP(C1306,'Boats Data Sheet 2026'!$C$3:$H$57,6,0),B1318+1,0))</f>
        <v>11</v>
      </c>
      <c r="C1319" s="423" cm="1">
        <f t="array" ref="C1319">IF(B1319&gt;0,IF(VLOOKUP(C1306,'Boats Data Sheet 2026'!$C$3:$J$57,8,0)="N/A",0,VLOOKUP(C1306,'Boats Data Sheet 2026'!$C$3:$J$57,8,0)),"N/A")</f>
        <v>8000000</v>
      </c>
      <c r="D1319" s="429" cm="1">
        <f t="array" ref="D1319">IF(B1319&gt;7,2,IF(B1319=0,"N/A",1))</f>
        <v>2</v>
      </c>
      <c r="E1319" s="423" cm="1">
        <f t="array" ref="E1319">_xlfn.IFERROR(SUM('Direct Costs 2026'!$C$4:$C$5)*D1319,"N/A")</f>
        <v>1751000</v>
      </c>
      <c r="F1319" s="423" cm="1">
        <f t="array" ref="F1319">_xlfn.IFERROR('Direct Costs 2026'!$C$43*B1319,"N/A")</f>
        <v>66000</v>
      </c>
      <c r="G1319" s="423" cm="1">
        <f t="array" ref="G1319">IF(B1319&gt;0,'Direct Costs 2026'!$C$25,"N/A")</f>
        <v>90000</v>
      </c>
      <c r="H1319" s="423" cm="1">
        <f t="array" ref="H1319">IF(B1319&gt;0,('Direct Costs 2026'!$C$15+'Direct Costs 2026'!$C$17+'Direct Costs 2026'!$C$14),"N/A")</f>
        <v>580000</v>
      </c>
      <c r="I1319" s="423" cm="1">
        <f t="array" ref="I1319">IF(B1319&gt;0,'Direct Costs 2026'!$C$19+'Direct Costs 2026'!$C$18*B1319,"N/A")</f>
        <v>460000</v>
      </c>
      <c r="J1319" s="423" cm="1">
        <f t="array" ref="J1319">IF(B1319&gt;0,SUM('Direct Costs 2026'!$C$20:$C$21),"N/A")</f>
        <v>98333.3333333333</v>
      </c>
      <c r="K1319" s="423" cm="1">
        <f t="array" ref="K1319">IF(B1319&gt;0,'Direct Costs 2026'!$C$26,"N/A")</f>
        <v>20000</v>
      </c>
      <c r="L1319" s="423" cm="1">
        <f t="array" ref="L1319">IF(B1319&gt;0,'Direct Costs 2026'!$C$23,"N/A")</f>
        <v>140000</v>
      </c>
      <c r="M1319" s="423" cm="1">
        <f t="array" ref="M1319">IF(B1319&gt;0,'Direct Costs 2026'!$C$45*B1319,"N/A")</f>
        <v>1650000</v>
      </c>
      <c r="N1319" t="str" s="431" cm="1">
        <f t="array" ref="N1319">IF(B1319&gt;0,_xlfn.IFERROR(VLOOKUP(C1306,'Boats Data Sheet 2026'!$C$3:$I$57,7,0)*'Direct Costs 2026'!$C$36,"N/A"),"N/A")</f>
        <v>N/A</v>
      </c>
      <c r="O1319" t="str" s="431" cm="1">
        <f t="array" ref="O1319">IF(B1319&gt;0,IF(OR(VLOOKUP(C1306,'Boats Data Sheet 2026'!$C$3:$F$57,4,0)="Own",VLOOKUP(C1306,'Boats Data Sheet 2026'!$C$3:$F$57,4,0)="Management"),('Direct Costs 2026'!$C$37+'Direct Costs 2026'!$C$39),"N/A"),"N/A")</f>
        <v>N/A</v>
      </c>
      <c r="P1319" s="423" cm="1">
        <f t="array" ref="P1319">_xlfn.IFERROR('Direct Costs 2026'!$C$27*C1319,"N/A")</f>
        <v>160000</v>
      </c>
      <c r="Q1319" s="423" cm="1">
        <f t="array" ref="Q1319">_xlfn.IFERROR(C1319+SUM(E1319:P1319),"N/A")</f>
        <v>13015333.3333333</v>
      </c>
      <c r="R1319" s="424"/>
      <c r="S1319" s="423" cm="1">
        <f t="array" ref="S1319">IF(B1319&gt;0,'Allocation OH and Target 2026'!$E$31,"N/A")</f>
        <v>3100447.15769812</v>
      </c>
      <c r="T1319" s="423" cm="1">
        <f t="array" ref="T1319">IF(B1319&gt;0,VLOOKUP(C1306,'Allocation OH and Target 2026'!$C$35:$S$87,17,0),"N/A")</f>
        <v>0</v>
      </c>
      <c r="U1319" s="423" cm="1">
        <f t="array" ref="U1319">_xlfn.IFERROR((S1319+T1319),"N/A")</f>
        <v>3100447.15769812</v>
      </c>
      <c r="V1319" s="424"/>
      <c r="W1319" s="423" cm="1">
        <f t="array" ref="W1319">_xlfn.IFERROR(U1319+Q1319,"N/A")</f>
        <v>16115780.4910314</v>
      </c>
      <c r="X1319" s="423" cm="1">
        <f t="array" ref="X1319">_xlfn.IFERROR(W1319*0.5%,"N/A")</f>
        <v>80578.902455157</v>
      </c>
      <c r="Y1319" s="423" cm="1">
        <f t="array" ref="Y1319">_xlfn.IFERROR(W1319*25%,"N/A")</f>
        <v>4028945.12275785</v>
      </c>
      <c r="Z1319" s="425" cm="1">
        <f t="array" ref="Z1319">IF(B1319&gt;0,SUM(W1319:Y1319),"N/A")</f>
        <v>20225304.5162444</v>
      </c>
      <c r="AA1319" s="425" cm="1">
        <f t="array" ref="AA1319">_xlfn.IFERROR((Z1319-Z1318),"N/A")</f>
        <v>239705</v>
      </c>
      <c r="AB1319" s="424"/>
      <c r="AC1319" t="str" s="426" cm="1">
        <f t="array" ref="AC1319">IF(B1319=6,AVERAGE(Z1309:Z1314),"N/A")</f>
        <v>N/A</v>
      </c>
      <c r="AD1319" s="424"/>
      <c r="AE1319" s="423"/>
      <c r="AF1319" s="423"/>
      <c r="AG1319" s="423"/>
      <c r="AH1319" s="423"/>
      <c r="AI1319" s="423"/>
      <c r="AJ1319" s="423"/>
      <c r="AK1319" s="423"/>
      <c r="AL1319" s="423"/>
      <c r="AM1319" s="423"/>
      <c r="AN1319" s="427"/>
    </row>
    <row r="1320" ht="15" customHeight="1">
      <c r="A1320" s="12"/>
      <c r="B1320" s="428" cm="1">
        <f t="array" ref="B1320">IF(B1319=0,0,IF(B1319&lt;VLOOKUP(C1306,'Boats Data Sheet 2026'!$C$3:$H$57,6,0),B1319+1,0))</f>
        <v>12</v>
      </c>
      <c r="C1320" s="423" cm="1">
        <f t="array" ref="C1320">IF(B1320&gt;0,IF(VLOOKUP(C1306,'Boats Data Sheet 2026'!$C$3:$J$57,8,0)="N/A",0,VLOOKUP(C1306,'Boats Data Sheet 2026'!$C$3:$J$57,8,0)),"N/A")</f>
        <v>8000000</v>
      </c>
      <c r="D1320" s="429" cm="1">
        <f t="array" ref="D1320">IF(B1320&gt;7,2,IF(B1320=0,"N/A",1))</f>
        <v>2</v>
      </c>
      <c r="E1320" s="423" cm="1">
        <f t="array" ref="E1320">_xlfn.IFERROR(SUM('Direct Costs 2026'!$C$4:$C$5)*D1320,"N/A")</f>
        <v>1751000</v>
      </c>
      <c r="F1320" s="423" cm="1">
        <f t="array" ref="F1320">_xlfn.IFERROR('Direct Costs 2026'!$C$43*B1320,"N/A")</f>
        <v>72000</v>
      </c>
      <c r="G1320" s="423" cm="1">
        <f t="array" ref="G1320">IF(B1320&gt;0,'Direct Costs 2026'!$C$25,"N/A")</f>
        <v>90000</v>
      </c>
      <c r="H1320" s="423" cm="1">
        <f t="array" ref="H1320">IF(B1320&gt;0,('Direct Costs 2026'!$C$15+'Direct Costs 2026'!$C$17+'Direct Costs 2026'!$C$14),"N/A")</f>
        <v>580000</v>
      </c>
      <c r="I1320" s="423" cm="1">
        <f t="array" ref="I1320">IF(B1320&gt;0,'Direct Costs 2026'!$C$19+'Direct Costs 2026'!$C$18*B1320,"N/A")</f>
        <v>495000</v>
      </c>
      <c r="J1320" s="423" cm="1">
        <f t="array" ref="J1320">IF(B1320&gt;0,SUM('Direct Costs 2026'!$C$20:$C$21),"N/A")</f>
        <v>98333.3333333333</v>
      </c>
      <c r="K1320" s="423" cm="1">
        <f t="array" ref="K1320">IF(B1320&gt;0,'Direct Costs 2026'!$C$26,"N/A")</f>
        <v>20000</v>
      </c>
      <c r="L1320" s="423" cm="1">
        <f t="array" ref="L1320">IF(B1320&gt;0,'Direct Costs 2026'!$C$23,"N/A")</f>
        <v>140000</v>
      </c>
      <c r="M1320" s="423" cm="1">
        <f t="array" ref="M1320">IF(B1320&gt;0,'Direct Costs 2026'!$C$45*B1320,"N/A")</f>
        <v>1800000</v>
      </c>
      <c r="N1320" t="str" s="431" cm="1">
        <f t="array" ref="N1320">IF(B1320&gt;0,_xlfn.IFERROR(VLOOKUP(C1306,'Boats Data Sheet 2026'!$C$3:$I$57,7,0)*'Direct Costs 2026'!$C$36,"N/A"),"N/A")</f>
        <v>N/A</v>
      </c>
      <c r="O1320" t="str" s="431" cm="1">
        <f t="array" ref="O1320">IF(B1320&gt;0,IF(OR(VLOOKUP(C1306,'Boats Data Sheet 2026'!$C$3:$F$57,4,0)="Own",VLOOKUP(C1306,'Boats Data Sheet 2026'!$C$3:$F$57,4,0)="Management"),('Direct Costs 2026'!$C$37+'Direct Costs 2026'!$C$39),"N/A"),"N/A")</f>
        <v>N/A</v>
      </c>
      <c r="P1320" s="423" cm="1">
        <f t="array" ref="P1320">_xlfn.IFERROR('Direct Costs 2026'!$C$27*C1320,"N/A")</f>
        <v>160000</v>
      </c>
      <c r="Q1320" s="423" cm="1">
        <f t="array" ref="Q1320">_xlfn.IFERROR(C1320+SUM(E1320:P1320),"N/A")</f>
        <v>13206333.3333333</v>
      </c>
      <c r="R1320" s="424"/>
      <c r="S1320" s="423" cm="1">
        <f t="array" ref="S1320">IF(B1320&gt;0,'Allocation OH and Target 2026'!$E$31,"N/A")</f>
        <v>3100447.15769812</v>
      </c>
      <c r="T1320" s="423" cm="1">
        <f t="array" ref="T1320">IF(B1321&gt;0,VLOOKUP(C1306,'Allocation OH and Target 2026'!$C$35:$S$87,17,0),"N/A")</f>
        <v>0</v>
      </c>
      <c r="U1320" s="423" cm="1">
        <f t="array" ref="U1320">_xlfn.IFERROR((S1320+T1320),"N/A")</f>
        <v>3100447.15769812</v>
      </c>
      <c r="V1320" s="424"/>
      <c r="W1320" s="423" cm="1">
        <f t="array" ref="W1320">_xlfn.IFERROR(U1320+Q1320,"N/A")</f>
        <v>16306780.4910314</v>
      </c>
      <c r="X1320" s="423" cm="1">
        <f t="array" ref="X1320">_xlfn.IFERROR(W1320*0.5%,"N/A")</f>
        <v>81533.902455157</v>
      </c>
      <c r="Y1320" s="423" cm="1">
        <f t="array" ref="Y1320">_xlfn.IFERROR(W1320*25%,"N/A")</f>
        <v>4076695.12275785</v>
      </c>
      <c r="Z1320" s="425" cm="1">
        <f t="array" ref="Z1320">IF(B1320&gt;0,SUM(W1320:Y1320),"N/A")</f>
        <v>20465009.5162444</v>
      </c>
      <c r="AA1320" s="425" cm="1">
        <f t="array" ref="AA1320">_xlfn.IFERROR((Z1320-Z1319),"N/A")</f>
        <v>239705</v>
      </c>
      <c r="AB1320" s="424"/>
      <c r="AC1320" t="str" s="426" cm="1">
        <f t="array" ref="AC1320">IF(B1320=6,AVERAGE(Z1309:Z1314),"N/A")</f>
        <v>N/A</v>
      </c>
      <c r="AD1320" s="424"/>
      <c r="AE1320" s="423"/>
      <c r="AF1320" s="423"/>
      <c r="AG1320" s="423"/>
      <c r="AH1320" s="423"/>
      <c r="AI1320" s="423"/>
      <c r="AJ1320" s="423"/>
      <c r="AK1320" s="423"/>
      <c r="AL1320" s="423"/>
      <c r="AM1320" s="423"/>
      <c r="AN1320" s="427"/>
    </row>
    <row r="1321" ht="15" customHeight="1">
      <c r="A1321" s="12"/>
      <c r="B1321" s="428" cm="1">
        <f t="array" ref="B1321">IF(B1320=0,0,IF(B1320&lt;VLOOKUP(C1306,'Boats Data Sheet 2026'!$C$3:$H$57,6,0),B1320+1,0))</f>
        <v>13</v>
      </c>
      <c r="C1321" s="423" cm="1">
        <f t="array" ref="C1321">IF(B1321&gt;0,IF(VLOOKUP(C1306,'Boats Data Sheet 2026'!$C$3:$J$57,8,0)="N/A",0,VLOOKUP(C1306,'Boats Data Sheet 2026'!$C$3:$J$57,8,0)),"N/A")</f>
        <v>8000000</v>
      </c>
      <c r="D1321" s="429" cm="1">
        <f t="array" ref="D1321">IF(B1321&gt;7,2,IF(B1321=0,"N/A",1))</f>
        <v>2</v>
      </c>
      <c r="E1321" s="423" cm="1">
        <f t="array" ref="E1321">_xlfn.IFERROR(SUM('Direct Costs 2026'!$C$4:$C$5)*D1321,"N/A")</f>
        <v>1751000</v>
      </c>
      <c r="F1321" s="423" cm="1">
        <f t="array" ref="F1321">_xlfn.IFERROR('Direct Costs 2026'!$C$43*B1321,"N/A")</f>
        <v>78000</v>
      </c>
      <c r="G1321" s="423" cm="1">
        <f t="array" ref="G1321">IF(B1321&gt;0,'Direct Costs 2026'!$C$25,"N/A")</f>
        <v>90000</v>
      </c>
      <c r="H1321" s="423" cm="1">
        <f t="array" ref="H1321">IF(B1321&gt;0,('Direct Costs 2026'!$C$15+'Direct Costs 2026'!$C$17+'Direct Costs 2026'!$C$14),"N/A")</f>
        <v>580000</v>
      </c>
      <c r="I1321" s="423" cm="1">
        <f t="array" ref="I1321">IF(B1321&gt;0,'Direct Costs 2026'!$C$19+'Direct Costs 2026'!$C$18*B1321,"N/A")</f>
        <v>530000</v>
      </c>
      <c r="J1321" s="423" cm="1">
        <f t="array" ref="J1321">IF(B1321&gt;0,SUM('Direct Costs 2026'!$C$20:$C$21),"N/A")</f>
        <v>98333.3333333333</v>
      </c>
      <c r="K1321" s="423" cm="1">
        <f t="array" ref="K1321">IF(B1321&gt;0,'Direct Costs 2026'!$C$26,"N/A")</f>
        <v>20000</v>
      </c>
      <c r="L1321" s="423" cm="1">
        <f t="array" ref="L1321">IF(B1321&gt;0,'Direct Costs 2026'!$C$23,"N/A")</f>
        <v>140000</v>
      </c>
      <c r="M1321" s="423" cm="1">
        <f t="array" ref="M1321">IF(B1321&gt;0,'Direct Costs 2026'!$C$45*B1321,"N/A")</f>
        <v>1950000</v>
      </c>
      <c r="N1321" t="str" s="431" cm="1">
        <f t="array" ref="N1321">IF(B1321&gt;0,_xlfn.IFERROR(VLOOKUP(C1306,'Boats Data Sheet 2026'!$C$3:$I$57,7,0)*'Direct Costs 2026'!$C$36,"N/A"),"N/A")</f>
        <v>N/A</v>
      </c>
      <c r="O1321" t="str" s="431" cm="1">
        <f t="array" ref="O1321">IF(B1321&gt;0,IF(OR(VLOOKUP(C1306,'Boats Data Sheet 2026'!$C$3:$F$57,4,0)="Own",VLOOKUP(C1306,'Boats Data Sheet 2026'!$C$3:$F$57,4,0)="Management"),('Direct Costs 2026'!$C$37+'Direct Costs 2026'!$C$39),"N/A"),"N/A")</f>
        <v>N/A</v>
      </c>
      <c r="P1321" s="423" cm="1">
        <f t="array" ref="P1321">_xlfn.IFERROR('Direct Costs 2026'!$C$27*C1321,"N/A")</f>
        <v>160000</v>
      </c>
      <c r="Q1321" s="423" cm="1">
        <f t="array" ref="Q1321">_xlfn.IFERROR(C1321+SUM(E1321:P1321),"N/A")</f>
        <v>13397333.3333333</v>
      </c>
      <c r="R1321" s="424"/>
      <c r="S1321" s="423" cm="1">
        <f t="array" ref="S1321">IF(B1321&gt;0,'Allocation OH and Target 2026'!$E$31,"N/A")</f>
        <v>3100447.15769812</v>
      </c>
      <c r="T1321" s="423" cm="1">
        <f t="array" ref="T1321">IF(B1321&gt;0,VLOOKUP(C1306,'Allocation OH and Target 2026'!$C$35:$S$87,17,0),"N/A")</f>
        <v>0</v>
      </c>
      <c r="U1321" s="423" cm="1">
        <f t="array" ref="U1321">_xlfn.IFERROR((S1321+T1321),"N/A")</f>
        <v>3100447.15769812</v>
      </c>
      <c r="V1321" s="424"/>
      <c r="W1321" s="423" cm="1">
        <f t="array" ref="W1321">_xlfn.IFERROR(U1321+Q1321,"N/A")</f>
        <v>16497780.4910314</v>
      </c>
      <c r="X1321" s="423" cm="1">
        <f t="array" ref="X1321">_xlfn.IFERROR(W1321*0.5%,"N/A")</f>
        <v>82488.902455157</v>
      </c>
      <c r="Y1321" s="423" cm="1">
        <f t="array" ref="Y1321">_xlfn.IFERROR(W1321*25%,"N/A")</f>
        <v>4124445.12275785</v>
      </c>
      <c r="Z1321" s="425" cm="1">
        <f t="array" ref="Z1321">IF(B1321&gt;0,SUM(W1321:Y1321),"N/A")</f>
        <v>20704714.5162444</v>
      </c>
      <c r="AA1321" s="425" cm="1">
        <f t="array" ref="AA1321">_xlfn.IFERROR((Z1321-Z1320),"N/A")</f>
        <v>239705</v>
      </c>
      <c r="AB1321" s="424"/>
      <c r="AC1321" t="str" s="426" cm="1">
        <f t="array" ref="AC1321">IF(B1321=6,AVERAGE(Z1309:Z1314),"N/A")</f>
        <v>N/A</v>
      </c>
      <c r="AD1321" s="424"/>
      <c r="AE1321" s="423"/>
      <c r="AF1321" s="423"/>
      <c r="AG1321" s="423"/>
      <c r="AH1321" s="423"/>
      <c r="AI1321" s="423"/>
      <c r="AJ1321" s="423"/>
      <c r="AK1321" s="423"/>
      <c r="AL1321" s="423"/>
      <c r="AM1321" s="423"/>
      <c r="AN1321" s="427"/>
    </row>
    <row r="1322" ht="15" customHeight="1">
      <c r="A1322" s="12"/>
      <c r="B1322" s="428" cm="1">
        <f t="array" ref="B1322">IF(B1321=0,0,IF(B1321&lt;VLOOKUP(C1306,'Boats Data Sheet 2026'!$C$3:$H$57,6,0),B1321+1,0))</f>
        <v>0</v>
      </c>
      <c r="C1322" t="str" s="431" cm="1">
        <f t="array" ref="C1322">IF(B1322&gt;0,IF(VLOOKUP(C1306,'Boats Data Sheet 2026'!$C$3:$J$57,8,0)="N/A",0,VLOOKUP(C1306,'Boats Data Sheet 2026'!$C$3:$J$57,8,0)),"N/A")</f>
        <v>N/A</v>
      </c>
      <c r="D1322" t="str" s="431" cm="1">
        <f t="array" ref="D1322">IF(B1322&gt;7,2,IF(B1322=0,"N/A",1))</f>
        <v>N/A</v>
      </c>
      <c r="E1322" t="str" s="431" cm="1">
        <f t="array" ref="E1322">_xlfn.IFERROR(SUM('Direct Costs 2026'!$C$4:$C$5)*D1322,"N/A")</f>
        <v>N/A</v>
      </c>
      <c r="F1322" s="423" cm="1">
        <f t="array" ref="F1322">_xlfn.IFERROR('Direct Costs 2026'!$C$43*B1322,"N/A")</f>
        <v>0</v>
      </c>
      <c r="G1322" t="str" s="431" cm="1">
        <f t="array" ref="G1322">IF(B1322&gt;0,'Direct Costs 2026'!$C$25,"N/A")</f>
        <v>N/A</v>
      </c>
      <c r="H1322" t="str" s="431" cm="1">
        <f t="array" ref="H1322">IF(B1322&gt;0,('Direct Costs 2026'!$C$15+'Direct Costs 2026'!$C$17+'Direct Costs 2026'!$C$14),"N/A")</f>
        <v>N/A</v>
      </c>
      <c r="I1322" t="str" s="431" cm="1">
        <f t="array" ref="I1322">IF(B1322&gt;0,'Direct Costs 2026'!$C$19+'Direct Costs 2026'!$C$18*B1322,"N/A")</f>
        <v>N/A</v>
      </c>
      <c r="J1322" t="str" s="431" cm="1">
        <f t="array" ref="J1322">IF(B1322&gt;0,SUM('Direct Costs 2026'!$C$20:$C$21),"N/A")</f>
        <v>N/A</v>
      </c>
      <c r="K1322" t="str" s="431" cm="1">
        <f t="array" ref="K1322">IF(B1322&gt;0,'Direct Costs 2026'!$C$26,"N/A")</f>
        <v>N/A</v>
      </c>
      <c r="L1322" t="str" s="431" cm="1">
        <f t="array" ref="L1322">IF(B1322&gt;0,'Direct Costs 2026'!$C$23,"N/A")</f>
        <v>N/A</v>
      </c>
      <c r="M1322" t="str" s="431" cm="1">
        <f t="array" ref="M1322">IF(B1322&gt;0,'Direct Costs 2026'!$C$45*B1322,"N/A")</f>
        <v>N/A</v>
      </c>
      <c r="N1322" t="str" s="431" cm="1">
        <f t="array" ref="N1322">IF(B1322&gt;0,_xlfn.IFERROR(VLOOKUP(C1306,'Boats Data Sheet 2026'!$C$3:$I$57,7,0)*'Direct Costs 2026'!$C$36,"N/A"),"N/A")</f>
        <v>N/A</v>
      </c>
      <c r="O1322" t="str" s="431" cm="1">
        <f t="array" ref="O1322">IF(B1322&gt;0,IF(OR(VLOOKUP(C1306,'Boats Data Sheet 2026'!$C$3:$F$57,4,0)="Own",VLOOKUP(C1306,'Boats Data Sheet 2026'!$C$3:$F$57,4,0)="Management"),('Direct Costs 2026'!$C$37+'Direct Costs 2026'!$C$39),"N/A"),"N/A")</f>
        <v>N/A</v>
      </c>
      <c r="P1322" t="str" s="431" cm="1">
        <f t="array" ref="P1322">_xlfn.IFERROR('Direct Costs 2026'!$C$27*C1322,"N/A")</f>
        <v>N/A</v>
      </c>
      <c r="Q1322" t="str" s="431" cm="1">
        <f t="array" ref="Q1322">_xlfn.IFERROR(C1322+SUM(E1322:P1322),"N/A")</f>
        <v>N/A</v>
      </c>
      <c r="R1322" s="424"/>
      <c r="S1322" t="str" s="431" cm="1">
        <f t="array" ref="S1322">IF(B1322&gt;0,'Allocation OH and Target 2026'!$E$31,"N/A")</f>
        <v>N/A</v>
      </c>
      <c r="T1322" t="str" s="431" cm="1">
        <f t="array" ref="T1322">IF(B1322&gt;0,VLOOKUP(C1306,'Allocation OH and Target 2026'!$C$35:$S$87,17,0),"N/A")</f>
        <v>N/A</v>
      </c>
      <c r="U1322" t="str" s="431" cm="1">
        <f t="array" ref="U1322">_xlfn.IFERROR((S1322+T1322),"N/A")</f>
        <v>N/A</v>
      </c>
      <c r="V1322" s="424"/>
      <c r="W1322" t="str" s="431" cm="1">
        <f t="array" ref="W1322">_xlfn.IFERROR(U1322+Q1322,"N/A")</f>
        <v>N/A</v>
      </c>
      <c r="X1322" t="str" s="431" cm="1">
        <f t="array" ref="X1322">_xlfn.IFERROR(W1322*0.5%,"N/A")</f>
        <v>N/A</v>
      </c>
      <c r="Y1322" t="str" s="431" cm="1">
        <f t="array" ref="Y1322">_xlfn.IFERROR(W1322*25%,"N/A")</f>
        <v>N/A</v>
      </c>
      <c r="Z1322" t="str" s="426" cm="1">
        <f t="array" ref="Z1322">IF(B1322&gt;0,SUM(W1322:Y1322),"N/A")</f>
        <v>N/A</v>
      </c>
      <c r="AA1322" t="str" s="426" cm="1">
        <f t="array" ref="AA1322">_xlfn.IFERROR((Z1322-Z1321),"N/A")</f>
        <v>N/A</v>
      </c>
      <c r="AB1322" s="424"/>
      <c r="AC1322" t="str" s="426" cm="1">
        <f t="array" ref="AC1322">IF(B1322=6,AVERAGE(Z1309:Z1314),"N/A")</f>
        <v>N/A</v>
      </c>
      <c r="AD1322" s="424"/>
      <c r="AE1322" s="423"/>
      <c r="AF1322" s="423"/>
      <c r="AG1322" s="423"/>
      <c r="AH1322" s="423"/>
      <c r="AI1322" s="423"/>
      <c r="AJ1322" s="423"/>
      <c r="AK1322" s="423"/>
      <c r="AL1322" s="423"/>
      <c r="AM1322" s="423"/>
      <c r="AN1322" s="427"/>
    </row>
    <row r="1323" ht="15" customHeight="1">
      <c r="A1323" s="12"/>
      <c r="B1323" s="428" cm="1">
        <f t="array" ref="B1323">IF(B1322=0,0,IF(B1322&lt;VLOOKUP(C1306,'Boats Data Sheet 2026'!$C$3:$H$57,6,0),B1322+1,0))</f>
        <v>0</v>
      </c>
      <c r="C1323" t="str" s="431" cm="1">
        <f t="array" ref="C1323">IF(B1323&gt;0,IF(VLOOKUP(C1306,'Boats Data Sheet 2026'!$C$3:$J$57,8,0)="N/A",0,VLOOKUP(C1306,'Boats Data Sheet 2026'!$C$3:$J$57,8,0)),"N/A")</f>
        <v>N/A</v>
      </c>
      <c r="D1323" t="str" s="431" cm="1">
        <f t="array" ref="D1323">IF(B1323&gt;7,2,IF(B1323=0,"N/A",1))</f>
        <v>N/A</v>
      </c>
      <c r="E1323" t="str" s="431" cm="1">
        <f t="array" ref="E1323">_xlfn.IFERROR(SUM('Direct Costs 2026'!$C$4:$C$5)*D1323,"N/A")</f>
        <v>N/A</v>
      </c>
      <c r="F1323" s="423" cm="1">
        <f t="array" ref="F1323">_xlfn.IFERROR('Direct Costs 2026'!$C$43*B1323,"N/A")</f>
        <v>0</v>
      </c>
      <c r="G1323" t="str" s="431" cm="1">
        <f t="array" ref="G1323">IF(B1323&gt;0,'Direct Costs 2026'!$C$25,"N/A")</f>
        <v>N/A</v>
      </c>
      <c r="H1323" t="str" s="431" cm="1">
        <f t="array" ref="H1323">IF(B1323&gt;0,('Direct Costs 2026'!$C$15+'Direct Costs 2026'!$C$17+'Direct Costs 2026'!$C$14),"N/A")</f>
        <v>N/A</v>
      </c>
      <c r="I1323" t="str" s="431" cm="1">
        <f t="array" ref="I1323">IF(B1323&gt;0,'Direct Costs 2026'!$C$19+'Direct Costs 2026'!$C$18*B1323,"N/A")</f>
        <v>N/A</v>
      </c>
      <c r="J1323" t="str" s="431" cm="1">
        <f t="array" ref="J1323">IF(B1323&gt;0,SUM('Direct Costs 2026'!$C$20:$C$21),"N/A")</f>
        <v>N/A</v>
      </c>
      <c r="K1323" t="str" s="431" cm="1">
        <f t="array" ref="K1323">IF(B1323&gt;0,'Direct Costs 2026'!$C$26,"N/A")</f>
        <v>N/A</v>
      </c>
      <c r="L1323" t="str" s="431" cm="1">
        <f t="array" ref="L1323">IF(B1323&gt;0,'Direct Costs 2026'!$C$23,"N/A")</f>
        <v>N/A</v>
      </c>
      <c r="M1323" t="str" s="431" cm="1">
        <f t="array" ref="M1323">IF(B1323&gt;0,'Direct Costs 2026'!$C$45*B1323,"N/A")</f>
        <v>N/A</v>
      </c>
      <c r="N1323" t="str" s="431" cm="1">
        <f t="array" ref="N1323">IF(B1323&gt;0,_xlfn.IFERROR(VLOOKUP(C1306,'Boats Data Sheet 2026'!$C$3:$I$57,7,0)*'Direct Costs 2026'!$C$36,"N/A"),"N/A")</f>
        <v>N/A</v>
      </c>
      <c r="O1323" t="str" s="431" cm="1">
        <f t="array" ref="O1323">IF(B1323&gt;0,IF(OR(VLOOKUP(C1306,'Boats Data Sheet 2026'!$C$3:$F$57,4,0)="Own",VLOOKUP(C1306,'Boats Data Sheet 2026'!$C$3:$F$57,4,0)="Management"),('Direct Costs 2026'!$C$37+'Direct Costs 2026'!$C$39),"N/A"),"N/A")</f>
        <v>N/A</v>
      </c>
      <c r="P1323" t="str" s="431" cm="1">
        <f t="array" ref="P1323">_xlfn.IFERROR('Direct Costs 2026'!$C$27*C1323,"N/A")</f>
        <v>N/A</v>
      </c>
      <c r="Q1323" t="str" s="431" cm="1">
        <f t="array" ref="Q1323">_xlfn.IFERROR(C1323+SUM(E1323:P1323),"N/A")</f>
        <v>N/A</v>
      </c>
      <c r="R1323" s="424"/>
      <c r="S1323" t="str" s="431" cm="1">
        <f t="array" ref="S1323">IF(B1323&gt;0,'Allocation OH and Target 2026'!$E$31,"N/A")</f>
        <v>N/A</v>
      </c>
      <c r="T1323" t="str" s="431" cm="1">
        <f t="array" ref="T1323">IF(B1323&gt;0,VLOOKUP(C1306,'Allocation OH and Target 2026'!$C$35:$S$87,16,0),"N/A")</f>
        <v>N/A</v>
      </c>
      <c r="U1323" t="str" s="431" cm="1">
        <f t="array" ref="U1323">_xlfn.IFERROR((S1323+T1323),"N/A")</f>
        <v>N/A</v>
      </c>
      <c r="V1323" s="424"/>
      <c r="W1323" t="str" s="431" cm="1">
        <f t="array" ref="W1323">_xlfn.IFERROR(U1323+Q1323,"N/A")</f>
        <v>N/A</v>
      </c>
      <c r="X1323" t="str" s="431" cm="1">
        <f t="array" ref="X1323">_xlfn.IFERROR(W1323*0.5%,"N/A")</f>
        <v>N/A</v>
      </c>
      <c r="Y1323" t="str" s="431" cm="1">
        <f t="array" ref="Y1323">_xlfn.IFERROR(W1323*25%,"N/A")</f>
        <v>N/A</v>
      </c>
      <c r="Z1323" t="str" s="426" cm="1">
        <f t="array" ref="Z1323">IF(B1323&gt;0,SUM(W1323:Y1323),"N/A")</f>
        <v>N/A</v>
      </c>
      <c r="AA1323" t="str" s="426" cm="1">
        <f t="array" ref="AA1323">_xlfn.IFERROR((Z1323-Z1322),"N/A")</f>
        <v>N/A</v>
      </c>
      <c r="AB1323" s="424"/>
      <c r="AC1323" t="str" s="426" cm="1">
        <f t="array" ref="AC1323">IF(B1323=6,AVERAGE(Z1309:Z1314),"N/A")</f>
        <v>N/A</v>
      </c>
      <c r="AD1323" s="424"/>
      <c r="AE1323" s="423"/>
      <c r="AF1323" s="423"/>
      <c r="AG1323" s="423"/>
      <c r="AH1323" s="423"/>
      <c r="AI1323" s="423"/>
      <c r="AJ1323" s="423"/>
      <c r="AK1323" s="423"/>
      <c r="AL1323" s="423"/>
      <c r="AM1323" s="423"/>
      <c r="AN1323" s="427"/>
    </row>
    <row r="1324" ht="15" customHeight="1">
      <c r="A1324" s="12"/>
      <c r="B1324" s="428" cm="1">
        <f t="array" ref="B1324">IF(B1323=0,0,IF(B1323&lt;VLOOKUP(C1306,'Boats Data Sheet 2026'!$C$3:$H$57,6,0),B1323+1,0))</f>
        <v>0</v>
      </c>
      <c r="C1324" t="str" s="431" cm="1">
        <f t="array" ref="C1324">IF(B1324&gt;0,IF(VLOOKUP(C1306,'Boats Data Sheet 2026'!$C$3:$J$57,8,0)="N/A",0,VLOOKUP(C1306,'Boats Data Sheet 2026'!$C$3:$J$57,8,0)),"N/A")</f>
        <v>N/A</v>
      </c>
      <c r="D1324" t="str" s="431" cm="1">
        <f t="array" ref="D1324">IF(B1324&gt;7,2,IF(B1324=0,"N/A",1))</f>
        <v>N/A</v>
      </c>
      <c r="E1324" t="str" s="431" cm="1">
        <f t="array" ref="E1324">_xlfn.IFERROR(SUM('Direct Costs 2026'!$C$4:$C$5)*D1324,"N/A")</f>
        <v>N/A</v>
      </c>
      <c r="F1324" s="423" cm="1">
        <f t="array" ref="F1324">_xlfn.IFERROR('Direct Costs 2026'!$C$43*B1324,"N/A")</f>
        <v>0</v>
      </c>
      <c r="G1324" t="str" s="431" cm="1">
        <f t="array" ref="G1324">IF(B1324&gt;0,'Direct Costs 2026'!$C$25,"N/A")</f>
        <v>N/A</v>
      </c>
      <c r="H1324" t="str" s="431" cm="1">
        <f t="array" ref="H1324">IF(B1324&gt;0,('Direct Costs 2026'!$C$15+'Direct Costs 2026'!$C$17+'Direct Costs 2026'!$C$14),"N/A")</f>
        <v>N/A</v>
      </c>
      <c r="I1324" t="str" s="431" cm="1">
        <f t="array" ref="I1324">IF(B1324&gt;0,'Direct Costs 2026'!$C$19+'Direct Costs 2026'!$C$18*B1324,"N/A")</f>
        <v>N/A</v>
      </c>
      <c r="J1324" t="str" s="431" cm="1">
        <f t="array" ref="J1324">IF(B1324&gt;0,SUM('Direct Costs 2026'!$C$20:$C$21),"N/A")</f>
        <v>N/A</v>
      </c>
      <c r="K1324" t="str" s="431" cm="1">
        <f t="array" ref="K1324">IF(B1324&gt;0,'Direct Costs 2026'!$C$26,"N/A")</f>
        <v>N/A</v>
      </c>
      <c r="L1324" t="str" s="431" cm="1">
        <f t="array" ref="L1324">IF(B1324&gt;0,'Direct Costs 2026'!$C$23,"N/A")</f>
        <v>N/A</v>
      </c>
      <c r="M1324" t="str" s="431" cm="1">
        <f t="array" ref="M1324">IF(B1324&gt;0,'Direct Costs 2026'!$C$45*B1324,"N/A")</f>
        <v>N/A</v>
      </c>
      <c r="N1324" t="str" s="431" cm="1">
        <f t="array" ref="N1324">IF(B1324&gt;0,_xlfn.IFERROR(VLOOKUP(C1306,'Boats Data Sheet 2026'!$C$3:$I$57,7,0)*'Direct Costs 2026'!$C$36,"N/A"),"N/A")</f>
        <v>N/A</v>
      </c>
      <c r="O1324" t="str" s="431" cm="1">
        <f t="array" ref="O1324">IF(B1324&gt;0,IF(OR(VLOOKUP(C1306,'Boats Data Sheet 2026'!$C$3:$F$57,4,0)="Own",VLOOKUP(C1306,'Boats Data Sheet 2026'!$C$3:$F$57,4,0)="Management"),('Direct Costs 2026'!$C$37+'Direct Costs 2026'!$C$39),"N/A"),"N/A")</f>
        <v>N/A</v>
      </c>
      <c r="P1324" t="str" s="431" cm="1">
        <f t="array" ref="P1324">_xlfn.IFERROR('Direct Costs 2026'!$C$27*C1324,"N/A")</f>
        <v>N/A</v>
      </c>
      <c r="Q1324" t="str" s="431" cm="1">
        <f t="array" ref="Q1324">_xlfn.IFERROR(C1324+SUM(E1324:P1324),"N/A")</f>
        <v>N/A</v>
      </c>
      <c r="R1324" s="424"/>
      <c r="S1324" t="str" s="431" cm="1">
        <f t="array" ref="S1324">IF(B1324&gt;0,'Allocation OH and Target 2026'!$E$31,"N/A")</f>
        <v>N/A</v>
      </c>
      <c r="T1324" t="str" s="431" cm="1">
        <f t="array" ref="T1324">IF(B1324&gt;0,VLOOKUP(C1306,'Allocation OH and Target 2026'!$C$35:$S$87,16,0),"N/A")</f>
        <v>N/A</v>
      </c>
      <c r="U1324" t="str" s="431" cm="1">
        <f t="array" ref="U1324">_xlfn.IFERROR((S1324+T1324),"N/A")</f>
        <v>N/A</v>
      </c>
      <c r="V1324" s="424"/>
      <c r="W1324" t="str" s="431" cm="1">
        <f t="array" ref="W1324">_xlfn.IFERROR(U1324+Q1324,"N/A")</f>
        <v>N/A</v>
      </c>
      <c r="X1324" t="str" s="431" cm="1">
        <f t="array" ref="X1324">_xlfn.IFERROR(W1324*0.5%,"N/A")</f>
        <v>N/A</v>
      </c>
      <c r="Y1324" t="str" s="431" cm="1">
        <f t="array" ref="Y1324">_xlfn.IFERROR(W1324*25%,"N/A")</f>
        <v>N/A</v>
      </c>
      <c r="Z1324" t="str" s="426" cm="1">
        <f t="array" ref="Z1324">IF(B1324&gt;0,SUM(W1324:Y1324),"N/A")</f>
        <v>N/A</v>
      </c>
      <c r="AA1324" t="str" s="426" cm="1">
        <f t="array" ref="AA1324">_xlfn.IFERROR((Z1324-Z1323),"N/A")</f>
        <v>N/A</v>
      </c>
      <c r="AB1324" s="424"/>
      <c r="AC1324" t="str" s="426" cm="1">
        <f t="array" ref="AC1324">IF(B1324=6,AVERAGE(Z1309:Z1314),"N/A")</f>
        <v>N/A</v>
      </c>
      <c r="AD1324" s="424"/>
      <c r="AE1324" s="423"/>
      <c r="AF1324" s="423"/>
      <c r="AG1324" s="423"/>
      <c r="AH1324" s="423"/>
      <c r="AI1324" s="423"/>
      <c r="AJ1324" s="423"/>
      <c r="AK1324" s="423"/>
      <c r="AL1324" s="423"/>
      <c r="AM1324" s="423"/>
      <c r="AN1324" s="427"/>
    </row>
    <row r="1325" ht="15" customHeight="1">
      <c r="A1325" s="12"/>
      <c r="B1325" s="428" cm="1">
        <f t="array" ref="B1325">IF(B1324=0,0,IF(B1324&lt;VLOOKUP(C1306,'Boats Data Sheet 2026'!$C$3:$H$57,6,0),B1324+1,0))</f>
        <v>0</v>
      </c>
      <c r="C1325" t="str" s="431" cm="1">
        <f t="array" ref="C1325">IF(B1325&gt;0,IF(VLOOKUP(C1306,'Boats Data Sheet 2026'!$C$3:$J$57,8,0)="N/A",0,VLOOKUP(C1306,'Boats Data Sheet 2026'!$C$3:$J$57,8,0)),"N/A")</f>
        <v>N/A</v>
      </c>
      <c r="D1325" t="str" s="431" cm="1">
        <f t="array" ref="D1325">IF(B1325&gt;7,2,IF(B1325=0,"N/A",1))</f>
        <v>N/A</v>
      </c>
      <c r="E1325" t="str" s="431" cm="1">
        <f t="array" ref="E1325">_xlfn.IFERROR(SUM('Direct Costs 2026'!$C$4:$C$5)*D1325,"N/A")</f>
        <v>N/A</v>
      </c>
      <c r="F1325" s="423" cm="1">
        <f t="array" ref="F1325">_xlfn.IFERROR('Direct Costs 2026'!$C$43*B1325,"N/A")</f>
        <v>0</v>
      </c>
      <c r="G1325" t="str" s="431" cm="1">
        <f t="array" ref="G1325">IF(B1325&gt;0,'Direct Costs 2026'!$C$25,"N/A")</f>
        <v>N/A</v>
      </c>
      <c r="H1325" t="str" s="431" cm="1">
        <f t="array" ref="H1325">IF(B1325&gt;0,('Direct Costs 2026'!$C$15+'Direct Costs 2026'!$C$17+'Direct Costs 2026'!$C$14),"N/A")</f>
        <v>N/A</v>
      </c>
      <c r="I1325" t="str" s="431" cm="1">
        <f t="array" ref="I1325">IF(B1325&gt;0,'Direct Costs 2026'!$C$19+'Direct Costs 2026'!$C$18*B1325,"N/A")</f>
        <v>N/A</v>
      </c>
      <c r="J1325" t="str" s="431" cm="1">
        <f t="array" ref="J1325">IF(B1325&gt;0,SUM('Direct Costs 2026'!$C$20:$C$21),"N/A")</f>
        <v>N/A</v>
      </c>
      <c r="K1325" t="str" s="431" cm="1">
        <f t="array" ref="K1325">IF(B1325&gt;0,'Direct Costs 2026'!$C$26,"N/A")</f>
        <v>N/A</v>
      </c>
      <c r="L1325" t="str" s="431" cm="1">
        <f t="array" ref="L1325">IF(B1325&gt;0,'Direct Costs 2026'!$C$23,"N/A")</f>
        <v>N/A</v>
      </c>
      <c r="M1325" t="str" s="431" cm="1">
        <f t="array" ref="M1325">IF(B1325&gt;0,'Direct Costs 2026'!$C$45*B1325,"N/A")</f>
        <v>N/A</v>
      </c>
      <c r="N1325" t="str" s="431" cm="1">
        <f t="array" ref="N1325">IF(B1325&gt;0,_xlfn.IFERROR(VLOOKUP(C1306,'Boats Data Sheet 2026'!$C$3:$I$57,7,0)*'Direct Costs 2026'!$C$36,"N/A"),"N/A")</f>
        <v>N/A</v>
      </c>
      <c r="O1325" t="str" s="431" cm="1">
        <f t="array" ref="O1325">IF(B1325&gt;0,IF(OR(VLOOKUP(C1306,'Boats Data Sheet 2026'!$C$3:$F$57,4,0)="Own",VLOOKUP(C1306,'Boats Data Sheet 2026'!$C$3:$F$57,4,0)="Management"),('Direct Costs 2026'!$C$37+'Direct Costs 2026'!$C$39),"N/A"),"N/A")</f>
        <v>N/A</v>
      </c>
      <c r="P1325" t="str" s="431" cm="1">
        <f t="array" ref="P1325">_xlfn.IFERROR('Direct Costs 2026'!$C$27*C1325,"N/A")</f>
        <v>N/A</v>
      </c>
      <c r="Q1325" t="str" s="431" cm="1">
        <f t="array" ref="Q1325">_xlfn.IFERROR(C1325+SUM(E1325:P1325),"N/A")</f>
        <v>N/A</v>
      </c>
      <c r="R1325" s="424"/>
      <c r="S1325" t="str" s="431" cm="1">
        <f t="array" ref="S1325">IF(B1325&gt;0,'Allocation OH and Target 2026'!$E$31,"N/A")</f>
        <v>N/A</v>
      </c>
      <c r="T1325" t="str" s="431" cm="1">
        <f t="array" ref="T1325">IF(B1325&gt;0,VLOOKUP(C1306,'Allocation OH and Target 2026'!$C$35:$S$87,16,0),"N/A")</f>
        <v>N/A</v>
      </c>
      <c r="U1325" t="str" s="431" cm="1">
        <f t="array" ref="U1325">_xlfn.IFERROR((S1325+T1325),"N/A")</f>
        <v>N/A</v>
      </c>
      <c r="V1325" s="424"/>
      <c r="W1325" t="str" s="431" cm="1">
        <f t="array" ref="W1325">_xlfn.IFERROR(U1325+Q1325,"N/A")</f>
        <v>N/A</v>
      </c>
      <c r="X1325" t="str" s="431" cm="1">
        <f t="array" ref="X1325">_xlfn.IFERROR(W1325*0.5%,"N/A")</f>
        <v>N/A</v>
      </c>
      <c r="Y1325" t="str" s="431" cm="1">
        <f t="array" ref="Y1325">_xlfn.IFERROR(W1325*25%,"N/A")</f>
        <v>N/A</v>
      </c>
      <c r="Z1325" t="str" s="426" cm="1">
        <f t="array" ref="Z1325">IF(B1325&gt;0,SUM(W1325:Y1325),"N/A")</f>
        <v>N/A</v>
      </c>
      <c r="AA1325" t="str" s="426" cm="1">
        <f t="array" ref="AA1325">_xlfn.IFERROR((Z1325-Z1324),"N/A")</f>
        <v>N/A</v>
      </c>
      <c r="AB1325" s="424"/>
      <c r="AC1325" t="str" s="426" cm="1">
        <f t="array" ref="AC1325">IF(B1325=6,AVERAGE(Z1309:Z1314),"N/A")</f>
        <v>N/A</v>
      </c>
      <c r="AD1325" s="424"/>
      <c r="AE1325" s="423"/>
      <c r="AF1325" s="423"/>
      <c r="AG1325" s="423"/>
      <c r="AH1325" s="423"/>
      <c r="AI1325" s="423"/>
      <c r="AJ1325" s="423"/>
      <c r="AK1325" s="423"/>
      <c r="AL1325" s="423"/>
      <c r="AM1325" s="423"/>
      <c r="AN1325" s="427"/>
    </row>
    <row r="1326" ht="15.5" customHeight="1">
      <c r="A1326" s="12"/>
      <c r="B1326" s="432" cm="1">
        <f t="array" ref="B1326">IF(B1325=0,0,IF(B1325&lt;VLOOKUP(C1306,'Boats Data Sheet 2026'!$C$3:$H$57,6,0),B1325+1,0))</f>
        <v>0</v>
      </c>
      <c r="C1326" t="str" s="433" cm="1">
        <f t="array" ref="C1326">IF(B1326&gt;0,IF(VLOOKUP(C1306,'Boats Data Sheet 2026'!$C$3:$J$57,8,0)="N/A",0,VLOOKUP(C1306,'Boats Data Sheet 2026'!$C$3:$J$57,8,0)),"N/A")</f>
        <v>N/A</v>
      </c>
      <c r="D1326" t="str" s="433" cm="1">
        <f t="array" ref="D1326">IF(B1326&gt;7,2,IF(B1326=0,"N/A",1))</f>
        <v>N/A</v>
      </c>
      <c r="E1326" t="str" s="433" cm="1">
        <f t="array" ref="E1326">_xlfn.IFERROR(SUM('Direct Costs 2026'!$C$4:$C$5)*D1326,"N/A")</f>
        <v>N/A</v>
      </c>
      <c r="F1326" s="434" cm="1">
        <f t="array" ref="F1326">_xlfn.IFERROR('Direct Costs 2026'!$C$43*B1326,"N/A")</f>
        <v>0</v>
      </c>
      <c r="G1326" t="str" s="433" cm="1">
        <f t="array" ref="G1326">IF(B1326&gt;0,'Direct Costs 2026'!$C$25,"N/A")</f>
        <v>N/A</v>
      </c>
      <c r="H1326" t="str" s="433" cm="1">
        <f t="array" ref="H1326">IF(B1326&gt;0,('Direct Costs 2026'!$C$15+'Direct Costs 2026'!$C$17+'Direct Costs 2026'!$C$14),"N/A")</f>
        <v>N/A</v>
      </c>
      <c r="I1326" t="str" s="433" cm="1">
        <f t="array" ref="I1326">IF(B1326&gt;0,'Direct Costs 2026'!$C$19+'Direct Costs 2026'!$C$18*B1326,"N/A")</f>
        <v>N/A</v>
      </c>
      <c r="J1326" t="str" s="433" cm="1">
        <f t="array" ref="J1326">IF(B1326&gt;0,SUM('Direct Costs 2026'!$C$20:$C$21),"N/A")</f>
        <v>N/A</v>
      </c>
      <c r="K1326" t="str" s="433" cm="1">
        <f t="array" ref="K1326">IF(B1326&gt;0,'Direct Costs 2026'!$C$26,"N/A")</f>
        <v>N/A</v>
      </c>
      <c r="L1326" t="str" s="433" cm="1">
        <f t="array" ref="L1326">IF(B1326&gt;0,'Direct Costs 2026'!$C$23,"N/A")</f>
        <v>N/A</v>
      </c>
      <c r="M1326" t="str" s="433" cm="1">
        <f t="array" ref="M1326">IF(B1326&gt;0,'Direct Costs 2026'!$C$45*B1326,"N/A")</f>
        <v>N/A</v>
      </c>
      <c r="N1326" t="str" s="433" cm="1">
        <f t="array" ref="N1326">IF(B1326&gt;0,_xlfn.IFERROR(VLOOKUP(C1306,'Boats Data Sheet 2026'!$C$3:$I$57,7,0)*'Direct Costs 2026'!$C$36,"N/A"),"N/A")</f>
        <v>N/A</v>
      </c>
      <c r="O1326" t="str" s="433" cm="1">
        <f t="array" ref="O1326">IF(B1326&gt;0,IF(OR(VLOOKUP(C1306,'Boats Data Sheet 2026'!$C$3:$F$57,4,0)="Own",VLOOKUP(C1306,'Boats Data Sheet 2026'!$C$3:$F$57,4,0)="Management"),('Direct Costs 2026'!$C$37+'Direct Costs 2026'!$C$39),"N/A"),"N/A")</f>
        <v>N/A</v>
      </c>
      <c r="P1326" t="str" s="433" cm="1">
        <f t="array" ref="P1326">_xlfn.IFERROR('Direct Costs 2026'!$C$27*C1326,"N/A")</f>
        <v>N/A</v>
      </c>
      <c r="Q1326" t="str" s="433" cm="1">
        <f t="array" ref="Q1326">_xlfn.IFERROR(C1326+SUM(E1326:P1326),"N/A")</f>
        <v>N/A</v>
      </c>
      <c r="R1326" s="435"/>
      <c r="S1326" t="str" s="433" cm="1">
        <f t="array" ref="S1326">IF(B1326&gt;0,'Allocation OH and Target 2026'!$E$31,"N/A")</f>
        <v>N/A</v>
      </c>
      <c r="T1326" t="str" s="433" cm="1">
        <f t="array" ref="T1326">IF(B1326&gt;0,VLOOKUP(C1306,'Allocation OH and Target 2026'!$C$35:$S$87,16,0),"N/A")</f>
        <v>N/A</v>
      </c>
      <c r="U1326" t="str" s="433" cm="1">
        <f t="array" ref="U1326">_xlfn.IFERROR((S1326+T1326),"N/A")</f>
        <v>N/A</v>
      </c>
      <c r="V1326" s="435"/>
      <c r="W1326" t="str" s="433" cm="1">
        <f t="array" ref="W1326">_xlfn.IFERROR(U1326+Q1326,"N/A")</f>
        <v>N/A</v>
      </c>
      <c r="X1326" t="str" s="433" cm="1">
        <f t="array" ref="X1326">_xlfn.IFERROR(W1326*0.5%,"N/A")</f>
        <v>N/A</v>
      </c>
      <c r="Y1326" t="str" s="433" cm="1">
        <f t="array" ref="Y1326">_xlfn.IFERROR(W1326*25%,"N/A")</f>
        <v>N/A</v>
      </c>
      <c r="Z1326" t="str" s="436" cm="1">
        <f t="array" ref="Z1326">IF(B1326&gt;0,SUM(W1326:Y1326),"N/A")</f>
        <v>N/A</v>
      </c>
      <c r="AA1326" t="str" s="436" cm="1">
        <f t="array" ref="AA1326">_xlfn.IFERROR((Z1326-Z1325),"N/A")</f>
        <v>N/A</v>
      </c>
      <c r="AB1326" s="435"/>
      <c r="AC1326" t="str" s="436" cm="1">
        <f t="array" ref="AC1326">IF(B1326=6,AVERAGE(Z1309:Z1314),"N/A")</f>
        <v>N/A</v>
      </c>
      <c r="AD1326" s="435"/>
      <c r="AE1326" s="434"/>
      <c r="AF1326" s="434"/>
      <c r="AG1326" s="434"/>
      <c r="AH1326" s="434"/>
      <c r="AI1326" s="434"/>
      <c r="AJ1326" s="434"/>
      <c r="AK1326" s="434"/>
      <c r="AL1326" s="434"/>
      <c r="AM1326" s="434"/>
      <c r="AN1326" s="437"/>
    </row>
    <row r="1327" ht="15" customHeight="1">
      <c r="A1327" s="32"/>
      <c r="B1327" s="124"/>
      <c r="C1327" s="124"/>
      <c r="D1327" s="124"/>
      <c r="E1327" s="124"/>
      <c r="F1327" s="124"/>
      <c r="G1327" s="124"/>
      <c r="H1327" s="124"/>
      <c r="I1327" s="124"/>
      <c r="J1327" s="124"/>
      <c r="K1327" s="124"/>
      <c r="L1327" s="124"/>
      <c r="M1327" s="124"/>
      <c r="N1327" s="124"/>
      <c r="O1327" s="124"/>
      <c r="P1327" s="124"/>
      <c r="Q1327" s="124"/>
      <c r="R1327" s="124"/>
      <c r="S1327" s="124"/>
      <c r="T1327" s="124"/>
      <c r="U1327" s="124"/>
      <c r="V1327" s="124"/>
      <c r="W1327" s="124"/>
      <c r="X1327" s="124"/>
      <c r="Y1327" s="124"/>
      <c r="Z1327" s="124"/>
      <c r="AA1327" s="124"/>
      <c r="AB1327" s="124"/>
      <c r="AC1327" s="124"/>
      <c r="AD1327" s="124"/>
      <c r="AE1327" s="124"/>
      <c r="AF1327" s="124"/>
      <c r="AG1327" s="124"/>
      <c r="AH1327" s="124"/>
      <c r="AI1327" s="124"/>
      <c r="AJ1327" s="124"/>
      <c r="AK1327" s="124"/>
      <c r="AL1327" s="124"/>
      <c r="AM1327" s="124"/>
      <c r="AN1327" s="313"/>
    </row>
    <row r="1328" ht="13.55" customHeight="1">
      <c r="A1328" s="32"/>
      <c r="B1328" s="17"/>
      <c r="C1328" s="17"/>
      <c r="D1328" s="17"/>
      <c r="E1328" s="17"/>
      <c r="F1328" s="17"/>
      <c r="G1328" s="17"/>
      <c r="H1328" s="17"/>
      <c r="I1328" s="17"/>
      <c r="J1328" s="17"/>
      <c r="K1328" s="17"/>
      <c r="L1328" s="17"/>
      <c r="M1328" s="17"/>
      <c r="N1328" s="17"/>
      <c r="O1328" s="17"/>
      <c r="P1328" s="17"/>
      <c r="Q1328" s="17"/>
      <c r="R1328" s="17"/>
      <c r="S1328" s="17"/>
      <c r="T1328" s="17"/>
      <c r="U1328" s="17"/>
      <c r="V1328" s="17"/>
      <c r="W1328" s="17"/>
      <c r="X1328" s="17"/>
      <c r="Y1328" s="17"/>
      <c r="Z1328" s="17"/>
      <c r="AA1328" s="17"/>
      <c r="AB1328" s="17"/>
      <c r="AC1328" s="17"/>
      <c r="AD1328" s="17"/>
      <c r="AE1328" s="17"/>
      <c r="AF1328" s="17"/>
      <c r="AG1328" s="17"/>
      <c r="AH1328" s="17"/>
      <c r="AI1328" s="17"/>
      <c r="AJ1328" s="17"/>
      <c r="AK1328" s="17"/>
      <c r="AL1328" s="17"/>
      <c r="AM1328" s="17"/>
      <c r="AN1328" s="18"/>
    </row>
    <row r="1329" ht="13.55" customHeight="1">
      <c r="A1329" s="32"/>
      <c r="B1329" s="17"/>
      <c r="C1329" s="17"/>
      <c r="D1329" s="17"/>
      <c r="E1329" s="17"/>
      <c r="F1329" s="17"/>
      <c r="G1329" s="17"/>
      <c r="H1329" s="17"/>
      <c r="I1329" s="17"/>
      <c r="J1329" s="17"/>
      <c r="K1329" s="17"/>
      <c r="L1329" s="17"/>
      <c r="M1329" s="17"/>
      <c r="N1329" s="17"/>
      <c r="O1329" s="17"/>
      <c r="P1329" s="17"/>
      <c r="Q1329" s="17"/>
      <c r="R1329" s="17"/>
      <c r="S1329" s="17"/>
      <c r="T1329" s="17"/>
      <c r="U1329" s="17"/>
      <c r="V1329" s="17"/>
      <c r="W1329" s="17"/>
      <c r="X1329" s="17"/>
      <c r="Y1329" s="17"/>
      <c r="Z1329" s="17"/>
      <c r="AA1329" s="17"/>
      <c r="AB1329" s="17"/>
      <c r="AC1329" s="17"/>
      <c r="AD1329" s="17"/>
      <c r="AE1329" s="17"/>
      <c r="AF1329" s="17"/>
      <c r="AG1329" s="17"/>
      <c r="AH1329" s="17"/>
      <c r="AI1329" s="17"/>
      <c r="AJ1329" s="17"/>
      <c r="AK1329" s="17"/>
      <c r="AL1329" s="17"/>
      <c r="AM1329" s="17"/>
      <c r="AN1329" s="18"/>
    </row>
    <row r="1330" ht="13.55" customHeight="1">
      <c r="A1330" s="32"/>
      <c r="B1330" s="17"/>
      <c r="C1330" s="17"/>
      <c r="D1330" s="17"/>
      <c r="E1330" s="17"/>
      <c r="F1330" s="17"/>
      <c r="G1330" s="17"/>
      <c r="H1330" s="17"/>
      <c r="I1330" s="17"/>
      <c r="J1330" s="17"/>
      <c r="K1330" s="17"/>
      <c r="L1330" s="17"/>
      <c r="M1330" s="17"/>
      <c r="N1330" s="17"/>
      <c r="O1330" s="17"/>
      <c r="P1330" s="17"/>
      <c r="Q1330" s="17"/>
      <c r="R1330" s="17"/>
      <c r="S1330" s="17"/>
      <c r="T1330" s="17"/>
      <c r="U1330" s="17"/>
      <c r="V1330" s="17"/>
      <c r="W1330" s="17"/>
      <c r="X1330" s="17"/>
      <c r="Y1330" s="17"/>
      <c r="Z1330" s="17"/>
      <c r="AA1330" s="17"/>
      <c r="AB1330" s="17"/>
      <c r="AC1330" s="17"/>
      <c r="AD1330" s="17"/>
      <c r="AE1330" s="17"/>
      <c r="AF1330" s="17"/>
      <c r="AG1330" s="17"/>
      <c r="AH1330" s="17"/>
      <c r="AI1330" s="17"/>
      <c r="AJ1330" s="17"/>
      <c r="AK1330" s="17"/>
      <c r="AL1330" s="17"/>
      <c r="AM1330" s="17"/>
      <c r="AN1330" s="18"/>
    </row>
    <row r="1331" ht="13.55" customHeight="1">
      <c r="A1331" s="32"/>
      <c r="B1331" s="17"/>
      <c r="C1331" s="17"/>
      <c r="D1331" s="17"/>
      <c r="E1331" s="17"/>
      <c r="F1331" s="17"/>
      <c r="G1331" s="17"/>
      <c r="H1331" s="17"/>
      <c r="I1331" s="17"/>
      <c r="J1331" s="17"/>
      <c r="K1331" s="17"/>
      <c r="L1331" s="17"/>
      <c r="M1331" s="17"/>
      <c r="N1331" s="17"/>
      <c r="O1331" s="17"/>
      <c r="P1331" s="17"/>
      <c r="Q1331" s="17"/>
      <c r="R1331" s="17"/>
      <c r="S1331" s="17"/>
      <c r="T1331" s="17"/>
      <c r="U1331" s="17"/>
      <c r="V1331" s="17"/>
      <c r="W1331" s="17"/>
      <c r="X1331" s="17"/>
      <c r="Y1331" s="17"/>
      <c r="Z1331" s="17"/>
      <c r="AA1331" s="17"/>
      <c r="AB1331" s="17"/>
      <c r="AC1331" s="17"/>
      <c r="AD1331" s="17"/>
      <c r="AE1331" s="17"/>
      <c r="AF1331" s="17"/>
      <c r="AG1331" s="17"/>
      <c r="AH1331" s="17"/>
      <c r="AI1331" s="17"/>
      <c r="AJ1331" s="17"/>
      <c r="AK1331" s="17"/>
      <c r="AL1331" s="17"/>
      <c r="AM1331" s="17"/>
      <c r="AN1331" s="18"/>
    </row>
    <row r="1332" ht="13.55" customHeight="1">
      <c r="A1332" s="32"/>
      <c r="B1332" s="17"/>
      <c r="C1332" s="17"/>
      <c r="D1332" s="17"/>
      <c r="E1332" s="17"/>
      <c r="F1332" s="17"/>
      <c r="G1332" s="17"/>
      <c r="H1332" s="17"/>
      <c r="I1332" s="17"/>
      <c r="J1332" s="17"/>
      <c r="K1332" s="17"/>
      <c r="L1332" s="17"/>
      <c r="M1332" s="17"/>
      <c r="N1332" s="17"/>
      <c r="O1332" s="17"/>
      <c r="P1332" s="17"/>
      <c r="Q1332" s="17"/>
      <c r="R1332" s="17"/>
      <c r="S1332" s="17"/>
      <c r="T1332" s="17"/>
      <c r="U1332" s="17"/>
      <c r="V1332" s="17"/>
      <c r="W1332" s="17"/>
      <c r="X1332" s="17"/>
      <c r="Y1332" s="17"/>
      <c r="Z1332" s="17"/>
      <c r="AA1332" s="17"/>
      <c r="AB1332" s="17"/>
      <c r="AC1332" s="17"/>
      <c r="AD1332" s="17"/>
      <c r="AE1332" s="17"/>
      <c r="AF1332" s="17"/>
      <c r="AG1332" s="17"/>
      <c r="AH1332" s="17"/>
      <c r="AI1332" s="17"/>
      <c r="AJ1332" s="17"/>
      <c r="AK1332" s="17"/>
      <c r="AL1332" s="17"/>
      <c r="AM1332" s="17"/>
      <c r="AN1332" s="18"/>
    </row>
    <row r="1333" ht="13.55" customHeight="1">
      <c r="A1333" s="32"/>
      <c r="B1333" s="17"/>
      <c r="C1333" s="17"/>
      <c r="D1333" s="17"/>
      <c r="E1333" s="17"/>
      <c r="F1333" s="17"/>
      <c r="G1333" s="17"/>
      <c r="H1333" s="17"/>
      <c r="I1333" s="17"/>
      <c r="J1333" s="17"/>
      <c r="K1333" s="17"/>
      <c r="L1333" s="17"/>
      <c r="M1333" s="17"/>
      <c r="N1333" s="17"/>
      <c r="O1333" s="17"/>
      <c r="P1333" s="17"/>
      <c r="Q1333" s="17"/>
      <c r="R1333" s="17"/>
      <c r="S1333" s="17"/>
      <c r="T1333" s="17"/>
      <c r="U1333" s="17"/>
      <c r="V1333" s="17"/>
      <c r="W1333" s="17"/>
      <c r="X1333" s="17"/>
      <c r="Y1333" s="17"/>
      <c r="Z1333" s="17"/>
      <c r="AA1333" s="17"/>
      <c r="AB1333" s="17"/>
      <c r="AC1333" s="17"/>
      <c r="AD1333" s="17"/>
      <c r="AE1333" s="17"/>
      <c r="AF1333" s="17"/>
      <c r="AG1333" s="17"/>
      <c r="AH1333" s="17"/>
      <c r="AI1333" s="17"/>
      <c r="AJ1333" s="17"/>
      <c r="AK1333" s="17"/>
      <c r="AL1333" s="17"/>
      <c r="AM1333" s="17"/>
      <c r="AN1333" s="18"/>
    </row>
    <row r="1334" ht="13.55" customHeight="1">
      <c r="A1334" s="32"/>
      <c r="B1334" s="17"/>
      <c r="C1334" s="17"/>
      <c r="D1334" s="17"/>
      <c r="E1334" s="17"/>
      <c r="F1334" s="17"/>
      <c r="G1334" s="17"/>
      <c r="H1334" s="17"/>
      <c r="I1334" s="17"/>
      <c r="J1334" s="17"/>
      <c r="K1334" s="17"/>
      <c r="L1334" s="17"/>
      <c r="M1334" s="17"/>
      <c r="N1334" s="17"/>
      <c r="O1334" s="17"/>
      <c r="P1334" s="17"/>
      <c r="Q1334" s="17"/>
      <c r="R1334" s="17"/>
      <c r="S1334" s="17"/>
      <c r="T1334" s="17"/>
      <c r="U1334" s="17"/>
      <c r="V1334" s="17"/>
      <c r="W1334" s="17"/>
      <c r="X1334" s="17"/>
      <c r="Y1334" s="17"/>
      <c r="Z1334" s="17"/>
      <c r="AA1334" s="17"/>
      <c r="AB1334" s="17"/>
      <c r="AC1334" s="17"/>
      <c r="AD1334" s="17"/>
      <c r="AE1334" s="17"/>
      <c r="AF1334" s="17"/>
      <c r="AG1334" s="17"/>
      <c r="AH1334" s="17"/>
      <c r="AI1334" s="17"/>
      <c r="AJ1334" s="17"/>
      <c r="AK1334" s="17"/>
      <c r="AL1334" s="17"/>
      <c r="AM1334" s="17"/>
      <c r="AN1334" s="18"/>
    </row>
    <row r="1335" ht="13.55" customHeight="1">
      <c r="A1335" s="32"/>
      <c r="B1335" s="17"/>
      <c r="C1335" s="17"/>
      <c r="D1335" s="17"/>
      <c r="E1335" s="17"/>
      <c r="F1335" s="17"/>
      <c r="G1335" s="17"/>
      <c r="H1335" s="17"/>
      <c r="I1335" s="17"/>
      <c r="J1335" s="17"/>
      <c r="K1335" s="17"/>
      <c r="L1335" s="17"/>
      <c r="M1335" s="17"/>
      <c r="N1335" s="17"/>
      <c r="O1335" s="17"/>
      <c r="P1335" s="17"/>
      <c r="Q1335" s="17"/>
      <c r="R1335" s="17"/>
      <c r="S1335" s="17"/>
      <c r="T1335" s="17"/>
      <c r="U1335" s="17"/>
      <c r="V1335" s="17"/>
      <c r="W1335" s="17"/>
      <c r="X1335" s="17"/>
      <c r="Y1335" s="17"/>
      <c r="Z1335" s="17"/>
      <c r="AA1335" s="17"/>
      <c r="AB1335" s="17"/>
      <c r="AC1335" s="17"/>
      <c r="AD1335" s="17"/>
      <c r="AE1335" s="17"/>
      <c r="AF1335" s="17"/>
      <c r="AG1335" s="17"/>
      <c r="AH1335" s="17"/>
      <c r="AI1335" s="17"/>
      <c r="AJ1335" s="17"/>
      <c r="AK1335" s="17"/>
      <c r="AL1335" s="17"/>
      <c r="AM1335" s="17"/>
      <c r="AN1335" s="18"/>
    </row>
    <row r="1336" ht="13.55" customHeight="1">
      <c r="A1336" s="32"/>
      <c r="B1336" s="17"/>
      <c r="C1336" s="17"/>
      <c r="D1336" s="17"/>
      <c r="E1336" s="17"/>
      <c r="F1336" s="17"/>
      <c r="G1336" s="17"/>
      <c r="H1336" s="17"/>
      <c r="I1336" s="17"/>
      <c r="J1336" s="17"/>
      <c r="K1336" s="17"/>
      <c r="L1336" s="17"/>
      <c r="M1336" s="17"/>
      <c r="N1336" s="17"/>
      <c r="O1336" s="17"/>
      <c r="P1336" s="17"/>
      <c r="Q1336" s="17"/>
      <c r="R1336" s="17"/>
      <c r="S1336" s="17"/>
      <c r="T1336" s="17"/>
      <c r="U1336" s="17"/>
      <c r="V1336" s="17"/>
      <c r="W1336" s="17"/>
      <c r="X1336" s="17"/>
      <c r="Y1336" s="17"/>
      <c r="Z1336" s="17"/>
      <c r="AA1336" s="17"/>
      <c r="AB1336" s="17"/>
      <c r="AC1336" s="17"/>
      <c r="AD1336" s="17"/>
      <c r="AE1336" s="17"/>
      <c r="AF1336" s="17"/>
      <c r="AG1336" s="17"/>
      <c r="AH1336" s="17"/>
      <c r="AI1336" s="17"/>
      <c r="AJ1336" s="17"/>
      <c r="AK1336" s="17"/>
      <c r="AL1336" s="17"/>
      <c r="AM1336" s="17"/>
      <c r="AN1336" s="18"/>
    </row>
    <row r="1337" ht="13.55" customHeight="1">
      <c r="A1337" s="32"/>
      <c r="B1337" s="17"/>
      <c r="C1337" s="17"/>
      <c r="D1337" s="17"/>
      <c r="E1337" s="17"/>
      <c r="F1337" s="17"/>
      <c r="G1337" s="17"/>
      <c r="H1337" s="17"/>
      <c r="I1337" s="17"/>
      <c r="J1337" s="17"/>
      <c r="K1337" s="17"/>
      <c r="L1337" s="17"/>
      <c r="M1337" s="17"/>
      <c r="N1337" s="17"/>
      <c r="O1337" s="17"/>
      <c r="P1337" s="17"/>
      <c r="Q1337" s="17"/>
      <c r="R1337" s="17"/>
      <c r="S1337" s="17"/>
      <c r="T1337" s="17"/>
      <c r="U1337" s="17"/>
      <c r="V1337" s="17"/>
      <c r="W1337" s="17"/>
      <c r="X1337" s="17"/>
      <c r="Y1337" s="17"/>
      <c r="Z1337" s="17"/>
      <c r="AA1337" s="17"/>
      <c r="AB1337" s="17"/>
      <c r="AC1337" s="17"/>
      <c r="AD1337" s="17"/>
      <c r="AE1337" s="17"/>
      <c r="AF1337" s="17"/>
      <c r="AG1337" s="17"/>
      <c r="AH1337" s="17"/>
      <c r="AI1337" s="17"/>
      <c r="AJ1337" s="17"/>
      <c r="AK1337" s="17"/>
      <c r="AL1337" s="17"/>
      <c r="AM1337" s="17"/>
      <c r="AN1337" s="18"/>
    </row>
    <row r="1338" ht="13.55" customHeight="1">
      <c r="A1338" s="32"/>
      <c r="B1338" s="17"/>
      <c r="C1338" s="17"/>
      <c r="D1338" s="17"/>
      <c r="E1338" s="17"/>
      <c r="F1338" s="17"/>
      <c r="G1338" s="17"/>
      <c r="H1338" s="17"/>
      <c r="I1338" s="17"/>
      <c r="J1338" s="17"/>
      <c r="K1338" s="17"/>
      <c r="L1338" s="17"/>
      <c r="M1338" s="17"/>
      <c r="N1338" s="17"/>
      <c r="O1338" s="17"/>
      <c r="P1338" s="17"/>
      <c r="Q1338" s="17"/>
      <c r="R1338" s="17"/>
      <c r="S1338" s="17"/>
      <c r="T1338" s="17"/>
      <c r="U1338" s="17"/>
      <c r="V1338" s="17"/>
      <c r="W1338" s="17"/>
      <c r="X1338" s="17"/>
      <c r="Y1338" s="17"/>
      <c r="Z1338" s="17"/>
      <c r="AA1338" s="17"/>
      <c r="AB1338" s="17"/>
      <c r="AC1338" s="17"/>
      <c r="AD1338" s="17"/>
      <c r="AE1338" s="17"/>
      <c r="AF1338" s="17"/>
      <c r="AG1338" s="17"/>
      <c r="AH1338" s="17"/>
      <c r="AI1338" s="17"/>
      <c r="AJ1338" s="17"/>
      <c r="AK1338" s="17"/>
      <c r="AL1338" s="17"/>
      <c r="AM1338" s="17"/>
      <c r="AN1338" s="18"/>
    </row>
    <row r="1339" ht="13.55" customHeight="1">
      <c r="A1339" s="32"/>
      <c r="B1339" s="17"/>
      <c r="C1339" s="17"/>
      <c r="D1339" s="17"/>
      <c r="E1339" s="17"/>
      <c r="F1339" s="17"/>
      <c r="G1339" s="17"/>
      <c r="H1339" s="17"/>
      <c r="I1339" s="17"/>
      <c r="J1339" s="17"/>
      <c r="K1339" s="17"/>
      <c r="L1339" s="17"/>
      <c r="M1339" s="17"/>
      <c r="N1339" s="17"/>
      <c r="O1339" s="17"/>
      <c r="P1339" s="17"/>
      <c r="Q1339" s="17"/>
      <c r="R1339" s="17"/>
      <c r="S1339" s="17"/>
      <c r="T1339" s="17"/>
      <c r="U1339" s="17"/>
      <c r="V1339" s="17"/>
      <c r="W1339" s="17"/>
      <c r="X1339" s="17"/>
      <c r="Y1339" s="17"/>
      <c r="Z1339" s="17"/>
      <c r="AA1339" s="17"/>
      <c r="AB1339" s="17"/>
      <c r="AC1339" s="17"/>
      <c r="AD1339" s="17"/>
      <c r="AE1339" s="17"/>
      <c r="AF1339" s="17"/>
      <c r="AG1339" s="17"/>
      <c r="AH1339" s="17"/>
      <c r="AI1339" s="17"/>
      <c r="AJ1339" s="17"/>
      <c r="AK1339" s="17"/>
      <c r="AL1339" s="17"/>
      <c r="AM1339" s="17"/>
      <c r="AN1339" s="18"/>
    </row>
    <row r="1340" ht="13.55" customHeight="1">
      <c r="A1340" s="32"/>
      <c r="B1340" s="17"/>
      <c r="C1340" s="17"/>
      <c r="D1340" s="17"/>
      <c r="E1340" s="17"/>
      <c r="F1340" s="17"/>
      <c r="G1340" s="17"/>
      <c r="H1340" s="17"/>
      <c r="I1340" s="17"/>
      <c r="J1340" s="17"/>
      <c r="K1340" s="17"/>
      <c r="L1340" s="17"/>
      <c r="M1340" s="17"/>
      <c r="N1340" s="17"/>
      <c r="O1340" s="17"/>
      <c r="P1340" s="17"/>
      <c r="Q1340" s="17"/>
      <c r="R1340" s="17"/>
      <c r="S1340" s="17"/>
      <c r="T1340" s="17"/>
      <c r="U1340" s="17"/>
      <c r="V1340" s="17"/>
      <c r="W1340" s="17"/>
      <c r="X1340" s="17"/>
      <c r="Y1340" s="17"/>
      <c r="Z1340" s="17"/>
      <c r="AA1340" s="17"/>
      <c r="AB1340" s="17"/>
      <c r="AC1340" s="17"/>
      <c r="AD1340" s="17"/>
      <c r="AE1340" s="17"/>
      <c r="AF1340" s="17"/>
      <c r="AG1340" s="17"/>
      <c r="AH1340" s="17"/>
      <c r="AI1340" s="17"/>
      <c r="AJ1340" s="17"/>
      <c r="AK1340" s="17"/>
      <c r="AL1340" s="17"/>
      <c r="AM1340" s="17"/>
      <c r="AN1340" s="18"/>
    </row>
    <row r="1341" ht="13.55" customHeight="1">
      <c r="A1341" s="32"/>
      <c r="B1341" s="17"/>
      <c r="C1341" s="17"/>
      <c r="D1341" s="17"/>
      <c r="E1341" s="17"/>
      <c r="F1341" s="17"/>
      <c r="G1341" s="17"/>
      <c r="H1341" s="17"/>
      <c r="I1341" s="17"/>
      <c r="J1341" s="17"/>
      <c r="K1341" s="17"/>
      <c r="L1341" s="17"/>
      <c r="M1341" s="17"/>
      <c r="N1341" s="17"/>
      <c r="O1341" s="17"/>
      <c r="P1341" s="17"/>
      <c r="Q1341" s="17"/>
      <c r="R1341" s="17"/>
      <c r="S1341" s="17"/>
      <c r="T1341" s="17"/>
      <c r="U1341" s="17"/>
      <c r="V1341" s="17"/>
      <c r="W1341" s="17"/>
      <c r="X1341" s="17"/>
      <c r="Y1341" s="17"/>
      <c r="Z1341" s="17"/>
      <c r="AA1341" s="17"/>
      <c r="AB1341" s="17"/>
      <c r="AC1341" s="17"/>
      <c r="AD1341" s="17"/>
      <c r="AE1341" s="17"/>
      <c r="AF1341" s="17"/>
      <c r="AG1341" s="17"/>
      <c r="AH1341" s="17"/>
      <c r="AI1341" s="17"/>
      <c r="AJ1341" s="17"/>
      <c r="AK1341" s="17"/>
      <c r="AL1341" s="17"/>
      <c r="AM1341" s="17"/>
      <c r="AN1341" s="18"/>
    </row>
    <row r="1342" ht="13.55" customHeight="1">
      <c r="A1342" s="32"/>
      <c r="B1342" s="17"/>
      <c r="C1342" s="17"/>
      <c r="D1342" s="17"/>
      <c r="E1342" s="17"/>
      <c r="F1342" s="17"/>
      <c r="G1342" s="17"/>
      <c r="H1342" s="17"/>
      <c r="I1342" s="17"/>
      <c r="J1342" s="17"/>
      <c r="K1342" s="17"/>
      <c r="L1342" s="17"/>
      <c r="M1342" s="17"/>
      <c r="N1342" s="17"/>
      <c r="O1342" s="17"/>
      <c r="P1342" s="17"/>
      <c r="Q1342" s="17"/>
      <c r="R1342" s="17"/>
      <c r="S1342" s="17"/>
      <c r="T1342" s="17"/>
      <c r="U1342" s="17"/>
      <c r="V1342" s="17"/>
      <c r="W1342" s="17"/>
      <c r="X1342" s="17"/>
      <c r="Y1342" s="17"/>
      <c r="Z1342" s="17"/>
      <c r="AA1342" s="17"/>
      <c r="AB1342" s="17"/>
      <c r="AC1342" s="17"/>
      <c r="AD1342" s="17"/>
      <c r="AE1342" s="17"/>
      <c r="AF1342" s="17"/>
      <c r="AG1342" s="17"/>
      <c r="AH1342" s="17"/>
      <c r="AI1342" s="17"/>
      <c r="AJ1342" s="17"/>
      <c r="AK1342" s="17"/>
      <c r="AL1342" s="17"/>
      <c r="AM1342" s="17"/>
      <c r="AN1342" s="18"/>
    </row>
    <row r="1343" ht="13.55" customHeight="1">
      <c r="A1343" s="32"/>
      <c r="B1343" s="17"/>
      <c r="C1343" s="17"/>
      <c r="D1343" s="17"/>
      <c r="E1343" s="17"/>
      <c r="F1343" s="17"/>
      <c r="G1343" s="17"/>
      <c r="H1343" s="17"/>
      <c r="I1343" s="17"/>
      <c r="J1343" s="17"/>
      <c r="K1343" s="17"/>
      <c r="L1343" s="17"/>
      <c r="M1343" s="17"/>
      <c r="N1343" s="17"/>
      <c r="O1343" s="17"/>
      <c r="P1343" s="17"/>
      <c r="Q1343" s="17"/>
      <c r="R1343" s="17"/>
      <c r="S1343" s="17"/>
      <c r="T1343" s="17"/>
      <c r="U1343" s="17"/>
      <c r="V1343" s="17"/>
      <c r="W1343" s="17"/>
      <c r="X1343" s="17"/>
      <c r="Y1343" s="17"/>
      <c r="Z1343" s="17"/>
      <c r="AA1343" s="17"/>
      <c r="AB1343" s="17"/>
      <c r="AC1343" s="17"/>
      <c r="AD1343" s="17"/>
      <c r="AE1343" s="17"/>
      <c r="AF1343" s="17"/>
      <c r="AG1343" s="17"/>
      <c r="AH1343" s="17"/>
      <c r="AI1343" s="17"/>
      <c r="AJ1343" s="17"/>
      <c r="AK1343" s="17"/>
      <c r="AL1343" s="17"/>
      <c r="AM1343" s="17"/>
      <c r="AN1343" s="18"/>
    </row>
    <row r="1344" ht="13.55" customHeight="1">
      <c r="A1344" s="32"/>
      <c r="B1344" s="17"/>
      <c r="C1344" s="17"/>
      <c r="D1344" s="17"/>
      <c r="E1344" s="17"/>
      <c r="F1344" s="17"/>
      <c r="G1344" s="17"/>
      <c r="H1344" s="17"/>
      <c r="I1344" s="17"/>
      <c r="J1344" s="17"/>
      <c r="K1344" s="17"/>
      <c r="L1344" s="17"/>
      <c r="M1344" s="17"/>
      <c r="N1344" s="17"/>
      <c r="O1344" s="17"/>
      <c r="P1344" s="17"/>
      <c r="Q1344" s="17"/>
      <c r="R1344" s="17"/>
      <c r="S1344" s="17"/>
      <c r="T1344" s="17"/>
      <c r="U1344" s="17"/>
      <c r="V1344" s="17"/>
      <c r="W1344" s="17"/>
      <c r="X1344" s="17"/>
      <c r="Y1344" s="17"/>
      <c r="Z1344" s="17"/>
      <c r="AA1344" s="17"/>
      <c r="AB1344" s="17"/>
      <c r="AC1344" s="17"/>
      <c r="AD1344" s="17"/>
      <c r="AE1344" s="17"/>
      <c r="AF1344" s="17"/>
      <c r="AG1344" s="17"/>
      <c r="AH1344" s="17"/>
      <c r="AI1344" s="17"/>
      <c r="AJ1344" s="17"/>
      <c r="AK1344" s="17"/>
      <c r="AL1344" s="17"/>
      <c r="AM1344" s="17"/>
      <c r="AN1344" s="18"/>
    </row>
    <row r="1345" ht="13.55" customHeight="1">
      <c r="A1345" s="32"/>
      <c r="B1345" s="17"/>
      <c r="C1345" s="17"/>
      <c r="D1345" s="17"/>
      <c r="E1345" s="17"/>
      <c r="F1345" s="17"/>
      <c r="G1345" s="17"/>
      <c r="H1345" s="17"/>
      <c r="I1345" s="17"/>
      <c r="J1345" s="17"/>
      <c r="K1345" s="17"/>
      <c r="L1345" s="17"/>
      <c r="M1345" s="17"/>
      <c r="N1345" s="17"/>
      <c r="O1345" s="17"/>
      <c r="P1345" s="17"/>
      <c r="Q1345" s="17"/>
      <c r="R1345" s="17"/>
      <c r="S1345" s="17"/>
      <c r="T1345" s="17"/>
      <c r="U1345" s="17"/>
      <c r="V1345" s="17"/>
      <c r="W1345" s="17"/>
      <c r="X1345" s="17"/>
      <c r="Y1345" s="17"/>
      <c r="Z1345" s="17"/>
      <c r="AA1345" s="17"/>
      <c r="AB1345" s="17"/>
      <c r="AC1345" s="17"/>
      <c r="AD1345" s="17"/>
      <c r="AE1345" s="17"/>
      <c r="AF1345" s="17"/>
      <c r="AG1345" s="17"/>
      <c r="AH1345" s="17"/>
      <c r="AI1345" s="17"/>
      <c r="AJ1345" s="17"/>
      <c r="AK1345" s="17"/>
      <c r="AL1345" s="17"/>
      <c r="AM1345" s="17"/>
      <c r="AN1345" s="18"/>
    </row>
    <row r="1346" ht="13.55" customHeight="1">
      <c r="A1346" s="32"/>
      <c r="B1346" s="17"/>
      <c r="C1346" s="17"/>
      <c r="D1346" s="17"/>
      <c r="E1346" s="17"/>
      <c r="F1346" s="17"/>
      <c r="G1346" s="17"/>
      <c r="H1346" s="17"/>
      <c r="I1346" s="17"/>
      <c r="J1346" s="17"/>
      <c r="K1346" s="17"/>
      <c r="L1346" s="17"/>
      <c r="M1346" s="17"/>
      <c r="N1346" s="17"/>
      <c r="O1346" s="17"/>
      <c r="P1346" s="17"/>
      <c r="Q1346" s="17"/>
      <c r="R1346" s="17"/>
      <c r="S1346" s="17"/>
      <c r="T1346" s="17"/>
      <c r="U1346" s="17"/>
      <c r="V1346" s="17"/>
      <c r="W1346" s="17"/>
      <c r="X1346" s="17"/>
      <c r="Y1346" s="17"/>
      <c r="Z1346" s="17"/>
      <c r="AA1346" s="17"/>
      <c r="AB1346" s="17"/>
      <c r="AC1346" s="17"/>
      <c r="AD1346" s="17"/>
      <c r="AE1346" s="17"/>
      <c r="AF1346" s="17"/>
      <c r="AG1346" s="17"/>
      <c r="AH1346" s="17"/>
      <c r="AI1346" s="17"/>
      <c r="AJ1346" s="17"/>
      <c r="AK1346" s="17"/>
      <c r="AL1346" s="17"/>
      <c r="AM1346" s="17"/>
      <c r="AN1346" s="18"/>
    </row>
    <row r="1347" ht="13.55" customHeight="1">
      <c r="A1347" s="32"/>
      <c r="B1347" s="17"/>
      <c r="C1347" s="17"/>
      <c r="D1347" s="17"/>
      <c r="E1347" s="17"/>
      <c r="F1347" s="17"/>
      <c r="G1347" s="17"/>
      <c r="H1347" s="17"/>
      <c r="I1347" s="17"/>
      <c r="J1347" s="17"/>
      <c r="K1347" s="17"/>
      <c r="L1347" s="17"/>
      <c r="M1347" s="17"/>
      <c r="N1347" s="17"/>
      <c r="O1347" s="17"/>
      <c r="P1347" s="17"/>
      <c r="Q1347" s="17"/>
      <c r="R1347" s="17"/>
      <c r="S1347" s="17"/>
      <c r="T1347" s="17"/>
      <c r="U1347" s="17"/>
      <c r="V1347" s="17"/>
      <c r="W1347" s="17"/>
      <c r="X1347" s="17"/>
      <c r="Y1347" s="17"/>
      <c r="Z1347" s="17"/>
      <c r="AA1347" s="17"/>
      <c r="AB1347" s="17"/>
      <c r="AC1347" s="17"/>
      <c r="AD1347" s="17"/>
      <c r="AE1347" s="17"/>
      <c r="AF1347" s="17"/>
      <c r="AG1347" s="17"/>
      <c r="AH1347" s="17"/>
      <c r="AI1347" s="17"/>
      <c r="AJ1347" s="17"/>
      <c r="AK1347" s="17"/>
      <c r="AL1347" s="17"/>
      <c r="AM1347" s="17"/>
      <c r="AN1347" s="18"/>
    </row>
    <row r="1348" ht="13.55" customHeight="1">
      <c r="A1348" s="32"/>
      <c r="B1348" s="17"/>
      <c r="C1348" s="17"/>
      <c r="D1348" s="17"/>
      <c r="E1348" s="17"/>
      <c r="F1348" s="17"/>
      <c r="G1348" s="17"/>
      <c r="H1348" s="17"/>
      <c r="I1348" s="17"/>
      <c r="J1348" s="17"/>
      <c r="K1348" s="17"/>
      <c r="L1348" s="17"/>
      <c r="M1348" s="17"/>
      <c r="N1348" s="17"/>
      <c r="O1348" s="17"/>
      <c r="P1348" s="17"/>
      <c r="Q1348" s="17"/>
      <c r="R1348" s="17"/>
      <c r="S1348" s="17"/>
      <c r="T1348" s="17"/>
      <c r="U1348" s="17"/>
      <c r="V1348" s="17"/>
      <c r="W1348" s="17"/>
      <c r="X1348" s="17"/>
      <c r="Y1348" s="17"/>
      <c r="Z1348" s="17"/>
      <c r="AA1348" s="17"/>
      <c r="AB1348" s="17"/>
      <c r="AC1348" s="17"/>
      <c r="AD1348" s="17"/>
      <c r="AE1348" s="17"/>
      <c r="AF1348" s="17"/>
      <c r="AG1348" s="17"/>
      <c r="AH1348" s="17"/>
      <c r="AI1348" s="17"/>
      <c r="AJ1348" s="17"/>
      <c r="AK1348" s="17"/>
      <c r="AL1348" s="17"/>
      <c r="AM1348" s="17"/>
      <c r="AN1348" s="18"/>
    </row>
    <row r="1349" ht="13.55" customHeight="1">
      <c r="A1349" s="32"/>
      <c r="B1349" s="17"/>
      <c r="C1349" s="17"/>
      <c r="D1349" s="17"/>
      <c r="E1349" s="17"/>
      <c r="F1349" s="17"/>
      <c r="G1349" s="17"/>
      <c r="H1349" s="17"/>
      <c r="I1349" s="17"/>
      <c r="J1349" s="17"/>
      <c r="K1349" s="17"/>
      <c r="L1349" s="17"/>
      <c r="M1349" s="17"/>
      <c r="N1349" s="17"/>
      <c r="O1349" s="17"/>
      <c r="P1349" s="17"/>
      <c r="Q1349" s="17"/>
      <c r="R1349" s="17"/>
      <c r="S1349" s="17"/>
      <c r="T1349" s="17"/>
      <c r="U1349" s="17"/>
      <c r="V1349" s="17"/>
      <c r="W1349" s="17"/>
      <c r="X1349" s="17"/>
      <c r="Y1349" s="17"/>
      <c r="Z1349" s="17"/>
      <c r="AA1349" s="17"/>
      <c r="AB1349" s="17"/>
      <c r="AC1349" s="17"/>
      <c r="AD1349" s="17"/>
      <c r="AE1349" s="17"/>
      <c r="AF1349" s="17"/>
      <c r="AG1349" s="17"/>
      <c r="AH1349" s="17"/>
      <c r="AI1349" s="17"/>
      <c r="AJ1349" s="17"/>
      <c r="AK1349" s="17"/>
      <c r="AL1349" s="17"/>
      <c r="AM1349" s="17"/>
      <c r="AN1349" s="18"/>
    </row>
    <row r="1350" ht="13.55" customHeight="1">
      <c r="A1350" s="32"/>
      <c r="B1350" s="17"/>
      <c r="C1350" s="17"/>
      <c r="D1350" s="17"/>
      <c r="E1350" s="17"/>
      <c r="F1350" s="17"/>
      <c r="G1350" s="17"/>
      <c r="H1350" s="17"/>
      <c r="I1350" s="17"/>
      <c r="J1350" s="17"/>
      <c r="K1350" s="17"/>
      <c r="L1350" s="17"/>
      <c r="M1350" s="17"/>
      <c r="N1350" s="17"/>
      <c r="O1350" s="17"/>
      <c r="P1350" s="17"/>
      <c r="Q1350" s="17"/>
      <c r="R1350" s="17"/>
      <c r="S1350" s="17"/>
      <c r="T1350" s="17"/>
      <c r="U1350" s="17"/>
      <c r="V1350" s="17"/>
      <c r="W1350" s="17"/>
      <c r="X1350" s="17"/>
      <c r="Y1350" s="17"/>
      <c r="Z1350" s="17"/>
      <c r="AA1350" s="17"/>
      <c r="AB1350" s="17"/>
      <c r="AC1350" s="17"/>
      <c r="AD1350" s="17"/>
      <c r="AE1350" s="17"/>
      <c r="AF1350" s="17"/>
      <c r="AG1350" s="17"/>
      <c r="AH1350" s="17"/>
      <c r="AI1350" s="17"/>
      <c r="AJ1350" s="17"/>
      <c r="AK1350" s="17"/>
      <c r="AL1350" s="17"/>
      <c r="AM1350" s="17"/>
      <c r="AN1350" s="18"/>
    </row>
    <row r="1351" ht="13.55" customHeight="1">
      <c r="A1351" s="32"/>
      <c r="B1351" s="17"/>
      <c r="C1351" s="17"/>
      <c r="D1351" s="17"/>
      <c r="E1351" s="17"/>
      <c r="F1351" s="17"/>
      <c r="G1351" s="17"/>
      <c r="H1351" s="17"/>
      <c r="I1351" s="17"/>
      <c r="J1351" s="17"/>
      <c r="K1351" s="17"/>
      <c r="L1351" s="17"/>
      <c r="M1351" s="17"/>
      <c r="N1351" s="17"/>
      <c r="O1351" s="17"/>
      <c r="P1351" s="17"/>
      <c r="Q1351" s="17"/>
      <c r="R1351" s="17"/>
      <c r="S1351" s="17"/>
      <c r="T1351" s="17"/>
      <c r="U1351" s="17"/>
      <c r="V1351" s="17"/>
      <c r="W1351" s="17"/>
      <c r="X1351" s="17"/>
      <c r="Y1351" s="17"/>
      <c r="Z1351" s="17"/>
      <c r="AA1351" s="17"/>
      <c r="AB1351" s="17"/>
      <c r="AC1351" s="17"/>
      <c r="AD1351" s="17"/>
      <c r="AE1351" s="17"/>
      <c r="AF1351" s="17"/>
      <c r="AG1351" s="17"/>
      <c r="AH1351" s="17"/>
      <c r="AI1351" s="17"/>
      <c r="AJ1351" s="17"/>
      <c r="AK1351" s="17"/>
      <c r="AL1351" s="17"/>
      <c r="AM1351" s="17"/>
      <c r="AN1351" s="18"/>
    </row>
    <row r="1352" ht="13.55" customHeight="1">
      <c r="A1352" s="32"/>
      <c r="B1352" s="17"/>
      <c r="C1352" s="17"/>
      <c r="D1352" s="17"/>
      <c r="E1352" s="17"/>
      <c r="F1352" s="17"/>
      <c r="G1352" s="17"/>
      <c r="H1352" s="17"/>
      <c r="I1352" s="17"/>
      <c r="J1352" s="17"/>
      <c r="K1352" s="17"/>
      <c r="L1352" s="17"/>
      <c r="M1352" s="17"/>
      <c r="N1352" s="17"/>
      <c r="O1352" s="17"/>
      <c r="P1352" s="17"/>
      <c r="Q1352" s="17"/>
      <c r="R1352" s="17"/>
      <c r="S1352" s="17"/>
      <c r="T1352" s="17"/>
      <c r="U1352" s="17"/>
      <c r="V1352" s="17"/>
      <c r="W1352" s="17"/>
      <c r="X1352" s="17"/>
      <c r="Y1352" s="17"/>
      <c r="Z1352" s="17"/>
      <c r="AA1352" s="17"/>
      <c r="AB1352" s="17"/>
      <c r="AC1352" s="17"/>
      <c r="AD1352" s="17"/>
      <c r="AE1352" s="17"/>
      <c r="AF1352" s="17"/>
      <c r="AG1352" s="17"/>
      <c r="AH1352" s="17"/>
      <c r="AI1352" s="17"/>
      <c r="AJ1352" s="17"/>
      <c r="AK1352" s="17"/>
      <c r="AL1352" s="17"/>
      <c r="AM1352" s="17"/>
      <c r="AN1352" s="18"/>
    </row>
    <row r="1353" ht="13.55" customHeight="1">
      <c r="A1353" s="32"/>
      <c r="B1353" s="17"/>
      <c r="C1353" s="17"/>
      <c r="D1353" s="17"/>
      <c r="E1353" s="17"/>
      <c r="F1353" s="17"/>
      <c r="G1353" s="17"/>
      <c r="H1353" s="17"/>
      <c r="I1353" s="17"/>
      <c r="J1353" s="17"/>
      <c r="K1353" s="17"/>
      <c r="L1353" s="17"/>
      <c r="M1353" s="17"/>
      <c r="N1353" s="17"/>
      <c r="O1353" s="17"/>
      <c r="P1353" s="17"/>
      <c r="Q1353" s="17"/>
      <c r="R1353" s="17"/>
      <c r="S1353" s="17"/>
      <c r="T1353" s="17"/>
      <c r="U1353" s="17"/>
      <c r="V1353" s="17"/>
      <c r="W1353" s="17"/>
      <c r="X1353" s="17"/>
      <c r="Y1353" s="17"/>
      <c r="Z1353" s="17"/>
      <c r="AA1353" s="17"/>
      <c r="AB1353" s="17"/>
      <c r="AC1353" s="17"/>
      <c r="AD1353" s="17"/>
      <c r="AE1353" s="17"/>
      <c r="AF1353" s="17"/>
      <c r="AG1353" s="17"/>
      <c r="AH1353" s="17"/>
      <c r="AI1353" s="17"/>
      <c r="AJ1353" s="17"/>
      <c r="AK1353" s="17"/>
      <c r="AL1353" s="17"/>
      <c r="AM1353" s="17"/>
      <c r="AN1353" s="18"/>
    </row>
    <row r="1354" ht="13.55" customHeight="1">
      <c r="A1354" s="32"/>
      <c r="B1354" s="17"/>
      <c r="C1354" s="17"/>
      <c r="D1354" s="17"/>
      <c r="E1354" s="17"/>
      <c r="F1354" s="17"/>
      <c r="G1354" s="17"/>
      <c r="H1354" s="17"/>
      <c r="I1354" s="17"/>
      <c r="J1354" s="17"/>
      <c r="K1354" s="17"/>
      <c r="L1354" s="17"/>
      <c r="M1354" s="17"/>
      <c r="N1354" s="17"/>
      <c r="O1354" s="17"/>
      <c r="P1354" s="17"/>
      <c r="Q1354" s="17"/>
      <c r="R1354" s="17"/>
      <c r="S1354" s="17"/>
      <c r="T1354" s="17"/>
      <c r="U1354" s="17"/>
      <c r="V1354" s="17"/>
      <c r="W1354" s="17"/>
      <c r="X1354" s="17"/>
      <c r="Y1354" s="17"/>
      <c r="Z1354" s="17"/>
      <c r="AA1354" s="17"/>
      <c r="AB1354" s="17"/>
      <c r="AC1354" s="17"/>
      <c r="AD1354" s="17"/>
      <c r="AE1354" s="17"/>
      <c r="AF1354" s="17"/>
      <c r="AG1354" s="17"/>
      <c r="AH1354" s="17"/>
      <c r="AI1354" s="17"/>
      <c r="AJ1354" s="17"/>
      <c r="AK1354" s="17"/>
      <c r="AL1354" s="17"/>
      <c r="AM1354" s="17"/>
      <c r="AN1354" s="18"/>
    </row>
    <row r="1355" ht="13.55" customHeight="1">
      <c r="A1355" s="32"/>
      <c r="B1355" s="17"/>
      <c r="C1355" s="17"/>
      <c r="D1355" s="17"/>
      <c r="E1355" s="17"/>
      <c r="F1355" s="17"/>
      <c r="G1355" s="17"/>
      <c r="H1355" s="17"/>
      <c r="I1355" s="17"/>
      <c r="J1355" s="17"/>
      <c r="K1355" s="17"/>
      <c r="L1355" s="17"/>
      <c r="M1355" s="17"/>
      <c r="N1355" s="17"/>
      <c r="O1355" s="17"/>
      <c r="P1355" s="17"/>
      <c r="Q1355" s="17"/>
      <c r="R1355" s="17"/>
      <c r="S1355" s="17"/>
      <c r="T1355" s="17"/>
      <c r="U1355" s="17"/>
      <c r="V1355" s="17"/>
      <c r="W1355" s="17"/>
      <c r="X1355" s="17"/>
      <c r="Y1355" s="17"/>
      <c r="Z1355" s="17"/>
      <c r="AA1355" s="17"/>
      <c r="AB1355" s="17"/>
      <c r="AC1355" s="17"/>
      <c r="AD1355" s="17"/>
      <c r="AE1355" s="17"/>
      <c r="AF1355" s="17"/>
      <c r="AG1355" s="17"/>
      <c r="AH1355" s="17"/>
      <c r="AI1355" s="17"/>
      <c r="AJ1355" s="17"/>
      <c r="AK1355" s="17"/>
      <c r="AL1355" s="17"/>
      <c r="AM1355" s="17"/>
      <c r="AN1355" s="18"/>
    </row>
    <row r="1356" ht="13.55" customHeight="1">
      <c r="A1356" s="32"/>
      <c r="B1356" s="17"/>
      <c r="C1356" s="17"/>
      <c r="D1356" s="17"/>
      <c r="E1356" s="17"/>
      <c r="F1356" s="17"/>
      <c r="G1356" s="17"/>
      <c r="H1356" s="17"/>
      <c r="I1356" s="17"/>
      <c r="J1356" s="17"/>
      <c r="K1356" s="17"/>
      <c r="L1356" s="17"/>
      <c r="M1356" s="17"/>
      <c r="N1356" s="17"/>
      <c r="O1356" s="17"/>
      <c r="P1356" s="17"/>
      <c r="Q1356" s="17"/>
      <c r="R1356" s="17"/>
      <c r="S1356" s="17"/>
      <c r="T1356" s="17"/>
      <c r="U1356" s="17"/>
      <c r="V1356" s="17"/>
      <c r="W1356" s="17"/>
      <c r="X1356" s="17"/>
      <c r="Y1356" s="17"/>
      <c r="Z1356" s="17"/>
      <c r="AA1356" s="17"/>
      <c r="AB1356" s="17"/>
      <c r="AC1356" s="17"/>
      <c r="AD1356" s="17"/>
      <c r="AE1356" s="17"/>
      <c r="AF1356" s="17"/>
      <c r="AG1356" s="17"/>
      <c r="AH1356" s="17"/>
      <c r="AI1356" s="17"/>
      <c r="AJ1356" s="17"/>
      <c r="AK1356" s="17"/>
      <c r="AL1356" s="17"/>
      <c r="AM1356" s="17"/>
      <c r="AN1356" s="18"/>
    </row>
    <row r="1357" ht="13.55" customHeight="1">
      <c r="A1357" s="32"/>
      <c r="B1357" s="17"/>
      <c r="C1357" s="17"/>
      <c r="D1357" s="17"/>
      <c r="E1357" s="17"/>
      <c r="F1357" s="17"/>
      <c r="G1357" s="17"/>
      <c r="H1357" s="17"/>
      <c r="I1357" s="17"/>
      <c r="J1357" s="17"/>
      <c r="K1357" s="17"/>
      <c r="L1357" s="17"/>
      <c r="M1357" s="17"/>
      <c r="N1357" s="17"/>
      <c r="O1357" s="17"/>
      <c r="P1357" s="17"/>
      <c r="Q1357" s="17"/>
      <c r="R1357" s="17"/>
      <c r="S1357" s="17"/>
      <c r="T1357" s="17"/>
      <c r="U1357" s="17"/>
      <c r="V1357" s="17"/>
      <c r="W1357" s="17"/>
      <c r="X1357" s="17"/>
      <c r="Y1357" s="17"/>
      <c r="Z1357" s="17"/>
      <c r="AA1357" s="17"/>
      <c r="AB1357" s="17"/>
      <c r="AC1357" s="17"/>
      <c r="AD1357" s="17"/>
      <c r="AE1357" s="17"/>
      <c r="AF1357" s="17"/>
      <c r="AG1357" s="17"/>
      <c r="AH1357" s="17"/>
      <c r="AI1357" s="17"/>
      <c r="AJ1357" s="17"/>
      <c r="AK1357" s="17"/>
      <c r="AL1357" s="17"/>
      <c r="AM1357" s="17"/>
      <c r="AN1357" s="18"/>
    </row>
    <row r="1358" ht="13.55" customHeight="1">
      <c r="A1358" s="32"/>
      <c r="B1358" s="17"/>
      <c r="C1358" s="17"/>
      <c r="D1358" s="17"/>
      <c r="E1358" s="17"/>
      <c r="F1358" s="17"/>
      <c r="G1358" s="17"/>
      <c r="H1358" s="17"/>
      <c r="I1358" s="17"/>
      <c r="J1358" s="17"/>
      <c r="K1358" s="17"/>
      <c r="L1358" s="17"/>
      <c r="M1358" s="17"/>
      <c r="N1358" s="17"/>
      <c r="O1358" s="17"/>
      <c r="P1358" s="17"/>
      <c r="Q1358" s="17"/>
      <c r="R1358" s="17"/>
      <c r="S1358" s="17"/>
      <c r="T1358" s="17"/>
      <c r="U1358" s="17"/>
      <c r="V1358" s="17"/>
      <c r="W1358" s="17"/>
      <c r="X1358" s="17"/>
      <c r="Y1358" s="17"/>
      <c r="Z1358" s="17"/>
      <c r="AA1358" s="17"/>
      <c r="AB1358" s="17"/>
      <c r="AC1358" s="17"/>
      <c r="AD1358" s="17"/>
      <c r="AE1358" s="17"/>
      <c r="AF1358" s="17"/>
      <c r="AG1358" s="17"/>
      <c r="AH1358" s="17"/>
      <c r="AI1358" s="17"/>
      <c r="AJ1358" s="17"/>
      <c r="AK1358" s="17"/>
      <c r="AL1358" s="17"/>
      <c r="AM1358" s="17"/>
      <c r="AN1358" s="18"/>
    </row>
    <row r="1359" ht="13.55" customHeight="1">
      <c r="A1359" s="32"/>
      <c r="B1359" s="17"/>
      <c r="C1359" s="17"/>
      <c r="D1359" s="17"/>
      <c r="E1359" s="17"/>
      <c r="F1359" s="17"/>
      <c r="G1359" s="17"/>
      <c r="H1359" s="17"/>
      <c r="I1359" s="17"/>
      <c r="J1359" s="17"/>
      <c r="K1359" s="17"/>
      <c r="L1359" s="17"/>
      <c r="M1359" s="17"/>
      <c r="N1359" s="17"/>
      <c r="O1359" s="17"/>
      <c r="P1359" s="17"/>
      <c r="Q1359" s="17"/>
      <c r="R1359" s="17"/>
      <c r="S1359" s="17"/>
      <c r="T1359" s="17"/>
      <c r="U1359" s="17"/>
      <c r="V1359" s="17"/>
      <c r="W1359" s="17"/>
      <c r="X1359" s="17"/>
      <c r="Y1359" s="17"/>
      <c r="Z1359" s="17"/>
      <c r="AA1359" s="17"/>
      <c r="AB1359" s="17"/>
      <c r="AC1359" s="17"/>
      <c r="AD1359" s="17"/>
      <c r="AE1359" s="17"/>
      <c r="AF1359" s="17"/>
      <c r="AG1359" s="17"/>
      <c r="AH1359" s="17"/>
      <c r="AI1359" s="17"/>
      <c r="AJ1359" s="17"/>
      <c r="AK1359" s="17"/>
      <c r="AL1359" s="17"/>
      <c r="AM1359" s="17"/>
      <c r="AN1359" s="18"/>
    </row>
    <row r="1360" ht="13.55" customHeight="1">
      <c r="A1360" s="32"/>
      <c r="B1360" s="17"/>
      <c r="C1360" s="17"/>
      <c r="D1360" s="17"/>
      <c r="E1360" s="17"/>
      <c r="F1360" s="17"/>
      <c r="G1360" s="17"/>
      <c r="H1360" s="17"/>
      <c r="I1360" s="17"/>
      <c r="J1360" s="17"/>
      <c r="K1360" s="17"/>
      <c r="L1360" s="17"/>
      <c r="M1360" s="17"/>
      <c r="N1360" s="17"/>
      <c r="O1360" s="17"/>
      <c r="P1360" s="17"/>
      <c r="Q1360" s="17"/>
      <c r="R1360" s="17"/>
      <c r="S1360" s="17"/>
      <c r="T1360" s="17"/>
      <c r="U1360" s="17"/>
      <c r="V1360" s="17"/>
      <c r="W1360" s="17"/>
      <c r="X1360" s="17"/>
      <c r="Y1360" s="17"/>
      <c r="Z1360" s="17"/>
      <c r="AA1360" s="17"/>
      <c r="AB1360" s="17"/>
      <c r="AC1360" s="17"/>
      <c r="AD1360" s="17"/>
      <c r="AE1360" s="17"/>
      <c r="AF1360" s="17"/>
      <c r="AG1360" s="17"/>
      <c r="AH1360" s="17"/>
      <c r="AI1360" s="17"/>
      <c r="AJ1360" s="17"/>
      <c r="AK1360" s="17"/>
      <c r="AL1360" s="17"/>
      <c r="AM1360" s="17"/>
      <c r="AN1360" s="18"/>
    </row>
    <row r="1361" ht="13.55" customHeight="1">
      <c r="A1361" s="32"/>
      <c r="B1361" s="17"/>
      <c r="C1361" s="17"/>
      <c r="D1361" s="17"/>
      <c r="E1361" s="17"/>
      <c r="F1361" s="17"/>
      <c r="G1361" s="17"/>
      <c r="H1361" s="17"/>
      <c r="I1361" s="17"/>
      <c r="J1361" s="17"/>
      <c r="K1361" s="17"/>
      <c r="L1361" s="17"/>
      <c r="M1361" s="17"/>
      <c r="N1361" s="17"/>
      <c r="O1361" s="17"/>
      <c r="P1361" s="17"/>
      <c r="Q1361" s="17"/>
      <c r="R1361" s="17"/>
      <c r="S1361" s="17"/>
      <c r="T1361" s="17"/>
      <c r="U1361" s="17"/>
      <c r="V1361" s="17"/>
      <c r="W1361" s="17"/>
      <c r="X1361" s="17"/>
      <c r="Y1361" s="17"/>
      <c r="Z1361" s="17"/>
      <c r="AA1361" s="17"/>
      <c r="AB1361" s="17"/>
      <c r="AC1361" s="17"/>
      <c r="AD1361" s="17"/>
      <c r="AE1361" s="17"/>
      <c r="AF1361" s="17"/>
      <c r="AG1361" s="17"/>
      <c r="AH1361" s="17"/>
      <c r="AI1361" s="17"/>
      <c r="AJ1361" s="17"/>
      <c r="AK1361" s="17"/>
      <c r="AL1361" s="17"/>
      <c r="AM1361" s="17"/>
      <c r="AN1361" s="18"/>
    </row>
    <row r="1362" ht="13.55" customHeight="1">
      <c r="A1362" s="32"/>
      <c r="B1362" s="17"/>
      <c r="C1362" s="17"/>
      <c r="D1362" s="17"/>
      <c r="E1362" s="17"/>
      <c r="F1362" s="17"/>
      <c r="G1362" s="17"/>
      <c r="H1362" s="17"/>
      <c r="I1362" s="17"/>
      <c r="J1362" s="17"/>
      <c r="K1362" s="17"/>
      <c r="L1362" s="17"/>
      <c r="M1362" s="17"/>
      <c r="N1362" s="17"/>
      <c r="O1362" s="17"/>
      <c r="P1362" s="17"/>
      <c r="Q1362" s="17"/>
      <c r="R1362" s="17"/>
      <c r="S1362" s="17"/>
      <c r="T1362" s="17"/>
      <c r="U1362" s="17"/>
      <c r="V1362" s="17"/>
      <c r="W1362" s="17"/>
      <c r="X1362" s="17"/>
      <c r="Y1362" s="17"/>
      <c r="Z1362" s="17"/>
      <c r="AA1362" s="17"/>
      <c r="AB1362" s="17"/>
      <c r="AC1362" s="17"/>
      <c r="AD1362" s="17"/>
      <c r="AE1362" s="17"/>
      <c r="AF1362" s="17"/>
      <c r="AG1362" s="17"/>
      <c r="AH1362" s="17"/>
      <c r="AI1362" s="17"/>
      <c r="AJ1362" s="17"/>
      <c r="AK1362" s="17"/>
      <c r="AL1362" s="17"/>
      <c r="AM1362" s="17"/>
      <c r="AN1362" s="18"/>
    </row>
    <row r="1363" ht="13.55" customHeight="1">
      <c r="A1363" s="32"/>
      <c r="B1363" s="17"/>
      <c r="C1363" s="17"/>
      <c r="D1363" s="17"/>
      <c r="E1363" s="17"/>
      <c r="F1363" s="17"/>
      <c r="G1363" s="17"/>
      <c r="H1363" s="17"/>
      <c r="I1363" s="17"/>
      <c r="J1363" s="17"/>
      <c r="K1363" s="17"/>
      <c r="L1363" s="17"/>
      <c r="M1363" s="17"/>
      <c r="N1363" s="17"/>
      <c r="O1363" s="17"/>
      <c r="P1363" s="17"/>
      <c r="Q1363" s="17"/>
      <c r="R1363" s="17"/>
      <c r="S1363" s="17"/>
      <c r="T1363" s="17"/>
      <c r="U1363" s="17"/>
      <c r="V1363" s="17"/>
      <c r="W1363" s="17"/>
      <c r="X1363" s="17"/>
      <c r="Y1363" s="17"/>
      <c r="Z1363" s="17"/>
      <c r="AA1363" s="17"/>
      <c r="AB1363" s="17"/>
      <c r="AC1363" s="17"/>
      <c r="AD1363" s="17"/>
      <c r="AE1363" s="17"/>
      <c r="AF1363" s="17"/>
      <c r="AG1363" s="17"/>
      <c r="AH1363" s="17"/>
      <c r="AI1363" s="17"/>
      <c r="AJ1363" s="17"/>
      <c r="AK1363" s="17"/>
      <c r="AL1363" s="17"/>
      <c r="AM1363" s="17"/>
      <c r="AN1363" s="18"/>
    </row>
    <row r="1364" ht="13.55" customHeight="1">
      <c r="A1364" s="32"/>
      <c r="B1364" s="17"/>
      <c r="C1364" s="17"/>
      <c r="D1364" s="17"/>
      <c r="E1364" s="17"/>
      <c r="F1364" s="17"/>
      <c r="G1364" s="17"/>
      <c r="H1364" s="17"/>
      <c r="I1364" s="17"/>
      <c r="J1364" s="17"/>
      <c r="K1364" s="17"/>
      <c r="L1364" s="17"/>
      <c r="M1364" s="17"/>
      <c r="N1364" s="17"/>
      <c r="O1364" s="17"/>
      <c r="P1364" s="17"/>
      <c r="Q1364" s="17"/>
      <c r="R1364" s="17"/>
      <c r="S1364" s="17"/>
      <c r="T1364" s="17"/>
      <c r="U1364" s="17"/>
      <c r="V1364" s="17"/>
      <c r="W1364" s="17"/>
      <c r="X1364" s="17"/>
      <c r="Y1364" s="17"/>
      <c r="Z1364" s="17"/>
      <c r="AA1364" s="17"/>
      <c r="AB1364" s="17"/>
      <c r="AC1364" s="17"/>
      <c r="AD1364" s="17"/>
      <c r="AE1364" s="17"/>
      <c r="AF1364" s="17"/>
      <c r="AG1364" s="17"/>
      <c r="AH1364" s="17"/>
      <c r="AI1364" s="17"/>
      <c r="AJ1364" s="17"/>
      <c r="AK1364" s="17"/>
      <c r="AL1364" s="17"/>
      <c r="AM1364" s="17"/>
      <c r="AN1364" s="18"/>
    </row>
    <row r="1365" ht="13.55" customHeight="1">
      <c r="A1365" s="32"/>
      <c r="B1365" s="17"/>
      <c r="C1365" s="17"/>
      <c r="D1365" s="17"/>
      <c r="E1365" s="17"/>
      <c r="F1365" s="17"/>
      <c r="G1365" s="17"/>
      <c r="H1365" s="17"/>
      <c r="I1365" s="17"/>
      <c r="J1365" s="17"/>
      <c r="K1365" s="17"/>
      <c r="L1365" s="17"/>
      <c r="M1365" s="17"/>
      <c r="N1365" s="17"/>
      <c r="O1365" s="17"/>
      <c r="P1365" s="17"/>
      <c r="Q1365" s="17"/>
      <c r="R1365" s="17"/>
      <c r="S1365" s="17"/>
      <c r="T1365" s="17"/>
      <c r="U1365" s="17"/>
      <c r="V1365" s="17"/>
      <c r="W1365" s="17"/>
      <c r="X1365" s="17"/>
      <c r="Y1365" s="17"/>
      <c r="Z1365" s="17"/>
      <c r="AA1365" s="17"/>
      <c r="AB1365" s="17"/>
      <c r="AC1365" s="17"/>
      <c r="AD1365" s="17"/>
      <c r="AE1365" s="17"/>
      <c r="AF1365" s="17"/>
      <c r="AG1365" s="17"/>
      <c r="AH1365" s="17"/>
      <c r="AI1365" s="17"/>
      <c r="AJ1365" s="17"/>
      <c r="AK1365" s="17"/>
      <c r="AL1365" s="17"/>
      <c r="AM1365" s="17"/>
      <c r="AN1365" s="18"/>
    </row>
    <row r="1366" ht="13.55" customHeight="1">
      <c r="A1366" s="32"/>
      <c r="B1366" s="17"/>
      <c r="C1366" s="17"/>
      <c r="D1366" s="17"/>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7"/>
      <c r="AA1366" s="17"/>
      <c r="AB1366" s="17"/>
      <c r="AC1366" s="17"/>
      <c r="AD1366" s="17"/>
      <c r="AE1366" s="17"/>
      <c r="AF1366" s="17"/>
      <c r="AG1366" s="17"/>
      <c r="AH1366" s="17"/>
      <c r="AI1366" s="17"/>
      <c r="AJ1366" s="17"/>
      <c r="AK1366" s="17"/>
      <c r="AL1366" s="17"/>
      <c r="AM1366" s="17"/>
      <c r="AN1366" s="18"/>
    </row>
    <row r="1367" ht="13.55" customHeight="1">
      <c r="A1367" s="32"/>
      <c r="B1367" s="17"/>
      <c r="C1367" s="17"/>
      <c r="D1367" s="17"/>
      <c r="E1367" s="17"/>
      <c r="F1367" s="17"/>
      <c r="G1367" s="17"/>
      <c r="H1367" s="17"/>
      <c r="I1367" s="17"/>
      <c r="J1367" s="17"/>
      <c r="K1367" s="17"/>
      <c r="L1367" s="17"/>
      <c r="M1367" s="17"/>
      <c r="N1367" s="17"/>
      <c r="O1367" s="17"/>
      <c r="P1367" s="17"/>
      <c r="Q1367" s="17"/>
      <c r="R1367" s="17"/>
      <c r="S1367" s="17"/>
      <c r="T1367" s="17"/>
      <c r="U1367" s="17"/>
      <c r="V1367" s="17"/>
      <c r="W1367" s="17"/>
      <c r="X1367" s="17"/>
      <c r="Y1367" s="17"/>
      <c r="Z1367" s="17"/>
      <c r="AA1367" s="17"/>
      <c r="AB1367" s="17"/>
      <c r="AC1367" s="17"/>
      <c r="AD1367" s="17"/>
      <c r="AE1367" s="17"/>
      <c r="AF1367" s="17"/>
      <c r="AG1367" s="17"/>
      <c r="AH1367" s="17"/>
      <c r="AI1367" s="17"/>
      <c r="AJ1367" s="17"/>
      <c r="AK1367" s="17"/>
      <c r="AL1367" s="17"/>
      <c r="AM1367" s="17"/>
      <c r="AN1367" s="18"/>
    </row>
    <row r="1368" ht="13.55" customHeight="1">
      <c r="A1368" s="32"/>
      <c r="B1368" s="17"/>
      <c r="C1368" s="17"/>
      <c r="D1368" s="17"/>
      <c r="E1368" s="17"/>
      <c r="F1368" s="17"/>
      <c r="G1368" s="17"/>
      <c r="H1368" s="17"/>
      <c r="I1368" s="17"/>
      <c r="J1368" s="17"/>
      <c r="K1368" s="17"/>
      <c r="L1368" s="17"/>
      <c r="M1368" s="17"/>
      <c r="N1368" s="17"/>
      <c r="O1368" s="17"/>
      <c r="P1368" s="17"/>
      <c r="Q1368" s="17"/>
      <c r="R1368" s="17"/>
      <c r="S1368" s="17"/>
      <c r="T1368" s="17"/>
      <c r="U1368" s="17"/>
      <c r="V1368" s="17"/>
      <c r="W1368" s="17"/>
      <c r="X1368" s="17"/>
      <c r="Y1368" s="17"/>
      <c r="Z1368" s="17"/>
      <c r="AA1368" s="17"/>
      <c r="AB1368" s="17"/>
      <c r="AC1368" s="17"/>
      <c r="AD1368" s="17"/>
      <c r="AE1368" s="17"/>
      <c r="AF1368" s="17"/>
      <c r="AG1368" s="17"/>
      <c r="AH1368" s="17"/>
      <c r="AI1368" s="17"/>
      <c r="AJ1368" s="17"/>
      <c r="AK1368" s="17"/>
      <c r="AL1368" s="17"/>
      <c r="AM1368" s="17"/>
      <c r="AN1368" s="18"/>
    </row>
    <row r="1369" ht="13.55" customHeight="1">
      <c r="A1369" s="32"/>
      <c r="B1369" s="17"/>
      <c r="C1369" s="17"/>
      <c r="D1369" s="17"/>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7"/>
      <c r="AA1369" s="17"/>
      <c r="AB1369" s="17"/>
      <c r="AC1369" s="17"/>
      <c r="AD1369" s="17"/>
      <c r="AE1369" s="17"/>
      <c r="AF1369" s="17"/>
      <c r="AG1369" s="17"/>
      <c r="AH1369" s="17"/>
      <c r="AI1369" s="17"/>
      <c r="AJ1369" s="17"/>
      <c r="AK1369" s="17"/>
      <c r="AL1369" s="17"/>
      <c r="AM1369" s="17"/>
      <c r="AN1369" s="18"/>
    </row>
    <row r="1370" ht="13.55" customHeight="1">
      <c r="A1370" s="32"/>
      <c r="B1370" s="17"/>
      <c r="C1370" s="17"/>
      <c r="D1370" s="17"/>
      <c r="E1370" s="17"/>
      <c r="F1370" s="17"/>
      <c r="G1370" s="17"/>
      <c r="H1370" s="17"/>
      <c r="I1370" s="17"/>
      <c r="J1370" s="17"/>
      <c r="K1370" s="17"/>
      <c r="L1370" s="17"/>
      <c r="M1370" s="17"/>
      <c r="N1370" s="17"/>
      <c r="O1370" s="17"/>
      <c r="P1370" s="17"/>
      <c r="Q1370" s="17"/>
      <c r="R1370" s="17"/>
      <c r="S1370" s="17"/>
      <c r="T1370" s="17"/>
      <c r="U1370" s="17"/>
      <c r="V1370" s="17"/>
      <c r="W1370" s="17"/>
      <c r="X1370" s="17"/>
      <c r="Y1370" s="17"/>
      <c r="Z1370" s="17"/>
      <c r="AA1370" s="17"/>
      <c r="AB1370" s="17"/>
      <c r="AC1370" s="17"/>
      <c r="AD1370" s="17"/>
      <c r="AE1370" s="17"/>
      <c r="AF1370" s="17"/>
      <c r="AG1370" s="17"/>
      <c r="AH1370" s="17"/>
      <c r="AI1370" s="17"/>
      <c r="AJ1370" s="17"/>
      <c r="AK1370" s="17"/>
      <c r="AL1370" s="17"/>
      <c r="AM1370" s="17"/>
      <c r="AN1370" s="18"/>
    </row>
    <row r="1371" ht="13.55" customHeight="1">
      <c r="A1371" s="32"/>
      <c r="B1371" s="17"/>
      <c r="C1371" s="17"/>
      <c r="D1371" s="17"/>
      <c r="E1371" s="17"/>
      <c r="F1371" s="17"/>
      <c r="G1371" s="17"/>
      <c r="H1371" s="17"/>
      <c r="I1371" s="17"/>
      <c r="J1371" s="17"/>
      <c r="K1371" s="17"/>
      <c r="L1371" s="17"/>
      <c r="M1371" s="17"/>
      <c r="N1371" s="17"/>
      <c r="O1371" s="17"/>
      <c r="P1371" s="17"/>
      <c r="Q1371" s="17"/>
      <c r="R1371" s="17"/>
      <c r="S1371" s="17"/>
      <c r="T1371" s="17"/>
      <c r="U1371" s="17"/>
      <c r="V1371" s="17"/>
      <c r="W1371" s="17"/>
      <c r="X1371" s="17"/>
      <c r="Y1371" s="17"/>
      <c r="Z1371" s="17"/>
      <c r="AA1371" s="17"/>
      <c r="AB1371" s="17"/>
      <c r="AC1371" s="17"/>
      <c r="AD1371" s="17"/>
      <c r="AE1371" s="17"/>
      <c r="AF1371" s="17"/>
      <c r="AG1371" s="17"/>
      <c r="AH1371" s="17"/>
      <c r="AI1371" s="17"/>
      <c r="AJ1371" s="17"/>
      <c r="AK1371" s="17"/>
      <c r="AL1371" s="17"/>
      <c r="AM1371" s="17"/>
      <c r="AN1371" s="18"/>
    </row>
    <row r="1372" ht="13.55" customHeight="1">
      <c r="A1372" s="32"/>
      <c r="B1372" s="17"/>
      <c r="C1372" s="17"/>
      <c r="D1372" s="17"/>
      <c r="E1372" s="17"/>
      <c r="F1372" s="17"/>
      <c r="G1372" s="17"/>
      <c r="H1372" s="17"/>
      <c r="I1372" s="17"/>
      <c r="J1372" s="17"/>
      <c r="K1372" s="17"/>
      <c r="L1372" s="17"/>
      <c r="M1372" s="17"/>
      <c r="N1372" s="17"/>
      <c r="O1372" s="17"/>
      <c r="P1372" s="17"/>
      <c r="Q1372" s="17"/>
      <c r="R1372" s="17"/>
      <c r="S1372" s="17"/>
      <c r="T1372" s="17"/>
      <c r="U1372" s="17"/>
      <c r="V1372" s="17"/>
      <c r="W1372" s="17"/>
      <c r="X1372" s="17"/>
      <c r="Y1372" s="17"/>
      <c r="Z1372" s="17"/>
      <c r="AA1372" s="17"/>
      <c r="AB1372" s="17"/>
      <c r="AC1372" s="17"/>
      <c r="AD1372" s="17"/>
      <c r="AE1372" s="17"/>
      <c r="AF1372" s="17"/>
      <c r="AG1372" s="17"/>
      <c r="AH1372" s="17"/>
      <c r="AI1372" s="17"/>
      <c r="AJ1372" s="17"/>
      <c r="AK1372" s="17"/>
      <c r="AL1372" s="17"/>
      <c r="AM1372" s="17"/>
      <c r="AN1372" s="18"/>
    </row>
    <row r="1373" ht="13.55" customHeight="1">
      <c r="A1373" s="32"/>
      <c r="B1373" s="17"/>
      <c r="C1373" s="17"/>
      <c r="D1373" s="17"/>
      <c r="E1373" s="17"/>
      <c r="F1373" s="17"/>
      <c r="G1373" s="17"/>
      <c r="H1373" s="17"/>
      <c r="I1373" s="17"/>
      <c r="J1373" s="17"/>
      <c r="K1373" s="17"/>
      <c r="L1373" s="17"/>
      <c r="M1373" s="17"/>
      <c r="N1373" s="17"/>
      <c r="O1373" s="17"/>
      <c r="P1373" s="17"/>
      <c r="Q1373" s="17"/>
      <c r="R1373" s="17"/>
      <c r="S1373" s="17"/>
      <c r="T1373" s="17"/>
      <c r="U1373" s="17"/>
      <c r="V1373" s="17"/>
      <c r="W1373" s="17"/>
      <c r="X1373" s="17"/>
      <c r="Y1373" s="17"/>
      <c r="Z1373" s="17"/>
      <c r="AA1373" s="17"/>
      <c r="AB1373" s="17"/>
      <c r="AC1373" s="17"/>
      <c r="AD1373" s="17"/>
      <c r="AE1373" s="17"/>
      <c r="AF1373" s="17"/>
      <c r="AG1373" s="17"/>
      <c r="AH1373" s="17"/>
      <c r="AI1373" s="17"/>
      <c r="AJ1373" s="17"/>
      <c r="AK1373" s="17"/>
      <c r="AL1373" s="17"/>
      <c r="AM1373" s="17"/>
      <c r="AN1373" s="18"/>
    </row>
    <row r="1374" ht="13.55" customHeight="1">
      <c r="A1374" s="32"/>
      <c r="B1374" s="17"/>
      <c r="C1374" s="17"/>
      <c r="D1374" s="17"/>
      <c r="E1374" s="17"/>
      <c r="F1374" s="17"/>
      <c r="G1374" s="17"/>
      <c r="H1374" s="17"/>
      <c r="I1374" s="17"/>
      <c r="J1374" s="17"/>
      <c r="K1374" s="17"/>
      <c r="L1374" s="17"/>
      <c r="M1374" s="17"/>
      <c r="N1374" s="17"/>
      <c r="O1374" s="17"/>
      <c r="P1374" s="17"/>
      <c r="Q1374" s="17"/>
      <c r="R1374" s="17"/>
      <c r="S1374" s="17"/>
      <c r="T1374" s="17"/>
      <c r="U1374" s="17"/>
      <c r="V1374" s="17"/>
      <c r="W1374" s="17"/>
      <c r="X1374" s="17"/>
      <c r="Y1374" s="17"/>
      <c r="Z1374" s="17"/>
      <c r="AA1374" s="17"/>
      <c r="AB1374" s="17"/>
      <c r="AC1374" s="17"/>
      <c r="AD1374" s="17"/>
      <c r="AE1374" s="17"/>
      <c r="AF1374" s="17"/>
      <c r="AG1374" s="17"/>
      <c r="AH1374" s="17"/>
      <c r="AI1374" s="17"/>
      <c r="AJ1374" s="17"/>
      <c r="AK1374" s="17"/>
      <c r="AL1374" s="17"/>
      <c r="AM1374" s="17"/>
      <c r="AN1374" s="18"/>
    </row>
    <row r="1375" ht="13.55" customHeight="1">
      <c r="A1375" s="32"/>
      <c r="B1375" s="17"/>
      <c r="C1375" s="17"/>
      <c r="D1375" s="17"/>
      <c r="E1375" s="17"/>
      <c r="F1375" s="17"/>
      <c r="G1375" s="17"/>
      <c r="H1375" s="17"/>
      <c r="I1375" s="17"/>
      <c r="J1375" s="17"/>
      <c r="K1375" s="17"/>
      <c r="L1375" s="17"/>
      <c r="M1375" s="17"/>
      <c r="N1375" s="17"/>
      <c r="O1375" s="17"/>
      <c r="P1375" s="17"/>
      <c r="Q1375" s="17"/>
      <c r="R1375" s="17"/>
      <c r="S1375" s="17"/>
      <c r="T1375" s="17"/>
      <c r="U1375" s="17"/>
      <c r="V1375" s="17"/>
      <c r="W1375" s="17"/>
      <c r="X1375" s="17"/>
      <c r="Y1375" s="17"/>
      <c r="Z1375" s="17"/>
      <c r="AA1375" s="17"/>
      <c r="AB1375" s="17"/>
      <c r="AC1375" s="17"/>
      <c r="AD1375" s="17"/>
      <c r="AE1375" s="17"/>
      <c r="AF1375" s="17"/>
      <c r="AG1375" s="17"/>
      <c r="AH1375" s="17"/>
      <c r="AI1375" s="17"/>
      <c r="AJ1375" s="17"/>
      <c r="AK1375" s="17"/>
      <c r="AL1375" s="17"/>
      <c r="AM1375" s="17"/>
      <c r="AN1375" s="18"/>
    </row>
    <row r="1376" ht="13.55" customHeight="1">
      <c r="A1376" s="32"/>
      <c r="B1376" s="17"/>
      <c r="C1376" s="17"/>
      <c r="D1376" s="17"/>
      <c r="E1376" s="17"/>
      <c r="F1376" s="17"/>
      <c r="G1376" s="17"/>
      <c r="H1376" s="17"/>
      <c r="I1376" s="17"/>
      <c r="J1376" s="17"/>
      <c r="K1376" s="17"/>
      <c r="L1376" s="17"/>
      <c r="M1376" s="17"/>
      <c r="N1376" s="17"/>
      <c r="O1376" s="17"/>
      <c r="P1376" s="17"/>
      <c r="Q1376" s="17"/>
      <c r="R1376" s="17"/>
      <c r="S1376" s="17"/>
      <c r="T1376" s="17"/>
      <c r="U1376" s="17"/>
      <c r="V1376" s="17"/>
      <c r="W1376" s="17"/>
      <c r="X1376" s="17"/>
      <c r="Y1376" s="17"/>
      <c r="Z1376" s="17"/>
      <c r="AA1376" s="17"/>
      <c r="AB1376" s="17"/>
      <c r="AC1376" s="17"/>
      <c r="AD1376" s="17"/>
      <c r="AE1376" s="17"/>
      <c r="AF1376" s="17"/>
      <c r="AG1376" s="17"/>
      <c r="AH1376" s="17"/>
      <c r="AI1376" s="17"/>
      <c r="AJ1376" s="17"/>
      <c r="AK1376" s="17"/>
      <c r="AL1376" s="17"/>
      <c r="AM1376" s="17"/>
      <c r="AN1376" s="18"/>
    </row>
    <row r="1377" ht="13.55" customHeight="1">
      <c r="A1377" s="32"/>
      <c r="B1377" s="17"/>
      <c r="C1377" s="17"/>
      <c r="D1377" s="17"/>
      <c r="E1377" s="17"/>
      <c r="F1377" s="17"/>
      <c r="G1377" s="17"/>
      <c r="H1377" s="17"/>
      <c r="I1377" s="17"/>
      <c r="J1377" s="17"/>
      <c r="K1377" s="17"/>
      <c r="L1377" s="17"/>
      <c r="M1377" s="17"/>
      <c r="N1377" s="17"/>
      <c r="O1377" s="17"/>
      <c r="P1377" s="17"/>
      <c r="Q1377" s="17"/>
      <c r="R1377" s="17"/>
      <c r="S1377" s="17"/>
      <c r="T1377" s="17"/>
      <c r="U1377" s="17"/>
      <c r="V1377" s="17"/>
      <c r="W1377" s="17"/>
      <c r="X1377" s="17"/>
      <c r="Y1377" s="17"/>
      <c r="Z1377" s="17"/>
      <c r="AA1377" s="17"/>
      <c r="AB1377" s="17"/>
      <c r="AC1377" s="17"/>
      <c r="AD1377" s="17"/>
      <c r="AE1377" s="17"/>
      <c r="AF1377" s="17"/>
      <c r="AG1377" s="17"/>
      <c r="AH1377" s="17"/>
      <c r="AI1377" s="17"/>
      <c r="AJ1377" s="17"/>
      <c r="AK1377" s="17"/>
      <c r="AL1377" s="17"/>
      <c r="AM1377" s="17"/>
      <c r="AN1377" s="18"/>
    </row>
    <row r="1378" ht="13.55" customHeight="1">
      <c r="A1378" s="32"/>
      <c r="B1378" s="17"/>
      <c r="C1378" s="17"/>
      <c r="D1378" s="17"/>
      <c r="E1378" s="17"/>
      <c r="F1378" s="17"/>
      <c r="G1378" s="17"/>
      <c r="H1378" s="17"/>
      <c r="I1378" s="17"/>
      <c r="J1378" s="17"/>
      <c r="K1378" s="17"/>
      <c r="L1378" s="17"/>
      <c r="M1378" s="17"/>
      <c r="N1378" s="17"/>
      <c r="O1378" s="17"/>
      <c r="P1378" s="17"/>
      <c r="Q1378" s="17"/>
      <c r="R1378" s="17"/>
      <c r="S1378" s="17"/>
      <c r="T1378" s="17"/>
      <c r="U1378" s="17"/>
      <c r="V1378" s="17"/>
      <c r="W1378" s="17"/>
      <c r="X1378" s="17"/>
      <c r="Y1378" s="17"/>
      <c r="Z1378" s="17"/>
      <c r="AA1378" s="17"/>
      <c r="AB1378" s="17"/>
      <c r="AC1378" s="17"/>
      <c r="AD1378" s="17"/>
      <c r="AE1378" s="17"/>
      <c r="AF1378" s="17"/>
      <c r="AG1378" s="17"/>
      <c r="AH1378" s="17"/>
      <c r="AI1378" s="17"/>
      <c r="AJ1378" s="17"/>
      <c r="AK1378" s="17"/>
      <c r="AL1378" s="17"/>
      <c r="AM1378" s="17"/>
      <c r="AN1378" s="18"/>
    </row>
    <row r="1379" ht="13.55" customHeight="1">
      <c r="A1379" s="32"/>
      <c r="B1379" s="17"/>
      <c r="C1379" s="17"/>
      <c r="D1379" s="17"/>
      <c r="E1379" s="17"/>
      <c r="F1379" s="17"/>
      <c r="G1379" s="17"/>
      <c r="H1379" s="17"/>
      <c r="I1379" s="17"/>
      <c r="J1379" s="17"/>
      <c r="K1379" s="17"/>
      <c r="L1379" s="17"/>
      <c r="M1379" s="17"/>
      <c r="N1379" s="17"/>
      <c r="O1379" s="17"/>
      <c r="P1379" s="17"/>
      <c r="Q1379" s="17"/>
      <c r="R1379" s="17"/>
      <c r="S1379" s="17"/>
      <c r="T1379" s="17"/>
      <c r="U1379" s="17"/>
      <c r="V1379" s="17"/>
      <c r="W1379" s="17"/>
      <c r="X1379" s="17"/>
      <c r="Y1379" s="17"/>
      <c r="Z1379" s="17"/>
      <c r="AA1379" s="17"/>
      <c r="AB1379" s="17"/>
      <c r="AC1379" s="17"/>
      <c r="AD1379" s="17"/>
      <c r="AE1379" s="17"/>
      <c r="AF1379" s="17"/>
      <c r="AG1379" s="17"/>
      <c r="AH1379" s="17"/>
      <c r="AI1379" s="17"/>
      <c r="AJ1379" s="17"/>
      <c r="AK1379" s="17"/>
      <c r="AL1379" s="17"/>
      <c r="AM1379" s="17"/>
      <c r="AN1379" s="18"/>
    </row>
    <row r="1380" ht="13.55" customHeight="1">
      <c r="A1380" s="32"/>
      <c r="B1380" s="17"/>
      <c r="C1380" s="17"/>
      <c r="D1380" s="17"/>
      <c r="E1380" s="17"/>
      <c r="F1380" s="17"/>
      <c r="G1380" s="17"/>
      <c r="H1380" s="17"/>
      <c r="I1380" s="17"/>
      <c r="J1380" s="17"/>
      <c r="K1380" s="17"/>
      <c r="L1380" s="17"/>
      <c r="M1380" s="17"/>
      <c r="N1380" s="17"/>
      <c r="O1380" s="17"/>
      <c r="P1380" s="17"/>
      <c r="Q1380" s="17"/>
      <c r="R1380" s="17"/>
      <c r="S1380" s="17"/>
      <c r="T1380" s="17"/>
      <c r="U1380" s="17"/>
      <c r="V1380" s="17"/>
      <c r="W1380" s="17"/>
      <c r="X1380" s="17"/>
      <c r="Y1380" s="17"/>
      <c r="Z1380" s="17"/>
      <c r="AA1380" s="17"/>
      <c r="AB1380" s="17"/>
      <c r="AC1380" s="17"/>
      <c r="AD1380" s="17"/>
      <c r="AE1380" s="17"/>
      <c r="AF1380" s="17"/>
      <c r="AG1380" s="17"/>
      <c r="AH1380" s="17"/>
      <c r="AI1380" s="17"/>
      <c r="AJ1380" s="17"/>
      <c r="AK1380" s="17"/>
      <c r="AL1380" s="17"/>
      <c r="AM1380" s="17"/>
      <c r="AN1380" s="18"/>
    </row>
    <row r="1381" ht="13.55" customHeight="1">
      <c r="A1381" s="32"/>
      <c r="B1381" s="17"/>
      <c r="C1381" s="17"/>
      <c r="D1381" s="17"/>
      <c r="E1381" s="17"/>
      <c r="F1381" s="17"/>
      <c r="G1381" s="17"/>
      <c r="H1381" s="17"/>
      <c r="I1381" s="17"/>
      <c r="J1381" s="17"/>
      <c r="K1381" s="17"/>
      <c r="L1381" s="17"/>
      <c r="M1381" s="17"/>
      <c r="N1381" s="17"/>
      <c r="O1381" s="17"/>
      <c r="P1381" s="17"/>
      <c r="Q1381" s="17"/>
      <c r="R1381" s="17"/>
      <c r="S1381" s="17"/>
      <c r="T1381" s="17"/>
      <c r="U1381" s="17"/>
      <c r="V1381" s="17"/>
      <c r="W1381" s="17"/>
      <c r="X1381" s="17"/>
      <c r="Y1381" s="17"/>
      <c r="Z1381" s="17"/>
      <c r="AA1381" s="17"/>
      <c r="AB1381" s="17"/>
      <c r="AC1381" s="17"/>
      <c r="AD1381" s="17"/>
      <c r="AE1381" s="17"/>
      <c r="AF1381" s="17"/>
      <c r="AG1381" s="17"/>
      <c r="AH1381" s="17"/>
      <c r="AI1381" s="17"/>
      <c r="AJ1381" s="17"/>
      <c r="AK1381" s="17"/>
      <c r="AL1381" s="17"/>
      <c r="AM1381" s="17"/>
      <c r="AN1381" s="18"/>
    </row>
    <row r="1382" ht="13.55" customHeight="1">
      <c r="A1382" s="32"/>
      <c r="B1382" s="17"/>
      <c r="C1382" s="17"/>
      <c r="D1382" s="17"/>
      <c r="E1382" s="17"/>
      <c r="F1382" s="17"/>
      <c r="G1382" s="17"/>
      <c r="H1382" s="17"/>
      <c r="I1382" s="17"/>
      <c r="J1382" s="17"/>
      <c r="K1382" s="17"/>
      <c r="L1382" s="17"/>
      <c r="M1382" s="17"/>
      <c r="N1382" s="17"/>
      <c r="O1382" s="17"/>
      <c r="P1382" s="17"/>
      <c r="Q1382" s="17"/>
      <c r="R1382" s="17"/>
      <c r="S1382" s="17"/>
      <c r="T1382" s="17"/>
      <c r="U1382" s="17"/>
      <c r="V1382" s="17"/>
      <c r="W1382" s="17"/>
      <c r="X1382" s="17"/>
      <c r="Y1382" s="17"/>
      <c r="Z1382" s="17"/>
      <c r="AA1382" s="17"/>
      <c r="AB1382" s="17"/>
      <c r="AC1382" s="17"/>
      <c r="AD1382" s="17"/>
      <c r="AE1382" s="17"/>
      <c r="AF1382" s="17"/>
      <c r="AG1382" s="17"/>
      <c r="AH1382" s="17"/>
      <c r="AI1382" s="17"/>
      <c r="AJ1382" s="17"/>
      <c r="AK1382" s="17"/>
      <c r="AL1382" s="17"/>
      <c r="AM1382" s="17"/>
      <c r="AN1382" s="18"/>
    </row>
    <row r="1383" ht="13.55" customHeight="1">
      <c r="A1383" s="32"/>
      <c r="B1383" s="17"/>
      <c r="C1383" s="17"/>
      <c r="D1383" s="17"/>
      <c r="E1383" s="17"/>
      <c r="F1383" s="17"/>
      <c r="G1383" s="17"/>
      <c r="H1383" s="17"/>
      <c r="I1383" s="17"/>
      <c r="J1383" s="17"/>
      <c r="K1383" s="17"/>
      <c r="L1383" s="17"/>
      <c r="M1383" s="17"/>
      <c r="N1383" s="17"/>
      <c r="O1383" s="17"/>
      <c r="P1383" s="17"/>
      <c r="Q1383" s="17"/>
      <c r="R1383" s="17"/>
      <c r="S1383" s="17"/>
      <c r="T1383" s="17"/>
      <c r="U1383" s="17"/>
      <c r="V1383" s="17"/>
      <c r="W1383" s="17"/>
      <c r="X1383" s="17"/>
      <c r="Y1383" s="17"/>
      <c r="Z1383" s="17"/>
      <c r="AA1383" s="17"/>
      <c r="AB1383" s="17"/>
      <c r="AC1383" s="17"/>
      <c r="AD1383" s="17"/>
      <c r="AE1383" s="17"/>
      <c r="AF1383" s="17"/>
      <c r="AG1383" s="17"/>
      <c r="AH1383" s="17"/>
      <c r="AI1383" s="17"/>
      <c r="AJ1383" s="17"/>
      <c r="AK1383" s="17"/>
      <c r="AL1383" s="17"/>
      <c r="AM1383" s="17"/>
      <c r="AN1383" s="18"/>
    </row>
    <row r="1384" ht="13.55" customHeight="1">
      <c r="A1384" s="32"/>
      <c r="B1384" s="17"/>
      <c r="C1384" s="17"/>
      <c r="D1384" s="17"/>
      <c r="E1384" s="17"/>
      <c r="F1384" s="17"/>
      <c r="G1384" s="17"/>
      <c r="H1384" s="17"/>
      <c r="I1384" s="17"/>
      <c r="J1384" s="17"/>
      <c r="K1384" s="17"/>
      <c r="L1384" s="17"/>
      <c r="M1384" s="17"/>
      <c r="N1384" s="17"/>
      <c r="O1384" s="17"/>
      <c r="P1384" s="17"/>
      <c r="Q1384" s="17"/>
      <c r="R1384" s="17"/>
      <c r="S1384" s="17"/>
      <c r="T1384" s="17"/>
      <c r="U1384" s="17"/>
      <c r="V1384" s="17"/>
      <c r="W1384" s="17"/>
      <c r="X1384" s="17"/>
      <c r="Y1384" s="17"/>
      <c r="Z1384" s="17"/>
      <c r="AA1384" s="17"/>
      <c r="AB1384" s="17"/>
      <c r="AC1384" s="17"/>
      <c r="AD1384" s="17"/>
      <c r="AE1384" s="17"/>
      <c r="AF1384" s="17"/>
      <c r="AG1384" s="17"/>
      <c r="AH1384" s="17"/>
      <c r="AI1384" s="17"/>
      <c r="AJ1384" s="17"/>
      <c r="AK1384" s="17"/>
      <c r="AL1384" s="17"/>
      <c r="AM1384" s="17"/>
      <c r="AN1384" s="18"/>
    </row>
    <row r="1385" ht="13.55" customHeight="1">
      <c r="A1385" s="32"/>
      <c r="B1385" s="17"/>
      <c r="C1385" s="17"/>
      <c r="D1385" s="17"/>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7"/>
      <c r="AA1385" s="17"/>
      <c r="AB1385" s="17"/>
      <c r="AC1385" s="17"/>
      <c r="AD1385" s="17"/>
      <c r="AE1385" s="17"/>
      <c r="AF1385" s="17"/>
      <c r="AG1385" s="17"/>
      <c r="AH1385" s="17"/>
      <c r="AI1385" s="17"/>
      <c r="AJ1385" s="17"/>
      <c r="AK1385" s="17"/>
      <c r="AL1385" s="17"/>
      <c r="AM1385" s="17"/>
      <c r="AN1385" s="18"/>
    </row>
    <row r="1386" ht="13.55" customHeight="1">
      <c r="A1386" s="32"/>
      <c r="B1386" s="17"/>
      <c r="C1386" s="17"/>
      <c r="D1386" s="17"/>
      <c r="E1386" s="17"/>
      <c r="F1386" s="17"/>
      <c r="G1386" s="17"/>
      <c r="H1386" s="17"/>
      <c r="I1386" s="17"/>
      <c r="J1386" s="17"/>
      <c r="K1386" s="17"/>
      <c r="L1386" s="17"/>
      <c r="M1386" s="17"/>
      <c r="N1386" s="17"/>
      <c r="O1386" s="17"/>
      <c r="P1386" s="17"/>
      <c r="Q1386" s="17"/>
      <c r="R1386" s="17"/>
      <c r="S1386" s="17"/>
      <c r="T1386" s="17"/>
      <c r="U1386" s="17"/>
      <c r="V1386" s="17"/>
      <c r="W1386" s="17"/>
      <c r="X1386" s="17"/>
      <c r="Y1386" s="17"/>
      <c r="Z1386" s="17"/>
      <c r="AA1386" s="17"/>
      <c r="AB1386" s="17"/>
      <c r="AC1386" s="17"/>
      <c r="AD1386" s="17"/>
      <c r="AE1386" s="17"/>
      <c r="AF1386" s="17"/>
      <c r="AG1386" s="17"/>
      <c r="AH1386" s="17"/>
      <c r="AI1386" s="17"/>
      <c r="AJ1386" s="17"/>
      <c r="AK1386" s="17"/>
      <c r="AL1386" s="17"/>
      <c r="AM1386" s="17"/>
      <c r="AN1386" s="18"/>
    </row>
    <row r="1387" ht="13.55" customHeight="1">
      <c r="A1387" s="32"/>
      <c r="B1387" s="17"/>
      <c r="C1387" s="17"/>
      <c r="D1387" s="17"/>
      <c r="E1387" s="17"/>
      <c r="F1387" s="17"/>
      <c r="G1387" s="17"/>
      <c r="H1387" s="17"/>
      <c r="I1387" s="17"/>
      <c r="J1387" s="17"/>
      <c r="K1387" s="17"/>
      <c r="L1387" s="17"/>
      <c r="M1387" s="17"/>
      <c r="N1387" s="17"/>
      <c r="O1387" s="17"/>
      <c r="P1387" s="17"/>
      <c r="Q1387" s="17"/>
      <c r="R1387" s="17"/>
      <c r="S1387" s="17"/>
      <c r="T1387" s="17"/>
      <c r="U1387" s="17"/>
      <c r="V1387" s="17"/>
      <c r="W1387" s="17"/>
      <c r="X1387" s="17"/>
      <c r="Y1387" s="17"/>
      <c r="Z1387" s="17"/>
      <c r="AA1387" s="17"/>
      <c r="AB1387" s="17"/>
      <c r="AC1387" s="17"/>
      <c r="AD1387" s="17"/>
      <c r="AE1387" s="17"/>
      <c r="AF1387" s="17"/>
      <c r="AG1387" s="17"/>
      <c r="AH1387" s="17"/>
      <c r="AI1387" s="17"/>
      <c r="AJ1387" s="17"/>
      <c r="AK1387" s="17"/>
      <c r="AL1387" s="17"/>
      <c r="AM1387" s="17"/>
      <c r="AN1387" s="18"/>
    </row>
    <row r="1388" ht="13.55" customHeight="1">
      <c r="A1388" s="32"/>
      <c r="B1388" s="17"/>
      <c r="C1388" s="17"/>
      <c r="D1388" s="17"/>
      <c r="E1388" s="17"/>
      <c r="F1388" s="17"/>
      <c r="G1388" s="17"/>
      <c r="H1388" s="17"/>
      <c r="I1388" s="17"/>
      <c r="J1388" s="17"/>
      <c r="K1388" s="17"/>
      <c r="L1388" s="17"/>
      <c r="M1388" s="17"/>
      <c r="N1388" s="17"/>
      <c r="O1388" s="17"/>
      <c r="P1388" s="17"/>
      <c r="Q1388" s="17"/>
      <c r="R1388" s="17"/>
      <c r="S1388" s="17"/>
      <c r="T1388" s="17"/>
      <c r="U1388" s="17"/>
      <c r="V1388" s="17"/>
      <c r="W1388" s="17"/>
      <c r="X1388" s="17"/>
      <c r="Y1388" s="17"/>
      <c r="Z1388" s="17"/>
      <c r="AA1388" s="17"/>
      <c r="AB1388" s="17"/>
      <c r="AC1388" s="17"/>
      <c r="AD1388" s="17"/>
      <c r="AE1388" s="17"/>
      <c r="AF1388" s="17"/>
      <c r="AG1388" s="17"/>
      <c r="AH1388" s="17"/>
      <c r="AI1388" s="17"/>
      <c r="AJ1388" s="17"/>
      <c r="AK1388" s="17"/>
      <c r="AL1388" s="17"/>
      <c r="AM1388" s="17"/>
      <c r="AN1388" s="18"/>
    </row>
    <row r="1389" ht="13.55" customHeight="1">
      <c r="A1389" s="32"/>
      <c r="B1389" s="17"/>
      <c r="C1389" s="17"/>
      <c r="D1389" s="17"/>
      <c r="E1389" s="17"/>
      <c r="F1389" s="17"/>
      <c r="G1389" s="17"/>
      <c r="H1389" s="17"/>
      <c r="I1389" s="17"/>
      <c r="J1389" s="17"/>
      <c r="K1389" s="17"/>
      <c r="L1389" s="17"/>
      <c r="M1389" s="17"/>
      <c r="N1389" s="17"/>
      <c r="O1389" s="17"/>
      <c r="P1389" s="17"/>
      <c r="Q1389" s="17"/>
      <c r="R1389" s="17"/>
      <c r="S1389" s="17"/>
      <c r="T1389" s="17"/>
      <c r="U1389" s="17"/>
      <c r="V1389" s="17"/>
      <c r="W1389" s="17"/>
      <c r="X1389" s="17"/>
      <c r="Y1389" s="17"/>
      <c r="Z1389" s="17"/>
      <c r="AA1389" s="17"/>
      <c r="AB1389" s="17"/>
      <c r="AC1389" s="17"/>
      <c r="AD1389" s="17"/>
      <c r="AE1389" s="17"/>
      <c r="AF1389" s="17"/>
      <c r="AG1389" s="17"/>
      <c r="AH1389" s="17"/>
      <c r="AI1389" s="17"/>
      <c r="AJ1389" s="17"/>
      <c r="AK1389" s="17"/>
      <c r="AL1389" s="17"/>
      <c r="AM1389" s="17"/>
      <c r="AN1389" s="18"/>
    </row>
    <row r="1390" ht="13.55" customHeight="1">
      <c r="A1390" s="32"/>
      <c r="B1390" s="17"/>
      <c r="C1390" s="17"/>
      <c r="D1390" s="17"/>
      <c r="E1390" s="17"/>
      <c r="F1390" s="17"/>
      <c r="G1390" s="17"/>
      <c r="H1390" s="17"/>
      <c r="I1390" s="17"/>
      <c r="J1390" s="17"/>
      <c r="K1390" s="17"/>
      <c r="L1390" s="17"/>
      <c r="M1390" s="17"/>
      <c r="N1390" s="17"/>
      <c r="O1390" s="17"/>
      <c r="P1390" s="17"/>
      <c r="Q1390" s="17"/>
      <c r="R1390" s="17"/>
      <c r="S1390" s="17"/>
      <c r="T1390" s="17"/>
      <c r="U1390" s="17"/>
      <c r="V1390" s="17"/>
      <c r="W1390" s="17"/>
      <c r="X1390" s="17"/>
      <c r="Y1390" s="17"/>
      <c r="Z1390" s="17"/>
      <c r="AA1390" s="17"/>
      <c r="AB1390" s="17"/>
      <c r="AC1390" s="17"/>
      <c r="AD1390" s="17"/>
      <c r="AE1390" s="17"/>
      <c r="AF1390" s="17"/>
      <c r="AG1390" s="17"/>
      <c r="AH1390" s="17"/>
      <c r="AI1390" s="17"/>
      <c r="AJ1390" s="17"/>
      <c r="AK1390" s="17"/>
      <c r="AL1390" s="17"/>
      <c r="AM1390" s="17"/>
      <c r="AN1390" s="18"/>
    </row>
    <row r="1391" ht="13.55" customHeight="1">
      <c r="A1391" s="32"/>
      <c r="B1391" s="17"/>
      <c r="C1391" s="17"/>
      <c r="D1391" s="17"/>
      <c r="E1391" s="17"/>
      <c r="F1391" s="17"/>
      <c r="G1391" s="17"/>
      <c r="H1391" s="17"/>
      <c r="I1391" s="17"/>
      <c r="J1391" s="17"/>
      <c r="K1391" s="17"/>
      <c r="L1391" s="17"/>
      <c r="M1391" s="17"/>
      <c r="N1391" s="17"/>
      <c r="O1391" s="17"/>
      <c r="P1391" s="17"/>
      <c r="Q1391" s="17"/>
      <c r="R1391" s="17"/>
      <c r="S1391" s="17"/>
      <c r="T1391" s="17"/>
      <c r="U1391" s="17"/>
      <c r="V1391" s="17"/>
      <c r="W1391" s="17"/>
      <c r="X1391" s="17"/>
      <c r="Y1391" s="17"/>
      <c r="Z1391" s="17"/>
      <c r="AA1391" s="17"/>
      <c r="AB1391" s="17"/>
      <c r="AC1391" s="17"/>
      <c r="AD1391" s="17"/>
      <c r="AE1391" s="17"/>
      <c r="AF1391" s="17"/>
      <c r="AG1391" s="17"/>
      <c r="AH1391" s="17"/>
      <c r="AI1391" s="17"/>
      <c r="AJ1391" s="17"/>
      <c r="AK1391" s="17"/>
      <c r="AL1391" s="17"/>
      <c r="AM1391" s="17"/>
      <c r="AN1391" s="18"/>
    </row>
    <row r="1392" ht="13.55" customHeight="1">
      <c r="A1392" s="32"/>
      <c r="B1392" s="17"/>
      <c r="C1392" s="17"/>
      <c r="D1392" s="17"/>
      <c r="E1392" s="17"/>
      <c r="F1392" s="17"/>
      <c r="G1392" s="17"/>
      <c r="H1392" s="17"/>
      <c r="I1392" s="17"/>
      <c r="J1392" s="17"/>
      <c r="K1392" s="17"/>
      <c r="L1392" s="17"/>
      <c r="M1392" s="17"/>
      <c r="N1392" s="17"/>
      <c r="O1392" s="17"/>
      <c r="P1392" s="17"/>
      <c r="Q1392" s="17"/>
      <c r="R1392" s="17"/>
      <c r="S1392" s="17"/>
      <c r="T1392" s="17"/>
      <c r="U1392" s="17"/>
      <c r="V1392" s="17"/>
      <c r="W1392" s="17"/>
      <c r="X1392" s="17"/>
      <c r="Y1392" s="17"/>
      <c r="Z1392" s="17"/>
      <c r="AA1392" s="17"/>
      <c r="AB1392" s="17"/>
      <c r="AC1392" s="17"/>
      <c r="AD1392" s="17"/>
      <c r="AE1392" s="17"/>
      <c r="AF1392" s="17"/>
      <c r="AG1392" s="17"/>
      <c r="AH1392" s="17"/>
      <c r="AI1392" s="17"/>
      <c r="AJ1392" s="17"/>
      <c r="AK1392" s="17"/>
      <c r="AL1392" s="17"/>
      <c r="AM1392" s="17"/>
      <c r="AN1392" s="18"/>
    </row>
    <row r="1393" ht="13.55" customHeight="1">
      <c r="A1393" s="32"/>
      <c r="B1393" s="17"/>
      <c r="C1393" s="17"/>
      <c r="D1393" s="17"/>
      <c r="E1393" s="17"/>
      <c r="F1393" s="17"/>
      <c r="G1393" s="17"/>
      <c r="H1393" s="17"/>
      <c r="I1393" s="17"/>
      <c r="J1393" s="17"/>
      <c r="K1393" s="17"/>
      <c r="L1393" s="17"/>
      <c r="M1393" s="17"/>
      <c r="N1393" s="17"/>
      <c r="O1393" s="17"/>
      <c r="P1393" s="17"/>
      <c r="Q1393" s="17"/>
      <c r="R1393" s="17"/>
      <c r="S1393" s="17"/>
      <c r="T1393" s="17"/>
      <c r="U1393" s="17"/>
      <c r="V1393" s="17"/>
      <c r="W1393" s="17"/>
      <c r="X1393" s="17"/>
      <c r="Y1393" s="17"/>
      <c r="Z1393" s="17"/>
      <c r="AA1393" s="17"/>
      <c r="AB1393" s="17"/>
      <c r="AC1393" s="17"/>
      <c r="AD1393" s="17"/>
      <c r="AE1393" s="17"/>
      <c r="AF1393" s="17"/>
      <c r="AG1393" s="17"/>
      <c r="AH1393" s="17"/>
      <c r="AI1393" s="17"/>
      <c r="AJ1393" s="17"/>
      <c r="AK1393" s="17"/>
      <c r="AL1393" s="17"/>
      <c r="AM1393" s="17"/>
      <c r="AN1393" s="18"/>
    </row>
    <row r="1394" ht="13.55" customHeight="1">
      <c r="A1394" s="32"/>
      <c r="B1394" s="17"/>
      <c r="C1394" s="17"/>
      <c r="D1394" s="17"/>
      <c r="E1394" s="17"/>
      <c r="F1394" s="17"/>
      <c r="G1394" s="17"/>
      <c r="H1394" s="17"/>
      <c r="I1394" s="17"/>
      <c r="J1394" s="17"/>
      <c r="K1394" s="17"/>
      <c r="L1394" s="17"/>
      <c r="M1394" s="17"/>
      <c r="N1394" s="17"/>
      <c r="O1394" s="17"/>
      <c r="P1394" s="17"/>
      <c r="Q1394" s="17"/>
      <c r="R1394" s="17"/>
      <c r="S1394" s="17"/>
      <c r="T1394" s="17"/>
      <c r="U1394" s="17"/>
      <c r="V1394" s="17"/>
      <c r="W1394" s="17"/>
      <c r="X1394" s="17"/>
      <c r="Y1394" s="17"/>
      <c r="Z1394" s="17"/>
      <c r="AA1394" s="17"/>
      <c r="AB1394" s="17"/>
      <c r="AC1394" s="17"/>
      <c r="AD1394" s="17"/>
      <c r="AE1394" s="17"/>
      <c r="AF1394" s="17"/>
      <c r="AG1394" s="17"/>
      <c r="AH1394" s="17"/>
      <c r="AI1394" s="17"/>
      <c r="AJ1394" s="17"/>
      <c r="AK1394" s="17"/>
      <c r="AL1394" s="17"/>
      <c r="AM1394" s="17"/>
      <c r="AN1394" s="18"/>
    </row>
    <row r="1395" ht="13.55" customHeight="1">
      <c r="A1395" s="32"/>
      <c r="B1395" s="17"/>
      <c r="C1395" s="17"/>
      <c r="D1395" s="17"/>
      <c r="E1395" s="17"/>
      <c r="F1395" s="17"/>
      <c r="G1395" s="17"/>
      <c r="H1395" s="17"/>
      <c r="I1395" s="17"/>
      <c r="J1395" s="17"/>
      <c r="K1395" s="17"/>
      <c r="L1395" s="17"/>
      <c r="M1395" s="17"/>
      <c r="N1395" s="17"/>
      <c r="O1395" s="17"/>
      <c r="P1395" s="17"/>
      <c r="Q1395" s="17"/>
      <c r="R1395" s="17"/>
      <c r="S1395" s="17"/>
      <c r="T1395" s="17"/>
      <c r="U1395" s="17"/>
      <c r="V1395" s="17"/>
      <c r="W1395" s="17"/>
      <c r="X1395" s="17"/>
      <c r="Y1395" s="17"/>
      <c r="Z1395" s="17"/>
      <c r="AA1395" s="17"/>
      <c r="AB1395" s="17"/>
      <c r="AC1395" s="17"/>
      <c r="AD1395" s="17"/>
      <c r="AE1395" s="17"/>
      <c r="AF1395" s="17"/>
      <c r="AG1395" s="17"/>
      <c r="AH1395" s="17"/>
      <c r="AI1395" s="17"/>
      <c r="AJ1395" s="17"/>
      <c r="AK1395" s="17"/>
      <c r="AL1395" s="17"/>
      <c r="AM1395" s="17"/>
      <c r="AN1395" s="18"/>
    </row>
    <row r="1396" ht="13.55" customHeight="1">
      <c r="A1396" s="32"/>
      <c r="B1396" s="17"/>
      <c r="C1396" s="17"/>
      <c r="D1396" s="17"/>
      <c r="E1396" s="17"/>
      <c r="F1396" s="17"/>
      <c r="G1396" s="17"/>
      <c r="H1396" s="17"/>
      <c r="I1396" s="17"/>
      <c r="J1396" s="17"/>
      <c r="K1396" s="17"/>
      <c r="L1396" s="17"/>
      <c r="M1396" s="17"/>
      <c r="N1396" s="17"/>
      <c r="O1396" s="17"/>
      <c r="P1396" s="17"/>
      <c r="Q1396" s="17"/>
      <c r="R1396" s="17"/>
      <c r="S1396" s="17"/>
      <c r="T1396" s="17"/>
      <c r="U1396" s="17"/>
      <c r="V1396" s="17"/>
      <c r="W1396" s="17"/>
      <c r="X1396" s="17"/>
      <c r="Y1396" s="17"/>
      <c r="Z1396" s="17"/>
      <c r="AA1396" s="17"/>
      <c r="AB1396" s="17"/>
      <c r="AC1396" s="17"/>
      <c r="AD1396" s="17"/>
      <c r="AE1396" s="17"/>
      <c r="AF1396" s="17"/>
      <c r="AG1396" s="17"/>
      <c r="AH1396" s="17"/>
      <c r="AI1396" s="17"/>
      <c r="AJ1396" s="17"/>
      <c r="AK1396" s="17"/>
      <c r="AL1396" s="17"/>
      <c r="AM1396" s="17"/>
      <c r="AN1396" s="18"/>
    </row>
    <row r="1397" ht="13.55" customHeight="1">
      <c r="A1397" s="32"/>
      <c r="B1397" s="17"/>
      <c r="C1397" s="17"/>
      <c r="D1397" s="17"/>
      <c r="E1397" s="17"/>
      <c r="F1397" s="17"/>
      <c r="G1397" s="17"/>
      <c r="H1397" s="17"/>
      <c r="I1397" s="17"/>
      <c r="J1397" s="17"/>
      <c r="K1397" s="17"/>
      <c r="L1397" s="17"/>
      <c r="M1397" s="17"/>
      <c r="N1397" s="17"/>
      <c r="O1397" s="17"/>
      <c r="P1397" s="17"/>
      <c r="Q1397" s="17"/>
      <c r="R1397" s="17"/>
      <c r="S1397" s="17"/>
      <c r="T1397" s="17"/>
      <c r="U1397" s="17"/>
      <c r="V1397" s="17"/>
      <c r="W1397" s="17"/>
      <c r="X1397" s="17"/>
      <c r="Y1397" s="17"/>
      <c r="Z1397" s="17"/>
      <c r="AA1397" s="17"/>
      <c r="AB1397" s="17"/>
      <c r="AC1397" s="17"/>
      <c r="AD1397" s="17"/>
      <c r="AE1397" s="17"/>
      <c r="AF1397" s="17"/>
      <c r="AG1397" s="17"/>
      <c r="AH1397" s="17"/>
      <c r="AI1397" s="17"/>
      <c r="AJ1397" s="17"/>
      <c r="AK1397" s="17"/>
      <c r="AL1397" s="17"/>
      <c r="AM1397" s="17"/>
      <c r="AN1397" s="18"/>
    </row>
    <row r="1398" ht="13.55" customHeight="1">
      <c r="A1398" s="32"/>
      <c r="B1398" s="17"/>
      <c r="C1398" s="17"/>
      <c r="D1398" s="17"/>
      <c r="E1398" s="17"/>
      <c r="F1398" s="17"/>
      <c r="G1398" s="17"/>
      <c r="H1398" s="17"/>
      <c r="I1398" s="17"/>
      <c r="J1398" s="17"/>
      <c r="K1398" s="17"/>
      <c r="L1398" s="17"/>
      <c r="M1398" s="17"/>
      <c r="N1398" s="17"/>
      <c r="O1398" s="17"/>
      <c r="P1398" s="17"/>
      <c r="Q1398" s="17"/>
      <c r="R1398" s="17"/>
      <c r="S1398" s="17"/>
      <c r="T1398" s="17"/>
      <c r="U1398" s="17"/>
      <c r="V1398" s="17"/>
      <c r="W1398" s="17"/>
      <c r="X1398" s="17"/>
      <c r="Y1398" s="17"/>
      <c r="Z1398" s="17"/>
      <c r="AA1398" s="17"/>
      <c r="AB1398" s="17"/>
      <c r="AC1398" s="17"/>
      <c r="AD1398" s="17"/>
      <c r="AE1398" s="17"/>
      <c r="AF1398" s="17"/>
      <c r="AG1398" s="17"/>
      <c r="AH1398" s="17"/>
      <c r="AI1398" s="17"/>
      <c r="AJ1398" s="17"/>
      <c r="AK1398" s="17"/>
      <c r="AL1398" s="17"/>
      <c r="AM1398" s="17"/>
      <c r="AN1398" s="18"/>
    </row>
    <row r="1399" ht="13.55" customHeight="1">
      <c r="A1399" s="32"/>
      <c r="B1399" s="17"/>
      <c r="C1399" s="17"/>
      <c r="D1399" s="17"/>
      <c r="E1399" s="17"/>
      <c r="F1399" s="17"/>
      <c r="G1399" s="17"/>
      <c r="H1399" s="17"/>
      <c r="I1399" s="17"/>
      <c r="J1399" s="17"/>
      <c r="K1399" s="17"/>
      <c r="L1399" s="17"/>
      <c r="M1399" s="17"/>
      <c r="N1399" s="17"/>
      <c r="O1399" s="17"/>
      <c r="P1399" s="17"/>
      <c r="Q1399" s="17"/>
      <c r="R1399" s="17"/>
      <c r="S1399" s="17"/>
      <c r="T1399" s="17"/>
      <c r="U1399" s="17"/>
      <c r="V1399" s="17"/>
      <c r="W1399" s="17"/>
      <c r="X1399" s="17"/>
      <c r="Y1399" s="17"/>
      <c r="Z1399" s="17"/>
      <c r="AA1399" s="17"/>
      <c r="AB1399" s="17"/>
      <c r="AC1399" s="17"/>
      <c r="AD1399" s="17"/>
      <c r="AE1399" s="17"/>
      <c r="AF1399" s="17"/>
      <c r="AG1399" s="17"/>
      <c r="AH1399" s="17"/>
      <c r="AI1399" s="17"/>
      <c r="AJ1399" s="17"/>
      <c r="AK1399" s="17"/>
      <c r="AL1399" s="17"/>
      <c r="AM1399" s="17"/>
      <c r="AN1399" s="18"/>
    </row>
    <row r="1400" ht="13.55" customHeight="1">
      <c r="A1400" s="32"/>
      <c r="B1400" s="17"/>
      <c r="C1400" s="17"/>
      <c r="D1400" s="17"/>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7"/>
      <c r="AA1400" s="17"/>
      <c r="AB1400" s="17"/>
      <c r="AC1400" s="17"/>
      <c r="AD1400" s="17"/>
      <c r="AE1400" s="17"/>
      <c r="AF1400" s="17"/>
      <c r="AG1400" s="17"/>
      <c r="AH1400" s="17"/>
      <c r="AI1400" s="17"/>
      <c r="AJ1400" s="17"/>
      <c r="AK1400" s="17"/>
      <c r="AL1400" s="17"/>
      <c r="AM1400" s="17"/>
      <c r="AN1400" s="18"/>
    </row>
    <row r="1401" ht="13.55" customHeight="1">
      <c r="A1401" s="32"/>
      <c r="B1401" s="17"/>
      <c r="C1401" s="17"/>
      <c r="D1401" s="17"/>
      <c r="E1401" s="17"/>
      <c r="F1401" s="17"/>
      <c r="G1401" s="17"/>
      <c r="H1401" s="17"/>
      <c r="I1401" s="17"/>
      <c r="J1401" s="17"/>
      <c r="K1401" s="17"/>
      <c r="L1401" s="17"/>
      <c r="M1401" s="17"/>
      <c r="N1401" s="17"/>
      <c r="O1401" s="17"/>
      <c r="P1401" s="17"/>
      <c r="Q1401" s="17"/>
      <c r="R1401" s="17"/>
      <c r="S1401" s="17"/>
      <c r="T1401" s="17"/>
      <c r="U1401" s="17"/>
      <c r="V1401" s="17"/>
      <c r="W1401" s="17"/>
      <c r="X1401" s="17"/>
      <c r="Y1401" s="17"/>
      <c r="Z1401" s="17"/>
      <c r="AA1401" s="17"/>
      <c r="AB1401" s="17"/>
      <c r="AC1401" s="17"/>
      <c r="AD1401" s="17"/>
      <c r="AE1401" s="17"/>
      <c r="AF1401" s="17"/>
      <c r="AG1401" s="17"/>
      <c r="AH1401" s="17"/>
      <c r="AI1401" s="17"/>
      <c r="AJ1401" s="17"/>
      <c r="AK1401" s="17"/>
      <c r="AL1401" s="17"/>
      <c r="AM1401" s="17"/>
      <c r="AN1401" s="18"/>
    </row>
    <row r="1402" ht="13.55" customHeight="1">
      <c r="A1402" s="32"/>
      <c r="B1402" s="17"/>
      <c r="C1402" s="17"/>
      <c r="D1402" s="17"/>
      <c r="E1402" s="17"/>
      <c r="F1402" s="17"/>
      <c r="G1402" s="17"/>
      <c r="H1402" s="17"/>
      <c r="I1402" s="17"/>
      <c r="J1402" s="17"/>
      <c r="K1402" s="17"/>
      <c r="L1402" s="17"/>
      <c r="M1402" s="17"/>
      <c r="N1402" s="17"/>
      <c r="O1402" s="17"/>
      <c r="P1402" s="17"/>
      <c r="Q1402" s="17"/>
      <c r="R1402" s="17"/>
      <c r="S1402" s="17"/>
      <c r="T1402" s="17"/>
      <c r="U1402" s="17"/>
      <c r="V1402" s="17"/>
      <c r="W1402" s="17"/>
      <c r="X1402" s="17"/>
      <c r="Y1402" s="17"/>
      <c r="Z1402" s="17"/>
      <c r="AA1402" s="17"/>
      <c r="AB1402" s="17"/>
      <c r="AC1402" s="17"/>
      <c r="AD1402" s="17"/>
      <c r="AE1402" s="17"/>
      <c r="AF1402" s="17"/>
      <c r="AG1402" s="17"/>
      <c r="AH1402" s="17"/>
      <c r="AI1402" s="17"/>
      <c r="AJ1402" s="17"/>
      <c r="AK1402" s="17"/>
      <c r="AL1402" s="17"/>
      <c r="AM1402" s="17"/>
      <c r="AN1402" s="18"/>
    </row>
    <row r="1403" ht="13.55" customHeight="1">
      <c r="A1403" s="32"/>
      <c r="B1403" s="17"/>
      <c r="C1403" s="17"/>
      <c r="D1403" s="17"/>
      <c r="E1403" s="17"/>
      <c r="F1403" s="17"/>
      <c r="G1403" s="17"/>
      <c r="H1403" s="17"/>
      <c r="I1403" s="17"/>
      <c r="J1403" s="17"/>
      <c r="K1403" s="17"/>
      <c r="L1403" s="17"/>
      <c r="M1403" s="17"/>
      <c r="N1403" s="17"/>
      <c r="O1403" s="17"/>
      <c r="P1403" s="17"/>
      <c r="Q1403" s="17"/>
      <c r="R1403" s="17"/>
      <c r="S1403" s="17"/>
      <c r="T1403" s="17"/>
      <c r="U1403" s="17"/>
      <c r="V1403" s="17"/>
      <c r="W1403" s="17"/>
      <c r="X1403" s="17"/>
      <c r="Y1403" s="17"/>
      <c r="Z1403" s="17"/>
      <c r="AA1403" s="17"/>
      <c r="AB1403" s="17"/>
      <c r="AC1403" s="17"/>
      <c r="AD1403" s="17"/>
      <c r="AE1403" s="17"/>
      <c r="AF1403" s="17"/>
      <c r="AG1403" s="17"/>
      <c r="AH1403" s="17"/>
      <c r="AI1403" s="17"/>
      <c r="AJ1403" s="17"/>
      <c r="AK1403" s="17"/>
      <c r="AL1403" s="17"/>
      <c r="AM1403" s="17"/>
      <c r="AN1403" s="18"/>
    </row>
    <row r="1404" ht="13.55" customHeight="1">
      <c r="A1404" s="32"/>
      <c r="B1404" s="17"/>
      <c r="C1404" s="17"/>
      <c r="D1404" s="17"/>
      <c r="E1404" s="17"/>
      <c r="F1404" s="17"/>
      <c r="G1404" s="17"/>
      <c r="H1404" s="17"/>
      <c r="I1404" s="17"/>
      <c r="J1404" s="17"/>
      <c r="K1404" s="17"/>
      <c r="L1404" s="17"/>
      <c r="M1404" s="17"/>
      <c r="N1404" s="17"/>
      <c r="O1404" s="17"/>
      <c r="P1404" s="17"/>
      <c r="Q1404" s="17"/>
      <c r="R1404" s="17"/>
      <c r="S1404" s="17"/>
      <c r="T1404" s="17"/>
      <c r="U1404" s="17"/>
      <c r="V1404" s="17"/>
      <c r="W1404" s="17"/>
      <c r="X1404" s="17"/>
      <c r="Y1404" s="17"/>
      <c r="Z1404" s="17"/>
      <c r="AA1404" s="17"/>
      <c r="AB1404" s="17"/>
      <c r="AC1404" s="17"/>
      <c r="AD1404" s="17"/>
      <c r="AE1404" s="17"/>
      <c r="AF1404" s="17"/>
      <c r="AG1404" s="17"/>
      <c r="AH1404" s="17"/>
      <c r="AI1404" s="17"/>
      <c r="AJ1404" s="17"/>
      <c r="AK1404" s="17"/>
      <c r="AL1404" s="17"/>
      <c r="AM1404" s="17"/>
      <c r="AN1404" s="18"/>
    </row>
    <row r="1405" ht="13.55" customHeight="1">
      <c r="A1405" s="32"/>
      <c r="B1405" s="17"/>
      <c r="C1405" s="17"/>
      <c r="D1405" s="17"/>
      <c r="E1405" s="17"/>
      <c r="F1405" s="17"/>
      <c r="G1405" s="17"/>
      <c r="H1405" s="17"/>
      <c r="I1405" s="17"/>
      <c r="J1405" s="17"/>
      <c r="K1405" s="17"/>
      <c r="L1405" s="17"/>
      <c r="M1405" s="17"/>
      <c r="N1405" s="17"/>
      <c r="O1405" s="17"/>
      <c r="P1405" s="17"/>
      <c r="Q1405" s="17"/>
      <c r="R1405" s="17"/>
      <c r="S1405" s="17"/>
      <c r="T1405" s="17"/>
      <c r="U1405" s="17"/>
      <c r="V1405" s="17"/>
      <c r="W1405" s="17"/>
      <c r="X1405" s="17"/>
      <c r="Y1405" s="17"/>
      <c r="Z1405" s="17"/>
      <c r="AA1405" s="17"/>
      <c r="AB1405" s="17"/>
      <c r="AC1405" s="17"/>
      <c r="AD1405" s="17"/>
      <c r="AE1405" s="17"/>
      <c r="AF1405" s="17"/>
      <c r="AG1405" s="17"/>
      <c r="AH1405" s="17"/>
      <c r="AI1405" s="17"/>
      <c r="AJ1405" s="17"/>
      <c r="AK1405" s="17"/>
      <c r="AL1405" s="17"/>
      <c r="AM1405" s="17"/>
      <c r="AN1405" s="18"/>
    </row>
    <row r="1406" ht="13.55" customHeight="1">
      <c r="A1406" s="32"/>
      <c r="B1406" s="17"/>
      <c r="C1406" s="17"/>
      <c r="D1406" s="17"/>
      <c r="E1406" s="17"/>
      <c r="F1406" s="17"/>
      <c r="G1406" s="17"/>
      <c r="H1406" s="17"/>
      <c r="I1406" s="17"/>
      <c r="J1406" s="17"/>
      <c r="K1406" s="17"/>
      <c r="L1406" s="17"/>
      <c r="M1406" s="17"/>
      <c r="N1406" s="17"/>
      <c r="O1406" s="17"/>
      <c r="P1406" s="17"/>
      <c r="Q1406" s="17"/>
      <c r="R1406" s="17"/>
      <c r="S1406" s="17"/>
      <c r="T1406" s="17"/>
      <c r="U1406" s="17"/>
      <c r="V1406" s="17"/>
      <c r="W1406" s="17"/>
      <c r="X1406" s="17"/>
      <c r="Y1406" s="17"/>
      <c r="Z1406" s="17"/>
      <c r="AA1406" s="17"/>
      <c r="AB1406" s="17"/>
      <c r="AC1406" s="17"/>
      <c r="AD1406" s="17"/>
      <c r="AE1406" s="17"/>
      <c r="AF1406" s="17"/>
      <c r="AG1406" s="17"/>
      <c r="AH1406" s="17"/>
      <c r="AI1406" s="17"/>
      <c r="AJ1406" s="17"/>
      <c r="AK1406" s="17"/>
      <c r="AL1406" s="17"/>
      <c r="AM1406" s="17"/>
      <c r="AN1406" s="18"/>
    </row>
    <row r="1407" ht="13.55" customHeight="1">
      <c r="A1407" s="32"/>
      <c r="B1407" s="17"/>
      <c r="C1407" s="17"/>
      <c r="D1407" s="17"/>
      <c r="E1407" s="17"/>
      <c r="F1407" s="17"/>
      <c r="G1407" s="17"/>
      <c r="H1407" s="17"/>
      <c r="I1407" s="17"/>
      <c r="J1407" s="17"/>
      <c r="K1407" s="17"/>
      <c r="L1407" s="17"/>
      <c r="M1407" s="17"/>
      <c r="N1407" s="17"/>
      <c r="O1407" s="17"/>
      <c r="P1407" s="17"/>
      <c r="Q1407" s="17"/>
      <c r="R1407" s="17"/>
      <c r="S1407" s="17"/>
      <c r="T1407" s="17"/>
      <c r="U1407" s="17"/>
      <c r="V1407" s="17"/>
      <c r="W1407" s="17"/>
      <c r="X1407" s="17"/>
      <c r="Y1407" s="17"/>
      <c r="Z1407" s="17"/>
      <c r="AA1407" s="17"/>
      <c r="AB1407" s="17"/>
      <c r="AC1407" s="17"/>
      <c r="AD1407" s="17"/>
      <c r="AE1407" s="17"/>
      <c r="AF1407" s="17"/>
      <c r="AG1407" s="17"/>
      <c r="AH1407" s="17"/>
      <c r="AI1407" s="17"/>
      <c r="AJ1407" s="17"/>
      <c r="AK1407" s="17"/>
      <c r="AL1407" s="17"/>
      <c r="AM1407" s="17"/>
      <c r="AN1407" s="18"/>
    </row>
    <row r="1408" ht="13.55" customHeight="1">
      <c r="A1408" s="32"/>
      <c r="B1408" s="17"/>
      <c r="C1408" s="17"/>
      <c r="D1408" s="17"/>
      <c r="E1408" s="17"/>
      <c r="F1408" s="17"/>
      <c r="G1408" s="17"/>
      <c r="H1408" s="17"/>
      <c r="I1408" s="17"/>
      <c r="J1408" s="17"/>
      <c r="K1408" s="17"/>
      <c r="L1408" s="17"/>
      <c r="M1408" s="17"/>
      <c r="N1408" s="17"/>
      <c r="O1408" s="17"/>
      <c r="P1408" s="17"/>
      <c r="Q1408" s="17"/>
      <c r="R1408" s="17"/>
      <c r="S1408" s="17"/>
      <c r="T1408" s="17"/>
      <c r="U1408" s="17"/>
      <c r="V1408" s="17"/>
      <c r="W1408" s="17"/>
      <c r="X1408" s="17"/>
      <c r="Y1408" s="17"/>
      <c r="Z1408" s="17"/>
      <c r="AA1408" s="17"/>
      <c r="AB1408" s="17"/>
      <c r="AC1408" s="17"/>
      <c r="AD1408" s="17"/>
      <c r="AE1408" s="17"/>
      <c r="AF1408" s="17"/>
      <c r="AG1408" s="17"/>
      <c r="AH1408" s="17"/>
      <c r="AI1408" s="17"/>
      <c r="AJ1408" s="17"/>
      <c r="AK1408" s="17"/>
      <c r="AL1408" s="17"/>
      <c r="AM1408" s="17"/>
      <c r="AN1408" s="18"/>
    </row>
    <row r="1409" ht="13.55" customHeight="1">
      <c r="A1409" s="32"/>
      <c r="B1409" s="17"/>
      <c r="C1409" s="17"/>
      <c r="D1409" s="17"/>
      <c r="E1409" s="17"/>
      <c r="F1409" s="17"/>
      <c r="G1409" s="17"/>
      <c r="H1409" s="17"/>
      <c r="I1409" s="17"/>
      <c r="J1409" s="17"/>
      <c r="K1409" s="17"/>
      <c r="L1409" s="17"/>
      <c r="M1409" s="17"/>
      <c r="N1409" s="17"/>
      <c r="O1409" s="17"/>
      <c r="P1409" s="17"/>
      <c r="Q1409" s="17"/>
      <c r="R1409" s="17"/>
      <c r="S1409" s="17"/>
      <c r="T1409" s="17"/>
      <c r="U1409" s="17"/>
      <c r="V1409" s="17"/>
      <c r="W1409" s="17"/>
      <c r="X1409" s="17"/>
      <c r="Y1409" s="17"/>
      <c r="Z1409" s="17"/>
      <c r="AA1409" s="17"/>
      <c r="AB1409" s="17"/>
      <c r="AC1409" s="17"/>
      <c r="AD1409" s="17"/>
      <c r="AE1409" s="17"/>
      <c r="AF1409" s="17"/>
      <c r="AG1409" s="17"/>
      <c r="AH1409" s="17"/>
      <c r="AI1409" s="17"/>
      <c r="AJ1409" s="17"/>
      <c r="AK1409" s="17"/>
      <c r="AL1409" s="17"/>
      <c r="AM1409" s="17"/>
      <c r="AN1409" s="18"/>
    </row>
    <row r="1410" ht="13.55" customHeight="1">
      <c r="A1410" s="32"/>
      <c r="B1410" s="17"/>
      <c r="C1410" s="17"/>
      <c r="D1410" s="17"/>
      <c r="E1410" s="17"/>
      <c r="F1410" s="17"/>
      <c r="G1410" s="17"/>
      <c r="H1410" s="17"/>
      <c r="I1410" s="17"/>
      <c r="J1410" s="17"/>
      <c r="K1410" s="17"/>
      <c r="L1410" s="17"/>
      <c r="M1410" s="17"/>
      <c r="N1410" s="17"/>
      <c r="O1410" s="17"/>
      <c r="P1410" s="17"/>
      <c r="Q1410" s="17"/>
      <c r="R1410" s="17"/>
      <c r="S1410" s="17"/>
      <c r="T1410" s="17"/>
      <c r="U1410" s="17"/>
      <c r="V1410" s="17"/>
      <c r="W1410" s="17"/>
      <c r="X1410" s="17"/>
      <c r="Y1410" s="17"/>
      <c r="Z1410" s="17"/>
      <c r="AA1410" s="17"/>
      <c r="AB1410" s="17"/>
      <c r="AC1410" s="17"/>
      <c r="AD1410" s="17"/>
      <c r="AE1410" s="17"/>
      <c r="AF1410" s="17"/>
      <c r="AG1410" s="17"/>
      <c r="AH1410" s="17"/>
      <c r="AI1410" s="17"/>
      <c r="AJ1410" s="17"/>
      <c r="AK1410" s="17"/>
      <c r="AL1410" s="17"/>
      <c r="AM1410" s="17"/>
      <c r="AN1410" s="18"/>
    </row>
    <row r="1411" ht="13.55" customHeight="1">
      <c r="A1411" s="32"/>
      <c r="B1411" s="17"/>
      <c r="C1411" s="17"/>
      <c r="D1411" s="17"/>
      <c r="E1411" s="17"/>
      <c r="F1411" s="17"/>
      <c r="G1411" s="17"/>
      <c r="H1411" s="17"/>
      <c r="I1411" s="17"/>
      <c r="J1411" s="17"/>
      <c r="K1411" s="17"/>
      <c r="L1411" s="17"/>
      <c r="M1411" s="17"/>
      <c r="N1411" s="17"/>
      <c r="O1411" s="17"/>
      <c r="P1411" s="17"/>
      <c r="Q1411" s="17"/>
      <c r="R1411" s="17"/>
      <c r="S1411" s="17"/>
      <c r="T1411" s="17"/>
      <c r="U1411" s="17"/>
      <c r="V1411" s="17"/>
      <c r="W1411" s="17"/>
      <c r="X1411" s="17"/>
      <c r="Y1411" s="17"/>
      <c r="Z1411" s="17"/>
      <c r="AA1411" s="17"/>
      <c r="AB1411" s="17"/>
      <c r="AC1411" s="17"/>
      <c r="AD1411" s="17"/>
      <c r="AE1411" s="17"/>
      <c r="AF1411" s="17"/>
      <c r="AG1411" s="17"/>
      <c r="AH1411" s="17"/>
      <c r="AI1411" s="17"/>
      <c r="AJ1411" s="17"/>
      <c r="AK1411" s="17"/>
      <c r="AL1411" s="17"/>
      <c r="AM1411" s="17"/>
      <c r="AN1411" s="18"/>
    </row>
    <row r="1412" ht="13.55" customHeight="1">
      <c r="A1412" s="32"/>
      <c r="B1412" s="17"/>
      <c r="C1412" s="17"/>
      <c r="D1412" s="17"/>
      <c r="E1412" s="17"/>
      <c r="F1412" s="17"/>
      <c r="G1412" s="17"/>
      <c r="H1412" s="17"/>
      <c r="I1412" s="17"/>
      <c r="J1412" s="17"/>
      <c r="K1412" s="17"/>
      <c r="L1412" s="17"/>
      <c r="M1412" s="17"/>
      <c r="N1412" s="17"/>
      <c r="O1412" s="17"/>
      <c r="P1412" s="17"/>
      <c r="Q1412" s="17"/>
      <c r="R1412" s="17"/>
      <c r="S1412" s="17"/>
      <c r="T1412" s="17"/>
      <c r="U1412" s="17"/>
      <c r="V1412" s="17"/>
      <c r="W1412" s="17"/>
      <c r="X1412" s="17"/>
      <c r="Y1412" s="17"/>
      <c r="Z1412" s="17"/>
      <c r="AA1412" s="17"/>
      <c r="AB1412" s="17"/>
      <c r="AC1412" s="17"/>
      <c r="AD1412" s="17"/>
      <c r="AE1412" s="17"/>
      <c r="AF1412" s="17"/>
      <c r="AG1412" s="17"/>
      <c r="AH1412" s="17"/>
      <c r="AI1412" s="17"/>
      <c r="AJ1412" s="17"/>
      <c r="AK1412" s="17"/>
      <c r="AL1412" s="17"/>
      <c r="AM1412" s="17"/>
      <c r="AN1412" s="18"/>
    </row>
    <row r="1413" ht="13.55" customHeight="1">
      <c r="A1413" s="32"/>
      <c r="B1413" s="17"/>
      <c r="C1413" s="17"/>
      <c r="D1413" s="17"/>
      <c r="E1413" s="17"/>
      <c r="F1413" s="17"/>
      <c r="G1413" s="17"/>
      <c r="H1413" s="17"/>
      <c r="I1413" s="17"/>
      <c r="J1413" s="17"/>
      <c r="K1413" s="17"/>
      <c r="L1413" s="17"/>
      <c r="M1413" s="17"/>
      <c r="N1413" s="17"/>
      <c r="O1413" s="17"/>
      <c r="P1413" s="17"/>
      <c r="Q1413" s="17"/>
      <c r="R1413" s="17"/>
      <c r="S1413" s="17"/>
      <c r="T1413" s="17"/>
      <c r="U1413" s="17"/>
      <c r="V1413" s="17"/>
      <c r="W1413" s="17"/>
      <c r="X1413" s="17"/>
      <c r="Y1413" s="17"/>
      <c r="Z1413" s="17"/>
      <c r="AA1413" s="17"/>
      <c r="AB1413" s="17"/>
      <c r="AC1413" s="17"/>
      <c r="AD1413" s="17"/>
      <c r="AE1413" s="17"/>
      <c r="AF1413" s="17"/>
      <c r="AG1413" s="17"/>
      <c r="AH1413" s="17"/>
      <c r="AI1413" s="17"/>
      <c r="AJ1413" s="17"/>
      <c r="AK1413" s="17"/>
      <c r="AL1413" s="17"/>
      <c r="AM1413" s="17"/>
      <c r="AN1413" s="18"/>
    </row>
    <row r="1414" ht="13.55" customHeight="1">
      <c r="A1414" s="32"/>
      <c r="B1414" s="17"/>
      <c r="C1414" s="17"/>
      <c r="D1414" s="17"/>
      <c r="E1414" s="17"/>
      <c r="F1414" s="17"/>
      <c r="G1414" s="17"/>
      <c r="H1414" s="17"/>
      <c r="I1414" s="17"/>
      <c r="J1414" s="17"/>
      <c r="K1414" s="17"/>
      <c r="L1414" s="17"/>
      <c r="M1414" s="17"/>
      <c r="N1414" s="17"/>
      <c r="O1414" s="17"/>
      <c r="P1414" s="17"/>
      <c r="Q1414" s="17"/>
      <c r="R1414" s="17"/>
      <c r="S1414" s="17"/>
      <c r="T1414" s="17"/>
      <c r="U1414" s="17"/>
      <c r="V1414" s="17"/>
      <c r="W1414" s="17"/>
      <c r="X1414" s="17"/>
      <c r="Y1414" s="17"/>
      <c r="Z1414" s="17"/>
      <c r="AA1414" s="17"/>
      <c r="AB1414" s="17"/>
      <c r="AC1414" s="17"/>
      <c r="AD1414" s="17"/>
      <c r="AE1414" s="17"/>
      <c r="AF1414" s="17"/>
      <c r="AG1414" s="17"/>
      <c r="AH1414" s="17"/>
      <c r="AI1414" s="17"/>
      <c r="AJ1414" s="17"/>
      <c r="AK1414" s="17"/>
      <c r="AL1414" s="17"/>
      <c r="AM1414" s="17"/>
      <c r="AN1414" s="18"/>
    </row>
    <row r="1415" ht="13.55" customHeight="1">
      <c r="A1415" s="32"/>
      <c r="B1415" s="17"/>
      <c r="C1415" s="17"/>
      <c r="D1415" s="17"/>
      <c r="E1415" s="17"/>
      <c r="F1415" s="17"/>
      <c r="G1415" s="17"/>
      <c r="H1415" s="17"/>
      <c r="I1415" s="17"/>
      <c r="J1415" s="17"/>
      <c r="K1415" s="17"/>
      <c r="L1415" s="17"/>
      <c r="M1415" s="17"/>
      <c r="N1415" s="17"/>
      <c r="O1415" s="17"/>
      <c r="P1415" s="17"/>
      <c r="Q1415" s="17"/>
      <c r="R1415" s="17"/>
      <c r="S1415" s="17"/>
      <c r="T1415" s="17"/>
      <c r="U1415" s="17"/>
      <c r="V1415" s="17"/>
      <c r="W1415" s="17"/>
      <c r="X1415" s="17"/>
      <c r="Y1415" s="17"/>
      <c r="Z1415" s="17"/>
      <c r="AA1415" s="17"/>
      <c r="AB1415" s="17"/>
      <c r="AC1415" s="17"/>
      <c r="AD1415" s="17"/>
      <c r="AE1415" s="17"/>
      <c r="AF1415" s="17"/>
      <c r="AG1415" s="17"/>
      <c r="AH1415" s="17"/>
      <c r="AI1415" s="17"/>
      <c r="AJ1415" s="17"/>
      <c r="AK1415" s="17"/>
      <c r="AL1415" s="17"/>
      <c r="AM1415" s="17"/>
      <c r="AN1415" s="18"/>
    </row>
    <row r="1416" ht="13.55" customHeight="1">
      <c r="A1416" s="32"/>
      <c r="B1416" s="17"/>
      <c r="C1416" s="17"/>
      <c r="D1416" s="17"/>
      <c r="E1416" s="17"/>
      <c r="F1416" s="17"/>
      <c r="G1416" s="17"/>
      <c r="H1416" s="17"/>
      <c r="I1416" s="17"/>
      <c r="J1416" s="17"/>
      <c r="K1416" s="17"/>
      <c r="L1416" s="17"/>
      <c r="M1416" s="17"/>
      <c r="N1416" s="17"/>
      <c r="O1416" s="17"/>
      <c r="P1416" s="17"/>
      <c r="Q1416" s="17"/>
      <c r="R1416" s="17"/>
      <c r="S1416" s="17"/>
      <c r="T1416" s="17"/>
      <c r="U1416" s="17"/>
      <c r="V1416" s="17"/>
      <c r="W1416" s="17"/>
      <c r="X1416" s="17"/>
      <c r="Y1416" s="17"/>
      <c r="Z1416" s="17"/>
      <c r="AA1416" s="17"/>
      <c r="AB1416" s="17"/>
      <c r="AC1416" s="17"/>
      <c r="AD1416" s="17"/>
      <c r="AE1416" s="17"/>
      <c r="AF1416" s="17"/>
      <c r="AG1416" s="17"/>
      <c r="AH1416" s="17"/>
      <c r="AI1416" s="17"/>
      <c r="AJ1416" s="17"/>
      <c r="AK1416" s="17"/>
      <c r="AL1416" s="17"/>
      <c r="AM1416" s="17"/>
      <c r="AN1416" s="18"/>
    </row>
    <row r="1417" ht="13.55" customHeight="1">
      <c r="A1417" s="32"/>
      <c r="B1417" s="17"/>
      <c r="C1417" s="17"/>
      <c r="D1417" s="17"/>
      <c r="E1417" s="17"/>
      <c r="F1417" s="17"/>
      <c r="G1417" s="17"/>
      <c r="H1417" s="17"/>
      <c r="I1417" s="17"/>
      <c r="J1417" s="17"/>
      <c r="K1417" s="17"/>
      <c r="L1417" s="17"/>
      <c r="M1417" s="17"/>
      <c r="N1417" s="17"/>
      <c r="O1417" s="17"/>
      <c r="P1417" s="17"/>
      <c r="Q1417" s="17"/>
      <c r="R1417" s="17"/>
      <c r="S1417" s="17"/>
      <c r="T1417" s="17"/>
      <c r="U1417" s="17"/>
      <c r="V1417" s="17"/>
      <c r="W1417" s="17"/>
      <c r="X1417" s="17"/>
      <c r="Y1417" s="17"/>
      <c r="Z1417" s="17"/>
      <c r="AA1417" s="17"/>
      <c r="AB1417" s="17"/>
      <c r="AC1417" s="17"/>
      <c r="AD1417" s="17"/>
      <c r="AE1417" s="17"/>
      <c r="AF1417" s="17"/>
      <c r="AG1417" s="17"/>
      <c r="AH1417" s="17"/>
      <c r="AI1417" s="17"/>
      <c r="AJ1417" s="17"/>
      <c r="AK1417" s="17"/>
      <c r="AL1417" s="17"/>
      <c r="AM1417" s="17"/>
      <c r="AN1417" s="18"/>
    </row>
    <row r="1418" ht="13.55" customHeight="1">
      <c r="A1418" s="32"/>
      <c r="B1418" s="17"/>
      <c r="C1418" s="17"/>
      <c r="D1418" s="17"/>
      <c r="E1418" s="17"/>
      <c r="F1418" s="17"/>
      <c r="G1418" s="17"/>
      <c r="H1418" s="17"/>
      <c r="I1418" s="17"/>
      <c r="J1418" s="17"/>
      <c r="K1418" s="17"/>
      <c r="L1418" s="17"/>
      <c r="M1418" s="17"/>
      <c r="N1418" s="17"/>
      <c r="O1418" s="17"/>
      <c r="P1418" s="17"/>
      <c r="Q1418" s="17"/>
      <c r="R1418" s="17"/>
      <c r="S1418" s="17"/>
      <c r="T1418" s="17"/>
      <c r="U1418" s="17"/>
      <c r="V1418" s="17"/>
      <c r="W1418" s="17"/>
      <c r="X1418" s="17"/>
      <c r="Y1418" s="17"/>
      <c r="Z1418" s="17"/>
      <c r="AA1418" s="17"/>
      <c r="AB1418" s="17"/>
      <c r="AC1418" s="17"/>
      <c r="AD1418" s="17"/>
      <c r="AE1418" s="17"/>
      <c r="AF1418" s="17"/>
      <c r="AG1418" s="17"/>
      <c r="AH1418" s="17"/>
      <c r="AI1418" s="17"/>
      <c r="AJ1418" s="17"/>
      <c r="AK1418" s="17"/>
      <c r="AL1418" s="17"/>
      <c r="AM1418" s="17"/>
      <c r="AN1418" s="18"/>
    </row>
    <row r="1419" ht="13.55" customHeight="1">
      <c r="A1419" s="32"/>
      <c r="B1419" s="17"/>
      <c r="C1419" s="17"/>
      <c r="D1419" s="17"/>
      <c r="E1419" s="17"/>
      <c r="F1419" s="17"/>
      <c r="G1419" s="17"/>
      <c r="H1419" s="17"/>
      <c r="I1419" s="17"/>
      <c r="J1419" s="17"/>
      <c r="K1419" s="17"/>
      <c r="L1419" s="17"/>
      <c r="M1419" s="17"/>
      <c r="N1419" s="17"/>
      <c r="O1419" s="17"/>
      <c r="P1419" s="17"/>
      <c r="Q1419" s="17"/>
      <c r="R1419" s="17"/>
      <c r="S1419" s="17"/>
      <c r="T1419" s="17"/>
      <c r="U1419" s="17"/>
      <c r="V1419" s="17"/>
      <c r="W1419" s="17"/>
      <c r="X1419" s="17"/>
      <c r="Y1419" s="17"/>
      <c r="Z1419" s="17"/>
      <c r="AA1419" s="17"/>
      <c r="AB1419" s="17"/>
      <c r="AC1419" s="17"/>
      <c r="AD1419" s="17"/>
      <c r="AE1419" s="17"/>
      <c r="AF1419" s="17"/>
      <c r="AG1419" s="17"/>
      <c r="AH1419" s="17"/>
      <c r="AI1419" s="17"/>
      <c r="AJ1419" s="17"/>
      <c r="AK1419" s="17"/>
      <c r="AL1419" s="17"/>
      <c r="AM1419" s="17"/>
      <c r="AN1419" s="18"/>
    </row>
    <row r="1420" ht="13.55" customHeight="1">
      <c r="A1420" s="32"/>
      <c r="B1420" s="17"/>
      <c r="C1420" s="17"/>
      <c r="D1420" s="17"/>
      <c r="E1420" s="17"/>
      <c r="F1420" s="17"/>
      <c r="G1420" s="17"/>
      <c r="H1420" s="17"/>
      <c r="I1420" s="17"/>
      <c r="J1420" s="17"/>
      <c r="K1420" s="17"/>
      <c r="L1420" s="17"/>
      <c r="M1420" s="17"/>
      <c r="N1420" s="17"/>
      <c r="O1420" s="17"/>
      <c r="P1420" s="17"/>
      <c r="Q1420" s="17"/>
      <c r="R1420" s="17"/>
      <c r="S1420" s="17"/>
      <c r="T1420" s="17"/>
      <c r="U1420" s="17"/>
      <c r="V1420" s="17"/>
      <c r="W1420" s="17"/>
      <c r="X1420" s="17"/>
      <c r="Y1420" s="17"/>
      <c r="Z1420" s="17"/>
      <c r="AA1420" s="17"/>
      <c r="AB1420" s="17"/>
      <c r="AC1420" s="17"/>
      <c r="AD1420" s="17"/>
      <c r="AE1420" s="17"/>
      <c r="AF1420" s="17"/>
      <c r="AG1420" s="17"/>
      <c r="AH1420" s="17"/>
      <c r="AI1420" s="17"/>
      <c r="AJ1420" s="17"/>
      <c r="AK1420" s="17"/>
      <c r="AL1420" s="17"/>
      <c r="AM1420" s="17"/>
      <c r="AN1420" s="18"/>
    </row>
    <row r="1421" ht="13.55" customHeight="1">
      <c r="A1421" s="32"/>
      <c r="B1421" s="17"/>
      <c r="C1421" s="17"/>
      <c r="D1421" s="17"/>
      <c r="E1421" s="17"/>
      <c r="F1421" s="17"/>
      <c r="G1421" s="17"/>
      <c r="H1421" s="17"/>
      <c r="I1421" s="17"/>
      <c r="J1421" s="17"/>
      <c r="K1421" s="17"/>
      <c r="L1421" s="17"/>
      <c r="M1421" s="17"/>
      <c r="N1421" s="17"/>
      <c r="O1421" s="17"/>
      <c r="P1421" s="17"/>
      <c r="Q1421" s="17"/>
      <c r="R1421" s="17"/>
      <c r="S1421" s="17"/>
      <c r="T1421" s="17"/>
      <c r="U1421" s="17"/>
      <c r="V1421" s="17"/>
      <c r="W1421" s="17"/>
      <c r="X1421" s="17"/>
      <c r="Y1421" s="17"/>
      <c r="Z1421" s="17"/>
      <c r="AA1421" s="17"/>
      <c r="AB1421" s="17"/>
      <c r="AC1421" s="17"/>
      <c r="AD1421" s="17"/>
      <c r="AE1421" s="17"/>
      <c r="AF1421" s="17"/>
      <c r="AG1421" s="17"/>
      <c r="AH1421" s="17"/>
      <c r="AI1421" s="17"/>
      <c r="AJ1421" s="17"/>
      <c r="AK1421" s="17"/>
      <c r="AL1421" s="17"/>
      <c r="AM1421" s="17"/>
      <c r="AN1421" s="18"/>
    </row>
    <row r="1422" ht="13.55" customHeight="1">
      <c r="A1422" s="32"/>
      <c r="B1422" s="17"/>
      <c r="C1422" s="17"/>
      <c r="D1422" s="17"/>
      <c r="E1422" s="17"/>
      <c r="F1422" s="17"/>
      <c r="G1422" s="17"/>
      <c r="H1422" s="17"/>
      <c r="I1422" s="17"/>
      <c r="J1422" s="17"/>
      <c r="K1422" s="17"/>
      <c r="L1422" s="17"/>
      <c r="M1422" s="17"/>
      <c r="N1422" s="17"/>
      <c r="O1422" s="17"/>
      <c r="P1422" s="17"/>
      <c r="Q1422" s="17"/>
      <c r="R1422" s="17"/>
      <c r="S1422" s="17"/>
      <c r="T1422" s="17"/>
      <c r="U1422" s="17"/>
      <c r="V1422" s="17"/>
      <c r="W1422" s="17"/>
      <c r="X1422" s="17"/>
      <c r="Y1422" s="17"/>
      <c r="Z1422" s="17"/>
      <c r="AA1422" s="17"/>
      <c r="AB1422" s="17"/>
      <c r="AC1422" s="17"/>
      <c r="AD1422" s="17"/>
      <c r="AE1422" s="17"/>
      <c r="AF1422" s="17"/>
      <c r="AG1422" s="17"/>
      <c r="AH1422" s="17"/>
      <c r="AI1422" s="17"/>
      <c r="AJ1422" s="17"/>
      <c r="AK1422" s="17"/>
      <c r="AL1422" s="17"/>
      <c r="AM1422" s="17"/>
      <c r="AN1422" s="18"/>
    </row>
    <row r="1423" ht="13.55" customHeight="1">
      <c r="A1423" s="32"/>
      <c r="B1423" s="17"/>
      <c r="C1423" s="17"/>
      <c r="D1423" s="17"/>
      <c r="E1423" s="17"/>
      <c r="F1423" s="17"/>
      <c r="G1423" s="17"/>
      <c r="H1423" s="17"/>
      <c r="I1423" s="17"/>
      <c r="J1423" s="17"/>
      <c r="K1423" s="17"/>
      <c r="L1423" s="17"/>
      <c r="M1423" s="17"/>
      <c r="N1423" s="17"/>
      <c r="O1423" s="17"/>
      <c r="P1423" s="17"/>
      <c r="Q1423" s="17"/>
      <c r="R1423" s="17"/>
      <c r="S1423" s="17"/>
      <c r="T1423" s="17"/>
      <c r="U1423" s="17"/>
      <c r="V1423" s="17"/>
      <c r="W1423" s="17"/>
      <c r="X1423" s="17"/>
      <c r="Y1423" s="17"/>
      <c r="Z1423" s="17"/>
      <c r="AA1423" s="17"/>
      <c r="AB1423" s="17"/>
      <c r="AC1423" s="17"/>
      <c r="AD1423" s="17"/>
      <c r="AE1423" s="17"/>
      <c r="AF1423" s="17"/>
      <c r="AG1423" s="17"/>
      <c r="AH1423" s="17"/>
      <c r="AI1423" s="17"/>
      <c r="AJ1423" s="17"/>
      <c r="AK1423" s="17"/>
      <c r="AL1423" s="17"/>
      <c r="AM1423" s="17"/>
      <c r="AN1423" s="18"/>
    </row>
    <row r="1424" ht="13.55" customHeight="1">
      <c r="A1424" s="32"/>
      <c r="B1424" s="17"/>
      <c r="C1424" s="17"/>
      <c r="D1424" s="17"/>
      <c r="E1424" s="17"/>
      <c r="F1424" s="17"/>
      <c r="G1424" s="17"/>
      <c r="H1424" s="17"/>
      <c r="I1424" s="17"/>
      <c r="J1424" s="17"/>
      <c r="K1424" s="17"/>
      <c r="L1424" s="17"/>
      <c r="M1424" s="17"/>
      <c r="N1424" s="17"/>
      <c r="O1424" s="17"/>
      <c r="P1424" s="17"/>
      <c r="Q1424" s="17"/>
      <c r="R1424" s="17"/>
      <c r="S1424" s="17"/>
      <c r="T1424" s="17"/>
      <c r="U1424" s="17"/>
      <c r="V1424" s="17"/>
      <c r="W1424" s="17"/>
      <c r="X1424" s="17"/>
      <c r="Y1424" s="17"/>
      <c r="Z1424" s="17"/>
      <c r="AA1424" s="17"/>
      <c r="AB1424" s="17"/>
      <c r="AC1424" s="17"/>
      <c r="AD1424" s="17"/>
      <c r="AE1424" s="17"/>
      <c r="AF1424" s="17"/>
      <c r="AG1424" s="17"/>
      <c r="AH1424" s="17"/>
      <c r="AI1424" s="17"/>
      <c r="AJ1424" s="17"/>
      <c r="AK1424" s="17"/>
      <c r="AL1424" s="17"/>
      <c r="AM1424" s="17"/>
      <c r="AN1424" s="18"/>
    </row>
    <row r="1425" ht="13.55" customHeight="1">
      <c r="A1425" s="32"/>
      <c r="B1425" s="17"/>
      <c r="C1425" s="17"/>
      <c r="D1425" s="17"/>
      <c r="E1425" s="17"/>
      <c r="F1425" s="17"/>
      <c r="G1425" s="17"/>
      <c r="H1425" s="17"/>
      <c r="I1425" s="17"/>
      <c r="J1425" s="17"/>
      <c r="K1425" s="17"/>
      <c r="L1425" s="17"/>
      <c r="M1425" s="17"/>
      <c r="N1425" s="17"/>
      <c r="O1425" s="17"/>
      <c r="P1425" s="17"/>
      <c r="Q1425" s="17"/>
      <c r="R1425" s="17"/>
      <c r="S1425" s="17"/>
      <c r="T1425" s="17"/>
      <c r="U1425" s="17"/>
      <c r="V1425" s="17"/>
      <c r="W1425" s="17"/>
      <c r="X1425" s="17"/>
      <c r="Y1425" s="17"/>
      <c r="Z1425" s="17"/>
      <c r="AA1425" s="17"/>
      <c r="AB1425" s="17"/>
      <c r="AC1425" s="17"/>
      <c r="AD1425" s="17"/>
      <c r="AE1425" s="17"/>
      <c r="AF1425" s="17"/>
      <c r="AG1425" s="17"/>
      <c r="AH1425" s="17"/>
      <c r="AI1425" s="17"/>
      <c r="AJ1425" s="17"/>
      <c r="AK1425" s="17"/>
      <c r="AL1425" s="17"/>
      <c r="AM1425" s="17"/>
      <c r="AN1425" s="18"/>
    </row>
    <row r="1426" ht="13.55" customHeight="1">
      <c r="A1426" s="32"/>
      <c r="B1426" s="17"/>
      <c r="C1426" s="17"/>
      <c r="D1426" s="17"/>
      <c r="E1426" s="17"/>
      <c r="F1426" s="17"/>
      <c r="G1426" s="17"/>
      <c r="H1426" s="17"/>
      <c r="I1426" s="17"/>
      <c r="J1426" s="17"/>
      <c r="K1426" s="17"/>
      <c r="L1426" s="17"/>
      <c r="M1426" s="17"/>
      <c r="N1426" s="17"/>
      <c r="O1426" s="17"/>
      <c r="P1426" s="17"/>
      <c r="Q1426" s="17"/>
      <c r="R1426" s="17"/>
      <c r="S1426" s="17"/>
      <c r="T1426" s="17"/>
      <c r="U1426" s="17"/>
      <c r="V1426" s="17"/>
      <c r="W1426" s="17"/>
      <c r="X1426" s="17"/>
      <c r="Y1426" s="17"/>
      <c r="Z1426" s="17"/>
      <c r="AA1426" s="17"/>
      <c r="AB1426" s="17"/>
      <c r="AC1426" s="17"/>
      <c r="AD1426" s="17"/>
      <c r="AE1426" s="17"/>
      <c r="AF1426" s="17"/>
      <c r="AG1426" s="17"/>
      <c r="AH1426" s="17"/>
      <c r="AI1426" s="17"/>
      <c r="AJ1426" s="17"/>
      <c r="AK1426" s="17"/>
      <c r="AL1426" s="17"/>
      <c r="AM1426" s="17"/>
      <c r="AN1426" s="18"/>
    </row>
    <row r="1427" ht="13.55" customHeight="1">
      <c r="A1427" s="32"/>
      <c r="B1427" s="17"/>
      <c r="C1427" s="17"/>
      <c r="D1427" s="17"/>
      <c r="E1427" s="17"/>
      <c r="F1427" s="17"/>
      <c r="G1427" s="17"/>
      <c r="H1427" s="17"/>
      <c r="I1427" s="17"/>
      <c r="J1427" s="17"/>
      <c r="K1427" s="17"/>
      <c r="L1427" s="17"/>
      <c r="M1427" s="17"/>
      <c r="N1427" s="17"/>
      <c r="O1427" s="17"/>
      <c r="P1427" s="17"/>
      <c r="Q1427" s="17"/>
      <c r="R1427" s="17"/>
      <c r="S1427" s="17"/>
      <c r="T1427" s="17"/>
      <c r="U1427" s="17"/>
      <c r="V1427" s="17"/>
      <c r="W1427" s="17"/>
      <c r="X1427" s="17"/>
      <c r="Y1427" s="17"/>
      <c r="Z1427" s="17"/>
      <c r="AA1427" s="17"/>
      <c r="AB1427" s="17"/>
      <c r="AC1427" s="17"/>
      <c r="AD1427" s="17"/>
      <c r="AE1427" s="17"/>
      <c r="AF1427" s="17"/>
      <c r="AG1427" s="17"/>
      <c r="AH1427" s="17"/>
      <c r="AI1427" s="17"/>
      <c r="AJ1427" s="17"/>
      <c r="AK1427" s="17"/>
      <c r="AL1427" s="17"/>
      <c r="AM1427" s="17"/>
      <c r="AN1427" s="18"/>
    </row>
    <row r="1428" ht="13.55" customHeight="1">
      <c r="A1428" s="32"/>
      <c r="B1428" s="17"/>
      <c r="C1428" s="17"/>
      <c r="D1428" s="17"/>
      <c r="E1428" s="17"/>
      <c r="F1428" s="17"/>
      <c r="G1428" s="17"/>
      <c r="H1428" s="17"/>
      <c r="I1428" s="17"/>
      <c r="J1428" s="17"/>
      <c r="K1428" s="17"/>
      <c r="L1428" s="17"/>
      <c r="M1428" s="17"/>
      <c r="N1428" s="17"/>
      <c r="O1428" s="17"/>
      <c r="P1428" s="17"/>
      <c r="Q1428" s="17"/>
      <c r="R1428" s="17"/>
      <c r="S1428" s="17"/>
      <c r="T1428" s="17"/>
      <c r="U1428" s="17"/>
      <c r="V1428" s="17"/>
      <c r="W1428" s="17"/>
      <c r="X1428" s="17"/>
      <c r="Y1428" s="17"/>
      <c r="Z1428" s="17"/>
      <c r="AA1428" s="17"/>
      <c r="AB1428" s="17"/>
      <c r="AC1428" s="17"/>
      <c r="AD1428" s="17"/>
      <c r="AE1428" s="17"/>
      <c r="AF1428" s="17"/>
      <c r="AG1428" s="17"/>
      <c r="AH1428" s="17"/>
      <c r="AI1428" s="17"/>
      <c r="AJ1428" s="17"/>
      <c r="AK1428" s="17"/>
      <c r="AL1428" s="17"/>
      <c r="AM1428" s="17"/>
      <c r="AN1428" s="18"/>
    </row>
    <row r="1429" ht="13.55" customHeight="1">
      <c r="A1429" s="32"/>
      <c r="B1429" s="17"/>
      <c r="C1429" s="17"/>
      <c r="D1429" s="17"/>
      <c r="E1429" s="17"/>
      <c r="F1429" s="17"/>
      <c r="G1429" s="17"/>
      <c r="H1429" s="17"/>
      <c r="I1429" s="17"/>
      <c r="J1429" s="17"/>
      <c r="K1429" s="17"/>
      <c r="L1429" s="17"/>
      <c r="M1429" s="17"/>
      <c r="N1429" s="17"/>
      <c r="O1429" s="17"/>
      <c r="P1429" s="17"/>
      <c r="Q1429" s="17"/>
      <c r="R1429" s="17"/>
      <c r="S1429" s="17"/>
      <c r="T1429" s="17"/>
      <c r="U1429" s="17"/>
      <c r="V1429" s="17"/>
      <c r="W1429" s="17"/>
      <c r="X1429" s="17"/>
      <c r="Y1429" s="17"/>
      <c r="Z1429" s="17"/>
      <c r="AA1429" s="17"/>
      <c r="AB1429" s="17"/>
      <c r="AC1429" s="17"/>
      <c r="AD1429" s="17"/>
      <c r="AE1429" s="17"/>
      <c r="AF1429" s="17"/>
      <c r="AG1429" s="17"/>
      <c r="AH1429" s="17"/>
      <c r="AI1429" s="17"/>
      <c r="AJ1429" s="17"/>
      <c r="AK1429" s="17"/>
      <c r="AL1429" s="17"/>
      <c r="AM1429" s="17"/>
      <c r="AN1429" s="18"/>
    </row>
    <row r="1430" ht="13.55" customHeight="1">
      <c r="A1430" s="32"/>
      <c r="B1430" s="17"/>
      <c r="C1430" s="17"/>
      <c r="D1430" s="17"/>
      <c r="E1430" s="17"/>
      <c r="F1430" s="17"/>
      <c r="G1430" s="17"/>
      <c r="H1430" s="17"/>
      <c r="I1430" s="17"/>
      <c r="J1430" s="17"/>
      <c r="K1430" s="17"/>
      <c r="L1430" s="17"/>
      <c r="M1430" s="17"/>
      <c r="N1430" s="17"/>
      <c r="O1430" s="17"/>
      <c r="P1430" s="17"/>
      <c r="Q1430" s="17"/>
      <c r="R1430" s="17"/>
      <c r="S1430" s="17"/>
      <c r="T1430" s="17"/>
      <c r="U1430" s="17"/>
      <c r="V1430" s="17"/>
      <c r="W1430" s="17"/>
      <c r="X1430" s="17"/>
      <c r="Y1430" s="17"/>
      <c r="Z1430" s="17"/>
      <c r="AA1430" s="17"/>
      <c r="AB1430" s="17"/>
      <c r="AC1430" s="17"/>
      <c r="AD1430" s="17"/>
      <c r="AE1430" s="17"/>
      <c r="AF1430" s="17"/>
      <c r="AG1430" s="17"/>
      <c r="AH1430" s="17"/>
      <c r="AI1430" s="17"/>
      <c r="AJ1430" s="17"/>
      <c r="AK1430" s="17"/>
      <c r="AL1430" s="17"/>
      <c r="AM1430" s="17"/>
      <c r="AN1430" s="18"/>
    </row>
    <row r="1431" ht="13.55" customHeight="1">
      <c r="A1431" s="32"/>
      <c r="B1431" s="17"/>
      <c r="C1431" s="17"/>
      <c r="D1431" s="17"/>
      <c r="E1431" s="17"/>
      <c r="F1431" s="17"/>
      <c r="G1431" s="17"/>
      <c r="H1431" s="17"/>
      <c r="I1431" s="17"/>
      <c r="J1431" s="17"/>
      <c r="K1431" s="17"/>
      <c r="L1431" s="17"/>
      <c r="M1431" s="17"/>
      <c r="N1431" s="17"/>
      <c r="O1431" s="17"/>
      <c r="P1431" s="17"/>
      <c r="Q1431" s="17"/>
      <c r="R1431" s="17"/>
      <c r="S1431" s="17"/>
      <c r="T1431" s="17"/>
      <c r="U1431" s="17"/>
      <c r="V1431" s="17"/>
      <c r="W1431" s="17"/>
      <c r="X1431" s="17"/>
      <c r="Y1431" s="17"/>
      <c r="Z1431" s="17"/>
      <c r="AA1431" s="17"/>
      <c r="AB1431" s="17"/>
      <c r="AC1431" s="17"/>
      <c r="AD1431" s="17"/>
      <c r="AE1431" s="17"/>
      <c r="AF1431" s="17"/>
      <c r="AG1431" s="17"/>
      <c r="AH1431" s="17"/>
      <c r="AI1431" s="17"/>
      <c r="AJ1431" s="17"/>
      <c r="AK1431" s="17"/>
      <c r="AL1431" s="17"/>
      <c r="AM1431" s="17"/>
      <c r="AN1431" s="18"/>
    </row>
    <row r="1432" ht="13.55" customHeight="1">
      <c r="A1432" s="32"/>
      <c r="B1432" s="17"/>
      <c r="C1432" s="17"/>
      <c r="D1432" s="17"/>
      <c r="E1432" s="17"/>
      <c r="F1432" s="17"/>
      <c r="G1432" s="17"/>
      <c r="H1432" s="17"/>
      <c r="I1432" s="17"/>
      <c r="J1432" s="17"/>
      <c r="K1432" s="17"/>
      <c r="L1432" s="17"/>
      <c r="M1432" s="17"/>
      <c r="N1432" s="17"/>
      <c r="O1432" s="17"/>
      <c r="P1432" s="17"/>
      <c r="Q1432" s="17"/>
      <c r="R1432" s="17"/>
      <c r="S1432" s="17"/>
      <c r="T1432" s="17"/>
      <c r="U1432" s="17"/>
      <c r="V1432" s="17"/>
      <c r="W1432" s="17"/>
      <c r="X1432" s="17"/>
      <c r="Y1432" s="17"/>
      <c r="Z1432" s="17"/>
      <c r="AA1432" s="17"/>
      <c r="AB1432" s="17"/>
      <c r="AC1432" s="17"/>
      <c r="AD1432" s="17"/>
      <c r="AE1432" s="17"/>
      <c r="AF1432" s="17"/>
      <c r="AG1432" s="17"/>
      <c r="AH1432" s="17"/>
      <c r="AI1432" s="17"/>
      <c r="AJ1432" s="17"/>
      <c r="AK1432" s="17"/>
      <c r="AL1432" s="17"/>
      <c r="AM1432" s="17"/>
      <c r="AN1432" s="18"/>
    </row>
    <row r="1433" ht="13.55" customHeight="1">
      <c r="A1433" s="32"/>
      <c r="B1433" s="17"/>
      <c r="C1433" s="17"/>
      <c r="D1433" s="17"/>
      <c r="E1433" s="17"/>
      <c r="F1433" s="17"/>
      <c r="G1433" s="17"/>
      <c r="H1433" s="17"/>
      <c r="I1433" s="17"/>
      <c r="J1433" s="17"/>
      <c r="K1433" s="17"/>
      <c r="L1433" s="17"/>
      <c r="M1433" s="17"/>
      <c r="N1433" s="17"/>
      <c r="O1433" s="17"/>
      <c r="P1433" s="17"/>
      <c r="Q1433" s="17"/>
      <c r="R1433" s="17"/>
      <c r="S1433" s="17"/>
      <c r="T1433" s="17"/>
      <c r="U1433" s="17"/>
      <c r="V1433" s="17"/>
      <c r="W1433" s="17"/>
      <c r="X1433" s="17"/>
      <c r="Y1433" s="17"/>
      <c r="Z1433" s="17"/>
      <c r="AA1433" s="17"/>
      <c r="AB1433" s="17"/>
      <c r="AC1433" s="17"/>
      <c r="AD1433" s="17"/>
      <c r="AE1433" s="17"/>
      <c r="AF1433" s="17"/>
      <c r="AG1433" s="17"/>
      <c r="AH1433" s="17"/>
      <c r="AI1433" s="17"/>
      <c r="AJ1433" s="17"/>
      <c r="AK1433" s="17"/>
      <c r="AL1433" s="17"/>
      <c r="AM1433" s="17"/>
      <c r="AN1433" s="18"/>
    </row>
    <row r="1434" ht="13.55" customHeight="1">
      <c r="A1434" s="32"/>
      <c r="B1434" s="17"/>
      <c r="C1434" s="17"/>
      <c r="D1434" s="17"/>
      <c r="E1434" s="17"/>
      <c r="F1434" s="17"/>
      <c r="G1434" s="17"/>
      <c r="H1434" s="17"/>
      <c r="I1434" s="17"/>
      <c r="J1434" s="17"/>
      <c r="K1434" s="17"/>
      <c r="L1434" s="17"/>
      <c r="M1434" s="17"/>
      <c r="N1434" s="17"/>
      <c r="O1434" s="17"/>
      <c r="P1434" s="17"/>
      <c r="Q1434" s="17"/>
      <c r="R1434" s="17"/>
      <c r="S1434" s="17"/>
      <c r="T1434" s="17"/>
      <c r="U1434" s="17"/>
      <c r="V1434" s="17"/>
      <c r="W1434" s="17"/>
      <c r="X1434" s="17"/>
      <c r="Y1434" s="17"/>
      <c r="Z1434" s="17"/>
      <c r="AA1434" s="17"/>
      <c r="AB1434" s="17"/>
      <c r="AC1434" s="17"/>
      <c r="AD1434" s="17"/>
      <c r="AE1434" s="17"/>
      <c r="AF1434" s="17"/>
      <c r="AG1434" s="17"/>
      <c r="AH1434" s="17"/>
      <c r="AI1434" s="17"/>
      <c r="AJ1434" s="17"/>
      <c r="AK1434" s="17"/>
      <c r="AL1434" s="17"/>
      <c r="AM1434" s="17"/>
      <c r="AN1434" s="18"/>
    </row>
    <row r="1435" ht="13.55" customHeight="1">
      <c r="A1435" s="32"/>
      <c r="B1435" s="17"/>
      <c r="C1435" s="17"/>
      <c r="D1435" s="17"/>
      <c r="E1435" s="17"/>
      <c r="F1435" s="17"/>
      <c r="G1435" s="17"/>
      <c r="H1435" s="17"/>
      <c r="I1435" s="17"/>
      <c r="J1435" s="17"/>
      <c r="K1435" s="17"/>
      <c r="L1435" s="17"/>
      <c r="M1435" s="17"/>
      <c r="N1435" s="17"/>
      <c r="O1435" s="17"/>
      <c r="P1435" s="17"/>
      <c r="Q1435" s="17"/>
      <c r="R1435" s="17"/>
      <c r="S1435" s="17"/>
      <c r="T1435" s="17"/>
      <c r="U1435" s="17"/>
      <c r="V1435" s="17"/>
      <c r="W1435" s="17"/>
      <c r="X1435" s="17"/>
      <c r="Y1435" s="17"/>
      <c r="Z1435" s="17"/>
      <c r="AA1435" s="17"/>
      <c r="AB1435" s="17"/>
      <c r="AC1435" s="17"/>
      <c r="AD1435" s="17"/>
      <c r="AE1435" s="17"/>
      <c r="AF1435" s="17"/>
      <c r="AG1435" s="17"/>
      <c r="AH1435" s="17"/>
      <c r="AI1435" s="17"/>
      <c r="AJ1435" s="17"/>
      <c r="AK1435" s="17"/>
      <c r="AL1435" s="17"/>
      <c r="AM1435" s="17"/>
      <c r="AN1435" s="18"/>
    </row>
    <row r="1436" ht="13.55" customHeight="1">
      <c r="A1436" s="32"/>
      <c r="B1436" s="17"/>
      <c r="C1436" s="17"/>
      <c r="D1436" s="17"/>
      <c r="E1436" s="17"/>
      <c r="F1436" s="17"/>
      <c r="G1436" s="17"/>
      <c r="H1436" s="17"/>
      <c r="I1436" s="17"/>
      <c r="J1436" s="17"/>
      <c r="K1436" s="17"/>
      <c r="L1436" s="17"/>
      <c r="M1436" s="17"/>
      <c r="N1436" s="17"/>
      <c r="O1436" s="17"/>
      <c r="P1436" s="17"/>
      <c r="Q1436" s="17"/>
      <c r="R1436" s="17"/>
      <c r="S1436" s="17"/>
      <c r="T1436" s="17"/>
      <c r="U1436" s="17"/>
      <c r="V1436" s="17"/>
      <c r="W1436" s="17"/>
      <c r="X1436" s="17"/>
      <c r="Y1436" s="17"/>
      <c r="Z1436" s="17"/>
      <c r="AA1436" s="17"/>
      <c r="AB1436" s="17"/>
      <c r="AC1436" s="17"/>
      <c r="AD1436" s="17"/>
      <c r="AE1436" s="17"/>
      <c r="AF1436" s="17"/>
      <c r="AG1436" s="17"/>
      <c r="AH1436" s="17"/>
      <c r="AI1436" s="17"/>
      <c r="AJ1436" s="17"/>
      <c r="AK1436" s="17"/>
      <c r="AL1436" s="17"/>
      <c r="AM1436" s="17"/>
      <c r="AN1436" s="18"/>
    </row>
    <row r="1437" ht="13.55" customHeight="1">
      <c r="A1437" s="32"/>
      <c r="B1437" s="17"/>
      <c r="C1437" s="17"/>
      <c r="D1437" s="17"/>
      <c r="E1437" s="17"/>
      <c r="F1437" s="17"/>
      <c r="G1437" s="17"/>
      <c r="H1437" s="17"/>
      <c r="I1437" s="17"/>
      <c r="J1437" s="17"/>
      <c r="K1437" s="17"/>
      <c r="L1437" s="17"/>
      <c r="M1437" s="17"/>
      <c r="N1437" s="17"/>
      <c r="O1437" s="17"/>
      <c r="P1437" s="17"/>
      <c r="Q1437" s="17"/>
      <c r="R1437" s="17"/>
      <c r="S1437" s="17"/>
      <c r="T1437" s="17"/>
      <c r="U1437" s="17"/>
      <c r="V1437" s="17"/>
      <c r="W1437" s="17"/>
      <c r="X1437" s="17"/>
      <c r="Y1437" s="17"/>
      <c r="Z1437" s="17"/>
      <c r="AA1437" s="17"/>
      <c r="AB1437" s="17"/>
      <c r="AC1437" s="17"/>
      <c r="AD1437" s="17"/>
      <c r="AE1437" s="17"/>
      <c r="AF1437" s="17"/>
      <c r="AG1437" s="17"/>
      <c r="AH1437" s="17"/>
      <c r="AI1437" s="17"/>
      <c r="AJ1437" s="17"/>
      <c r="AK1437" s="17"/>
      <c r="AL1437" s="17"/>
      <c r="AM1437" s="17"/>
      <c r="AN1437" s="18"/>
    </row>
    <row r="1438" ht="13.55" customHeight="1">
      <c r="A1438" s="32"/>
      <c r="B1438" s="17"/>
      <c r="C1438" s="17"/>
      <c r="D1438" s="17"/>
      <c r="E1438" s="17"/>
      <c r="F1438" s="17"/>
      <c r="G1438" s="17"/>
      <c r="H1438" s="17"/>
      <c r="I1438" s="17"/>
      <c r="J1438" s="17"/>
      <c r="K1438" s="17"/>
      <c r="L1438" s="17"/>
      <c r="M1438" s="17"/>
      <c r="N1438" s="17"/>
      <c r="O1438" s="17"/>
      <c r="P1438" s="17"/>
      <c r="Q1438" s="17"/>
      <c r="R1438" s="17"/>
      <c r="S1438" s="17"/>
      <c r="T1438" s="17"/>
      <c r="U1438" s="17"/>
      <c r="V1438" s="17"/>
      <c r="W1438" s="17"/>
      <c r="X1438" s="17"/>
      <c r="Y1438" s="17"/>
      <c r="Z1438" s="17"/>
      <c r="AA1438" s="17"/>
      <c r="AB1438" s="17"/>
      <c r="AC1438" s="17"/>
      <c r="AD1438" s="17"/>
      <c r="AE1438" s="17"/>
      <c r="AF1438" s="17"/>
      <c r="AG1438" s="17"/>
      <c r="AH1438" s="17"/>
      <c r="AI1438" s="17"/>
      <c r="AJ1438" s="17"/>
      <c r="AK1438" s="17"/>
      <c r="AL1438" s="17"/>
      <c r="AM1438" s="17"/>
      <c r="AN1438" s="18"/>
    </row>
    <row r="1439" ht="13.55" customHeight="1">
      <c r="A1439" s="32"/>
      <c r="B1439" s="17"/>
      <c r="C1439" s="17"/>
      <c r="D1439" s="17"/>
      <c r="E1439" s="17"/>
      <c r="F1439" s="17"/>
      <c r="G1439" s="17"/>
      <c r="H1439" s="17"/>
      <c r="I1439" s="17"/>
      <c r="J1439" s="17"/>
      <c r="K1439" s="17"/>
      <c r="L1439" s="17"/>
      <c r="M1439" s="17"/>
      <c r="N1439" s="17"/>
      <c r="O1439" s="17"/>
      <c r="P1439" s="17"/>
      <c r="Q1439" s="17"/>
      <c r="R1439" s="17"/>
      <c r="S1439" s="17"/>
      <c r="T1439" s="17"/>
      <c r="U1439" s="17"/>
      <c r="V1439" s="17"/>
      <c r="W1439" s="17"/>
      <c r="X1439" s="17"/>
      <c r="Y1439" s="17"/>
      <c r="Z1439" s="17"/>
      <c r="AA1439" s="17"/>
      <c r="AB1439" s="17"/>
      <c r="AC1439" s="17"/>
      <c r="AD1439" s="17"/>
      <c r="AE1439" s="17"/>
      <c r="AF1439" s="17"/>
      <c r="AG1439" s="17"/>
      <c r="AH1439" s="17"/>
      <c r="AI1439" s="17"/>
      <c r="AJ1439" s="17"/>
      <c r="AK1439" s="17"/>
      <c r="AL1439" s="17"/>
      <c r="AM1439" s="17"/>
      <c r="AN1439" s="18"/>
    </row>
    <row r="1440" ht="13.55" customHeight="1">
      <c r="A1440" s="32"/>
      <c r="B1440" s="17"/>
      <c r="C1440" s="17"/>
      <c r="D1440" s="17"/>
      <c r="E1440" s="17"/>
      <c r="F1440" s="17"/>
      <c r="G1440" s="17"/>
      <c r="H1440" s="17"/>
      <c r="I1440" s="17"/>
      <c r="J1440" s="17"/>
      <c r="K1440" s="17"/>
      <c r="L1440" s="17"/>
      <c r="M1440" s="17"/>
      <c r="N1440" s="17"/>
      <c r="O1440" s="17"/>
      <c r="P1440" s="17"/>
      <c r="Q1440" s="17"/>
      <c r="R1440" s="17"/>
      <c r="S1440" s="17"/>
      <c r="T1440" s="17"/>
      <c r="U1440" s="17"/>
      <c r="V1440" s="17"/>
      <c r="W1440" s="17"/>
      <c r="X1440" s="17"/>
      <c r="Y1440" s="17"/>
      <c r="Z1440" s="17"/>
      <c r="AA1440" s="17"/>
      <c r="AB1440" s="17"/>
      <c r="AC1440" s="17"/>
      <c r="AD1440" s="17"/>
      <c r="AE1440" s="17"/>
      <c r="AF1440" s="17"/>
      <c r="AG1440" s="17"/>
      <c r="AH1440" s="17"/>
      <c r="AI1440" s="17"/>
      <c r="AJ1440" s="17"/>
      <c r="AK1440" s="17"/>
      <c r="AL1440" s="17"/>
      <c r="AM1440" s="17"/>
      <c r="AN1440" s="18"/>
    </row>
    <row r="1441" ht="13.55" customHeight="1">
      <c r="A1441" s="32"/>
      <c r="B1441" s="17"/>
      <c r="C1441" s="17"/>
      <c r="D1441" s="17"/>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7"/>
      <c r="AA1441" s="17"/>
      <c r="AB1441" s="17"/>
      <c r="AC1441" s="17"/>
      <c r="AD1441" s="17"/>
      <c r="AE1441" s="17"/>
      <c r="AF1441" s="17"/>
      <c r="AG1441" s="17"/>
      <c r="AH1441" s="17"/>
      <c r="AI1441" s="17"/>
      <c r="AJ1441" s="17"/>
      <c r="AK1441" s="17"/>
      <c r="AL1441" s="17"/>
      <c r="AM1441" s="17"/>
      <c r="AN1441" s="18"/>
    </row>
    <row r="1442" ht="13.55" customHeight="1">
      <c r="A1442" s="32"/>
      <c r="B1442" s="17"/>
      <c r="C1442" s="17"/>
      <c r="D1442" s="17"/>
      <c r="E1442" s="17"/>
      <c r="F1442" s="17"/>
      <c r="G1442" s="17"/>
      <c r="H1442" s="17"/>
      <c r="I1442" s="17"/>
      <c r="J1442" s="17"/>
      <c r="K1442" s="17"/>
      <c r="L1442" s="17"/>
      <c r="M1442" s="17"/>
      <c r="N1442" s="17"/>
      <c r="O1442" s="17"/>
      <c r="P1442" s="17"/>
      <c r="Q1442" s="17"/>
      <c r="R1442" s="17"/>
      <c r="S1442" s="17"/>
      <c r="T1442" s="17"/>
      <c r="U1442" s="17"/>
      <c r="V1442" s="17"/>
      <c r="W1442" s="17"/>
      <c r="X1442" s="17"/>
      <c r="Y1442" s="17"/>
      <c r="Z1442" s="17"/>
      <c r="AA1442" s="17"/>
      <c r="AB1442" s="17"/>
      <c r="AC1442" s="17"/>
      <c r="AD1442" s="17"/>
      <c r="AE1442" s="17"/>
      <c r="AF1442" s="17"/>
      <c r="AG1442" s="17"/>
      <c r="AH1442" s="17"/>
      <c r="AI1442" s="17"/>
      <c r="AJ1442" s="17"/>
      <c r="AK1442" s="17"/>
      <c r="AL1442" s="17"/>
      <c r="AM1442" s="17"/>
      <c r="AN1442" s="18"/>
    </row>
    <row r="1443" ht="13.55" customHeight="1">
      <c r="A1443" s="32"/>
      <c r="B1443" s="17"/>
      <c r="C1443" s="17"/>
      <c r="D1443" s="17"/>
      <c r="E1443" s="17"/>
      <c r="F1443" s="17"/>
      <c r="G1443" s="17"/>
      <c r="H1443" s="17"/>
      <c r="I1443" s="17"/>
      <c r="J1443" s="17"/>
      <c r="K1443" s="17"/>
      <c r="L1443" s="17"/>
      <c r="M1443" s="17"/>
      <c r="N1443" s="17"/>
      <c r="O1443" s="17"/>
      <c r="P1443" s="17"/>
      <c r="Q1443" s="17"/>
      <c r="R1443" s="17"/>
      <c r="S1443" s="17"/>
      <c r="T1443" s="17"/>
      <c r="U1443" s="17"/>
      <c r="V1443" s="17"/>
      <c r="W1443" s="17"/>
      <c r="X1443" s="17"/>
      <c r="Y1443" s="17"/>
      <c r="Z1443" s="17"/>
      <c r="AA1443" s="17"/>
      <c r="AB1443" s="17"/>
      <c r="AC1443" s="17"/>
      <c r="AD1443" s="17"/>
      <c r="AE1443" s="17"/>
      <c r="AF1443" s="17"/>
      <c r="AG1443" s="17"/>
      <c r="AH1443" s="17"/>
      <c r="AI1443" s="17"/>
      <c r="AJ1443" s="17"/>
      <c r="AK1443" s="17"/>
      <c r="AL1443" s="17"/>
      <c r="AM1443" s="17"/>
      <c r="AN1443" s="18"/>
    </row>
    <row r="1444" ht="13.55" customHeight="1">
      <c r="A1444" s="32"/>
      <c r="B1444" s="17"/>
      <c r="C1444" s="17"/>
      <c r="D1444" s="17"/>
      <c r="E1444" s="17"/>
      <c r="F1444" s="17"/>
      <c r="G1444" s="17"/>
      <c r="H1444" s="17"/>
      <c r="I1444" s="17"/>
      <c r="J1444" s="17"/>
      <c r="K1444" s="17"/>
      <c r="L1444" s="17"/>
      <c r="M1444" s="17"/>
      <c r="N1444" s="17"/>
      <c r="O1444" s="17"/>
      <c r="P1444" s="17"/>
      <c r="Q1444" s="17"/>
      <c r="R1444" s="17"/>
      <c r="S1444" s="17"/>
      <c r="T1444" s="17"/>
      <c r="U1444" s="17"/>
      <c r="V1444" s="17"/>
      <c r="W1444" s="17"/>
      <c r="X1444" s="17"/>
      <c r="Y1444" s="17"/>
      <c r="Z1444" s="17"/>
      <c r="AA1444" s="17"/>
      <c r="AB1444" s="17"/>
      <c r="AC1444" s="17"/>
      <c r="AD1444" s="17"/>
      <c r="AE1444" s="17"/>
      <c r="AF1444" s="17"/>
      <c r="AG1444" s="17"/>
      <c r="AH1444" s="17"/>
      <c r="AI1444" s="17"/>
      <c r="AJ1444" s="17"/>
      <c r="AK1444" s="17"/>
      <c r="AL1444" s="17"/>
      <c r="AM1444" s="17"/>
      <c r="AN1444" s="18"/>
    </row>
    <row r="1445" ht="13.55" customHeight="1">
      <c r="A1445" s="32"/>
      <c r="B1445" s="17"/>
      <c r="C1445" s="17"/>
      <c r="D1445" s="17"/>
      <c r="E1445" s="17"/>
      <c r="F1445" s="17"/>
      <c r="G1445" s="17"/>
      <c r="H1445" s="17"/>
      <c r="I1445" s="17"/>
      <c r="J1445" s="17"/>
      <c r="K1445" s="17"/>
      <c r="L1445" s="17"/>
      <c r="M1445" s="17"/>
      <c r="N1445" s="17"/>
      <c r="O1445" s="17"/>
      <c r="P1445" s="17"/>
      <c r="Q1445" s="17"/>
      <c r="R1445" s="17"/>
      <c r="S1445" s="17"/>
      <c r="T1445" s="17"/>
      <c r="U1445" s="17"/>
      <c r="V1445" s="17"/>
      <c r="W1445" s="17"/>
      <c r="X1445" s="17"/>
      <c r="Y1445" s="17"/>
      <c r="Z1445" s="17"/>
      <c r="AA1445" s="17"/>
      <c r="AB1445" s="17"/>
      <c r="AC1445" s="17"/>
      <c r="AD1445" s="17"/>
      <c r="AE1445" s="17"/>
      <c r="AF1445" s="17"/>
      <c r="AG1445" s="17"/>
      <c r="AH1445" s="17"/>
      <c r="AI1445" s="17"/>
      <c r="AJ1445" s="17"/>
      <c r="AK1445" s="17"/>
      <c r="AL1445" s="17"/>
      <c r="AM1445" s="17"/>
      <c r="AN1445" s="18"/>
    </row>
    <row r="1446" ht="13.55" customHeight="1">
      <c r="A1446" s="32"/>
      <c r="B1446" s="17"/>
      <c r="C1446" s="17"/>
      <c r="D1446" s="17"/>
      <c r="E1446" s="17"/>
      <c r="F1446" s="17"/>
      <c r="G1446" s="17"/>
      <c r="H1446" s="17"/>
      <c r="I1446" s="17"/>
      <c r="J1446" s="17"/>
      <c r="K1446" s="17"/>
      <c r="L1446" s="17"/>
      <c r="M1446" s="17"/>
      <c r="N1446" s="17"/>
      <c r="O1446" s="17"/>
      <c r="P1446" s="17"/>
      <c r="Q1446" s="17"/>
      <c r="R1446" s="17"/>
      <c r="S1446" s="17"/>
      <c r="T1446" s="17"/>
      <c r="U1446" s="17"/>
      <c r="V1446" s="17"/>
      <c r="W1446" s="17"/>
      <c r="X1446" s="17"/>
      <c r="Y1446" s="17"/>
      <c r="Z1446" s="17"/>
      <c r="AA1446" s="17"/>
      <c r="AB1446" s="17"/>
      <c r="AC1446" s="17"/>
      <c r="AD1446" s="17"/>
      <c r="AE1446" s="17"/>
      <c r="AF1446" s="17"/>
      <c r="AG1446" s="17"/>
      <c r="AH1446" s="17"/>
      <c r="AI1446" s="17"/>
      <c r="AJ1446" s="17"/>
      <c r="AK1446" s="17"/>
      <c r="AL1446" s="17"/>
      <c r="AM1446" s="17"/>
      <c r="AN1446" s="18"/>
    </row>
    <row r="1447" ht="13.55" customHeight="1">
      <c r="A1447" s="32"/>
      <c r="B1447" s="17"/>
      <c r="C1447" s="17"/>
      <c r="D1447" s="17"/>
      <c r="E1447" s="17"/>
      <c r="F1447" s="17"/>
      <c r="G1447" s="17"/>
      <c r="H1447" s="17"/>
      <c r="I1447" s="17"/>
      <c r="J1447" s="17"/>
      <c r="K1447" s="17"/>
      <c r="L1447" s="17"/>
      <c r="M1447" s="17"/>
      <c r="N1447" s="17"/>
      <c r="O1447" s="17"/>
      <c r="P1447" s="17"/>
      <c r="Q1447" s="17"/>
      <c r="R1447" s="17"/>
      <c r="S1447" s="17"/>
      <c r="T1447" s="17"/>
      <c r="U1447" s="17"/>
      <c r="V1447" s="17"/>
      <c r="W1447" s="17"/>
      <c r="X1447" s="17"/>
      <c r="Y1447" s="17"/>
      <c r="Z1447" s="17"/>
      <c r="AA1447" s="17"/>
      <c r="AB1447" s="17"/>
      <c r="AC1447" s="17"/>
      <c r="AD1447" s="17"/>
      <c r="AE1447" s="17"/>
      <c r="AF1447" s="17"/>
      <c r="AG1447" s="17"/>
      <c r="AH1447" s="17"/>
      <c r="AI1447" s="17"/>
      <c r="AJ1447" s="17"/>
      <c r="AK1447" s="17"/>
      <c r="AL1447" s="17"/>
      <c r="AM1447" s="17"/>
      <c r="AN1447" s="18"/>
    </row>
    <row r="1448" ht="13.55" customHeight="1">
      <c r="A1448" s="32"/>
      <c r="B1448" s="17"/>
      <c r="C1448" s="17"/>
      <c r="D1448" s="17"/>
      <c r="E1448" s="17"/>
      <c r="F1448" s="17"/>
      <c r="G1448" s="17"/>
      <c r="H1448" s="17"/>
      <c r="I1448" s="17"/>
      <c r="J1448" s="17"/>
      <c r="K1448" s="17"/>
      <c r="L1448" s="17"/>
      <c r="M1448" s="17"/>
      <c r="N1448" s="17"/>
      <c r="O1448" s="17"/>
      <c r="P1448" s="17"/>
      <c r="Q1448" s="17"/>
      <c r="R1448" s="17"/>
      <c r="S1448" s="17"/>
      <c r="T1448" s="17"/>
      <c r="U1448" s="17"/>
      <c r="V1448" s="17"/>
      <c r="W1448" s="17"/>
      <c r="X1448" s="17"/>
      <c r="Y1448" s="17"/>
      <c r="Z1448" s="17"/>
      <c r="AA1448" s="17"/>
      <c r="AB1448" s="17"/>
      <c r="AC1448" s="17"/>
      <c r="AD1448" s="17"/>
      <c r="AE1448" s="17"/>
      <c r="AF1448" s="17"/>
      <c r="AG1448" s="17"/>
      <c r="AH1448" s="17"/>
      <c r="AI1448" s="17"/>
      <c r="AJ1448" s="17"/>
      <c r="AK1448" s="17"/>
      <c r="AL1448" s="17"/>
      <c r="AM1448" s="17"/>
      <c r="AN1448" s="18"/>
    </row>
    <row r="1449" ht="13.55" customHeight="1">
      <c r="A1449" s="32"/>
      <c r="B1449" s="17"/>
      <c r="C1449" s="17"/>
      <c r="D1449" s="17"/>
      <c r="E1449" s="17"/>
      <c r="F1449" s="17"/>
      <c r="G1449" s="17"/>
      <c r="H1449" s="17"/>
      <c r="I1449" s="17"/>
      <c r="J1449" s="17"/>
      <c r="K1449" s="17"/>
      <c r="L1449" s="17"/>
      <c r="M1449" s="17"/>
      <c r="N1449" s="17"/>
      <c r="O1449" s="17"/>
      <c r="P1449" s="17"/>
      <c r="Q1449" s="17"/>
      <c r="R1449" s="17"/>
      <c r="S1449" s="17"/>
      <c r="T1449" s="17"/>
      <c r="U1449" s="17"/>
      <c r="V1449" s="17"/>
      <c r="W1449" s="17"/>
      <c r="X1449" s="17"/>
      <c r="Y1449" s="17"/>
      <c r="Z1449" s="17"/>
      <c r="AA1449" s="17"/>
      <c r="AB1449" s="17"/>
      <c r="AC1449" s="17"/>
      <c r="AD1449" s="17"/>
      <c r="AE1449" s="17"/>
      <c r="AF1449" s="17"/>
      <c r="AG1449" s="17"/>
      <c r="AH1449" s="17"/>
      <c r="AI1449" s="17"/>
      <c r="AJ1449" s="17"/>
      <c r="AK1449" s="17"/>
      <c r="AL1449" s="17"/>
      <c r="AM1449" s="17"/>
      <c r="AN1449" s="18"/>
    </row>
    <row r="1450" ht="13.55" customHeight="1">
      <c r="A1450" s="32"/>
      <c r="B1450" s="17"/>
      <c r="C1450" s="17"/>
      <c r="D1450" s="17"/>
      <c r="E1450" s="17"/>
      <c r="F1450" s="17"/>
      <c r="G1450" s="17"/>
      <c r="H1450" s="17"/>
      <c r="I1450" s="17"/>
      <c r="J1450" s="17"/>
      <c r="K1450" s="17"/>
      <c r="L1450" s="17"/>
      <c r="M1450" s="17"/>
      <c r="N1450" s="17"/>
      <c r="O1450" s="17"/>
      <c r="P1450" s="17"/>
      <c r="Q1450" s="17"/>
      <c r="R1450" s="17"/>
      <c r="S1450" s="17"/>
      <c r="T1450" s="17"/>
      <c r="U1450" s="17"/>
      <c r="V1450" s="17"/>
      <c r="W1450" s="17"/>
      <c r="X1450" s="17"/>
      <c r="Y1450" s="17"/>
      <c r="Z1450" s="17"/>
      <c r="AA1450" s="17"/>
      <c r="AB1450" s="17"/>
      <c r="AC1450" s="17"/>
      <c r="AD1450" s="17"/>
      <c r="AE1450" s="17"/>
      <c r="AF1450" s="17"/>
      <c r="AG1450" s="17"/>
      <c r="AH1450" s="17"/>
      <c r="AI1450" s="17"/>
      <c r="AJ1450" s="17"/>
      <c r="AK1450" s="17"/>
      <c r="AL1450" s="17"/>
      <c r="AM1450" s="17"/>
      <c r="AN1450" s="18"/>
    </row>
    <row r="1451" ht="13.55" customHeight="1">
      <c r="A1451" s="32"/>
      <c r="B1451" s="17"/>
      <c r="C1451" s="17"/>
      <c r="D1451" s="17"/>
      <c r="E1451" s="17"/>
      <c r="F1451" s="17"/>
      <c r="G1451" s="17"/>
      <c r="H1451" s="17"/>
      <c r="I1451" s="17"/>
      <c r="J1451" s="17"/>
      <c r="K1451" s="17"/>
      <c r="L1451" s="17"/>
      <c r="M1451" s="17"/>
      <c r="N1451" s="17"/>
      <c r="O1451" s="17"/>
      <c r="P1451" s="17"/>
      <c r="Q1451" s="17"/>
      <c r="R1451" s="17"/>
      <c r="S1451" s="17"/>
      <c r="T1451" s="17"/>
      <c r="U1451" s="17"/>
      <c r="V1451" s="17"/>
      <c r="W1451" s="17"/>
      <c r="X1451" s="17"/>
      <c r="Y1451" s="17"/>
      <c r="Z1451" s="17"/>
      <c r="AA1451" s="17"/>
      <c r="AB1451" s="17"/>
      <c r="AC1451" s="17"/>
      <c r="AD1451" s="17"/>
      <c r="AE1451" s="17"/>
      <c r="AF1451" s="17"/>
      <c r="AG1451" s="17"/>
      <c r="AH1451" s="17"/>
      <c r="AI1451" s="17"/>
      <c r="AJ1451" s="17"/>
      <c r="AK1451" s="17"/>
      <c r="AL1451" s="17"/>
      <c r="AM1451" s="17"/>
      <c r="AN1451" s="18"/>
    </row>
    <row r="1452" ht="13.55" customHeight="1">
      <c r="A1452" s="32"/>
      <c r="B1452" s="17"/>
      <c r="C1452" s="17"/>
      <c r="D1452" s="17"/>
      <c r="E1452" s="17"/>
      <c r="F1452" s="17"/>
      <c r="G1452" s="17"/>
      <c r="H1452" s="17"/>
      <c r="I1452" s="17"/>
      <c r="J1452" s="17"/>
      <c r="K1452" s="17"/>
      <c r="L1452" s="17"/>
      <c r="M1452" s="17"/>
      <c r="N1452" s="17"/>
      <c r="O1452" s="17"/>
      <c r="P1452" s="17"/>
      <c r="Q1452" s="17"/>
      <c r="R1452" s="17"/>
      <c r="S1452" s="17"/>
      <c r="T1452" s="17"/>
      <c r="U1452" s="17"/>
      <c r="V1452" s="17"/>
      <c r="W1452" s="17"/>
      <c r="X1452" s="17"/>
      <c r="Y1452" s="17"/>
      <c r="Z1452" s="17"/>
      <c r="AA1452" s="17"/>
      <c r="AB1452" s="17"/>
      <c r="AC1452" s="17"/>
      <c r="AD1452" s="17"/>
      <c r="AE1452" s="17"/>
      <c r="AF1452" s="17"/>
      <c r="AG1452" s="17"/>
      <c r="AH1452" s="17"/>
      <c r="AI1452" s="17"/>
      <c r="AJ1452" s="17"/>
      <c r="AK1452" s="17"/>
      <c r="AL1452" s="17"/>
      <c r="AM1452" s="17"/>
      <c r="AN1452" s="18"/>
    </row>
    <row r="1453" ht="13.55" customHeight="1">
      <c r="A1453" s="32"/>
      <c r="B1453" s="17"/>
      <c r="C1453" s="17"/>
      <c r="D1453" s="17"/>
      <c r="E1453" s="17"/>
      <c r="F1453" s="17"/>
      <c r="G1453" s="17"/>
      <c r="H1453" s="17"/>
      <c r="I1453" s="17"/>
      <c r="J1453" s="17"/>
      <c r="K1453" s="17"/>
      <c r="L1453" s="17"/>
      <c r="M1453" s="17"/>
      <c r="N1453" s="17"/>
      <c r="O1453" s="17"/>
      <c r="P1453" s="17"/>
      <c r="Q1453" s="17"/>
      <c r="R1453" s="17"/>
      <c r="S1453" s="17"/>
      <c r="T1453" s="17"/>
      <c r="U1453" s="17"/>
      <c r="V1453" s="17"/>
      <c r="W1453" s="17"/>
      <c r="X1453" s="17"/>
      <c r="Y1453" s="17"/>
      <c r="Z1453" s="17"/>
      <c r="AA1453" s="17"/>
      <c r="AB1453" s="17"/>
      <c r="AC1453" s="17"/>
      <c r="AD1453" s="17"/>
      <c r="AE1453" s="17"/>
      <c r="AF1453" s="17"/>
      <c r="AG1453" s="17"/>
      <c r="AH1453" s="17"/>
      <c r="AI1453" s="17"/>
      <c r="AJ1453" s="17"/>
      <c r="AK1453" s="17"/>
      <c r="AL1453" s="17"/>
      <c r="AM1453" s="17"/>
      <c r="AN1453" s="18"/>
    </row>
    <row r="1454" ht="13.55" customHeight="1">
      <c r="A1454" s="32"/>
      <c r="B1454" s="17"/>
      <c r="C1454" s="17"/>
      <c r="D1454" s="17"/>
      <c r="E1454" s="17"/>
      <c r="F1454" s="17"/>
      <c r="G1454" s="17"/>
      <c r="H1454" s="17"/>
      <c r="I1454" s="17"/>
      <c r="J1454" s="17"/>
      <c r="K1454" s="17"/>
      <c r="L1454" s="17"/>
      <c r="M1454" s="17"/>
      <c r="N1454" s="17"/>
      <c r="O1454" s="17"/>
      <c r="P1454" s="17"/>
      <c r="Q1454" s="17"/>
      <c r="R1454" s="17"/>
      <c r="S1454" s="17"/>
      <c r="T1454" s="17"/>
      <c r="U1454" s="17"/>
      <c r="V1454" s="17"/>
      <c r="W1454" s="17"/>
      <c r="X1454" s="17"/>
      <c r="Y1454" s="17"/>
      <c r="Z1454" s="17"/>
      <c r="AA1454" s="17"/>
      <c r="AB1454" s="17"/>
      <c r="AC1454" s="17"/>
      <c r="AD1454" s="17"/>
      <c r="AE1454" s="17"/>
      <c r="AF1454" s="17"/>
      <c r="AG1454" s="17"/>
      <c r="AH1454" s="17"/>
      <c r="AI1454" s="17"/>
      <c r="AJ1454" s="17"/>
      <c r="AK1454" s="17"/>
      <c r="AL1454" s="17"/>
      <c r="AM1454" s="17"/>
      <c r="AN1454" s="18"/>
    </row>
    <row r="1455" ht="13.55" customHeight="1">
      <c r="A1455" s="32"/>
      <c r="B1455" s="17"/>
      <c r="C1455" s="17"/>
      <c r="D1455" s="17"/>
      <c r="E1455" s="17"/>
      <c r="F1455" s="17"/>
      <c r="G1455" s="17"/>
      <c r="H1455" s="17"/>
      <c r="I1455" s="17"/>
      <c r="J1455" s="17"/>
      <c r="K1455" s="17"/>
      <c r="L1455" s="17"/>
      <c r="M1455" s="17"/>
      <c r="N1455" s="17"/>
      <c r="O1455" s="17"/>
      <c r="P1455" s="17"/>
      <c r="Q1455" s="17"/>
      <c r="R1455" s="17"/>
      <c r="S1455" s="17"/>
      <c r="T1455" s="17"/>
      <c r="U1455" s="17"/>
      <c r="V1455" s="17"/>
      <c r="W1455" s="17"/>
      <c r="X1455" s="17"/>
      <c r="Y1455" s="17"/>
      <c r="Z1455" s="17"/>
      <c r="AA1455" s="17"/>
      <c r="AB1455" s="17"/>
      <c r="AC1455" s="17"/>
      <c r="AD1455" s="17"/>
      <c r="AE1455" s="17"/>
      <c r="AF1455" s="17"/>
      <c r="AG1455" s="17"/>
      <c r="AH1455" s="17"/>
      <c r="AI1455" s="17"/>
      <c r="AJ1455" s="17"/>
      <c r="AK1455" s="17"/>
      <c r="AL1455" s="17"/>
      <c r="AM1455" s="17"/>
      <c r="AN1455" s="18"/>
    </row>
    <row r="1456" ht="13.55" customHeight="1">
      <c r="A1456" s="32"/>
      <c r="B1456" s="17"/>
      <c r="C1456" s="17"/>
      <c r="D1456" s="17"/>
      <c r="E1456" s="17"/>
      <c r="F1456" s="17"/>
      <c r="G1456" s="17"/>
      <c r="H1456" s="17"/>
      <c r="I1456" s="17"/>
      <c r="J1456" s="17"/>
      <c r="K1456" s="17"/>
      <c r="L1456" s="17"/>
      <c r="M1456" s="17"/>
      <c r="N1456" s="17"/>
      <c r="O1456" s="17"/>
      <c r="P1456" s="17"/>
      <c r="Q1456" s="17"/>
      <c r="R1456" s="17"/>
      <c r="S1456" s="17"/>
      <c r="T1456" s="17"/>
      <c r="U1456" s="17"/>
      <c r="V1456" s="17"/>
      <c r="W1456" s="17"/>
      <c r="X1456" s="17"/>
      <c r="Y1456" s="17"/>
      <c r="Z1456" s="17"/>
      <c r="AA1456" s="17"/>
      <c r="AB1456" s="17"/>
      <c r="AC1456" s="17"/>
      <c r="AD1456" s="17"/>
      <c r="AE1456" s="17"/>
      <c r="AF1456" s="17"/>
      <c r="AG1456" s="17"/>
      <c r="AH1456" s="17"/>
      <c r="AI1456" s="17"/>
      <c r="AJ1456" s="17"/>
      <c r="AK1456" s="17"/>
      <c r="AL1456" s="17"/>
      <c r="AM1456" s="17"/>
      <c r="AN1456" s="18"/>
    </row>
    <row r="1457" ht="13.55" customHeight="1">
      <c r="A1457" s="32"/>
      <c r="B1457" s="17"/>
      <c r="C1457" s="17"/>
      <c r="D1457" s="17"/>
      <c r="E1457" s="17"/>
      <c r="F1457" s="17"/>
      <c r="G1457" s="17"/>
      <c r="H1457" s="17"/>
      <c r="I1457" s="17"/>
      <c r="J1457" s="17"/>
      <c r="K1457" s="17"/>
      <c r="L1457" s="17"/>
      <c r="M1457" s="17"/>
      <c r="N1457" s="17"/>
      <c r="O1457" s="17"/>
      <c r="P1457" s="17"/>
      <c r="Q1457" s="17"/>
      <c r="R1457" s="17"/>
      <c r="S1457" s="17"/>
      <c r="T1457" s="17"/>
      <c r="U1457" s="17"/>
      <c r="V1457" s="17"/>
      <c r="W1457" s="17"/>
      <c r="X1457" s="17"/>
      <c r="Y1457" s="17"/>
      <c r="Z1457" s="17"/>
      <c r="AA1457" s="17"/>
      <c r="AB1457" s="17"/>
      <c r="AC1457" s="17"/>
      <c r="AD1457" s="17"/>
      <c r="AE1457" s="17"/>
      <c r="AF1457" s="17"/>
      <c r="AG1457" s="17"/>
      <c r="AH1457" s="17"/>
      <c r="AI1457" s="17"/>
      <c r="AJ1457" s="17"/>
      <c r="AK1457" s="17"/>
      <c r="AL1457" s="17"/>
      <c r="AM1457" s="17"/>
      <c r="AN1457" s="18"/>
    </row>
    <row r="1458" ht="13.55" customHeight="1">
      <c r="A1458" s="32"/>
      <c r="B1458" s="17"/>
      <c r="C1458" s="17"/>
      <c r="D1458" s="17"/>
      <c r="E1458" s="17"/>
      <c r="F1458" s="17"/>
      <c r="G1458" s="17"/>
      <c r="H1458" s="17"/>
      <c r="I1458" s="17"/>
      <c r="J1458" s="17"/>
      <c r="K1458" s="17"/>
      <c r="L1458" s="17"/>
      <c r="M1458" s="17"/>
      <c r="N1458" s="17"/>
      <c r="O1458" s="17"/>
      <c r="P1458" s="17"/>
      <c r="Q1458" s="17"/>
      <c r="R1458" s="17"/>
      <c r="S1458" s="17"/>
      <c r="T1458" s="17"/>
      <c r="U1458" s="17"/>
      <c r="V1458" s="17"/>
      <c r="W1458" s="17"/>
      <c r="X1458" s="17"/>
      <c r="Y1458" s="17"/>
      <c r="Z1458" s="17"/>
      <c r="AA1458" s="17"/>
      <c r="AB1458" s="17"/>
      <c r="AC1458" s="17"/>
      <c r="AD1458" s="17"/>
      <c r="AE1458" s="17"/>
      <c r="AF1458" s="17"/>
      <c r="AG1458" s="17"/>
      <c r="AH1458" s="17"/>
      <c r="AI1458" s="17"/>
      <c r="AJ1458" s="17"/>
      <c r="AK1458" s="17"/>
      <c r="AL1458" s="17"/>
      <c r="AM1458" s="17"/>
      <c r="AN1458" s="18"/>
    </row>
    <row r="1459" ht="13.55" customHeight="1">
      <c r="A1459" s="32"/>
      <c r="B1459" s="17"/>
      <c r="C1459" s="17"/>
      <c r="D1459" s="17"/>
      <c r="E1459" s="17"/>
      <c r="F1459" s="17"/>
      <c r="G1459" s="17"/>
      <c r="H1459" s="17"/>
      <c r="I1459" s="17"/>
      <c r="J1459" s="17"/>
      <c r="K1459" s="17"/>
      <c r="L1459" s="17"/>
      <c r="M1459" s="17"/>
      <c r="N1459" s="17"/>
      <c r="O1459" s="17"/>
      <c r="P1459" s="17"/>
      <c r="Q1459" s="17"/>
      <c r="R1459" s="17"/>
      <c r="S1459" s="17"/>
      <c r="T1459" s="17"/>
      <c r="U1459" s="17"/>
      <c r="V1459" s="17"/>
      <c r="W1459" s="17"/>
      <c r="X1459" s="17"/>
      <c r="Y1459" s="17"/>
      <c r="Z1459" s="17"/>
      <c r="AA1459" s="17"/>
      <c r="AB1459" s="17"/>
      <c r="AC1459" s="17"/>
      <c r="AD1459" s="17"/>
      <c r="AE1459" s="17"/>
      <c r="AF1459" s="17"/>
      <c r="AG1459" s="17"/>
      <c r="AH1459" s="17"/>
      <c r="AI1459" s="17"/>
      <c r="AJ1459" s="17"/>
      <c r="AK1459" s="17"/>
      <c r="AL1459" s="17"/>
      <c r="AM1459" s="17"/>
      <c r="AN1459" s="18"/>
    </row>
    <row r="1460" ht="13.55" customHeight="1">
      <c r="A1460" s="32"/>
      <c r="B1460" s="17"/>
      <c r="C1460" s="17"/>
      <c r="D1460" s="17"/>
      <c r="E1460" s="17"/>
      <c r="F1460" s="17"/>
      <c r="G1460" s="17"/>
      <c r="H1460" s="17"/>
      <c r="I1460" s="17"/>
      <c r="J1460" s="17"/>
      <c r="K1460" s="17"/>
      <c r="L1460" s="17"/>
      <c r="M1460" s="17"/>
      <c r="N1460" s="17"/>
      <c r="O1460" s="17"/>
      <c r="P1460" s="17"/>
      <c r="Q1460" s="17"/>
      <c r="R1460" s="17"/>
      <c r="S1460" s="17"/>
      <c r="T1460" s="17"/>
      <c r="U1460" s="17"/>
      <c r="V1460" s="17"/>
      <c r="W1460" s="17"/>
      <c r="X1460" s="17"/>
      <c r="Y1460" s="17"/>
      <c r="Z1460" s="17"/>
      <c r="AA1460" s="17"/>
      <c r="AB1460" s="17"/>
      <c r="AC1460" s="17"/>
      <c r="AD1460" s="17"/>
      <c r="AE1460" s="17"/>
      <c r="AF1460" s="17"/>
      <c r="AG1460" s="17"/>
      <c r="AH1460" s="17"/>
      <c r="AI1460" s="17"/>
      <c r="AJ1460" s="17"/>
      <c r="AK1460" s="17"/>
      <c r="AL1460" s="17"/>
      <c r="AM1460" s="17"/>
      <c r="AN1460" s="18"/>
    </row>
    <row r="1461" ht="13.55" customHeight="1">
      <c r="A1461" s="32"/>
      <c r="B1461" s="17"/>
      <c r="C1461" s="17"/>
      <c r="D1461" s="17"/>
      <c r="E1461" s="17"/>
      <c r="F1461" s="17"/>
      <c r="G1461" s="17"/>
      <c r="H1461" s="17"/>
      <c r="I1461" s="17"/>
      <c r="J1461" s="17"/>
      <c r="K1461" s="17"/>
      <c r="L1461" s="17"/>
      <c r="M1461" s="17"/>
      <c r="N1461" s="17"/>
      <c r="O1461" s="17"/>
      <c r="P1461" s="17"/>
      <c r="Q1461" s="17"/>
      <c r="R1461" s="17"/>
      <c r="S1461" s="17"/>
      <c r="T1461" s="17"/>
      <c r="U1461" s="17"/>
      <c r="V1461" s="17"/>
      <c r="W1461" s="17"/>
      <c r="X1461" s="17"/>
      <c r="Y1461" s="17"/>
      <c r="Z1461" s="17"/>
      <c r="AA1461" s="17"/>
      <c r="AB1461" s="17"/>
      <c r="AC1461" s="17"/>
      <c r="AD1461" s="17"/>
      <c r="AE1461" s="17"/>
      <c r="AF1461" s="17"/>
      <c r="AG1461" s="17"/>
      <c r="AH1461" s="17"/>
      <c r="AI1461" s="17"/>
      <c r="AJ1461" s="17"/>
      <c r="AK1461" s="17"/>
      <c r="AL1461" s="17"/>
      <c r="AM1461" s="17"/>
      <c r="AN1461" s="18"/>
    </row>
    <row r="1462" ht="13.55" customHeight="1">
      <c r="A1462" s="32"/>
      <c r="B1462" s="17"/>
      <c r="C1462" s="17"/>
      <c r="D1462" s="17"/>
      <c r="E1462" s="17"/>
      <c r="F1462" s="17"/>
      <c r="G1462" s="17"/>
      <c r="H1462" s="17"/>
      <c r="I1462" s="17"/>
      <c r="J1462" s="17"/>
      <c r="K1462" s="17"/>
      <c r="L1462" s="17"/>
      <c r="M1462" s="17"/>
      <c r="N1462" s="17"/>
      <c r="O1462" s="17"/>
      <c r="P1462" s="17"/>
      <c r="Q1462" s="17"/>
      <c r="R1462" s="17"/>
      <c r="S1462" s="17"/>
      <c r="T1462" s="17"/>
      <c r="U1462" s="17"/>
      <c r="V1462" s="17"/>
      <c r="W1462" s="17"/>
      <c r="X1462" s="17"/>
      <c r="Y1462" s="17"/>
      <c r="Z1462" s="17"/>
      <c r="AA1462" s="17"/>
      <c r="AB1462" s="17"/>
      <c r="AC1462" s="17"/>
      <c r="AD1462" s="17"/>
      <c r="AE1462" s="17"/>
      <c r="AF1462" s="17"/>
      <c r="AG1462" s="17"/>
      <c r="AH1462" s="17"/>
      <c r="AI1462" s="17"/>
      <c r="AJ1462" s="17"/>
      <c r="AK1462" s="17"/>
      <c r="AL1462" s="17"/>
      <c r="AM1462" s="17"/>
      <c r="AN1462" s="18"/>
    </row>
    <row r="1463" ht="13.55" customHeight="1">
      <c r="A1463" s="32"/>
      <c r="B1463" s="17"/>
      <c r="C1463" s="17"/>
      <c r="D1463" s="17"/>
      <c r="E1463" s="17"/>
      <c r="F1463" s="17"/>
      <c r="G1463" s="17"/>
      <c r="H1463" s="17"/>
      <c r="I1463" s="17"/>
      <c r="J1463" s="17"/>
      <c r="K1463" s="17"/>
      <c r="L1463" s="17"/>
      <c r="M1463" s="17"/>
      <c r="N1463" s="17"/>
      <c r="O1463" s="17"/>
      <c r="P1463" s="17"/>
      <c r="Q1463" s="17"/>
      <c r="R1463" s="17"/>
      <c r="S1463" s="17"/>
      <c r="T1463" s="17"/>
      <c r="U1463" s="17"/>
      <c r="V1463" s="17"/>
      <c r="W1463" s="17"/>
      <c r="X1463" s="17"/>
      <c r="Y1463" s="17"/>
      <c r="Z1463" s="17"/>
      <c r="AA1463" s="17"/>
      <c r="AB1463" s="17"/>
      <c r="AC1463" s="17"/>
      <c r="AD1463" s="17"/>
      <c r="AE1463" s="17"/>
      <c r="AF1463" s="17"/>
      <c r="AG1463" s="17"/>
      <c r="AH1463" s="17"/>
      <c r="AI1463" s="17"/>
      <c r="AJ1463" s="17"/>
      <c r="AK1463" s="17"/>
      <c r="AL1463" s="17"/>
      <c r="AM1463" s="17"/>
      <c r="AN1463" s="18"/>
    </row>
    <row r="1464" ht="13.55" customHeight="1">
      <c r="A1464" s="32"/>
      <c r="B1464" s="17"/>
      <c r="C1464" s="17"/>
      <c r="D1464" s="17"/>
      <c r="E1464" s="17"/>
      <c r="F1464" s="17"/>
      <c r="G1464" s="17"/>
      <c r="H1464" s="17"/>
      <c r="I1464" s="17"/>
      <c r="J1464" s="17"/>
      <c r="K1464" s="17"/>
      <c r="L1464" s="17"/>
      <c r="M1464" s="17"/>
      <c r="N1464" s="17"/>
      <c r="O1464" s="17"/>
      <c r="P1464" s="17"/>
      <c r="Q1464" s="17"/>
      <c r="R1464" s="17"/>
      <c r="S1464" s="17"/>
      <c r="T1464" s="17"/>
      <c r="U1464" s="17"/>
      <c r="V1464" s="17"/>
      <c r="W1464" s="17"/>
      <c r="X1464" s="17"/>
      <c r="Y1464" s="17"/>
      <c r="Z1464" s="17"/>
      <c r="AA1464" s="17"/>
      <c r="AB1464" s="17"/>
      <c r="AC1464" s="17"/>
      <c r="AD1464" s="17"/>
      <c r="AE1464" s="17"/>
      <c r="AF1464" s="17"/>
      <c r="AG1464" s="17"/>
      <c r="AH1464" s="17"/>
      <c r="AI1464" s="17"/>
      <c r="AJ1464" s="17"/>
      <c r="AK1464" s="17"/>
      <c r="AL1464" s="17"/>
      <c r="AM1464" s="17"/>
      <c r="AN1464" s="18"/>
    </row>
    <row r="1465" ht="13.55" customHeight="1">
      <c r="A1465" s="32"/>
      <c r="B1465" s="17"/>
      <c r="C1465" s="17"/>
      <c r="D1465" s="17"/>
      <c r="E1465" s="17"/>
      <c r="F1465" s="17"/>
      <c r="G1465" s="17"/>
      <c r="H1465" s="17"/>
      <c r="I1465" s="17"/>
      <c r="J1465" s="17"/>
      <c r="K1465" s="17"/>
      <c r="L1465" s="17"/>
      <c r="M1465" s="17"/>
      <c r="N1465" s="17"/>
      <c r="O1465" s="17"/>
      <c r="P1465" s="17"/>
      <c r="Q1465" s="17"/>
      <c r="R1465" s="17"/>
      <c r="S1465" s="17"/>
      <c r="T1465" s="17"/>
      <c r="U1465" s="17"/>
      <c r="V1465" s="17"/>
      <c r="W1465" s="17"/>
      <c r="X1465" s="17"/>
      <c r="Y1465" s="17"/>
      <c r="Z1465" s="17"/>
      <c r="AA1465" s="17"/>
      <c r="AB1465" s="17"/>
      <c r="AC1465" s="17"/>
      <c r="AD1465" s="17"/>
      <c r="AE1465" s="17"/>
      <c r="AF1465" s="17"/>
      <c r="AG1465" s="17"/>
      <c r="AH1465" s="17"/>
      <c r="AI1465" s="17"/>
      <c r="AJ1465" s="17"/>
      <c r="AK1465" s="17"/>
      <c r="AL1465" s="17"/>
      <c r="AM1465" s="17"/>
      <c r="AN1465" s="18"/>
    </row>
    <row r="1466" ht="13.55" customHeight="1">
      <c r="A1466" s="32"/>
      <c r="B1466" s="17"/>
      <c r="C1466" s="17"/>
      <c r="D1466" s="17"/>
      <c r="E1466" s="17"/>
      <c r="F1466" s="17"/>
      <c r="G1466" s="17"/>
      <c r="H1466" s="17"/>
      <c r="I1466" s="17"/>
      <c r="J1466" s="17"/>
      <c r="K1466" s="17"/>
      <c r="L1466" s="17"/>
      <c r="M1466" s="17"/>
      <c r="N1466" s="17"/>
      <c r="O1466" s="17"/>
      <c r="P1466" s="17"/>
      <c r="Q1466" s="17"/>
      <c r="R1466" s="17"/>
      <c r="S1466" s="17"/>
      <c r="T1466" s="17"/>
      <c r="U1466" s="17"/>
      <c r="V1466" s="17"/>
      <c r="W1466" s="17"/>
      <c r="X1466" s="17"/>
      <c r="Y1466" s="17"/>
      <c r="Z1466" s="17"/>
      <c r="AA1466" s="17"/>
      <c r="AB1466" s="17"/>
      <c r="AC1466" s="17"/>
      <c r="AD1466" s="17"/>
      <c r="AE1466" s="17"/>
      <c r="AF1466" s="17"/>
      <c r="AG1466" s="17"/>
      <c r="AH1466" s="17"/>
      <c r="AI1466" s="17"/>
      <c r="AJ1466" s="17"/>
      <c r="AK1466" s="17"/>
      <c r="AL1466" s="17"/>
      <c r="AM1466" s="17"/>
      <c r="AN1466" s="18"/>
    </row>
    <row r="1467" ht="13.55" customHeight="1">
      <c r="A1467" s="32"/>
      <c r="B1467" s="17"/>
      <c r="C1467" s="17"/>
      <c r="D1467" s="17"/>
      <c r="E1467" s="17"/>
      <c r="F1467" s="17"/>
      <c r="G1467" s="17"/>
      <c r="H1467" s="17"/>
      <c r="I1467" s="17"/>
      <c r="J1467" s="17"/>
      <c r="K1467" s="17"/>
      <c r="L1467" s="17"/>
      <c r="M1467" s="17"/>
      <c r="N1467" s="17"/>
      <c r="O1467" s="17"/>
      <c r="P1467" s="17"/>
      <c r="Q1467" s="17"/>
      <c r="R1467" s="17"/>
      <c r="S1467" s="17"/>
      <c r="T1467" s="17"/>
      <c r="U1467" s="17"/>
      <c r="V1467" s="17"/>
      <c r="W1467" s="17"/>
      <c r="X1467" s="17"/>
      <c r="Y1467" s="17"/>
      <c r="Z1467" s="17"/>
      <c r="AA1467" s="17"/>
      <c r="AB1467" s="17"/>
      <c r="AC1467" s="17"/>
      <c r="AD1467" s="17"/>
      <c r="AE1467" s="17"/>
      <c r="AF1467" s="17"/>
      <c r="AG1467" s="17"/>
      <c r="AH1467" s="17"/>
      <c r="AI1467" s="17"/>
      <c r="AJ1467" s="17"/>
      <c r="AK1467" s="17"/>
      <c r="AL1467" s="17"/>
      <c r="AM1467" s="17"/>
      <c r="AN1467" s="18"/>
    </row>
    <row r="1468" ht="13.55" customHeight="1">
      <c r="A1468" s="32"/>
      <c r="B1468" s="17"/>
      <c r="C1468" s="17"/>
      <c r="D1468" s="17"/>
      <c r="E1468" s="17"/>
      <c r="F1468" s="17"/>
      <c r="G1468" s="17"/>
      <c r="H1468" s="17"/>
      <c r="I1468" s="17"/>
      <c r="J1468" s="17"/>
      <c r="K1468" s="17"/>
      <c r="L1468" s="17"/>
      <c r="M1468" s="17"/>
      <c r="N1468" s="17"/>
      <c r="O1468" s="17"/>
      <c r="P1468" s="17"/>
      <c r="Q1468" s="17"/>
      <c r="R1468" s="17"/>
      <c r="S1468" s="17"/>
      <c r="T1468" s="17"/>
      <c r="U1468" s="17"/>
      <c r="V1468" s="17"/>
      <c r="W1468" s="17"/>
      <c r="X1468" s="17"/>
      <c r="Y1468" s="17"/>
      <c r="Z1468" s="17"/>
      <c r="AA1468" s="17"/>
      <c r="AB1468" s="17"/>
      <c r="AC1468" s="17"/>
      <c r="AD1468" s="17"/>
      <c r="AE1468" s="17"/>
      <c r="AF1468" s="17"/>
      <c r="AG1468" s="17"/>
      <c r="AH1468" s="17"/>
      <c r="AI1468" s="17"/>
      <c r="AJ1468" s="17"/>
      <c r="AK1468" s="17"/>
      <c r="AL1468" s="17"/>
      <c r="AM1468" s="17"/>
      <c r="AN1468" s="18"/>
    </row>
    <row r="1469" ht="13.55" customHeight="1">
      <c r="A1469" s="32"/>
      <c r="B1469" s="17"/>
      <c r="C1469" s="17"/>
      <c r="D1469" s="17"/>
      <c r="E1469" s="17"/>
      <c r="F1469" s="17"/>
      <c r="G1469" s="17"/>
      <c r="H1469" s="17"/>
      <c r="I1469" s="17"/>
      <c r="J1469" s="17"/>
      <c r="K1469" s="17"/>
      <c r="L1469" s="17"/>
      <c r="M1469" s="17"/>
      <c r="N1469" s="17"/>
      <c r="O1469" s="17"/>
      <c r="P1469" s="17"/>
      <c r="Q1469" s="17"/>
      <c r="R1469" s="17"/>
      <c r="S1469" s="17"/>
      <c r="T1469" s="17"/>
      <c r="U1469" s="17"/>
      <c r="V1469" s="17"/>
      <c r="W1469" s="17"/>
      <c r="X1469" s="17"/>
      <c r="Y1469" s="17"/>
      <c r="Z1469" s="17"/>
      <c r="AA1469" s="17"/>
      <c r="AB1469" s="17"/>
      <c r="AC1469" s="17"/>
      <c r="AD1469" s="17"/>
      <c r="AE1469" s="17"/>
      <c r="AF1469" s="17"/>
      <c r="AG1469" s="17"/>
      <c r="AH1469" s="17"/>
      <c r="AI1469" s="17"/>
      <c r="AJ1469" s="17"/>
      <c r="AK1469" s="17"/>
      <c r="AL1469" s="17"/>
      <c r="AM1469" s="17"/>
      <c r="AN1469" s="18"/>
    </row>
    <row r="1470" ht="13.55" customHeight="1">
      <c r="A1470" s="32"/>
      <c r="B1470" s="17"/>
      <c r="C1470" s="17"/>
      <c r="D1470" s="17"/>
      <c r="E1470" s="17"/>
      <c r="F1470" s="17"/>
      <c r="G1470" s="17"/>
      <c r="H1470" s="17"/>
      <c r="I1470" s="17"/>
      <c r="J1470" s="17"/>
      <c r="K1470" s="17"/>
      <c r="L1470" s="17"/>
      <c r="M1470" s="17"/>
      <c r="N1470" s="17"/>
      <c r="O1470" s="17"/>
      <c r="P1470" s="17"/>
      <c r="Q1470" s="17"/>
      <c r="R1470" s="17"/>
      <c r="S1470" s="17"/>
      <c r="T1470" s="17"/>
      <c r="U1470" s="17"/>
      <c r="V1470" s="17"/>
      <c r="W1470" s="17"/>
      <c r="X1470" s="17"/>
      <c r="Y1470" s="17"/>
      <c r="Z1470" s="17"/>
      <c r="AA1470" s="17"/>
      <c r="AB1470" s="17"/>
      <c r="AC1470" s="17"/>
      <c r="AD1470" s="17"/>
      <c r="AE1470" s="17"/>
      <c r="AF1470" s="17"/>
      <c r="AG1470" s="17"/>
      <c r="AH1470" s="17"/>
      <c r="AI1470" s="17"/>
      <c r="AJ1470" s="17"/>
      <c r="AK1470" s="17"/>
      <c r="AL1470" s="17"/>
      <c r="AM1470" s="17"/>
      <c r="AN1470" s="18"/>
    </row>
    <row r="1471" ht="13.55" customHeight="1">
      <c r="A1471" s="32"/>
      <c r="B1471" s="17"/>
      <c r="C1471" s="17"/>
      <c r="D1471" s="17"/>
      <c r="E1471" s="17"/>
      <c r="F1471" s="17"/>
      <c r="G1471" s="17"/>
      <c r="H1471" s="17"/>
      <c r="I1471" s="17"/>
      <c r="J1471" s="17"/>
      <c r="K1471" s="17"/>
      <c r="L1471" s="17"/>
      <c r="M1471" s="17"/>
      <c r="N1471" s="17"/>
      <c r="O1471" s="17"/>
      <c r="P1471" s="17"/>
      <c r="Q1471" s="17"/>
      <c r="R1471" s="17"/>
      <c r="S1471" s="17"/>
      <c r="T1471" s="17"/>
      <c r="U1471" s="17"/>
      <c r="V1471" s="17"/>
      <c r="W1471" s="17"/>
      <c r="X1471" s="17"/>
      <c r="Y1471" s="17"/>
      <c r="Z1471" s="17"/>
      <c r="AA1471" s="17"/>
      <c r="AB1471" s="17"/>
      <c r="AC1471" s="17"/>
      <c r="AD1471" s="17"/>
      <c r="AE1471" s="17"/>
      <c r="AF1471" s="17"/>
      <c r="AG1471" s="17"/>
      <c r="AH1471" s="17"/>
      <c r="AI1471" s="17"/>
      <c r="AJ1471" s="17"/>
      <c r="AK1471" s="17"/>
      <c r="AL1471" s="17"/>
      <c r="AM1471" s="17"/>
      <c r="AN1471" s="18"/>
    </row>
    <row r="1472" ht="13.55" customHeight="1">
      <c r="A1472" s="32"/>
      <c r="B1472" s="17"/>
      <c r="C1472" s="17"/>
      <c r="D1472" s="17"/>
      <c r="E1472" s="17"/>
      <c r="F1472" s="17"/>
      <c r="G1472" s="17"/>
      <c r="H1472" s="17"/>
      <c r="I1472" s="17"/>
      <c r="J1472" s="17"/>
      <c r="K1472" s="17"/>
      <c r="L1472" s="17"/>
      <c r="M1472" s="17"/>
      <c r="N1472" s="17"/>
      <c r="O1472" s="17"/>
      <c r="P1472" s="17"/>
      <c r="Q1472" s="17"/>
      <c r="R1472" s="17"/>
      <c r="S1472" s="17"/>
      <c r="T1472" s="17"/>
      <c r="U1472" s="17"/>
      <c r="V1472" s="17"/>
      <c r="W1472" s="17"/>
      <c r="X1472" s="17"/>
      <c r="Y1472" s="17"/>
      <c r="Z1472" s="17"/>
      <c r="AA1472" s="17"/>
      <c r="AB1472" s="17"/>
      <c r="AC1472" s="17"/>
      <c r="AD1472" s="17"/>
      <c r="AE1472" s="17"/>
      <c r="AF1472" s="17"/>
      <c r="AG1472" s="17"/>
      <c r="AH1472" s="17"/>
      <c r="AI1472" s="17"/>
      <c r="AJ1472" s="17"/>
      <c r="AK1472" s="17"/>
      <c r="AL1472" s="17"/>
      <c r="AM1472" s="17"/>
      <c r="AN1472" s="18"/>
    </row>
    <row r="1473" ht="13.55" customHeight="1">
      <c r="A1473" s="32"/>
      <c r="B1473" s="17"/>
      <c r="C1473" s="17"/>
      <c r="D1473" s="17"/>
      <c r="E1473" s="17"/>
      <c r="F1473" s="17"/>
      <c r="G1473" s="17"/>
      <c r="H1473" s="17"/>
      <c r="I1473" s="17"/>
      <c r="J1473" s="17"/>
      <c r="K1473" s="17"/>
      <c r="L1473" s="17"/>
      <c r="M1473" s="17"/>
      <c r="N1473" s="17"/>
      <c r="O1473" s="17"/>
      <c r="P1473" s="17"/>
      <c r="Q1473" s="17"/>
      <c r="R1473" s="17"/>
      <c r="S1473" s="17"/>
      <c r="T1473" s="17"/>
      <c r="U1473" s="17"/>
      <c r="V1473" s="17"/>
      <c r="W1473" s="17"/>
      <c r="X1473" s="17"/>
      <c r="Y1473" s="17"/>
      <c r="Z1473" s="17"/>
      <c r="AA1473" s="17"/>
      <c r="AB1473" s="17"/>
      <c r="AC1473" s="17"/>
      <c r="AD1473" s="17"/>
      <c r="AE1473" s="17"/>
      <c r="AF1473" s="17"/>
      <c r="AG1473" s="17"/>
      <c r="AH1473" s="17"/>
      <c r="AI1473" s="17"/>
      <c r="AJ1473" s="17"/>
      <c r="AK1473" s="17"/>
      <c r="AL1473" s="17"/>
      <c r="AM1473" s="17"/>
      <c r="AN1473" s="18"/>
    </row>
    <row r="1474" ht="13.55" customHeight="1">
      <c r="A1474" s="32"/>
      <c r="B1474" s="17"/>
      <c r="C1474" s="17"/>
      <c r="D1474" s="17"/>
      <c r="E1474" s="17"/>
      <c r="F1474" s="17"/>
      <c r="G1474" s="17"/>
      <c r="H1474" s="17"/>
      <c r="I1474" s="17"/>
      <c r="J1474" s="17"/>
      <c r="K1474" s="17"/>
      <c r="L1474" s="17"/>
      <c r="M1474" s="17"/>
      <c r="N1474" s="17"/>
      <c r="O1474" s="17"/>
      <c r="P1474" s="17"/>
      <c r="Q1474" s="17"/>
      <c r="R1474" s="17"/>
      <c r="S1474" s="17"/>
      <c r="T1474" s="17"/>
      <c r="U1474" s="17"/>
      <c r="V1474" s="17"/>
      <c r="W1474" s="17"/>
      <c r="X1474" s="17"/>
      <c r="Y1474" s="17"/>
      <c r="Z1474" s="17"/>
      <c r="AA1474" s="17"/>
      <c r="AB1474" s="17"/>
      <c r="AC1474" s="17"/>
      <c r="AD1474" s="17"/>
      <c r="AE1474" s="17"/>
      <c r="AF1474" s="17"/>
      <c r="AG1474" s="17"/>
      <c r="AH1474" s="17"/>
      <c r="AI1474" s="17"/>
      <c r="AJ1474" s="17"/>
      <c r="AK1474" s="17"/>
      <c r="AL1474" s="17"/>
      <c r="AM1474" s="17"/>
      <c r="AN1474" s="18"/>
    </row>
    <row r="1475" ht="13.55" customHeight="1">
      <c r="A1475" s="32"/>
      <c r="B1475" s="17"/>
      <c r="C1475" s="17"/>
      <c r="D1475" s="17"/>
      <c r="E1475" s="17"/>
      <c r="F1475" s="17"/>
      <c r="G1475" s="17"/>
      <c r="H1475" s="17"/>
      <c r="I1475" s="17"/>
      <c r="J1475" s="17"/>
      <c r="K1475" s="17"/>
      <c r="L1475" s="17"/>
      <c r="M1475" s="17"/>
      <c r="N1475" s="17"/>
      <c r="O1475" s="17"/>
      <c r="P1475" s="17"/>
      <c r="Q1475" s="17"/>
      <c r="R1475" s="17"/>
      <c r="S1475" s="17"/>
      <c r="T1475" s="17"/>
      <c r="U1475" s="17"/>
      <c r="V1475" s="17"/>
      <c r="W1475" s="17"/>
      <c r="X1475" s="17"/>
      <c r="Y1475" s="17"/>
      <c r="Z1475" s="17"/>
      <c r="AA1475" s="17"/>
      <c r="AB1475" s="17"/>
      <c r="AC1475" s="17"/>
      <c r="AD1475" s="17"/>
      <c r="AE1475" s="17"/>
      <c r="AF1475" s="17"/>
      <c r="AG1475" s="17"/>
      <c r="AH1475" s="17"/>
      <c r="AI1475" s="17"/>
      <c r="AJ1475" s="17"/>
      <c r="AK1475" s="17"/>
      <c r="AL1475" s="17"/>
      <c r="AM1475" s="17"/>
      <c r="AN1475" s="18"/>
    </row>
    <row r="1476" ht="13.55" customHeight="1">
      <c r="A1476" s="32"/>
      <c r="B1476" s="17"/>
      <c r="C1476" s="17"/>
      <c r="D1476" s="17"/>
      <c r="E1476" s="17"/>
      <c r="F1476" s="17"/>
      <c r="G1476" s="17"/>
      <c r="H1476" s="17"/>
      <c r="I1476" s="17"/>
      <c r="J1476" s="17"/>
      <c r="K1476" s="17"/>
      <c r="L1476" s="17"/>
      <c r="M1476" s="17"/>
      <c r="N1476" s="17"/>
      <c r="O1476" s="17"/>
      <c r="P1476" s="17"/>
      <c r="Q1476" s="17"/>
      <c r="R1476" s="17"/>
      <c r="S1476" s="17"/>
      <c r="T1476" s="17"/>
      <c r="U1476" s="17"/>
      <c r="V1476" s="17"/>
      <c r="W1476" s="17"/>
      <c r="X1476" s="17"/>
      <c r="Y1476" s="17"/>
      <c r="Z1476" s="17"/>
      <c r="AA1476" s="17"/>
      <c r="AB1476" s="17"/>
      <c r="AC1476" s="17"/>
      <c r="AD1476" s="17"/>
      <c r="AE1476" s="17"/>
      <c r="AF1476" s="17"/>
      <c r="AG1476" s="17"/>
      <c r="AH1476" s="17"/>
      <c r="AI1476" s="17"/>
      <c r="AJ1476" s="17"/>
      <c r="AK1476" s="17"/>
      <c r="AL1476" s="17"/>
      <c r="AM1476" s="17"/>
      <c r="AN1476" s="18"/>
    </row>
    <row r="1477" ht="13.55" customHeight="1">
      <c r="A1477" s="32"/>
      <c r="B1477" s="17"/>
      <c r="C1477" s="17"/>
      <c r="D1477" s="17"/>
      <c r="E1477" s="17"/>
      <c r="F1477" s="17"/>
      <c r="G1477" s="17"/>
      <c r="H1477" s="17"/>
      <c r="I1477" s="17"/>
      <c r="J1477" s="17"/>
      <c r="K1477" s="17"/>
      <c r="L1477" s="17"/>
      <c r="M1477" s="17"/>
      <c r="N1477" s="17"/>
      <c r="O1477" s="17"/>
      <c r="P1477" s="17"/>
      <c r="Q1477" s="17"/>
      <c r="R1477" s="17"/>
      <c r="S1477" s="17"/>
      <c r="T1477" s="17"/>
      <c r="U1477" s="17"/>
      <c r="V1477" s="17"/>
      <c r="W1477" s="17"/>
      <c r="X1477" s="17"/>
      <c r="Y1477" s="17"/>
      <c r="Z1477" s="17"/>
      <c r="AA1477" s="17"/>
      <c r="AB1477" s="17"/>
      <c r="AC1477" s="17"/>
      <c r="AD1477" s="17"/>
      <c r="AE1477" s="17"/>
      <c r="AF1477" s="17"/>
      <c r="AG1477" s="17"/>
      <c r="AH1477" s="17"/>
      <c r="AI1477" s="17"/>
      <c r="AJ1477" s="17"/>
      <c r="AK1477" s="17"/>
      <c r="AL1477" s="17"/>
      <c r="AM1477" s="17"/>
      <c r="AN1477" s="18"/>
    </row>
    <row r="1478" ht="13.55" customHeight="1">
      <c r="A1478" s="32"/>
      <c r="B1478" s="17"/>
      <c r="C1478" s="17"/>
      <c r="D1478" s="17"/>
      <c r="E1478" s="17"/>
      <c r="F1478" s="17"/>
      <c r="G1478" s="17"/>
      <c r="H1478" s="17"/>
      <c r="I1478" s="17"/>
      <c r="J1478" s="17"/>
      <c r="K1478" s="17"/>
      <c r="L1478" s="17"/>
      <c r="M1478" s="17"/>
      <c r="N1478" s="17"/>
      <c r="O1478" s="17"/>
      <c r="P1478" s="17"/>
      <c r="Q1478" s="17"/>
      <c r="R1478" s="17"/>
      <c r="S1478" s="17"/>
      <c r="T1478" s="17"/>
      <c r="U1478" s="17"/>
      <c r="V1478" s="17"/>
      <c r="W1478" s="17"/>
      <c r="X1478" s="17"/>
      <c r="Y1478" s="17"/>
      <c r="Z1478" s="17"/>
      <c r="AA1478" s="17"/>
      <c r="AB1478" s="17"/>
      <c r="AC1478" s="17"/>
      <c r="AD1478" s="17"/>
      <c r="AE1478" s="17"/>
      <c r="AF1478" s="17"/>
      <c r="AG1478" s="17"/>
      <c r="AH1478" s="17"/>
      <c r="AI1478" s="17"/>
      <c r="AJ1478" s="17"/>
      <c r="AK1478" s="17"/>
      <c r="AL1478" s="17"/>
      <c r="AM1478" s="17"/>
      <c r="AN1478" s="18"/>
    </row>
    <row r="1479" ht="13.55" customHeight="1">
      <c r="A1479" s="32"/>
      <c r="B1479" s="17"/>
      <c r="C1479" s="17"/>
      <c r="D1479" s="17"/>
      <c r="E1479" s="17"/>
      <c r="F1479" s="17"/>
      <c r="G1479" s="17"/>
      <c r="H1479" s="17"/>
      <c r="I1479" s="17"/>
      <c r="J1479" s="17"/>
      <c r="K1479" s="17"/>
      <c r="L1479" s="17"/>
      <c r="M1479" s="17"/>
      <c r="N1479" s="17"/>
      <c r="O1479" s="17"/>
      <c r="P1479" s="17"/>
      <c r="Q1479" s="17"/>
      <c r="R1479" s="17"/>
      <c r="S1479" s="17"/>
      <c r="T1479" s="17"/>
      <c r="U1479" s="17"/>
      <c r="V1479" s="17"/>
      <c r="W1479" s="17"/>
      <c r="X1479" s="17"/>
      <c r="Y1479" s="17"/>
      <c r="Z1479" s="17"/>
      <c r="AA1479" s="17"/>
      <c r="AB1479" s="17"/>
      <c r="AC1479" s="17"/>
      <c r="AD1479" s="17"/>
      <c r="AE1479" s="17"/>
      <c r="AF1479" s="17"/>
      <c r="AG1479" s="17"/>
      <c r="AH1479" s="17"/>
      <c r="AI1479" s="17"/>
      <c r="AJ1479" s="17"/>
      <c r="AK1479" s="17"/>
      <c r="AL1479" s="17"/>
      <c r="AM1479" s="17"/>
      <c r="AN1479" s="18"/>
    </row>
    <row r="1480" ht="13.55" customHeight="1">
      <c r="A1480" s="32"/>
      <c r="B1480" s="17"/>
      <c r="C1480" s="17"/>
      <c r="D1480" s="17"/>
      <c r="E1480" s="17"/>
      <c r="F1480" s="17"/>
      <c r="G1480" s="17"/>
      <c r="H1480" s="17"/>
      <c r="I1480" s="17"/>
      <c r="J1480" s="17"/>
      <c r="K1480" s="17"/>
      <c r="L1480" s="17"/>
      <c r="M1480" s="17"/>
      <c r="N1480" s="17"/>
      <c r="O1480" s="17"/>
      <c r="P1480" s="17"/>
      <c r="Q1480" s="17"/>
      <c r="R1480" s="17"/>
      <c r="S1480" s="17"/>
      <c r="T1480" s="17"/>
      <c r="U1480" s="17"/>
      <c r="V1480" s="17"/>
      <c r="W1480" s="17"/>
      <c r="X1480" s="17"/>
      <c r="Y1480" s="17"/>
      <c r="Z1480" s="17"/>
      <c r="AA1480" s="17"/>
      <c r="AB1480" s="17"/>
      <c r="AC1480" s="17"/>
      <c r="AD1480" s="17"/>
      <c r="AE1480" s="17"/>
      <c r="AF1480" s="17"/>
      <c r="AG1480" s="17"/>
      <c r="AH1480" s="17"/>
      <c r="AI1480" s="17"/>
      <c r="AJ1480" s="17"/>
      <c r="AK1480" s="17"/>
      <c r="AL1480" s="17"/>
      <c r="AM1480" s="17"/>
      <c r="AN1480" s="18"/>
    </row>
    <row r="1481" ht="13.55" customHeight="1">
      <c r="A1481" s="32"/>
      <c r="B1481" s="17"/>
      <c r="C1481" s="17"/>
      <c r="D1481" s="17"/>
      <c r="E1481" s="17"/>
      <c r="F1481" s="17"/>
      <c r="G1481" s="17"/>
      <c r="H1481" s="17"/>
      <c r="I1481" s="17"/>
      <c r="J1481" s="17"/>
      <c r="K1481" s="17"/>
      <c r="L1481" s="17"/>
      <c r="M1481" s="17"/>
      <c r="N1481" s="17"/>
      <c r="O1481" s="17"/>
      <c r="P1481" s="17"/>
      <c r="Q1481" s="17"/>
      <c r="R1481" s="17"/>
      <c r="S1481" s="17"/>
      <c r="T1481" s="17"/>
      <c r="U1481" s="17"/>
      <c r="V1481" s="17"/>
      <c r="W1481" s="17"/>
      <c r="X1481" s="17"/>
      <c r="Y1481" s="17"/>
      <c r="Z1481" s="17"/>
      <c r="AA1481" s="17"/>
      <c r="AB1481" s="17"/>
      <c r="AC1481" s="17"/>
      <c r="AD1481" s="17"/>
      <c r="AE1481" s="17"/>
      <c r="AF1481" s="17"/>
      <c r="AG1481" s="17"/>
      <c r="AH1481" s="17"/>
      <c r="AI1481" s="17"/>
      <c r="AJ1481" s="17"/>
      <c r="AK1481" s="17"/>
      <c r="AL1481" s="17"/>
      <c r="AM1481" s="17"/>
      <c r="AN1481" s="18"/>
    </row>
    <row r="1482" ht="13.55" customHeight="1">
      <c r="A1482" s="32"/>
      <c r="B1482" s="17"/>
      <c r="C1482" s="17"/>
      <c r="D1482" s="17"/>
      <c r="E1482" s="17"/>
      <c r="F1482" s="17"/>
      <c r="G1482" s="17"/>
      <c r="H1482" s="17"/>
      <c r="I1482" s="17"/>
      <c r="J1482" s="17"/>
      <c r="K1482" s="17"/>
      <c r="L1482" s="17"/>
      <c r="M1482" s="17"/>
      <c r="N1482" s="17"/>
      <c r="O1482" s="17"/>
      <c r="P1482" s="17"/>
      <c r="Q1482" s="17"/>
      <c r="R1482" s="17"/>
      <c r="S1482" s="17"/>
      <c r="T1482" s="17"/>
      <c r="U1482" s="17"/>
      <c r="V1482" s="17"/>
      <c r="W1482" s="17"/>
      <c r="X1482" s="17"/>
      <c r="Y1482" s="17"/>
      <c r="Z1482" s="17"/>
      <c r="AA1482" s="17"/>
      <c r="AB1482" s="17"/>
      <c r="AC1482" s="17"/>
      <c r="AD1482" s="17"/>
      <c r="AE1482" s="17"/>
      <c r="AF1482" s="17"/>
      <c r="AG1482" s="17"/>
      <c r="AH1482" s="17"/>
      <c r="AI1482" s="17"/>
      <c r="AJ1482" s="17"/>
      <c r="AK1482" s="17"/>
      <c r="AL1482" s="17"/>
      <c r="AM1482" s="17"/>
      <c r="AN1482" s="18"/>
    </row>
    <row r="1483" ht="13.55" customHeight="1">
      <c r="A1483" s="32"/>
      <c r="B1483" s="17"/>
      <c r="C1483" s="17"/>
      <c r="D1483" s="17"/>
      <c r="E1483" s="17"/>
      <c r="F1483" s="17"/>
      <c r="G1483" s="17"/>
      <c r="H1483" s="17"/>
      <c r="I1483" s="17"/>
      <c r="J1483" s="17"/>
      <c r="K1483" s="17"/>
      <c r="L1483" s="17"/>
      <c r="M1483" s="17"/>
      <c r="N1483" s="17"/>
      <c r="O1483" s="17"/>
      <c r="P1483" s="17"/>
      <c r="Q1483" s="17"/>
      <c r="R1483" s="17"/>
      <c r="S1483" s="17"/>
      <c r="T1483" s="17"/>
      <c r="U1483" s="17"/>
      <c r="V1483" s="17"/>
      <c r="W1483" s="17"/>
      <c r="X1483" s="17"/>
      <c r="Y1483" s="17"/>
      <c r="Z1483" s="17"/>
      <c r="AA1483" s="17"/>
      <c r="AB1483" s="17"/>
      <c r="AC1483" s="17"/>
      <c r="AD1483" s="17"/>
      <c r="AE1483" s="17"/>
      <c r="AF1483" s="17"/>
      <c r="AG1483" s="17"/>
      <c r="AH1483" s="17"/>
      <c r="AI1483" s="17"/>
      <c r="AJ1483" s="17"/>
      <c r="AK1483" s="17"/>
      <c r="AL1483" s="17"/>
      <c r="AM1483" s="17"/>
      <c r="AN1483" s="18"/>
    </row>
    <row r="1484" ht="13.55" customHeight="1">
      <c r="A1484" s="32"/>
      <c r="B1484" s="17"/>
      <c r="C1484" s="17"/>
      <c r="D1484" s="17"/>
      <c r="E1484" s="17"/>
      <c r="F1484" s="17"/>
      <c r="G1484" s="17"/>
      <c r="H1484" s="17"/>
      <c r="I1484" s="17"/>
      <c r="J1484" s="17"/>
      <c r="K1484" s="17"/>
      <c r="L1484" s="17"/>
      <c r="M1484" s="17"/>
      <c r="N1484" s="17"/>
      <c r="O1484" s="17"/>
      <c r="P1484" s="17"/>
      <c r="Q1484" s="17"/>
      <c r="R1484" s="17"/>
      <c r="S1484" s="17"/>
      <c r="T1484" s="17"/>
      <c r="U1484" s="17"/>
      <c r="V1484" s="17"/>
      <c r="W1484" s="17"/>
      <c r="X1484" s="17"/>
      <c r="Y1484" s="17"/>
      <c r="Z1484" s="17"/>
      <c r="AA1484" s="17"/>
      <c r="AB1484" s="17"/>
      <c r="AC1484" s="17"/>
      <c r="AD1484" s="17"/>
      <c r="AE1484" s="17"/>
      <c r="AF1484" s="17"/>
      <c r="AG1484" s="17"/>
      <c r="AH1484" s="17"/>
      <c r="AI1484" s="17"/>
      <c r="AJ1484" s="17"/>
      <c r="AK1484" s="17"/>
      <c r="AL1484" s="17"/>
      <c r="AM1484" s="17"/>
      <c r="AN1484" s="18"/>
    </row>
    <row r="1485" ht="13.55" customHeight="1">
      <c r="A1485" s="32"/>
      <c r="B1485" s="17"/>
      <c r="C1485" s="17"/>
      <c r="D1485" s="17"/>
      <c r="E1485" s="17"/>
      <c r="F1485" s="17"/>
      <c r="G1485" s="17"/>
      <c r="H1485" s="17"/>
      <c r="I1485" s="17"/>
      <c r="J1485" s="17"/>
      <c r="K1485" s="17"/>
      <c r="L1485" s="17"/>
      <c r="M1485" s="17"/>
      <c r="N1485" s="17"/>
      <c r="O1485" s="17"/>
      <c r="P1485" s="17"/>
      <c r="Q1485" s="17"/>
      <c r="R1485" s="17"/>
      <c r="S1485" s="17"/>
      <c r="T1485" s="17"/>
      <c r="U1485" s="17"/>
      <c r="V1485" s="17"/>
      <c r="W1485" s="17"/>
      <c r="X1485" s="17"/>
      <c r="Y1485" s="17"/>
      <c r="Z1485" s="17"/>
      <c r="AA1485" s="17"/>
      <c r="AB1485" s="17"/>
      <c r="AC1485" s="17"/>
      <c r="AD1485" s="17"/>
      <c r="AE1485" s="17"/>
      <c r="AF1485" s="17"/>
      <c r="AG1485" s="17"/>
      <c r="AH1485" s="17"/>
      <c r="AI1485" s="17"/>
      <c r="AJ1485" s="17"/>
      <c r="AK1485" s="17"/>
      <c r="AL1485" s="17"/>
      <c r="AM1485" s="17"/>
      <c r="AN1485" s="18"/>
    </row>
    <row r="1486" ht="13.55" customHeight="1">
      <c r="A1486" s="32"/>
      <c r="B1486" s="17"/>
      <c r="C1486" s="17"/>
      <c r="D1486" s="17"/>
      <c r="E1486" s="17"/>
      <c r="F1486" s="17"/>
      <c r="G1486" s="17"/>
      <c r="H1486" s="17"/>
      <c r="I1486" s="17"/>
      <c r="J1486" s="17"/>
      <c r="K1486" s="17"/>
      <c r="L1486" s="17"/>
      <c r="M1486" s="17"/>
      <c r="N1486" s="17"/>
      <c r="O1486" s="17"/>
      <c r="P1486" s="17"/>
      <c r="Q1486" s="17"/>
      <c r="R1486" s="17"/>
      <c r="S1486" s="17"/>
      <c r="T1486" s="17"/>
      <c r="U1486" s="17"/>
      <c r="V1486" s="17"/>
      <c r="W1486" s="17"/>
      <c r="X1486" s="17"/>
      <c r="Y1486" s="17"/>
      <c r="Z1486" s="17"/>
      <c r="AA1486" s="17"/>
      <c r="AB1486" s="17"/>
      <c r="AC1486" s="17"/>
      <c r="AD1486" s="17"/>
      <c r="AE1486" s="17"/>
      <c r="AF1486" s="17"/>
      <c r="AG1486" s="17"/>
      <c r="AH1486" s="17"/>
      <c r="AI1486" s="17"/>
      <c r="AJ1486" s="17"/>
      <c r="AK1486" s="17"/>
      <c r="AL1486" s="17"/>
      <c r="AM1486" s="17"/>
      <c r="AN1486" s="18"/>
    </row>
    <row r="1487" ht="13.55" customHeight="1">
      <c r="A1487" s="32"/>
      <c r="B1487" s="17"/>
      <c r="C1487" s="17"/>
      <c r="D1487" s="17"/>
      <c r="E1487" s="17"/>
      <c r="F1487" s="17"/>
      <c r="G1487" s="17"/>
      <c r="H1487" s="17"/>
      <c r="I1487" s="17"/>
      <c r="J1487" s="17"/>
      <c r="K1487" s="17"/>
      <c r="L1487" s="17"/>
      <c r="M1487" s="17"/>
      <c r="N1487" s="17"/>
      <c r="O1487" s="17"/>
      <c r="P1487" s="17"/>
      <c r="Q1487" s="17"/>
      <c r="R1487" s="17"/>
      <c r="S1487" s="17"/>
      <c r="T1487" s="17"/>
      <c r="U1487" s="17"/>
      <c r="V1487" s="17"/>
      <c r="W1487" s="17"/>
      <c r="X1487" s="17"/>
      <c r="Y1487" s="17"/>
      <c r="Z1487" s="17"/>
      <c r="AA1487" s="17"/>
      <c r="AB1487" s="17"/>
      <c r="AC1487" s="17"/>
      <c r="AD1487" s="17"/>
      <c r="AE1487" s="17"/>
      <c r="AF1487" s="17"/>
      <c r="AG1487" s="17"/>
      <c r="AH1487" s="17"/>
      <c r="AI1487" s="17"/>
      <c r="AJ1487" s="17"/>
      <c r="AK1487" s="17"/>
      <c r="AL1487" s="17"/>
      <c r="AM1487" s="17"/>
      <c r="AN1487" s="18"/>
    </row>
    <row r="1488" ht="13.55" customHeight="1">
      <c r="A1488" s="32"/>
      <c r="B1488" s="17"/>
      <c r="C1488" s="17"/>
      <c r="D1488" s="17"/>
      <c r="E1488" s="17"/>
      <c r="F1488" s="17"/>
      <c r="G1488" s="17"/>
      <c r="H1488" s="17"/>
      <c r="I1488" s="17"/>
      <c r="J1488" s="17"/>
      <c r="K1488" s="17"/>
      <c r="L1488" s="17"/>
      <c r="M1488" s="17"/>
      <c r="N1488" s="17"/>
      <c r="O1488" s="17"/>
      <c r="P1488" s="17"/>
      <c r="Q1488" s="17"/>
      <c r="R1488" s="17"/>
      <c r="S1488" s="17"/>
      <c r="T1488" s="17"/>
      <c r="U1488" s="17"/>
      <c r="V1488" s="17"/>
      <c r="W1488" s="17"/>
      <c r="X1488" s="17"/>
      <c r="Y1488" s="17"/>
      <c r="Z1488" s="17"/>
      <c r="AA1488" s="17"/>
      <c r="AB1488" s="17"/>
      <c r="AC1488" s="17"/>
      <c r="AD1488" s="17"/>
      <c r="AE1488" s="17"/>
      <c r="AF1488" s="17"/>
      <c r="AG1488" s="17"/>
      <c r="AH1488" s="17"/>
      <c r="AI1488" s="17"/>
      <c r="AJ1488" s="17"/>
      <c r="AK1488" s="17"/>
      <c r="AL1488" s="17"/>
      <c r="AM1488" s="17"/>
      <c r="AN1488" s="18"/>
    </row>
    <row r="1489" ht="13.55" customHeight="1">
      <c r="A1489" s="32"/>
      <c r="B1489" s="17"/>
      <c r="C1489" s="17"/>
      <c r="D1489" s="17"/>
      <c r="E1489" s="17"/>
      <c r="F1489" s="17"/>
      <c r="G1489" s="17"/>
      <c r="H1489" s="17"/>
      <c r="I1489" s="17"/>
      <c r="J1489" s="17"/>
      <c r="K1489" s="17"/>
      <c r="L1489" s="17"/>
      <c r="M1489" s="17"/>
      <c r="N1489" s="17"/>
      <c r="O1489" s="17"/>
      <c r="P1489" s="17"/>
      <c r="Q1489" s="17"/>
      <c r="R1489" s="17"/>
      <c r="S1489" s="17"/>
      <c r="T1489" s="17"/>
      <c r="U1489" s="17"/>
      <c r="V1489" s="17"/>
      <c r="W1489" s="17"/>
      <c r="X1489" s="17"/>
      <c r="Y1489" s="17"/>
      <c r="Z1489" s="17"/>
      <c r="AA1489" s="17"/>
      <c r="AB1489" s="17"/>
      <c r="AC1489" s="17"/>
      <c r="AD1489" s="17"/>
      <c r="AE1489" s="17"/>
      <c r="AF1489" s="17"/>
      <c r="AG1489" s="17"/>
      <c r="AH1489" s="17"/>
      <c r="AI1489" s="17"/>
      <c r="AJ1489" s="17"/>
      <c r="AK1489" s="17"/>
      <c r="AL1489" s="17"/>
      <c r="AM1489" s="17"/>
      <c r="AN1489" s="18"/>
    </row>
    <row r="1490" ht="13.55" customHeight="1">
      <c r="A1490" s="32"/>
      <c r="B1490" s="17"/>
      <c r="C1490" s="17"/>
      <c r="D1490" s="17"/>
      <c r="E1490" s="17"/>
      <c r="F1490" s="17"/>
      <c r="G1490" s="17"/>
      <c r="H1490" s="17"/>
      <c r="I1490" s="17"/>
      <c r="J1490" s="17"/>
      <c r="K1490" s="17"/>
      <c r="L1490" s="17"/>
      <c r="M1490" s="17"/>
      <c r="N1490" s="17"/>
      <c r="O1490" s="17"/>
      <c r="P1490" s="17"/>
      <c r="Q1490" s="17"/>
      <c r="R1490" s="17"/>
      <c r="S1490" s="17"/>
      <c r="T1490" s="17"/>
      <c r="U1490" s="17"/>
      <c r="V1490" s="17"/>
      <c r="W1490" s="17"/>
      <c r="X1490" s="17"/>
      <c r="Y1490" s="17"/>
      <c r="Z1490" s="17"/>
      <c r="AA1490" s="17"/>
      <c r="AB1490" s="17"/>
      <c r="AC1490" s="17"/>
      <c r="AD1490" s="17"/>
      <c r="AE1490" s="17"/>
      <c r="AF1490" s="17"/>
      <c r="AG1490" s="17"/>
      <c r="AH1490" s="17"/>
      <c r="AI1490" s="17"/>
      <c r="AJ1490" s="17"/>
      <c r="AK1490" s="17"/>
      <c r="AL1490" s="17"/>
      <c r="AM1490" s="17"/>
      <c r="AN1490" s="18"/>
    </row>
    <row r="1491" ht="13.55" customHeight="1">
      <c r="A1491" s="32"/>
      <c r="B1491" s="17"/>
      <c r="C1491" s="17"/>
      <c r="D1491" s="17"/>
      <c r="E1491" s="17"/>
      <c r="F1491" s="17"/>
      <c r="G1491" s="17"/>
      <c r="H1491" s="17"/>
      <c r="I1491" s="17"/>
      <c r="J1491" s="17"/>
      <c r="K1491" s="17"/>
      <c r="L1491" s="17"/>
      <c r="M1491" s="17"/>
      <c r="N1491" s="17"/>
      <c r="O1491" s="17"/>
      <c r="P1491" s="17"/>
      <c r="Q1491" s="17"/>
      <c r="R1491" s="17"/>
      <c r="S1491" s="17"/>
      <c r="T1491" s="17"/>
      <c r="U1491" s="17"/>
      <c r="V1491" s="17"/>
      <c r="W1491" s="17"/>
      <c r="X1491" s="17"/>
      <c r="Y1491" s="17"/>
      <c r="Z1491" s="17"/>
      <c r="AA1491" s="17"/>
      <c r="AB1491" s="17"/>
      <c r="AC1491" s="17"/>
      <c r="AD1491" s="17"/>
      <c r="AE1491" s="17"/>
      <c r="AF1491" s="17"/>
      <c r="AG1491" s="17"/>
      <c r="AH1491" s="17"/>
      <c r="AI1491" s="17"/>
      <c r="AJ1491" s="17"/>
      <c r="AK1491" s="17"/>
      <c r="AL1491" s="17"/>
      <c r="AM1491" s="17"/>
      <c r="AN1491" s="18"/>
    </row>
    <row r="1492" ht="13.55" customHeight="1">
      <c r="A1492" s="32"/>
      <c r="B1492" s="17"/>
      <c r="C1492" s="17"/>
      <c r="D1492" s="17"/>
      <c r="E1492" s="17"/>
      <c r="F1492" s="17"/>
      <c r="G1492" s="17"/>
      <c r="H1492" s="17"/>
      <c r="I1492" s="17"/>
      <c r="J1492" s="17"/>
      <c r="K1492" s="17"/>
      <c r="L1492" s="17"/>
      <c r="M1492" s="17"/>
      <c r="N1492" s="17"/>
      <c r="O1492" s="17"/>
      <c r="P1492" s="17"/>
      <c r="Q1492" s="17"/>
      <c r="R1492" s="17"/>
      <c r="S1492" s="17"/>
      <c r="T1492" s="17"/>
      <c r="U1492" s="17"/>
      <c r="V1492" s="17"/>
      <c r="W1492" s="17"/>
      <c r="X1492" s="17"/>
      <c r="Y1492" s="17"/>
      <c r="Z1492" s="17"/>
      <c r="AA1492" s="17"/>
      <c r="AB1492" s="17"/>
      <c r="AC1492" s="17"/>
      <c r="AD1492" s="17"/>
      <c r="AE1492" s="17"/>
      <c r="AF1492" s="17"/>
      <c r="AG1492" s="17"/>
      <c r="AH1492" s="17"/>
      <c r="AI1492" s="17"/>
      <c r="AJ1492" s="17"/>
      <c r="AK1492" s="17"/>
      <c r="AL1492" s="17"/>
      <c r="AM1492" s="17"/>
      <c r="AN1492" s="18"/>
    </row>
    <row r="1493" ht="13.55" customHeight="1">
      <c r="A1493" s="32"/>
      <c r="B1493" s="17"/>
      <c r="C1493" s="17"/>
      <c r="D1493" s="17"/>
      <c r="E1493" s="17"/>
      <c r="F1493" s="17"/>
      <c r="G1493" s="17"/>
      <c r="H1493" s="17"/>
      <c r="I1493" s="17"/>
      <c r="J1493" s="17"/>
      <c r="K1493" s="17"/>
      <c r="L1493" s="17"/>
      <c r="M1493" s="17"/>
      <c r="N1493" s="17"/>
      <c r="O1493" s="17"/>
      <c r="P1493" s="17"/>
      <c r="Q1493" s="17"/>
      <c r="R1493" s="17"/>
      <c r="S1493" s="17"/>
      <c r="T1493" s="17"/>
      <c r="U1493" s="17"/>
      <c r="V1493" s="17"/>
      <c r="W1493" s="17"/>
      <c r="X1493" s="17"/>
      <c r="Y1493" s="17"/>
      <c r="Z1493" s="17"/>
      <c r="AA1493" s="17"/>
      <c r="AB1493" s="17"/>
      <c r="AC1493" s="17"/>
      <c r="AD1493" s="17"/>
      <c r="AE1493" s="17"/>
      <c r="AF1493" s="17"/>
      <c r="AG1493" s="17"/>
      <c r="AH1493" s="17"/>
      <c r="AI1493" s="17"/>
      <c r="AJ1493" s="17"/>
      <c r="AK1493" s="17"/>
      <c r="AL1493" s="17"/>
      <c r="AM1493" s="17"/>
      <c r="AN1493" s="18"/>
    </row>
    <row r="1494" ht="13.55" customHeight="1">
      <c r="A1494" s="32"/>
      <c r="B1494" s="17"/>
      <c r="C1494" s="17"/>
      <c r="D1494" s="17"/>
      <c r="E1494" s="17"/>
      <c r="F1494" s="17"/>
      <c r="G1494" s="17"/>
      <c r="H1494" s="17"/>
      <c r="I1494" s="17"/>
      <c r="J1494" s="17"/>
      <c r="K1494" s="17"/>
      <c r="L1494" s="17"/>
      <c r="M1494" s="17"/>
      <c r="N1494" s="17"/>
      <c r="O1494" s="17"/>
      <c r="P1494" s="17"/>
      <c r="Q1494" s="17"/>
      <c r="R1494" s="17"/>
      <c r="S1494" s="17"/>
      <c r="T1494" s="17"/>
      <c r="U1494" s="17"/>
      <c r="V1494" s="17"/>
      <c r="W1494" s="17"/>
      <c r="X1494" s="17"/>
      <c r="Y1494" s="17"/>
      <c r="Z1494" s="17"/>
      <c r="AA1494" s="17"/>
      <c r="AB1494" s="17"/>
      <c r="AC1494" s="17"/>
      <c r="AD1494" s="17"/>
      <c r="AE1494" s="17"/>
      <c r="AF1494" s="17"/>
      <c r="AG1494" s="17"/>
      <c r="AH1494" s="17"/>
      <c r="AI1494" s="17"/>
      <c r="AJ1494" s="17"/>
      <c r="AK1494" s="17"/>
      <c r="AL1494" s="17"/>
      <c r="AM1494" s="17"/>
      <c r="AN1494" s="18"/>
    </row>
    <row r="1495" ht="13.55" customHeight="1">
      <c r="A1495" s="32"/>
      <c r="B1495" s="17"/>
      <c r="C1495" s="17"/>
      <c r="D1495" s="17"/>
      <c r="E1495" s="17"/>
      <c r="F1495" s="17"/>
      <c r="G1495" s="17"/>
      <c r="H1495" s="17"/>
      <c r="I1495" s="17"/>
      <c r="J1495" s="17"/>
      <c r="K1495" s="17"/>
      <c r="L1495" s="17"/>
      <c r="M1495" s="17"/>
      <c r="N1495" s="17"/>
      <c r="O1495" s="17"/>
      <c r="P1495" s="17"/>
      <c r="Q1495" s="17"/>
      <c r="R1495" s="17"/>
      <c r="S1495" s="17"/>
      <c r="T1495" s="17"/>
      <c r="U1495" s="17"/>
      <c r="V1495" s="17"/>
      <c r="W1495" s="17"/>
      <c r="X1495" s="17"/>
      <c r="Y1495" s="17"/>
      <c r="Z1495" s="17"/>
      <c r="AA1495" s="17"/>
      <c r="AB1495" s="17"/>
      <c r="AC1495" s="17"/>
      <c r="AD1495" s="17"/>
      <c r="AE1495" s="17"/>
      <c r="AF1495" s="17"/>
      <c r="AG1495" s="17"/>
      <c r="AH1495" s="17"/>
      <c r="AI1495" s="17"/>
      <c r="AJ1495" s="17"/>
      <c r="AK1495" s="17"/>
      <c r="AL1495" s="17"/>
      <c r="AM1495" s="17"/>
      <c r="AN1495" s="18"/>
    </row>
    <row r="1496" ht="13.55" customHeight="1">
      <c r="A1496" s="32"/>
      <c r="B1496" s="17"/>
      <c r="C1496" s="17"/>
      <c r="D1496" s="17"/>
      <c r="E1496" s="17"/>
      <c r="F1496" s="17"/>
      <c r="G1496" s="17"/>
      <c r="H1496" s="17"/>
      <c r="I1496" s="17"/>
      <c r="J1496" s="17"/>
      <c r="K1496" s="17"/>
      <c r="L1496" s="17"/>
      <c r="M1496" s="17"/>
      <c r="N1496" s="17"/>
      <c r="O1496" s="17"/>
      <c r="P1496" s="17"/>
      <c r="Q1496" s="17"/>
      <c r="R1496" s="17"/>
      <c r="S1496" s="17"/>
      <c r="T1496" s="17"/>
      <c r="U1496" s="17"/>
      <c r="V1496" s="17"/>
      <c r="W1496" s="17"/>
      <c r="X1496" s="17"/>
      <c r="Y1496" s="17"/>
      <c r="Z1496" s="17"/>
      <c r="AA1496" s="17"/>
      <c r="AB1496" s="17"/>
      <c r="AC1496" s="17"/>
      <c r="AD1496" s="17"/>
      <c r="AE1496" s="17"/>
      <c r="AF1496" s="17"/>
      <c r="AG1496" s="17"/>
      <c r="AH1496" s="17"/>
      <c r="AI1496" s="17"/>
      <c r="AJ1496" s="17"/>
      <c r="AK1496" s="17"/>
      <c r="AL1496" s="17"/>
      <c r="AM1496" s="17"/>
      <c r="AN1496" s="18"/>
    </row>
    <row r="1497" ht="13.55" customHeight="1">
      <c r="A1497" s="32"/>
      <c r="B1497" s="17"/>
      <c r="C1497" s="17"/>
      <c r="D1497" s="17"/>
      <c r="E1497" s="17"/>
      <c r="F1497" s="17"/>
      <c r="G1497" s="17"/>
      <c r="H1497" s="17"/>
      <c r="I1497" s="17"/>
      <c r="J1497" s="17"/>
      <c r="K1497" s="17"/>
      <c r="L1497" s="17"/>
      <c r="M1497" s="17"/>
      <c r="N1497" s="17"/>
      <c r="O1497" s="17"/>
      <c r="P1497" s="17"/>
      <c r="Q1497" s="17"/>
      <c r="R1497" s="17"/>
      <c r="S1497" s="17"/>
      <c r="T1497" s="17"/>
      <c r="U1497" s="17"/>
      <c r="V1497" s="17"/>
      <c r="W1497" s="17"/>
      <c r="X1497" s="17"/>
      <c r="Y1497" s="17"/>
      <c r="Z1497" s="17"/>
      <c r="AA1497" s="17"/>
      <c r="AB1497" s="17"/>
      <c r="AC1497" s="17"/>
      <c r="AD1497" s="17"/>
      <c r="AE1497" s="17"/>
      <c r="AF1497" s="17"/>
      <c r="AG1497" s="17"/>
      <c r="AH1497" s="17"/>
      <c r="AI1497" s="17"/>
      <c r="AJ1497" s="17"/>
      <c r="AK1497" s="17"/>
      <c r="AL1497" s="17"/>
      <c r="AM1497" s="17"/>
      <c r="AN1497" s="18"/>
    </row>
    <row r="1498" ht="13.55" customHeight="1">
      <c r="A1498" s="32"/>
      <c r="B1498" s="17"/>
      <c r="C1498" s="17"/>
      <c r="D1498" s="17"/>
      <c r="E1498" s="17"/>
      <c r="F1498" s="17"/>
      <c r="G1498" s="17"/>
      <c r="H1498" s="17"/>
      <c r="I1498" s="17"/>
      <c r="J1498" s="17"/>
      <c r="K1498" s="17"/>
      <c r="L1498" s="17"/>
      <c r="M1498" s="17"/>
      <c r="N1498" s="17"/>
      <c r="O1498" s="17"/>
      <c r="P1498" s="17"/>
      <c r="Q1498" s="17"/>
      <c r="R1498" s="17"/>
      <c r="S1498" s="17"/>
      <c r="T1498" s="17"/>
      <c r="U1498" s="17"/>
      <c r="V1498" s="17"/>
      <c r="W1498" s="17"/>
      <c r="X1498" s="17"/>
      <c r="Y1498" s="17"/>
      <c r="Z1498" s="17"/>
      <c r="AA1498" s="17"/>
      <c r="AB1498" s="17"/>
      <c r="AC1498" s="17"/>
      <c r="AD1498" s="17"/>
      <c r="AE1498" s="17"/>
      <c r="AF1498" s="17"/>
      <c r="AG1498" s="17"/>
      <c r="AH1498" s="17"/>
      <c r="AI1498" s="17"/>
      <c r="AJ1498" s="17"/>
      <c r="AK1498" s="17"/>
      <c r="AL1498" s="17"/>
      <c r="AM1498" s="17"/>
      <c r="AN1498" s="18"/>
    </row>
    <row r="1499" ht="13.55" customHeight="1">
      <c r="A1499" s="32"/>
      <c r="B1499" s="17"/>
      <c r="C1499" s="17"/>
      <c r="D1499" s="17"/>
      <c r="E1499" s="17"/>
      <c r="F1499" s="17"/>
      <c r="G1499" s="17"/>
      <c r="H1499" s="17"/>
      <c r="I1499" s="17"/>
      <c r="J1499" s="17"/>
      <c r="K1499" s="17"/>
      <c r="L1499" s="17"/>
      <c r="M1499" s="17"/>
      <c r="N1499" s="17"/>
      <c r="O1499" s="17"/>
      <c r="P1499" s="17"/>
      <c r="Q1499" s="17"/>
      <c r="R1499" s="17"/>
      <c r="S1499" s="17"/>
      <c r="T1499" s="17"/>
      <c r="U1499" s="17"/>
      <c r="V1499" s="17"/>
      <c r="W1499" s="17"/>
      <c r="X1499" s="17"/>
      <c r="Y1499" s="17"/>
      <c r="Z1499" s="17"/>
      <c r="AA1499" s="17"/>
      <c r="AB1499" s="17"/>
      <c r="AC1499" s="17"/>
      <c r="AD1499" s="17"/>
      <c r="AE1499" s="17"/>
      <c r="AF1499" s="17"/>
      <c r="AG1499" s="17"/>
      <c r="AH1499" s="17"/>
      <c r="AI1499" s="17"/>
      <c r="AJ1499" s="17"/>
      <c r="AK1499" s="17"/>
      <c r="AL1499" s="17"/>
      <c r="AM1499" s="17"/>
      <c r="AN1499" s="18"/>
    </row>
    <row r="1500" ht="13.55" customHeight="1">
      <c r="A1500" s="32"/>
      <c r="B1500" s="17"/>
      <c r="C1500" s="17"/>
      <c r="D1500" s="17"/>
      <c r="E1500" s="17"/>
      <c r="F1500" s="17"/>
      <c r="G1500" s="17"/>
      <c r="H1500" s="17"/>
      <c r="I1500" s="17"/>
      <c r="J1500" s="17"/>
      <c r="K1500" s="17"/>
      <c r="L1500" s="17"/>
      <c r="M1500" s="17"/>
      <c r="N1500" s="17"/>
      <c r="O1500" s="17"/>
      <c r="P1500" s="17"/>
      <c r="Q1500" s="17"/>
      <c r="R1500" s="17"/>
      <c r="S1500" s="17"/>
      <c r="T1500" s="17"/>
      <c r="U1500" s="17"/>
      <c r="V1500" s="17"/>
      <c r="W1500" s="17"/>
      <c r="X1500" s="17"/>
      <c r="Y1500" s="17"/>
      <c r="Z1500" s="17"/>
      <c r="AA1500" s="17"/>
      <c r="AB1500" s="17"/>
      <c r="AC1500" s="17"/>
      <c r="AD1500" s="17"/>
      <c r="AE1500" s="17"/>
      <c r="AF1500" s="17"/>
      <c r="AG1500" s="17"/>
      <c r="AH1500" s="17"/>
      <c r="AI1500" s="17"/>
      <c r="AJ1500" s="17"/>
      <c r="AK1500" s="17"/>
      <c r="AL1500" s="17"/>
      <c r="AM1500" s="17"/>
      <c r="AN1500" s="18"/>
    </row>
    <row r="1501" ht="13.55" customHeight="1">
      <c r="A1501" s="192"/>
      <c r="B1501" s="193"/>
      <c r="C1501" s="193"/>
      <c r="D1501" s="193"/>
      <c r="E1501" s="193"/>
      <c r="F1501" s="193"/>
      <c r="G1501" s="193"/>
      <c r="H1501" s="193"/>
      <c r="I1501" s="193"/>
      <c r="J1501" s="193"/>
      <c r="K1501" s="193"/>
      <c r="L1501" s="193"/>
      <c r="M1501" s="193"/>
      <c r="N1501" s="193"/>
      <c r="O1501" s="193"/>
      <c r="P1501" s="193"/>
      <c r="Q1501" s="193"/>
      <c r="R1501" s="193"/>
      <c r="S1501" s="193"/>
      <c r="T1501" s="193"/>
      <c r="U1501" s="193"/>
      <c r="V1501" s="193"/>
      <c r="W1501" s="193"/>
      <c r="X1501" s="193"/>
      <c r="Y1501" s="193"/>
      <c r="Z1501" s="193"/>
      <c r="AA1501" s="193"/>
      <c r="AB1501" s="193"/>
      <c r="AC1501" s="193"/>
      <c r="AD1501" s="193"/>
      <c r="AE1501" s="193"/>
      <c r="AF1501" s="193"/>
      <c r="AG1501" s="193"/>
      <c r="AH1501" s="193"/>
      <c r="AI1501" s="193"/>
      <c r="AJ1501" s="193"/>
      <c r="AK1501" s="193"/>
      <c r="AL1501" s="193"/>
      <c r="AM1501" s="193"/>
      <c r="AN1501" s="195"/>
    </row>
  </sheetData>
  <mergeCells count="165">
    <mergeCell ref="C1261:Q1261"/>
    <mergeCell ref="S1261:U1261"/>
    <mergeCell ref="W1261:Z1261"/>
    <mergeCell ref="C1284:Q1284"/>
    <mergeCell ref="S1284:U1284"/>
    <mergeCell ref="W1284:Z1284"/>
    <mergeCell ref="C1307:Q1307"/>
    <mergeCell ref="S1307:U1307"/>
    <mergeCell ref="W1307:Z1307"/>
    <mergeCell ref="C695:Q695"/>
    <mergeCell ref="S695:U695"/>
    <mergeCell ref="W695:Z695"/>
    <mergeCell ref="C603:Q603"/>
    <mergeCell ref="S603:U603"/>
    <mergeCell ref="W603:Z603"/>
    <mergeCell ref="C672:Q672"/>
    <mergeCell ref="S672:U672"/>
    <mergeCell ref="W672:Z672"/>
    <mergeCell ref="C626:Q626"/>
    <mergeCell ref="S626:U626"/>
    <mergeCell ref="W626:Z626"/>
    <mergeCell ref="C649:Q649"/>
    <mergeCell ref="S649:U649"/>
    <mergeCell ref="W649:Z649"/>
    <mergeCell ref="C580:Q580"/>
    <mergeCell ref="S580:U580"/>
    <mergeCell ref="W580:Z580"/>
    <mergeCell ref="C488:Q488"/>
    <mergeCell ref="S488:U488"/>
    <mergeCell ref="W488:Z488"/>
    <mergeCell ref="C511:Q511"/>
    <mergeCell ref="S511:U511"/>
    <mergeCell ref="W511:Z511"/>
    <mergeCell ref="C534:Q534"/>
    <mergeCell ref="S534:U534"/>
    <mergeCell ref="W534:Z534"/>
    <mergeCell ref="S557:U557"/>
    <mergeCell ref="W557:Z557"/>
    <mergeCell ref="C373:Q373"/>
    <mergeCell ref="S373:U373"/>
    <mergeCell ref="W373:Z373"/>
    <mergeCell ref="C396:Q396"/>
    <mergeCell ref="S396:U396"/>
    <mergeCell ref="W396:Z396"/>
    <mergeCell ref="C557:Q557"/>
    <mergeCell ref="C419:Q419"/>
    <mergeCell ref="S419:U419"/>
    <mergeCell ref="W419:Z419"/>
    <mergeCell ref="C442:Q442"/>
    <mergeCell ref="S442:U442"/>
    <mergeCell ref="W442:Z442"/>
    <mergeCell ref="C465:Q465"/>
    <mergeCell ref="S465:U465"/>
    <mergeCell ref="W465:Z465"/>
    <mergeCell ref="C304:Q304"/>
    <mergeCell ref="S304:U304"/>
    <mergeCell ref="W304:Z304"/>
    <mergeCell ref="C327:Q327"/>
    <mergeCell ref="S327:U327"/>
    <mergeCell ref="W327:Z327"/>
    <mergeCell ref="C350:Q350"/>
    <mergeCell ref="S350:U350"/>
    <mergeCell ref="W350:Z350"/>
    <mergeCell ref="C235:Q235"/>
    <mergeCell ref="S235:U235"/>
    <mergeCell ref="W235:Z235"/>
    <mergeCell ref="C258:Q258"/>
    <mergeCell ref="S258:U258"/>
    <mergeCell ref="W258:Z258"/>
    <mergeCell ref="C281:Q281"/>
    <mergeCell ref="S281:U281"/>
    <mergeCell ref="W281:Z281"/>
    <mergeCell ref="C166:Q166"/>
    <mergeCell ref="S166:U166"/>
    <mergeCell ref="W166:Z166"/>
    <mergeCell ref="C189:Q189"/>
    <mergeCell ref="S189:U189"/>
    <mergeCell ref="W189:Z189"/>
    <mergeCell ref="C212:Q212"/>
    <mergeCell ref="S212:U212"/>
    <mergeCell ref="W212:Z212"/>
    <mergeCell ref="C95:Q95"/>
    <mergeCell ref="C118:Q118"/>
    <mergeCell ref="S95:U95"/>
    <mergeCell ref="W95:Z95"/>
    <mergeCell ref="S118:U118"/>
    <mergeCell ref="W118:Z118"/>
    <mergeCell ref="C143:Q143"/>
    <mergeCell ref="S143:U143"/>
    <mergeCell ref="W143:Z143"/>
    <mergeCell ref="C3:Q3"/>
    <mergeCell ref="S3:U3"/>
    <mergeCell ref="W3:Z3"/>
    <mergeCell ref="S72:U72"/>
    <mergeCell ref="W72:Z72"/>
    <mergeCell ref="C72:Q72"/>
    <mergeCell ref="C26:Q26"/>
    <mergeCell ref="S26:U26"/>
    <mergeCell ref="W26:Z26"/>
    <mergeCell ref="S49:U49"/>
    <mergeCell ref="W49:Z49"/>
    <mergeCell ref="C49:Q49"/>
    <mergeCell ref="C718:Q718"/>
    <mergeCell ref="S718:U718"/>
    <mergeCell ref="W718:Z718"/>
    <mergeCell ref="C914:Q914"/>
    <mergeCell ref="S914:U914"/>
    <mergeCell ref="W914:Z914"/>
    <mergeCell ref="C815:Q815"/>
    <mergeCell ref="S815:U815"/>
    <mergeCell ref="W815:Z815"/>
    <mergeCell ref="C840:Q840"/>
    <mergeCell ref="S840:U840"/>
    <mergeCell ref="W840:Z840"/>
    <mergeCell ref="C891:Q891"/>
    <mergeCell ref="S891:U891"/>
    <mergeCell ref="W891:Z891"/>
    <mergeCell ref="C764:Q764"/>
    <mergeCell ref="S764:U764"/>
    <mergeCell ref="W764:Z764"/>
    <mergeCell ref="C741:Q741"/>
    <mergeCell ref="S741:U741"/>
    <mergeCell ref="W741:Z741"/>
    <mergeCell ref="C983:Q983"/>
    <mergeCell ref="S983:U983"/>
    <mergeCell ref="W983:Z983"/>
    <mergeCell ref="C960:Q960"/>
    <mergeCell ref="S960:U960"/>
    <mergeCell ref="W960:Z960"/>
    <mergeCell ref="C937:Q937"/>
    <mergeCell ref="S937:U937"/>
    <mergeCell ref="W937:Z937"/>
    <mergeCell ref="C1167:Q1167"/>
    <mergeCell ref="S1167:U1167"/>
    <mergeCell ref="W1167:Z1167"/>
    <mergeCell ref="C1006:Q1006"/>
    <mergeCell ref="S1006:U1006"/>
    <mergeCell ref="W1006:Z1006"/>
    <mergeCell ref="C1029:Q1029"/>
    <mergeCell ref="S1029:U1029"/>
    <mergeCell ref="W1029:Z1029"/>
    <mergeCell ref="C1052:Q1052"/>
    <mergeCell ref="S1052:U1052"/>
    <mergeCell ref="W1052:Z1052"/>
    <mergeCell ref="C1144:Q1144"/>
    <mergeCell ref="S1144:U1144"/>
    <mergeCell ref="W1144:Z1144"/>
    <mergeCell ref="C1075:Q1075"/>
    <mergeCell ref="S1075:U1075"/>
    <mergeCell ref="W1075:Z1075"/>
    <mergeCell ref="C1098:Q1098"/>
    <mergeCell ref="S1098:U1098"/>
    <mergeCell ref="W1098:Z1098"/>
    <mergeCell ref="C1121:Q1121"/>
    <mergeCell ref="S1121:U1121"/>
    <mergeCell ref="W1121:Z1121"/>
    <mergeCell ref="C1213:Q1213"/>
    <mergeCell ref="S1213:U1213"/>
    <mergeCell ref="W1213:Z1213"/>
    <mergeCell ref="C1237:Q1237"/>
    <mergeCell ref="S1237:U1237"/>
    <mergeCell ref="W1237:Z1237"/>
    <mergeCell ref="C1190:Q1190"/>
    <mergeCell ref="S1190:U1190"/>
    <mergeCell ref="W1190:Z1190"/>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6.xml><?xml version="1.0" encoding="utf-8"?>
<worksheet xmlns:r="http://schemas.openxmlformats.org/officeDocument/2006/relationships" xmlns="http://schemas.openxmlformats.org/spreadsheetml/2006/main">
  <dimension ref="A1:AR436"/>
  <sheetViews>
    <sheetView workbookViewId="0" showGridLines="0" defaultGridColor="1"/>
  </sheetViews>
  <sheetFormatPr defaultColWidth="8.83333" defaultRowHeight="15" customHeight="1" outlineLevelRow="0" outlineLevelCol="0"/>
  <cols>
    <col min="1" max="1" width="3.5" style="514" customWidth="1"/>
    <col min="2" max="2" width="9.5" style="514" customWidth="1"/>
    <col min="3" max="3" width="14" style="514" customWidth="1"/>
    <col min="4" max="4" width="8.85156" style="514" customWidth="1"/>
    <col min="5" max="5" width="14" style="514" customWidth="1"/>
    <col min="6" max="6" width="12.1719" style="514" customWidth="1"/>
    <col min="7" max="7" width="11.8516" style="514" customWidth="1"/>
    <col min="8" max="8" width="13.5" style="514" customWidth="1"/>
    <col min="9" max="9" width="13.1719" style="514" customWidth="1"/>
    <col min="10" max="10" width="11.8516" style="514" customWidth="1"/>
    <col min="11" max="11" width="11.6719" style="514" customWidth="1"/>
    <col min="12" max="12" width="10.8516" style="514" customWidth="1"/>
    <col min="13" max="13" width="12.1719" style="514" customWidth="1"/>
    <col min="14" max="14" width="13.5" style="514" customWidth="1"/>
    <col min="15" max="15" width="13.1719" style="514" customWidth="1"/>
    <col min="16" max="16" width="16.3516" style="514" customWidth="1"/>
    <col min="17" max="17" width="13.8516" style="514" customWidth="1"/>
    <col min="18" max="18" width="13.1719" style="514" customWidth="1"/>
    <col min="19" max="19" width="14.6719" style="514" customWidth="1"/>
    <col min="20" max="20" width="1.5" style="514" customWidth="1"/>
    <col min="21" max="21" width="14.5" style="514" customWidth="1"/>
    <col min="22" max="22" width="16.1719" style="514" customWidth="1"/>
    <col min="23" max="23" width="18.1719" style="514" customWidth="1"/>
    <col min="24" max="24" width="19.8516" style="514" customWidth="1"/>
    <col min="25" max="25" width="14" style="514" customWidth="1"/>
    <col min="26" max="26" width="1.85156" style="514" customWidth="1"/>
    <col min="27" max="27" width="14.5" style="514" customWidth="1"/>
    <col min="28" max="28" width="11.8516" style="514" customWidth="1"/>
    <col min="29" max="29" width="14.1719" style="514" customWidth="1"/>
    <col min="30" max="30" width="16.6719" style="514" customWidth="1"/>
    <col min="31" max="31" width="14.8516" style="514" customWidth="1"/>
    <col min="32" max="32" width="1.85156" style="514" customWidth="1"/>
    <col min="33" max="33" width="24" style="514" customWidth="1"/>
    <col min="34" max="34" width="1.67188" style="514" customWidth="1"/>
    <col min="35" max="35" width="21.8516" style="514" customWidth="1"/>
    <col min="36" max="36" width="1.67188" style="514" customWidth="1"/>
    <col min="37" max="37" width="20.1719" style="514" customWidth="1"/>
    <col min="38" max="38" width="1.85156" style="514" customWidth="1"/>
    <col min="39" max="39" width="25.8516" style="514" customWidth="1"/>
    <col min="40" max="42" width="20.5" style="514" customWidth="1"/>
    <col min="43" max="44" width="8.85156" style="514" customWidth="1"/>
    <col min="45" max="16384" width="8.85156" style="514" customWidth="1"/>
  </cols>
  <sheetData>
    <row r="1" ht="15.5" customHeight="1">
      <c r="A1" s="7"/>
      <c r="B1" s="8"/>
      <c r="C1" s="8"/>
      <c r="D1" s="8"/>
      <c r="E1" s="8"/>
      <c r="F1" s="8"/>
      <c r="G1" s="8"/>
      <c r="H1" s="8"/>
      <c r="I1" s="8"/>
      <c r="J1" s="8"/>
      <c r="K1" s="8"/>
      <c r="L1" s="8"/>
      <c r="M1" s="8"/>
      <c r="N1" s="8"/>
      <c r="O1" s="8"/>
      <c r="P1" s="515"/>
      <c r="Q1" s="8"/>
      <c r="R1" s="516"/>
      <c r="S1" s="516"/>
      <c r="T1" s="8"/>
      <c r="U1" s="8"/>
      <c r="V1" s="8"/>
      <c r="W1" s="8"/>
      <c r="X1" s="8"/>
      <c r="Y1" s="8"/>
      <c r="Z1" s="8"/>
      <c r="AA1" s="8"/>
      <c r="AB1" s="8"/>
      <c r="AC1" s="8"/>
      <c r="AD1" s="8"/>
      <c r="AE1" s="8"/>
      <c r="AF1" s="8"/>
      <c r="AG1" s="8"/>
      <c r="AH1" s="8"/>
      <c r="AI1" s="8"/>
      <c r="AJ1" s="8"/>
      <c r="AK1" s="8"/>
      <c r="AL1" s="8"/>
      <c r="AM1" s="8"/>
      <c r="AN1" s="8"/>
      <c r="AO1" s="8"/>
      <c r="AP1" s="8"/>
      <c r="AQ1" s="9"/>
      <c r="AR1" s="11"/>
    </row>
    <row r="2" ht="15.5" customHeight="1">
      <c r="A2" s="395">
        <v>1</v>
      </c>
      <c r="B2" t="s" s="517">
        <v>506</v>
      </c>
      <c r="C2" t="s" s="518">
        <v>507</v>
      </c>
      <c r="D2" s="519"/>
      <c r="E2" s="519"/>
      <c r="F2" s="519"/>
      <c r="G2" s="519"/>
      <c r="H2" s="519"/>
      <c r="I2" s="519"/>
      <c r="J2" s="519"/>
      <c r="K2" s="519"/>
      <c r="L2" s="519"/>
      <c r="M2" s="519"/>
      <c r="N2" s="519"/>
      <c r="O2" s="520"/>
      <c r="P2" s="519"/>
      <c r="Q2" s="519"/>
      <c r="R2" s="519"/>
      <c r="S2" s="519"/>
      <c r="T2" s="399"/>
      <c r="U2" s="519"/>
      <c r="V2" s="519"/>
      <c r="W2" s="519"/>
      <c r="X2" s="519"/>
      <c r="Y2" s="519"/>
      <c r="Z2" s="399"/>
      <c r="AA2" s="519"/>
      <c r="AB2" s="519"/>
      <c r="AC2" s="519"/>
      <c r="AD2" s="519"/>
      <c r="AE2" s="519"/>
      <c r="AF2" s="399"/>
      <c r="AG2" s="521"/>
      <c r="AH2" s="399"/>
      <c r="AI2" s="519"/>
      <c r="AJ2" s="399"/>
      <c r="AK2" s="519"/>
      <c r="AL2" s="399"/>
      <c r="AM2" s="519"/>
      <c r="AN2" s="519"/>
      <c r="AO2" s="519"/>
      <c r="AP2" s="522"/>
      <c r="AQ2" s="16"/>
      <c r="AR2" s="18"/>
    </row>
    <row r="3" ht="16" customHeight="1">
      <c r="A3" s="12"/>
      <c r="B3" s="523"/>
      <c r="C3" t="s" s="524">
        <v>513</v>
      </c>
      <c r="D3" s="525"/>
      <c r="E3" s="525"/>
      <c r="F3" s="525"/>
      <c r="G3" s="525"/>
      <c r="H3" s="525"/>
      <c r="I3" s="525"/>
      <c r="J3" s="525"/>
      <c r="K3" s="525"/>
      <c r="L3" s="525"/>
      <c r="M3" s="525"/>
      <c r="N3" s="525"/>
      <c r="O3" s="525"/>
      <c r="P3" s="525"/>
      <c r="Q3" s="525"/>
      <c r="R3" s="525"/>
      <c r="S3" s="526"/>
      <c r="T3" s="407"/>
      <c r="U3" t="s" s="524">
        <v>514</v>
      </c>
      <c r="V3" s="525"/>
      <c r="W3" s="525"/>
      <c r="X3" s="525"/>
      <c r="Y3" s="526"/>
      <c r="Z3" s="407"/>
      <c r="AA3" t="s" s="524">
        <v>515</v>
      </c>
      <c r="AB3" s="525"/>
      <c r="AC3" s="525"/>
      <c r="AD3" s="525"/>
      <c r="AE3" s="526"/>
      <c r="AF3" s="410"/>
      <c r="AG3" s="527"/>
      <c r="AH3" s="410"/>
      <c r="AI3" s="528"/>
      <c r="AJ3" s="410"/>
      <c r="AK3" s="528"/>
      <c r="AL3" s="410"/>
      <c r="AM3" s="528"/>
      <c r="AN3" s="528"/>
      <c r="AO3" s="528"/>
      <c r="AP3" s="529"/>
      <c r="AQ3" s="16"/>
      <c r="AR3" s="18"/>
    </row>
    <row r="4" ht="46.25" customHeight="1">
      <c r="A4" s="187"/>
      <c r="B4" t="s" s="530">
        <v>517</v>
      </c>
      <c r="C4" t="s" s="531">
        <v>518</v>
      </c>
      <c r="D4" t="s" s="531">
        <v>519</v>
      </c>
      <c r="E4" t="s" s="531">
        <v>520</v>
      </c>
      <c r="F4" t="s" s="532">
        <v>521</v>
      </c>
      <c r="G4" t="s" s="532">
        <v>522</v>
      </c>
      <c r="H4" t="s" s="532">
        <v>524</v>
      </c>
      <c r="I4" t="s" s="532">
        <v>525</v>
      </c>
      <c r="J4" t="s" s="532">
        <v>556</v>
      </c>
      <c r="K4" t="s" s="532">
        <v>553</v>
      </c>
      <c r="L4" t="s" s="532">
        <v>526</v>
      </c>
      <c r="M4" t="s" s="532">
        <v>527</v>
      </c>
      <c r="N4" t="s" s="532">
        <v>528</v>
      </c>
      <c r="O4" t="s" s="532">
        <v>529</v>
      </c>
      <c r="P4" t="s" s="532">
        <v>530</v>
      </c>
      <c r="Q4" t="s" s="532">
        <v>572</v>
      </c>
      <c r="R4" t="s" s="532">
        <v>531</v>
      </c>
      <c r="S4" t="s" s="532">
        <v>532</v>
      </c>
      <c r="T4" s="418"/>
      <c r="U4" t="s" s="532">
        <v>533</v>
      </c>
      <c r="V4" t="s" s="532">
        <v>573</v>
      </c>
      <c r="W4" t="s" s="532">
        <v>534</v>
      </c>
      <c r="X4" t="s" s="532">
        <v>574</v>
      </c>
      <c r="Y4" t="s" s="532">
        <v>535</v>
      </c>
      <c r="Z4" s="418"/>
      <c r="AA4" t="s" s="532">
        <v>536</v>
      </c>
      <c r="AB4" t="s" s="532">
        <v>537</v>
      </c>
      <c r="AC4" t="s" s="532">
        <v>538</v>
      </c>
      <c r="AD4" t="s" s="532">
        <v>575</v>
      </c>
      <c r="AE4" t="s" s="532">
        <v>539</v>
      </c>
      <c r="AF4" s="419"/>
      <c r="AG4" t="s" s="532">
        <v>576</v>
      </c>
      <c r="AH4" s="419"/>
      <c r="AI4" t="s" s="532">
        <v>577</v>
      </c>
      <c r="AJ4" s="419"/>
      <c r="AK4" t="s" s="532">
        <v>578</v>
      </c>
      <c r="AL4" s="419"/>
      <c r="AM4" s="533"/>
      <c r="AN4" s="533"/>
      <c r="AO4" s="533"/>
      <c r="AP4" s="534"/>
      <c r="AQ4" s="16"/>
      <c r="AR4" s="18"/>
    </row>
    <row r="5" ht="16.5" customHeight="1">
      <c r="A5" s="12"/>
      <c r="B5" s="535">
        <v>1</v>
      </c>
      <c r="C5" s="536" cm="1">
        <f t="array" ref="C5">IF(B5&gt;0,IF(VLOOKUP(C2,'Boats Data Sheet 2026'!$C$3:$J$57,8,0)="N/A",0,VLOOKUP(C2,'Boats Data Sheet 2026'!$C$3:$J$57,8,0)),"N/A")</f>
        <v>0</v>
      </c>
      <c r="D5" s="537" cm="1">
        <f t="array" ref="D5">IF(B5&gt;7,2,IF(B5=0,"N/A",1))</f>
        <v>1</v>
      </c>
      <c r="E5" s="536" cm="1">
        <f t="array" ref="E5">_xlfn.IFERROR(SUM('Direct Costs 2026'!$C$4:$C$5)*D5,"N/A")</f>
        <v>875500</v>
      </c>
      <c r="F5" s="538" cm="1">
        <f t="array" ref="F5">_xlfn.IFERROR('Direct Costs 2026'!$C$43*B5,"N/A")</f>
        <v>6000</v>
      </c>
      <c r="G5" s="538" cm="1">
        <f t="array" ref="G5">IF(B5&gt;0,'Direct Costs 2026'!$C$25,"N/A")</f>
        <v>90000</v>
      </c>
      <c r="H5" s="538" cm="1">
        <f t="array" ref="H5">IF(B5&gt;0,'Direct Costs 2026'!$C$19+'Direct Costs 2026'!$C$18*B5,"N/A")</f>
        <v>110000</v>
      </c>
      <c r="I5" s="538" cm="1">
        <f t="array" ref="I5">IF(B5&gt;0,SUM('Direct Costs 2026'!$C$20:$C$21),"N/A")</f>
        <v>98333.3333333333</v>
      </c>
      <c r="J5" s="538">
        <v>0</v>
      </c>
      <c r="K5" s="538" cm="1">
        <f t="array" ref="K5">IF(B5&gt;0,'Direct Costs 2026'!$C$15+'Direct Costs 2026'!$C$14,"N/A")</f>
        <v>230000</v>
      </c>
      <c r="L5" s="538" cm="1">
        <f t="array" ref="L5">IF(B5&gt;0,'Direct Costs 2026'!$C$26,"N/A")</f>
        <v>20000</v>
      </c>
      <c r="M5" s="538" cm="1">
        <f t="array" ref="M5">IF(B5&gt;0,'Direct Costs 2026'!$C$23,"N/A")</f>
        <v>140000</v>
      </c>
      <c r="N5" s="538" cm="1">
        <f t="array" ref="N5">IF(B5&gt;0,'Direct Costs 2026'!$C$44*B5,"N/A")</f>
        <v>110000</v>
      </c>
      <c r="O5" s="538" cm="1">
        <f t="array" ref="O5">IF(B5&gt;0,_xlfn.IFERROR(VLOOKUP(C2,'Boats Data Sheet 2026'!$C$3:$I$57,7,0)*'Direct Costs 2026'!$C$36,"N/A"),"N/A")</f>
        <v>3325000</v>
      </c>
      <c r="P5" s="538" cm="1">
        <f t="array" ref="P5">IF(B5&gt;0,IF(OR(VLOOKUP(C2,'Boats Data Sheet 2026'!$C$3:$F$57,4,0)="Own",VLOOKUP(C2,'Boats Data Sheet 2026'!$C$3:$F$57,4,0)="Management"),('Direct Costs 2026'!$C$37+'Direct Costs 2026'!$C$39),"N/A"),"N/A")</f>
        <v>1112400</v>
      </c>
      <c r="Q5" s="538" cm="1">
        <f t="array" ref="Q5">_xlfn.IFERROR(IF(B5&gt;5,IF(B5&gt;11,IF(B5&gt;15,4,3),2),IF(B5=0,"N/A",1))*SUM('Direct Costs 2026'!$C$67:$C$68),"N/A")</f>
        <v>489600</v>
      </c>
      <c r="R5" s="538" cm="1">
        <f t="array" ref="R5">_xlfn.IFERROR('Direct Costs 2026'!$C$27*C5,"N/A")</f>
        <v>0</v>
      </c>
      <c r="S5" s="538" cm="1">
        <f t="array" ref="S5">_xlfn.IFERROR(C5+SUM(E5:R5),"N/A")</f>
        <v>6606833.33333333</v>
      </c>
      <c r="T5" s="424"/>
      <c r="U5" s="538" cm="1">
        <f t="array" ref="U5">IF(B5&gt;0,'Allocation OH and Target 2026'!$E$27,"N/A")</f>
        <v>2134447.30345641</v>
      </c>
      <c r="V5" s="538" cm="1">
        <f t="array" ref="V5">IF(B5&gt;0,'Allocation OH and Target 2026'!$E$28,"N/A")</f>
        <v>200042.323056976</v>
      </c>
      <c r="W5" s="538" cm="1">
        <f t="array" ref="W5">IF(B5&gt;0,VLOOKUP(C2,'Allocation OH and Target 2026'!$C$3:$T$23,17,0),"N/A")</f>
        <v>1099231.87846154</v>
      </c>
      <c r="X5" s="538" cm="1">
        <f t="array" ref="X5">IF(B5&gt;0,VLOOKUP(C2,'Allocation OH and Target 2026'!$C$3:$T$23,18,0),"N/A")</f>
        <v>98145.7034340659</v>
      </c>
      <c r="Y5" s="538" cm="1">
        <f t="array" ref="Y5">_xlfn.IFERROR(B5*(V5+X5),"N/A")</f>
        <v>298188.026491042</v>
      </c>
      <c r="Z5" s="424"/>
      <c r="AA5" s="538" cm="1">
        <f t="array" ref="AA5">_xlfn.IFERROR(Y5+S5,"N/A")</f>
        <v>6905021.35982437</v>
      </c>
      <c r="AB5" s="538" cm="1">
        <f t="array" ref="AB5">_xlfn.IFERROR(AA5*0.5%,"N/A")</f>
        <v>34525.1067991219</v>
      </c>
      <c r="AC5" s="538" cm="1">
        <f t="array" ref="AC5">_xlfn.IFERROR(AA5*25%,"N/A")</f>
        <v>1726255.33995609</v>
      </c>
      <c r="AD5" s="539" cm="1">
        <f t="array" ref="AD5">IF(B5&gt;0,SUM(AA5:AC5),"N/A")</f>
        <v>8665801.806579581</v>
      </c>
      <c r="AE5" s="538" cm="1">
        <f t="array" ref="AE5">_xlfn.IFERROR(AD5/B5,"N/A")</f>
        <v>8665801.806579581</v>
      </c>
      <c r="AF5" s="424"/>
      <c r="AG5" t="s" s="540">
        <v>14</v>
      </c>
      <c r="AH5" s="424" cm="1">
        <f t="array" ref="AH5">IF(AG5="N/A",0,1)</f>
        <v>0</v>
      </c>
      <c r="AI5" t="s" s="541">
        <v>14</v>
      </c>
      <c r="AJ5" s="424" cm="1">
        <f t="array" ref="AJ5">IF(AI5="N/A",0,1)</f>
        <v>0</v>
      </c>
      <c r="AK5" t="str" s="527" cm="1">
        <f t="array" ref="AK5">IF(SUM($AG$5:$AG$22)*B5&lt;SUM(AA5:AB5),"NO GO","GO")</f>
        <v>NO GO</v>
      </c>
      <c r="AL5" s="424"/>
      <c r="AM5" s="538"/>
      <c r="AN5" s="538"/>
      <c r="AO5" s="538"/>
      <c r="AP5" s="542"/>
      <c r="AQ5" s="543" cm="1">
        <f t="array" ref="AQ5">B5</f>
        <v>1</v>
      </c>
      <c r="AR5" s="18"/>
    </row>
    <row r="6" ht="16" customHeight="1">
      <c r="A6" s="12"/>
      <c r="B6" s="544" cm="1">
        <f t="array" ref="B6">IF(B5=0,0,IF(B5&lt;VLOOKUP(C2,'Boats Data Sheet 2026'!$C$3:$H$57,6,0),B5+1,0))</f>
        <v>2</v>
      </c>
      <c r="C6" s="538" cm="1">
        <f t="array" ref="C6">IF(B6&gt;0,IF(VLOOKUP(C2,'Boats Data Sheet 2026'!$C$3:$J$57,8,0)="N/A",0,VLOOKUP(C2,'Boats Data Sheet 2026'!$C$3:$J$57,8,0)),"N/A")</f>
        <v>0</v>
      </c>
      <c r="D6" s="545" cm="1">
        <f t="array" ref="D6">IF(B6&gt;7,2,IF(B6=0,"N/A",1))</f>
        <v>1</v>
      </c>
      <c r="E6" s="538" cm="1">
        <f t="array" ref="E6">_xlfn.IFERROR(SUM('Direct Costs 2026'!$C$4:$C$5)*D6,"N/A")</f>
        <v>875500</v>
      </c>
      <c r="F6" s="538" cm="1">
        <f t="array" ref="F6">_xlfn.IFERROR('Direct Costs 2026'!$C$43*B6,"N/A")</f>
        <v>12000</v>
      </c>
      <c r="G6" s="538" cm="1">
        <f t="array" ref="G6">IF(B6&gt;0,'Direct Costs 2026'!$C$25,"N/A")</f>
        <v>90000</v>
      </c>
      <c r="H6" s="538" cm="1">
        <f t="array" ref="H6">IF(B6&gt;0,'Direct Costs 2026'!$C$19+'Direct Costs 2026'!$C$18*B6,"N/A")</f>
        <v>145000</v>
      </c>
      <c r="I6" s="538" cm="1">
        <f t="array" ref="I6">IF(B6&gt;0,SUM('Direct Costs 2026'!$C$20:$C$21),"N/A")</f>
        <v>98333.3333333333</v>
      </c>
      <c r="J6" s="538">
        <v>0</v>
      </c>
      <c r="K6" s="538" cm="1">
        <f t="array" ref="K6">IF(B6&gt;0,'Direct Costs 2026'!$C$15+'Direct Costs 2026'!$C$14,"N/A")</f>
        <v>230000</v>
      </c>
      <c r="L6" s="538" cm="1">
        <f t="array" ref="L6">IF(B6&gt;0,'Direct Costs 2026'!$C$26,"N/A")</f>
        <v>20000</v>
      </c>
      <c r="M6" s="538" cm="1">
        <f t="array" ref="M6">IF(B6&gt;0,'Direct Costs 2026'!$C$23,"N/A")</f>
        <v>140000</v>
      </c>
      <c r="N6" s="538" cm="1">
        <f t="array" ref="N6">IF(B6&gt;0,'Direct Costs 2026'!$C$44*B6,"N/A")</f>
        <v>220000</v>
      </c>
      <c r="O6" s="538" cm="1">
        <f t="array" ref="O6">IF(B6&gt;0,_xlfn.IFERROR(VLOOKUP(C2,'Boats Data Sheet 2026'!$C$3:$I$57,7,0)*'Direct Costs 2026'!$C$36,"N/A"),"N/A")</f>
        <v>3325000</v>
      </c>
      <c r="P6" s="538" cm="1">
        <f t="array" ref="P6">IF(B6&gt;0,IF(OR(VLOOKUP(C2,'Boats Data Sheet 2026'!$C$3:$F$57,4,0)="Own",VLOOKUP(C2,'Boats Data Sheet 2026'!$C$3:$F$57,4,0)="Management"),('Direct Costs 2026'!$C$37+'Direct Costs 2026'!$C$39),"N/A"),"N/A")</f>
        <v>1112400</v>
      </c>
      <c r="Q6" s="538" cm="1">
        <f t="array" ref="Q6">_xlfn.IFERROR(IF(B6&gt;5,IF(B6&gt;11,IF(B6&gt;15,4,3),2),IF(B6=0,"N/A",1))*SUM('Direct Costs 2026'!$C$67:$C$68),"N/A")</f>
        <v>489600</v>
      </c>
      <c r="R6" s="538" cm="1">
        <f t="array" ref="R6">_xlfn.IFERROR('Direct Costs 2026'!$C$27*C6,"N/A")</f>
        <v>0</v>
      </c>
      <c r="S6" s="538" cm="1">
        <f t="array" ref="S6">_xlfn.IFERROR(C6+SUM(E6:R6),"N/A")</f>
        <v>6757833.33333333</v>
      </c>
      <c r="T6" s="424"/>
      <c r="U6" s="538" cm="1">
        <f t="array" ref="U6">IF(B6&gt;0,'Allocation OH and Target 2026'!$E$27,"N/A")</f>
        <v>2134447.30345641</v>
      </c>
      <c r="V6" s="538" cm="1">
        <f t="array" ref="V6">IF(B6&gt;0,'Allocation OH and Target 2026'!$E$28,"N/A")</f>
        <v>200042.323056976</v>
      </c>
      <c r="W6" s="538" cm="1">
        <f t="array" ref="W6">IF(B6&gt;0,VLOOKUP(C2,'Allocation OH and Target 2026'!$C$3:$T$23,17,0),"N/A")</f>
        <v>1099231.87846154</v>
      </c>
      <c r="X6" s="538" cm="1">
        <f t="array" ref="X6">IF(B6&gt;0,VLOOKUP(C2,'Allocation OH and Target 2026'!$C$3:$T$23,18,0),"N/A")</f>
        <v>98145.7034340659</v>
      </c>
      <c r="Y6" s="538" cm="1">
        <f t="array" ref="Y6">_xlfn.IFERROR(B6*(V6+X6),"N/A")</f>
        <v>596376.052982084</v>
      </c>
      <c r="Z6" s="424"/>
      <c r="AA6" s="538" cm="1">
        <f t="array" ref="AA6">_xlfn.IFERROR(Y6+S6,"N/A")</f>
        <v>7354209.38631541</v>
      </c>
      <c r="AB6" s="538" cm="1">
        <f t="array" ref="AB6">_xlfn.IFERROR(AA6*0.5%,"N/A")</f>
        <v>36771.0469315771</v>
      </c>
      <c r="AC6" s="538" cm="1">
        <f t="array" ref="AC6">_xlfn.IFERROR(AA6*25%,"N/A")</f>
        <v>1838552.34657885</v>
      </c>
      <c r="AD6" s="539" cm="1">
        <f t="array" ref="AD6">IF(B6&gt;0,SUM(AA6:AC6),"N/A")</f>
        <v>9229532.77982584</v>
      </c>
      <c r="AE6" s="538" cm="1">
        <f t="array" ref="AE6">_xlfn.IFERROR(AD6/B6,"N/A")</f>
        <v>4614766.38991292</v>
      </c>
      <c r="AF6" s="424"/>
      <c r="AG6" t="str" s="546" cm="1">
        <f t="array" ref="AG6">IF(B6/VLOOKUP(C2,'Boats Data Sheet 2026'!$C$3:$H$57,6,0)&gt;VLOOKUP(C2,'Allocation OH and Target 2026'!$C$3:$J$23,8,0),IF(SUM(AH4:AH5)=0,AE6,"N/A"),"N/A")</f>
        <v>N/A</v>
      </c>
      <c r="AH6" s="424" cm="1">
        <f t="array" ref="AH6">IF(AG6="N/A",0,1)</f>
        <v>0</v>
      </c>
      <c r="AI6" t="str" s="547" cm="1">
        <f t="array" ref="AI6">IF(B6/VLOOKUP(C2,'Boats Data Sheet 2026'!$C$3:$H$57,6,0)&gt;VLOOKUP(C2,'Allocation OH and Target 2026'!$C$3:$J$23,8,0),IF(SUM(AH4:AH5)=0,S6/B6,"N/A"),"N/A")</f>
        <v>N/A</v>
      </c>
      <c r="AJ6" s="424" cm="1">
        <f t="array" ref="AJ6">IF(AI6="N/A",0,1)</f>
        <v>0</v>
      </c>
      <c r="AK6" t="str" s="527" cm="1">
        <f t="array" ref="AK6">IF(SUM($AG$5:$AG$22)*B6&lt;SUM(AA6:AB6),"NO GO","GO")</f>
        <v>NO GO</v>
      </c>
      <c r="AL6" s="424"/>
      <c r="AM6" s="538"/>
      <c r="AN6" s="538"/>
      <c r="AO6" s="538"/>
      <c r="AP6" s="542"/>
      <c r="AQ6" s="543" cm="1">
        <f t="array" ref="AQ6">B6</f>
        <v>2</v>
      </c>
      <c r="AR6" s="18"/>
    </row>
    <row r="7" ht="16" customHeight="1">
      <c r="A7" s="12"/>
      <c r="B7" s="544" cm="1">
        <f t="array" ref="B7">IF(B6=0,0,IF(B6&lt;VLOOKUP(C2,'Boats Data Sheet 2026'!$C$3:$H$57,6,0),B6+1,0))</f>
        <v>3</v>
      </c>
      <c r="C7" s="538" cm="1">
        <f t="array" ref="C7">IF(B7&gt;0,IF(VLOOKUP(C2,'Boats Data Sheet 2026'!$C$3:$J$57,8,0)="N/A",0,VLOOKUP(C2,'Boats Data Sheet 2026'!$C$3:$J$57,8,0)),"N/A")</f>
        <v>0</v>
      </c>
      <c r="D7" s="545" cm="1">
        <f t="array" ref="D7">IF(B7&gt;7,2,IF(B7=0,"N/A",1))</f>
        <v>1</v>
      </c>
      <c r="E7" s="538" cm="1">
        <f t="array" ref="E7">_xlfn.IFERROR(SUM('Direct Costs 2026'!$C$4:$C$5)*D7,"N/A")</f>
        <v>875500</v>
      </c>
      <c r="F7" s="538" cm="1">
        <f t="array" ref="F7">_xlfn.IFERROR('Direct Costs 2026'!$C$43*B7,"N/A")</f>
        <v>18000</v>
      </c>
      <c r="G7" s="538" cm="1">
        <f t="array" ref="G7">IF(B7&gt;0,'Direct Costs 2026'!$C$25,"N/A")</f>
        <v>90000</v>
      </c>
      <c r="H7" s="538" cm="1">
        <f t="array" ref="H7">IF(B7&gt;0,'Direct Costs 2026'!$C$19+'Direct Costs 2026'!$C$18*B7,"N/A")</f>
        <v>180000</v>
      </c>
      <c r="I7" s="538" cm="1">
        <f t="array" ref="I7">IF(B7&gt;0,SUM('Direct Costs 2026'!$C$20:$C$21),"N/A")</f>
        <v>98333.3333333333</v>
      </c>
      <c r="J7" s="538">
        <v>0</v>
      </c>
      <c r="K7" s="538" cm="1">
        <f t="array" ref="K7">IF(B7&gt;0,'Direct Costs 2026'!$C$15+'Direct Costs 2026'!$C$14,"N/A")</f>
        <v>230000</v>
      </c>
      <c r="L7" s="538" cm="1">
        <f t="array" ref="L7">IF(B7&gt;0,'Direct Costs 2026'!$C$26,"N/A")</f>
        <v>20000</v>
      </c>
      <c r="M7" s="538" cm="1">
        <f t="array" ref="M7">IF(B7&gt;0,'Direct Costs 2026'!$C$23,"N/A")</f>
        <v>140000</v>
      </c>
      <c r="N7" s="538" cm="1">
        <f t="array" ref="N7">IF(B7&gt;0,'Direct Costs 2026'!$C$44*B7,"N/A")</f>
        <v>330000</v>
      </c>
      <c r="O7" s="538" cm="1">
        <f t="array" ref="O7">IF(B7&gt;0,_xlfn.IFERROR(VLOOKUP(C2,'Boats Data Sheet 2026'!$C$3:$I$57,7,0)*'Direct Costs 2026'!$C$36,"N/A"),"N/A")</f>
        <v>3325000</v>
      </c>
      <c r="P7" s="538" cm="1">
        <f t="array" ref="P7">IF(B7&gt;0,IF(OR(VLOOKUP(C2,'Boats Data Sheet 2026'!$C$3:$F$57,4,0)="Own",VLOOKUP(C2,'Boats Data Sheet 2026'!$C$3:$F$57,4,0)="Management"),('Direct Costs 2026'!$C$37+'Direct Costs 2026'!$C$39),"N/A"),"N/A")</f>
        <v>1112400</v>
      </c>
      <c r="Q7" s="538" cm="1">
        <f t="array" ref="Q7">_xlfn.IFERROR(IF(B7&gt;5,IF(B7&gt;11,IF(B7&gt;15,4,3),2),IF(B7=0,"N/A",1))*SUM('Direct Costs 2026'!$C$67:$C$68),"N/A")</f>
        <v>489600</v>
      </c>
      <c r="R7" s="538" cm="1">
        <f t="array" ref="R7">_xlfn.IFERROR('Direct Costs 2026'!$C$27*C7,"N/A")</f>
        <v>0</v>
      </c>
      <c r="S7" s="538" cm="1">
        <f t="array" ref="S7">_xlfn.IFERROR(C7+SUM(E7:R7),"N/A")</f>
        <v>6908833.33333333</v>
      </c>
      <c r="T7" s="424"/>
      <c r="U7" s="538" cm="1">
        <f t="array" ref="U7">IF(B7&gt;0,'Allocation OH and Target 2026'!$E$27,"N/A")</f>
        <v>2134447.30345641</v>
      </c>
      <c r="V7" s="538" cm="1">
        <f t="array" ref="V7">IF(B7&gt;0,'Allocation OH and Target 2026'!$E$28,"N/A")</f>
        <v>200042.323056976</v>
      </c>
      <c r="W7" s="538" cm="1">
        <f t="array" ref="W7">IF(B7&gt;0,VLOOKUP(C2,'Allocation OH and Target 2026'!$C$3:$T$23,17,0),"N/A")</f>
        <v>1099231.87846154</v>
      </c>
      <c r="X7" s="538" cm="1">
        <f t="array" ref="X7">IF(B7&gt;0,VLOOKUP(C2,'Allocation OH and Target 2026'!$C$3:$T$23,18,0),"N/A")</f>
        <v>98145.7034340659</v>
      </c>
      <c r="Y7" s="538" cm="1">
        <f t="array" ref="Y7">_xlfn.IFERROR(B7*(V7+X7),"N/A")</f>
        <v>894564.079473126</v>
      </c>
      <c r="Z7" s="424"/>
      <c r="AA7" s="538" cm="1">
        <f t="array" ref="AA7">_xlfn.IFERROR(Y7+S7,"N/A")</f>
        <v>7803397.41280646</v>
      </c>
      <c r="AB7" s="538" cm="1">
        <f t="array" ref="AB7">_xlfn.IFERROR(AA7*0.5%,"N/A")</f>
        <v>39016.9870640323</v>
      </c>
      <c r="AC7" s="538" cm="1">
        <f t="array" ref="AC7">_xlfn.IFERROR(AA7*25%,"N/A")</f>
        <v>1950849.35320162</v>
      </c>
      <c r="AD7" s="539" cm="1">
        <f t="array" ref="AD7">IF(B7&gt;0,SUM(AA7:AC7),"N/A")</f>
        <v>9793263.753072109</v>
      </c>
      <c r="AE7" s="538" cm="1">
        <f t="array" ref="AE7">_xlfn.IFERROR(AD7/B7,"N/A")</f>
        <v>3264421.25102404</v>
      </c>
      <c r="AF7" s="424"/>
      <c r="AG7" t="str" s="546" cm="1">
        <f t="array" ref="AG7">IF(B7/VLOOKUP(C2,'Boats Data Sheet 2026'!$C$3:$H$57,6,0)&gt;VLOOKUP(C2,'Allocation OH and Target 2026'!$C$3:$J$23,8,0),IF(SUM(AH4:AH6)=0,AE7,"N/A"),"N/A")</f>
        <v>N/A</v>
      </c>
      <c r="AH7" s="424" cm="1">
        <f t="array" ref="AH7">IF(AG7="N/A",0,1)</f>
        <v>0</v>
      </c>
      <c r="AI7" t="str" s="547" cm="1">
        <f t="array" ref="AI7">IF(B7/VLOOKUP(C2,'Boats Data Sheet 2026'!$C$3:$H$57,6,0)&gt;VLOOKUP(C2,'Allocation OH and Target 2026'!$C$3:$J$23,8,0),IF(SUM(AH4:AH6)=0,S7/B7,"N/A"),"N/A")</f>
        <v>N/A</v>
      </c>
      <c r="AJ7" s="424" cm="1">
        <f t="array" ref="AJ7">IF(AI7="N/A",0,1)</f>
        <v>0</v>
      </c>
      <c r="AK7" t="str" s="527" cm="1">
        <f t="array" ref="AK7">IF(SUM($AG$5:$AG$22)*B7&lt;SUM(AA7:AB7),"NO GO","GO")</f>
        <v>NO GO</v>
      </c>
      <c r="AL7" s="424"/>
      <c r="AM7" s="538"/>
      <c r="AN7" s="538"/>
      <c r="AO7" s="538"/>
      <c r="AP7" s="542"/>
      <c r="AQ7" s="543" cm="1">
        <f t="array" ref="AQ7">B7</f>
        <v>3</v>
      </c>
      <c r="AR7" s="18"/>
    </row>
    <row r="8" ht="16" customHeight="1">
      <c r="A8" s="12"/>
      <c r="B8" s="544" cm="1">
        <f t="array" ref="B8">IF(B7=0,0,IF(B7&lt;VLOOKUP(C2,'Boats Data Sheet 2026'!$C$3:$H$57,6,0),B7+1,0))</f>
        <v>4</v>
      </c>
      <c r="C8" s="538" cm="1">
        <f t="array" ref="C8">IF(B8&gt;0,IF(VLOOKUP(C2,'Boats Data Sheet 2026'!$C$3:$J$57,8,0)="N/A",0,VLOOKUP(C2,'Boats Data Sheet 2026'!$C$3:$J$57,8,0)),"N/A")</f>
        <v>0</v>
      </c>
      <c r="D8" s="545" cm="1">
        <f t="array" ref="D8">IF(B8&gt;7,2,IF(B8=0,"N/A",1))</f>
        <v>1</v>
      </c>
      <c r="E8" s="538" cm="1">
        <f t="array" ref="E8">_xlfn.IFERROR(SUM('Direct Costs 2026'!$C$4:$C$5)*D8,"N/A")</f>
        <v>875500</v>
      </c>
      <c r="F8" s="538" cm="1">
        <f t="array" ref="F8">_xlfn.IFERROR('Direct Costs 2026'!$C$43*B8,"N/A")</f>
        <v>24000</v>
      </c>
      <c r="G8" s="538" cm="1">
        <f t="array" ref="G8">IF(B8&gt;0,'Direct Costs 2026'!$C$25,"N/A")</f>
        <v>90000</v>
      </c>
      <c r="H8" s="538" cm="1">
        <f t="array" ref="H8">IF(B8&gt;0,'Direct Costs 2026'!$C$19+'Direct Costs 2026'!$C$18*B8,"N/A")</f>
        <v>215000</v>
      </c>
      <c r="I8" s="538" cm="1">
        <f t="array" ref="I8">IF(B8&gt;0,SUM('Direct Costs 2026'!$C$20:$C$21),"N/A")</f>
        <v>98333.3333333333</v>
      </c>
      <c r="J8" s="538">
        <v>0</v>
      </c>
      <c r="K8" s="538" cm="1">
        <f t="array" ref="K8">IF(B8&gt;0,'Direct Costs 2026'!$C$15+'Direct Costs 2026'!$C$14,"N/A")</f>
        <v>230000</v>
      </c>
      <c r="L8" s="538" cm="1">
        <f t="array" ref="L8">IF(B8&gt;0,'Direct Costs 2026'!$C$26,"N/A")</f>
        <v>20000</v>
      </c>
      <c r="M8" s="538" cm="1">
        <f t="array" ref="M8">IF(B8&gt;0,'Direct Costs 2026'!$C$23,"N/A")</f>
        <v>140000</v>
      </c>
      <c r="N8" s="538" cm="1">
        <f t="array" ref="N8">IF(B8&gt;0,'Direct Costs 2026'!$C$44*B8,"N/A")</f>
        <v>440000</v>
      </c>
      <c r="O8" s="538" cm="1">
        <f t="array" ref="O8">IF(B8&gt;0,_xlfn.IFERROR(VLOOKUP(C2,'Boats Data Sheet 2026'!$C$3:$I$57,7,0)*'Direct Costs 2026'!$C$36,"N/A"),"N/A")</f>
        <v>3325000</v>
      </c>
      <c r="P8" s="538" cm="1">
        <f t="array" ref="P8">IF(B8&gt;0,IF(OR(VLOOKUP(C2,'Boats Data Sheet 2026'!$C$3:$F$57,4,0)="Own",VLOOKUP(C2,'Boats Data Sheet 2026'!$C$3:$F$57,4,0)="Management"),('Direct Costs 2026'!$C$37+'Direct Costs 2026'!$C$39),"N/A"),"N/A")</f>
        <v>1112400</v>
      </c>
      <c r="Q8" s="538" cm="1">
        <f t="array" ref="Q8">_xlfn.IFERROR(IF(B8&gt;5,IF(B8&gt;11,IF(B8&gt;15,4,3),2),IF(B8=0,"N/A",1))*SUM('Direct Costs 2026'!$C$67:$C$68),"N/A")</f>
        <v>489600</v>
      </c>
      <c r="R8" s="538" cm="1">
        <f t="array" ref="R8">_xlfn.IFERROR('Direct Costs 2026'!$C$27*C8,"N/A")</f>
        <v>0</v>
      </c>
      <c r="S8" s="538" cm="1">
        <f t="array" ref="S8">_xlfn.IFERROR(C8+SUM(E8:R8),"N/A")</f>
        <v>7059833.33333333</v>
      </c>
      <c r="T8" s="424"/>
      <c r="U8" s="538" cm="1">
        <f t="array" ref="U8">IF(B8&gt;0,'Allocation OH and Target 2026'!$E$27,"N/A")</f>
        <v>2134447.30345641</v>
      </c>
      <c r="V8" s="538" cm="1">
        <f t="array" ref="V8">IF(B8&gt;0,'Allocation OH and Target 2026'!$E$28,"N/A")</f>
        <v>200042.323056976</v>
      </c>
      <c r="W8" s="538" cm="1">
        <f t="array" ref="W8">IF(B8&gt;0,VLOOKUP(C2,'Allocation OH and Target 2026'!$C$3:$T$23,17,0),"N/A")</f>
        <v>1099231.87846154</v>
      </c>
      <c r="X8" s="538" cm="1">
        <f t="array" ref="X8">IF(B8&gt;0,VLOOKUP(C2,'Allocation OH and Target 2026'!$C$3:$T$23,18,0),"N/A")</f>
        <v>98145.7034340659</v>
      </c>
      <c r="Y8" s="538" cm="1">
        <f t="array" ref="Y8">_xlfn.IFERROR(B8*(V8+X8),"N/A")</f>
        <v>1192752.10596417</v>
      </c>
      <c r="Z8" s="424"/>
      <c r="AA8" s="538" cm="1">
        <f t="array" ref="AA8">_xlfn.IFERROR(Y8+S8,"N/A")</f>
        <v>8252585.4392975</v>
      </c>
      <c r="AB8" s="538" cm="1">
        <f t="array" ref="AB8">_xlfn.IFERROR(AA8*0.5%,"N/A")</f>
        <v>41262.9271964875</v>
      </c>
      <c r="AC8" s="538" cm="1">
        <f t="array" ref="AC8">_xlfn.IFERROR(AA8*25%,"N/A")</f>
        <v>2063146.35982438</v>
      </c>
      <c r="AD8" s="539" cm="1">
        <f t="array" ref="AD8">IF(B8&gt;0,SUM(AA8:AC8),"N/A")</f>
        <v>10356994.7263184</v>
      </c>
      <c r="AE8" s="538" cm="1">
        <f t="array" ref="AE8">_xlfn.IFERROR(AD8/B8,"N/A")</f>
        <v>2589248.6815796</v>
      </c>
      <c r="AF8" s="424"/>
      <c r="AG8" t="str" s="546" cm="1">
        <f t="array" ref="AG8">IF(B8/VLOOKUP(C2,'Boats Data Sheet 2026'!$C$3:$H$57,6,0)&gt;VLOOKUP(C2,'Allocation OH and Target 2026'!$C$3:$J$23,8,0),IF(SUM(AH4:AH7)=0,AE8,"N/A"),"N/A")</f>
        <v>N/A</v>
      </c>
      <c r="AH8" s="424" cm="1">
        <f t="array" ref="AH8">IF(AG8="N/A",0,1)</f>
        <v>0</v>
      </c>
      <c r="AI8" t="str" s="547" cm="1">
        <f t="array" ref="AI8">IF(B8/VLOOKUP(C2,'Boats Data Sheet 2026'!$C$3:$H$57,6,0)&gt;VLOOKUP(C2,'Allocation OH and Target 2026'!$C$3:$J$23,8,0),IF(SUM(AH4:AH7)=0,S8/B8,"N/A"),"N/A")</f>
        <v>N/A</v>
      </c>
      <c r="AJ8" s="424" cm="1">
        <f t="array" ref="AJ8">IF(AI8="N/A",0,1)</f>
        <v>0</v>
      </c>
      <c r="AK8" t="str" s="527" cm="1">
        <f t="array" ref="AK8">IF(SUM($AG$5:$AG$22)*B8&lt;SUM(AA8:AB8),"NO GO","GO")</f>
        <v>NO GO</v>
      </c>
      <c r="AL8" s="424"/>
      <c r="AM8" s="538"/>
      <c r="AN8" s="538"/>
      <c r="AO8" s="538"/>
      <c r="AP8" s="542"/>
      <c r="AQ8" s="543" cm="1">
        <f t="array" ref="AQ8">B8</f>
        <v>4</v>
      </c>
      <c r="AR8" s="18"/>
    </row>
    <row r="9" ht="16" customHeight="1">
      <c r="A9" s="12"/>
      <c r="B9" s="544" cm="1">
        <f t="array" ref="B9">IF(B8=0,0,IF(B8&lt;VLOOKUP(C2,'Boats Data Sheet 2026'!$C$3:$H$57,6,0),B8+1,0))</f>
        <v>5</v>
      </c>
      <c r="C9" s="538" cm="1">
        <f t="array" ref="C9">IF(B9&gt;0,IF(VLOOKUP(C2,'Boats Data Sheet 2026'!$C$3:$J$57,8,0)="N/A",0,VLOOKUP(C2,'Boats Data Sheet 2026'!$C$3:$J$57,8,0)),"N/A")</f>
        <v>0</v>
      </c>
      <c r="D9" s="545" cm="1">
        <f t="array" ref="D9">IF(B9&gt;7,2,IF(B9=0,"N/A",1))</f>
        <v>1</v>
      </c>
      <c r="E9" s="538" cm="1">
        <f t="array" ref="E9">_xlfn.IFERROR(SUM('Direct Costs 2026'!$C$4:$C$5)*D9,"N/A")</f>
        <v>875500</v>
      </c>
      <c r="F9" s="538" cm="1">
        <f t="array" ref="F9">_xlfn.IFERROR('Direct Costs 2026'!$C$43*B9,"N/A")</f>
        <v>30000</v>
      </c>
      <c r="G9" s="538" cm="1">
        <f t="array" ref="G9">IF(B9&gt;0,'Direct Costs 2026'!$C$25,"N/A")</f>
        <v>90000</v>
      </c>
      <c r="H9" s="538" cm="1">
        <f t="array" ref="H9">IF(B9&gt;0,'Direct Costs 2026'!$C$19+'Direct Costs 2026'!$C$18*B9,"N/A")</f>
        <v>250000</v>
      </c>
      <c r="I9" s="538" cm="1">
        <f t="array" ref="I9">IF(B9&gt;0,SUM('Direct Costs 2026'!$C$20:$C$21),"N/A")</f>
        <v>98333.3333333333</v>
      </c>
      <c r="J9" s="538">
        <v>0</v>
      </c>
      <c r="K9" s="538" cm="1">
        <f t="array" ref="K9">IF(B9&gt;0,'Direct Costs 2026'!$C$15+'Direct Costs 2026'!$C$14,"N/A")</f>
        <v>230000</v>
      </c>
      <c r="L9" s="538" cm="1">
        <f t="array" ref="L9">IF(B9&gt;0,'Direct Costs 2026'!$C$26,"N/A")</f>
        <v>20000</v>
      </c>
      <c r="M9" s="538" cm="1">
        <f t="array" ref="M9">IF(B9&gt;0,'Direct Costs 2026'!$C$23,"N/A")</f>
        <v>140000</v>
      </c>
      <c r="N9" s="538" cm="1">
        <f t="array" ref="N9">IF(B9&gt;0,'Direct Costs 2026'!$C$44*B9,"N/A")</f>
        <v>550000</v>
      </c>
      <c r="O9" s="538" cm="1">
        <f t="array" ref="O9">IF(B9&gt;0,_xlfn.IFERROR(VLOOKUP(C2,'Boats Data Sheet 2026'!$C$3:$I$57,7,0)*'Direct Costs 2026'!$C$36,"N/A"),"N/A")</f>
        <v>3325000</v>
      </c>
      <c r="P9" s="538" cm="1">
        <f t="array" ref="P9">IF(B9&gt;0,IF(OR(VLOOKUP(C2,'Boats Data Sheet 2026'!$C$3:$F$57,4,0)="Own",VLOOKUP(C2,'Boats Data Sheet 2026'!$C$3:$F$57,4,0)="Management"),('Direct Costs 2026'!$C$37+'Direct Costs 2026'!$C$39),"N/A"),"N/A")</f>
        <v>1112400</v>
      </c>
      <c r="Q9" s="538" cm="1">
        <f t="array" ref="Q9">_xlfn.IFERROR(IF(B9&gt;5,IF(B9&gt;11,IF(B9&gt;15,4,3),2),IF(B9=0,"N/A",1))*SUM('Direct Costs 2026'!$C$67:$C$68),"N/A")</f>
        <v>489600</v>
      </c>
      <c r="R9" s="538" cm="1">
        <f t="array" ref="R9">_xlfn.IFERROR('Direct Costs 2026'!$C$27*C9,"N/A")</f>
        <v>0</v>
      </c>
      <c r="S9" s="538" cm="1">
        <f t="array" ref="S9">_xlfn.IFERROR(C9+SUM(E9:R9),"N/A")</f>
        <v>7210833.33333333</v>
      </c>
      <c r="T9" s="424"/>
      <c r="U9" s="538" cm="1">
        <f t="array" ref="U9">IF(B9&gt;0,'Allocation OH and Target 2026'!$E$27,"N/A")</f>
        <v>2134447.30345641</v>
      </c>
      <c r="V9" s="538" cm="1">
        <f t="array" ref="V9">IF(B9&gt;0,'Allocation OH and Target 2026'!$E$28,"N/A")</f>
        <v>200042.323056976</v>
      </c>
      <c r="W9" s="538" cm="1">
        <f t="array" ref="W9">IF(B9&gt;0,VLOOKUP(C2,'Allocation OH and Target 2026'!$C$3:$T$23,17,0),"N/A")</f>
        <v>1099231.87846154</v>
      </c>
      <c r="X9" s="538" cm="1">
        <f t="array" ref="X9">IF(B9&gt;0,VLOOKUP(C2,'Allocation OH and Target 2026'!$C$3:$T$23,18,0),"N/A")</f>
        <v>98145.7034340659</v>
      </c>
      <c r="Y9" s="538" cm="1">
        <f t="array" ref="Y9">_xlfn.IFERROR(B9*(V9+X9),"N/A")</f>
        <v>1490940.13245521</v>
      </c>
      <c r="Z9" s="424"/>
      <c r="AA9" s="538" cm="1">
        <f t="array" ref="AA9">_xlfn.IFERROR(Y9+S9,"N/A")</f>
        <v>8701773.465788539</v>
      </c>
      <c r="AB9" s="538" cm="1">
        <f t="array" ref="AB9">_xlfn.IFERROR(AA9*0.5%,"N/A")</f>
        <v>43508.8673289427</v>
      </c>
      <c r="AC9" s="538" cm="1">
        <f t="array" ref="AC9">_xlfn.IFERROR(AA9*25%,"N/A")</f>
        <v>2175443.36644714</v>
      </c>
      <c r="AD9" s="539" cm="1">
        <f t="array" ref="AD9">IF(B9&gt;0,SUM(AA9:AC9),"N/A")</f>
        <v>10920725.6995646</v>
      </c>
      <c r="AE9" s="538" cm="1">
        <f t="array" ref="AE9">_xlfn.IFERROR(AD9/B9,"N/A")</f>
        <v>2184145.13991292</v>
      </c>
      <c r="AF9" s="424"/>
      <c r="AG9" t="str" s="546" cm="1">
        <f t="array" ref="AG9">IF(B9/VLOOKUP(C2,'Boats Data Sheet 2026'!$C$3:$H$57,6,0)&gt;VLOOKUP(C2,'Allocation OH and Target 2026'!$C$3:$J$23,8,0),IF(SUM(AH4:AH8)=0,AE9,"N/A"),"N/A")</f>
        <v>N/A</v>
      </c>
      <c r="AH9" s="424" cm="1">
        <f t="array" ref="AH9">IF(AG9="N/A",0,1)</f>
        <v>0</v>
      </c>
      <c r="AI9" t="str" s="547" cm="1">
        <f t="array" ref="AI9">IF(B9/VLOOKUP(C2,'Boats Data Sheet 2026'!$C$3:$H$57,6,0)&gt;VLOOKUP(C2,'Allocation OH and Target 2026'!$C$3:$J$23,8,0),IF(SUM(AH4:AH8)=0,S9/B9,"N/A"),"N/A")</f>
        <v>N/A</v>
      </c>
      <c r="AJ9" s="424" cm="1">
        <f t="array" ref="AJ9">IF(AI9="N/A",0,1)</f>
        <v>0</v>
      </c>
      <c r="AK9" t="str" s="527" cm="1">
        <f t="array" ref="AK9">IF(SUM($AG$5:$AG$22)*B9&lt;SUM(AA9:AB9),"NO GO","GO")</f>
        <v>NO GO</v>
      </c>
      <c r="AL9" s="424"/>
      <c r="AM9" s="538"/>
      <c r="AN9" s="538"/>
      <c r="AO9" s="538"/>
      <c r="AP9" s="542"/>
      <c r="AQ9" s="543" cm="1">
        <f t="array" ref="AQ9">B9</f>
        <v>5</v>
      </c>
      <c r="AR9" s="18"/>
    </row>
    <row r="10" ht="16" customHeight="1">
      <c r="A10" s="12"/>
      <c r="B10" s="544" cm="1">
        <f t="array" ref="B10">IF(B9=0,0,IF(B9&lt;VLOOKUP(C2,'Boats Data Sheet 2026'!$C$3:$H$57,6,0),B9+1,0))</f>
        <v>6</v>
      </c>
      <c r="C10" s="538" cm="1">
        <f t="array" ref="C10">IF(B10&gt;0,IF(VLOOKUP(C2,'Boats Data Sheet 2026'!$C$3:$J$57,8,0)="N/A",0,VLOOKUP(C2,'Boats Data Sheet 2026'!$C$3:$J$57,8,0)),"N/A")</f>
        <v>0</v>
      </c>
      <c r="D10" s="545" cm="1">
        <f t="array" ref="D10">IF(B10&gt;7,2,IF(B10=0,"N/A",1))</f>
        <v>1</v>
      </c>
      <c r="E10" s="538" cm="1">
        <f t="array" ref="E10">_xlfn.IFERROR(SUM('Direct Costs 2026'!$C$4:$C$5)*D10,"N/A")</f>
        <v>875500</v>
      </c>
      <c r="F10" s="538" cm="1">
        <f t="array" ref="F10">_xlfn.IFERROR('Direct Costs 2026'!$C$43*B10,"N/A")</f>
        <v>36000</v>
      </c>
      <c r="G10" s="538" cm="1">
        <f t="array" ref="G10">IF(B10&gt;0,'Direct Costs 2026'!$C$25,"N/A")</f>
        <v>90000</v>
      </c>
      <c r="H10" s="538" cm="1">
        <f t="array" ref="H10">IF(B10&gt;0,'Direct Costs 2026'!$C$19+'Direct Costs 2026'!$C$18*B10,"N/A")</f>
        <v>285000</v>
      </c>
      <c r="I10" s="538" cm="1">
        <f t="array" ref="I10">IF(B10&gt;0,SUM('Direct Costs 2026'!$C$20:$C$21),"N/A")</f>
        <v>98333.3333333333</v>
      </c>
      <c r="J10" s="538">
        <v>0</v>
      </c>
      <c r="K10" s="538" cm="1">
        <f t="array" ref="K10">IF(B10&gt;0,'Direct Costs 2026'!$C$15+'Direct Costs 2026'!$C$14,"N/A")</f>
        <v>230000</v>
      </c>
      <c r="L10" s="538" cm="1">
        <f t="array" ref="L10">IF(B10&gt;0,'Direct Costs 2026'!$C$26,"N/A")</f>
        <v>20000</v>
      </c>
      <c r="M10" s="538" cm="1">
        <f t="array" ref="M10">IF(B10&gt;0,'Direct Costs 2026'!$C$23,"N/A")</f>
        <v>140000</v>
      </c>
      <c r="N10" s="538" cm="1">
        <f t="array" ref="N10">IF(B10&gt;0,'Direct Costs 2026'!$C$44*B10,"N/A")</f>
        <v>660000</v>
      </c>
      <c r="O10" s="538" cm="1">
        <f t="array" ref="O10">IF(B10&gt;0,_xlfn.IFERROR(VLOOKUP(C2,'Boats Data Sheet 2026'!$C$3:$I$57,7,0)*'Direct Costs 2026'!$C$36,"N/A"),"N/A")</f>
        <v>3325000</v>
      </c>
      <c r="P10" s="538" cm="1">
        <f t="array" ref="P10">IF(B10&gt;0,IF(OR(VLOOKUP(C2,'Boats Data Sheet 2026'!$C$3:$F$57,4,0)="Own",VLOOKUP(C2,'Boats Data Sheet 2026'!$C$3:$F$57,4,0)="Management"),('Direct Costs 2026'!$C$37+'Direct Costs 2026'!$C$39),"N/A"),"N/A")</f>
        <v>1112400</v>
      </c>
      <c r="Q10" s="538" cm="1">
        <f t="array" ref="Q10">_xlfn.IFERROR(IF(B10&gt;5,IF(B10&gt;11,IF(B10&gt;15,4,3),2),IF(B10=0,"N/A",1))*SUM('Direct Costs 2026'!$C$67:$C$68),"N/A")</f>
        <v>979200</v>
      </c>
      <c r="R10" s="538" cm="1">
        <f t="array" ref="R10">_xlfn.IFERROR('Direct Costs 2026'!$C$27*C10,"N/A")</f>
        <v>0</v>
      </c>
      <c r="S10" s="538" cm="1">
        <f t="array" ref="S10">_xlfn.IFERROR(C10+SUM(E10:R10),"N/A")</f>
        <v>7851433.33333333</v>
      </c>
      <c r="T10" s="424"/>
      <c r="U10" s="538" cm="1">
        <f t="array" ref="U10">IF(B10&gt;0,'Allocation OH and Target 2026'!$E$27,"N/A")</f>
        <v>2134447.30345641</v>
      </c>
      <c r="V10" s="538" cm="1">
        <f t="array" ref="V10">IF(B10&gt;0,'Allocation OH and Target 2026'!$E$28,"N/A")</f>
        <v>200042.323056976</v>
      </c>
      <c r="W10" s="538" cm="1">
        <f t="array" ref="W10">IF(B10&gt;0,VLOOKUP(C2,'Allocation OH and Target 2026'!$C$3:$T$23,17,0),"N/A")</f>
        <v>1099231.87846154</v>
      </c>
      <c r="X10" s="538" cm="1">
        <f t="array" ref="X10">IF(B10&gt;0,VLOOKUP(C2,'Allocation OH and Target 2026'!$C$3:$T$23,18,0),"N/A")</f>
        <v>98145.7034340659</v>
      </c>
      <c r="Y10" s="538" cm="1">
        <f t="array" ref="Y10">_xlfn.IFERROR(B10*(V10+X10),"N/A")</f>
        <v>1789128.15894625</v>
      </c>
      <c r="Z10" s="424"/>
      <c r="AA10" s="538" cm="1">
        <f t="array" ref="AA10">_xlfn.IFERROR(Y10+S10,"N/A")</f>
        <v>9640561.49227958</v>
      </c>
      <c r="AB10" s="538" cm="1">
        <f t="array" ref="AB10">_xlfn.IFERROR(AA10*0.5%,"N/A")</f>
        <v>48202.8074613979</v>
      </c>
      <c r="AC10" s="538" cm="1">
        <f t="array" ref="AC10">_xlfn.IFERROR(AA10*25%,"N/A")</f>
        <v>2410140.3730699</v>
      </c>
      <c r="AD10" s="539" cm="1">
        <f t="array" ref="AD10">IF(B10&gt;0,SUM(AA10:AC10),"N/A")</f>
        <v>12098904.6728109</v>
      </c>
      <c r="AE10" s="538" cm="1">
        <f t="array" ref="AE10">_xlfn.IFERROR(AD10/B10,"N/A")</f>
        <v>2016484.11213515</v>
      </c>
      <c r="AF10" s="424"/>
      <c r="AG10" t="str" s="546" cm="1">
        <f t="array" ref="AG10">IF(B10/VLOOKUP(C2,'Boats Data Sheet 2026'!$C$3:$H$57,6,0)&gt;VLOOKUP(C2,'Allocation OH and Target 2026'!$C$3:$J$23,8,0),IF(SUM(AH4:AH9)=0,AE10,"N/A"),"N/A")</f>
        <v>N/A</v>
      </c>
      <c r="AH10" s="424" cm="1">
        <f t="array" ref="AH10">IF(AG10="N/A",0,1)</f>
        <v>0</v>
      </c>
      <c r="AI10" t="str" s="547" cm="1">
        <f t="array" ref="AI10">IF(B10/VLOOKUP(C2,'Boats Data Sheet 2026'!$C$3:$H$57,6,0)&gt;VLOOKUP(C2,'Allocation OH and Target 2026'!$C$3:$J$23,8,0),IF(SUM(AH4:AH9)=0,S10/B10,"N/A"),"N/A")</f>
        <v>N/A</v>
      </c>
      <c r="AJ10" s="424" cm="1">
        <f t="array" ref="AJ10">IF(AI10="N/A",0,1)</f>
        <v>0</v>
      </c>
      <c r="AK10" t="str" s="527" cm="1">
        <f t="array" ref="AK10">IF(SUM($AG$5:$AG$22)*B10&lt;SUM(AA10:AB10),"NO GO","GO")</f>
        <v>NO GO</v>
      </c>
      <c r="AL10" s="424"/>
      <c r="AM10" s="538"/>
      <c r="AN10" s="538"/>
      <c r="AO10" s="538"/>
      <c r="AP10" s="542"/>
      <c r="AQ10" s="543" cm="1">
        <f t="array" ref="AQ10">B10</f>
        <v>6</v>
      </c>
      <c r="AR10" s="18"/>
    </row>
    <row r="11" ht="16" customHeight="1">
      <c r="A11" s="12"/>
      <c r="B11" s="544" cm="1">
        <f t="array" ref="B11">IF(B10=0,0,IF(B10&lt;VLOOKUP(C2,'Boats Data Sheet 2026'!$C$3:$H$57,6,0),B10+1,0))</f>
        <v>7</v>
      </c>
      <c r="C11" s="538" cm="1">
        <f t="array" ref="C11">IF(B11&gt;0,IF(VLOOKUP(C2,'Boats Data Sheet 2026'!$C$3:$J$57,8,0)="N/A",0,VLOOKUP(C2,'Boats Data Sheet 2026'!$C$3:$J$57,8,0)),"N/A")</f>
        <v>0</v>
      </c>
      <c r="D11" s="545" cm="1">
        <f t="array" ref="D11">IF(B11&gt;7,2,IF(B11=0,"N/A",1))</f>
        <v>1</v>
      </c>
      <c r="E11" s="538" cm="1">
        <f t="array" ref="E11">_xlfn.IFERROR(SUM('Direct Costs 2026'!$C$4:$C$5)*D11,"N/A")</f>
        <v>875500</v>
      </c>
      <c r="F11" s="538" cm="1">
        <f t="array" ref="F11">_xlfn.IFERROR('Direct Costs 2026'!$C$43*B11,"N/A")</f>
        <v>42000</v>
      </c>
      <c r="G11" s="538" cm="1">
        <f t="array" ref="G11">IF(B11&gt;0,'Direct Costs 2026'!$C$25,"N/A")</f>
        <v>90000</v>
      </c>
      <c r="H11" s="538" cm="1">
        <f t="array" ref="H11">IF(B11&gt;0,'Direct Costs 2026'!$C$19+'Direct Costs 2026'!$C$18*B11,"N/A")</f>
        <v>320000</v>
      </c>
      <c r="I11" s="538" cm="1">
        <f t="array" ref="I11">IF(B11&gt;0,SUM('Direct Costs 2026'!$C$20:$C$21),"N/A")</f>
        <v>98333.3333333333</v>
      </c>
      <c r="J11" s="538">
        <v>0</v>
      </c>
      <c r="K11" s="538" cm="1">
        <f t="array" ref="K11">IF(B11&gt;0,'Direct Costs 2026'!$C$15+'Direct Costs 2026'!$C$14,"N/A")</f>
        <v>230000</v>
      </c>
      <c r="L11" s="538" cm="1">
        <f t="array" ref="L11">IF(B11&gt;0,'Direct Costs 2026'!$C$26,"N/A")</f>
        <v>20000</v>
      </c>
      <c r="M11" s="538" cm="1">
        <f t="array" ref="M11">IF(B11&gt;0,'Direct Costs 2026'!$C$23,"N/A")</f>
        <v>140000</v>
      </c>
      <c r="N11" s="538" cm="1">
        <f t="array" ref="N11">IF(B11&gt;0,'Direct Costs 2026'!$C$44*B11,"N/A")</f>
        <v>770000</v>
      </c>
      <c r="O11" s="538" cm="1">
        <f t="array" ref="O11">IF(B11&gt;0,_xlfn.IFERROR(VLOOKUP(C2,'Boats Data Sheet 2026'!$C$3:$I$57,7,0)*'Direct Costs 2026'!$C$36,"N/A"),"N/A")</f>
        <v>3325000</v>
      </c>
      <c r="P11" s="538" cm="1">
        <f t="array" ref="P11">IF(B11&gt;0,IF(OR(VLOOKUP(C2,'Boats Data Sheet 2026'!$C$3:$F$57,4,0)="Own",VLOOKUP(C2,'Boats Data Sheet 2026'!$C$3:$F$57,4,0)="Management"),('Direct Costs 2026'!$C$37+'Direct Costs 2026'!$C$39),"N/A"),"N/A")</f>
        <v>1112400</v>
      </c>
      <c r="Q11" s="538" cm="1">
        <f t="array" ref="Q11">_xlfn.IFERROR(IF(B11&gt;5,IF(B11&gt;11,IF(B11&gt;15,4,3),2),IF(B11=0,"N/A",1))*SUM('Direct Costs 2026'!$C$67:$C$68),"N/A")</f>
        <v>979200</v>
      </c>
      <c r="R11" s="538" cm="1">
        <f t="array" ref="R11">_xlfn.IFERROR('Direct Costs 2026'!$C$27*C11,"N/A")</f>
        <v>0</v>
      </c>
      <c r="S11" s="538" cm="1">
        <f t="array" ref="S11">_xlfn.IFERROR(C11+SUM(E11:R11),"N/A")</f>
        <v>8002433.33333333</v>
      </c>
      <c r="T11" s="424"/>
      <c r="U11" s="538" cm="1">
        <f t="array" ref="U11">IF(B11&gt;0,'Allocation OH and Target 2026'!$E$27,"N/A")</f>
        <v>2134447.30345641</v>
      </c>
      <c r="V11" s="538" cm="1">
        <f t="array" ref="V11">IF(B11&gt;0,'Allocation OH and Target 2026'!$E$28,"N/A")</f>
        <v>200042.323056976</v>
      </c>
      <c r="W11" s="538" cm="1">
        <f t="array" ref="W11">IF(B11&gt;0,VLOOKUP(C2,'Allocation OH and Target 2026'!$C$3:$T$23,17,0),"N/A")</f>
        <v>1099231.87846154</v>
      </c>
      <c r="X11" s="538" cm="1">
        <f t="array" ref="X11">IF(B11&gt;0,VLOOKUP(C2,'Allocation OH and Target 2026'!$C$3:$T$23,18,0),"N/A")</f>
        <v>98145.7034340659</v>
      </c>
      <c r="Y11" s="538" cm="1">
        <f t="array" ref="Y11">_xlfn.IFERROR(B11*(V11+X11),"N/A")</f>
        <v>2087316.18543729</v>
      </c>
      <c r="Z11" s="424"/>
      <c r="AA11" s="538" cm="1">
        <f t="array" ref="AA11">_xlfn.IFERROR(Y11+S11,"N/A")</f>
        <v>10089749.5187706</v>
      </c>
      <c r="AB11" s="538" cm="1">
        <f t="array" ref="AB11">_xlfn.IFERROR(AA11*0.5%,"N/A")</f>
        <v>50448.747593853</v>
      </c>
      <c r="AC11" s="538" cm="1">
        <f t="array" ref="AC11">_xlfn.IFERROR(AA11*25%,"N/A")</f>
        <v>2522437.37969265</v>
      </c>
      <c r="AD11" s="539" cm="1">
        <f t="array" ref="AD11">IF(B11&gt;0,SUM(AA11:AC11),"N/A")</f>
        <v>12662635.6460571</v>
      </c>
      <c r="AE11" s="538" cm="1">
        <f t="array" ref="AE11">_xlfn.IFERROR(AD11/B11,"N/A")</f>
        <v>1808947.94943673</v>
      </c>
      <c r="AF11" s="424"/>
      <c r="AG11" t="str" s="546" cm="1">
        <f t="array" ref="AG11">IF(B11/VLOOKUP(C2,'Boats Data Sheet 2026'!$C$3:$H$57,6,0)&gt;VLOOKUP(C2,'Allocation OH and Target 2026'!$C$3:$J$23,8,0),IF(SUM(AH4:AH10)=0,AE11,"N/A"),"N/A")</f>
        <v>N/A</v>
      </c>
      <c r="AH11" s="424" cm="1">
        <f t="array" ref="AH11">IF(AG11="N/A",0,1)</f>
        <v>0</v>
      </c>
      <c r="AI11" t="str" s="547" cm="1">
        <f t="array" ref="AI11">IF(B11/VLOOKUP(C2,'Boats Data Sheet 2026'!$C$3:$H$57,6,0)&gt;VLOOKUP(C2,'Allocation OH and Target 2026'!$C$3:$J$23,8,0),IF(SUM(AH4:AH10)=0,S11/B11,"N/A"),"N/A")</f>
        <v>N/A</v>
      </c>
      <c r="AJ11" s="424" cm="1">
        <f t="array" ref="AJ11">IF(AI11="N/A",0,1)</f>
        <v>0</v>
      </c>
      <c r="AK11" t="str" s="527" cm="1">
        <f t="array" ref="AK11">IF(SUM($AG$5:$AG$22)*B11&lt;SUM(AA11:AB11),"NO GO","GO")</f>
        <v>NO GO</v>
      </c>
      <c r="AL11" s="424"/>
      <c r="AM11" s="538"/>
      <c r="AN11" s="538"/>
      <c r="AO11" s="538"/>
      <c r="AP11" s="542"/>
      <c r="AQ11" s="543" cm="1">
        <f t="array" ref="AQ11">B11</f>
        <v>7</v>
      </c>
      <c r="AR11" s="18"/>
    </row>
    <row r="12" ht="16" customHeight="1">
      <c r="A12" s="12"/>
      <c r="B12" s="544" cm="1">
        <f t="array" ref="B12">IF(B11=0,0,IF(B11&lt;VLOOKUP(C2,'Boats Data Sheet 2026'!$C$3:$H$57,6,0),B11+1,0))</f>
        <v>8</v>
      </c>
      <c r="C12" s="538" cm="1">
        <f t="array" ref="C12">IF(B12&gt;0,IF(VLOOKUP(C2,'Boats Data Sheet 2026'!$C$3:$J$57,8,0)="N/A",0,VLOOKUP(C2,'Boats Data Sheet 2026'!$C$3:$J$57,8,0)),"N/A")</f>
        <v>0</v>
      </c>
      <c r="D12" s="545" cm="1">
        <f t="array" ref="D12">IF(B12&gt;7,2,IF(B12=0,"N/A",1))</f>
        <v>2</v>
      </c>
      <c r="E12" s="538" cm="1">
        <f t="array" ref="E12">_xlfn.IFERROR(SUM('Direct Costs 2026'!$C$4:$C$5)*D12,"N/A")</f>
        <v>1751000</v>
      </c>
      <c r="F12" s="538" cm="1">
        <f t="array" ref="F12">_xlfn.IFERROR('Direct Costs 2026'!$C$43*B12,"N/A")</f>
        <v>48000</v>
      </c>
      <c r="G12" s="538" cm="1">
        <f t="array" ref="G12">IF(B12&gt;0,'Direct Costs 2026'!$C$25,"N/A")</f>
        <v>90000</v>
      </c>
      <c r="H12" s="538" cm="1">
        <f t="array" ref="H12">IF(B12&gt;0,'Direct Costs 2026'!$C$19+'Direct Costs 2026'!$C$18*B12,"N/A")</f>
        <v>355000</v>
      </c>
      <c r="I12" s="538" cm="1">
        <f t="array" ref="I12">IF(B12&gt;0,SUM('Direct Costs 2026'!$C$20:$C$21),"N/A")</f>
        <v>98333.3333333333</v>
      </c>
      <c r="J12" s="538">
        <v>0</v>
      </c>
      <c r="K12" s="538" cm="1">
        <f t="array" ref="K12">IF(B12&gt;0,'Direct Costs 2026'!$C$15+'Direct Costs 2026'!$C$14,"N/A")</f>
        <v>230000</v>
      </c>
      <c r="L12" s="538" cm="1">
        <f t="array" ref="L12">IF(B12&gt;0,'Direct Costs 2026'!$C$26,"N/A")</f>
        <v>20000</v>
      </c>
      <c r="M12" s="538" cm="1">
        <f t="array" ref="M12">IF(B12&gt;0,'Direct Costs 2026'!$C$23,"N/A")</f>
        <v>140000</v>
      </c>
      <c r="N12" s="538" cm="1">
        <f t="array" ref="N12">IF(B12&gt;0,'Direct Costs 2026'!$C$44*B12,"N/A")</f>
        <v>880000</v>
      </c>
      <c r="O12" s="538" cm="1">
        <f t="array" ref="O12">IF(B12&gt;0,_xlfn.IFERROR(VLOOKUP(C2,'Boats Data Sheet 2026'!$C$3:$I$57,7,0)*'Direct Costs 2026'!$C$36,"N/A"),"N/A")</f>
        <v>3325000</v>
      </c>
      <c r="P12" s="538" cm="1">
        <f t="array" ref="P12">IF(B12&gt;0,IF(OR(VLOOKUP(C2,'Boats Data Sheet 2026'!$C$3:$F$57,4,0)="Own",VLOOKUP(C2,'Boats Data Sheet 2026'!$C$3:$F$57,4,0)="Management"),('Direct Costs 2026'!$C$37+'Direct Costs 2026'!$C$39),"N/A"),"N/A")</f>
        <v>1112400</v>
      </c>
      <c r="Q12" s="538" cm="1">
        <f t="array" ref="Q12">_xlfn.IFERROR(IF(B12&gt;5,IF(B12&gt;11,IF(B12&gt;15,4,3),2),IF(B12=0,"N/A",1))*SUM('Direct Costs 2026'!$C$67:$C$68),"N/A")</f>
        <v>979200</v>
      </c>
      <c r="R12" s="538" cm="1">
        <f t="array" ref="R12">_xlfn.IFERROR('Direct Costs 2026'!$C$27*C12,"N/A")</f>
        <v>0</v>
      </c>
      <c r="S12" s="538" cm="1">
        <f t="array" ref="S12">_xlfn.IFERROR(C12+SUM(E12:R12),"N/A")</f>
        <v>9028933.33333333</v>
      </c>
      <c r="T12" s="424"/>
      <c r="U12" s="538" cm="1">
        <f t="array" ref="U12">IF(B12&gt;0,'Allocation OH and Target 2026'!$E$27,"N/A")</f>
        <v>2134447.30345641</v>
      </c>
      <c r="V12" s="538" cm="1">
        <f t="array" ref="V12">IF(B12&gt;0,'Allocation OH and Target 2026'!$E$28,"N/A")</f>
        <v>200042.323056976</v>
      </c>
      <c r="W12" s="538" cm="1">
        <f t="array" ref="W12">IF(B12&gt;0,VLOOKUP(C2,'Allocation OH and Target 2026'!$C$3:$T$23,17,0),"N/A")</f>
        <v>1099231.87846154</v>
      </c>
      <c r="X12" s="538" cm="1">
        <f t="array" ref="X12">IF(B12&gt;0,VLOOKUP(C2,'Allocation OH and Target 2026'!$C$3:$T$23,18,0),"N/A")</f>
        <v>98145.7034340659</v>
      </c>
      <c r="Y12" s="538" cm="1">
        <f t="array" ref="Y12">_xlfn.IFERROR(B12*(V12+X12),"N/A")</f>
        <v>2385504.21192834</v>
      </c>
      <c r="Z12" s="424"/>
      <c r="AA12" s="538" cm="1">
        <f t="array" ref="AA12">_xlfn.IFERROR(Y12+S12,"N/A")</f>
        <v>11414437.5452617</v>
      </c>
      <c r="AB12" s="538" cm="1">
        <f t="array" ref="AB12">_xlfn.IFERROR(AA12*0.5%,"N/A")</f>
        <v>57072.1877263085</v>
      </c>
      <c r="AC12" s="538" cm="1">
        <f t="array" ref="AC12">_xlfn.IFERROR(AA12*25%,"N/A")</f>
        <v>2853609.38631543</v>
      </c>
      <c r="AD12" s="539" cm="1">
        <f t="array" ref="AD12">IF(B12&gt;0,SUM(AA12:AC12),"N/A")</f>
        <v>14325119.1193034</v>
      </c>
      <c r="AE12" s="538" cm="1">
        <f t="array" ref="AE12">_xlfn.IFERROR(AD12/B12,"N/A")</f>
        <v>1790639.88991293</v>
      </c>
      <c r="AF12" s="424"/>
      <c r="AG12" t="str" s="546" cm="1">
        <f t="array" ref="AG12">IF(B12/VLOOKUP(C2,'Boats Data Sheet 2026'!$C$3:$H$57,6,0)&gt;VLOOKUP(C2,'Allocation OH and Target 2026'!$C$3:$J$23,8,0),IF(SUM(AH4:AH11)=0,AE12,"N/A"),"N/A")</f>
        <v>N/A</v>
      </c>
      <c r="AH12" s="424" cm="1">
        <f t="array" ref="AH12">IF(AG12="N/A",0,1)</f>
        <v>0</v>
      </c>
      <c r="AI12" t="str" s="547" cm="1">
        <f t="array" ref="AI12">IF(B12/VLOOKUP(C2,'Boats Data Sheet 2026'!$C$3:$H$57,6,0)&gt;VLOOKUP(C2,'Allocation OH and Target 2026'!$C$3:$J$23,8,0),IF(SUM(AH4:AH11)=0,S12/B12,"N/A"),"N/A")</f>
        <v>N/A</v>
      </c>
      <c r="AJ12" s="424" cm="1">
        <f t="array" ref="AJ12">IF(AI12="N/A",0,1)</f>
        <v>0</v>
      </c>
      <c r="AK12" t="str" s="527" cm="1">
        <f t="array" ref="AK12">IF(SUM($AG$5:$AG$22)*B12&lt;SUM(AA12:AB12),"NO GO","GO")</f>
        <v>NO GO</v>
      </c>
      <c r="AL12" s="424"/>
      <c r="AM12" s="538"/>
      <c r="AN12" s="538"/>
      <c r="AO12" s="538"/>
      <c r="AP12" s="542"/>
      <c r="AQ12" s="543" cm="1">
        <f t="array" ref="AQ12">B12</f>
        <v>8</v>
      </c>
      <c r="AR12" s="548"/>
    </row>
    <row r="13" ht="16" customHeight="1">
      <c r="A13" s="12"/>
      <c r="B13" s="544" cm="1">
        <f t="array" ref="B13">IF(B12=0,0,IF(B12&lt;VLOOKUP(C2,'Boats Data Sheet 2026'!$C$3:$H$57,6,0),B12+1,0))</f>
        <v>9</v>
      </c>
      <c r="C13" s="538" cm="1">
        <f t="array" ref="C13">IF(B13&gt;0,IF(VLOOKUP(C2,'Boats Data Sheet 2026'!$C$3:$J$57,8,0)="N/A",0,VLOOKUP(C2,'Boats Data Sheet 2026'!$C$3:$J$57,8,0)),"N/A")</f>
        <v>0</v>
      </c>
      <c r="D13" s="545" cm="1">
        <f t="array" ref="D13">IF(B13&gt;7,2,IF(B13=0,"N/A",1))</f>
        <v>2</v>
      </c>
      <c r="E13" s="538" cm="1">
        <f t="array" ref="E13">_xlfn.IFERROR(SUM('Direct Costs 2026'!$C$4:$C$5)*D13,"N/A")</f>
        <v>1751000</v>
      </c>
      <c r="F13" s="538" cm="1">
        <f t="array" ref="F13">_xlfn.IFERROR('Direct Costs 2026'!$C$43*B13,"N/A")</f>
        <v>54000</v>
      </c>
      <c r="G13" s="538" cm="1">
        <f t="array" ref="G13">IF(B13&gt;0,'Direct Costs 2026'!$C$25,"N/A")</f>
        <v>90000</v>
      </c>
      <c r="H13" s="538" cm="1">
        <f t="array" ref="H13">IF(B13&gt;0,'Direct Costs 2026'!$C$19+'Direct Costs 2026'!$C$18*B13,"N/A")</f>
        <v>390000</v>
      </c>
      <c r="I13" s="538" cm="1">
        <f t="array" ref="I13">IF(B13&gt;0,SUM('Direct Costs 2026'!$C$20:$C$21),"N/A")</f>
        <v>98333.3333333333</v>
      </c>
      <c r="J13" s="538">
        <v>0</v>
      </c>
      <c r="K13" s="538" cm="1">
        <f t="array" ref="K13">IF(B13&gt;0,'Direct Costs 2026'!$C$15+'Direct Costs 2026'!$C$14,"N/A")</f>
        <v>230000</v>
      </c>
      <c r="L13" s="538" cm="1">
        <f t="array" ref="L13">IF(B13&gt;0,'Direct Costs 2026'!$C$26,"N/A")</f>
        <v>20000</v>
      </c>
      <c r="M13" s="538" cm="1">
        <f t="array" ref="M13">IF(B13&gt;0,'Direct Costs 2026'!$C$23,"N/A")</f>
        <v>140000</v>
      </c>
      <c r="N13" s="538" cm="1">
        <f t="array" ref="N13">IF(B13&gt;0,'Direct Costs 2026'!$C$44*B13,"N/A")</f>
        <v>990000</v>
      </c>
      <c r="O13" s="538" cm="1">
        <f t="array" ref="O13">IF(B13&gt;0,_xlfn.IFERROR(VLOOKUP(C2,'Boats Data Sheet 2026'!$C$3:$I$57,7,0)*'Direct Costs 2026'!$C$36,"N/A"),"N/A")</f>
        <v>3325000</v>
      </c>
      <c r="P13" s="538" cm="1">
        <f t="array" ref="P13">IF(B13&gt;0,IF(OR(VLOOKUP(C2,'Boats Data Sheet 2026'!$C$3:$F$57,4,0)="Own",VLOOKUP(C2,'Boats Data Sheet 2026'!$C$3:$F$57,4,0)="Management"),('Direct Costs 2026'!$C$37+'Direct Costs 2026'!$C$39),"N/A"),"N/A")</f>
        <v>1112400</v>
      </c>
      <c r="Q13" s="538" cm="1">
        <f t="array" ref="Q13">_xlfn.IFERROR(IF(B13&gt;5,IF(B13&gt;11,IF(B13&gt;15,4,3),2),IF(B13=0,"N/A",1))*SUM('Direct Costs 2026'!$C$67:$C$68),"N/A")</f>
        <v>979200</v>
      </c>
      <c r="R13" s="538" cm="1">
        <f t="array" ref="R13">_xlfn.IFERROR('Direct Costs 2026'!$C$27*C13,"N/A")</f>
        <v>0</v>
      </c>
      <c r="S13" s="538" cm="1">
        <f t="array" ref="S13">_xlfn.IFERROR(C13+SUM(E13:R13),"N/A")</f>
        <v>9179933.33333333</v>
      </c>
      <c r="T13" s="424"/>
      <c r="U13" s="538" cm="1">
        <f t="array" ref="U13">IF(B13&gt;0,'Allocation OH and Target 2026'!$E$27,"N/A")</f>
        <v>2134447.30345641</v>
      </c>
      <c r="V13" s="538" cm="1">
        <f t="array" ref="V13">IF(B13&gt;0,'Allocation OH and Target 2026'!$E$28,"N/A")</f>
        <v>200042.323056976</v>
      </c>
      <c r="W13" s="538" cm="1">
        <f t="array" ref="W13">IF(B13&gt;0,VLOOKUP(C2,'Allocation OH and Target 2026'!$C$3:$T$23,17,0),"N/A")</f>
        <v>1099231.87846154</v>
      </c>
      <c r="X13" s="538" cm="1">
        <f t="array" ref="X13">IF(B13&gt;0,VLOOKUP(C2,'Allocation OH and Target 2026'!$C$3:$T$23,18,0),"N/A")</f>
        <v>98145.7034340659</v>
      </c>
      <c r="Y13" s="538" cm="1">
        <f t="array" ref="Y13">_xlfn.IFERROR(B13*(V13+X13),"N/A")</f>
        <v>2683692.23841938</v>
      </c>
      <c r="Z13" s="424"/>
      <c r="AA13" s="538" cm="1">
        <f t="array" ref="AA13">_xlfn.IFERROR(Y13+S13,"N/A")</f>
        <v>11863625.5717527</v>
      </c>
      <c r="AB13" s="538" cm="1">
        <f t="array" ref="AB13">_xlfn.IFERROR(AA13*0.5%,"N/A")</f>
        <v>59318.1278587635</v>
      </c>
      <c r="AC13" s="538" cm="1">
        <f t="array" ref="AC13">_xlfn.IFERROR(AA13*25%,"N/A")</f>
        <v>2965906.39293818</v>
      </c>
      <c r="AD13" s="539" cm="1">
        <f t="array" ref="AD13">IF(B13&gt;0,SUM(AA13:AC13),"N/A")</f>
        <v>14888850.0925496</v>
      </c>
      <c r="AE13" s="538" cm="1">
        <f t="array" ref="AE13">_xlfn.IFERROR(AD13/B13,"N/A")</f>
        <v>1654316.67694996</v>
      </c>
      <c r="AF13" s="424"/>
      <c r="AG13" t="str" s="546" cm="1">
        <f t="array" ref="AG13">IF(B13/VLOOKUP(C2,'Boats Data Sheet 2026'!$C$3:$H$57,6,0)&gt;VLOOKUP(C2,'Allocation OH and Target 2026'!$C$3:$J$23,8,0),IF(SUM(AH4:AH12)=0,AE13,"N/A"),"N/A")</f>
        <v>N/A</v>
      </c>
      <c r="AH13" s="424" cm="1">
        <f t="array" ref="AH13">IF(AG13="N/A",0,1)</f>
        <v>0</v>
      </c>
      <c r="AI13" t="str" s="547" cm="1">
        <f t="array" ref="AI13">IF(B13/VLOOKUP(C2,'Boats Data Sheet 2026'!$C$3:$H$57,6,0)&gt;VLOOKUP(C2,'Allocation OH and Target 2026'!$C$3:$J$23,8,0),IF(SUM(AH4:AH12)=0,S13/B13,"N/A"),"N/A")</f>
        <v>N/A</v>
      </c>
      <c r="AJ13" s="424" cm="1">
        <f t="array" ref="AJ13">IF(AI13="N/A",0,1)</f>
        <v>0</v>
      </c>
      <c r="AK13" t="str" s="527" cm="1">
        <f t="array" ref="AK13">IF(SUM($AG$5:$AG$22)*B13&lt;SUM(AA13:AB13),"NO GO","GO")</f>
        <v>GO</v>
      </c>
      <c r="AL13" s="424"/>
      <c r="AM13" s="538"/>
      <c r="AN13" s="538"/>
      <c r="AO13" s="538"/>
      <c r="AP13" s="542"/>
      <c r="AQ13" s="543" cm="1">
        <f t="array" ref="AQ13">B13</f>
        <v>9</v>
      </c>
      <c r="AR13" s="18"/>
    </row>
    <row r="14" ht="16" customHeight="1">
      <c r="A14" s="12"/>
      <c r="B14" s="544" cm="1">
        <f t="array" ref="B14">IF(B13=0,0,IF(B13&lt;VLOOKUP(C2,'Boats Data Sheet 2026'!$C$3:$H$57,6,0),B13+1,0))</f>
        <v>10</v>
      </c>
      <c r="C14" s="538" cm="1">
        <f t="array" ref="C14">IF(B14&gt;0,IF(VLOOKUP(C2,'Boats Data Sheet 2026'!$C$3:$J$57,8,0)="N/A",0,VLOOKUP(C2,'Boats Data Sheet 2026'!$C$3:$J$57,8,0)),"N/A")</f>
        <v>0</v>
      </c>
      <c r="D14" s="545" cm="1">
        <f t="array" ref="D14">IF(B14&gt;7,2,IF(B14=0,"N/A",1))</f>
        <v>2</v>
      </c>
      <c r="E14" s="538" cm="1">
        <f t="array" ref="E14">_xlfn.IFERROR(SUM('Direct Costs 2026'!$C$4:$C$5)*D14,"N/A")</f>
        <v>1751000</v>
      </c>
      <c r="F14" s="538" cm="1">
        <f t="array" ref="F14">_xlfn.IFERROR('Direct Costs 2026'!$C$43*B14,"N/A")</f>
        <v>60000</v>
      </c>
      <c r="G14" s="538" cm="1">
        <f t="array" ref="G14">IF(B14&gt;0,'Direct Costs 2026'!$C$25,"N/A")</f>
        <v>90000</v>
      </c>
      <c r="H14" s="538" cm="1">
        <f t="array" ref="H14">IF(B14&gt;0,'Direct Costs 2026'!$C$19+'Direct Costs 2026'!$C$18*B14,"N/A")</f>
        <v>425000</v>
      </c>
      <c r="I14" s="538" cm="1">
        <f t="array" ref="I14">IF(B14&gt;0,SUM('Direct Costs 2026'!$C$20:$C$21),"N/A")</f>
        <v>98333.3333333333</v>
      </c>
      <c r="J14" s="538">
        <v>0</v>
      </c>
      <c r="K14" s="538" cm="1">
        <f t="array" ref="K14">IF(B14&gt;0,'Direct Costs 2026'!$C$15+'Direct Costs 2026'!$C$14,"N/A")</f>
        <v>230000</v>
      </c>
      <c r="L14" s="538" cm="1">
        <f t="array" ref="L14">IF(B14&gt;0,'Direct Costs 2026'!$C$26,"N/A")</f>
        <v>20000</v>
      </c>
      <c r="M14" s="538" cm="1">
        <f t="array" ref="M14">IF(B14&gt;0,'Direct Costs 2026'!$C$23,"N/A")</f>
        <v>140000</v>
      </c>
      <c r="N14" s="538" cm="1">
        <f t="array" ref="N14">IF(B14&gt;0,'Direct Costs 2026'!$C$44*B14,"N/A")</f>
        <v>1100000</v>
      </c>
      <c r="O14" s="538" cm="1">
        <f t="array" ref="O14">IF(B14&gt;0,_xlfn.IFERROR(VLOOKUP(C2,'Boats Data Sheet 2026'!$C$3:$I$57,7,0)*'Direct Costs 2026'!$C$36,"N/A"),"N/A")</f>
        <v>3325000</v>
      </c>
      <c r="P14" s="538" cm="1">
        <f t="array" ref="P14">IF(B14&gt;0,IF(OR(VLOOKUP(C2,'Boats Data Sheet 2026'!$C$3:$F$57,4,0)="Own",VLOOKUP(C2,'Boats Data Sheet 2026'!$C$3:$F$57,4,0)="Management"),('Direct Costs 2026'!$C$37+'Direct Costs 2026'!$C$39),"N/A"),"N/A")</f>
        <v>1112400</v>
      </c>
      <c r="Q14" s="538" cm="1">
        <f t="array" ref="Q14">_xlfn.IFERROR(IF(B14&gt;5,IF(B14&gt;11,IF(B14&gt;15,4,3),2),IF(B14=0,"N/A",1))*SUM('Direct Costs 2026'!$C$67:$C$68),"N/A")</f>
        <v>979200</v>
      </c>
      <c r="R14" s="538" cm="1">
        <f t="array" ref="R14">_xlfn.IFERROR('Direct Costs 2026'!$C$27*C14,"N/A")</f>
        <v>0</v>
      </c>
      <c r="S14" s="538" cm="1">
        <f t="array" ref="S14">_xlfn.IFERROR(C14+SUM(E14:R14),"N/A")</f>
        <v>9330933.33333333</v>
      </c>
      <c r="T14" s="424"/>
      <c r="U14" s="538" cm="1">
        <f t="array" ref="U14">IF(B14&gt;0,'Allocation OH and Target 2026'!$E$27,"N/A")</f>
        <v>2134447.30345641</v>
      </c>
      <c r="V14" s="538" cm="1">
        <f t="array" ref="V14">IF(B14&gt;0,'Allocation OH and Target 2026'!$E$28,"N/A")</f>
        <v>200042.323056976</v>
      </c>
      <c r="W14" s="538" cm="1">
        <f t="array" ref="W14">IF(B14&gt;0,VLOOKUP(C2,'Allocation OH and Target 2026'!$C$3:$T$23,17,0),"N/A")</f>
        <v>1099231.87846154</v>
      </c>
      <c r="X14" s="538" cm="1">
        <f t="array" ref="X14">IF(B14&gt;0,VLOOKUP(C2,'Allocation OH and Target 2026'!$C$3:$T$23,18,0),"N/A")</f>
        <v>98145.7034340659</v>
      </c>
      <c r="Y14" s="538" cm="1">
        <f t="array" ref="Y14">_xlfn.IFERROR(B14*(V14+X14),"N/A")</f>
        <v>2981880.26491042</v>
      </c>
      <c r="Z14" s="424"/>
      <c r="AA14" s="538" cm="1">
        <f t="array" ref="AA14">_xlfn.IFERROR(Y14+S14,"N/A")</f>
        <v>12312813.5982438</v>
      </c>
      <c r="AB14" s="538" cm="1">
        <f t="array" ref="AB14">_xlfn.IFERROR(AA14*0.5%,"N/A")</f>
        <v>61564.067991219</v>
      </c>
      <c r="AC14" s="538" cm="1">
        <f t="array" ref="AC14">_xlfn.IFERROR(AA14*25%,"N/A")</f>
        <v>3078203.39956095</v>
      </c>
      <c r="AD14" s="539" cm="1">
        <f t="array" ref="AD14">IF(B14&gt;0,SUM(AA14:AC14),"N/A")</f>
        <v>15452581.065796</v>
      </c>
      <c r="AE14" s="538" cm="1">
        <f t="array" ref="AE14">_xlfn.IFERROR(AD14/B14,"N/A")</f>
        <v>1545258.1065796</v>
      </c>
      <c r="AF14" s="424"/>
      <c r="AG14" t="str" s="546" cm="1">
        <f t="array" ref="AG14">IF(B14/VLOOKUP(C2,'Boats Data Sheet 2026'!$C$3:$H$57,6,0)&gt;VLOOKUP(C2,'Allocation OH and Target 2026'!$C$3:$J$23,8,0),IF(SUM(AH4:AH13)=0,AE14,"N/A"),"N/A")</f>
        <v>N/A</v>
      </c>
      <c r="AH14" s="424" cm="1">
        <f t="array" ref="AH14">IF(AG14="N/A",0,1)</f>
        <v>0</v>
      </c>
      <c r="AI14" t="str" s="547" cm="1">
        <f t="array" ref="AI14">IF(B14/VLOOKUP(C2,'Boats Data Sheet 2026'!$C$3:$H$57,6,0)&gt;VLOOKUP(C2,'Allocation OH and Target 2026'!$C$3:$J$23,8,0),IF(SUM(AH4:AH13)=0,S14/B14,"N/A"),"N/A")</f>
        <v>N/A</v>
      </c>
      <c r="AJ14" s="424" cm="1">
        <f t="array" ref="AJ14">IF(AI14="N/A",0,1)</f>
        <v>0</v>
      </c>
      <c r="AK14" t="str" s="527" cm="1">
        <f t="array" ref="AK14">IF(SUM($AG$5:$AG$22)*B14&lt;SUM(AA14:AB14),"NO GO","GO")</f>
        <v>GO</v>
      </c>
      <c r="AL14" s="424"/>
      <c r="AM14" s="538"/>
      <c r="AN14" s="538"/>
      <c r="AO14" s="538"/>
      <c r="AP14" s="542"/>
      <c r="AQ14" s="543" cm="1">
        <f t="array" ref="AQ14">B14</f>
        <v>10</v>
      </c>
      <c r="AR14" s="18"/>
    </row>
    <row r="15" ht="16" customHeight="1">
      <c r="A15" s="12"/>
      <c r="B15" s="544" cm="1">
        <f t="array" ref="B15">IF(B14=0,0,IF(B14&lt;VLOOKUP(C2,'Boats Data Sheet 2026'!$C$3:$H$57,6,0),B14+1,0))</f>
        <v>11</v>
      </c>
      <c r="C15" s="538" cm="1">
        <f t="array" ref="C15">IF(B15&gt;0,IF(VLOOKUP(C2,'Boats Data Sheet 2026'!$C$3:$J$57,8,0)="N/A",0,VLOOKUP(C2,'Boats Data Sheet 2026'!$C$3:$J$57,8,0)),"N/A")</f>
        <v>0</v>
      </c>
      <c r="D15" s="545" cm="1">
        <f t="array" ref="D15">IF(B15&gt;7,2,IF(B15=0,"N/A",1))</f>
        <v>2</v>
      </c>
      <c r="E15" s="538" cm="1">
        <f t="array" ref="E15">_xlfn.IFERROR(SUM('Direct Costs 2026'!$C$4:$C$5)*D15,"N/A")</f>
        <v>1751000</v>
      </c>
      <c r="F15" s="538" cm="1">
        <f t="array" ref="F15">_xlfn.IFERROR('Direct Costs 2026'!$C$43*B15,"N/A")</f>
        <v>66000</v>
      </c>
      <c r="G15" s="538" cm="1">
        <f t="array" ref="G15">IF(B15&gt;0,'Direct Costs 2026'!$C$25,"N/A")</f>
        <v>90000</v>
      </c>
      <c r="H15" s="538" cm="1">
        <f t="array" ref="H15">IF(B15&gt;0,'Direct Costs 2026'!$C$19+'Direct Costs 2026'!$C$18*B15,"N/A")</f>
        <v>460000</v>
      </c>
      <c r="I15" s="538" cm="1">
        <f t="array" ref="I15">IF(B15&gt;0,SUM('Direct Costs 2026'!$C$20:$C$21),"N/A")</f>
        <v>98333.3333333333</v>
      </c>
      <c r="J15" s="538">
        <v>0</v>
      </c>
      <c r="K15" s="538" cm="1">
        <f t="array" ref="K15">IF(B15&gt;0,'Direct Costs 2026'!$C$15+'Direct Costs 2026'!$C$14,"N/A")</f>
        <v>230000</v>
      </c>
      <c r="L15" s="538" cm="1">
        <f t="array" ref="L15">IF(B15&gt;0,'Direct Costs 2026'!$C$26,"N/A")</f>
        <v>20000</v>
      </c>
      <c r="M15" s="538" cm="1">
        <f t="array" ref="M15">IF(B15&gt;0,'Direct Costs 2026'!$C$23,"N/A")</f>
        <v>140000</v>
      </c>
      <c r="N15" s="538" cm="1">
        <f t="array" ref="N15">IF(B15&gt;0,'Direct Costs 2026'!$C$44*B15,"N/A")</f>
        <v>1210000</v>
      </c>
      <c r="O15" s="538" cm="1">
        <f t="array" ref="O15">IF(B15&gt;0,_xlfn.IFERROR(VLOOKUP(C2,'Boats Data Sheet 2026'!$C$3:$I$57,7,0)*'Direct Costs 2026'!$C$36,"N/A"),"N/A")</f>
        <v>3325000</v>
      </c>
      <c r="P15" s="538" cm="1">
        <f t="array" ref="P15">IF(B15&gt;0,IF(OR(VLOOKUP(C2,'Boats Data Sheet 2026'!$C$3:$F$57,4,0)="Own",VLOOKUP(C2,'Boats Data Sheet 2026'!$C$3:$F$57,4,0)="Management"),('Direct Costs 2026'!$C$37+'Direct Costs 2026'!$C$39),"N/A"),"N/A")</f>
        <v>1112400</v>
      </c>
      <c r="Q15" s="538" cm="1">
        <f t="array" ref="Q15">_xlfn.IFERROR(IF(B15&gt;5,IF(B15&gt;11,IF(B15&gt;15,4,3),2),IF(B15=0,"N/A",1))*SUM('Direct Costs 2026'!$C$67:$C$68),"N/A")</f>
        <v>979200</v>
      </c>
      <c r="R15" s="538" cm="1">
        <f t="array" ref="R15">_xlfn.IFERROR('Direct Costs 2026'!$C$27*C15,"N/A")</f>
        <v>0</v>
      </c>
      <c r="S15" s="538" cm="1">
        <f t="array" ref="S15">_xlfn.IFERROR(C15+SUM(E15:R15),"N/A")</f>
        <v>9481933.33333333</v>
      </c>
      <c r="T15" s="424"/>
      <c r="U15" s="538" cm="1">
        <f t="array" ref="U15">IF(B15&gt;0,'Allocation OH and Target 2026'!$E$27,"N/A")</f>
        <v>2134447.30345641</v>
      </c>
      <c r="V15" s="538" cm="1">
        <f t="array" ref="V15">IF(B15&gt;0,'Allocation OH and Target 2026'!$E$28,"N/A")</f>
        <v>200042.323056976</v>
      </c>
      <c r="W15" s="538" cm="1">
        <f t="array" ref="W15">IF(B15&gt;0,VLOOKUP(C2,'Allocation OH and Target 2026'!$C$3:$T$23,17,0),"N/A")</f>
        <v>1099231.87846154</v>
      </c>
      <c r="X15" s="538" cm="1">
        <f t="array" ref="X15">IF(B15&gt;0,VLOOKUP(C2,'Allocation OH and Target 2026'!$C$3:$T$23,18,0),"N/A")</f>
        <v>98145.7034340659</v>
      </c>
      <c r="Y15" s="538" cm="1">
        <f t="array" ref="Y15">_xlfn.IFERROR(B15*(V15+X15),"N/A")</f>
        <v>3280068.29140146</v>
      </c>
      <c r="Z15" s="424"/>
      <c r="AA15" s="538" cm="1">
        <f t="array" ref="AA15">_xlfn.IFERROR(Y15+S15,"N/A")</f>
        <v>12762001.6247348</v>
      </c>
      <c r="AB15" s="538" cm="1">
        <f t="array" ref="AB15">_xlfn.IFERROR(AA15*0.5%,"N/A")</f>
        <v>63810.008123674</v>
      </c>
      <c r="AC15" s="538" cm="1">
        <f t="array" ref="AC15">_xlfn.IFERROR(AA15*25%,"N/A")</f>
        <v>3190500.4061837</v>
      </c>
      <c r="AD15" s="539" cm="1">
        <f t="array" ref="AD15">IF(B15&gt;0,SUM(AA15:AC15),"N/A")</f>
        <v>16016312.0390422</v>
      </c>
      <c r="AE15" s="538" cm="1">
        <f t="array" ref="AE15">_xlfn.IFERROR(AD15/B15,"N/A")</f>
        <v>1456028.36718565</v>
      </c>
      <c r="AF15" s="424"/>
      <c r="AG15" t="str" s="546" cm="1">
        <f t="array" ref="AG15">IF(B15/VLOOKUP(C2,'Boats Data Sheet 2026'!$C$3:$H$57,6,0)&gt;VLOOKUP(C2,'Allocation OH and Target 2026'!$C$3:$J$23,8,0),IF(SUM(AH4:AH14)=0,AE15,"N/A"),"N/A")</f>
        <v>N/A</v>
      </c>
      <c r="AH15" s="424" cm="1">
        <f t="array" ref="AH15">IF(AG15="N/A",0,1)</f>
        <v>0</v>
      </c>
      <c r="AI15" t="str" s="547" cm="1">
        <f t="array" ref="AI15">IF(B15/VLOOKUP(C2,'Boats Data Sheet 2026'!$C$3:$H$57,6,0)&gt;VLOOKUP(C2,'Allocation OH and Target 2026'!$C$3:$J$23,8,0),IF(SUM(AH4:AH14)=0,S15/B15,"N/A"),"N/A")</f>
        <v>N/A</v>
      </c>
      <c r="AJ15" s="424" cm="1">
        <f t="array" ref="AJ15">IF(AI15="N/A",0,1)</f>
        <v>0</v>
      </c>
      <c r="AK15" t="str" s="527" cm="1">
        <f t="array" ref="AK15">IF(SUM($AG$5:$AG$22)*B15&lt;SUM(AA15:AB15),"NO GO","GO")</f>
        <v>GO</v>
      </c>
      <c r="AL15" s="424"/>
      <c r="AM15" s="538"/>
      <c r="AN15" s="538"/>
      <c r="AO15" s="538"/>
      <c r="AP15" s="542"/>
      <c r="AQ15" s="543" cm="1">
        <f t="array" ref="AQ15">B15</f>
        <v>11</v>
      </c>
      <c r="AR15" s="18"/>
    </row>
    <row r="16" ht="16" customHeight="1">
      <c r="A16" s="12"/>
      <c r="B16" s="544" cm="1">
        <f t="array" ref="B16">IF(B15=0,0,IF(B15&lt;VLOOKUP(C2,'Boats Data Sheet 2026'!$C$3:$H$57,6,0),B15+1,0))</f>
        <v>12</v>
      </c>
      <c r="C16" s="538" cm="1">
        <f t="array" ref="C16">IF(B16&gt;0,IF(VLOOKUP(C2,'Boats Data Sheet 2026'!$C$3:$J$57,8,0)="N/A",0,VLOOKUP(C2,'Boats Data Sheet 2026'!$C$3:$J$57,8,0)),"N/A")</f>
        <v>0</v>
      </c>
      <c r="D16" s="545" cm="1">
        <f t="array" ref="D16">IF(B16&gt;7,2,IF(B16=0,"N/A",1))</f>
        <v>2</v>
      </c>
      <c r="E16" s="538" cm="1">
        <f t="array" ref="E16">_xlfn.IFERROR(SUM('Direct Costs 2026'!$C$4:$C$5)*D16,"N/A")</f>
        <v>1751000</v>
      </c>
      <c r="F16" s="538" cm="1">
        <f t="array" ref="F16">_xlfn.IFERROR('Direct Costs 2026'!$C$43*B16,"N/A")</f>
        <v>72000</v>
      </c>
      <c r="G16" s="538" cm="1">
        <f t="array" ref="G16">IF(B16&gt;0,'Direct Costs 2026'!$C$25,"N/A")</f>
        <v>90000</v>
      </c>
      <c r="H16" s="538" cm="1">
        <f t="array" ref="H16">IF(B16&gt;0,'Direct Costs 2026'!$C$19+'Direct Costs 2026'!$C$18*B16,"N/A")</f>
        <v>495000</v>
      </c>
      <c r="I16" s="538" cm="1">
        <f t="array" ref="I16">IF(B16&gt;0,SUM('Direct Costs 2026'!$C$20:$C$21),"N/A")</f>
        <v>98333.3333333333</v>
      </c>
      <c r="J16" s="538">
        <v>0</v>
      </c>
      <c r="K16" s="538" cm="1">
        <f t="array" ref="K16">IF(B16&gt;0,'Direct Costs 2026'!$C$15+'Direct Costs 2026'!$C$14,"N/A")</f>
        <v>230000</v>
      </c>
      <c r="L16" s="538" cm="1">
        <f t="array" ref="L16">IF(B16&gt;0,'Direct Costs 2026'!$C$26,"N/A")</f>
        <v>20000</v>
      </c>
      <c r="M16" s="538" cm="1">
        <f t="array" ref="M16">IF(B16&gt;0,'Direct Costs 2026'!$C$23,"N/A")</f>
        <v>140000</v>
      </c>
      <c r="N16" s="538" cm="1">
        <f t="array" ref="N16">IF(B16&gt;0,'Direct Costs 2026'!$C$44*B16,"N/A")</f>
        <v>1320000</v>
      </c>
      <c r="O16" s="538" cm="1">
        <f t="array" ref="O16">IF(B16&gt;0,_xlfn.IFERROR(VLOOKUP(C2,'Boats Data Sheet 2026'!$C$3:$I$57,7,0)*'Direct Costs 2026'!$C$36,"N/A"),"N/A")</f>
        <v>3325000</v>
      </c>
      <c r="P16" s="538" cm="1">
        <f t="array" ref="P16">IF(B16&gt;0,IF(OR(VLOOKUP(C2,'Boats Data Sheet 2026'!$C$3:$F$57,4,0)="Own",VLOOKUP(C2,'Boats Data Sheet 2026'!$C$3:$F$57,4,0)="Management"),('Direct Costs 2026'!$C$37+'Direct Costs 2026'!$C$39),"N/A"),"N/A")</f>
        <v>1112400</v>
      </c>
      <c r="Q16" s="538" cm="1">
        <f t="array" ref="Q16">_xlfn.IFERROR(IF(B16&gt;5,IF(B16&gt;11,IF(B16&gt;15,4,3),2),IF(B16=0,"N/A",1))*SUM('Direct Costs 2026'!$C$67:$C$68),"N/A")</f>
        <v>1468800</v>
      </c>
      <c r="R16" s="538" cm="1">
        <f t="array" ref="R16">_xlfn.IFERROR('Direct Costs 2026'!$C$27*C16,"N/A")</f>
        <v>0</v>
      </c>
      <c r="S16" s="538" cm="1">
        <f t="array" ref="S16">_xlfn.IFERROR(C16+SUM(E16:R16),"N/A")</f>
        <v>10122533.3333333</v>
      </c>
      <c r="T16" s="424"/>
      <c r="U16" s="538" cm="1">
        <f t="array" ref="U16">IF(B16&gt;0,'Allocation OH and Target 2026'!$E$27,"N/A")</f>
        <v>2134447.30345641</v>
      </c>
      <c r="V16" s="538" cm="1">
        <f t="array" ref="V16">IF(B16&gt;0,'Allocation OH and Target 2026'!$E$28,"N/A")</f>
        <v>200042.323056976</v>
      </c>
      <c r="W16" s="538" cm="1">
        <f t="array" ref="W16">IF(B17&gt;0,VLOOKUP(C2,'Allocation OH and Target 2026'!$C$3:$T$23,17,0),"N/A")</f>
        <v>1099231.87846154</v>
      </c>
      <c r="X16" s="538" cm="1">
        <f t="array" ref="X16">IF(B16&gt;0,VLOOKUP(C2,'Allocation OH and Target 2026'!$C$3:$T$23,18,0),"N/A")</f>
        <v>98145.7034340659</v>
      </c>
      <c r="Y16" s="538" cm="1">
        <f t="array" ref="Y16">_xlfn.IFERROR(B16*(V16+X16),"N/A")</f>
        <v>3578256.3178925</v>
      </c>
      <c r="Z16" s="424"/>
      <c r="AA16" s="538" cm="1">
        <f t="array" ref="AA16">_xlfn.IFERROR(Y16+S16,"N/A")</f>
        <v>13700789.6512258</v>
      </c>
      <c r="AB16" s="538" cm="1">
        <f t="array" ref="AB16">_xlfn.IFERROR(AA16*0.5%,"N/A")</f>
        <v>68503.948256129006</v>
      </c>
      <c r="AC16" s="538" cm="1">
        <f t="array" ref="AC16">_xlfn.IFERROR(AA16*25%,"N/A")</f>
        <v>3425197.41280645</v>
      </c>
      <c r="AD16" s="539" cm="1">
        <f t="array" ref="AD16">IF(B16&gt;0,SUM(AA16:AC16),"N/A")</f>
        <v>17194491.0122884</v>
      </c>
      <c r="AE16" s="538" cm="1">
        <f t="array" ref="AE16">_xlfn.IFERROR(AD16/B16,"N/A")</f>
        <v>1432874.25102403</v>
      </c>
      <c r="AF16" s="424"/>
      <c r="AG16" s="539" cm="1">
        <f t="array" ref="AG16">IF(B16/VLOOKUP(C2,'Boats Data Sheet 2026'!$C$3:$H$57,6,0)&gt;VLOOKUP(C2,'Allocation OH and Target 2026'!$C$3:$J$23,8,0),IF(SUM(AH4:AH15)=0,AE16,"N/A"),"N/A")</f>
        <v>1432874.25102403</v>
      </c>
      <c r="AH16" s="424" cm="1">
        <f t="array" ref="AH16">IF(AG16="N/A",0,1)</f>
        <v>1</v>
      </c>
      <c r="AI16" s="538" cm="1">
        <f t="array" ref="AI16">IF(B16/VLOOKUP(C2,'Boats Data Sheet 2026'!$C$3:$H$57,6,0)&gt;VLOOKUP(C2,'Allocation OH and Target 2026'!$C$3:$J$23,8,0),IF(SUM(AH4:AH15)=0,S16/B16,"N/A"),"N/A")</f>
        <v>843544.4444444421</v>
      </c>
      <c r="AJ16" s="424" cm="1">
        <f t="array" ref="AJ16">IF(AI16="N/A",0,1)</f>
        <v>1</v>
      </c>
      <c r="AK16" t="str" s="527" cm="1">
        <f t="array" ref="AK16">IF(SUM($AG$5:$AG$22)*B16&lt;SUM(AA16:AB16),"NO GO","GO")</f>
        <v>GO</v>
      </c>
      <c r="AL16" s="424"/>
      <c r="AM16" s="538"/>
      <c r="AN16" s="538"/>
      <c r="AO16" s="538"/>
      <c r="AP16" s="542"/>
      <c r="AQ16" s="543" cm="1">
        <f t="array" ref="AQ16">B16</f>
        <v>12</v>
      </c>
      <c r="AR16" s="18"/>
    </row>
    <row r="17" ht="16" customHeight="1">
      <c r="A17" s="12"/>
      <c r="B17" s="544" cm="1">
        <f t="array" ref="B17">IF(B16=0,0,IF(B16&lt;VLOOKUP(C2,'Boats Data Sheet 2026'!$C$3:$H$57,6,0),B16+1,0))</f>
        <v>13</v>
      </c>
      <c r="C17" s="538" cm="1">
        <f t="array" ref="C17">IF(B17&gt;0,IF(VLOOKUP(C2,'Boats Data Sheet 2026'!$C$3:$J$57,8,0)="N/A",0,VLOOKUP(C2,'Boats Data Sheet 2026'!$C$3:$J$57,8,0)),"N/A")</f>
        <v>0</v>
      </c>
      <c r="D17" s="545" cm="1">
        <f t="array" ref="D17">IF(B17&gt;7,2,IF(B17=0,"N/A",1))</f>
        <v>2</v>
      </c>
      <c r="E17" s="538" cm="1">
        <f t="array" ref="E17">_xlfn.IFERROR(SUM('Direct Costs 2026'!$C$4:$C$5)*D17,"N/A")</f>
        <v>1751000</v>
      </c>
      <c r="F17" s="538" cm="1">
        <f t="array" ref="F17">_xlfn.IFERROR('Direct Costs 2026'!$C$43*B17,"N/A")</f>
        <v>78000</v>
      </c>
      <c r="G17" s="538" cm="1">
        <f t="array" ref="G17">IF(B17&gt;0,'Direct Costs 2026'!$C$25,"N/A")</f>
        <v>90000</v>
      </c>
      <c r="H17" s="538" cm="1">
        <f t="array" ref="H17">IF(B17&gt;0,'Direct Costs 2026'!$C$19+'Direct Costs 2026'!$C$18*B17,"N/A")</f>
        <v>530000</v>
      </c>
      <c r="I17" s="538" cm="1">
        <f t="array" ref="I17">IF(B17&gt;0,SUM('Direct Costs 2026'!$C$20:$C$21),"N/A")</f>
        <v>98333.3333333333</v>
      </c>
      <c r="J17" s="538">
        <v>0</v>
      </c>
      <c r="K17" s="538" cm="1">
        <f t="array" ref="K17">IF(B17&gt;0,'Direct Costs 2026'!$C$15+'Direct Costs 2026'!$C$14,"N/A")</f>
        <v>230000</v>
      </c>
      <c r="L17" s="538" cm="1">
        <f t="array" ref="L17">IF(B17&gt;0,'Direct Costs 2026'!$C$26,"N/A")</f>
        <v>20000</v>
      </c>
      <c r="M17" s="538" cm="1">
        <f t="array" ref="M17">IF(B17&gt;0,'Direct Costs 2026'!$C$23,"N/A")</f>
        <v>140000</v>
      </c>
      <c r="N17" s="538" cm="1">
        <f t="array" ref="N17">IF(B17&gt;0,'Direct Costs 2026'!$C$44*B17,"N/A")</f>
        <v>1430000</v>
      </c>
      <c r="O17" s="538" cm="1">
        <f t="array" ref="O17">IF(B17&gt;0,_xlfn.IFERROR(VLOOKUP(C2,'Boats Data Sheet 2026'!$C$3:$I$57,7,0)*'Direct Costs 2026'!$C$36,"N/A"),"N/A")</f>
        <v>3325000</v>
      </c>
      <c r="P17" s="538" cm="1">
        <f t="array" ref="P17">IF(B17&gt;0,IF(OR(VLOOKUP(C2,'Boats Data Sheet 2026'!$C$3:$F$57,4,0)="Own",VLOOKUP(C2,'Boats Data Sheet 2026'!$C$3:$F$57,4,0)="Management"),('Direct Costs 2026'!$C$37+'Direct Costs 2026'!$C$39),"N/A"),"N/A")</f>
        <v>1112400</v>
      </c>
      <c r="Q17" s="538" cm="1">
        <f t="array" ref="Q17">_xlfn.IFERROR(IF(B17&gt;5,IF(B17&gt;11,IF(B17&gt;15,4,3),2),IF(B17=0,"N/A",1))*SUM('Direct Costs 2026'!$C$67:$C$68),"N/A")</f>
        <v>1468800</v>
      </c>
      <c r="R17" s="538" cm="1">
        <f t="array" ref="R17">_xlfn.IFERROR('Direct Costs 2026'!$C$27*C17,"N/A")</f>
        <v>0</v>
      </c>
      <c r="S17" s="538" cm="1">
        <f t="array" ref="S17">_xlfn.IFERROR(C17+SUM(E17:R17),"N/A")</f>
        <v>10273533.3333333</v>
      </c>
      <c r="T17" s="424"/>
      <c r="U17" s="538" cm="1">
        <f t="array" ref="U17">IF(B17&gt;0,'Allocation OH and Target 2026'!$E$27,"N/A")</f>
        <v>2134447.30345641</v>
      </c>
      <c r="V17" s="538" cm="1">
        <f t="array" ref="V17">IF(B17&gt;0,'Allocation OH and Target 2026'!$E$28,"N/A")</f>
        <v>200042.323056976</v>
      </c>
      <c r="W17" s="538" cm="1">
        <f t="array" ref="W17">IF(B17&gt;0,VLOOKUP(C2,'Allocation OH and Target 2026'!$C$3:$T$23,17,0),"N/A")</f>
        <v>1099231.87846154</v>
      </c>
      <c r="X17" s="538" cm="1">
        <f t="array" ref="X17">IF(B18&gt;0,VLOOKUP(C2,'Allocation OH and Target 2026'!$C$3:$T$23,18,0),"N/A")</f>
        <v>98145.7034340659</v>
      </c>
      <c r="Y17" s="538" cm="1">
        <f t="array" ref="Y17">_xlfn.IFERROR(B17*(V17+X17),"N/A")</f>
        <v>3876444.34438354</v>
      </c>
      <c r="Z17" s="424"/>
      <c r="AA17" s="538" cm="1">
        <f t="array" ref="AA17">_xlfn.IFERROR(Y17+S17,"N/A")</f>
        <v>14149977.6777168</v>
      </c>
      <c r="AB17" s="538" cm="1">
        <f t="array" ref="AB17">_xlfn.IFERROR(AA17*0.5%,"N/A")</f>
        <v>70749.888388584</v>
      </c>
      <c r="AC17" s="538" cm="1">
        <f t="array" ref="AC17">_xlfn.IFERROR(AA17*25%,"N/A")</f>
        <v>3537494.4194292</v>
      </c>
      <c r="AD17" s="539" cm="1">
        <f t="array" ref="AD17">IF(B17&gt;0,SUM(AA17:AC17),"N/A")</f>
        <v>17758221.9855346</v>
      </c>
      <c r="AE17" s="538" cm="1">
        <f t="array" ref="AE17">_xlfn.IFERROR(AD17/B17,"N/A")</f>
        <v>1366017.07581035</v>
      </c>
      <c r="AF17" s="424"/>
      <c r="AG17" t="str" s="546" cm="1">
        <f t="array" ref="AG17">IF(B17/VLOOKUP(C2,'Boats Data Sheet 2026'!$C$3:$H$57,6,0)&gt;VLOOKUP(C2,'Allocation OH and Target 2026'!$C$3:$J$23,8,0),IF(SUM(AH4:AH16)=0,AE17,"N/A"),"N/A")</f>
        <v>N/A</v>
      </c>
      <c r="AH17" s="424" cm="1">
        <f t="array" ref="AH17">IF(AG17="N/A",0,1)</f>
        <v>0</v>
      </c>
      <c r="AI17" t="str" s="547" cm="1">
        <f t="array" ref="AI17">IF(B17/VLOOKUP(C2,'Boats Data Sheet 2026'!$C$3:$H$57,6,0)&gt;VLOOKUP(C2,'Allocation OH and Target 2026'!$C$3:$J$23,8,0),IF(SUM(AH4:AH16)=0,S17/B17,"N/A"),"N/A")</f>
        <v>N/A</v>
      </c>
      <c r="AJ17" s="424" cm="1">
        <f t="array" ref="AJ17">IF(AI17="N/A",0,1)</f>
        <v>0</v>
      </c>
      <c r="AK17" t="str" s="527" cm="1">
        <f t="array" ref="AK17">IF(SUM($AG$5:$AG$22)*B17&lt;SUM(AA17:AB17),"NO GO","GO")</f>
        <v>GO</v>
      </c>
      <c r="AL17" s="424"/>
      <c r="AM17" s="538"/>
      <c r="AN17" s="538"/>
      <c r="AO17" s="538"/>
      <c r="AP17" s="542"/>
      <c r="AQ17" s="543" cm="1">
        <f t="array" ref="AQ17">B17</f>
        <v>13</v>
      </c>
      <c r="AR17" s="18"/>
    </row>
    <row r="18" ht="16" customHeight="1">
      <c r="A18" s="12"/>
      <c r="B18" s="544" cm="1">
        <f t="array" ref="B18">IF(B17=0,0,IF(B17&lt;VLOOKUP(C2,'Boats Data Sheet 2026'!$C$3:$H$57,6,0),B17+1,0))</f>
        <v>14</v>
      </c>
      <c r="C18" s="538" cm="1">
        <f t="array" ref="C18">IF(B18&gt;0,IF(VLOOKUP(C2,'Boats Data Sheet 2026'!$C$3:$J$57,8,0)="N/A",0,VLOOKUP(C2,'Boats Data Sheet 2026'!$C$3:$J$57,8,0)),"N/A")</f>
        <v>0</v>
      </c>
      <c r="D18" s="549" cm="1">
        <f t="array" ref="D18">IF(B18&gt;7,2,IF(B18=0,"N/A",1))</f>
        <v>2</v>
      </c>
      <c r="E18" s="538" cm="1">
        <f t="array" ref="E18">_xlfn.IFERROR(SUM('Direct Costs 2026'!$C$4:$C$5)*D18,"N/A")</f>
        <v>1751000</v>
      </c>
      <c r="F18" s="538" cm="1">
        <f t="array" ref="F18">_xlfn.IFERROR('Direct Costs 2026'!$C$43*B18,"N/A")</f>
        <v>84000</v>
      </c>
      <c r="G18" s="538" cm="1">
        <f t="array" ref="G18">IF(B18&gt;0,'Direct Costs 2026'!$C$25,"N/A")</f>
        <v>90000</v>
      </c>
      <c r="H18" s="538" cm="1">
        <f t="array" ref="H18">IF(B18&gt;0,'Direct Costs 2026'!$C$19+'Direct Costs 2026'!$C$18*B18,"N/A")</f>
        <v>565000</v>
      </c>
      <c r="I18" s="538" cm="1">
        <f t="array" ref="I18">IF(B18&gt;0,SUM('Direct Costs 2026'!$C$20:$C$21),"N/A")</f>
        <v>98333.3333333333</v>
      </c>
      <c r="J18" s="538">
        <v>0</v>
      </c>
      <c r="K18" s="538" cm="1">
        <f t="array" ref="K18">IF(B18&gt;0,'Direct Costs 2026'!$C$15+'Direct Costs 2026'!$C$14,"N/A")</f>
        <v>230000</v>
      </c>
      <c r="L18" s="538" cm="1">
        <f t="array" ref="L18">IF(B18&gt;0,'Direct Costs 2026'!$C$26,"N/A")</f>
        <v>20000</v>
      </c>
      <c r="M18" s="538" cm="1">
        <f t="array" ref="M18">IF(B18&gt;0,'Direct Costs 2026'!$C$23,"N/A")</f>
        <v>140000</v>
      </c>
      <c r="N18" s="538" cm="1">
        <f t="array" ref="N18">IF(B18&gt;0,'Direct Costs 2026'!$C$44*B18,"N/A")</f>
        <v>1540000</v>
      </c>
      <c r="O18" s="538" cm="1">
        <f t="array" ref="O18">IF(B18&gt;0,_xlfn.IFERROR(VLOOKUP(C2,'Boats Data Sheet 2026'!$C$3:$I$57,7,0)*'Direct Costs 2026'!$C$36,"N/A"),"N/A")</f>
        <v>3325000</v>
      </c>
      <c r="P18" s="538" cm="1">
        <f t="array" ref="P18">IF(B18&gt;0,IF(OR(VLOOKUP(C2,'Boats Data Sheet 2026'!$C$3:$F$57,4,0)="Own",VLOOKUP(C2,'Boats Data Sheet 2026'!$C$3:$F$57,4,0)="Management"),('Direct Costs 2026'!$C$37+'Direct Costs 2026'!$C$39),"N/A"),"N/A")</f>
        <v>1112400</v>
      </c>
      <c r="Q18" s="538" cm="1">
        <f t="array" ref="Q18">_xlfn.IFERROR(IF(B18&gt;5,IF(B18&gt;11,IF(B18&gt;15,4,3),2),IF(B18=0,"N/A",1))*SUM('Direct Costs 2026'!$C$67:$C$68),"N/A")</f>
        <v>1468800</v>
      </c>
      <c r="R18" s="538" cm="1">
        <f t="array" ref="R18">_xlfn.IFERROR('Direct Costs 2026'!$C$27*C18,"N/A")</f>
        <v>0</v>
      </c>
      <c r="S18" s="538" cm="1">
        <f t="array" ref="S18">_xlfn.IFERROR(C18+SUM(E18:R18),"N/A")</f>
        <v>10424533.3333333</v>
      </c>
      <c r="T18" s="424"/>
      <c r="U18" s="538" cm="1">
        <f t="array" ref="U18">IF(B18&gt;0,'Allocation OH and Target 2026'!$E$27,"N/A")</f>
        <v>2134447.30345641</v>
      </c>
      <c r="V18" s="538" cm="1">
        <f t="array" ref="V18">IF(B18&gt;0,'Allocation OH and Target 2026'!$E$28,"N/A")</f>
        <v>200042.323056976</v>
      </c>
      <c r="W18" s="538" cm="1">
        <f t="array" ref="W18">IF(B18&gt;0,VLOOKUP(C2,'Allocation OH and Target 2026'!$C$3:$T$23,17,0),"N/A")</f>
        <v>1099231.87846154</v>
      </c>
      <c r="X18" s="538" cm="1">
        <f t="array" ref="X18">IF(B18&gt;0,VLOOKUP(C2,'Allocation OH and Target 2026'!$C$3:$T$23,18,0),"N/A")</f>
        <v>98145.7034340659</v>
      </c>
      <c r="Y18" s="538" cm="1">
        <f t="array" ref="Y18">_xlfn.IFERROR(B18*(V18+X18),"N/A")</f>
        <v>4174632.37087459</v>
      </c>
      <c r="Z18" s="424"/>
      <c r="AA18" s="538" cm="1">
        <f t="array" ref="AA18">_xlfn.IFERROR(Y18+S18,"N/A")</f>
        <v>14599165.7042079</v>
      </c>
      <c r="AB18" s="538" cm="1">
        <f t="array" ref="AB18">_xlfn.IFERROR(AA18*0.5%,"N/A")</f>
        <v>72995.8285210395</v>
      </c>
      <c r="AC18" s="538" cm="1">
        <f t="array" ref="AC18">_xlfn.IFERROR(AA18*25%,"N/A")</f>
        <v>3649791.42605198</v>
      </c>
      <c r="AD18" s="539" cm="1">
        <f t="array" ref="AD18">IF(B18&gt;0,SUM(AA18:AC18),"N/A")</f>
        <v>18321952.9587809</v>
      </c>
      <c r="AE18" s="538" cm="1">
        <f t="array" ref="AE18">_xlfn.IFERROR(AD18/B18,"N/A")</f>
        <v>1308710.92562721</v>
      </c>
      <c r="AF18" s="424"/>
      <c r="AG18" t="str" s="546" cm="1">
        <f t="array" ref="AG18">IF(B18/VLOOKUP(C2,'Boats Data Sheet 2026'!$C$3:$H$57,6,0)&gt;VLOOKUP(C2,'Allocation OH and Target 2026'!$C$3:$J$23,8,0),IF(SUM(AH4:AH17)=0,AE18,"N/A"),"N/A")</f>
        <v>N/A</v>
      </c>
      <c r="AH18" s="424" cm="1">
        <f t="array" ref="AH18">IF(AG18="N/A",0,1)</f>
        <v>0</v>
      </c>
      <c r="AI18" t="str" s="547" cm="1">
        <f t="array" ref="AI18">IF(B18/VLOOKUP(C2,'Boats Data Sheet 2026'!$C$3:$H$57,6,0)&gt;VLOOKUP(C2,'Allocation OH and Target 2026'!$C$3:$J$23,8,0),IF(SUM(AH4:AH17)=0,S18/B18,"N/A"),"N/A")</f>
        <v>N/A</v>
      </c>
      <c r="AJ18" s="424" cm="1">
        <f t="array" ref="AJ18">IF(AI18="N/A",0,1)</f>
        <v>0</v>
      </c>
      <c r="AK18" t="str" s="527" cm="1">
        <f t="array" ref="AK18">IF(SUM($AG$5:$AG$22)*B18&lt;SUM(AA18:AB18),"NO GO","GO")</f>
        <v>GO</v>
      </c>
      <c r="AL18" s="424"/>
      <c r="AM18" s="538"/>
      <c r="AN18" s="538"/>
      <c r="AO18" s="538"/>
      <c r="AP18" s="542"/>
      <c r="AQ18" s="543" cm="1">
        <f t="array" ref="AQ18">B18</f>
        <v>14</v>
      </c>
      <c r="AR18" s="18"/>
    </row>
    <row r="19" ht="16" customHeight="1">
      <c r="A19" s="12"/>
      <c r="B19" s="544" cm="1">
        <f t="array" ref="B19">IF(B18=0,0,IF(B18&lt;VLOOKUP(C2,'Boats Data Sheet 2026'!$C$3:$H$57,6,0),B18+1,0))</f>
        <v>0</v>
      </c>
      <c r="C19" t="str" s="547" cm="1">
        <f t="array" ref="C19">IF(B19&gt;0,IF(VLOOKUP(C2,'Boats Data Sheet 2026'!$C$3:$J$57,8,0)="N/A",0,VLOOKUP(C2,'Boats Data Sheet 2026'!$C$3:$J$57,8,0)),"N/A")</f>
        <v>N/A</v>
      </c>
      <c r="D19" t="str" s="547" cm="1">
        <f t="array" ref="D19">IF(B19&gt;7,2,IF(B19=0,"N/A",1))</f>
        <v>N/A</v>
      </c>
      <c r="E19" t="str" s="547" cm="1">
        <f t="array" ref="E19">_xlfn.IFERROR(SUM('Direct Costs 2026'!$C$4:$C$5)*D19,"N/A")</f>
        <v>N/A</v>
      </c>
      <c r="F19" s="538" cm="1">
        <f t="array" ref="F19">_xlfn.IFERROR('Direct Costs 2026'!$C$43*B19,"N/A")</f>
        <v>0</v>
      </c>
      <c r="G19" t="str" s="547" cm="1">
        <f t="array" ref="G19">IF(B19&gt;0,'Direct Costs 2026'!$C$25,"N/A")</f>
        <v>N/A</v>
      </c>
      <c r="H19" t="str" s="547" cm="1">
        <f t="array" ref="H19">IF(B19&gt;0,'Direct Costs 2026'!$C$19+'Direct Costs 2026'!$C$18*B19,"N/A")</f>
        <v>N/A</v>
      </c>
      <c r="I19" t="str" s="547" cm="1">
        <f t="array" ref="I19">IF(B19&gt;0,SUM('Direct Costs 2026'!$C$20:$C$21),"N/A")</f>
        <v>N/A</v>
      </c>
      <c r="J19" s="538">
        <v>0</v>
      </c>
      <c r="K19" t="str" s="547" cm="1">
        <f t="array" ref="K19">IF(B19&gt;0,'Direct Costs 2026'!$C$15+'Direct Costs 2026'!$C$14,"N/A")</f>
        <v>N/A</v>
      </c>
      <c r="L19" t="str" s="547" cm="1">
        <f t="array" ref="L19">IF(B19&gt;0,'Direct Costs 2026'!$C$26,"N/A")</f>
        <v>N/A</v>
      </c>
      <c r="M19" t="str" s="547" cm="1">
        <f t="array" ref="M19">IF(B19&gt;0,'Direct Costs 2026'!$C$23,"N/A")</f>
        <v>N/A</v>
      </c>
      <c r="N19" t="str" s="547" cm="1">
        <f t="array" ref="N19">IF(B19&gt;0,'Direct Costs 2026'!$C$44*B19,"N/A")</f>
        <v>N/A</v>
      </c>
      <c r="O19" t="str" s="547" cm="1">
        <f t="array" ref="O19">IF(B19&gt;0,_xlfn.IFERROR(VLOOKUP(C2,'Boats Data Sheet 2026'!$C$3:$I$57,7,0)*'Direct Costs 2026'!$C$36,"N/A"),"N/A")</f>
        <v>N/A</v>
      </c>
      <c r="P19" t="str" s="547" cm="1">
        <f t="array" ref="P19">IF(B19&gt;0,IF(OR(VLOOKUP(C2,'Boats Data Sheet 2026'!$C$3:$F$57,4,0)="Own",VLOOKUP(C2,'Boats Data Sheet 2026'!$C$3:$F$57,4,0)="Management"),('Direct Costs 2026'!$C$37+'Direct Costs 2026'!$C$39),"N/A"),"N/A")</f>
        <v>N/A</v>
      </c>
      <c r="Q19" t="str" s="547" cm="1">
        <f t="array" ref="Q19">_xlfn.IFERROR(IF(B19&gt;5,IF(B19&gt;11,IF(B19&gt;15,4,3),2),IF(B19=0,"N/A",1))*SUM('Direct Costs 2026'!$C$67:$C$68),"N/A")</f>
        <v>N/A</v>
      </c>
      <c r="R19" t="str" s="547" cm="1">
        <f t="array" ref="R19">_xlfn.IFERROR('Direct Costs 2026'!$C$27*C19,"N/A")</f>
        <v>N/A</v>
      </c>
      <c r="S19" t="str" s="547" cm="1">
        <f t="array" ref="S19">_xlfn.IFERROR(C19+SUM(E19:R19),"N/A")</f>
        <v>N/A</v>
      </c>
      <c r="T19" s="424"/>
      <c r="U19" t="str" s="547" cm="1">
        <f t="array" ref="U19">IF(B19&gt;0,'Allocation OH and Target 2026'!$E$27,"N/A")</f>
        <v>N/A</v>
      </c>
      <c r="V19" t="str" s="547" cm="1">
        <f t="array" ref="V19">IF(B19&gt;0,'Allocation OH and Target 2026'!$E$28,"N/A")</f>
        <v>N/A</v>
      </c>
      <c r="W19" t="str" s="547" cm="1">
        <f t="array" ref="W19">IF(B19&gt;0,VLOOKUP(C2,'Allocation OH and Target 2026'!$C$3:$T$23,17,0),"N/A")</f>
        <v>N/A</v>
      </c>
      <c r="X19" t="str" s="547" cm="1">
        <f t="array" ref="X19">IF(B19&gt;0,VLOOKUP(C2,'Allocation OH and Target 2026'!$C$3:$T$23,18,0),"N/A")</f>
        <v>N/A</v>
      </c>
      <c r="Y19" t="str" s="547" cm="1">
        <f t="array" ref="Y19">_xlfn.IFERROR(V19*B19+X19,"N/A")</f>
        <v>N/A</v>
      </c>
      <c r="Z19" s="424"/>
      <c r="AA19" t="str" s="547" cm="1">
        <f t="array" ref="AA19">_xlfn.IFERROR(Y19+S19,"N/A")</f>
        <v>N/A</v>
      </c>
      <c r="AB19" t="str" s="547" cm="1">
        <f t="array" ref="AB19">_xlfn.IFERROR(AA19*0.5%,"N/A")</f>
        <v>N/A</v>
      </c>
      <c r="AC19" t="str" s="547" cm="1">
        <f t="array" ref="AC19">_xlfn.IFERROR(AA19*25%,"N/A")</f>
        <v>N/A</v>
      </c>
      <c r="AD19" t="str" s="546" cm="1">
        <f t="array" ref="AD19">IF(B19&gt;0,SUM(AA19:AC19),"N/A")</f>
        <v>N/A</v>
      </c>
      <c r="AE19" t="str" s="547" cm="1">
        <f t="array" ref="AE19">_xlfn.IFERROR(AD19/B19,"N/A")</f>
        <v>N/A</v>
      </c>
      <c r="AF19" s="424"/>
      <c r="AG19" t="str" s="546" cm="1">
        <f t="array" ref="AG19">IF(B19/VLOOKUP(C2,'Boats Data Sheet 2026'!$C$3:$H$57,6,0)&gt;VLOOKUP(C2,'Allocation OH and Target 2026'!$C$3:$J$23,8,0),IF(SUM(AH4:AH18)=0,AE19,"N/A"),"N/A")</f>
        <v>N/A</v>
      </c>
      <c r="AH19" s="424" cm="1">
        <f t="array" ref="AH19">IF(AG19="N/A",0,1)</f>
        <v>0</v>
      </c>
      <c r="AI19" t="str" s="547" cm="1">
        <f t="array" ref="AI19">IF(B19/VLOOKUP(C2,'Boats Data Sheet 2026'!$C$3:$H$57,6,0)&gt;VLOOKUP(C2,'Allocation OH and Target 2026'!$C$3:$J$23,8,0),IF(SUM(AH4:AH18)=0,S19/B19,"N/A"),"N/A")</f>
        <v>N/A</v>
      </c>
      <c r="AJ19" s="424" cm="1">
        <f t="array" ref="AJ19">IF(AI19="N/A",0,1)</f>
        <v>0</v>
      </c>
      <c r="AK19" t="str" s="527" cm="1">
        <f t="array" ref="AK19">IF(SUM($AG$5:$AG$22)*B19&lt;SUM(AA19:AB19),"NO GO","GO")</f>
        <v>GO</v>
      </c>
      <c r="AL19" s="424"/>
      <c r="AM19" s="538"/>
      <c r="AN19" s="538"/>
      <c r="AO19" s="538"/>
      <c r="AP19" s="542"/>
      <c r="AQ19" s="543" cm="1">
        <f t="array" ref="AQ19">B19</f>
        <v>0</v>
      </c>
      <c r="AR19" s="18"/>
    </row>
    <row r="20" ht="16" customHeight="1">
      <c r="A20" s="12"/>
      <c r="B20" s="544" cm="1">
        <f t="array" ref="B20">IF(B19=0,0,IF(B19&lt;VLOOKUP(C2,'Boats Data Sheet 2026'!$C$3:$H$57,6,0),B19+1,0))</f>
        <v>0</v>
      </c>
      <c r="C20" t="str" s="547" cm="1">
        <f t="array" ref="C20">IF(B20&gt;0,IF(VLOOKUP(C2,'Boats Data Sheet 2026'!$C$3:$J$57,8,0)="N/A",0,VLOOKUP(C2,'Boats Data Sheet 2026'!$C$3:$J$57,8,0)),"N/A")</f>
        <v>N/A</v>
      </c>
      <c r="D20" t="str" s="547" cm="1">
        <f t="array" ref="D20">IF(B20&gt;7,2,IF(B20=0,"N/A",1))</f>
        <v>N/A</v>
      </c>
      <c r="E20" t="str" s="547" cm="1">
        <f t="array" ref="E20">_xlfn.IFERROR(SUM('Direct Costs 2026'!$C$4:$C$5)*D20,"N/A")</f>
        <v>N/A</v>
      </c>
      <c r="F20" s="538" cm="1">
        <f t="array" ref="F20">_xlfn.IFERROR('Direct Costs 2026'!$C$43*B20,"N/A")</f>
        <v>0</v>
      </c>
      <c r="G20" t="str" s="547" cm="1">
        <f t="array" ref="G20">IF(B20&gt;0,'Direct Costs 2026'!$C$25,"N/A")</f>
        <v>N/A</v>
      </c>
      <c r="H20" t="str" s="547" cm="1">
        <f t="array" ref="H20">IF(B20&gt;0,'Direct Costs 2026'!$C$19+'Direct Costs 2026'!$C$18*B20,"N/A")</f>
        <v>N/A</v>
      </c>
      <c r="I20" t="str" s="547" cm="1">
        <f t="array" ref="I20">IF(B20&gt;0,SUM('Direct Costs 2026'!$C$20:$C$21),"N/A")</f>
        <v>N/A</v>
      </c>
      <c r="J20" s="538">
        <v>0</v>
      </c>
      <c r="K20" t="str" s="547" cm="1">
        <f t="array" ref="K20">IF(B20&gt;0,'Direct Costs 2026'!$C$15+'Direct Costs 2026'!$C$14,"N/A")</f>
        <v>N/A</v>
      </c>
      <c r="L20" t="str" s="547" cm="1">
        <f t="array" ref="L20">IF(B20&gt;0,'Direct Costs 2026'!$C$26,"N/A")</f>
        <v>N/A</v>
      </c>
      <c r="M20" t="str" s="547" cm="1">
        <f t="array" ref="M20">IF(B20&gt;0,'Direct Costs 2026'!$C$23,"N/A")</f>
        <v>N/A</v>
      </c>
      <c r="N20" t="str" s="547" cm="1">
        <f t="array" ref="N20">IF(B20&gt;0,'Direct Costs 2026'!$C$44*B20,"N/A")</f>
        <v>N/A</v>
      </c>
      <c r="O20" t="str" s="547" cm="1">
        <f t="array" ref="O20">IF(B20&gt;0,_xlfn.IFERROR(VLOOKUP(C2,'Boats Data Sheet 2026'!$C$3:$I$57,7,0)*'Direct Costs 2026'!$C$36,"N/A"),"N/A")</f>
        <v>N/A</v>
      </c>
      <c r="P20" t="str" s="547" cm="1">
        <f t="array" ref="P20">IF(B20&gt;0,IF(OR(VLOOKUP(C2,'Boats Data Sheet 2026'!$C$3:$F$57,4,0)="Own",VLOOKUP(C2,'Boats Data Sheet 2026'!$C$3:$F$57,4,0)="Management"),('Direct Costs 2026'!$C$37+'Direct Costs 2026'!$C$39),"N/A"),"N/A")</f>
        <v>N/A</v>
      </c>
      <c r="Q20" t="str" s="547" cm="1">
        <f t="array" ref="Q20">_xlfn.IFERROR(IF(B20&gt;5,IF(B20&gt;11,IF(B20&gt;15,4,3),2),IF(B20=0,"N/A",1))*SUM('Direct Costs 2026'!$C$67:$C$68),"N/A")</f>
        <v>N/A</v>
      </c>
      <c r="R20" t="str" s="547" cm="1">
        <f t="array" ref="R20">_xlfn.IFERROR('Direct Costs 2026'!$C$27*C20,"N/A")</f>
        <v>N/A</v>
      </c>
      <c r="S20" t="str" s="547" cm="1">
        <f t="array" ref="S20">_xlfn.IFERROR(C20+SUM(E20:R20),"N/A")</f>
        <v>N/A</v>
      </c>
      <c r="T20" s="424"/>
      <c r="U20" t="str" s="547" cm="1">
        <f t="array" ref="U20">IF(B20&gt;0,'Allocation OH and Target 2026'!$E$27,"N/A")</f>
        <v>N/A</v>
      </c>
      <c r="V20" t="str" s="547" cm="1">
        <f t="array" ref="V20">IF(B20&gt;0,'Allocation OH and Target 2026'!$E$28,"N/A")</f>
        <v>N/A</v>
      </c>
      <c r="W20" t="str" s="547" cm="1">
        <f t="array" ref="W20">IF(B20&gt;0,VLOOKUP(C2,'Allocation OH and Target 2026'!$C$3:$T$23,17,0),"N/A")</f>
        <v>N/A</v>
      </c>
      <c r="X20" t="str" s="547" cm="1">
        <f t="array" ref="X20">IF(B20&gt;0,VLOOKUP(C2,'Allocation OH and Target 2026'!$C$3:$T$23,18,0),"N/A")</f>
        <v>N/A</v>
      </c>
      <c r="Y20" t="str" s="547" cm="1">
        <f t="array" ref="Y20">_xlfn.IFERROR(V20*B20+X20,"N/A")</f>
        <v>N/A</v>
      </c>
      <c r="Z20" s="424"/>
      <c r="AA20" t="str" s="547" cm="1">
        <f t="array" ref="AA20">_xlfn.IFERROR(Y20+S20,"N/A")</f>
        <v>N/A</v>
      </c>
      <c r="AB20" t="str" s="547" cm="1">
        <f t="array" ref="AB20">_xlfn.IFERROR(AA20*0.5%,"N/A")</f>
        <v>N/A</v>
      </c>
      <c r="AC20" t="str" s="547" cm="1">
        <f t="array" ref="AC20">_xlfn.IFERROR(AA20*25%,"N/A")</f>
        <v>N/A</v>
      </c>
      <c r="AD20" t="str" s="546" cm="1">
        <f t="array" ref="AD20">IF(B20&gt;0,SUM(AA20:AC20),"N/A")</f>
        <v>N/A</v>
      </c>
      <c r="AE20" t="str" s="547" cm="1">
        <f t="array" ref="AE20">_xlfn.IFERROR(AD20/B20,"N/A")</f>
        <v>N/A</v>
      </c>
      <c r="AF20" s="424"/>
      <c r="AG20" t="str" s="546" cm="1">
        <f t="array" ref="AG20">IF(B20/VLOOKUP(C2,'Boats Data Sheet 2026'!$C$3:$H$57,6,0)&gt;VLOOKUP(C2,'Allocation OH and Target 2026'!$C$3:$J$23,8,0),IF(SUM(AH4:AH19)=0,AE20,"N/A"),"N/A")</f>
        <v>N/A</v>
      </c>
      <c r="AH20" s="424" cm="1">
        <f t="array" ref="AH20">IF(AG20="N/A",0,1)</f>
        <v>0</v>
      </c>
      <c r="AI20" t="str" s="547" cm="1">
        <f t="array" ref="AI20">IF(B20/VLOOKUP(C2,'Boats Data Sheet 2026'!$C$3:$H$57,6,0)&gt;VLOOKUP(C2,'Allocation OH and Target 2026'!$C$3:$J$23,8,0),IF(SUM(AH4:AH19)=0,S20/B20,"N/A"),"N/A")</f>
        <v>N/A</v>
      </c>
      <c r="AJ20" s="424" cm="1">
        <f t="array" ref="AJ20">IF(AI20="N/A",0,1)</f>
        <v>0</v>
      </c>
      <c r="AK20" t="str" s="527" cm="1">
        <f t="array" ref="AK20">IF(SUM($AG$5:$AG$22)*B20&lt;SUM(AA20:AB20),"NO GO","GO")</f>
        <v>GO</v>
      </c>
      <c r="AL20" s="424"/>
      <c r="AM20" s="538"/>
      <c r="AN20" s="538"/>
      <c r="AO20" s="538"/>
      <c r="AP20" s="542"/>
      <c r="AQ20" s="543" cm="1">
        <f t="array" ref="AQ20">B20</f>
        <v>0</v>
      </c>
      <c r="AR20" s="18"/>
    </row>
    <row r="21" ht="16" customHeight="1">
      <c r="A21" s="12"/>
      <c r="B21" s="544" cm="1">
        <f t="array" ref="B21">IF(B20=0,0,IF(B20&lt;VLOOKUP(C2,'Boats Data Sheet 2026'!$C$3:$H$57,6,0),B20+1,0))</f>
        <v>0</v>
      </c>
      <c r="C21" t="str" s="547" cm="1">
        <f t="array" ref="C21">IF(B21&gt;0,IF(VLOOKUP(C2,'Boats Data Sheet 2026'!$C$3:$J$57,8,0)="N/A",0,VLOOKUP(C2,'Boats Data Sheet 2026'!$C$3:$J$57,8,0)),"N/A")</f>
        <v>N/A</v>
      </c>
      <c r="D21" t="str" s="547" cm="1">
        <f t="array" ref="D21">IF(B21&gt;7,2,IF(B21=0,"N/A",1))</f>
        <v>N/A</v>
      </c>
      <c r="E21" t="str" s="547" cm="1">
        <f t="array" ref="E21">_xlfn.IFERROR(SUM('Direct Costs 2026'!$C$4:$C$5)*D21,"N/A")</f>
        <v>N/A</v>
      </c>
      <c r="F21" s="538" cm="1">
        <f t="array" ref="F21">_xlfn.IFERROR('Direct Costs 2026'!$C$43*B21,"N/A")</f>
        <v>0</v>
      </c>
      <c r="G21" t="str" s="547" cm="1">
        <f t="array" ref="G21">IF(B21&gt;0,'Direct Costs 2026'!$C$25,"N/A")</f>
        <v>N/A</v>
      </c>
      <c r="H21" t="str" s="547" cm="1">
        <f t="array" ref="H21">IF(B21&gt;0,'Direct Costs 2026'!$C$19+'Direct Costs 2026'!$C$18*B21,"N/A")</f>
        <v>N/A</v>
      </c>
      <c r="I21" t="str" s="547" cm="1">
        <f t="array" ref="I21">IF(B21&gt;0,SUM('Direct Costs 2026'!$C$20:$C$21),"N/A")</f>
        <v>N/A</v>
      </c>
      <c r="J21" s="538">
        <v>0</v>
      </c>
      <c r="K21" t="str" s="547" cm="1">
        <f t="array" ref="K21">IF(B21&gt;0,'Direct Costs 2026'!$C$15+'Direct Costs 2026'!$C$14,"N/A")</f>
        <v>N/A</v>
      </c>
      <c r="L21" t="str" s="547" cm="1">
        <f t="array" ref="L21">IF(B21&gt;0,'Direct Costs 2026'!$C$26,"N/A")</f>
        <v>N/A</v>
      </c>
      <c r="M21" t="str" s="547" cm="1">
        <f t="array" ref="M21">IF(B21&gt;0,'Direct Costs 2026'!$C$23,"N/A")</f>
        <v>N/A</v>
      </c>
      <c r="N21" t="str" s="547" cm="1">
        <f t="array" ref="N21">IF(B21&gt;0,'Direct Costs 2026'!$C$44*B21,"N/A")</f>
        <v>N/A</v>
      </c>
      <c r="O21" t="str" s="547" cm="1">
        <f t="array" ref="O21">IF(B21&gt;0,_xlfn.IFERROR(VLOOKUP(C2,'Boats Data Sheet 2026'!$C$3:$I$57,7,0)*'Direct Costs 2026'!$C$36,"N/A"),"N/A")</f>
        <v>N/A</v>
      </c>
      <c r="P21" t="str" s="547" cm="1">
        <f t="array" ref="P21">IF(B21&gt;0,IF(OR(VLOOKUP(C2,'Boats Data Sheet 2026'!$C$3:$F$57,4,0)="Own",VLOOKUP(C2,'Boats Data Sheet 2026'!$C$3:$F$57,4,0)="Management"),('Direct Costs 2026'!$C$37+'Direct Costs 2026'!$C$39),"N/A"),"N/A")</f>
        <v>N/A</v>
      </c>
      <c r="Q21" t="str" s="547" cm="1">
        <f t="array" ref="Q21">_xlfn.IFERROR(IF(B21&gt;5,IF(B21&gt;11,IF(B21&gt;15,4,3),2),IF(B21=0,"N/A",1))*SUM('Direct Costs 2026'!$C$67:$C$68),"N/A")</f>
        <v>N/A</v>
      </c>
      <c r="R21" t="str" s="547" cm="1">
        <f t="array" ref="R21">_xlfn.IFERROR('Direct Costs 2026'!$C$27*C21,"N/A")</f>
        <v>N/A</v>
      </c>
      <c r="S21" t="str" s="547" cm="1">
        <f t="array" ref="S21">_xlfn.IFERROR(C21+SUM(E21:R21),"N/A")</f>
        <v>N/A</v>
      </c>
      <c r="T21" s="424"/>
      <c r="U21" t="str" s="547" cm="1">
        <f t="array" ref="U21">IF(B21&gt;0,'Allocation OH and Target 2026'!$E$27,"N/A")</f>
        <v>N/A</v>
      </c>
      <c r="V21" t="str" s="547" cm="1">
        <f t="array" ref="V21">IF(B21&gt;0,'Allocation OH and Target 2026'!$E$28,"N/A")</f>
        <v>N/A</v>
      </c>
      <c r="W21" t="str" s="547" cm="1">
        <f t="array" ref="W21">IF(B21&gt;0,VLOOKUP(C2,'Allocation OH and Target 2026'!$C$3:$T$23,17,0),"N/A")</f>
        <v>N/A</v>
      </c>
      <c r="X21" t="str" s="547" cm="1">
        <f t="array" ref="X21">IF(B21&gt;0,VLOOKUP(C2,'Allocation OH and Target 2026'!$C$3:$T$23,18,0),"N/A")</f>
        <v>N/A</v>
      </c>
      <c r="Y21" t="str" s="547" cm="1">
        <f t="array" ref="Y21">_xlfn.IFERROR(V21*B21+X21,"N/A")</f>
        <v>N/A</v>
      </c>
      <c r="Z21" s="424"/>
      <c r="AA21" t="str" s="547" cm="1">
        <f t="array" ref="AA21">_xlfn.IFERROR(Y21+S21,"N/A")</f>
        <v>N/A</v>
      </c>
      <c r="AB21" t="str" s="547" cm="1">
        <f t="array" ref="AB21">_xlfn.IFERROR(AA21*0.5%,"N/A")</f>
        <v>N/A</v>
      </c>
      <c r="AC21" t="str" s="547" cm="1">
        <f t="array" ref="AC21">_xlfn.IFERROR(AA21*25%,"N/A")</f>
        <v>N/A</v>
      </c>
      <c r="AD21" t="str" s="546" cm="1">
        <f t="array" ref="AD21">IF(B21&gt;0,SUM(AA21:AC21),"N/A")</f>
        <v>N/A</v>
      </c>
      <c r="AE21" t="str" s="547" cm="1">
        <f t="array" ref="AE21">_xlfn.IFERROR(AD21/B21,"N/A")</f>
        <v>N/A</v>
      </c>
      <c r="AF21" s="424"/>
      <c r="AG21" t="str" s="546" cm="1">
        <f t="array" ref="AG21">IF(B21/VLOOKUP(C2,'Boats Data Sheet 2026'!$C$3:$H$57,6,0)&gt;VLOOKUP(C2,'Allocation OH and Target 2026'!$C$3:$J$23,8,0),IF(SUM(AH4:AH20)=0,AE21,"N/A"),"N/A")</f>
        <v>N/A</v>
      </c>
      <c r="AH21" s="424" cm="1">
        <f t="array" ref="AH21">IF(AG21="N/A",0,1)</f>
        <v>0</v>
      </c>
      <c r="AI21" t="str" s="547" cm="1">
        <f t="array" ref="AI21">IF(B21/VLOOKUP(C2,'Boats Data Sheet 2026'!$C$3:$H$57,6,0)&gt;VLOOKUP(C2,'Allocation OH and Target 2026'!$C$3:$J$23,8,0),IF(SUM(AH4:AH20)=0,S21/B21,"N/A"),"N/A")</f>
        <v>N/A</v>
      </c>
      <c r="AJ21" s="424" cm="1">
        <f t="array" ref="AJ21">IF(AI21="N/A",0,1)</f>
        <v>0</v>
      </c>
      <c r="AK21" t="str" s="527" cm="1">
        <f t="array" ref="AK21">IF(SUM($AG$5:$AG$22)*B21&lt;SUM(AA21:AB21),"NO GO","GO")</f>
        <v>GO</v>
      </c>
      <c r="AL21" s="424"/>
      <c r="AM21" s="538"/>
      <c r="AN21" s="538"/>
      <c r="AO21" s="538"/>
      <c r="AP21" s="542"/>
      <c r="AQ21" s="543" cm="1">
        <f t="array" ref="AQ21">B21</f>
        <v>0</v>
      </c>
      <c r="AR21" s="18"/>
    </row>
    <row r="22" ht="15.5" customHeight="1">
      <c r="A22" s="12"/>
      <c r="B22" s="550" cm="1">
        <f t="array" ref="B22">IF(B21=0,0,IF(B21&lt;VLOOKUP(C2,'Boats Data Sheet 2026'!$C$3:$H$57,6,0),B21+1,0))</f>
        <v>0</v>
      </c>
      <c r="C22" t="str" s="551" cm="1">
        <f t="array" ref="C22">IF(B22&gt;0,IF(VLOOKUP(C2,'Boats Data Sheet 2026'!$C$3:$J$57,8,0)="N/A",0,VLOOKUP(C2,'Boats Data Sheet 2026'!$C$3:$J$57,8,0)),"N/A")</f>
        <v>N/A</v>
      </c>
      <c r="D22" t="str" s="551" cm="1">
        <f t="array" ref="D22">IF(B22&gt;7,2,IF(B22=0,"N/A",1))</f>
        <v>N/A</v>
      </c>
      <c r="E22" t="str" s="551" cm="1">
        <f t="array" ref="E22">_xlfn.IFERROR(SUM('Direct Costs 2026'!$C$4:$C$5)*D22,"N/A")</f>
        <v>N/A</v>
      </c>
      <c r="F22" s="552" cm="1">
        <f t="array" ref="F22">_xlfn.IFERROR('Direct Costs 2026'!$C$43*B22,"N/A")</f>
        <v>0</v>
      </c>
      <c r="G22" t="str" s="551" cm="1">
        <f t="array" ref="G22">IF(B22&gt;0,'Direct Costs 2026'!$C$25,"N/A")</f>
        <v>N/A</v>
      </c>
      <c r="H22" t="str" s="551" cm="1">
        <f t="array" ref="H22">IF(B22&gt;0,'Direct Costs 2026'!$C$19+'Direct Costs 2026'!$C$18*B22,"N/A")</f>
        <v>N/A</v>
      </c>
      <c r="I22" t="str" s="551" cm="1">
        <f t="array" ref="I22">IF(B22&gt;0,SUM('Direct Costs 2026'!$C$20:$C$21),"N/A")</f>
        <v>N/A</v>
      </c>
      <c r="J22" s="552">
        <v>0</v>
      </c>
      <c r="K22" t="str" s="551" cm="1">
        <f t="array" ref="K22">IF(B22&gt;0,'Direct Costs 2026'!$C$15+'Direct Costs 2026'!$C$14,"N/A")</f>
        <v>N/A</v>
      </c>
      <c r="L22" t="str" s="551" cm="1">
        <f t="array" ref="L22">IF(B22&gt;0,'Direct Costs 2026'!$C$26,"N/A")</f>
        <v>N/A</v>
      </c>
      <c r="M22" t="str" s="551" cm="1">
        <f t="array" ref="M22">IF(B22&gt;0,'Direct Costs 2026'!$C$23,"N/A")</f>
        <v>N/A</v>
      </c>
      <c r="N22" t="str" s="551" cm="1">
        <f t="array" ref="N22">IF(B22&gt;0,'Direct Costs 2026'!$C$44*B22,"N/A")</f>
        <v>N/A</v>
      </c>
      <c r="O22" t="str" s="551" cm="1">
        <f t="array" ref="O22">IF(B22&gt;0,_xlfn.IFERROR(VLOOKUP(C2,'Boats Data Sheet 2026'!$C$3:$I$57,7,0)*'Direct Costs 2026'!$C$36,"N/A"),"N/A")</f>
        <v>N/A</v>
      </c>
      <c r="P22" t="str" s="551" cm="1">
        <f t="array" ref="P22">IF(B22&gt;0,IF(OR(VLOOKUP(C2,'Boats Data Sheet 2026'!$C$3:$F$57,4,0)="Own",VLOOKUP(C2,'Boats Data Sheet 2026'!$C$3:$F$57,4,0)="Management"),('Direct Costs 2026'!$C$37+'Direct Costs 2026'!$C$39),"N/A"),"N/A")</f>
        <v>N/A</v>
      </c>
      <c r="Q22" t="str" s="551" cm="1">
        <f t="array" ref="Q22">_xlfn.IFERROR(IF(B22&gt;5,IF(B22&gt;11,IF(B22&gt;15,4,3),2),IF(B22=0,"N/A",1))*SUM('Direct Costs 2026'!$C$67:$C$68),"N/A")</f>
        <v>N/A</v>
      </c>
      <c r="R22" t="str" s="551" cm="1">
        <f t="array" ref="R22">_xlfn.IFERROR('Direct Costs 2026'!$C$27*C22,"N/A")</f>
        <v>N/A</v>
      </c>
      <c r="S22" t="str" s="551" cm="1">
        <f t="array" ref="S22">_xlfn.IFERROR(C22+SUM(E22:R22),"N/A")</f>
        <v>N/A</v>
      </c>
      <c r="T22" s="435"/>
      <c r="U22" t="str" s="551" cm="1">
        <f t="array" ref="U22">IF(B22&gt;0,'Allocation OH and Target 2026'!$E$27,"N/A")</f>
        <v>N/A</v>
      </c>
      <c r="V22" t="str" s="551" cm="1">
        <f t="array" ref="V22">IF(B22&gt;0,'Allocation OH and Target 2026'!$E$28,"N/A")</f>
        <v>N/A</v>
      </c>
      <c r="W22" t="str" s="551" cm="1">
        <f t="array" ref="W22">IF(B22&gt;0,VLOOKUP(C2,'Allocation OH and Target 2026'!$C$3:$T$23,17,0),"N/A")</f>
        <v>N/A</v>
      </c>
      <c r="X22" t="str" s="551" cm="1">
        <f t="array" ref="X22">IF(B22&gt;0,VLOOKUP(C2,'Allocation OH and Target 2026'!$C$3:$T$23,18,0),"N/A")</f>
        <v>N/A</v>
      </c>
      <c r="Y22" t="str" s="551" cm="1">
        <f t="array" ref="Y22">_xlfn.IFERROR(V22*B22+X22,"N/A")</f>
        <v>N/A</v>
      </c>
      <c r="Z22" s="435"/>
      <c r="AA22" t="str" s="551" cm="1">
        <f t="array" ref="AA22">_xlfn.IFERROR(Y22+S22,"N/A")</f>
        <v>N/A</v>
      </c>
      <c r="AB22" t="str" s="551" cm="1">
        <f t="array" ref="AB22">_xlfn.IFERROR(AA22*0.5%,"N/A")</f>
        <v>N/A</v>
      </c>
      <c r="AC22" t="str" s="551" cm="1">
        <f t="array" ref="AC22">_xlfn.IFERROR(AA22*25%,"N/A")</f>
        <v>N/A</v>
      </c>
      <c r="AD22" t="str" s="553" cm="1">
        <f t="array" ref="AD22">IF(B22&gt;0,SUM(AA22:AC22),"N/A")</f>
        <v>N/A</v>
      </c>
      <c r="AE22" t="str" s="551" cm="1">
        <f t="array" ref="AE22">_xlfn.IFERROR(AD22/B22,"N/A")</f>
        <v>N/A</v>
      </c>
      <c r="AF22" s="435"/>
      <c r="AG22" t="str" s="553" cm="1">
        <f t="array" ref="AG22">IF(B22/VLOOKUP(C2,'Boats Data Sheet 2026'!$C$3:$H$57,6,0)&gt;VLOOKUP(C2,'Allocation OH and Target 2026'!$C$3:$J$23,8,0),IF(SUM(AH4:AH21)=0,AE22,"N/A"),"N/A")</f>
        <v>N/A</v>
      </c>
      <c r="AH22" s="435" cm="1">
        <f t="array" ref="AH22">IF(AG22="N/A",0,1)</f>
        <v>0</v>
      </c>
      <c r="AI22" t="str" s="551" cm="1">
        <f t="array" ref="AI22">IF(B22/VLOOKUP(C2,'Boats Data Sheet 2026'!$C$3:$H$57,6,0)&gt;VLOOKUP(C2,'Allocation OH and Target 2026'!$C$3:$J$23,8,0),IF(SUM(AH4:AH21)=0,S22/B22,"N/A"),"N/A")</f>
        <v>N/A</v>
      </c>
      <c r="AJ22" s="435" cm="1">
        <f t="array" ref="AJ22">IF(AI22="N/A",0,1)</f>
        <v>0</v>
      </c>
      <c r="AK22" t="str" s="554" cm="1">
        <f t="array" ref="AK22">IF(SUM($AG$5:$AG$22)*B22&lt;SUM(AA22:AB22),"NO GO","GO")</f>
        <v>GO</v>
      </c>
      <c r="AL22" s="435"/>
      <c r="AM22" s="552"/>
      <c r="AN22" s="552"/>
      <c r="AO22" s="552"/>
      <c r="AP22" s="555"/>
      <c r="AQ22" s="543" cm="1">
        <f t="array" ref="AQ22">B22</f>
        <v>0</v>
      </c>
      <c r="AR22" s="18"/>
    </row>
    <row r="23" ht="15.5" customHeight="1">
      <c r="A23" s="32"/>
      <c r="B23" s="438"/>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c r="AA23" s="124"/>
      <c r="AB23" s="124"/>
      <c r="AC23" s="124"/>
      <c r="AD23" s="439"/>
      <c r="AE23" s="124"/>
      <c r="AF23" s="124"/>
      <c r="AG23" s="124"/>
      <c r="AH23" s="124"/>
      <c r="AI23" s="124"/>
      <c r="AJ23" s="124"/>
      <c r="AK23" s="124"/>
      <c r="AL23" s="124"/>
      <c r="AM23" s="124"/>
      <c r="AN23" s="124"/>
      <c r="AO23" s="124"/>
      <c r="AP23" s="124"/>
      <c r="AQ23" s="17"/>
      <c r="AR23" s="18"/>
    </row>
    <row r="24" ht="15.5" customHeight="1">
      <c r="A24" s="32"/>
      <c r="B24" s="440"/>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441"/>
      <c r="AE24" s="35"/>
      <c r="AF24" s="35"/>
      <c r="AG24" s="35"/>
      <c r="AH24" s="35"/>
      <c r="AI24" s="35"/>
      <c r="AJ24" s="35"/>
      <c r="AK24" s="35"/>
      <c r="AL24" s="35"/>
      <c r="AM24" s="35"/>
      <c r="AN24" s="35"/>
      <c r="AO24" s="35"/>
      <c r="AP24" s="35"/>
      <c r="AQ24" s="17"/>
      <c r="AR24" s="18"/>
    </row>
    <row r="25" ht="15.5" customHeight="1">
      <c r="A25" s="395">
        <v>2</v>
      </c>
      <c r="B25" t="s" s="517">
        <v>506</v>
      </c>
      <c r="C25" t="s" s="518">
        <v>581</v>
      </c>
      <c r="D25" s="519"/>
      <c r="E25" s="519"/>
      <c r="F25" s="519"/>
      <c r="G25" s="519"/>
      <c r="H25" s="519"/>
      <c r="I25" s="519"/>
      <c r="J25" s="519"/>
      <c r="K25" s="519"/>
      <c r="L25" s="519"/>
      <c r="M25" s="519"/>
      <c r="N25" s="519"/>
      <c r="O25" s="519"/>
      <c r="P25" s="519"/>
      <c r="Q25" s="519"/>
      <c r="R25" s="519"/>
      <c r="S25" s="519"/>
      <c r="T25" s="399"/>
      <c r="U25" s="519"/>
      <c r="V25" s="519"/>
      <c r="W25" s="519"/>
      <c r="X25" s="519"/>
      <c r="Y25" s="519"/>
      <c r="Z25" s="399"/>
      <c r="AA25" s="519"/>
      <c r="AB25" s="519"/>
      <c r="AC25" s="519"/>
      <c r="AD25" s="519"/>
      <c r="AE25" s="519"/>
      <c r="AF25" s="399"/>
      <c r="AG25" s="521"/>
      <c r="AH25" s="399"/>
      <c r="AI25" s="519"/>
      <c r="AJ25" s="399"/>
      <c r="AK25" s="519"/>
      <c r="AL25" s="399"/>
      <c r="AM25" s="519"/>
      <c r="AN25" s="519"/>
      <c r="AO25" s="519"/>
      <c r="AP25" s="522"/>
      <c r="AQ25" s="543"/>
      <c r="AR25" s="18"/>
    </row>
    <row r="26" ht="16" customHeight="1">
      <c r="A26" s="12"/>
      <c r="B26" s="523"/>
      <c r="C26" t="s" s="524">
        <v>513</v>
      </c>
      <c r="D26" s="525"/>
      <c r="E26" s="525"/>
      <c r="F26" s="525"/>
      <c r="G26" s="525"/>
      <c r="H26" s="525"/>
      <c r="I26" s="525"/>
      <c r="J26" s="525"/>
      <c r="K26" s="525"/>
      <c r="L26" s="525"/>
      <c r="M26" s="525"/>
      <c r="N26" s="525"/>
      <c r="O26" s="525"/>
      <c r="P26" s="525"/>
      <c r="Q26" s="525"/>
      <c r="R26" s="525"/>
      <c r="S26" s="526"/>
      <c r="T26" s="407"/>
      <c r="U26" t="s" s="524">
        <v>514</v>
      </c>
      <c r="V26" s="525"/>
      <c r="W26" s="525"/>
      <c r="X26" s="525"/>
      <c r="Y26" s="526"/>
      <c r="Z26" s="407"/>
      <c r="AA26" t="s" s="524">
        <v>515</v>
      </c>
      <c r="AB26" s="525"/>
      <c r="AC26" s="525"/>
      <c r="AD26" s="525"/>
      <c r="AE26" s="526"/>
      <c r="AF26" s="410"/>
      <c r="AG26" s="527"/>
      <c r="AH26" s="410"/>
      <c r="AI26" s="528"/>
      <c r="AJ26" s="410"/>
      <c r="AK26" s="528"/>
      <c r="AL26" s="410"/>
      <c r="AM26" s="528"/>
      <c r="AN26" s="528"/>
      <c r="AO26" s="528"/>
      <c r="AP26" s="529"/>
      <c r="AQ26" s="543"/>
      <c r="AR26" s="18"/>
    </row>
    <row r="27" ht="48" customHeight="1">
      <c r="A27" s="12"/>
      <c r="B27" t="s" s="530">
        <v>517</v>
      </c>
      <c r="C27" t="s" s="531">
        <v>518</v>
      </c>
      <c r="D27" t="s" s="531">
        <v>519</v>
      </c>
      <c r="E27" t="s" s="531">
        <v>520</v>
      </c>
      <c r="F27" t="s" s="532">
        <v>521</v>
      </c>
      <c r="G27" t="s" s="532">
        <v>522</v>
      </c>
      <c r="H27" t="s" s="532">
        <v>524</v>
      </c>
      <c r="I27" t="s" s="532">
        <v>525</v>
      </c>
      <c r="J27" t="s" s="532">
        <v>556</v>
      </c>
      <c r="K27" t="s" s="532">
        <v>553</v>
      </c>
      <c r="L27" t="s" s="532">
        <v>526</v>
      </c>
      <c r="M27" t="s" s="532">
        <v>527</v>
      </c>
      <c r="N27" t="s" s="532">
        <v>528</v>
      </c>
      <c r="O27" t="s" s="532">
        <v>529</v>
      </c>
      <c r="P27" t="s" s="532">
        <v>530</v>
      </c>
      <c r="Q27" t="s" s="532">
        <v>572</v>
      </c>
      <c r="R27" t="s" s="532">
        <v>531</v>
      </c>
      <c r="S27" t="s" s="532">
        <v>532</v>
      </c>
      <c r="T27" s="556"/>
      <c r="U27" t="s" s="532">
        <v>533</v>
      </c>
      <c r="V27" t="s" s="532">
        <v>573</v>
      </c>
      <c r="W27" t="s" s="532">
        <v>534</v>
      </c>
      <c r="X27" t="s" s="532">
        <v>574</v>
      </c>
      <c r="Y27" t="s" s="532">
        <v>535</v>
      </c>
      <c r="Z27" s="556"/>
      <c r="AA27" t="s" s="532">
        <v>536</v>
      </c>
      <c r="AB27" t="s" s="532">
        <v>537</v>
      </c>
      <c r="AC27" t="s" s="532">
        <v>538</v>
      </c>
      <c r="AD27" t="s" s="532">
        <v>575</v>
      </c>
      <c r="AE27" t="s" s="532">
        <v>539</v>
      </c>
      <c r="AF27" s="557"/>
      <c r="AG27" t="s" s="532">
        <v>576</v>
      </c>
      <c r="AH27" s="557"/>
      <c r="AI27" t="s" s="532">
        <v>577</v>
      </c>
      <c r="AJ27" s="557"/>
      <c r="AK27" t="s" s="531">
        <v>578</v>
      </c>
      <c r="AL27" s="557"/>
      <c r="AM27" s="533"/>
      <c r="AN27" s="533"/>
      <c r="AO27" s="533"/>
      <c r="AP27" s="534"/>
      <c r="AQ27" s="543"/>
      <c r="AR27" s="18"/>
    </row>
    <row r="28" ht="16.5" customHeight="1">
      <c r="A28" s="12"/>
      <c r="B28" s="535">
        <v>1</v>
      </c>
      <c r="C28" s="536" cm="1">
        <f t="array" ref="C28">IF(B28&gt;0,IF(VLOOKUP(C25,'Boats Data Sheet 2026'!$C$3:$J$57,8,0)="N/A",0,VLOOKUP(C25,'Boats Data Sheet 2026'!$C$3:$J$57,8,0)),"N/A")</f>
        <v>0</v>
      </c>
      <c r="D28" s="537" cm="1">
        <f t="array" ref="D28">IF(B28&gt;7,2,IF(B28=0,"N/A",1))</f>
        <v>1</v>
      </c>
      <c r="E28" s="536" cm="1">
        <f t="array" ref="E28">_xlfn.IFERROR(SUM('Direct Costs 2026'!$C$4:$C$5)*D28,"N/A")</f>
        <v>875500</v>
      </c>
      <c r="F28" s="538" cm="1">
        <f t="array" ref="F28">_xlfn.IFERROR('Direct Costs 2026'!$C$43*B28,"N/A")</f>
        <v>6000</v>
      </c>
      <c r="G28" s="538" cm="1">
        <f t="array" ref="G28">IF(B28&gt;0,'Direct Costs 2026'!$C$25,"N/A")</f>
        <v>90000</v>
      </c>
      <c r="H28" s="538" cm="1">
        <f t="array" ref="H28">IF(B28&gt;0,'Direct Costs 2026'!$C$19+'Direct Costs 2026'!$C$18*B28,"N/A")</f>
        <v>110000</v>
      </c>
      <c r="I28" s="538" cm="1">
        <f t="array" ref="I28">IF(B28&gt;0,SUM('Direct Costs 2026'!$C$20:$C$21),"N/A")</f>
        <v>98333.3333333333</v>
      </c>
      <c r="J28" s="538">
        <v>0</v>
      </c>
      <c r="K28" s="538" cm="1">
        <f t="array" ref="K28">IF(B28&gt;0,'Direct Costs 2026'!$C$16+'Direct Costs 2026'!$C$14,"N/A")</f>
        <v>395000</v>
      </c>
      <c r="L28" s="538" cm="1">
        <f t="array" ref="L28">IF(B28&gt;0,'Direct Costs 2026'!$C$26,"N/A")</f>
        <v>20000</v>
      </c>
      <c r="M28" s="538" cm="1">
        <f t="array" ref="M28">IF(B28&gt;0,'Direct Costs 2026'!$C$23,"N/A")</f>
        <v>140000</v>
      </c>
      <c r="N28" s="538" cm="1">
        <f t="array" ref="N28">IF(B28&gt;0,'Direct Costs 2026'!$C$44*B28,"N/A")</f>
        <v>110000</v>
      </c>
      <c r="O28" s="538" cm="1">
        <f t="array" ref="O28">IF(B28&gt;0,_xlfn.IFERROR(VLOOKUP(C25,'Boats Data Sheet 2026'!$C$3:$I$57,7,0)*'Direct Costs 2026'!$C$36,"N/A"),"N/A")</f>
        <v>3657500</v>
      </c>
      <c r="P28" s="538" cm="1">
        <f t="array" ref="P28">IF(B28&gt;0,IF(OR(VLOOKUP(C25,'Boats Data Sheet 2026'!$C$3:$F$57,4,0)="Own",VLOOKUP(C25,'Boats Data Sheet 2026'!$C$3:$F$57,4,0)="Management"),('Direct Costs 2026'!$C$37+'Direct Costs 2026'!$C$39),"N/A"),"N/A")</f>
        <v>1112400</v>
      </c>
      <c r="Q28" s="538" cm="1">
        <f t="array" ref="Q28">_xlfn.IFERROR(IF(B28&gt;5,IF(B28&gt;11,IF(B28&gt;15,4,3),2),IF(B28=0,"N/A",1))*SUM('Direct Costs 2026'!$C$67:$C$68),"N/A")</f>
        <v>489600</v>
      </c>
      <c r="R28" s="538" cm="1">
        <f t="array" ref="R28">_xlfn.IFERROR('Direct Costs 2026'!$C$27*C28,"N/A")</f>
        <v>0</v>
      </c>
      <c r="S28" s="538" cm="1">
        <f t="array" ref="S28">_xlfn.IFERROR(C28+SUM(E28:R28),"N/A")</f>
        <v>7104333.33333333</v>
      </c>
      <c r="T28" s="424"/>
      <c r="U28" s="538" cm="1">
        <f t="array" ref="U28">IF(B28&gt;0,'Allocation OH and Target 2026'!$E$27,"N/A")</f>
        <v>2134447.30345641</v>
      </c>
      <c r="V28" s="538" cm="1">
        <f t="array" ref="V28">IF(B28&gt;0,'Allocation OH and Target 2026'!$E$28,"N/A")</f>
        <v>200042.323056976</v>
      </c>
      <c r="W28" s="538" cm="1">
        <f t="array" ref="W28">IF(B28&gt;0,VLOOKUP(C25,'Allocation OH and Target 2026'!$C$3:$T$23,17,0),"N/A")</f>
        <v>1338394.4034632</v>
      </c>
      <c r="X28" s="538" cm="1">
        <f t="array" ref="X28">IF(B28&gt;0,VLOOKUP(C25,'Allocation OH and Target 2026'!$C$3:$T$23,18,0),"N/A")</f>
        <v>119508.738770777</v>
      </c>
      <c r="Y28" s="538" cm="1">
        <f t="array" ref="Y28">_xlfn.IFERROR(B28*(V28+X28),"N/A")</f>
        <v>319551.061827753</v>
      </c>
      <c r="Z28" s="424"/>
      <c r="AA28" s="538" cm="1">
        <f t="array" ref="AA28">_xlfn.IFERROR(Y28+S28,"N/A")</f>
        <v>7423884.39516108</v>
      </c>
      <c r="AB28" s="538" cm="1">
        <f t="array" ref="AB28">_xlfn.IFERROR(AA28*0.5%,"N/A")</f>
        <v>37119.4219758054</v>
      </c>
      <c r="AC28" s="538" cm="1">
        <f t="array" ref="AC28">_xlfn.IFERROR(AA28*25%,"N/A")</f>
        <v>1855971.09879027</v>
      </c>
      <c r="AD28" s="539" cm="1">
        <f t="array" ref="AD28">IF(B28&gt;0,SUM(AA28:AC28),"N/A")</f>
        <v>9316974.915927161</v>
      </c>
      <c r="AE28" s="538" cm="1">
        <f t="array" ref="AE28">_xlfn.IFERROR(AD28/B28,"N/A")</f>
        <v>9316974.915927161</v>
      </c>
      <c r="AF28" s="424"/>
      <c r="AG28" t="s" s="540">
        <v>14</v>
      </c>
      <c r="AH28" s="424" cm="1">
        <f t="array" ref="AH28">IF(AG28="N/A",0,1)</f>
        <v>0</v>
      </c>
      <c r="AI28" t="s" s="541">
        <v>14</v>
      </c>
      <c r="AJ28" s="424" cm="1">
        <f t="array" ref="AJ28">IF(AI28="N/A",0,1)</f>
        <v>0</v>
      </c>
      <c r="AK28" t="str" s="558" cm="1">
        <f t="array" ref="AK28">IF(SUM($AG$28:$AG$45)*B28&lt;SUM(AA28:AB28),"NO GO","GO")</f>
        <v>NO GO</v>
      </c>
      <c r="AL28" s="424"/>
      <c r="AM28" s="538"/>
      <c r="AN28" s="538"/>
      <c r="AO28" s="538"/>
      <c r="AP28" s="542"/>
      <c r="AQ28" s="543" cm="1">
        <f t="array" ref="AQ28">B28</f>
        <v>1</v>
      </c>
      <c r="AR28" s="18"/>
    </row>
    <row r="29" ht="16" customHeight="1">
      <c r="A29" s="12"/>
      <c r="B29" s="544" cm="1">
        <f t="array" ref="B29">IF(B28=0,0,IF(B28&lt;VLOOKUP(C25,'Boats Data Sheet 2026'!$C$3:$H$57,6,0),B28+1,0))</f>
        <v>2</v>
      </c>
      <c r="C29" s="538" cm="1">
        <f t="array" ref="C29">IF(B29&gt;0,IF(VLOOKUP(C25,'Boats Data Sheet 2026'!$C$3:$J$57,8,0)="N/A",0,VLOOKUP(C25,'Boats Data Sheet 2026'!$C$3:$J$57,8,0)),"N/A")</f>
        <v>0</v>
      </c>
      <c r="D29" s="545" cm="1">
        <f t="array" ref="D29">IF(B29&gt;7,2,IF(B29=0,"N/A",1))</f>
        <v>1</v>
      </c>
      <c r="E29" s="538" cm="1">
        <f t="array" ref="E29">_xlfn.IFERROR(SUM('Direct Costs 2026'!$C$4:$C$5)*D29,"N/A")</f>
        <v>875500</v>
      </c>
      <c r="F29" s="538" cm="1">
        <f t="array" ref="F29">_xlfn.IFERROR('Direct Costs 2026'!$C$43*B29,"N/A")</f>
        <v>12000</v>
      </c>
      <c r="G29" s="538" cm="1">
        <f t="array" ref="G29">IF(B29&gt;0,'Direct Costs 2026'!$C$25,"N/A")</f>
        <v>90000</v>
      </c>
      <c r="H29" s="538" cm="1">
        <f t="array" ref="H29">IF(B29&gt;0,'Direct Costs 2026'!$C$19+'Direct Costs 2026'!$C$18*B29,"N/A")</f>
        <v>145000</v>
      </c>
      <c r="I29" s="538" cm="1">
        <f t="array" ref="I29">IF(B29&gt;0,SUM('Direct Costs 2026'!$C$20:$C$21),"N/A")</f>
        <v>98333.3333333333</v>
      </c>
      <c r="J29" s="538">
        <v>0</v>
      </c>
      <c r="K29" s="538" cm="1">
        <f t="array" ref="K29">IF(B29&gt;0,'Direct Costs 2026'!$C$16+'Direct Costs 2026'!$C$14,"N/A")</f>
        <v>395000</v>
      </c>
      <c r="L29" s="538" cm="1">
        <f t="array" ref="L29">IF(B29&gt;0,'Direct Costs 2026'!$C$26,"N/A")</f>
        <v>20000</v>
      </c>
      <c r="M29" s="538" cm="1">
        <f t="array" ref="M29">IF(B29&gt;0,'Direct Costs 2026'!$C$23,"N/A")</f>
        <v>140000</v>
      </c>
      <c r="N29" s="538" cm="1">
        <f t="array" ref="N29">IF(B29&gt;0,'Direct Costs 2026'!$C$44*B29,"N/A")</f>
        <v>220000</v>
      </c>
      <c r="O29" s="538" cm="1">
        <f t="array" ref="O29">IF(B29&gt;0,_xlfn.IFERROR(VLOOKUP(C25,'Boats Data Sheet 2026'!$C$3:$I$57,7,0)*'Direct Costs 2026'!$C$36,"N/A"),"N/A")</f>
        <v>3657500</v>
      </c>
      <c r="P29" s="538" cm="1">
        <f t="array" ref="P29">IF(B29&gt;0,IF(OR(VLOOKUP(C25,'Boats Data Sheet 2026'!$C$3:$F$57,4,0)="Own",VLOOKUP(C25,'Boats Data Sheet 2026'!$C$3:$F$57,4,0)="Management"),('Direct Costs 2026'!$C$37+'Direct Costs 2026'!$C$39),"N/A"),"N/A")</f>
        <v>1112400</v>
      </c>
      <c r="Q29" s="538" cm="1">
        <f t="array" ref="Q29">_xlfn.IFERROR(IF(B29&gt;5,IF(B29&gt;11,IF(B29&gt;15,4,3),2),IF(B29=0,"N/A",1))*SUM('Direct Costs 2026'!$C$67:$C$68),"N/A")</f>
        <v>489600</v>
      </c>
      <c r="R29" s="538" cm="1">
        <f t="array" ref="R29">_xlfn.IFERROR('Direct Costs 2026'!$C$27*C29,"N/A")</f>
        <v>0</v>
      </c>
      <c r="S29" s="538" cm="1">
        <f t="array" ref="S29">_xlfn.IFERROR(C29+SUM(E29:R29),"N/A")</f>
        <v>7255333.33333333</v>
      </c>
      <c r="T29" s="424"/>
      <c r="U29" s="538" cm="1">
        <f t="array" ref="U29">IF(B29&gt;0,'Allocation OH and Target 2026'!$E$27,"N/A")</f>
        <v>2134447.30345641</v>
      </c>
      <c r="V29" s="538" cm="1">
        <f t="array" ref="V29">IF(B29&gt;0,'Allocation OH and Target 2026'!$E$28,"N/A")</f>
        <v>200042.323056976</v>
      </c>
      <c r="W29" s="538" cm="1">
        <f t="array" ref="W29">IF(B29&gt;0,VLOOKUP(C25,'Allocation OH and Target 2026'!$C$3:$T$23,17,0),"N/A")</f>
        <v>1338394.4034632</v>
      </c>
      <c r="X29" s="538" cm="1">
        <f t="array" ref="X29">IF(B29&gt;0,VLOOKUP(C25,'Allocation OH and Target 2026'!$C$3:$T$23,18,0),"N/A")</f>
        <v>119508.738770777</v>
      </c>
      <c r="Y29" s="538" cm="1">
        <f t="array" ref="Y29">_xlfn.IFERROR(B29*(V29+X29),"N/A")</f>
        <v>639102.1236555059</v>
      </c>
      <c r="Z29" s="424"/>
      <c r="AA29" s="538" cm="1">
        <f t="array" ref="AA29">_xlfn.IFERROR(Y29+S29,"N/A")</f>
        <v>7894435.45698884</v>
      </c>
      <c r="AB29" s="538" cm="1">
        <f t="array" ref="AB29">_xlfn.IFERROR(AA29*0.5%,"N/A")</f>
        <v>39472.1772849442</v>
      </c>
      <c r="AC29" s="538" cm="1">
        <f t="array" ref="AC29">_xlfn.IFERROR(AA29*25%,"N/A")</f>
        <v>1973608.86424721</v>
      </c>
      <c r="AD29" s="539" cm="1">
        <f t="array" ref="AD29">IF(B29&gt;0,SUM(AA29:AC29),"N/A")</f>
        <v>9907516.498520991</v>
      </c>
      <c r="AE29" s="538" cm="1">
        <f t="array" ref="AE29">_xlfn.IFERROR(AD29/B29,"N/A")</f>
        <v>4953758.2492605</v>
      </c>
      <c r="AF29" s="424"/>
      <c r="AG29" t="str" s="546" cm="1">
        <f t="array" ref="AG29">IF(B29/VLOOKUP(C25,'Boats Data Sheet 2026'!$C$3:$H$57,6,0)&gt;VLOOKUP(C25,'Allocation OH and Target 2026'!$C$3:$J$23,8,0),IF(SUM(AH27:AH28)=0,AE29,"N/A"),"N/A")</f>
        <v>N/A</v>
      </c>
      <c r="AH29" s="424" cm="1">
        <f t="array" ref="AH29">IF(AG29="N/A",0,1)</f>
        <v>0</v>
      </c>
      <c r="AI29" t="str" s="547" cm="1">
        <f t="array" ref="AI29">IF(B29/VLOOKUP(C25,'Boats Data Sheet 2026'!$C$3:$H$57,6,0)&gt;VLOOKUP(C25,'Allocation OH and Target 2026'!$C$3:$J$23,8,0),IF(SUM(AH27:AH28)=0,S29/B29,"N/A"),"N/A")</f>
        <v>N/A</v>
      </c>
      <c r="AJ29" s="424" cm="1">
        <f t="array" ref="AJ29">IF(AI29="N/A",0,1)</f>
        <v>0</v>
      </c>
      <c r="AK29" t="str" s="527" cm="1">
        <f t="array" ref="AK29">IF(SUM($AG$28:$AG$45)*B29&lt;SUM(AA29:AB29),"NO GO","GO")</f>
        <v>NO GO</v>
      </c>
      <c r="AL29" s="424"/>
      <c r="AM29" s="538"/>
      <c r="AN29" s="538"/>
      <c r="AO29" s="538"/>
      <c r="AP29" s="542"/>
      <c r="AQ29" s="543" cm="1">
        <f t="array" ref="AQ29">B29</f>
        <v>2</v>
      </c>
      <c r="AR29" s="18"/>
    </row>
    <row r="30" ht="16" customHeight="1">
      <c r="A30" s="12"/>
      <c r="B30" s="544" cm="1">
        <f t="array" ref="B30">IF(B29=0,0,IF(B29&lt;VLOOKUP(C25,'Boats Data Sheet 2026'!$C$3:$H$57,6,0),B29+1,0))</f>
        <v>3</v>
      </c>
      <c r="C30" s="538" cm="1">
        <f t="array" ref="C30">IF(B30&gt;0,IF(VLOOKUP(C25,'Boats Data Sheet 2026'!$C$3:$J$57,8,0)="N/A",0,VLOOKUP(C25,'Boats Data Sheet 2026'!$C$3:$J$57,8,0)),"N/A")</f>
        <v>0</v>
      </c>
      <c r="D30" s="545" cm="1">
        <f t="array" ref="D30">IF(B30&gt;7,2,IF(B30=0,"N/A",1))</f>
        <v>1</v>
      </c>
      <c r="E30" s="538" cm="1">
        <f t="array" ref="E30">_xlfn.IFERROR(SUM('Direct Costs 2026'!$C$4:$C$5)*D30,"N/A")</f>
        <v>875500</v>
      </c>
      <c r="F30" s="538" cm="1">
        <f t="array" ref="F30">_xlfn.IFERROR('Direct Costs 2026'!$C$43*B30,"N/A")</f>
        <v>18000</v>
      </c>
      <c r="G30" s="538" cm="1">
        <f t="array" ref="G30">IF(B30&gt;0,'Direct Costs 2026'!$C$25,"N/A")</f>
        <v>90000</v>
      </c>
      <c r="H30" s="538" cm="1">
        <f t="array" ref="H30">IF(B30&gt;0,'Direct Costs 2026'!$C$19+'Direct Costs 2026'!$C$18*B30,"N/A")</f>
        <v>180000</v>
      </c>
      <c r="I30" s="538" cm="1">
        <f t="array" ref="I30">IF(B30&gt;0,SUM('Direct Costs 2026'!$C$20:$C$21),"N/A")</f>
        <v>98333.3333333333</v>
      </c>
      <c r="J30" s="538">
        <v>0</v>
      </c>
      <c r="K30" s="538" cm="1">
        <f t="array" ref="K30">IF(B30&gt;0,'Direct Costs 2026'!$C$16+'Direct Costs 2026'!$C$14,"N/A")</f>
        <v>395000</v>
      </c>
      <c r="L30" s="538" cm="1">
        <f t="array" ref="L30">IF(B30&gt;0,'Direct Costs 2026'!$C$26,"N/A")</f>
        <v>20000</v>
      </c>
      <c r="M30" s="538" cm="1">
        <f t="array" ref="M30">IF(B30&gt;0,'Direct Costs 2026'!$C$23,"N/A")</f>
        <v>140000</v>
      </c>
      <c r="N30" s="538" cm="1">
        <f t="array" ref="N30">IF(B30&gt;0,'Direct Costs 2026'!$C$44*B30,"N/A")</f>
        <v>330000</v>
      </c>
      <c r="O30" s="538" cm="1">
        <f t="array" ref="O30">IF(B30&gt;0,_xlfn.IFERROR(VLOOKUP(C25,'Boats Data Sheet 2026'!$C$3:$I$57,7,0)*'Direct Costs 2026'!$C$36,"N/A"),"N/A")</f>
        <v>3657500</v>
      </c>
      <c r="P30" s="538" cm="1">
        <f t="array" ref="P30">IF(B30&gt;0,IF(OR(VLOOKUP(C25,'Boats Data Sheet 2026'!$C$3:$F$57,4,0)="Own",VLOOKUP(C25,'Boats Data Sheet 2026'!$C$3:$F$57,4,0)="Management"),('Direct Costs 2026'!$C$37+'Direct Costs 2026'!$C$39),"N/A"),"N/A")</f>
        <v>1112400</v>
      </c>
      <c r="Q30" s="538" cm="1">
        <f t="array" ref="Q30">_xlfn.IFERROR(IF(B30&gt;5,IF(B30&gt;11,IF(B30&gt;15,4,3),2),IF(B30=0,"N/A",1))*SUM('Direct Costs 2026'!$C$67:$C$68),"N/A")</f>
        <v>489600</v>
      </c>
      <c r="R30" s="538" cm="1">
        <f t="array" ref="R30">_xlfn.IFERROR('Direct Costs 2026'!$C$27*C30,"N/A")</f>
        <v>0</v>
      </c>
      <c r="S30" s="538" cm="1">
        <f t="array" ref="S30">_xlfn.IFERROR(C30+SUM(E30:R30),"N/A")</f>
        <v>7406333.33333333</v>
      </c>
      <c r="T30" s="424"/>
      <c r="U30" s="538" cm="1">
        <f t="array" ref="U30">IF(B30&gt;0,'Allocation OH and Target 2026'!$E$27,"N/A")</f>
        <v>2134447.30345641</v>
      </c>
      <c r="V30" s="538" cm="1">
        <f t="array" ref="V30">IF(B30&gt;0,'Allocation OH and Target 2026'!$E$28,"N/A")</f>
        <v>200042.323056976</v>
      </c>
      <c r="W30" s="538" cm="1">
        <f t="array" ref="W30">IF(B30&gt;0,VLOOKUP(C25,'Allocation OH and Target 2026'!$C$3:$T$23,17,0),"N/A")</f>
        <v>1338394.4034632</v>
      </c>
      <c r="X30" s="538" cm="1">
        <f t="array" ref="X30">IF(B30&gt;0,VLOOKUP(C25,'Allocation OH and Target 2026'!$C$3:$T$23,18,0),"N/A")</f>
        <v>119508.738770777</v>
      </c>
      <c r="Y30" s="538" cm="1">
        <f t="array" ref="Y30">_xlfn.IFERROR(B30*(V30+X30),"N/A")</f>
        <v>958653.185483259</v>
      </c>
      <c r="Z30" s="424"/>
      <c r="AA30" s="538" cm="1">
        <f t="array" ref="AA30">_xlfn.IFERROR(Y30+S30,"N/A")</f>
        <v>8364986.51881659</v>
      </c>
      <c r="AB30" s="538" cm="1">
        <f t="array" ref="AB30">_xlfn.IFERROR(AA30*0.5%,"N/A")</f>
        <v>41824.932594083</v>
      </c>
      <c r="AC30" s="538" cm="1">
        <f t="array" ref="AC30">_xlfn.IFERROR(AA30*25%,"N/A")</f>
        <v>2091246.62970415</v>
      </c>
      <c r="AD30" s="539" cm="1">
        <f t="array" ref="AD30">IF(B30&gt;0,SUM(AA30:AC30),"N/A")</f>
        <v>10498058.0811148</v>
      </c>
      <c r="AE30" s="538" cm="1">
        <f t="array" ref="AE30">_xlfn.IFERROR(AD30/B30,"N/A")</f>
        <v>3499352.69370493</v>
      </c>
      <c r="AF30" s="424"/>
      <c r="AG30" t="str" s="546" cm="1">
        <f t="array" ref="AG30">IF(B30/VLOOKUP(C25,'Boats Data Sheet 2026'!$C$3:$H$57,6,0)&gt;VLOOKUP(C25,'Allocation OH and Target 2026'!$C$3:$J$23,8,0),IF(SUM(AH27:AH29)=0,AE30,"N/A"),"N/A")</f>
        <v>N/A</v>
      </c>
      <c r="AH30" s="424" cm="1">
        <f t="array" ref="AH30">IF(AG30="N/A",0,1)</f>
        <v>0</v>
      </c>
      <c r="AI30" t="str" s="547" cm="1">
        <f t="array" ref="AI30">IF(B30/VLOOKUP(C25,'Boats Data Sheet 2026'!$C$3:$H$57,6,0)&gt;VLOOKUP(C25,'Allocation OH and Target 2026'!$C$3:$J$23,8,0),IF(SUM(AH27:AH29)=0,S30/B30,"N/A"),"N/A")</f>
        <v>N/A</v>
      </c>
      <c r="AJ30" s="424" cm="1">
        <f t="array" ref="AJ30">IF(AI30="N/A",0,1)</f>
        <v>0</v>
      </c>
      <c r="AK30" t="str" s="527" cm="1">
        <f t="array" ref="AK30">IF(SUM($AG$28:$AG$45)*B30&lt;SUM(AA30:AB30),"NO GO","GO")</f>
        <v>NO GO</v>
      </c>
      <c r="AL30" s="424"/>
      <c r="AM30" s="538"/>
      <c r="AN30" s="538"/>
      <c r="AO30" s="538"/>
      <c r="AP30" s="542"/>
      <c r="AQ30" s="543" cm="1">
        <f t="array" ref="AQ30">B30</f>
        <v>3</v>
      </c>
      <c r="AR30" s="18"/>
    </row>
    <row r="31" ht="16" customHeight="1">
      <c r="A31" s="12"/>
      <c r="B31" s="544" cm="1">
        <f t="array" ref="B31">IF(B30=0,0,IF(B30&lt;VLOOKUP(C25,'Boats Data Sheet 2026'!$C$3:$H$57,6,0),B30+1,0))</f>
        <v>4</v>
      </c>
      <c r="C31" s="538" cm="1">
        <f t="array" ref="C31">IF(B31&gt;0,IF(VLOOKUP(C25,'Boats Data Sheet 2026'!$C$3:$J$57,8,0)="N/A",0,VLOOKUP(C25,'Boats Data Sheet 2026'!$C$3:$J$57,8,0)),"N/A")</f>
        <v>0</v>
      </c>
      <c r="D31" s="545" cm="1">
        <f t="array" ref="D31">IF(B31&gt;7,2,IF(B31=0,"N/A",1))</f>
        <v>1</v>
      </c>
      <c r="E31" s="538" cm="1">
        <f t="array" ref="E31">_xlfn.IFERROR(SUM('Direct Costs 2026'!$C$4:$C$5)*D31,"N/A")</f>
        <v>875500</v>
      </c>
      <c r="F31" s="538" cm="1">
        <f t="array" ref="F31">_xlfn.IFERROR('Direct Costs 2026'!$C$43*B31,"N/A")</f>
        <v>24000</v>
      </c>
      <c r="G31" s="538" cm="1">
        <f t="array" ref="G31">IF(B31&gt;0,'Direct Costs 2026'!$C$25,"N/A")</f>
        <v>90000</v>
      </c>
      <c r="H31" s="538" cm="1">
        <f t="array" ref="H31">IF(B31&gt;0,'Direct Costs 2026'!$C$19+'Direct Costs 2026'!$C$18*B31,"N/A")</f>
        <v>215000</v>
      </c>
      <c r="I31" s="538" cm="1">
        <f t="array" ref="I31">IF(B31&gt;0,SUM('Direct Costs 2026'!$C$20:$C$21),"N/A")</f>
        <v>98333.3333333333</v>
      </c>
      <c r="J31" s="538">
        <v>0</v>
      </c>
      <c r="K31" s="538" cm="1">
        <f t="array" ref="K31">IF(B31&gt;0,'Direct Costs 2026'!$C$16+'Direct Costs 2026'!$C$14,"N/A")</f>
        <v>395000</v>
      </c>
      <c r="L31" s="538" cm="1">
        <f t="array" ref="L31">IF(B31&gt;0,'Direct Costs 2026'!$C$26,"N/A")</f>
        <v>20000</v>
      </c>
      <c r="M31" s="538" cm="1">
        <f t="array" ref="M31">IF(B31&gt;0,'Direct Costs 2026'!$C$23,"N/A")</f>
        <v>140000</v>
      </c>
      <c r="N31" s="538" cm="1">
        <f t="array" ref="N31">IF(B31&gt;0,'Direct Costs 2026'!$C$44*B31,"N/A")</f>
        <v>440000</v>
      </c>
      <c r="O31" s="538" cm="1">
        <f t="array" ref="O31">IF(B31&gt;0,_xlfn.IFERROR(VLOOKUP(C25,'Boats Data Sheet 2026'!$C$3:$I$57,7,0)*'Direct Costs 2026'!$C$36,"N/A"),"N/A")</f>
        <v>3657500</v>
      </c>
      <c r="P31" s="538" cm="1">
        <f t="array" ref="P31">IF(B31&gt;0,IF(OR(VLOOKUP(C25,'Boats Data Sheet 2026'!$C$3:$F$57,4,0)="Own",VLOOKUP(C25,'Boats Data Sheet 2026'!$C$3:$F$57,4,0)="Management"),('Direct Costs 2026'!$C$37+'Direct Costs 2026'!$C$39),"N/A"),"N/A")</f>
        <v>1112400</v>
      </c>
      <c r="Q31" s="538" cm="1">
        <f t="array" ref="Q31">_xlfn.IFERROR(IF(B31&gt;5,IF(B31&gt;11,IF(B31&gt;15,4,3),2),IF(B31=0,"N/A",1))*SUM('Direct Costs 2026'!$C$67:$C$68),"N/A")</f>
        <v>489600</v>
      </c>
      <c r="R31" s="538" cm="1">
        <f t="array" ref="R31">_xlfn.IFERROR('Direct Costs 2026'!$C$27*C31,"N/A")</f>
        <v>0</v>
      </c>
      <c r="S31" s="538" cm="1">
        <f t="array" ref="S31">_xlfn.IFERROR(C31+SUM(E31:R31),"N/A")</f>
        <v>7557333.33333333</v>
      </c>
      <c r="T31" s="424"/>
      <c r="U31" s="538" cm="1">
        <f t="array" ref="U31">IF(B31&gt;0,'Allocation OH and Target 2026'!$E$27,"N/A")</f>
        <v>2134447.30345641</v>
      </c>
      <c r="V31" s="538" cm="1">
        <f t="array" ref="V31">IF(B31&gt;0,'Allocation OH and Target 2026'!$E$28,"N/A")</f>
        <v>200042.323056976</v>
      </c>
      <c r="W31" s="538" cm="1">
        <f t="array" ref="W31">IF(B31&gt;0,VLOOKUP(C25,'Allocation OH and Target 2026'!$C$3:$T$23,17,0),"N/A")</f>
        <v>1338394.4034632</v>
      </c>
      <c r="X31" s="538" cm="1">
        <f t="array" ref="X31">IF(B31&gt;0,VLOOKUP(C25,'Allocation OH and Target 2026'!$C$3:$T$23,18,0),"N/A")</f>
        <v>119508.738770777</v>
      </c>
      <c r="Y31" s="538" cm="1">
        <f t="array" ref="Y31">_xlfn.IFERROR(B31*(V31+X31),"N/A")</f>
        <v>1278204.24731101</v>
      </c>
      <c r="Z31" s="424"/>
      <c r="AA31" s="538" cm="1">
        <f t="array" ref="AA31">_xlfn.IFERROR(Y31+S31,"N/A")</f>
        <v>8835537.580644339</v>
      </c>
      <c r="AB31" s="538" cm="1">
        <f t="array" ref="AB31">_xlfn.IFERROR(AA31*0.5%,"N/A")</f>
        <v>44177.6879032217</v>
      </c>
      <c r="AC31" s="538" cm="1">
        <f t="array" ref="AC31">_xlfn.IFERROR(AA31*25%,"N/A")</f>
        <v>2208884.39516109</v>
      </c>
      <c r="AD31" s="539" cm="1">
        <f t="array" ref="AD31">IF(B31&gt;0,SUM(AA31:AC31),"N/A")</f>
        <v>11088599.6637087</v>
      </c>
      <c r="AE31" s="538" cm="1">
        <f t="array" ref="AE31">_xlfn.IFERROR(AD31/B31,"N/A")</f>
        <v>2772149.91592718</v>
      </c>
      <c r="AF31" s="424"/>
      <c r="AG31" t="str" s="546" cm="1">
        <f t="array" ref="AG31">IF(B31/VLOOKUP(C25,'Boats Data Sheet 2026'!$C$3:$H$57,6,0)&gt;VLOOKUP(C25,'Allocation OH and Target 2026'!$C$3:$J$23,8,0),IF(SUM(AH27:AH30)=0,AE31,"N/A"),"N/A")</f>
        <v>N/A</v>
      </c>
      <c r="AH31" s="424" cm="1">
        <f t="array" ref="AH31">IF(AG31="N/A",0,1)</f>
        <v>0</v>
      </c>
      <c r="AI31" t="str" s="547" cm="1">
        <f t="array" ref="AI31">IF(B31/VLOOKUP(C25,'Boats Data Sheet 2026'!$C$3:$H$57,6,0)&gt;VLOOKUP(C25,'Allocation OH and Target 2026'!$C$3:$J$23,8,0),IF(SUM(AH27:AH30)=0,S31/B31,"N/A"),"N/A")</f>
        <v>N/A</v>
      </c>
      <c r="AJ31" s="424" cm="1">
        <f t="array" ref="AJ31">IF(AI31="N/A",0,1)</f>
        <v>0</v>
      </c>
      <c r="AK31" t="str" s="527" cm="1">
        <f t="array" ref="AK31">IF(SUM($AG$28:$AG$45)*B31&lt;SUM(AA31:AB31),"NO GO","GO")</f>
        <v>NO GO</v>
      </c>
      <c r="AL31" s="424"/>
      <c r="AM31" s="538"/>
      <c r="AN31" s="538"/>
      <c r="AO31" s="538"/>
      <c r="AP31" s="542"/>
      <c r="AQ31" s="543" cm="1">
        <f t="array" ref="AQ31">B31</f>
        <v>4</v>
      </c>
      <c r="AR31" s="18"/>
    </row>
    <row r="32" ht="16" customHeight="1">
      <c r="A32" s="12"/>
      <c r="B32" s="544" cm="1">
        <f t="array" ref="B32">IF(B31=0,0,IF(B31&lt;VLOOKUP(C25,'Boats Data Sheet 2026'!$C$3:$H$57,6,0),B31+1,0))</f>
        <v>5</v>
      </c>
      <c r="C32" s="538" cm="1">
        <f t="array" ref="C32">IF(B32&gt;0,IF(VLOOKUP(C25,'Boats Data Sheet 2026'!$C$3:$J$57,8,0)="N/A",0,VLOOKUP(C25,'Boats Data Sheet 2026'!$C$3:$J$57,8,0)),"N/A")</f>
        <v>0</v>
      </c>
      <c r="D32" s="545" cm="1">
        <f t="array" ref="D32">IF(B32&gt;7,2,IF(B32=0,"N/A",1))</f>
        <v>1</v>
      </c>
      <c r="E32" s="538" cm="1">
        <f t="array" ref="E32">_xlfn.IFERROR(SUM('Direct Costs 2026'!$C$4:$C$5)*D32,"N/A")</f>
        <v>875500</v>
      </c>
      <c r="F32" s="538" cm="1">
        <f t="array" ref="F32">_xlfn.IFERROR('Direct Costs 2026'!$C$43*B32,"N/A")</f>
        <v>30000</v>
      </c>
      <c r="G32" s="538" cm="1">
        <f t="array" ref="G32">IF(B32&gt;0,'Direct Costs 2026'!$C$25,"N/A")</f>
        <v>90000</v>
      </c>
      <c r="H32" s="538" cm="1">
        <f t="array" ref="H32">IF(B32&gt;0,'Direct Costs 2026'!$C$19+'Direct Costs 2026'!$C$18*B32,"N/A")</f>
        <v>250000</v>
      </c>
      <c r="I32" s="538" cm="1">
        <f t="array" ref="I32">IF(B32&gt;0,SUM('Direct Costs 2026'!$C$20:$C$21),"N/A")</f>
        <v>98333.3333333333</v>
      </c>
      <c r="J32" s="538">
        <v>0</v>
      </c>
      <c r="K32" s="538" cm="1">
        <f t="array" ref="K32">IF(B32&gt;0,'Direct Costs 2026'!$C$16+'Direct Costs 2026'!$C$14,"N/A")</f>
        <v>395000</v>
      </c>
      <c r="L32" s="538" cm="1">
        <f t="array" ref="L32">IF(B32&gt;0,'Direct Costs 2026'!$C$26,"N/A")</f>
        <v>20000</v>
      </c>
      <c r="M32" s="538" cm="1">
        <f t="array" ref="M32">IF(B32&gt;0,'Direct Costs 2026'!$C$23,"N/A")</f>
        <v>140000</v>
      </c>
      <c r="N32" s="538" cm="1">
        <f t="array" ref="N32">IF(B32&gt;0,'Direct Costs 2026'!$C$44*B32,"N/A")</f>
        <v>550000</v>
      </c>
      <c r="O32" s="538" cm="1">
        <f t="array" ref="O32">IF(B32&gt;0,_xlfn.IFERROR(VLOOKUP(C25,'Boats Data Sheet 2026'!$C$3:$I$57,7,0)*'Direct Costs 2026'!$C$36,"N/A"),"N/A")</f>
        <v>3657500</v>
      </c>
      <c r="P32" s="538" cm="1">
        <f t="array" ref="P32">IF(B32&gt;0,IF(OR(VLOOKUP(C25,'Boats Data Sheet 2026'!$C$3:$F$57,4,0)="Own",VLOOKUP(C25,'Boats Data Sheet 2026'!$C$3:$F$57,4,0)="Management"),('Direct Costs 2026'!$C$37+'Direct Costs 2026'!$C$39),"N/A"),"N/A")</f>
        <v>1112400</v>
      </c>
      <c r="Q32" s="538" cm="1">
        <f t="array" ref="Q32">_xlfn.IFERROR(IF(B32&gt;5,IF(B32&gt;11,IF(B32&gt;15,4,3),2),IF(B32=0,"N/A",1))*SUM('Direct Costs 2026'!$C$67:$C$68),"N/A")</f>
        <v>489600</v>
      </c>
      <c r="R32" s="538" cm="1">
        <f t="array" ref="R32">_xlfn.IFERROR('Direct Costs 2026'!$C$27*C32,"N/A")</f>
        <v>0</v>
      </c>
      <c r="S32" s="538" cm="1">
        <f t="array" ref="S32">_xlfn.IFERROR(C32+SUM(E32:R32),"N/A")</f>
        <v>7708333.33333333</v>
      </c>
      <c r="T32" s="424"/>
      <c r="U32" s="538" cm="1">
        <f t="array" ref="U32">IF(B32&gt;0,'Allocation OH and Target 2026'!$E$27,"N/A")</f>
        <v>2134447.30345641</v>
      </c>
      <c r="V32" s="538" cm="1">
        <f t="array" ref="V32">IF(B32&gt;0,'Allocation OH and Target 2026'!$E$28,"N/A")</f>
        <v>200042.323056976</v>
      </c>
      <c r="W32" s="538" cm="1">
        <f t="array" ref="W32">IF(B32&gt;0,VLOOKUP(C25,'Allocation OH and Target 2026'!$C$3:$T$23,17,0),"N/A")</f>
        <v>1338394.4034632</v>
      </c>
      <c r="X32" s="538" cm="1">
        <f t="array" ref="X32">IF(B32&gt;0,VLOOKUP(C25,'Allocation OH and Target 2026'!$C$3:$T$23,18,0),"N/A")</f>
        <v>119508.738770777</v>
      </c>
      <c r="Y32" s="538" cm="1">
        <f t="array" ref="Y32">_xlfn.IFERROR(B32*(V32+X32),"N/A")</f>
        <v>1597755.30913877</v>
      </c>
      <c r="Z32" s="424"/>
      <c r="AA32" s="538" cm="1">
        <f t="array" ref="AA32">_xlfn.IFERROR(Y32+S32,"N/A")</f>
        <v>9306088.6424721</v>
      </c>
      <c r="AB32" s="538" cm="1">
        <f t="array" ref="AB32">_xlfn.IFERROR(AA32*0.5%,"N/A")</f>
        <v>46530.4432123605</v>
      </c>
      <c r="AC32" s="538" cm="1">
        <f t="array" ref="AC32">_xlfn.IFERROR(AA32*25%,"N/A")</f>
        <v>2326522.16061803</v>
      </c>
      <c r="AD32" s="539" cm="1">
        <f t="array" ref="AD32">IF(B32&gt;0,SUM(AA32:AC32),"N/A")</f>
        <v>11679141.2463025</v>
      </c>
      <c r="AE32" s="538" cm="1">
        <f t="array" ref="AE32">_xlfn.IFERROR(AD32/B32,"N/A")</f>
        <v>2335828.2492605</v>
      </c>
      <c r="AF32" s="424"/>
      <c r="AG32" t="str" s="546" cm="1">
        <f t="array" ref="AG32">IF(B32/VLOOKUP(C25,'Boats Data Sheet 2026'!$C$3:$H$57,6,0)&gt;VLOOKUP(C25,'Allocation OH and Target 2026'!$C$3:$J$23,8,0),IF(SUM(AH27:AH31)=0,AE32,"N/A"),"N/A")</f>
        <v>N/A</v>
      </c>
      <c r="AH32" s="424" cm="1">
        <f t="array" ref="AH32">IF(AG32="N/A",0,1)</f>
        <v>0</v>
      </c>
      <c r="AI32" t="str" s="547" cm="1">
        <f t="array" ref="AI32">IF(B32/VLOOKUP(C25,'Boats Data Sheet 2026'!$C$3:$H$57,6,0)&gt;VLOOKUP(C25,'Allocation OH and Target 2026'!$C$3:$J$23,8,0),IF(SUM(AH27:AH31)=0,S32/B32,"N/A"),"N/A")</f>
        <v>N/A</v>
      </c>
      <c r="AJ32" s="424" cm="1">
        <f t="array" ref="AJ32">IF(AI32="N/A",0,1)</f>
        <v>0</v>
      </c>
      <c r="AK32" t="str" s="527" cm="1">
        <f t="array" ref="AK32">IF(SUM($AG$28:$AG$45)*B32&lt;SUM(AA32:AB32),"NO GO","GO")</f>
        <v>NO GO</v>
      </c>
      <c r="AL32" s="424"/>
      <c r="AM32" s="538"/>
      <c r="AN32" s="538"/>
      <c r="AO32" s="538"/>
      <c r="AP32" s="542"/>
      <c r="AQ32" s="543" cm="1">
        <f t="array" ref="AQ32">B32</f>
        <v>5</v>
      </c>
      <c r="AR32" s="18"/>
    </row>
    <row r="33" ht="16" customHeight="1">
      <c r="A33" s="12"/>
      <c r="B33" s="544" cm="1">
        <f t="array" ref="B33">IF(B32=0,0,IF(B32&lt;VLOOKUP(C25,'Boats Data Sheet 2026'!$C$3:$H$57,6,0),B32+1,0))</f>
        <v>6</v>
      </c>
      <c r="C33" s="538" cm="1">
        <f t="array" ref="C33">IF(B33&gt;0,IF(VLOOKUP(C25,'Boats Data Sheet 2026'!$C$3:$J$57,8,0)="N/A",0,VLOOKUP(C25,'Boats Data Sheet 2026'!$C$3:$J$57,8,0)),"N/A")</f>
        <v>0</v>
      </c>
      <c r="D33" s="545" cm="1">
        <f t="array" ref="D33">IF(B33&gt;7,2,IF(B33=0,"N/A",1))</f>
        <v>1</v>
      </c>
      <c r="E33" s="538" cm="1">
        <f t="array" ref="E33">_xlfn.IFERROR(SUM('Direct Costs 2026'!$C$4:$C$5)*D33,"N/A")</f>
        <v>875500</v>
      </c>
      <c r="F33" s="538" cm="1">
        <f t="array" ref="F33">_xlfn.IFERROR('Direct Costs 2026'!$C$43*B33,"N/A")</f>
        <v>36000</v>
      </c>
      <c r="G33" s="538" cm="1">
        <f t="array" ref="G33">IF(B33&gt;0,'Direct Costs 2026'!$C$25,"N/A")</f>
        <v>90000</v>
      </c>
      <c r="H33" s="538" cm="1">
        <f t="array" ref="H33">IF(B33&gt;0,'Direct Costs 2026'!$C$19+'Direct Costs 2026'!$C$18*B33,"N/A")</f>
        <v>285000</v>
      </c>
      <c r="I33" s="538" cm="1">
        <f t="array" ref="I33">IF(B33&gt;0,SUM('Direct Costs 2026'!$C$20:$C$21),"N/A")</f>
        <v>98333.3333333333</v>
      </c>
      <c r="J33" s="538">
        <v>0</v>
      </c>
      <c r="K33" s="538" cm="1">
        <f t="array" ref="K33">IF(B33&gt;0,'Direct Costs 2026'!$C$16+'Direct Costs 2026'!$C$14,"N/A")</f>
        <v>395000</v>
      </c>
      <c r="L33" s="538" cm="1">
        <f t="array" ref="L33">IF(B33&gt;0,'Direct Costs 2026'!$C$26,"N/A")</f>
        <v>20000</v>
      </c>
      <c r="M33" s="538" cm="1">
        <f t="array" ref="M33">IF(B33&gt;0,'Direct Costs 2026'!$C$23,"N/A")</f>
        <v>140000</v>
      </c>
      <c r="N33" s="538" cm="1">
        <f t="array" ref="N33">IF(B33&gt;0,'Direct Costs 2026'!$C$44*B33,"N/A")</f>
        <v>660000</v>
      </c>
      <c r="O33" s="538" cm="1">
        <f t="array" ref="O33">IF(B33&gt;0,_xlfn.IFERROR(VLOOKUP(C25,'Boats Data Sheet 2026'!$C$3:$I$57,7,0)*'Direct Costs 2026'!$C$36,"N/A"),"N/A")</f>
        <v>3657500</v>
      </c>
      <c r="P33" s="538" cm="1">
        <f t="array" ref="P33">IF(B33&gt;0,IF(OR(VLOOKUP(C25,'Boats Data Sheet 2026'!$C$3:$F$57,4,0)="Own",VLOOKUP(C25,'Boats Data Sheet 2026'!$C$3:$F$57,4,0)="Management"),('Direct Costs 2026'!$C$37+'Direct Costs 2026'!$C$39),"N/A"),"N/A")</f>
        <v>1112400</v>
      </c>
      <c r="Q33" s="538" cm="1">
        <f t="array" ref="Q33">_xlfn.IFERROR(IF(B33&gt;5,IF(B33&gt;11,IF(B33&gt;15,4,3),2),IF(B33=0,"N/A",1))*SUM('Direct Costs 2026'!$C$67:$C$68),"N/A")</f>
        <v>979200</v>
      </c>
      <c r="R33" s="538" cm="1">
        <f t="array" ref="R33">_xlfn.IFERROR('Direct Costs 2026'!$C$27*C33,"N/A")</f>
        <v>0</v>
      </c>
      <c r="S33" s="538" cm="1">
        <f t="array" ref="S33">_xlfn.IFERROR(C33+SUM(E33:R33),"N/A")</f>
        <v>8348933.33333333</v>
      </c>
      <c r="T33" s="424"/>
      <c r="U33" s="538" cm="1">
        <f t="array" ref="U33">IF(B33&gt;0,'Allocation OH and Target 2026'!$E$27,"N/A")</f>
        <v>2134447.30345641</v>
      </c>
      <c r="V33" s="538" cm="1">
        <f t="array" ref="V33">IF(B33&gt;0,'Allocation OH and Target 2026'!$E$28,"N/A")</f>
        <v>200042.323056976</v>
      </c>
      <c r="W33" s="538" cm="1">
        <f t="array" ref="W33">IF(B33&gt;0,VLOOKUP(C25,'Allocation OH and Target 2026'!$C$3:$T$23,17,0),"N/A")</f>
        <v>1338394.4034632</v>
      </c>
      <c r="X33" s="538" cm="1">
        <f t="array" ref="X33">IF(B33&gt;0,VLOOKUP(C25,'Allocation OH and Target 2026'!$C$3:$T$23,18,0),"N/A")</f>
        <v>119508.738770777</v>
      </c>
      <c r="Y33" s="538" cm="1">
        <f t="array" ref="Y33">_xlfn.IFERROR(B33*(V33+X33),"N/A")</f>
        <v>1917306.37096652</v>
      </c>
      <c r="Z33" s="424"/>
      <c r="AA33" s="538" cm="1">
        <f t="array" ref="AA33">_xlfn.IFERROR(Y33+S33,"N/A")</f>
        <v>10266239.7042999</v>
      </c>
      <c r="AB33" s="538" cm="1">
        <f t="array" ref="AB33">_xlfn.IFERROR(AA33*0.5%,"N/A")</f>
        <v>51331.1985214995</v>
      </c>
      <c r="AC33" s="538" cm="1">
        <f t="array" ref="AC33">_xlfn.IFERROR(AA33*25%,"N/A")</f>
        <v>2566559.92607498</v>
      </c>
      <c r="AD33" s="539" cm="1">
        <f t="array" ref="AD33">IF(B33&gt;0,SUM(AA33:AC33),"N/A")</f>
        <v>12884130.8288964</v>
      </c>
      <c r="AE33" s="538" cm="1">
        <f t="array" ref="AE33">_xlfn.IFERROR(AD33/B33,"N/A")</f>
        <v>2147355.1381494</v>
      </c>
      <c r="AF33" s="424"/>
      <c r="AG33" t="str" s="546" cm="1">
        <f t="array" ref="AG33">IF(B33/VLOOKUP(C25,'Boats Data Sheet 2026'!$C$3:$H$57,6,0)&gt;VLOOKUP(C25,'Allocation OH and Target 2026'!$C$3:$J$23,8,0),IF(SUM(AH27:AH32)=0,AE33,"N/A"),"N/A")</f>
        <v>N/A</v>
      </c>
      <c r="AH33" s="424" cm="1">
        <f t="array" ref="AH33">IF(AG33="N/A",0,1)</f>
        <v>0</v>
      </c>
      <c r="AI33" t="str" s="547" cm="1">
        <f t="array" ref="AI33">IF(B33/VLOOKUP(C25,'Boats Data Sheet 2026'!$C$3:$H$57,6,0)&gt;VLOOKUP(C25,'Allocation OH and Target 2026'!$C$3:$J$23,8,0),IF(SUM(AH27:AH32)=0,S33/B33,"N/A"),"N/A")</f>
        <v>N/A</v>
      </c>
      <c r="AJ33" s="424" cm="1">
        <f t="array" ref="AJ33">IF(AI33="N/A",0,1)</f>
        <v>0</v>
      </c>
      <c r="AK33" t="str" s="527" cm="1">
        <f t="array" ref="AK33">IF(SUM($AG$28:$AG$45)*B33&lt;SUM(AA33:AB33),"NO GO","GO")</f>
        <v>NO GO</v>
      </c>
      <c r="AL33" s="424"/>
      <c r="AM33" s="538"/>
      <c r="AN33" s="538"/>
      <c r="AO33" s="538"/>
      <c r="AP33" s="542"/>
      <c r="AQ33" s="543" cm="1">
        <f t="array" ref="AQ33">B33</f>
        <v>6</v>
      </c>
      <c r="AR33" s="18"/>
    </row>
    <row r="34" ht="16" customHeight="1">
      <c r="A34" s="12"/>
      <c r="B34" s="544" cm="1">
        <f t="array" ref="B34">IF(B33=0,0,IF(B33&lt;VLOOKUP(C25,'Boats Data Sheet 2026'!$C$3:$H$57,6,0),B33+1,0))</f>
        <v>7</v>
      </c>
      <c r="C34" s="538" cm="1">
        <f t="array" ref="C34">IF(B34&gt;0,IF(VLOOKUP(C25,'Boats Data Sheet 2026'!$C$3:$J$57,8,0)="N/A",0,VLOOKUP(C25,'Boats Data Sheet 2026'!$C$3:$J$57,8,0)),"N/A")</f>
        <v>0</v>
      </c>
      <c r="D34" s="545" cm="1">
        <f t="array" ref="D34">IF(B34&gt;7,2,IF(B34=0,"N/A",1))</f>
        <v>1</v>
      </c>
      <c r="E34" s="538" cm="1">
        <f t="array" ref="E34">_xlfn.IFERROR(SUM('Direct Costs 2026'!$C$4:$C$5)*D34,"N/A")</f>
        <v>875500</v>
      </c>
      <c r="F34" s="538" cm="1">
        <f t="array" ref="F34">_xlfn.IFERROR('Direct Costs 2026'!$C$43*B34,"N/A")</f>
        <v>42000</v>
      </c>
      <c r="G34" s="538" cm="1">
        <f t="array" ref="G34">IF(B34&gt;0,'Direct Costs 2026'!$C$25,"N/A")</f>
        <v>90000</v>
      </c>
      <c r="H34" s="538" cm="1">
        <f t="array" ref="H34">IF(B34&gt;0,'Direct Costs 2026'!$C$19+'Direct Costs 2026'!$C$18*B34,"N/A")</f>
        <v>320000</v>
      </c>
      <c r="I34" s="538" cm="1">
        <f t="array" ref="I34">IF(B34&gt;0,SUM('Direct Costs 2026'!$C$20:$C$21),"N/A")</f>
        <v>98333.3333333333</v>
      </c>
      <c r="J34" s="538">
        <v>0</v>
      </c>
      <c r="K34" s="538" cm="1">
        <f t="array" ref="K34">IF(B34&gt;0,'Direct Costs 2026'!$C$16+'Direct Costs 2026'!$C$14,"N/A")</f>
        <v>395000</v>
      </c>
      <c r="L34" s="538" cm="1">
        <f t="array" ref="L34">IF(B34&gt;0,'Direct Costs 2026'!$C$26,"N/A")</f>
        <v>20000</v>
      </c>
      <c r="M34" s="538" cm="1">
        <f t="array" ref="M34">IF(B34&gt;0,'Direct Costs 2026'!$C$23,"N/A")</f>
        <v>140000</v>
      </c>
      <c r="N34" s="538" cm="1">
        <f t="array" ref="N34">IF(B34&gt;0,'Direct Costs 2026'!$C$44*B34,"N/A")</f>
        <v>770000</v>
      </c>
      <c r="O34" s="538" cm="1">
        <f t="array" ref="O34">IF(B34&gt;0,_xlfn.IFERROR(VLOOKUP(C25,'Boats Data Sheet 2026'!$C$3:$I$57,7,0)*'Direct Costs 2026'!$C$36,"N/A"),"N/A")</f>
        <v>3657500</v>
      </c>
      <c r="P34" s="538" cm="1">
        <f t="array" ref="P34">IF(B34&gt;0,IF(OR(VLOOKUP(C25,'Boats Data Sheet 2026'!$C$3:$F$57,4,0)="Own",VLOOKUP(C25,'Boats Data Sheet 2026'!$C$3:$F$57,4,0)="Management"),('Direct Costs 2026'!$C$37+'Direct Costs 2026'!$C$39),"N/A"),"N/A")</f>
        <v>1112400</v>
      </c>
      <c r="Q34" s="538" cm="1">
        <f t="array" ref="Q34">_xlfn.IFERROR(IF(B34&gt;5,IF(B34&gt;11,IF(B34&gt;15,4,3),2),IF(B34=0,"N/A",1))*SUM('Direct Costs 2026'!$C$67:$C$68),"N/A")</f>
        <v>979200</v>
      </c>
      <c r="R34" s="538" cm="1">
        <f t="array" ref="R34">_xlfn.IFERROR('Direct Costs 2026'!$C$27*C34,"N/A")</f>
        <v>0</v>
      </c>
      <c r="S34" s="538" cm="1">
        <f t="array" ref="S34">_xlfn.IFERROR(C34+SUM(E34:R34),"N/A")</f>
        <v>8499933.33333333</v>
      </c>
      <c r="T34" s="424"/>
      <c r="U34" s="538" cm="1">
        <f t="array" ref="U34">IF(B34&gt;0,'Allocation OH and Target 2026'!$E$27,"N/A")</f>
        <v>2134447.30345641</v>
      </c>
      <c r="V34" s="538" cm="1">
        <f t="array" ref="V34">IF(B34&gt;0,'Allocation OH and Target 2026'!$E$28,"N/A")</f>
        <v>200042.323056976</v>
      </c>
      <c r="W34" s="538" cm="1">
        <f t="array" ref="W34">IF(B34&gt;0,VLOOKUP(C25,'Allocation OH and Target 2026'!$C$3:$T$23,17,0),"N/A")</f>
        <v>1338394.4034632</v>
      </c>
      <c r="X34" s="538" cm="1">
        <f t="array" ref="X34">IF(B34&gt;0,VLOOKUP(C25,'Allocation OH and Target 2026'!$C$3:$T$23,18,0),"N/A")</f>
        <v>119508.738770777</v>
      </c>
      <c r="Y34" s="538" cm="1">
        <f t="array" ref="Y34">_xlfn.IFERROR(B34*(V34+X34),"N/A")</f>
        <v>2236857.43279427</v>
      </c>
      <c r="Z34" s="424"/>
      <c r="AA34" s="538" cm="1">
        <f t="array" ref="AA34">_xlfn.IFERROR(Y34+S34,"N/A")</f>
        <v>10736790.7661276</v>
      </c>
      <c r="AB34" s="538" cm="1">
        <f t="array" ref="AB34">_xlfn.IFERROR(AA34*0.5%,"N/A")</f>
        <v>53683.953830638</v>
      </c>
      <c r="AC34" s="538" cm="1">
        <f t="array" ref="AC34">_xlfn.IFERROR(AA34*25%,"N/A")</f>
        <v>2684197.6915319</v>
      </c>
      <c r="AD34" s="539" cm="1">
        <f t="array" ref="AD34">IF(B34&gt;0,SUM(AA34:AC34),"N/A")</f>
        <v>13474672.4114901</v>
      </c>
      <c r="AE34" s="538" cm="1">
        <f t="array" ref="AE34">_xlfn.IFERROR(AD34/B34,"N/A")</f>
        <v>1924953.20164144</v>
      </c>
      <c r="AF34" s="424"/>
      <c r="AG34" t="str" s="546" cm="1">
        <f t="array" ref="AG34">IF(B34/VLOOKUP(C25,'Boats Data Sheet 2026'!$C$3:$H$57,6,0)&gt;VLOOKUP(C25,'Allocation OH and Target 2026'!$C$3:$J$23,8,0),IF(SUM(AH27:AH33)=0,AE34,"N/A"),"N/A")</f>
        <v>N/A</v>
      </c>
      <c r="AH34" s="424" cm="1">
        <f t="array" ref="AH34">IF(AG34="N/A",0,1)</f>
        <v>0</v>
      </c>
      <c r="AI34" t="str" s="547" cm="1">
        <f t="array" ref="AI34">IF(B34/VLOOKUP(C25,'Boats Data Sheet 2026'!$C$3:$H$57,6,0)&gt;VLOOKUP(C25,'Allocation OH and Target 2026'!$C$3:$J$23,8,0),IF(SUM(AH27:AH33)=0,S34/B34,"N/A"),"N/A")</f>
        <v>N/A</v>
      </c>
      <c r="AJ34" s="424" cm="1">
        <f t="array" ref="AJ34">IF(AI34="N/A",0,1)</f>
        <v>0</v>
      </c>
      <c r="AK34" t="str" s="527" cm="1">
        <f t="array" ref="AK34">IF(SUM($AG$28:$AG$45)*B34&lt;SUM(AA34:AB34),"NO GO","GO")</f>
        <v>NO GO</v>
      </c>
      <c r="AL34" s="424"/>
      <c r="AM34" s="538"/>
      <c r="AN34" s="538"/>
      <c r="AO34" s="538"/>
      <c r="AP34" s="542"/>
      <c r="AQ34" s="543" cm="1">
        <f t="array" ref="AQ34">B34</f>
        <v>7</v>
      </c>
      <c r="AR34" s="18"/>
    </row>
    <row r="35" ht="16" customHeight="1">
      <c r="A35" s="12"/>
      <c r="B35" s="544" cm="1">
        <f t="array" ref="B35">IF(B34=0,0,IF(B34&lt;VLOOKUP(C25,'Boats Data Sheet 2026'!$C$3:$H$57,6,0),B34+1,0))</f>
        <v>8</v>
      </c>
      <c r="C35" s="538" cm="1">
        <f t="array" ref="C35">IF(B35&gt;0,IF(VLOOKUP(C25,'Boats Data Sheet 2026'!$C$3:$J$57,8,0)="N/A",0,VLOOKUP(C25,'Boats Data Sheet 2026'!$C$3:$J$57,8,0)),"N/A")</f>
        <v>0</v>
      </c>
      <c r="D35" s="545" cm="1">
        <f t="array" ref="D35">IF(B35&gt;7,2,IF(B35=0,"N/A",1))</f>
        <v>2</v>
      </c>
      <c r="E35" s="538" cm="1">
        <f t="array" ref="E35">_xlfn.IFERROR(SUM('Direct Costs 2026'!$C$4:$C$5)*D35,"N/A")</f>
        <v>1751000</v>
      </c>
      <c r="F35" s="538" cm="1">
        <f t="array" ref="F35">_xlfn.IFERROR('Direct Costs 2026'!$C$43*B35,"N/A")</f>
        <v>48000</v>
      </c>
      <c r="G35" s="538" cm="1">
        <f t="array" ref="G35">IF(B35&gt;0,'Direct Costs 2026'!$C$25,"N/A")</f>
        <v>90000</v>
      </c>
      <c r="H35" s="538" cm="1">
        <f t="array" ref="H35">IF(B35&gt;0,'Direct Costs 2026'!$C$19+'Direct Costs 2026'!$C$18*B35,"N/A")</f>
        <v>355000</v>
      </c>
      <c r="I35" s="538" cm="1">
        <f t="array" ref="I35">IF(B35&gt;0,SUM('Direct Costs 2026'!$C$20:$C$21),"N/A")</f>
        <v>98333.3333333333</v>
      </c>
      <c r="J35" s="538">
        <v>0</v>
      </c>
      <c r="K35" s="538" cm="1">
        <f t="array" ref="K35">IF(B35&gt;0,'Direct Costs 2026'!$C$16+'Direct Costs 2026'!$C$14,"N/A")</f>
        <v>395000</v>
      </c>
      <c r="L35" s="538" cm="1">
        <f t="array" ref="L35">IF(B35&gt;0,'Direct Costs 2026'!$C$26,"N/A")</f>
        <v>20000</v>
      </c>
      <c r="M35" s="538" cm="1">
        <f t="array" ref="M35">IF(B35&gt;0,'Direct Costs 2026'!$C$23,"N/A")</f>
        <v>140000</v>
      </c>
      <c r="N35" s="538" cm="1">
        <f t="array" ref="N35">IF(B35&gt;0,'Direct Costs 2026'!$C$44*B35,"N/A")</f>
        <v>880000</v>
      </c>
      <c r="O35" s="538" cm="1">
        <f t="array" ref="O35">IF(B35&gt;0,_xlfn.IFERROR(VLOOKUP(C25,'Boats Data Sheet 2026'!$C$3:$I$57,7,0)*'Direct Costs 2026'!$C$36,"N/A"),"N/A")</f>
        <v>3657500</v>
      </c>
      <c r="P35" s="538" cm="1">
        <f t="array" ref="P35">IF(B35&gt;0,IF(OR(VLOOKUP(C25,'Boats Data Sheet 2026'!$C$3:$F$57,4,0)="Own",VLOOKUP(C25,'Boats Data Sheet 2026'!$C$3:$F$57,4,0)="Management"),('Direct Costs 2026'!$C$37+'Direct Costs 2026'!$C$39),"N/A"),"N/A")</f>
        <v>1112400</v>
      </c>
      <c r="Q35" s="538" cm="1">
        <f t="array" ref="Q35">_xlfn.IFERROR(IF(B35&gt;5,IF(B35&gt;11,IF(B35&gt;15,4,3),2),IF(B35=0,"N/A",1))*SUM('Direct Costs 2026'!$C$67:$C$68),"N/A")</f>
        <v>979200</v>
      </c>
      <c r="R35" s="538" cm="1">
        <f t="array" ref="R35">_xlfn.IFERROR('Direct Costs 2026'!$C$27*C35,"N/A")</f>
        <v>0</v>
      </c>
      <c r="S35" s="538" cm="1">
        <f t="array" ref="S35">_xlfn.IFERROR(C35+SUM(E35:R35),"N/A")</f>
        <v>9526433.33333333</v>
      </c>
      <c r="T35" s="424"/>
      <c r="U35" s="538" cm="1">
        <f t="array" ref="U35">IF(B35&gt;0,'Allocation OH and Target 2026'!$E$27,"N/A")</f>
        <v>2134447.30345641</v>
      </c>
      <c r="V35" s="538" cm="1">
        <f t="array" ref="V35">IF(B35&gt;0,'Allocation OH and Target 2026'!$E$28,"N/A")</f>
        <v>200042.323056976</v>
      </c>
      <c r="W35" s="538" cm="1">
        <f t="array" ref="W35">IF(B35&gt;0,VLOOKUP(C25,'Allocation OH and Target 2026'!$C$3:$T$23,17,0),"N/A")</f>
        <v>1338394.4034632</v>
      </c>
      <c r="X35" s="538" cm="1">
        <f t="array" ref="X35">IF(B35&gt;0,VLOOKUP(C25,'Allocation OH and Target 2026'!$C$3:$T$23,18,0),"N/A")</f>
        <v>119508.738770777</v>
      </c>
      <c r="Y35" s="538" cm="1">
        <f t="array" ref="Y35">_xlfn.IFERROR(B35*(V35+X35),"N/A")</f>
        <v>2556408.49462202</v>
      </c>
      <c r="Z35" s="424"/>
      <c r="AA35" s="538" cm="1">
        <f t="array" ref="AA35">_xlfn.IFERROR(Y35+S35,"N/A")</f>
        <v>12082841.8279554</v>
      </c>
      <c r="AB35" s="538" cm="1">
        <f t="array" ref="AB35">_xlfn.IFERROR(AA35*0.5%,"N/A")</f>
        <v>60414.209139777</v>
      </c>
      <c r="AC35" s="538" cm="1">
        <f t="array" ref="AC35">_xlfn.IFERROR(AA35*25%,"N/A")</f>
        <v>3020710.45698885</v>
      </c>
      <c r="AD35" s="539" cm="1">
        <f t="array" ref="AD35">IF(B35&gt;0,SUM(AA35:AC35),"N/A")</f>
        <v>15163966.494084</v>
      </c>
      <c r="AE35" s="538" cm="1">
        <f t="array" ref="AE35">_xlfn.IFERROR(AD35/B35,"N/A")</f>
        <v>1895495.8117605</v>
      </c>
      <c r="AF35" s="424"/>
      <c r="AG35" t="str" s="546" cm="1">
        <f t="array" ref="AG35">IF(B35/VLOOKUP(C25,'Boats Data Sheet 2026'!$C$3:$H$57,6,0)&gt;VLOOKUP(C25,'Allocation OH and Target 2026'!$C$3:$J$23,8,0),IF(SUM(AH27:AH34)=0,AE35,"N/A"),"N/A")</f>
        <v>N/A</v>
      </c>
      <c r="AH35" s="424" cm="1">
        <f t="array" ref="AH35">IF(AG35="N/A",0,1)</f>
        <v>0</v>
      </c>
      <c r="AI35" t="str" s="547" cm="1">
        <f t="array" ref="AI35">IF(B35/VLOOKUP(C25,'Boats Data Sheet 2026'!$C$3:$H$57,6,0)&gt;VLOOKUP(C25,'Allocation OH and Target 2026'!$C$3:$J$23,8,0),IF(SUM(AH27:AH34)=0,S35/B35,"N/A"),"N/A")</f>
        <v>N/A</v>
      </c>
      <c r="AJ35" s="424" cm="1">
        <f t="array" ref="AJ35">IF(AI35="N/A",0,1)</f>
        <v>0</v>
      </c>
      <c r="AK35" t="str" s="527" cm="1">
        <f t="array" ref="AK35">IF(SUM($AG$28:$AG$45)*B35&lt;SUM(AA35:AB35),"NO GO","GO")</f>
        <v>NO GO</v>
      </c>
      <c r="AL35" s="424"/>
      <c r="AM35" s="538"/>
      <c r="AN35" s="538"/>
      <c r="AO35" s="538"/>
      <c r="AP35" s="542"/>
      <c r="AQ35" s="543" cm="1">
        <f t="array" ref="AQ35">B35</f>
        <v>8</v>
      </c>
      <c r="AR35" s="18"/>
    </row>
    <row r="36" ht="16" customHeight="1">
      <c r="A36" s="12"/>
      <c r="B36" s="544" cm="1">
        <f t="array" ref="B36">IF(B35=0,0,IF(B35&lt;VLOOKUP(C25,'Boats Data Sheet 2026'!$C$3:$H$57,6,0),B35+1,0))</f>
        <v>9</v>
      </c>
      <c r="C36" s="538" cm="1">
        <f t="array" ref="C36">IF(B36&gt;0,IF(VLOOKUP(C25,'Boats Data Sheet 2026'!$C$3:$J$57,8,0)="N/A",0,VLOOKUP(C25,'Boats Data Sheet 2026'!$C$3:$J$57,8,0)),"N/A")</f>
        <v>0</v>
      </c>
      <c r="D36" s="545" cm="1">
        <f t="array" ref="D36">IF(B36&gt;7,2,IF(B36=0,"N/A",1))</f>
        <v>2</v>
      </c>
      <c r="E36" s="538" cm="1">
        <f t="array" ref="E36">_xlfn.IFERROR(SUM('Direct Costs 2026'!$C$4:$C$5)*D36,"N/A")</f>
        <v>1751000</v>
      </c>
      <c r="F36" s="538" cm="1">
        <f t="array" ref="F36">_xlfn.IFERROR('Direct Costs 2026'!$C$43*B36,"N/A")</f>
        <v>54000</v>
      </c>
      <c r="G36" s="538" cm="1">
        <f t="array" ref="G36">IF(B36&gt;0,'Direct Costs 2026'!$C$25,"N/A")</f>
        <v>90000</v>
      </c>
      <c r="H36" s="538" cm="1">
        <f t="array" ref="H36">IF(B36&gt;0,'Direct Costs 2026'!$C$19+'Direct Costs 2026'!$C$18*B36,"N/A")</f>
        <v>390000</v>
      </c>
      <c r="I36" s="538" cm="1">
        <f t="array" ref="I36">IF(B36&gt;0,SUM('Direct Costs 2026'!$C$20:$C$21),"N/A")</f>
        <v>98333.3333333333</v>
      </c>
      <c r="J36" s="538">
        <v>0</v>
      </c>
      <c r="K36" s="538" cm="1">
        <f t="array" ref="K36">IF(B36&gt;0,'Direct Costs 2026'!$C$16+'Direct Costs 2026'!$C$14,"N/A")</f>
        <v>395000</v>
      </c>
      <c r="L36" s="538" cm="1">
        <f t="array" ref="L36">IF(B36&gt;0,'Direct Costs 2026'!$C$26,"N/A")</f>
        <v>20000</v>
      </c>
      <c r="M36" s="538" cm="1">
        <f t="array" ref="M36">IF(B36&gt;0,'Direct Costs 2026'!$C$23,"N/A")</f>
        <v>140000</v>
      </c>
      <c r="N36" s="538" cm="1">
        <f t="array" ref="N36">IF(B36&gt;0,'Direct Costs 2026'!$C$44*B36,"N/A")</f>
        <v>990000</v>
      </c>
      <c r="O36" s="538" cm="1">
        <f t="array" ref="O36">IF(B36&gt;0,_xlfn.IFERROR(VLOOKUP(C25,'Boats Data Sheet 2026'!$C$3:$I$57,7,0)*'Direct Costs 2026'!$C$36,"N/A"),"N/A")</f>
        <v>3657500</v>
      </c>
      <c r="P36" s="538" cm="1">
        <f t="array" ref="P36">IF(B36&gt;0,IF(OR(VLOOKUP(C25,'Boats Data Sheet 2026'!$C$3:$F$57,4,0)="Own",VLOOKUP(C25,'Boats Data Sheet 2026'!$C$3:$F$57,4,0)="Management"),('Direct Costs 2026'!$C$37+'Direct Costs 2026'!$C$39),"N/A"),"N/A")</f>
        <v>1112400</v>
      </c>
      <c r="Q36" s="538" cm="1">
        <f t="array" ref="Q36">_xlfn.IFERROR(IF(B36&gt;5,IF(B36&gt;11,IF(B36&gt;15,4,3),2),IF(B36=0,"N/A",1))*SUM('Direct Costs 2026'!$C$67:$C$68),"N/A")</f>
        <v>979200</v>
      </c>
      <c r="R36" s="538" cm="1">
        <f t="array" ref="R36">_xlfn.IFERROR('Direct Costs 2026'!$C$27*C36,"N/A")</f>
        <v>0</v>
      </c>
      <c r="S36" s="538" cm="1">
        <f t="array" ref="S36">_xlfn.IFERROR(C36+SUM(E36:R36),"N/A")</f>
        <v>9677433.33333333</v>
      </c>
      <c r="T36" s="424"/>
      <c r="U36" s="538" cm="1">
        <f t="array" ref="U36">IF(B36&gt;0,'Allocation OH and Target 2026'!$E$27,"N/A")</f>
        <v>2134447.30345641</v>
      </c>
      <c r="V36" s="538" cm="1">
        <f t="array" ref="V36">IF(B36&gt;0,'Allocation OH and Target 2026'!$E$28,"N/A")</f>
        <v>200042.323056976</v>
      </c>
      <c r="W36" s="538" cm="1">
        <f t="array" ref="W36">IF(B36&gt;0,VLOOKUP(C25,'Allocation OH and Target 2026'!$C$3:$T$23,17,0),"N/A")</f>
        <v>1338394.4034632</v>
      </c>
      <c r="X36" s="538" cm="1">
        <f t="array" ref="X36">IF(B36&gt;0,VLOOKUP(C25,'Allocation OH and Target 2026'!$C$3:$T$23,18,0),"N/A")</f>
        <v>119508.738770777</v>
      </c>
      <c r="Y36" s="538" cm="1">
        <f t="array" ref="Y36">_xlfn.IFERROR(B36*(V36+X36),"N/A")</f>
        <v>2875959.55644978</v>
      </c>
      <c r="Z36" s="424"/>
      <c r="AA36" s="538" cm="1">
        <f t="array" ref="AA36">_xlfn.IFERROR(Y36+S36,"N/A")</f>
        <v>12553392.8897831</v>
      </c>
      <c r="AB36" s="538" cm="1">
        <f t="array" ref="AB36">_xlfn.IFERROR(AA36*0.5%,"N/A")</f>
        <v>62766.9644489155</v>
      </c>
      <c r="AC36" s="538" cm="1">
        <f t="array" ref="AC36">_xlfn.IFERROR(AA36*25%,"N/A")</f>
        <v>3138348.22244578</v>
      </c>
      <c r="AD36" s="539" cm="1">
        <f t="array" ref="AD36">IF(B36&gt;0,SUM(AA36:AC36),"N/A")</f>
        <v>15754508.0766778</v>
      </c>
      <c r="AE36" s="538" cm="1">
        <f t="array" ref="AE36">_xlfn.IFERROR(AD36/B36,"N/A")</f>
        <v>1750500.89740864</v>
      </c>
      <c r="AF36" s="424"/>
      <c r="AG36" t="str" s="546" cm="1">
        <f t="array" ref="AG36">IF(B36/VLOOKUP(C25,'Boats Data Sheet 2026'!$C$3:$H$57,6,0)&gt;VLOOKUP(C25,'Allocation OH and Target 2026'!$C$3:$J$23,8,0),IF(SUM(AH27:AH35)=0,AE36,"N/A"),"N/A")</f>
        <v>N/A</v>
      </c>
      <c r="AH36" s="424" cm="1">
        <f t="array" ref="AH36">IF(AG36="N/A",0,1)</f>
        <v>0</v>
      </c>
      <c r="AI36" t="str" s="547" cm="1">
        <f t="array" ref="AI36">IF(B36/VLOOKUP(C25,'Boats Data Sheet 2026'!$C$3:$H$57,6,0)&gt;VLOOKUP(C25,'Allocation OH and Target 2026'!$C$3:$J$23,8,0),IF(SUM(AH27:AH35)=0,S36/B36,"N/A"),"N/A")</f>
        <v>N/A</v>
      </c>
      <c r="AJ36" s="424" cm="1">
        <f t="array" ref="AJ36">IF(AI36="N/A",0,1)</f>
        <v>0</v>
      </c>
      <c r="AK36" t="str" s="527" cm="1">
        <f t="array" ref="AK36">IF(SUM($AG$28:$AG$45)*B36&lt;SUM(AA36:AB36),"NO GO","GO")</f>
        <v>GO</v>
      </c>
      <c r="AL36" s="424"/>
      <c r="AM36" s="538"/>
      <c r="AN36" s="538"/>
      <c r="AO36" s="538"/>
      <c r="AP36" s="542"/>
      <c r="AQ36" s="543" cm="1">
        <f t="array" ref="AQ36">B36</f>
        <v>9</v>
      </c>
      <c r="AR36" s="548"/>
    </row>
    <row r="37" ht="16" customHeight="1">
      <c r="A37" s="12"/>
      <c r="B37" s="544" cm="1">
        <f t="array" ref="B37">IF(B36=0,0,IF(B36&lt;VLOOKUP(C25,'Boats Data Sheet 2026'!$C$3:$H$57,6,0),B36+1,0))</f>
        <v>10</v>
      </c>
      <c r="C37" s="538" cm="1">
        <f t="array" ref="C37">IF(B37&gt;0,IF(VLOOKUP(C25,'Boats Data Sheet 2026'!$C$3:$J$57,8,0)="N/A",0,VLOOKUP(C25,'Boats Data Sheet 2026'!$C$3:$J$57,8,0)),"N/A")</f>
        <v>0</v>
      </c>
      <c r="D37" s="545" cm="1">
        <f t="array" ref="D37">IF(B37&gt;7,2,IF(B37=0,"N/A",1))</f>
        <v>2</v>
      </c>
      <c r="E37" s="538" cm="1">
        <f t="array" ref="E37">_xlfn.IFERROR(SUM('Direct Costs 2026'!$C$4:$C$5)*D37,"N/A")</f>
        <v>1751000</v>
      </c>
      <c r="F37" s="538" cm="1">
        <f t="array" ref="F37">_xlfn.IFERROR('Direct Costs 2026'!$C$43*B37,"N/A")</f>
        <v>60000</v>
      </c>
      <c r="G37" s="538" cm="1">
        <f t="array" ref="G37">IF(B37&gt;0,'Direct Costs 2026'!$C$25,"N/A")</f>
        <v>90000</v>
      </c>
      <c r="H37" s="538" cm="1">
        <f t="array" ref="H37">IF(B37&gt;0,'Direct Costs 2026'!$C$19+'Direct Costs 2026'!$C$18*B37,"N/A")</f>
        <v>425000</v>
      </c>
      <c r="I37" s="538" cm="1">
        <f t="array" ref="I37">IF(B37&gt;0,SUM('Direct Costs 2026'!$C$20:$C$21),"N/A")</f>
        <v>98333.3333333333</v>
      </c>
      <c r="J37" s="538">
        <v>0</v>
      </c>
      <c r="K37" s="538" cm="1">
        <f t="array" ref="K37">IF(B37&gt;0,'Direct Costs 2026'!$C$16+'Direct Costs 2026'!$C$14,"N/A")</f>
        <v>395000</v>
      </c>
      <c r="L37" s="538" cm="1">
        <f t="array" ref="L37">IF(B37&gt;0,'Direct Costs 2026'!$C$26,"N/A")</f>
        <v>20000</v>
      </c>
      <c r="M37" s="538" cm="1">
        <f t="array" ref="M37">IF(B37&gt;0,'Direct Costs 2026'!$C$23,"N/A")</f>
        <v>140000</v>
      </c>
      <c r="N37" s="538" cm="1">
        <f t="array" ref="N37">IF(B37&gt;0,'Direct Costs 2026'!$C$44*B37,"N/A")</f>
        <v>1100000</v>
      </c>
      <c r="O37" s="538" cm="1">
        <f t="array" ref="O37">IF(B37&gt;0,_xlfn.IFERROR(VLOOKUP(C25,'Boats Data Sheet 2026'!$C$3:$I$57,7,0)*'Direct Costs 2026'!$C$36,"N/A"),"N/A")</f>
        <v>3657500</v>
      </c>
      <c r="P37" s="538" cm="1">
        <f t="array" ref="P37">IF(B37&gt;0,IF(OR(VLOOKUP(C25,'Boats Data Sheet 2026'!$C$3:$F$57,4,0)="Own",VLOOKUP(C25,'Boats Data Sheet 2026'!$C$3:$F$57,4,0)="Management"),('Direct Costs 2026'!$C$37+'Direct Costs 2026'!$C$39),"N/A"),"N/A")</f>
        <v>1112400</v>
      </c>
      <c r="Q37" s="538" cm="1">
        <f t="array" ref="Q37">_xlfn.IFERROR(IF(B37&gt;5,IF(B37&gt;11,IF(B37&gt;15,4,3),2),IF(B37=0,"N/A",1))*SUM('Direct Costs 2026'!$C$67:$C$68),"N/A")</f>
        <v>979200</v>
      </c>
      <c r="R37" s="538" cm="1">
        <f t="array" ref="R37">_xlfn.IFERROR('Direct Costs 2026'!$C$27*C37,"N/A")</f>
        <v>0</v>
      </c>
      <c r="S37" s="538" cm="1">
        <f t="array" ref="S37">_xlfn.IFERROR(C37+SUM(E37:R37),"N/A")</f>
        <v>9828433.33333333</v>
      </c>
      <c r="T37" s="424"/>
      <c r="U37" s="538" cm="1">
        <f t="array" ref="U37">IF(B37&gt;0,'Allocation OH and Target 2026'!$E$27,"N/A")</f>
        <v>2134447.30345641</v>
      </c>
      <c r="V37" s="538" cm="1">
        <f t="array" ref="V37">IF(B37&gt;0,'Allocation OH and Target 2026'!$E$28,"N/A")</f>
        <v>200042.323056976</v>
      </c>
      <c r="W37" s="538" cm="1">
        <f t="array" ref="W37">IF(B37&gt;0,VLOOKUP(C25,'Allocation OH and Target 2026'!$C$3:$T$23,17,0),"N/A")</f>
        <v>1338394.4034632</v>
      </c>
      <c r="X37" s="538" cm="1">
        <f t="array" ref="X37">IF(B37&gt;0,VLOOKUP(C25,'Allocation OH and Target 2026'!$C$3:$T$23,18,0),"N/A")</f>
        <v>119508.738770777</v>
      </c>
      <c r="Y37" s="538" cm="1">
        <f t="array" ref="Y37">_xlfn.IFERROR(B37*(V37+X37),"N/A")</f>
        <v>3195510.61827753</v>
      </c>
      <c r="Z37" s="424"/>
      <c r="AA37" s="538" cm="1">
        <f t="array" ref="AA37">_xlfn.IFERROR(Y37+S37,"N/A")</f>
        <v>13023943.9516109</v>
      </c>
      <c r="AB37" s="538" cm="1">
        <f t="array" ref="AB37">_xlfn.IFERROR(AA37*0.5%,"N/A")</f>
        <v>65119.7197580545</v>
      </c>
      <c r="AC37" s="538" cm="1">
        <f t="array" ref="AC37">_xlfn.IFERROR(AA37*25%,"N/A")</f>
        <v>3255985.98790273</v>
      </c>
      <c r="AD37" s="539" cm="1">
        <f t="array" ref="AD37">IF(B37&gt;0,SUM(AA37:AC37),"N/A")</f>
        <v>16345049.6592717</v>
      </c>
      <c r="AE37" s="538" cm="1">
        <f t="array" ref="AE37">_xlfn.IFERROR(AD37/B37,"N/A")</f>
        <v>1634504.96592717</v>
      </c>
      <c r="AF37" s="424"/>
      <c r="AG37" t="str" s="546" cm="1">
        <f t="array" ref="AG37">IF(B37/VLOOKUP(C25,'Boats Data Sheet 2026'!$C$3:$H$57,6,0)&gt;VLOOKUP(C25,'Allocation OH and Target 2026'!$C$3:$J$23,8,0),IF(SUM(AH27:AH36)=0,AE37,"N/A"),"N/A")</f>
        <v>N/A</v>
      </c>
      <c r="AH37" s="424" cm="1">
        <f t="array" ref="AH37">IF(AG37="N/A",0,1)</f>
        <v>0</v>
      </c>
      <c r="AI37" t="str" s="547" cm="1">
        <f t="array" ref="AI37">IF(B37/VLOOKUP(C25,'Boats Data Sheet 2026'!$C$3:$H$57,6,0)&gt;VLOOKUP(C25,'Allocation OH and Target 2026'!$C$3:$J$23,8,0),IF(SUM(AH27:AH36)=0,S37/B37,"N/A"),"N/A")</f>
        <v>N/A</v>
      </c>
      <c r="AJ37" s="424" cm="1">
        <f t="array" ref="AJ37">IF(AI37="N/A",0,1)</f>
        <v>0</v>
      </c>
      <c r="AK37" t="str" s="527" cm="1">
        <f t="array" ref="AK37">IF(SUM($AG$28:$AG$45)*B37&lt;SUM(AA37:AB37),"NO GO","GO")</f>
        <v>GO</v>
      </c>
      <c r="AL37" s="424"/>
      <c r="AM37" s="538"/>
      <c r="AN37" s="538"/>
      <c r="AO37" s="538"/>
      <c r="AP37" s="542"/>
      <c r="AQ37" s="543" cm="1">
        <f t="array" ref="AQ37">B37</f>
        <v>10</v>
      </c>
      <c r="AR37" s="18"/>
    </row>
    <row r="38" ht="16" customHeight="1">
      <c r="A38" s="12"/>
      <c r="B38" s="544" cm="1">
        <f t="array" ref="B38">IF(B37=0,0,IF(B37&lt;VLOOKUP(C25,'Boats Data Sheet 2026'!$C$3:$H$57,6,0),B37+1,0))</f>
        <v>11</v>
      </c>
      <c r="C38" s="538" cm="1">
        <f t="array" ref="C38">IF(B38&gt;0,IF(VLOOKUP(C25,'Boats Data Sheet 2026'!$C$3:$J$57,8,0)="N/A",0,VLOOKUP(C25,'Boats Data Sheet 2026'!$C$3:$J$57,8,0)),"N/A")</f>
        <v>0</v>
      </c>
      <c r="D38" s="545" cm="1">
        <f t="array" ref="D38">IF(B38&gt;7,2,IF(B38=0,"N/A",1))</f>
        <v>2</v>
      </c>
      <c r="E38" s="538" cm="1">
        <f t="array" ref="E38">_xlfn.IFERROR(SUM('Direct Costs 2026'!$C$4:$C$5)*D38,"N/A")</f>
        <v>1751000</v>
      </c>
      <c r="F38" s="538" cm="1">
        <f t="array" ref="F38">_xlfn.IFERROR('Direct Costs 2026'!$C$43*B38,"N/A")</f>
        <v>66000</v>
      </c>
      <c r="G38" s="538" cm="1">
        <f t="array" ref="G38">IF(B38&gt;0,'Direct Costs 2026'!$C$25,"N/A")</f>
        <v>90000</v>
      </c>
      <c r="H38" s="538" cm="1">
        <f t="array" ref="H38">IF(B38&gt;0,'Direct Costs 2026'!$C$19+'Direct Costs 2026'!$C$18*B38,"N/A")</f>
        <v>460000</v>
      </c>
      <c r="I38" s="538" cm="1">
        <f t="array" ref="I38">IF(B38&gt;0,SUM('Direct Costs 2026'!$C$20:$C$21),"N/A")</f>
        <v>98333.3333333333</v>
      </c>
      <c r="J38" s="538">
        <v>0</v>
      </c>
      <c r="K38" s="538" cm="1">
        <f t="array" ref="K38">IF(B38&gt;0,'Direct Costs 2026'!$C$16+'Direct Costs 2026'!$C$14,"N/A")</f>
        <v>395000</v>
      </c>
      <c r="L38" s="538" cm="1">
        <f t="array" ref="L38">IF(B38&gt;0,'Direct Costs 2026'!$C$26,"N/A")</f>
        <v>20000</v>
      </c>
      <c r="M38" s="538" cm="1">
        <f t="array" ref="M38">IF(B38&gt;0,'Direct Costs 2026'!$C$23,"N/A")</f>
        <v>140000</v>
      </c>
      <c r="N38" s="538" cm="1">
        <f t="array" ref="N38">IF(B38&gt;0,'Direct Costs 2026'!$C$44*B38,"N/A")</f>
        <v>1210000</v>
      </c>
      <c r="O38" s="538" cm="1">
        <f t="array" ref="O38">IF(B38&gt;0,_xlfn.IFERROR(VLOOKUP(C25,'Boats Data Sheet 2026'!$C$3:$I$57,7,0)*'Direct Costs 2026'!$C$36,"N/A"),"N/A")</f>
        <v>3657500</v>
      </c>
      <c r="P38" s="538" cm="1">
        <f t="array" ref="P38">IF(B38&gt;0,IF(OR(VLOOKUP(C25,'Boats Data Sheet 2026'!$C$3:$F$57,4,0)="Own",VLOOKUP(C25,'Boats Data Sheet 2026'!$C$3:$F$57,4,0)="Management"),('Direct Costs 2026'!$C$37+'Direct Costs 2026'!$C$39),"N/A"),"N/A")</f>
        <v>1112400</v>
      </c>
      <c r="Q38" s="538" cm="1">
        <f t="array" ref="Q38">_xlfn.IFERROR(IF(B38&gt;5,IF(B38&gt;11,IF(B38&gt;15,4,3),2),IF(B38=0,"N/A",1))*SUM('Direct Costs 2026'!$C$67:$C$68),"N/A")</f>
        <v>979200</v>
      </c>
      <c r="R38" s="538" cm="1">
        <f t="array" ref="R38">_xlfn.IFERROR('Direct Costs 2026'!$C$27*C38,"N/A")</f>
        <v>0</v>
      </c>
      <c r="S38" s="538" cm="1">
        <f t="array" ref="S38">_xlfn.IFERROR(C38+SUM(E38:R38),"N/A")</f>
        <v>9979433.33333333</v>
      </c>
      <c r="T38" s="424"/>
      <c r="U38" s="538" cm="1">
        <f t="array" ref="U38">IF(B38&gt;0,'Allocation OH and Target 2026'!$E$27,"N/A")</f>
        <v>2134447.30345641</v>
      </c>
      <c r="V38" s="538" cm="1">
        <f t="array" ref="V38">IF(B38&gt;0,'Allocation OH and Target 2026'!$E$28,"N/A")</f>
        <v>200042.323056976</v>
      </c>
      <c r="W38" s="538" cm="1">
        <f t="array" ref="W38">IF(B38&gt;0,VLOOKUP(C25,'Allocation OH and Target 2026'!$C$3:$T$23,17,0),"N/A")</f>
        <v>1338394.4034632</v>
      </c>
      <c r="X38" s="538" cm="1">
        <f t="array" ref="X38">IF(B38&gt;0,VLOOKUP(C25,'Allocation OH and Target 2026'!$C$3:$T$23,18,0),"N/A")</f>
        <v>119508.738770777</v>
      </c>
      <c r="Y38" s="538" cm="1">
        <f t="array" ref="Y38">_xlfn.IFERROR(B38*(V38+X38),"N/A")</f>
        <v>3515061.68010528</v>
      </c>
      <c r="Z38" s="424"/>
      <c r="AA38" s="538" cm="1">
        <f t="array" ref="AA38">_xlfn.IFERROR(Y38+S38,"N/A")</f>
        <v>13494495.0134386</v>
      </c>
      <c r="AB38" s="538" cm="1">
        <f t="array" ref="AB38">_xlfn.IFERROR(AA38*0.5%,"N/A")</f>
        <v>67472.475067192994</v>
      </c>
      <c r="AC38" s="538" cm="1">
        <f t="array" ref="AC38">_xlfn.IFERROR(AA38*25%,"N/A")</f>
        <v>3373623.75335965</v>
      </c>
      <c r="AD38" s="539" cm="1">
        <f t="array" ref="AD38">IF(B38&gt;0,SUM(AA38:AC38),"N/A")</f>
        <v>16935591.2418654</v>
      </c>
      <c r="AE38" s="538" cm="1">
        <f t="array" ref="AE38">_xlfn.IFERROR(AD38/B38,"N/A")</f>
        <v>1539599.20380595</v>
      </c>
      <c r="AF38" s="424"/>
      <c r="AG38" t="str" s="546" cm="1">
        <f t="array" ref="AG38">IF(B38/VLOOKUP(C25,'Boats Data Sheet 2026'!$C$3:$H$57,6,0)&gt;VLOOKUP(C25,'Allocation OH and Target 2026'!$C$3:$J$23,8,0),IF(SUM(AH27:AH37)=0,AE38,"N/A"),"N/A")</f>
        <v>N/A</v>
      </c>
      <c r="AH38" s="424" cm="1">
        <f t="array" ref="AH38">IF(AG38="N/A",0,1)</f>
        <v>0</v>
      </c>
      <c r="AI38" t="str" s="547" cm="1">
        <f t="array" ref="AI38">IF(B38/VLOOKUP(C25,'Boats Data Sheet 2026'!$C$3:$H$57,6,0)&gt;VLOOKUP(C25,'Allocation OH and Target 2026'!$C$3:$J$23,8,0),IF(SUM(AH27:AH37)=0,S38/B38,"N/A"),"N/A")</f>
        <v>N/A</v>
      </c>
      <c r="AJ38" s="424" cm="1">
        <f t="array" ref="AJ38">IF(AI38="N/A",0,1)</f>
        <v>0</v>
      </c>
      <c r="AK38" t="str" s="527" cm="1">
        <f t="array" ref="AK38">IF(SUM($AG$28:$AG$45)*B38&lt;SUM(AA38:AB38),"NO GO","GO")</f>
        <v>GO</v>
      </c>
      <c r="AL38" s="424"/>
      <c r="AM38" s="538"/>
      <c r="AN38" s="538"/>
      <c r="AO38" s="538"/>
      <c r="AP38" s="542"/>
      <c r="AQ38" s="543" cm="1">
        <f t="array" ref="AQ38">B38</f>
        <v>11</v>
      </c>
      <c r="AR38" s="18"/>
    </row>
    <row r="39" ht="16" customHeight="1">
      <c r="A39" s="12"/>
      <c r="B39" s="544" cm="1">
        <f t="array" ref="B39">IF(B38=0,0,IF(B38&lt;VLOOKUP(C25,'Boats Data Sheet 2026'!$C$3:$H$57,6,0),B38+1,0))</f>
        <v>12</v>
      </c>
      <c r="C39" s="538" cm="1">
        <f t="array" ref="C39">IF(B39&gt;0,IF(VLOOKUP(C25,'Boats Data Sheet 2026'!$C$3:$J$57,8,0)="N/A",0,VLOOKUP(C25,'Boats Data Sheet 2026'!$C$3:$J$57,8,0)),"N/A")</f>
        <v>0</v>
      </c>
      <c r="D39" s="545" cm="1">
        <f t="array" ref="D39">IF(B39&gt;7,2,IF(B39=0,"N/A",1))</f>
        <v>2</v>
      </c>
      <c r="E39" s="538" cm="1">
        <f t="array" ref="E39">_xlfn.IFERROR(SUM('Direct Costs 2026'!$C$4:$C$5)*D39,"N/A")</f>
        <v>1751000</v>
      </c>
      <c r="F39" s="538" cm="1">
        <f t="array" ref="F39">_xlfn.IFERROR('Direct Costs 2026'!$C$43*B39,"N/A")</f>
        <v>72000</v>
      </c>
      <c r="G39" s="538" cm="1">
        <f t="array" ref="G39">IF(B39&gt;0,'Direct Costs 2026'!$C$25,"N/A")</f>
        <v>90000</v>
      </c>
      <c r="H39" s="538" cm="1">
        <f t="array" ref="H39">IF(B39&gt;0,'Direct Costs 2026'!$C$19+'Direct Costs 2026'!$C$18*B39,"N/A")</f>
        <v>495000</v>
      </c>
      <c r="I39" s="538" cm="1">
        <f t="array" ref="I39">IF(B39&gt;0,SUM('Direct Costs 2026'!$C$20:$C$21),"N/A")</f>
        <v>98333.3333333333</v>
      </c>
      <c r="J39" s="538">
        <v>0</v>
      </c>
      <c r="K39" s="538" cm="1">
        <f t="array" ref="K39">IF(B39&gt;0,'Direct Costs 2026'!$C$16+'Direct Costs 2026'!$C$14,"N/A")</f>
        <v>395000</v>
      </c>
      <c r="L39" s="538" cm="1">
        <f t="array" ref="L39">IF(B39&gt;0,'Direct Costs 2026'!$C$26,"N/A")</f>
        <v>20000</v>
      </c>
      <c r="M39" s="538" cm="1">
        <f t="array" ref="M39">IF(B39&gt;0,'Direct Costs 2026'!$C$23,"N/A")</f>
        <v>140000</v>
      </c>
      <c r="N39" s="538" cm="1">
        <f t="array" ref="N39">IF(B39&gt;0,'Direct Costs 2026'!$C$44*B39,"N/A")</f>
        <v>1320000</v>
      </c>
      <c r="O39" s="538" cm="1">
        <f t="array" ref="O39">IF(B39&gt;0,_xlfn.IFERROR(VLOOKUP(C25,'Boats Data Sheet 2026'!$C$3:$I$57,7,0)*'Direct Costs 2026'!$C$36,"N/A"),"N/A")</f>
        <v>3657500</v>
      </c>
      <c r="P39" s="538" cm="1">
        <f t="array" ref="P39">IF(B39&gt;0,IF(OR(VLOOKUP(C25,'Boats Data Sheet 2026'!$C$3:$F$57,4,0)="Own",VLOOKUP(C25,'Boats Data Sheet 2026'!$C$3:$F$57,4,0)="Management"),('Direct Costs 2026'!$C$37+'Direct Costs 2026'!$C$39),"N/A"),"N/A")</f>
        <v>1112400</v>
      </c>
      <c r="Q39" s="538" cm="1">
        <f t="array" ref="Q39">_xlfn.IFERROR(IF(B39&gt;5,IF(B39&gt;11,IF(B39&gt;15,4,3),2),IF(B39=0,"N/A",1))*SUM('Direct Costs 2026'!$C$67:$C$68),"N/A")</f>
        <v>1468800</v>
      </c>
      <c r="R39" s="538" cm="1">
        <f t="array" ref="R39">_xlfn.IFERROR('Direct Costs 2026'!$C$27*C39,"N/A")</f>
        <v>0</v>
      </c>
      <c r="S39" s="538" cm="1">
        <f t="array" ref="S39">_xlfn.IFERROR(C39+SUM(E39:R39),"N/A")</f>
        <v>10620033.3333333</v>
      </c>
      <c r="T39" s="424"/>
      <c r="U39" s="538" cm="1">
        <f t="array" ref="U39">IF(B39&gt;0,'Allocation OH and Target 2026'!$E$27,"N/A")</f>
        <v>2134447.30345641</v>
      </c>
      <c r="V39" s="538" cm="1">
        <f t="array" ref="V39">IF(B39&gt;0,'Allocation OH and Target 2026'!$E$28,"N/A")</f>
        <v>200042.323056976</v>
      </c>
      <c r="W39" s="538" cm="1">
        <f t="array" ref="W39">IF(B39&gt;0,VLOOKUP(C25,'Allocation OH and Target 2026'!$C$3:$T$23,17,0),"N/A")</f>
        <v>1338394.4034632</v>
      </c>
      <c r="X39" s="538" cm="1">
        <f t="array" ref="X39">IF(B39&gt;0,VLOOKUP(C25,'Allocation OH and Target 2026'!$C$3:$T$23,18,0),"N/A")</f>
        <v>119508.738770777</v>
      </c>
      <c r="Y39" s="538" cm="1">
        <f t="array" ref="Y39">_xlfn.IFERROR(B39*(V39+X39),"N/A")</f>
        <v>3834612.74193304</v>
      </c>
      <c r="Z39" s="424"/>
      <c r="AA39" s="538" cm="1">
        <f t="array" ref="AA39">_xlfn.IFERROR(Y39+S39,"N/A")</f>
        <v>14454646.0752663</v>
      </c>
      <c r="AB39" s="538" cm="1">
        <f t="array" ref="AB39">_xlfn.IFERROR(AA39*0.5%,"N/A")</f>
        <v>72273.2303763315</v>
      </c>
      <c r="AC39" s="538" cm="1">
        <f t="array" ref="AC39">_xlfn.IFERROR(AA39*25%,"N/A")</f>
        <v>3613661.51881658</v>
      </c>
      <c r="AD39" s="539" cm="1">
        <f t="array" ref="AD39">IF(B39&gt;0,SUM(AA39:AC39),"N/A")</f>
        <v>18140580.8244592</v>
      </c>
      <c r="AE39" s="538" cm="1">
        <f t="array" ref="AE39">_xlfn.IFERROR(AD39/B39,"N/A")</f>
        <v>1511715.06870493</v>
      </c>
      <c r="AF39" s="424"/>
      <c r="AG39" s="539" cm="1">
        <f t="array" ref="AG39">IF(B39/VLOOKUP(C25,'Boats Data Sheet 2026'!$C$3:$H$57,6,0)&gt;VLOOKUP(C25,'Allocation OH and Target 2026'!$C$3:$J$23,8,0),IF(SUM(AH27:AH38)=0,AE39,"N/A"),"N/A")</f>
        <v>1511715.06870493</v>
      </c>
      <c r="AH39" s="424" cm="1">
        <f t="array" ref="AH39">IF(AG39="N/A",0,1)</f>
        <v>1</v>
      </c>
      <c r="AI39" s="538" cm="1">
        <f t="array" ref="AI39">IF(B39/VLOOKUP(C25,'Boats Data Sheet 2026'!$C$3:$H$57,6,0)&gt;VLOOKUP(C25,'Allocation OH and Target 2026'!$C$3:$J$23,8,0),IF(SUM(AH27:AH38)=0,S39/B39,"N/A"),"N/A")</f>
        <v>885002.777777775</v>
      </c>
      <c r="AJ39" s="424" cm="1">
        <f t="array" ref="AJ39">IF(AI39="N/A",0,1)</f>
        <v>1</v>
      </c>
      <c r="AK39" t="str" s="527" cm="1">
        <f t="array" ref="AK39">IF(SUM($AG$28:$AG$45)*B39&lt;SUM(AA39:AB39),"NO GO","GO")</f>
        <v>GO</v>
      </c>
      <c r="AL39" s="424"/>
      <c r="AM39" s="538"/>
      <c r="AN39" s="538"/>
      <c r="AO39" s="538"/>
      <c r="AP39" s="542"/>
      <c r="AQ39" s="543" cm="1">
        <f t="array" ref="AQ39">B39</f>
        <v>12</v>
      </c>
      <c r="AR39" s="18"/>
    </row>
    <row r="40" ht="16" customHeight="1">
      <c r="A40" s="12"/>
      <c r="B40" s="544" cm="1">
        <f t="array" ref="B40">IF(B39=0,0,IF(B39&lt;VLOOKUP(C25,'Boats Data Sheet 2026'!$C$3:$H$57,6,0),B39+1,0))</f>
        <v>13</v>
      </c>
      <c r="C40" s="538" cm="1">
        <f t="array" ref="C40">IF(B40&gt;0,IF(VLOOKUP(C25,'Boats Data Sheet 2026'!$C$3:$J$57,8,0)="N/A",0,VLOOKUP(C25,'Boats Data Sheet 2026'!$C$3:$J$57,8,0)),"N/A")</f>
        <v>0</v>
      </c>
      <c r="D40" s="545" cm="1">
        <f t="array" ref="D40">IF(B40&gt;7,2,IF(B40=0,"N/A",1))</f>
        <v>2</v>
      </c>
      <c r="E40" s="538" cm="1">
        <f t="array" ref="E40">_xlfn.IFERROR(SUM('Direct Costs 2026'!$C$4:$C$5)*D40,"N/A")</f>
        <v>1751000</v>
      </c>
      <c r="F40" s="538" cm="1">
        <f t="array" ref="F40">_xlfn.IFERROR('Direct Costs 2026'!$C$43*B40,"N/A")</f>
        <v>78000</v>
      </c>
      <c r="G40" s="538" cm="1">
        <f t="array" ref="G40">IF(B40&gt;0,'Direct Costs 2026'!$C$25,"N/A")</f>
        <v>90000</v>
      </c>
      <c r="H40" s="538" cm="1">
        <f t="array" ref="H40">IF(B40&gt;0,'Direct Costs 2026'!$C$19+'Direct Costs 2026'!$C$18*B40,"N/A")</f>
        <v>530000</v>
      </c>
      <c r="I40" s="538" cm="1">
        <f t="array" ref="I40">IF(B40&gt;0,SUM('Direct Costs 2026'!$C$20:$C$21),"N/A")</f>
        <v>98333.3333333333</v>
      </c>
      <c r="J40" s="538">
        <v>0</v>
      </c>
      <c r="K40" s="538" cm="1">
        <f t="array" ref="K40">IF(B40&gt;0,'Direct Costs 2026'!$C$16+'Direct Costs 2026'!$C$14,"N/A")</f>
        <v>395000</v>
      </c>
      <c r="L40" s="538" cm="1">
        <f t="array" ref="L40">IF(B40&gt;0,'Direct Costs 2026'!$C$26,"N/A")</f>
        <v>20000</v>
      </c>
      <c r="M40" s="538" cm="1">
        <f t="array" ref="M40">IF(B40&gt;0,'Direct Costs 2026'!$C$23,"N/A")</f>
        <v>140000</v>
      </c>
      <c r="N40" s="538" cm="1">
        <f t="array" ref="N40">IF(B40&gt;0,'Direct Costs 2026'!$C$44*B40,"N/A")</f>
        <v>1430000</v>
      </c>
      <c r="O40" s="538" cm="1">
        <f t="array" ref="O40">IF(B40&gt;0,_xlfn.IFERROR(VLOOKUP(C25,'Boats Data Sheet 2026'!$C$3:$I$57,7,0)*'Direct Costs 2026'!$C$36,"N/A"),"N/A")</f>
        <v>3657500</v>
      </c>
      <c r="P40" s="538" cm="1">
        <f t="array" ref="P40">IF(B40&gt;0,IF(OR(VLOOKUP(C25,'Boats Data Sheet 2026'!$C$3:$F$57,4,0)="Own",VLOOKUP(C25,'Boats Data Sheet 2026'!$C$3:$F$57,4,0)="Management"),('Direct Costs 2026'!$C$37+'Direct Costs 2026'!$C$39),"N/A"),"N/A")</f>
        <v>1112400</v>
      </c>
      <c r="Q40" s="538" cm="1">
        <f t="array" ref="Q40">_xlfn.IFERROR(IF(B40&gt;5,IF(B40&gt;11,IF(B40&gt;15,4,3),2),IF(B40=0,"N/A",1))*SUM('Direct Costs 2026'!$C$67:$C$68),"N/A")</f>
        <v>1468800</v>
      </c>
      <c r="R40" s="538" cm="1">
        <f t="array" ref="R40">_xlfn.IFERROR('Direct Costs 2026'!$C$27*C40,"N/A")</f>
        <v>0</v>
      </c>
      <c r="S40" s="538" cm="1">
        <f t="array" ref="S40">_xlfn.IFERROR(C40+SUM(E40:R40),"N/A")</f>
        <v>10771033.3333333</v>
      </c>
      <c r="T40" s="424"/>
      <c r="U40" s="538" cm="1">
        <f t="array" ref="U40">IF(B40&gt;0,'Allocation OH and Target 2026'!$E$27,"N/A")</f>
        <v>2134447.30345641</v>
      </c>
      <c r="V40" s="538" cm="1">
        <f t="array" ref="V40">IF(B40&gt;0,'Allocation OH and Target 2026'!$E$28,"N/A")</f>
        <v>200042.323056976</v>
      </c>
      <c r="W40" s="538" cm="1">
        <f t="array" ref="W40">IF(B40&gt;0,VLOOKUP(C25,'Allocation OH and Target 2026'!$C$3:$T$23,17,0),"N/A")</f>
        <v>1338394.4034632</v>
      </c>
      <c r="X40" s="538" cm="1">
        <f t="array" ref="X40">IF(B40&gt;0,VLOOKUP(C25,'Allocation OH and Target 2026'!$C$3:$T$23,18,0),"N/A")</f>
        <v>119508.738770777</v>
      </c>
      <c r="Y40" s="538" cm="1">
        <f t="array" ref="Y40">_xlfn.IFERROR(B40*(V40+X40),"N/A")</f>
        <v>4154163.80376079</v>
      </c>
      <c r="Z40" s="424"/>
      <c r="AA40" s="538" cm="1">
        <f t="array" ref="AA40">_xlfn.IFERROR(Y40+S40,"N/A")</f>
        <v>14925197.1370941</v>
      </c>
      <c r="AB40" s="538" cm="1">
        <f t="array" ref="AB40">_xlfn.IFERROR(AA40*0.5%,"N/A")</f>
        <v>74625.9856854705</v>
      </c>
      <c r="AC40" s="538" cm="1">
        <f t="array" ref="AC40">_xlfn.IFERROR(AA40*25%,"N/A")</f>
        <v>3731299.28427353</v>
      </c>
      <c r="AD40" s="539" cm="1">
        <f t="array" ref="AD40">IF(B40&gt;0,SUM(AA40:AC40),"N/A")</f>
        <v>18731122.4070531</v>
      </c>
      <c r="AE40" s="538" cm="1">
        <f t="array" ref="AE40">_xlfn.IFERROR(AD40/B40,"N/A")</f>
        <v>1440855.56977332</v>
      </c>
      <c r="AF40" s="424"/>
      <c r="AG40" t="str" s="546" cm="1">
        <f t="array" ref="AG40">IF(B40/VLOOKUP(C25,'Boats Data Sheet 2026'!$C$3:$H$57,6,0)&gt;VLOOKUP(C25,'Allocation OH and Target 2026'!$C$3:$J$23,8,0),IF(SUM(AH27:AH39)=0,AE40,"N/A"),"N/A")</f>
        <v>N/A</v>
      </c>
      <c r="AH40" s="424" cm="1">
        <f t="array" ref="AH40">IF(AG40="N/A",0,1)</f>
        <v>0</v>
      </c>
      <c r="AI40" t="str" s="547" cm="1">
        <f t="array" ref="AI40">IF(B40/VLOOKUP(C25,'Boats Data Sheet 2026'!$C$3:$H$57,6,0)&gt;VLOOKUP(C25,'Allocation OH and Target 2026'!$C$3:$J$23,8,0),IF(SUM(AH27:AH39)=0,S40/B40,"N/A"),"N/A")</f>
        <v>N/A</v>
      </c>
      <c r="AJ40" s="424" cm="1">
        <f t="array" ref="AJ40">IF(AI40="N/A",0,1)</f>
        <v>0</v>
      </c>
      <c r="AK40" t="str" s="527" cm="1">
        <f t="array" ref="AK40">IF(SUM($AG$28:$AG$45)*B40&lt;SUM(AA40:AB40),"NO GO","GO")</f>
        <v>GO</v>
      </c>
      <c r="AL40" s="424"/>
      <c r="AM40" s="538"/>
      <c r="AN40" s="538"/>
      <c r="AO40" s="538"/>
      <c r="AP40" s="542"/>
      <c r="AQ40" s="543" cm="1">
        <f t="array" ref="AQ40">B40</f>
        <v>13</v>
      </c>
      <c r="AR40" s="18"/>
    </row>
    <row r="41" ht="16" customHeight="1">
      <c r="A41" s="12"/>
      <c r="B41" s="544" cm="1">
        <f t="array" ref="B41">IF(B40=0,0,IF(B40&lt;VLOOKUP(C25,'Boats Data Sheet 2026'!$C$3:$H$57,6,0),B40+1,0))</f>
        <v>14</v>
      </c>
      <c r="C41" s="538" cm="1">
        <f t="array" ref="C41">IF(B41&gt;0,IF(VLOOKUP(C25,'Boats Data Sheet 2026'!$C$3:$J$57,8,0)="N/A",0,VLOOKUP(C25,'Boats Data Sheet 2026'!$C$3:$J$57,8,0)),"N/A")</f>
        <v>0</v>
      </c>
      <c r="D41" s="549" cm="1">
        <f t="array" ref="D41">IF(B41&gt;7,2,IF(B41=0,"N/A",1))</f>
        <v>2</v>
      </c>
      <c r="E41" s="538" cm="1">
        <f t="array" ref="E41">_xlfn.IFERROR(SUM('Direct Costs 2026'!$C$4:$C$5)*D41,"N/A")</f>
        <v>1751000</v>
      </c>
      <c r="F41" s="538" cm="1">
        <f t="array" ref="F41">_xlfn.IFERROR('Direct Costs 2026'!$C$43*B41,"N/A")</f>
        <v>84000</v>
      </c>
      <c r="G41" s="538" cm="1">
        <f t="array" ref="G41">IF(B41&gt;0,'Direct Costs 2026'!$C$25,"N/A")</f>
        <v>90000</v>
      </c>
      <c r="H41" s="538" cm="1">
        <f t="array" ref="H41">IF(B41&gt;0,'Direct Costs 2026'!$C$19+'Direct Costs 2026'!$C$18*B41,"N/A")</f>
        <v>565000</v>
      </c>
      <c r="I41" s="538" cm="1">
        <f t="array" ref="I41">IF(B41&gt;0,SUM('Direct Costs 2026'!$C$20:$C$21),"N/A")</f>
        <v>98333.3333333333</v>
      </c>
      <c r="J41" s="538">
        <v>0</v>
      </c>
      <c r="K41" s="538" cm="1">
        <f t="array" ref="K41">IF(B41&gt;0,'Direct Costs 2026'!$C$16+'Direct Costs 2026'!$C$14,"N/A")</f>
        <v>395000</v>
      </c>
      <c r="L41" s="538" cm="1">
        <f t="array" ref="L41">IF(B41&gt;0,'Direct Costs 2026'!$C$26,"N/A")</f>
        <v>20000</v>
      </c>
      <c r="M41" s="538" cm="1">
        <f t="array" ref="M41">IF(B41&gt;0,'Direct Costs 2026'!$C$23,"N/A")</f>
        <v>140000</v>
      </c>
      <c r="N41" s="538" cm="1">
        <f t="array" ref="N41">IF(B41&gt;0,'Direct Costs 2026'!$C$44*B41,"N/A")</f>
        <v>1540000</v>
      </c>
      <c r="O41" s="538" cm="1">
        <f t="array" ref="O41">IF(B41&gt;0,_xlfn.IFERROR(VLOOKUP(C25,'Boats Data Sheet 2026'!$C$3:$I$57,7,0)*'Direct Costs 2026'!$C$36,"N/A"),"N/A")</f>
        <v>3657500</v>
      </c>
      <c r="P41" s="538" cm="1">
        <f t="array" ref="P41">IF(B41&gt;0,IF(OR(VLOOKUP(C25,'Boats Data Sheet 2026'!$C$3:$F$57,4,0)="Own",VLOOKUP(C25,'Boats Data Sheet 2026'!$C$3:$F$57,4,0)="Management"),('Direct Costs 2026'!$C$37+'Direct Costs 2026'!$C$39),"N/A"),"N/A")</f>
        <v>1112400</v>
      </c>
      <c r="Q41" s="538" cm="1">
        <f t="array" ref="Q41">_xlfn.IFERROR(IF(B41&gt;5,IF(B41&gt;11,IF(B41&gt;15,4,3),2),IF(B41=0,"N/A",1))*SUM('Direct Costs 2026'!$C$67:$C$68),"N/A")</f>
        <v>1468800</v>
      </c>
      <c r="R41" s="538" cm="1">
        <f t="array" ref="R41">_xlfn.IFERROR('Direct Costs 2026'!$C$27*C41,"N/A")</f>
        <v>0</v>
      </c>
      <c r="S41" s="538" cm="1">
        <f t="array" ref="S41">_xlfn.IFERROR(C41+SUM(E41:R41),"N/A")</f>
        <v>10922033.3333333</v>
      </c>
      <c r="T41" s="424"/>
      <c r="U41" s="538" cm="1">
        <f t="array" ref="U41">IF(B41&gt;0,'Allocation OH and Target 2026'!$E$27,"N/A")</f>
        <v>2134447.30345641</v>
      </c>
      <c r="V41" s="538" cm="1">
        <f t="array" ref="V41">IF(B41&gt;0,'Allocation OH and Target 2026'!$E$28,"N/A")</f>
        <v>200042.323056976</v>
      </c>
      <c r="W41" s="538" cm="1">
        <f t="array" ref="W41">IF(B41&gt;0,VLOOKUP(C25,'Allocation OH and Target 2026'!$C$3:$T$23,17,0),"N/A")</f>
        <v>1338394.4034632</v>
      </c>
      <c r="X41" s="538" cm="1">
        <f t="array" ref="X41">IF(B41&gt;0,VLOOKUP(C25,'Allocation OH and Target 2026'!$C$3:$T$23,18,0),"N/A")</f>
        <v>119508.738770777</v>
      </c>
      <c r="Y41" s="538" cm="1">
        <f t="array" ref="Y41">_xlfn.IFERROR(B41*(V41+X41),"N/A")</f>
        <v>4473714.86558854</v>
      </c>
      <c r="Z41" s="424"/>
      <c r="AA41" s="538" cm="1">
        <f t="array" ref="AA41">_xlfn.IFERROR(Y41+S41,"N/A")</f>
        <v>15395748.1989218</v>
      </c>
      <c r="AB41" s="538" cm="1">
        <f t="array" ref="AB41">_xlfn.IFERROR(AA41*0.5%,"N/A")</f>
        <v>76978.740994609</v>
      </c>
      <c r="AC41" s="538" cm="1">
        <f t="array" ref="AC41">_xlfn.IFERROR(AA41*25%,"N/A")</f>
        <v>3848937.04973045</v>
      </c>
      <c r="AD41" s="539" cm="1">
        <f t="array" ref="AD41">IF(B41&gt;0,SUM(AA41:AC41),"N/A")</f>
        <v>19321663.9896469</v>
      </c>
      <c r="AE41" s="538" cm="1">
        <f t="array" ref="AE41">_xlfn.IFERROR(AD41/B41,"N/A")</f>
        <v>1380118.85640335</v>
      </c>
      <c r="AF41" s="424"/>
      <c r="AG41" t="str" s="546" cm="1">
        <f t="array" ref="AG41">IF(B41/VLOOKUP(C25,'Boats Data Sheet 2026'!$C$3:$H$57,6,0)&gt;VLOOKUP(C25,'Allocation OH and Target 2026'!$C$3:$J$23,8,0),IF(SUM(AH27:AH40)=0,AE41,"N/A"),"N/A")</f>
        <v>N/A</v>
      </c>
      <c r="AH41" s="424" cm="1">
        <f t="array" ref="AH41">IF(AG41="N/A",0,1)</f>
        <v>0</v>
      </c>
      <c r="AI41" t="str" s="547" cm="1">
        <f t="array" ref="AI41">IF(B41/VLOOKUP(C25,'Boats Data Sheet 2026'!$C$3:$H$57,6,0)&gt;VLOOKUP(C25,'Allocation OH and Target 2026'!$C$3:$J$23,8,0),IF(SUM(AH27:AH40)=0,S41/B41,"N/A"),"N/A")</f>
        <v>N/A</v>
      </c>
      <c r="AJ41" s="424" cm="1">
        <f t="array" ref="AJ41">IF(AI41="N/A",0,1)</f>
        <v>0</v>
      </c>
      <c r="AK41" t="str" s="527" cm="1">
        <f t="array" ref="AK41">IF(SUM($AG$28:$AG$45)*B41&lt;SUM(AA41:AB41),"NO GO","GO")</f>
        <v>GO</v>
      </c>
      <c r="AL41" s="424"/>
      <c r="AM41" s="538"/>
      <c r="AN41" s="538"/>
      <c r="AO41" s="538"/>
      <c r="AP41" s="542"/>
      <c r="AQ41" s="543" cm="1">
        <f t="array" ref="AQ41">B41</f>
        <v>14</v>
      </c>
      <c r="AR41" s="18"/>
    </row>
    <row r="42" ht="16" customHeight="1">
      <c r="A42" s="12"/>
      <c r="B42" s="544" cm="1">
        <f t="array" ref="B42">IF(B41=0,0,IF(B41&lt;VLOOKUP(C25,'Boats Data Sheet 2026'!$C$3:$H$57,6,0),B41+1,0))</f>
        <v>0</v>
      </c>
      <c r="C42" t="str" s="547" cm="1">
        <f t="array" ref="C42">IF(B42&gt;0,IF(VLOOKUP(C25,'Boats Data Sheet 2026'!$C$3:$J$57,8,0)="N/A",0,VLOOKUP(C25,'Boats Data Sheet 2026'!$C$3:$J$57,8,0)),"N/A")</f>
        <v>N/A</v>
      </c>
      <c r="D42" t="str" s="547" cm="1">
        <f t="array" ref="D42">IF(B42&gt;7,2,IF(B42=0,"N/A",1))</f>
        <v>N/A</v>
      </c>
      <c r="E42" t="str" s="547" cm="1">
        <f t="array" ref="E42">_xlfn.IFERROR(SUM('Direct Costs 2026'!$C$4:$C$5)*D42,"N/A")</f>
        <v>N/A</v>
      </c>
      <c r="F42" s="538" cm="1">
        <f t="array" ref="F42">_xlfn.IFERROR('Direct Costs 2026'!$C$43*B42,"N/A")</f>
        <v>0</v>
      </c>
      <c r="G42" t="str" s="547" cm="1">
        <f t="array" ref="G42">IF(B42&gt;0,'Direct Costs 2026'!$C$25,"N/A")</f>
        <v>N/A</v>
      </c>
      <c r="H42" t="str" s="547" cm="1">
        <f t="array" ref="H42">IF(B42&gt;0,'Direct Costs 2026'!$C$19+'Direct Costs 2026'!$C$18*B42,"N/A")</f>
        <v>N/A</v>
      </c>
      <c r="I42" t="str" s="547" cm="1">
        <f t="array" ref="I42">IF(B42&gt;0,SUM('Direct Costs 2026'!$C$20:$C$21),"N/A")</f>
        <v>N/A</v>
      </c>
      <c r="J42" s="538">
        <v>0</v>
      </c>
      <c r="K42" t="str" s="547" cm="1">
        <f t="array" ref="K42">IF(B42&gt;0,'Direct Costs 2026'!$C$16+'Direct Costs 2026'!$C$14,"N/A")</f>
        <v>N/A</v>
      </c>
      <c r="L42" t="str" s="547" cm="1">
        <f t="array" ref="L42">IF(B42&gt;0,'Direct Costs 2026'!$C$26,"N/A")</f>
        <v>N/A</v>
      </c>
      <c r="M42" t="str" s="547" cm="1">
        <f t="array" ref="M42">IF(B42&gt;0,'Direct Costs 2026'!$C$23,"N/A")</f>
        <v>N/A</v>
      </c>
      <c r="N42" t="str" s="547" cm="1">
        <f t="array" ref="N42">IF(B42&gt;0,'Direct Costs 2026'!$C$44*B42,"N/A")</f>
        <v>N/A</v>
      </c>
      <c r="O42" t="str" s="547" cm="1">
        <f t="array" ref="O42">IF(B42&gt;0,_xlfn.IFERROR(VLOOKUP(C25,'Boats Data Sheet 2026'!$C$3:$I$57,7,0)*'Direct Costs 2026'!$C$36,"N/A"),"N/A")</f>
        <v>N/A</v>
      </c>
      <c r="P42" t="str" s="547" cm="1">
        <f t="array" ref="P42">IF(B42&gt;0,IF(OR(VLOOKUP(C25,'Boats Data Sheet 2026'!$C$3:$F$57,4,0)="Own",VLOOKUP(C25,'Boats Data Sheet 2026'!$C$3:$F$57,4,0)="Management"),('Direct Costs 2026'!$C$37+'Direct Costs 2026'!$C$39),"N/A"),"N/A")</f>
        <v>N/A</v>
      </c>
      <c r="Q42" t="str" s="547" cm="1">
        <f t="array" ref="Q42">_xlfn.IFERROR(IF(B42&gt;5,IF(B42&gt;11,IF(B42&gt;15,4,3),2),IF(B42=0,"N/A",1))*SUM('Direct Costs 2026'!$C$67:$C$68),"N/A")</f>
        <v>N/A</v>
      </c>
      <c r="R42" t="str" s="547" cm="1">
        <f t="array" ref="R42">_xlfn.IFERROR('Direct Costs 2026'!$C$27*C42,"N/A")</f>
        <v>N/A</v>
      </c>
      <c r="S42" t="str" s="547" cm="1">
        <f t="array" ref="S42">_xlfn.IFERROR(C42+SUM(E42:R42),"N/A")</f>
        <v>N/A</v>
      </c>
      <c r="T42" s="424"/>
      <c r="U42" t="str" s="547" cm="1">
        <f t="array" ref="U42">IF(B42&gt;0,'Allocation OH and Target 2026'!$E$27,"N/A")</f>
        <v>N/A</v>
      </c>
      <c r="V42" t="str" s="547" cm="1">
        <f t="array" ref="V42">IF(B42&gt;0,'Allocation OH and Target 2026'!$E$28,"N/A")</f>
        <v>N/A</v>
      </c>
      <c r="W42" t="str" s="547" cm="1">
        <f t="array" ref="W42">IF(B42&gt;0,VLOOKUP(C25,'Allocation OH and Target 2026'!$C$3:$T$23,17,0),"N/A")</f>
        <v>N/A</v>
      </c>
      <c r="X42" t="str" s="547" cm="1">
        <f t="array" ref="X42">IF(B42&gt;0,VLOOKUP(C25,'Allocation OH and Target 2026'!$C$3:$T$23,18,0),"N/A")</f>
        <v>N/A</v>
      </c>
      <c r="Y42" t="str" s="547" cm="1">
        <f t="array" ref="Y42">_xlfn.IFERROR(V42*B42+X42,"N/A")</f>
        <v>N/A</v>
      </c>
      <c r="Z42" s="424"/>
      <c r="AA42" t="str" s="547" cm="1">
        <f t="array" ref="AA42">_xlfn.IFERROR(Y42+S42,"N/A")</f>
        <v>N/A</v>
      </c>
      <c r="AB42" t="str" s="547" cm="1">
        <f t="array" ref="AB42">_xlfn.IFERROR(AA42*0.5%,"N/A")</f>
        <v>N/A</v>
      </c>
      <c r="AC42" t="str" s="547" cm="1">
        <f t="array" ref="AC42">_xlfn.IFERROR(AA42*25%,"N/A")</f>
        <v>N/A</v>
      </c>
      <c r="AD42" t="str" s="546" cm="1">
        <f t="array" ref="AD42">IF(B42&gt;0,SUM(AA42:AC42),"N/A")</f>
        <v>N/A</v>
      </c>
      <c r="AE42" t="str" s="547" cm="1">
        <f t="array" ref="AE42">_xlfn.IFERROR(AD42/B42,"N/A")</f>
        <v>N/A</v>
      </c>
      <c r="AF42" s="424"/>
      <c r="AG42" t="str" s="546" cm="1">
        <f t="array" ref="AG42">IF(B42/VLOOKUP(C25,'Boats Data Sheet 2026'!$C$3:$H$57,6,0)&gt;VLOOKUP(C25,'Allocation OH and Target 2026'!$C$3:$J$23,8,0),IF(SUM(AH27:AH41)=0,AE42,"N/A"),"N/A")</f>
        <v>N/A</v>
      </c>
      <c r="AH42" s="424" cm="1">
        <f t="array" ref="AH42">IF(AG42="N/A",0,1)</f>
        <v>0</v>
      </c>
      <c r="AI42" t="str" s="547" cm="1">
        <f t="array" ref="AI42">IF(B42/VLOOKUP(C25,'Boats Data Sheet 2026'!$C$3:$H$57,6,0)&gt;VLOOKUP(C25,'Allocation OH and Target 2026'!$C$3:$J$23,8,0),IF(SUM(AH27:AH41)=0,S42/B42,"N/A"),"N/A")</f>
        <v>N/A</v>
      </c>
      <c r="AJ42" s="424" cm="1">
        <f t="array" ref="AJ42">IF(AI42="N/A",0,1)</f>
        <v>0</v>
      </c>
      <c r="AK42" t="str" s="527" cm="1">
        <f t="array" ref="AK42">IF(SUM($AG$28:$AG$45)*B42&lt;SUM(AA42:AB42),"NO GO","GO")</f>
        <v>GO</v>
      </c>
      <c r="AL42" s="424"/>
      <c r="AM42" s="538"/>
      <c r="AN42" s="538"/>
      <c r="AO42" s="538"/>
      <c r="AP42" s="542"/>
      <c r="AQ42" s="543" cm="1">
        <f t="array" ref="AQ42">B42</f>
        <v>0</v>
      </c>
      <c r="AR42" s="18"/>
    </row>
    <row r="43" ht="16" customHeight="1">
      <c r="A43" s="12"/>
      <c r="B43" s="544" cm="1">
        <f t="array" ref="B43">IF(B42=0,0,IF(B42&lt;VLOOKUP(C25,'Boats Data Sheet 2026'!$C$3:$H$57,6,0),B42+1,0))</f>
        <v>0</v>
      </c>
      <c r="C43" t="str" s="547" cm="1">
        <f t="array" ref="C43">IF(B43&gt;0,IF(VLOOKUP(C25,'Boats Data Sheet 2026'!$C$3:$J$57,8,0)="N/A",0,VLOOKUP(C25,'Boats Data Sheet 2026'!$C$3:$J$57,8,0)),"N/A")</f>
        <v>N/A</v>
      </c>
      <c r="D43" t="str" s="547" cm="1">
        <f t="array" ref="D43">IF(B43&gt;7,2,IF(B43=0,"N/A",1))</f>
        <v>N/A</v>
      </c>
      <c r="E43" t="str" s="547" cm="1">
        <f t="array" ref="E43">_xlfn.IFERROR(SUM('Direct Costs 2026'!$C$4:$C$5)*D43,"N/A")</f>
        <v>N/A</v>
      </c>
      <c r="F43" s="538" cm="1">
        <f t="array" ref="F43">_xlfn.IFERROR('Direct Costs 2026'!$C$43*B43,"N/A")</f>
        <v>0</v>
      </c>
      <c r="G43" t="str" s="547" cm="1">
        <f t="array" ref="G43">IF(B43&gt;0,'Direct Costs 2026'!$C$25,"N/A")</f>
        <v>N/A</v>
      </c>
      <c r="H43" t="str" s="547" cm="1">
        <f t="array" ref="H43">IF(B43&gt;0,'Direct Costs 2026'!$C$19+'Direct Costs 2026'!$C$18*B43,"N/A")</f>
        <v>N/A</v>
      </c>
      <c r="I43" t="str" s="547" cm="1">
        <f t="array" ref="I43">IF(B43&gt;0,SUM('Direct Costs 2026'!$C$20:$C$21),"N/A")</f>
        <v>N/A</v>
      </c>
      <c r="J43" s="538">
        <v>0</v>
      </c>
      <c r="K43" t="str" s="547" cm="1">
        <f t="array" ref="K43">IF(B43&gt;0,'Direct Costs 2026'!$C$16+'Direct Costs 2026'!$C$14,"N/A")</f>
        <v>N/A</v>
      </c>
      <c r="L43" t="str" s="547" cm="1">
        <f t="array" ref="L43">IF(B43&gt;0,'Direct Costs 2026'!$C$26,"N/A")</f>
        <v>N/A</v>
      </c>
      <c r="M43" t="str" s="547" cm="1">
        <f t="array" ref="M43">IF(B43&gt;0,'Direct Costs 2026'!$C$23,"N/A")</f>
        <v>N/A</v>
      </c>
      <c r="N43" t="str" s="547" cm="1">
        <f t="array" ref="N43">IF(B43&gt;0,'Direct Costs 2026'!$C$44*B43,"N/A")</f>
        <v>N/A</v>
      </c>
      <c r="O43" t="str" s="547" cm="1">
        <f t="array" ref="O43">IF(B43&gt;0,_xlfn.IFERROR(VLOOKUP(C25,'Boats Data Sheet 2026'!$C$3:$I$57,7,0)*'Direct Costs 2026'!$C$36,"N/A"),"N/A")</f>
        <v>N/A</v>
      </c>
      <c r="P43" t="str" s="547" cm="1">
        <f t="array" ref="P43">IF(B43&gt;0,IF(OR(VLOOKUP(C25,'Boats Data Sheet 2026'!$C$3:$F$57,4,0)="Own",VLOOKUP(C25,'Boats Data Sheet 2026'!$C$3:$F$57,4,0)="Management"),('Direct Costs 2026'!$C$37+'Direct Costs 2026'!$C$39),"N/A"),"N/A")</f>
        <v>N/A</v>
      </c>
      <c r="Q43" t="str" s="547" cm="1">
        <f t="array" ref="Q43">_xlfn.IFERROR(IF(B43&gt;5,IF(B43&gt;11,IF(B43&gt;15,4,3),2),IF(B43=0,"N/A",1))*SUM('Direct Costs 2026'!$C$67:$C$68),"N/A")</f>
        <v>N/A</v>
      </c>
      <c r="R43" t="str" s="547" cm="1">
        <f t="array" ref="R43">_xlfn.IFERROR('Direct Costs 2026'!$C$27*C43,"N/A")</f>
        <v>N/A</v>
      </c>
      <c r="S43" t="str" s="547" cm="1">
        <f t="array" ref="S43">_xlfn.IFERROR(C43+SUM(E43:R43),"N/A")</f>
        <v>N/A</v>
      </c>
      <c r="T43" s="424"/>
      <c r="U43" t="str" s="547" cm="1">
        <f t="array" ref="U43">IF(B43&gt;0,'Allocation OH and Target 2026'!$E$27,"N/A")</f>
        <v>N/A</v>
      </c>
      <c r="V43" t="str" s="547" cm="1">
        <f t="array" ref="V43">IF(B43&gt;0,'Allocation OH and Target 2026'!$E$28,"N/A")</f>
        <v>N/A</v>
      </c>
      <c r="W43" t="str" s="547" cm="1">
        <f t="array" ref="W43">IF(B43&gt;0,VLOOKUP(C25,'Allocation OH and Target 2026'!$C$3:$T$23,17,0),"N/A")</f>
        <v>N/A</v>
      </c>
      <c r="X43" t="str" s="547" cm="1">
        <f t="array" ref="X43">IF(B43&gt;0,VLOOKUP(C25,'Allocation OH and Target 2026'!$C$3:$T$23,18,0),"N/A")</f>
        <v>N/A</v>
      </c>
      <c r="Y43" t="str" s="547" cm="1">
        <f t="array" ref="Y43">_xlfn.IFERROR(V43*B43+X43,"N/A")</f>
        <v>N/A</v>
      </c>
      <c r="Z43" s="424"/>
      <c r="AA43" t="str" s="547" cm="1">
        <f t="array" ref="AA43">_xlfn.IFERROR(Y43+S43,"N/A")</f>
        <v>N/A</v>
      </c>
      <c r="AB43" t="str" s="547" cm="1">
        <f t="array" ref="AB43">_xlfn.IFERROR(AA43*0.5%,"N/A")</f>
        <v>N/A</v>
      </c>
      <c r="AC43" t="str" s="547" cm="1">
        <f t="array" ref="AC43">_xlfn.IFERROR(AA43*25%,"N/A")</f>
        <v>N/A</v>
      </c>
      <c r="AD43" t="str" s="546" cm="1">
        <f t="array" ref="AD43">IF(B43&gt;0,SUM(AA43:AC43),"N/A")</f>
        <v>N/A</v>
      </c>
      <c r="AE43" t="str" s="547" cm="1">
        <f t="array" ref="AE43">_xlfn.IFERROR(AD43/B43,"N/A")</f>
        <v>N/A</v>
      </c>
      <c r="AF43" s="424"/>
      <c r="AG43" t="str" s="546" cm="1">
        <f t="array" ref="AG43">IF(B43/VLOOKUP(C25,'Boats Data Sheet 2026'!$C$3:$H$57,6,0)&gt;VLOOKUP(C25,'Allocation OH and Target 2026'!$C$3:$J$23,8,0),IF(SUM(AH27:AH42)=0,AE43,"N/A"),"N/A")</f>
        <v>N/A</v>
      </c>
      <c r="AH43" s="424" cm="1">
        <f t="array" ref="AH43">IF(AG43="N/A",0,1)</f>
        <v>0</v>
      </c>
      <c r="AI43" t="str" s="547" cm="1">
        <f t="array" ref="AI43">IF(B43/VLOOKUP(C25,'Boats Data Sheet 2026'!$C$3:$H$57,6,0)&gt;VLOOKUP(C25,'Allocation OH and Target 2026'!$C$3:$J$23,8,0),IF(SUM(AH27:AH42)=0,S43/B43,"N/A"),"N/A")</f>
        <v>N/A</v>
      </c>
      <c r="AJ43" s="424" cm="1">
        <f t="array" ref="AJ43">IF(AI43="N/A",0,1)</f>
        <v>0</v>
      </c>
      <c r="AK43" t="str" s="527" cm="1">
        <f t="array" ref="AK43">IF(SUM($AG$28:$AG$45)*B43&lt;SUM(AA43:AB43),"NO GO","GO")</f>
        <v>GO</v>
      </c>
      <c r="AL43" s="424"/>
      <c r="AM43" s="538"/>
      <c r="AN43" s="538"/>
      <c r="AO43" s="538"/>
      <c r="AP43" s="542"/>
      <c r="AQ43" s="543" cm="1">
        <f t="array" ref="AQ43">B43</f>
        <v>0</v>
      </c>
      <c r="AR43" s="18"/>
    </row>
    <row r="44" ht="16" customHeight="1">
      <c r="A44" s="12"/>
      <c r="B44" s="544" cm="1">
        <f t="array" ref="B44">IF(B43=0,0,IF(B43&lt;VLOOKUP(C25,'Boats Data Sheet 2026'!$C$3:$H$57,6,0),B43+1,0))</f>
        <v>0</v>
      </c>
      <c r="C44" t="str" s="547" cm="1">
        <f t="array" ref="C44">IF(B44&gt;0,IF(VLOOKUP(C25,'Boats Data Sheet 2026'!$C$3:$J$57,8,0)="N/A",0,VLOOKUP(C25,'Boats Data Sheet 2026'!$C$3:$J$57,8,0)),"N/A")</f>
        <v>N/A</v>
      </c>
      <c r="D44" t="str" s="547" cm="1">
        <f t="array" ref="D44">IF(B44&gt;7,2,IF(B44=0,"N/A",1))</f>
        <v>N/A</v>
      </c>
      <c r="E44" t="str" s="547" cm="1">
        <f t="array" ref="E44">_xlfn.IFERROR(SUM('Direct Costs 2026'!$C$4:$C$5)*D44,"N/A")</f>
        <v>N/A</v>
      </c>
      <c r="F44" s="538" cm="1">
        <f t="array" ref="F44">_xlfn.IFERROR('Direct Costs 2026'!$C$43*B44,"N/A")</f>
        <v>0</v>
      </c>
      <c r="G44" t="str" s="547" cm="1">
        <f t="array" ref="G44">IF(B44&gt;0,'Direct Costs 2026'!$C$25,"N/A")</f>
        <v>N/A</v>
      </c>
      <c r="H44" t="str" s="547" cm="1">
        <f t="array" ref="H44">IF(B44&gt;0,'Direct Costs 2026'!$C$19+'Direct Costs 2026'!$C$18*B44,"N/A")</f>
        <v>N/A</v>
      </c>
      <c r="I44" t="str" s="547" cm="1">
        <f t="array" ref="I44">IF(B44&gt;0,SUM('Direct Costs 2026'!$C$20:$C$21),"N/A")</f>
        <v>N/A</v>
      </c>
      <c r="J44" s="538">
        <v>0</v>
      </c>
      <c r="K44" t="str" s="547" cm="1">
        <f t="array" ref="K44">IF(B44&gt;0,'Direct Costs 2026'!$C$16+'Direct Costs 2026'!$C$14,"N/A")</f>
        <v>N/A</v>
      </c>
      <c r="L44" t="str" s="547" cm="1">
        <f t="array" ref="L44">IF(B44&gt;0,'Direct Costs 2026'!$C$26,"N/A")</f>
        <v>N/A</v>
      </c>
      <c r="M44" t="str" s="547" cm="1">
        <f t="array" ref="M44">IF(B44&gt;0,'Direct Costs 2026'!$C$23,"N/A")</f>
        <v>N/A</v>
      </c>
      <c r="N44" t="str" s="547" cm="1">
        <f t="array" ref="N44">IF(B44&gt;0,'Direct Costs 2026'!$C$44*B44,"N/A")</f>
        <v>N/A</v>
      </c>
      <c r="O44" t="str" s="547" cm="1">
        <f t="array" ref="O44">IF(B44&gt;0,_xlfn.IFERROR(VLOOKUP(C25,'Boats Data Sheet 2026'!$C$3:$I$57,7,0)*'Direct Costs 2026'!$C$36,"N/A"),"N/A")</f>
        <v>N/A</v>
      </c>
      <c r="P44" t="str" s="547" cm="1">
        <f t="array" ref="P44">IF(B44&gt;0,IF(OR(VLOOKUP(C25,'Boats Data Sheet 2026'!$C$3:$F$57,4,0)="Own",VLOOKUP(C25,'Boats Data Sheet 2026'!$C$3:$F$57,4,0)="Management"),('Direct Costs 2026'!$C$37+'Direct Costs 2026'!$C$39),"N/A"),"N/A")</f>
        <v>N/A</v>
      </c>
      <c r="Q44" t="str" s="547" cm="1">
        <f t="array" ref="Q44">_xlfn.IFERROR(IF(B44&gt;5,IF(B44&gt;11,IF(B44&gt;15,4,3),2),IF(B44=0,"N/A",1))*SUM('Direct Costs 2026'!$C$67:$C$68),"N/A")</f>
        <v>N/A</v>
      </c>
      <c r="R44" t="str" s="547" cm="1">
        <f t="array" ref="R44">_xlfn.IFERROR('Direct Costs 2026'!$C$27*C44,"N/A")</f>
        <v>N/A</v>
      </c>
      <c r="S44" t="str" s="547" cm="1">
        <f t="array" ref="S44">_xlfn.IFERROR(C44+SUM(E44:R44),"N/A")</f>
        <v>N/A</v>
      </c>
      <c r="T44" s="424"/>
      <c r="U44" t="str" s="547" cm="1">
        <f t="array" ref="U44">IF(B44&gt;0,'Allocation OH and Target 2026'!$E$27,"N/A")</f>
        <v>N/A</v>
      </c>
      <c r="V44" t="str" s="547" cm="1">
        <f t="array" ref="V44">IF(B44&gt;0,'Allocation OH and Target 2026'!$E$28,"N/A")</f>
        <v>N/A</v>
      </c>
      <c r="W44" t="str" s="547" cm="1">
        <f t="array" ref="W44">IF(B44&gt;0,VLOOKUP(C25,'Allocation OH and Target 2026'!$C$3:$T$23,17,0),"N/A")</f>
        <v>N/A</v>
      </c>
      <c r="X44" t="str" s="547" cm="1">
        <f t="array" ref="X44">IF(B44&gt;0,VLOOKUP(C25,'Allocation OH and Target 2026'!$C$3:$T$23,18,0),"N/A")</f>
        <v>N/A</v>
      </c>
      <c r="Y44" t="str" s="547" cm="1">
        <f t="array" ref="Y44">_xlfn.IFERROR(V44*B44+X44,"N/A")</f>
        <v>N/A</v>
      </c>
      <c r="Z44" s="424"/>
      <c r="AA44" t="str" s="547" cm="1">
        <f t="array" ref="AA44">_xlfn.IFERROR(Y44+S44,"N/A")</f>
        <v>N/A</v>
      </c>
      <c r="AB44" t="str" s="547" cm="1">
        <f t="array" ref="AB44">_xlfn.IFERROR(AA44*0.5%,"N/A")</f>
        <v>N/A</v>
      </c>
      <c r="AC44" t="str" s="547" cm="1">
        <f t="array" ref="AC44">_xlfn.IFERROR(AA44*25%,"N/A")</f>
        <v>N/A</v>
      </c>
      <c r="AD44" t="str" s="546" cm="1">
        <f t="array" ref="AD44">IF(B44&gt;0,SUM(AA44:AC44),"N/A")</f>
        <v>N/A</v>
      </c>
      <c r="AE44" t="str" s="547" cm="1">
        <f t="array" ref="AE44">_xlfn.IFERROR(AD44/B44,"N/A")</f>
        <v>N/A</v>
      </c>
      <c r="AF44" s="424"/>
      <c r="AG44" t="str" s="546" cm="1">
        <f t="array" ref="AG44">IF(B44/VLOOKUP(C25,'Boats Data Sheet 2026'!$C$3:$H$57,6,0)&gt;VLOOKUP(C25,'Allocation OH and Target 2026'!$C$3:$J$23,8,0),IF(SUM(AH27:AH43)=0,AE44,"N/A"),"N/A")</f>
        <v>N/A</v>
      </c>
      <c r="AH44" s="424" cm="1">
        <f t="array" ref="AH44">IF(AG44="N/A",0,1)</f>
        <v>0</v>
      </c>
      <c r="AI44" t="str" s="547" cm="1">
        <f t="array" ref="AI44">IF(B44/VLOOKUP(C25,'Boats Data Sheet 2026'!$C$3:$H$57,6,0)&gt;VLOOKUP(C25,'Allocation OH and Target 2026'!$C$3:$J$23,8,0),IF(SUM(AH27:AH43)=0,S44/B44,"N/A"),"N/A")</f>
        <v>N/A</v>
      </c>
      <c r="AJ44" s="424" cm="1">
        <f t="array" ref="AJ44">IF(AI44="N/A",0,1)</f>
        <v>0</v>
      </c>
      <c r="AK44" t="str" s="527" cm="1">
        <f t="array" ref="AK44">IF(SUM($AG$28:$AG$45)*B44&lt;SUM(AA44:AB44),"NO GO","GO")</f>
        <v>GO</v>
      </c>
      <c r="AL44" s="424"/>
      <c r="AM44" s="538"/>
      <c r="AN44" s="538"/>
      <c r="AO44" s="538"/>
      <c r="AP44" s="542"/>
      <c r="AQ44" s="543" cm="1">
        <f t="array" ref="AQ44">B44</f>
        <v>0</v>
      </c>
      <c r="AR44" s="18"/>
    </row>
    <row r="45" ht="15.5" customHeight="1">
      <c r="A45" s="12"/>
      <c r="B45" s="550" cm="1">
        <f t="array" ref="B45">IF(B44=0,0,IF(B44&lt;VLOOKUP(C25,'Boats Data Sheet 2026'!$C$3:$H$57,6,0),B44+1,0))</f>
        <v>0</v>
      </c>
      <c r="C45" t="str" s="551" cm="1">
        <f t="array" ref="C45">IF(B45&gt;0,IF(VLOOKUP(C25,'Boats Data Sheet 2026'!$C$3:$J$57,8,0)="N/A",0,VLOOKUP(C25,'Boats Data Sheet 2026'!$C$3:$J$57,8,0)),"N/A")</f>
        <v>N/A</v>
      </c>
      <c r="D45" t="str" s="551" cm="1">
        <f t="array" ref="D45">IF(B45&gt;7,2,IF(B45=0,"N/A",1))</f>
        <v>N/A</v>
      </c>
      <c r="E45" t="str" s="551" cm="1">
        <f t="array" ref="E45">_xlfn.IFERROR(SUM('Direct Costs 2026'!$C$4:$C$5)*D45,"N/A")</f>
        <v>N/A</v>
      </c>
      <c r="F45" s="552" cm="1">
        <f t="array" ref="F45">_xlfn.IFERROR('Direct Costs 2026'!$C$43*B45,"N/A")</f>
        <v>0</v>
      </c>
      <c r="G45" t="str" s="551" cm="1">
        <f t="array" ref="G45">IF(B45&gt;0,'Direct Costs 2026'!$C$25,"N/A")</f>
        <v>N/A</v>
      </c>
      <c r="H45" t="str" s="551" cm="1">
        <f t="array" ref="H45">IF(B45&gt;0,'Direct Costs 2026'!$C$19+'Direct Costs 2026'!$C$18*B45,"N/A")</f>
        <v>N/A</v>
      </c>
      <c r="I45" t="str" s="551" cm="1">
        <f t="array" ref="I45">IF(B45&gt;0,SUM('Direct Costs 2026'!$C$20:$C$21),"N/A")</f>
        <v>N/A</v>
      </c>
      <c r="J45" s="552">
        <v>0</v>
      </c>
      <c r="K45" t="str" s="551" cm="1">
        <f t="array" ref="K45">IF(B45&gt;0,'Direct Costs 2026'!$C$16+'Direct Costs 2026'!$C$14,"N/A")</f>
        <v>N/A</v>
      </c>
      <c r="L45" t="str" s="551" cm="1">
        <f t="array" ref="L45">IF(B45&gt;0,'Direct Costs 2026'!$C$26,"N/A")</f>
        <v>N/A</v>
      </c>
      <c r="M45" t="str" s="551" cm="1">
        <f t="array" ref="M45">IF(B45&gt;0,'Direct Costs 2026'!$C$23,"N/A")</f>
        <v>N/A</v>
      </c>
      <c r="N45" t="str" s="551" cm="1">
        <f t="array" ref="N45">IF(B44&gt;0,'Direct Costs 2026'!$C$44*B44,"N/A")</f>
        <v>N/A</v>
      </c>
      <c r="O45" t="str" s="551" cm="1">
        <f t="array" ref="O45">IF(B45&gt;0,_xlfn.IFERROR(VLOOKUP(C25,'Boats Data Sheet 2026'!$C$3:$I$57,7,0)*'Direct Costs 2026'!$C$36,"N/A"),"N/A")</f>
        <v>N/A</v>
      </c>
      <c r="P45" t="str" s="551" cm="1">
        <f t="array" ref="P45">IF(B45&gt;0,IF(OR(VLOOKUP(C25,'Boats Data Sheet 2026'!$C$3:$F$57,4,0)="Own",VLOOKUP(C25,'Boats Data Sheet 2026'!$C$3:$F$57,4,0)="Management"),('Direct Costs 2026'!$C$37+'Direct Costs 2026'!$C$39),"N/A"),"N/A")</f>
        <v>N/A</v>
      </c>
      <c r="Q45" t="str" s="551" cm="1">
        <f t="array" ref="Q45">_xlfn.IFERROR(IF(B45&gt;5,IF(B45&gt;11,IF(B45&gt;15,4,3),2),IF(B45=0,"N/A",1))*SUM('Direct Costs 2026'!$C$67:$C$68),"N/A")</f>
        <v>N/A</v>
      </c>
      <c r="R45" t="str" s="551" cm="1">
        <f t="array" ref="R45">_xlfn.IFERROR('Direct Costs 2026'!$C$27*C45,"N/A")</f>
        <v>N/A</v>
      </c>
      <c r="S45" t="str" s="551" cm="1">
        <f t="array" ref="S45">_xlfn.IFERROR(C45+SUM(E45:R45),"N/A")</f>
        <v>N/A</v>
      </c>
      <c r="T45" s="435"/>
      <c r="U45" t="str" s="551" cm="1">
        <f t="array" ref="U45">IF(B45&gt;0,'Allocation OH and Target 2026'!$E$27,"N/A")</f>
        <v>N/A</v>
      </c>
      <c r="V45" t="str" s="551" cm="1">
        <f t="array" ref="V45">IF(B45&gt;0,'Allocation OH and Target 2026'!$E$28,"N/A")</f>
        <v>N/A</v>
      </c>
      <c r="W45" t="str" s="551" cm="1">
        <f t="array" ref="W45">IF(B45&gt;0,VLOOKUP(C25,'Allocation OH and Target 2026'!$C$3:$T$23,17,0),"N/A")</f>
        <v>N/A</v>
      </c>
      <c r="X45" t="str" s="551" cm="1">
        <f t="array" ref="X45">IF(B45&gt;0,VLOOKUP(C25,'Allocation OH and Target 2026'!$C$3:$T$23,18,0),"N/A")</f>
        <v>N/A</v>
      </c>
      <c r="Y45" t="str" s="551" cm="1">
        <f t="array" ref="Y45">_xlfn.IFERROR(V45*B45+X45,"N/A")</f>
        <v>N/A</v>
      </c>
      <c r="Z45" s="435"/>
      <c r="AA45" t="str" s="551" cm="1">
        <f t="array" ref="AA45">_xlfn.IFERROR(Y45+S45,"N/A")</f>
        <v>N/A</v>
      </c>
      <c r="AB45" t="str" s="551" cm="1">
        <f t="array" ref="AB45">_xlfn.IFERROR(AA45*0.5%,"N/A")</f>
        <v>N/A</v>
      </c>
      <c r="AC45" t="str" s="551" cm="1">
        <f t="array" ref="AC45">_xlfn.IFERROR(AA45*25%,"N/A")</f>
        <v>N/A</v>
      </c>
      <c r="AD45" t="str" s="553" cm="1">
        <f t="array" ref="AD45">IF(B45&gt;0,SUM(AA45:AC45),"N/A")</f>
        <v>N/A</v>
      </c>
      <c r="AE45" t="str" s="551" cm="1">
        <f t="array" ref="AE45">_xlfn.IFERROR(AD45/B45,"N/A")</f>
        <v>N/A</v>
      </c>
      <c r="AF45" s="435"/>
      <c r="AG45" t="str" s="553" cm="1">
        <f t="array" ref="AG45">IF(B45/VLOOKUP(C25,'Boats Data Sheet 2026'!$C$3:$H$57,6,0)&gt;VLOOKUP(C25,'Allocation OH and Target 2026'!$C$3:$J$23,8,0),IF(SUM(AH27:AH44)=0,AE45,"N/A"),"N/A")</f>
        <v>N/A</v>
      </c>
      <c r="AH45" s="435" cm="1">
        <f t="array" ref="AH45">IF(AG45="N/A",0,1)</f>
        <v>0</v>
      </c>
      <c r="AI45" t="str" s="551" cm="1">
        <f t="array" ref="AI45">IF(B45/VLOOKUP(C25,'Boats Data Sheet 2026'!$C$3:$H$57,6,0)&gt;VLOOKUP(C25,'Allocation OH and Target 2026'!$C$3:$J$23,8,0),IF(SUM(AH27:AH44)=0,S45/B45,"N/A"),"N/A")</f>
        <v>N/A</v>
      </c>
      <c r="AJ45" s="435" cm="1">
        <f t="array" ref="AJ45">IF(AI45="N/A",0,1)</f>
        <v>0</v>
      </c>
      <c r="AK45" t="str" s="554" cm="1">
        <f t="array" ref="AK45">IF(SUM($AG$28:$AG$45)*B45&lt;SUM(AA45:AB45),"NO GO","GO")</f>
        <v>GO</v>
      </c>
      <c r="AL45" s="435"/>
      <c r="AM45" s="552"/>
      <c r="AN45" s="552"/>
      <c r="AO45" s="552"/>
      <c r="AP45" s="555"/>
      <c r="AQ45" s="543" cm="1">
        <f t="array" ref="AQ45">B45</f>
        <v>0</v>
      </c>
      <c r="AR45" s="18"/>
    </row>
    <row r="46" ht="15.5" customHeight="1">
      <c r="A46" s="32"/>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559"/>
      <c r="AR46" s="18"/>
    </row>
    <row r="47" ht="15.5" customHeight="1">
      <c r="A47" s="32"/>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17"/>
      <c r="AR47" s="18"/>
    </row>
    <row r="48" ht="15.5" customHeight="1">
      <c r="A48" s="395">
        <v>3</v>
      </c>
      <c r="B48" t="s" s="517">
        <v>506</v>
      </c>
      <c r="C48" t="s" s="518">
        <v>582</v>
      </c>
      <c r="D48" s="519"/>
      <c r="E48" s="519"/>
      <c r="F48" s="519"/>
      <c r="G48" s="519"/>
      <c r="H48" s="519"/>
      <c r="I48" s="519"/>
      <c r="J48" s="519"/>
      <c r="K48" s="519"/>
      <c r="L48" s="519"/>
      <c r="M48" s="519"/>
      <c r="N48" s="519"/>
      <c r="O48" s="519"/>
      <c r="P48" s="519"/>
      <c r="Q48" s="519"/>
      <c r="R48" s="519"/>
      <c r="S48" s="519"/>
      <c r="T48" s="399"/>
      <c r="U48" s="519"/>
      <c r="V48" s="519"/>
      <c r="W48" s="519"/>
      <c r="X48" s="519"/>
      <c r="Y48" s="519"/>
      <c r="Z48" s="399"/>
      <c r="AA48" s="519"/>
      <c r="AB48" s="519"/>
      <c r="AC48" s="519"/>
      <c r="AD48" s="519"/>
      <c r="AE48" s="519"/>
      <c r="AF48" s="399"/>
      <c r="AG48" s="521"/>
      <c r="AH48" s="399"/>
      <c r="AI48" s="519"/>
      <c r="AJ48" s="399"/>
      <c r="AK48" s="519"/>
      <c r="AL48" s="399"/>
      <c r="AM48" s="519"/>
      <c r="AN48" s="519"/>
      <c r="AO48" s="519"/>
      <c r="AP48" s="522"/>
      <c r="AQ48" s="16"/>
      <c r="AR48" s="18"/>
    </row>
    <row r="49" ht="16" customHeight="1">
      <c r="A49" s="12"/>
      <c r="B49" s="523"/>
      <c r="C49" t="s" s="524">
        <v>513</v>
      </c>
      <c r="D49" s="525"/>
      <c r="E49" s="525"/>
      <c r="F49" s="525"/>
      <c r="G49" s="525"/>
      <c r="H49" s="525"/>
      <c r="I49" s="525"/>
      <c r="J49" s="525"/>
      <c r="K49" s="525"/>
      <c r="L49" s="525"/>
      <c r="M49" s="525"/>
      <c r="N49" s="525"/>
      <c r="O49" s="525"/>
      <c r="P49" s="525"/>
      <c r="Q49" s="525"/>
      <c r="R49" s="525"/>
      <c r="S49" s="526"/>
      <c r="T49" s="407"/>
      <c r="U49" t="s" s="524">
        <v>514</v>
      </c>
      <c r="V49" s="525"/>
      <c r="W49" s="525"/>
      <c r="X49" s="525"/>
      <c r="Y49" s="526"/>
      <c r="Z49" s="407"/>
      <c r="AA49" t="s" s="524">
        <v>515</v>
      </c>
      <c r="AB49" s="525"/>
      <c r="AC49" s="525"/>
      <c r="AD49" s="525"/>
      <c r="AE49" s="526"/>
      <c r="AF49" s="410"/>
      <c r="AG49" s="527"/>
      <c r="AH49" s="410"/>
      <c r="AI49" s="528"/>
      <c r="AJ49" s="410"/>
      <c r="AK49" s="528"/>
      <c r="AL49" s="410"/>
      <c r="AM49" s="528"/>
      <c r="AN49" s="528"/>
      <c r="AO49" s="528"/>
      <c r="AP49" s="529"/>
      <c r="AQ49" s="16"/>
      <c r="AR49" s="18"/>
    </row>
    <row r="50" ht="48" customHeight="1">
      <c r="A50" s="12"/>
      <c r="B50" t="s" s="530">
        <v>517</v>
      </c>
      <c r="C50" t="s" s="531">
        <v>518</v>
      </c>
      <c r="D50" t="s" s="531">
        <v>519</v>
      </c>
      <c r="E50" t="s" s="531">
        <v>520</v>
      </c>
      <c r="F50" t="s" s="532">
        <v>521</v>
      </c>
      <c r="G50" t="s" s="532">
        <v>522</v>
      </c>
      <c r="H50" t="s" s="532">
        <v>524</v>
      </c>
      <c r="I50" t="s" s="532">
        <v>525</v>
      </c>
      <c r="J50" t="s" s="532">
        <v>556</v>
      </c>
      <c r="K50" t="s" s="532">
        <v>553</v>
      </c>
      <c r="L50" t="s" s="532">
        <v>526</v>
      </c>
      <c r="M50" t="s" s="532">
        <v>527</v>
      </c>
      <c r="N50" t="s" s="532">
        <v>528</v>
      </c>
      <c r="O50" t="s" s="532">
        <v>529</v>
      </c>
      <c r="P50" t="s" s="532">
        <v>530</v>
      </c>
      <c r="Q50" t="s" s="532">
        <v>572</v>
      </c>
      <c r="R50" t="s" s="532">
        <v>531</v>
      </c>
      <c r="S50" t="s" s="532">
        <v>532</v>
      </c>
      <c r="T50" s="556"/>
      <c r="U50" t="s" s="532">
        <v>533</v>
      </c>
      <c r="V50" t="s" s="532">
        <v>573</v>
      </c>
      <c r="W50" t="s" s="532">
        <v>534</v>
      </c>
      <c r="X50" t="s" s="532">
        <v>574</v>
      </c>
      <c r="Y50" t="s" s="532">
        <v>535</v>
      </c>
      <c r="Z50" s="556"/>
      <c r="AA50" t="s" s="532">
        <v>536</v>
      </c>
      <c r="AB50" t="s" s="532">
        <v>537</v>
      </c>
      <c r="AC50" t="s" s="532">
        <v>538</v>
      </c>
      <c r="AD50" t="s" s="532">
        <v>575</v>
      </c>
      <c r="AE50" t="s" s="532">
        <v>539</v>
      </c>
      <c r="AF50" s="557"/>
      <c r="AG50" t="s" s="532">
        <v>576</v>
      </c>
      <c r="AH50" s="557"/>
      <c r="AI50" t="s" s="532">
        <v>577</v>
      </c>
      <c r="AJ50" s="557"/>
      <c r="AK50" t="s" s="531">
        <v>578</v>
      </c>
      <c r="AL50" s="557"/>
      <c r="AM50" s="533"/>
      <c r="AN50" s="533"/>
      <c r="AO50" s="533"/>
      <c r="AP50" s="534"/>
      <c r="AQ50" s="16"/>
      <c r="AR50" s="18"/>
    </row>
    <row r="51" ht="16.5" customHeight="1">
      <c r="A51" s="12"/>
      <c r="B51" s="535">
        <v>1</v>
      </c>
      <c r="C51" s="536" cm="1">
        <f t="array" ref="C51">IF(B51&gt;0,IF(VLOOKUP(C48,'Boats Data Sheet 2026'!$C$3:$J$57,8,0)="N/A",0,VLOOKUP(C48,'Boats Data Sheet 2026'!$C$3:$J$57,8,0)),"N/A")</f>
        <v>5675000</v>
      </c>
      <c r="D51" s="537" cm="1">
        <f t="array" ref="D51">IF(B51&gt;7,2,IF(B51=0,"N/A",1))</f>
        <v>1</v>
      </c>
      <c r="E51" s="536" cm="1">
        <f t="array" ref="E51">_xlfn.IFERROR(SUM('Direct Costs 2026'!$C$4:$C$5)*D51,"N/A")</f>
        <v>875500</v>
      </c>
      <c r="F51" s="538" cm="1">
        <f t="array" ref="F51">_xlfn.IFERROR('Direct Costs 2026'!$C$43*B51,"N/A")</f>
        <v>6000</v>
      </c>
      <c r="G51" s="538" cm="1">
        <f t="array" ref="G51">IF(B51&gt;0,'Direct Costs 2026'!$C$25,"N/A")</f>
        <v>90000</v>
      </c>
      <c r="H51" s="538" cm="1">
        <f t="array" ref="H51">IF(B51&gt;0,'Direct Costs 2026'!$C$19+'Direct Costs 2026'!$C$18*B51,"N/A")</f>
        <v>110000</v>
      </c>
      <c r="I51" s="538">
        <v>0</v>
      </c>
      <c r="J51" s="538" cm="1">
        <f t="array" ref="J51">IF(B51&gt;0,'Direct Costs 2026'!$C$22,"N/A")</f>
        <v>200000</v>
      </c>
      <c r="K51" s="538" cm="1">
        <f t="array" ref="K51">IF(B51&gt;0,'Direct Costs 2026'!$C$15+'Direct Costs 2026'!$C$14,"N/A")</f>
        <v>230000</v>
      </c>
      <c r="L51" s="538" cm="1">
        <f t="array" ref="L51">IF(B51&gt;0,'Direct Costs 2026'!$C$26,"N/A")</f>
        <v>20000</v>
      </c>
      <c r="M51" s="538" cm="1">
        <f t="array" ref="M51">IF(B51&gt;0,'Direct Costs 2026'!$C$23,"N/A")</f>
        <v>140000</v>
      </c>
      <c r="N51" s="538" cm="1">
        <f t="array" ref="N51">IF(B51&gt;0,'Direct Costs 2026'!$C$44*B51,"N/A")</f>
        <v>110000</v>
      </c>
      <c r="O51" t="str" s="547" cm="1">
        <f t="array" ref="O51">IF(B51&gt;0,_xlfn.IFERROR(VLOOKUP(C48,'Boats Data Sheet 2026'!$C$3:$I$57,7,0)*'Direct Costs 2026'!$C$36,"N/A"),"N/A")</f>
        <v>N/A</v>
      </c>
      <c r="P51" t="str" s="547" cm="1">
        <f t="array" ref="P51">IF(B51&gt;0,IF(OR(VLOOKUP(C48,'Boats Data Sheet 2026'!$C$3:$F$57,4,0)="Own",VLOOKUP(C48,'Boats Data Sheet 2026'!$C$3:$F$57,4,0)="Management"),('Direct Costs 2026'!$C$37+'Direct Costs 2026'!$C$39),"N/A"),"N/A")</f>
        <v>N/A</v>
      </c>
      <c r="Q51" s="538" cm="1">
        <f t="array" ref="Q51">_xlfn.IFERROR(IF(B51&gt;5,IF(B51&gt;11,IF(B51&gt;15,4,3),2),IF(B51=0,"N/A",1))*SUM('Direct Costs 2026'!$C$67:$C$68),"N/A")</f>
        <v>489600</v>
      </c>
      <c r="R51" s="538" cm="1">
        <f t="array" ref="R51">_xlfn.IFERROR('Direct Costs 2026'!$C$27*C51,"N/A")</f>
        <v>113500</v>
      </c>
      <c r="S51" s="538" cm="1">
        <f t="array" ref="S51">_xlfn.IFERROR(C51+SUM(E51:R51),"N/A")</f>
        <v>8059600</v>
      </c>
      <c r="T51" s="424"/>
      <c r="U51" s="538" cm="1">
        <f t="array" ref="U51">IF(B51&gt;0,'Allocation OH and Target 2026'!$E$27,"N/A")</f>
        <v>2134447.30345641</v>
      </c>
      <c r="V51" s="538" cm="1">
        <f t="array" ref="V51">IF(B51&gt;0,'Allocation OH and Target 2026'!$E$28,"N/A")</f>
        <v>200042.323056976</v>
      </c>
      <c r="W51" s="538" cm="1">
        <f t="array" ref="W51">IF(B51&gt;0,VLOOKUP(C48,'Allocation OH and Target 2026'!$C$3:$T$23,17,0),"N/A")</f>
        <v>0</v>
      </c>
      <c r="X51" s="538" cm="1">
        <f t="array" ref="X51">IF(B51&gt;0,VLOOKUP(C48,'Allocation OH and Target 2026'!$C$3:$T$23,18,0),"N/A")</f>
        <v>0</v>
      </c>
      <c r="Y51" s="538" cm="1">
        <f t="array" ref="Y51">_xlfn.IFERROR(B51*(V51+X51),"N/A")</f>
        <v>200042.323056976</v>
      </c>
      <c r="Z51" s="424"/>
      <c r="AA51" s="538" cm="1">
        <f t="array" ref="AA51">_xlfn.IFERROR(Y51+S51,"N/A")</f>
        <v>8259642.32305698</v>
      </c>
      <c r="AB51" s="538" cm="1">
        <f t="array" ref="AB51">_xlfn.IFERROR(AA51*0.5%,"N/A")</f>
        <v>41298.2116152849</v>
      </c>
      <c r="AC51" s="538" cm="1">
        <f t="array" ref="AC51">_xlfn.IFERROR(AA51*25%,"N/A")</f>
        <v>2064910.58076425</v>
      </c>
      <c r="AD51" s="539" cm="1">
        <f t="array" ref="AD51">IF(B51&gt;0,SUM(AA51:AC51),"N/A")</f>
        <v>10365851.1154365</v>
      </c>
      <c r="AE51" s="538" cm="1">
        <f t="array" ref="AE51">_xlfn.IFERROR(AD51/B51,"N/A")</f>
        <v>10365851.1154365</v>
      </c>
      <c r="AF51" s="424"/>
      <c r="AG51" t="s" s="540">
        <v>14</v>
      </c>
      <c r="AH51" s="424" cm="1">
        <f t="array" ref="AH51">IF(AG51="N/A",0,1)</f>
        <v>0</v>
      </c>
      <c r="AI51" t="s" s="541">
        <v>14</v>
      </c>
      <c r="AJ51" s="424" cm="1">
        <f t="array" ref="AJ51">IF(AI51="N/A",0,1)</f>
        <v>0</v>
      </c>
      <c r="AK51" t="str" s="558" cm="1">
        <f t="array" ref="AK51">IF(SUM($AG$51:$AG$68)*B51&lt;SUM(AA51:AB51),"NO GO","GO")</f>
        <v>NO GO</v>
      </c>
      <c r="AL51" s="424"/>
      <c r="AM51" s="538"/>
      <c r="AN51" s="538"/>
      <c r="AO51" s="538"/>
      <c r="AP51" s="542"/>
      <c r="AQ51" s="543" cm="1">
        <f t="array" ref="AQ51">B51</f>
        <v>1</v>
      </c>
      <c r="AR51" s="18"/>
    </row>
    <row r="52" ht="16" customHeight="1">
      <c r="A52" s="12"/>
      <c r="B52" s="544" cm="1">
        <f t="array" ref="B52">IF(B51=0,0,IF(B51&lt;VLOOKUP(C48,'Boats Data Sheet 2026'!$C$3:$H$57,6,0),B51+1,0))</f>
        <v>2</v>
      </c>
      <c r="C52" s="538" cm="1">
        <f t="array" ref="C52">IF(B52&gt;0,IF(VLOOKUP(C48,'Boats Data Sheet 2026'!$C$3:$J$57,8,0)="N/A",0,VLOOKUP(C48,'Boats Data Sheet 2026'!$C$3:$J$57,8,0)),"N/A")</f>
        <v>5675000</v>
      </c>
      <c r="D52" s="545" cm="1">
        <f t="array" ref="D52">IF(B52&gt;7,2,IF(B52=0,"N/A",1))</f>
        <v>1</v>
      </c>
      <c r="E52" s="538" cm="1">
        <f t="array" ref="E52">_xlfn.IFERROR(SUM('Direct Costs 2026'!$C$4:$C$5)*D52,"N/A")</f>
        <v>875500</v>
      </c>
      <c r="F52" s="538" cm="1">
        <f t="array" ref="F52">_xlfn.IFERROR('Direct Costs 2026'!$C$43*B52,"N/A")</f>
        <v>12000</v>
      </c>
      <c r="G52" s="538" cm="1">
        <f t="array" ref="G52">IF(B52&gt;0,'Direct Costs 2026'!$C$25,"N/A")</f>
        <v>90000</v>
      </c>
      <c r="H52" s="538" cm="1">
        <f t="array" ref="H52">IF(B52&gt;0,'Direct Costs 2026'!$C$19+'Direct Costs 2026'!$C$18*B52,"N/A")</f>
        <v>145000</v>
      </c>
      <c r="I52" s="538">
        <v>0</v>
      </c>
      <c r="J52" s="538" cm="1">
        <f t="array" ref="J52">IF(B52&gt;0,'Direct Costs 2026'!$C$22,"N/A")</f>
        <v>200000</v>
      </c>
      <c r="K52" s="538" cm="1">
        <f t="array" ref="K52">IF(B52&gt;0,'Direct Costs 2026'!$C$15+'Direct Costs 2026'!$C$14,"N/A")</f>
        <v>230000</v>
      </c>
      <c r="L52" s="538" cm="1">
        <f t="array" ref="L52">IF(B52&gt;0,'Direct Costs 2026'!$C$26,"N/A")</f>
        <v>20000</v>
      </c>
      <c r="M52" s="538" cm="1">
        <f t="array" ref="M52">IF(B52&gt;0,'Direct Costs 2026'!$C$23,"N/A")</f>
        <v>140000</v>
      </c>
      <c r="N52" s="538" cm="1">
        <f t="array" ref="N52">IF(B52&gt;0,'Direct Costs 2026'!$C$44*B52,"N/A")</f>
        <v>220000</v>
      </c>
      <c r="O52" t="str" s="547" cm="1">
        <f t="array" ref="O52">IF(B52&gt;0,_xlfn.IFERROR(VLOOKUP(C48,'Boats Data Sheet 2026'!$C$3:$I$57,7,0)*'Direct Costs 2026'!$C$36,"N/A"),"N/A")</f>
        <v>N/A</v>
      </c>
      <c r="P52" t="str" s="547" cm="1">
        <f t="array" ref="P52">IF(B52&gt;0,IF(OR(VLOOKUP(C48,'Boats Data Sheet 2026'!$C$3:$F$57,4,0)="Own",VLOOKUP(C48,'Boats Data Sheet 2026'!$C$3:$F$57,4,0)="Management"),('Direct Costs 2026'!$C$37+'Direct Costs 2026'!$C$39),"N/A"),"N/A")</f>
        <v>N/A</v>
      </c>
      <c r="Q52" s="538" cm="1">
        <f t="array" ref="Q52">_xlfn.IFERROR(IF(B52&gt;5,IF(B52&gt;11,IF(B52&gt;15,4,3),2),IF(B52=0,"N/A",1))*SUM('Direct Costs 2026'!$C$67:$C$68),"N/A")</f>
        <v>489600</v>
      </c>
      <c r="R52" s="538" cm="1">
        <f t="array" ref="R52">_xlfn.IFERROR('Direct Costs 2026'!$C$27*C52,"N/A")</f>
        <v>113500</v>
      </c>
      <c r="S52" s="538" cm="1">
        <f t="array" ref="S52">_xlfn.IFERROR(C52+SUM(E52:R52),"N/A")</f>
        <v>8210600</v>
      </c>
      <c r="T52" s="424"/>
      <c r="U52" s="538" cm="1">
        <f t="array" ref="U52">IF(B52&gt;0,'Allocation OH and Target 2026'!$E$27,"N/A")</f>
        <v>2134447.30345641</v>
      </c>
      <c r="V52" s="538" cm="1">
        <f t="array" ref="V52">IF(B52&gt;0,'Allocation OH and Target 2026'!$E$28,"N/A")</f>
        <v>200042.323056976</v>
      </c>
      <c r="W52" s="538" cm="1">
        <f t="array" ref="W52">IF(B52&gt;0,VLOOKUP(C48,'Allocation OH and Target 2026'!$C$3:$T$23,17,0),"N/A")</f>
        <v>0</v>
      </c>
      <c r="X52" s="538" cm="1">
        <f t="array" ref="X52">IF(B52&gt;0,VLOOKUP(C48,'Allocation OH and Target 2026'!$C$3:$T$23,18,0),"N/A")</f>
        <v>0</v>
      </c>
      <c r="Y52" s="538" cm="1">
        <f t="array" ref="Y52">_xlfn.IFERROR(B52*(V52+X52),"N/A")</f>
        <v>400084.646113952</v>
      </c>
      <c r="Z52" s="424"/>
      <c r="AA52" s="538" cm="1">
        <f t="array" ref="AA52">_xlfn.IFERROR(Y52+S52,"N/A")</f>
        <v>8610684.646113951</v>
      </c>
      <c r="AB52" s="538" cm="1">
        <f t="array" ref="AB52">_xlfn.IFERROR(AA52*0.5%,"N/A")</f>
        <v>43053.4232305698</v>
      </c>
      <c r="AC52" s="538" cm="1">
        <f t="array" ref="AC52">_xlfn.IFERROR(AA52*25%,"N/A")</f>
        <v>2152671.16152849</v>
      </c>
      <c r="AD52" s="539" cm="1">
        <f t="array" ref="AD52">IF(B52&gt;0,SUM(AA52:AC52),"N/A")</f>
        <v>10806409.230873</v>
      </c>
      <c r="AE52" s="538" cm="1">
        <f t="array" ref="AE52">_xlfn.IFERROR(AD52/B52,"N/A")</f>
        <v>5403204.6154365</v>
      </c>
      <c r="AF52" s="424"/>
      <c r="AG52" t="str" s="546" cm="1">
        <f t="array" ref="AG52">IF(B52/VLOOKUP(C48,'Boats Data Sheet 2026'!$C$3:$H$57,6,0)&gt;VLOOKUP(C48,'Allocation OH and Target 2026'!$C$3:$J$23,8,0),IF(SUM(AH50:AH51)=0,AE52,"N/A"),"N/A")</f>
        <v>N/A</v>
      </c>
      <c r="AH52" s="424" cm="1">
        <f t="array" ref="AH52">IF(AG52="N/A",0,1)</f>
        <v>0</v>
      </c>
      <c r="AI52" t="str" s="547" cm="1">
        <f t="array" ref="AI52">IF(B52/VLOOKUP(C48,'Boats Data Sheet 2026'!$C$3:$H$57,6,0)&gt;VLOOKUP(C48,'Allocation OH and Target 2026'!$C$3:$J$23,8,0),IF(SUM(AH50:AH51)=0,S52/B52,"N/A"),"N/A")</f>
        <v>N/A</v>
      </c>
      <c r="AJ52" s="424" cm="1">
        <f t="array" ref="AJ52">IF(AI52="N/A",0,1)</f>
        <v>0</v>
      </c>
      <c r="AK52" t="str" s="527" cm="1">
        <f t="array" ref="AK52">IF(SUM($AG$51:$AG$68)*B52&lt;SUM(AA52:AB52),"NO GO","GO")</f>
        <v>NO GO</v>
      </c>
      <c r="AL52" s="424"/>
      <c r="AM52" s="538"/>
      <c r="AN52" s="538"/>
      <c r="AO52" s="538"/>
      <c r="AP52" s="542"/>
      <c r="AQ52" s="543" cm="1">
        <f t="array" ref="AQ52">B52</f>
        <v>2</v>
      </c>
      <c r="AR52" s="18"/>
    </row>
    <row r="53" ht="16" customHeight="1">
      <c r="A53" s="12"/>
      <c r="B53" s="544" cm="1">
        <f t="array" ref="B53">IF(B52=0,0,IF(B52&lt;VLOOKUP(C48,'Boats Data Sheet 2026'!$C$3:$H$57,6,0),B52+1,0))</f>
        <v>3</v>
      </c>
      <c r="C53" s="538" cm="1">
        <f t="array" ref="C53">IF(B53&gt;0,IF(VLOOKUP(C48,'Boats Data Sheet 2026'!$C$3:$J$57,8,0)="N/A",0,VLOOKUP(C48,'Boats Data Sheet 2026'!$C$3:$J$57,8,0)),"N/A")</f>
        <v>5675000</v>
      </c>
      <c r="D53" s="545" cm="1">
        <f t="array" ref="D53">IF(B53&gt;7,2,IF(B53=0,"N/A",1))</f>
        <v>1</v>
      </c>
      <c r="E53" s="538" cm="1">
        <f t="array" ref="E53">_xlfn.IFERROR(SUM('Direct Costs 2026'!$C$4:$C$5)*D53,"N/A")</f>
        <v>875500</v>
      </c>
      <c r="F53" s="538" cm="1">
        <f t="array" ref="F53">_xlfn.IFERROR('Direct Costs 2026'!$C$43*B53,"N/A")</f>
        <v>18000</v>
      </c>
      <c r="G53" s="538" cm="1">
        <f t="array" ref="G53">IF(B53&gt;0,'Direct Costs 2026'!$C$25,"N/A")</f>
        <v>90000</v>
      </c>
      <c r="H53" s="538" cm="1">
        <f t="array" ref="H53">IF(B53&gt;0,'Direct Costs 2026'!$C$19+'Direct Costs 2026'!$C$18*B53,"N/A")</f>
        <v>180000</v>
      </c>
      <c r="I53" s="538">
        <v>0</v>
      </c>
      <c r="J53" s="538" cm="1">
        <f t="array" ref="J53">IF(B53&gt;0,'Direct Costs 2026'!$C$22,"N/A")</f>
        <v>200000</v>
      </c>
      <c r="K53" s="538" cm="1">
        <f t="array" ref="K53">IF(B53&gt;0,'Direct Costs 2026'!$C$15+'Direct Costs 2026'!$C$14,"N/A")</f>
        <v>230000</v>
      </c>
      <c r="L53" s="538" cm="1">
        <f t="array" ref="L53">IF(B53&gt;0,'Direct Costs 2026'!$C$26,"N/A")</f>
        <v>20000</v>
      </c>
      <c r="M53" s="538" cm="1">
        <f t="array" ref="M53">IF(B53&gt;0,'Direct Costs 2026'!$C$23,"N/A")</f>
        <v>140000</v>
      </c>
      <c r="N53" s="538" cm="1">
        <f t="array" ref="N53">IF(B53&gt;0,'Direct Costs 2026'!$C$44*B53,"N/A")</f>
        <v>330000</v>
      </c>
      <c r="O53" t="str" s="547" cm="1">
        <f t="array" ref="O53">IF(B53&gt;0,_xlfn.IFERROR(VLOOKUP(C48,'Boats Data Sheet 2026'!$C$3:$I$57,7,0)*'Direct Costs 2026'!$C$36,"N/A"),"N/A")</f>
        <v>N/A</v>
      </c>
      <c r="P53" t="str" s="547" cm="1">
        <f t="array" ref="P53">IF(B53&gt;0,IF(OR(VLOOKUP(C48,'Boats Data Sheet 2026'!$C$3:$F$57,4,0)="Own",VLOOKUP(C48,'Boats Data Sheet 2026'!$C$3:$F$57,4,0)="Management"),('Direct Costs 2026'!$C$37+'Direct Costs 2026'!$C$39),"N/A"),"N/A")</f>
        <v>N/A</v>
      </c>
      <c r="Q53" s="538" cm="1">
        <f t="array" ref="Q53">_xlfn.IFERROR(IF(B53&gt;5,IF(B53&gt;11,IF(B53&gt;15,4,3),2),IF(B53=0,"N/A",1))*SUM('Direct Costs 2026'!$C$67:$C$68),"N/A")</f>
        <v>489600</v>
      </c>
      <c r="R53" s="538" cm="1">
        <f t="array" ref="R53">_xlfn.IFERROR('Direct Costs 2026'!$C$27*C53,"N/A")</f>
        <v>113500</v>
      </c>
      <c r="S53" s="538" cm="1">
        <f t="array" ref="S53">_xlfn.IFERROR(C53+SUM(E53:R53),"N/A")</f>
        <v>8361600</v>
      </c>
      <c r="T53" s="424"/>
      <c r="U53" s="538" cm="1">
        <f t="array" ref="U53">IF(B53&gt;0,'Allocation OH and Target 2026'!$E$27,"N/A")</f>
        <v>2134447.30345641</v>
      </c>
      <c r="V53" s="538" cm="1">
        <f t="array" ref="V53">IF(B53&gt;0,'Allocation OH and Target 2026'!$E$28,"N/A")</f>
        <v>200042.323056976</v>
      </c>
      <c r="W53" s="538" cm="1">
        <f t="array" ref="W53">IF(B53&gt;0,VLOOKUP(C48,'Allocation OH and Target 2026'!$C$3:$T$23,17,0),"N/A")</f>
        <v>0</v>
      </c>
      <c r="X53" s="538" cm="1">
        <f t="array" ref="X53">IF(B53&gt;0,VLOOKUP(C48,'Allocation OH and Target 2026'!$C$3:$T$23,18,0),"N/A")</f>
        <v>0</v>
      </c>
      <c r="Y53" s="538" cm="1">
        <f t="array" ref="Y53">_xlfn.IFERROR(B53*(V53+X53),"N/A")</f>
        <v>600126.969170928</v>
      </c>
      <c r="Z53" s="424"/>
      <c r="AA53" s="538" cm="1">
        <f t="array" ref="AA53">_xlfn.IFERROR(Y53+S53,"N/A")</f>
        <v>8961726.96917093</v>
      </c>
      <c r="AB53" s="538" cm="1">
        <f t="array" ref="AB53">_xlfn.IFERROR(AA53*0.5%,"N/A")</f>
        <v>44808.6348458547</v>
      </c>
      <c r="AC53" s="538" cm="1">
        <f t="array" ref="AC53">_xlfn.IFERROR(AA53*25%,"N/A")</f>
        <v>2240431.74229273</v>
      </c>
      <c r="AD53" s="539" cm="1">
        <f t="array" ref="AD53">IF(B53&gt;0,SUM(AA53:AC53),"N/A")</f>
        <v>11246967.3463095</v>
      </c>
      <c r="AE53" s="538" cm="1">
        <f t="array" ref="AE53">_xlfn.IFERROR(AD53/B53,"N/A")</f>
        <v>3748989.1154365</v>
      </c>
      <c r="AF53" s="424"/>
      <c r="AG53" t="str" s="546" cm="1">
        <f t="array" ref="AG53">IF(B53/VLOOKUP(C48,'Boats Data Sheet 2026'!$C$3:$H$57,6,0)&gt;VLOOKUP(C48,'Allocation OH and Target 2026'!$C$3:$J$23,8,0),IF(SUM(AH50:AH52)=0,AE53,"N/A"),"N/A")</f>
        <v>N/A</v>
      </c>
      <c r="AH53" s="424" cm="1">
        <f t="array" ref="AH53">IF(AG53="N/A",0,1)</f>
        <v>0</v>
      </c>
      <c r="AI53" t="str" s="547" cm="1">
        <f t="array" ref="AI53">IF(B53/VLOOKUP(C48,'Boats Data Sheet 2026'!$C$3:$H$57,6,0)&gt;VLOOKUP(C48,'Allocation OH and Target 2026'!$C$3:$J$23,8,0),IF(SUM(AH50:AH52)=0,S53/B53,"N/A"),"N/A")</f>
        <v>N/A</v>
      </c>
      <c r="AJ53" s="424" cm="1">
        <f t="array" ref="AJ53">IF(AI53="N/A",0,1)</f>
        <v>0</v>
      </c>
      <c r="AK53" t="str" s="527" cm="1">
        <f t="array" ref="AK53">IF(SUM($AG$51:$AG$68)*B53&lt;SUM(AA53:AB53),"NO GO","GO")</f>
        <v>NO GO</v>
      </c>
      <c r="AL53" s="424"/>
      <c r="AM53" s="538"/>
      <c r="AN53" s="538"/>
      <c r="AO53" s="538"/>
      <c r="AP53" s="542"/>
      <c r="AQ53" s="543" cm="1">
        <f t="array" ref="AQ53">B53</f>
        <v>3</v>
      </c>
      <c r="AR53" s="18"/>
    </row>
    <row r="54" ht="16" customHeight="1">
      <c r="A54" s="12"/>
      <c r="B54" s="544" cm="1">
        <f t="array" ref="B54">IF(B53=0,0,IF(B53&lt;VLOOKUP(C48,'Boats Data Sheet 2026'!$C$3:$H$57,6,0),B53+1,0))</f>
        <v>4</v>
      </c>
      <c r="C54" s="538" cm="1">
        <f t="array" ref="C54">IF(B54&gt;0,IF(VLOOKUP(C48,'Boats Data Sheet 2026'!$C$3:$J$57,8,0)="N/A",0,VLOOKUP(C48,'Boats Data Sheet 2026'!$C$3:$J$57,8,0)),"N/A")</f>
        <v>5675000</v>
      </c>
      <c r="D54" s="545" cm="1">
        <f t="array" ref="D54">IF(B54&gt;7,2,IF(B54=0,"N/A",1))</f>
        <v>1</v>
      </c>
      <c r="E54" s="538" cm="1">
        <f t="array" ref="E54">_xlfn.IFERROR(SUM('Direct Costs 2026'!$C$4:$C$5)*D54,"N/A")</f>
        <v>875500</v>
      </c>
      <c r="F54" s="538" cm="1">
        <f t="array" ref="F54">_xlfn.IFERROR('Direct Costs 2026'!$C$43*B54,"N/A")</f>
        <v>24000</v>
      </c>
      <c r="G54" s="538" cm="1">
        <f t="array" ref="G54">IF(B54&gt;0,'Direct Costs 2026'!$C$25,"N/A")</f>
        <v>90000</v>
      </c>
      <c r="H54" s="538" cm="1">
        <f t="array" ref="H54">IF(B54&gt;0,'Direct Costs 2026'!$C$19+'Direct Costs 2026'!$C$18*B54,"N/A")</f>
        <v>215000</v>
      </c>
      <c r="I54" s="538">
        <v>0</v>
      </c>
      <c r="J54" s="538" cm="1">
        <f t="array" ref="J54">IF(B54&gt;0,'Direct Costs 2026'!$C$22,"N/A")</f>
        <v>200000</v>
      </c>
      <c r="K54" s="538" cm="1">
        <f t="array" ref="K54">IF(B54&gt;0,'Direct Costs 2026'!$C$15+'Direct Costs 2026'!$C$14,"N/A")</f>
        <v>230000</v>
      </c>
      <c r="L54" s="538" cm="1">
        <f t="array" ref="L54">IF(B54&gt;0,'Direct Costs 2026'!$C$26,"N/A")</f>
        <v>20000</v>
      </c>
      <c r="M54" s="538" cm="1">
        <f t="array" ref="M54">IF(B54&gt;0,'Direct Costs 2026'!$C$23,"N/A")</f>
        <v>140000</v>
      </c>
      <c r="N54" s="538" cm="1">
        <f t="array" ref="N54">IF(B54&gt;0,'Direct Costs 2026'!$C$44*B54,"N/A")</f>
        <v>440000</v>
      </c>
      <c r="O54" t="str" s="547" cm="1">
        <f t="array" ref="O54">IF(B54&gt;0,_xlfn.IFERROR(VLOOKUP(C48,'Boats Data Sheet 2026'!$C$3:$I$57,7,0)*'Direct Costs 2026'!$C$36,"N/A"),"N/A")</f>
        <v>N/A</v>
      </c>
      <c r="P54" t="str" s="547" cm="1">
        <f t="array" ref="P54">IF(B54&gt;0,IF(OR(VLOOKUP(C48,'Boats Data Sheet 2026'!$C$3:$F$57,4,0)="Own",VLOOKUP(C48,'Boats Data Sheet 2026'!$C$3:$F$57,4,0)="Management"),('Direct Costs 2026'!$C$37+'Direct Costs 2026'!$C$39),"N/A"),"N/A")</f>
        <v>N/A</v>
      </c>
      <c r="Q54" s="538" cm="1">
        <f t="array" ref="Q54">_xlfn.IFERROR(IF(B54&gt;5,IF(B54&gt;11,IF(B54&gt;15,4,3),2),IF(B54=0,"N/A",1))*SUM('Direct Costs 2026'!$C$67:$C$68),"N/A")</f>
        <v>489600</v>
      </c>
      <c r="R54" s="538" cm="1">
        <f t="array" ref="R54">_xlfn.IFERROR('Direct Costs 2026'!$C$27*C54,"N/A")</f>
        <v>113500</v>
      </c>
      <c r="S54" s="538" cm="1">
        <f t="array" ref="S54">_xlfn.IFERROR(C54+SUM(E54:R54),"N/A")</f>
        <v>8512600</v>
      </c>
      <c r="T54" s="424"/>
      <c r="U54" s="538" cm="1">
        <f t="array" ref="U54">IF(B54&gt;0,'Allocation OH and Target 2026'!$E$27,"N/A")</f>
        <v>2134447.30345641</v>
      </c>
      <c r="V54" s="538" cm="1">
        <f t="array" ref="V54">IF(B54&gt;0,'Allocation OH and Target 2026'!$E$28,"N/A")</f>
        <v>200042.323056976</v>
      </c>
      <c r="W54" s="538" cm="1">
        <f t="array" ref="W54">IF(B54&gt;0,VLOOKUP(C48,'Allocation OH and Target 2026'!$C$3:$T$23,17,0),"N/A")</f>
        <v>0</v>
      </c>
      <c r="X54" s="538" cm="1">
        <f t="array" ref="X54">IF(B54&gt;0,VLOOKUP(C48,'Allocation OH and Target 2026'!$C$3:$T$23,18,0),"N/A")</f>
        <v>0</v>
      </c>
      <c r="Y54" s="538" cm="1">
        <f t="array" ref="Y54">_xlfn.IFERROR(B54*(V54+X54),"N/A")</f>
        <v>800169.292227904</v>
      </c>
      <c r="Z54" s="424"/>
      <c r="AA54" s="538" cm="1">
        <f t="array" ref="AA54">_xlfn.IFERROR(Y54+S54,"N/A")</f>
        <v>9312769.2922279</v>
      </c>
      <c r="AB54" s="538" cm="1">
        <f t="array" ref="AB54">_xlfn.IFERROR(AA54*0.5%,"N/A")</f>
        <v>46563.8464611395</v>
      </c>
      <c r="AC54" s="538" cm="1">
        <f t="array" ref="AC54">_xlfn.IFERROR(AA54*25%,"N/A")</f>
        <v>2328192.32305698</v>
      </c>
      <c r="AD54" s="539" cm="1">
        <f t="array" ref="AD54">IF(B54&gt;0,SUM(AA54:AC54),"N/A")</f>
        <v>11687525.461746</v>
      </c>
      <c r="AE54" s="538" cm="1">
        <f t="array" ref="AE54">_xlfn.IFERROR(AD54/B54,"N/A")</f>
        <v>2921881.3654365</v>
      </c>
      <c r="AF54" s="424"/>
      <c r="AG54" t="str" s="546" cm="1">
        <f t="array" ref="AG54">IF(B54/VLOOKUP(C48,'Boats Data Sheet 2026'!$C$3:$H$57,6,0)&gt;VLOOKUP(C48,'Allocation OH and Target 2026'!$C$3:$J$23,8,0),IF(SUM(AH50:AH53)=0,AE54,"N/A"),"N/A")</f>
        <v>N/A</v>
      </c>
      <c r="AH54" s="424" cm="1">
        <f t="array" ref="AH54">IF(AG54="N/A",0,1)</f>
        <v>0</v>
      </c>
      <c r="AI54" t="str" s="547" cm="1">
        <f t="array" ref="AI54">IF(B54/VLOOKUP(C48,'Boats Data Sheet 2026'!$C$3:$H$57,6,0)&gt;VLOOKUP(C48,'Allocation OH and Target 2026'!$C$3:$J$23,8,0),IF(SUM(AH50:AH53)=0,S54/B54,"N/A"),"N/A")</f>
        <v>N/A</v>
      </c>
      <c r="AJ54" s="424" cm="1">
        <f t="array" ref="AJ54">IF(AI54="N/A",0,1)</f>
        <v>0</v>
      </c>
      <c r="AK54" t="str" s="527" cm="1">
        <f t="array" ref="AK54">IF(SUM($AG$51:$AG$68)*B54&lt;SUM(AA54:AB54),"NO GO","GO")</f>
        <v>NO GO</v>
      </c>
      <c r="AL54" s="424"/>
      <c r="AM54" s="538"/>
      <c r="AN54" s="538"/>
      <c r="AO54" s="538"/>
      <c r="AP54" s="542"/>
      <c r="AQ54" s="543" cm="1">
        <f t="array" ref="AQ54">B54</f>
        <v>4</v>
      </c>
      <c r="AR54" s="18"/>
    </row>
    <row r="55" ht="16" customHeight="1">
      <c r="A55" s="12"/>
      <c r="B55" s="544" cm="1">
        <f t="array" ref="B55">IF(B54=0,0,IF(B54&lt;VLOOKUP(C48,'Boats Data Sheet 2026'!$C$3:$H$57,6,0),B54+1,0))</f>
        <v>5</v>
      </c>
      <c r="C55" s="538" cm="1">
        <f t="array" ref="C55">IF(B55&gt;0,IF(VLOOKUP(C48,'Boats Data Sheet 2026'!$C$3:$J$57,8,0)="N/A",0,VLOOKUP(C48,'Boats Data Sheet 2026'!$C$3:$J$57,8,0)),"N/A")</f>
        <v>5675000</v>
      </c>
      <c r="D55" s="545" cm="1">
        <f t="array" ref="D55">IF(B55&gt;7,2,IF(B55=0,"N/A",1))</f>
        <v>1</v>
      </c>
      <c r="E55" s="538" cm="1">
        <f t="array" ref="E55">_xlfn.IFERROR(SUM('Direct Costs 2026'!$C$4:$C$5)*D55,"N/A")</f>
        <v>875500</v>
      </c>
      <c r="F55" s="538" cm="1">
        <f t="array" ref="F55">_xlfn.IFERROR('Direct Costs 2026'!$C$43*B55,"N/A")</f>
        <v>30000</v>
      </c>
      <c r="G55" s="538" cm="1">
        <f t="array" ref="G55">IF(B55&gt;0,'Direct Costs 2026'!$C$25,"N/A")</f>
        <v>90000</v>
      </c>
      <c r="H55" s="538" cm="1">
        <f t="array" ref="H55">IF(B55&gt;0,'Direct Costs 2026'!$C$19+'Direct Costs 2026'!$C$18*B55,"N/A")</f>
        <v>250000</v>
      </c>
      <c r="I55" s="538">
        <v>0</v>
      </c>
      <c r="J55" s="538" cm="1">
        <f t="array" ref="J55">IF(B55&gt;0,'Direct Costs 2026'!$C$22,"N/A")</f>
        <v>200000</v>
      </c>
      <c r="K55" s="538" cm="1">
        <f t="array" ref="K55">IF(B55&gt;0,'Direct Costs 2026'!$C$15+'Direct Costs 2026'!$C$14,"N/A")</f>
        <v>230000</v>
      </c>
      <c r="L55" s="538" cm="1">
        <f t="array" ref="L55">IF(B55&gt;0,'Direct Costs 2026'!$C$26,"N/A")</f>
        <v>20000</v>
      </c>
      <c r="M55" s="538" cm="1">
        <f t="array" ref="M55">IF(B55&gt;0,'Direct Costs 2026'!$C$23,"N/A")</f>
        <v>140000</v>
      </c>
      <c r="N55" s="538" cm="1">
        <f t="array" ref="N55">IF(B55&gt;0,'Direct Costs 2026'!$C$44*B55,"N/A")</f>
        <v>550000</v>
      </c>
      <c r="O55" t="str" s="547" cm="1">
        <f t="array" ref="O55">IF(B55&gt;0,_xlfn.IFERROR(VLOOKUP(C48,'Boats Data Sheet 2026'!$C$3:$I$57,7,0)*'Direct Costs 2026'!$C$36,"N/A"),"N/A")</f>
        <v>N/A</v>
      </c>
      <c r="P55" t="str" s="547" cm="1">
        <f t="array" ref="P55">IF(B55&gt;0,IF(OR(VLOOKUP(C48,'Boats Data Sheet 2026'!$C$3:$F$57,4,0)="Own",VLOOKUP(C48,'Boats Data Sheet 2026'!$C$3:$F$57,4,0)="Management"),('Direct Costs 2026'!$C$37+'Direct Costs 2026'!$C$39),"N/A"),"N/A")</f>
        <v>N/A</v>
      </c>
      <c r="Q55" s="538" cm="1">
        <f t="array" ref="Q55">_xlfn.IFERROR(IF(B55&gt;5,IF(B55&gt;11,IF(B55&gt;15,4,3),2),IF(B55=0,"N/A",1))*SUM('Direct Costs 2026'!$C$67:$C$68),"N/A")</f>
        <v>489600</v>
      </c>
      <c r="R55" s="538" cm="1">
        <f t="array" ref="R55">_xlfn.IFERROR('Direct Costs 2026'!$C$27*C55,"N/A")</f>
        <v>113500</v>
      </c>
      <c r="S55" s="538" cm="1">
        <f t="array" ref="S55">_xlfn.IFERROR(C55+SUM(E55:R55),"N/A")</f>
        <v>8663600</v>
      </c>
      <c r="T55" s="424"/>
      <c r="U55" s="538" cm="1">
        <f t="array" ref="U55">IF(B55&gt;0,'Allocation OH and Target 2026'!$E$27,"N/A")</f>
        <v>2134447.30345641</v>
      </c>
      <c r="V55" s="538" cm="1">
        <f t="array" ref="V55">IF(B55&gt;0,'Allocation OH and Target 2026'!$E$28,"N/A")</f>
        <v>200042.323056976</v>
      </c>
      <c r="W55" s="538" cm="1">
        <f t="array" ref="W55">IF(B55&gt;0,VLOOKUP(C48,'Allocation OH and Target 2026'!$C$3:$T$23,17,0),"N/A")</f>
        <v>0</v>
      </c>
      <c r="X55" s="538" cm="1">
        <f t="array" ref="X55">IF(B55&gt;0,VLOOKUP(C48,'Allocation OH and Target 2026'!$C$3:$T$23,18,0),"N/A")</f>
        <v>0</v>
      </c>
      <c r="Y55" s="538" cm="1">
        <f t="array" ref="Y55">_xlfn.IFERROR(B55*(V55+X55),"N/A")</f>
        <v>1000211.61528488</v>
      </c>
      <c r="Z55" s="424"/>
      <c r="AA55" s="538" cm="1">
        <f t="array" ref="AA55">_xlfn.IFERROR(Y55+S55,"N/A")</f>
        <v>9663811.615284881</v>
      </c>
      <c r="AB55" s="538" cm="1">
        <f t="array" ref="AB55">_xlfn.IFERROR(AA55*0.5%,"N/A")</f>
        <v>48319.0580764244</v>
      </c>
      <c r="AC55" s="538" cm="1">
        <f t="array" ref="AC55">_xlfn.IFERROR(AA55*25%,"N/A")</f>
        <v>2415952.90382122</v>
      </c>
      <c r="AD55" s="539" cm="1">
        <f t="array" ref="AD55">IF(B55&gt;0,SUM(AA55:AC55),"N/A")</f>
        <v>12128083.5771825</v>
      </c>
      <c r="AE55" s="538" cm="1">
        <f t="array" ref="AE55">_xlfn.IFERROR(AD55/B55,"N/A")</f>
        <v>2425616.7154365</v>
      </c>
      <c r="AF55" s="424"/>
      <c r="AG55" t="str" s="546" cm="1">
        <f t="array" ref="AG55">IF(B55/VLOOKUP(C48,'Boats Data Sheet 2026'!$C$3:$H$57,6,0)&gt;VLOOKUP(C48,'Allocation OH and Target 2026'!$C$3:$J$23,8,0),IF(SUM(AH50:AH54)=0,AE55,"N/A"),"N/A")</f>
        <v>N/A</v>
      </c>
      <c r="AH55" s="424" cm="1">
        <f t="array" ref="AH55">IF(AG55="N/A",0,1)</f>
        <v>0</v>
      </c>
      <c r="AI55" t="str" s="547" cm="1">
        <f t="array" ref="AI55">IF(B55/VLOOKUP(C48,'Boats Data Sheet 2026'!$C$3:$H$57,6,0)&gt;VLOOKUP(C48,'Allocation OH and Target 2026'!$C$3:$J$23,8,0),IF(SUM(AH50:AH54)=0,S55/B55,"N/A"),"N/A")</f>
        <v>N/A</v>
      </c>
      <c r="AJ55" s="424" cm="1">
        <f t="array" ref="AJ55">IF(AI55="N/A",0,1)</f>
        <v>0</v>
      </c>
      <c r="AK55" t="str" s="527" cm="1">
        <f t="array" ref="AK55">IF(SUM($AG$51:$AG$68)*B55&lt;SUM(AA55:AB55),"NO GO","GO")</f>
        <v>NO GO</v>
      </c>
      <c r="AL55" s="424"/>
      <c r="AM55" s="538"/>
      <c r="AN55" s="538"/>
      <c r="AO55" s="538"/>
      <c r="AP55" s="542"/>
      <c r="AQ55" s="543" cm="1">
        <f t="array" ref="AQ55">B55</f>
        <v>5</v>
      </c>
      <c r="AR55" s="18"/>
    </row>
    <row r="56" ht="16" customHeight="1">
      <c r="A56" s="12"/>
      <c r="B56" s="544" cm="1">
        <f t="array" ref="B56">IF(B55=0,0,IF(B55&lt;VLOOKUP(C48,'Boats Data Sheet 2026'!$C$3:$H$57,6,0),B55+1,0))</f>
        <v>6</v>
      </c>
      <c r="C56" s="538" cm="1">
        <f t="array" ref="C56">IF(B56&gt;0,IF(VLOOKUP(C48,'Boats Data Sheet 2026'!$C$3:$J$57,8,0)="N/A",0,VLOOKUP(C48,'Boats Data Sheet 2026'!$C$3:$J$57,8,0)),"N/A")</f>
        <v>5675000</v>
      </c>
      <c r="D56" s="545" cm="1">
        <f t="array" ref="D56">IF(B56&gt;7,2,IF(B56=0,"N/A",1))</f>
        <v>1</v>
      </c>
      <c r="E56" s="538" cm="1">
        <f t="array" ref="E56">_xlfn.IFERROR(SUM('Direct Costs 2026'!$C$4:$C$5)*D56,"N/A")</f>
        <v>875500</v>
      </c>
      <c r="F56" s="538" cm="1">
        <f t="array" ref="F56">_xlfn.IFERROR('Direct Costs 2026'!$C$43*B56,"N/A")</f>
        <v>36000</v>
      </c>
      <c r="G56" s="538" cm="1">
        <f t="array" ref="G56">IF(B56&gt;0,'Direct Costs 2026'!$C$25,"N/A")</f>
        <v>90000</v>
      </c>
      <c r="H56" s="538" cm="1">
        <f t="array" ref="H56">IF(B56&gt;0,'Direct Costs 2026'!$C$19+'Direct Costs 2026'!$C$18*B56,"N/A")</f>
        <v>285000</v>
      </c>
      <c r="I56" s="538">
        <v>0</v>
      </c>
      <c r="J56" s="538" cm="1">
        <f t="array" ref="J56">IF(B56&gt;0,'Direct Costs 2026'!$C$22,"N/A")</f>
        <v>200000</v>
      </c>
      <c r="K56" s="538" cm="1">
        <f t="array" ref="K56">IF(B56&gt;0,'Direct Costs 2026'!$C$15+'Direct Costs 2026'!$C$14,"N/A")</f>
        <v>230000</v>
      </c>
      <c r="L56" s="538" cm="1">
        <f t="array" ref="L56">IF(B56&gt;0,'Direct Costs 2026'!$C$26,"N/A")</f>
        <v>20000</v>
      </c>
      <c r="M56" s="538" cm="1">
        <f t="array" ref="M56">IF(B56&gt;0,'Direct Costs 2026'!$C$23,"N/A")</f>
        <v>140000</v>
      </c>
      <c r="N56" s="538" cm="1">
        <f t="array" ref="N56">IF(B56&gt;0,'Direct Costs 2026'!$C$44*B56,"N/A")</f>
        <v>660000</v>
      </c>
      <c r="O56" t="str" s="547" cm="1">
        <f t="array" ref="O56">IF(B56&gt;0,_xlfn.IFERROR(VLOOKUP(C48,'Boats Data Sheet 2026'!$C$3:$I$57,7,0)*'Direct Costs 2026'!$C$36,"N/A"),"N/A")</f>
        <v>N/A</v>
      </c>
      <c r="P56" t="str" s="547" cm="1">
        <f t="array" ref="P56">IF(B56&gt;0,IF(OR(VLOOKUP(C48,'Boats Data Sheet 2026'!$C$3:$F$57,4,0)="Own",VLOOKUP(C48,'Boats Data Sheet 2026'!$C$3:$F$57,4,0)="Management"),('Direct Costs 2026'!$C$37+'Direct Costs 2026'!$C$39),"N/A"),"N/A")</f>
        <v>N/A</v>
      </c>
      <c r="Q56" s="538" cm="1">
        <f t="array" ref="Q56">_xlfn.IFERROR(IF(B56&gt;5,IF(B56&gt;11,IF(B56&gt;15,4,3),2),IF(B56=0,"N/A",1))*SUM('Direct Costs 2026'!$C$67:$C$68),"N/A")</f>
        <v>979200</v>
      </c>
      <c r="R56" s="538" cm="1">
        <f t="array" ref="R56">_xlfn.IFERROR('Direct Costs 2026'!$C$27*C56,"N/A")</f>
        <v>113500</v>
      </c>
      <c r="S56" s="538" cm="1">
        <f t="array" ref="S56">_xlfn.IFERROR(C56+SUM(E56:R56),"N/A")</f>
        <v>9304200</v>
      </c>
      <c r="T56" s="424"/>
      <c r="U56" s="538" cm="1">
        <f t="array" ref="U56">IF(B56&gt;0,'Allocation OH and Target 2026'!$E$27,"N/A")</f>
        <v>2134447.30345641</v>
      </c>
      <c r="V56" s="538" cm="1">
        <f t="array" ref="V56">IF(B56&gt;0,'Allocation OH and Target 2026'!$E$28,"N/A")</f>
        <v>200042.323056976</v>
      </c>
      <c r="W56" s="538" cm="1">
        <f t="array" ref="W56">IF(B56&gt;0,VLOOKUP(C48,'Allocation OH and Target 2026'!$C$3:$T$23,17,0),"N/A")</f>
        <v>0</v>
      </c>
      <c r="X56" s="538" cm="1">
        <f t="array" ref="X56">IF(B56&gt;0,VLOOKUP(C48,'Allocation OH and Target 2026'!$C$3:$T$23,18,0),"N/A")</f>
        <v>0</v>
      </c>
      <c r="Y56" s="538" cm="1">
        <f t="array" ref="Y56">_xlfn.IFERROR(B56*(V56+X56),"N/A")</f>
        <v>1200253.93834186</v>
      </c>
      <c r="Z56" s="424"/>
      <c r="AA56" s="538" cm="1">
        <f t="array" ref="AA56">_xlfn.IFERROR(Y56+S56,"N/A")</f>
        <v>10504453.9383419</v>
      </c>
      <c r="AB56" s="538" cm="1">
        <f t="array" ref="AB56">_xlfn.IFERROR(AA56*0.5%,"N/A")</f>
        <v>52522.2696917095</v>
      </c>
      <c r="AC56" s="538" cm="1">
        <f t="array" ref="AC56">_xlfn.IFERROR(AA56*25%,"N/A")</f>
        <v>2626113.48458548</v>
      </c>
      <c r="AD56" s="539" cm="1">
        <f t="array" ref="AD56">IF(B56&gt;0,SUM(AA56:AC56),"N/A")</f>
        <v>13183089.6926191</v>
      </c>
      <c r="AE56" s="538" cm="1">
        <f t="array" ref="AE56">_xlfn.IFERROR(AD56/B56,"N/A")</f>
        <v>2197181.61543652</v>
      </c>
      <c r="AF56" s="424"/>
      <c r="AG56" t="str" s="546" cm="1">
        <f t="array" ref="AG56">IF(B56/VLOOKUP(C48,'Boats Data Sheet 2026'!$C$3:$H$57,6,0)&gt;VLOOKUP(C48,'Allocation OH and Target 2026'!$C$3:$J$23,8,0),IF(SUM(AH50:AH55)=0,AE56,"N/A"),"N/A")</f>
        <v>N/A</v>
      </c>
      <c r="AH56" s="424" cm="1">
        <f t="array" ref="AH56">IF(AG56="N/A",0,1)</f>
        <v>0</v>
      </c>
      <c r="AI56" t="str" s="547" cm="1">
        <f t="array" ref="AI56">IF(B56/VLOOKUP(C48,'Boats Data Sheet 2026'!$C$3:$H$57,6,0)&gt;VLOOKUP(C48,'Allocation OH and Target 2026'!$C$3:$J$23,8,0),IF(SUM(AH50:AH55)=0,S56/B56,"N/A"),"N/A")</f>
        <v>N/A</v>
      </c>
      <c r="AJ56" s="424" cm="1">
        <f t="array" ref="AJ56">IF(AI56="N/A",0,1)</f>
        <v>0</v>
      </c>
      <c r="AK56" t="str" s="527" cm="1">
        <f t="array" ref="AK56">IF(SUM($AG$51:$AG$68)*B56&lt;SUM(AA56:AB56),"NO GO","GO")</f>
        <v>NO GO</v>
      </c>
      <c r="AL56" s="424"/>
      <c r="AM56" s="538"/>
      <c r="AN56" s="538"/>
      <c r="AO56" s="538"/>
      <c r="AP56" s="542"/>
      <c r="AQ56" s="543" cm="1">
        <f t="array" ref="AQ56">B56</f>
        <v>6</v>
      </c>
      <c r="AR56" s="18"/>
    </row>
    <row r="57" ht="16" customHeight="1">
      <c r="A57" s="12"/>
      <c r="B57" s="544" cm="1">
        <f t="array" ref="B57">IF(B56=0,0,IF(B56&lt;VLOOKUP(C48,'Boats Data Sheet 2026'!$C$3:$H$57,6,0),B56+1,0))</f>
        <v>7</v>
      </c>
      <c r="C57" s="538" cm="1">
        <f t="array" ref="C57">IF(B57&gt;0,IF(VLOOKUP(C48,'Boats Data Sheet 2026'!$C$3:$J$57,8,0)="N/A",0,VLOOKUP(C48,'Boats Data Sheet 2026'!$C$3:$J$57,8,0)),"N/A")</f>
        <v>5675000</v>
      </c>
      <c r="D57" s="545" cm="1">
        <f t="array" ref="D57">IF(B57&gt;7,2,IF(B57=0,"N/A",1))</f>
        <v>1</v>
      </c>
      <c r="E57" s="538" cm="1">
        <f t="array" ref="E57">_xlfn.IFERROR(SUM('Direct Costs 2026'!$C$4:$C$5)*D57,"N/A")</f>
        <v>875500</v>
      </c>
      <c r="F57" s="538" cm="1">
        <f t="array" ref="F57">_xlfn.IFERROR('Direct Costs 2026'!$C$43*B57,"N/A")</f>
        <v>42000</v>
      </c>
      <c r="G57" s="538" cm="1">
        <f t="array" ref="G57">IF(B57&gt;0,'Direct Costs 2026'!$C$25,"N/A")</f>
        <v>90000</v>
      </c>
      <c r="H57" s="538" cm="1">
        <f t="array" ref="H57">IF(B57&gt;0,'Direct Costs 2026'!$C$19+'Direct Costs 2026'!$C$18*B57,"N/A")</f>
        <v>320000</v>
      </c>
      <c r="I57" s="538">
        <v>0</v>
      </c>
      <c r="J57" s="538" cm="1">
        <f t="array" ref="J57">IF(B57&gt;0,'Direct Costs 2026'!$C$22,"N/A")</f>
        <v>200000</v>
      </c>
      <c r="K57" s="538" cm="1">
        <f t="array" ref="K57">IF(B57&gt;0,'Direct Costs 2026'!$C$15+'Direct Costs 2026'!$C$14,"N/A")</f>
        <v>230000</v>
      </c>
      <c r="L57" s="538" cm="1">
        <f t="array" ref="L57">IF(B57&gt;0,'Direct Costs 2026'!$C$26,"N/A")</f>
        <v>20000</v>
      </c>
      <c r="M57" s="538" cm="1">
        <f t="array" ref="M57">IF(B57&gt;0,'Direct Costs 2026'!$C$23,"N/A")</f>
        <v>140000</v>
      </c>
      <c r="N57" s="538" cm="1">
        <f t="array" ref="N57">IF(B57&gt;0,'Direct Costs 2026'!$C$44*B57,"N/A")</f>
        <v>770000</v>
      </c>
      <c r="O57" t="str" s="547" cm="1">
        <f t="array" ref="O57">IF(B57&gt;0,_xlfn.IFERROR(VLOOKUP(C48,'Boats Data Sheet 2026'!$C$3:$I$57,7,0)*'Direct Costs 2026'!$C$36,"N/A"),"N/A")</f>
        <v>N/A</v>
      </c>
      <c r="P57" t="str" s="547" cm="1">
        <f t="array" ref="P57">IF(B57&gt;0,IF(OR(VLOOKUP(C48,'Boats Data Sheet 2026'!$C$3:$F$57,4,0)="Own",VLOOKUP(C48,'Boats Data Sheet 2026'!$C$3:$F$57,4,0)="Management"),('Direct Costs 2026'!$C$37+'Direct Costs 2026'!$C$39),"N/A"),"N/A")</f>
        <v>N/A</v>
      </c>
      <c r="Q57" s="538" cm="1">
        <f t="array" ref="Q57">_xlfn.IFERROR(IF(B57&gt;5,IF(B57&gt;11,IF(B57&gt;15,4,3),2),IF(B57=0,"N/A",1))*SUM('Direct Costs 2026'!$C$67:$C$68),"N/A")</f>
        <v>979200</v>
      </c>
      <c r="R57" s="538" cm="1">
        <f t="array" ref="R57">_xlfn.IFERROR('Direct Costs 2026'!$C$27*C57,"N/A")</f>
        <v>113500</v>
      </c>
      <c r="S57" s="538" cm="1">
        <f t="array" ref="S57">_xlfn.IFERROR(C57+SUM(E57:R57),"N/A")</f>
        <v>9455200</v>
      </c>
      <c r="T57" s="424"/>
      <c r="U57" s="538" cm="1">
        <f t="array" ref="U57">IF(B57&gt;0,'Allocation OH and Target 2026'!$E$27,"N/A")</f>
        <v>2134447.30345641</v>
      </c>
      <c r="V57" s="538" cm="1">
        <f t="array" ref="V57">IF(B57&gt;0,'Allocation OH and Target 2026'!$E$28,"N/A")</f>
        <v>200042.323056976</v>
      </c>
      <c r="W57" s="538" cm="1">
        <f t="array" ref="W57">IF(B57&gt;0,VLOOKUP(C48,'Allocation OH and Target 2026'!$C$3:$T$23,17,0),"N/A")</f>
        <v>0</v>
      </c>
      <c r="X57" s="538" cm="1">
        <f t="array" ref="X57">IF(B57&gt;0,VLOOKUP(C48,'Allocation OH and Target 2026'!$C$3:$T$23,18,0),"N/A")</f>
        <v>0</v>
      </c>
      <c r="Y57" s="538" cm="1">
        <f t="array" ref="Y57">_xlfn.IFERROR(B57*(V57+X57),"N/A")</f>
        <v>1400296.26139883</v>
      </c>
      <c r="Z57" s="424"/>
      <c r="AA57" s="538" cm="1">
        <f t="array" ref="AA57">_xlfn.IFERROR(Y57+S57,"N/A")</f>
        <v>10855496.2613988</v>
      </c>
      <c r="AB57" s="538" cm="1">
        <f t="array" ref="AB57">_xlfn.IFERROR(AA57*0.5%,"N/A")</f>
        <v>54277.481306994</v>
      </c>
      <c r="AC57" s="538" cm="1">
        <f t="array" ref="AC57">_xlfn.IFERROR(AA57*25%,"N/A")</f>
        <v>2713874.0653497</v>
      </c>
      <c r="AD57" s="539" cm="1">
        <f t="array" ref="AD57">IF(B57&gt;0,SUM(AA57:AC57),"N/A")</f>
        <v>13623647.8080555</v>
      </c>
      <c r="AE57" s="538" cm="1">
        <f t="array" ref="AE57">_xlfn.IFERROR(AD57/B57,"N/A")</f>
        <v>1946235.40115079</v>
      </c>
      <c r="AF57" s="424"/>
      <c r="AG57" t="str" s="546" cm="1">
        <f t="array" ref="AG57">IF(B57/VLOOKUP(C48,'Boats Data Sheet 2026'!$C$3:$H$57,6,0)&gt;VLOOKUP(C48,'Allocation OH and Target 2026'!$C$3:$J$23,8,0),IF(SUM(AH50:AH56)=0,AE57,"N/A"),"N/A")</f>
        <v>N/A</v>
      </c>
      <c r="AH57" s="424" cm="1">
        <f t="array" ref="AH57">IF(AG57="N/A",0,1)</f>
        <v>0</v>
      </c>
      <c r="AI57" t="str" s="547" cm="1">
        <f t="array" ref="AI57">IF(B57/VLOOKUP(C48,'Boats Data Sheet 2026'!$C$3:$H$57,6,0)&gt;VLOOKUP(C48,'Allocation OH and Target 2026'!$C$3:$J$23,8,0),IF(SUM(AH50:AH56)=0,S57/B57,"N/A"),"N/A")</f>
        <v>N/A</v>
      </c>
      <c r="AJ57" s="424" cm="1">
        <f t="array" ref="AJ57">IF(AI57="N/A",0,1)</f>
        <v>0</v>
      </c>
      <c r="AK57" t="str" s="527" cm="1">
        <f t="array" ref="AK57">IF(SUM($AG$51:$AG$68)*B57&lt;SUM(AA57:AB57),"NO GO","GO")</f>
        <v>NO GO</v>
      </c>
      <c r="AL57" s="424"/>
      <c r="AM57" s="538"/>
      <c r="AN57" s="538"/>
      <c r="AO57" s="538"/>
      <c r="AP57" s="542"/>
      <c r="AQ57" s="543" cm="1">
        <f t="array" ref="AQ57">B57</f>
        <v>7</v>
      </c>
      <c r="AR57" s="18"/>
    </row>
    <row r="58" ht="16" customHeight="1">
      <c r="A58" s="12"/>
      <c r="B58" s="544" cm="1">
        <f t="array" ref="B58">IF(B57=0,0,IF(B57&lt;VLOOKUP(C48,'Boats Data Sheet 2026'!$C$3:$H$57,6,0),B57+1,0))</f>
        <v>8</v>
      </c>
      <c r="C58" s="538" cm="1">
        <f t="array" ref="C58">IF(B58&gt;0,IF(VLOOKUP(C48,'Boats Data Sheet 2026'!$C$3:$J$57,8,0)="N/A",0,VLOOKUP(C48,'Boats Data Sheet 2026'!$C$3:$J$57,8,0)),"N/A")</f>
        <v>5675000</v>
      </c>
      <c r="D58" s="545" cm="1">
        <f t="array" ref="D58">IF(B58&gt;7,2,IF(B58=0,"N/A",1))</f>
        <v>2</v>
      </c>
      <c r="E58" s="538" cm="1">
        <f t="array" ref="E58">_xlfn.IFERROR(SUM('Direct Costs 2026'!$C$4:$C$5)*D58,"N/A")</f>
        <v>1751000</v>
      </c>
      <c r="F58" s="538" cm="1">
        <f t="array" ref="F58">_xlfn.IFERROR('Direct Costs 2026'!$C$43*B58,"N/A")</f>
        <v>48000</v>
      </c>
      <c r="G58" s="538" cm="1">
        <f t="array" ref="G58">IF(B58&gt;0,'Direct Costs 2026'!$C$25,"N/A")</f>
        <v>90000</v>
      </c>
      <c r="H58" s="538" cm="1">
        <f t="array" ref="H58">IF(B58&gt;0,'Direct Costs 2026'!$C$19+'Direct Costs 2026'!$C$18*B58,"N/A")</f>
        <v>355000</v>
      </c>
      <c r="I58" s="538">
        <v>0</v>
      </c>
      <c r="J58" s="538" cm="1">
        <f t="array" ref="J58">IF(B58&gt;0,'Direct Costs 2026'!$C$22,"N/A")</f>
        <v>200000</v>
      </c>
      <c r="K58" s="538" cm="1">
        <f t="array" ref="K58">IF(B58&gt;0,'Direct Costs 2026'!$C$15+'Direct Costs 2026'!$C$14,"N/A")</f>
        <v>230000</v>
      </c>
      <c r="L58" s="538" cm="1">
        <f t="array" ref="L58">IF(B58&gt;0,'Direct Costs 2026'!$C$26,"N/A")</f>
        <v>20000</v>
      </c>
      <c r="M58" s="538" cm="1">
        <f t="array" ref="M58">IF(B58&gt;0,'Direct Costs 2026'!$C$23,"N/A")</f>
        <v>140000</v>
      </c>
      <c r="N58" s="538" cm="1">
        <f t="array" ref="N58">IF(B58&gt;0,'Direct Costs 2026'!$C$44*B58,"N/A")</f>
        <v>880000</v>
      </c>
      <c r="O58" t="str" s="547" cm="1">
        <f t="array" ref="O58">IF(B58&gt;0,_xlfn.IFERROR(VLOOKUP(C48,'Boats Data Sheet 2026'!$C$3:$I$57,7,0)*'Direct Costs 2026'!$C$36,"N/A"),"N/A")</f>
        <v>N/A</v>
      </c>
      <c r="P58" t="str" s="547" cm="1">
        <f t="array" ref="P58">IF(B58&gt;0,IF(OR(VLOOKUP(C48,'Boats Data Sheet 2026'!$C$3:$F$57,4,0)="Own",VLOOKUP(C48,'Boats Data Sheet 2026'!$C$3:$F$57,4,0)="Management"),('Direct Costs 2026'!$C$37+'Direct Costs 2026'!$C$39),"N/A"),"N/A")</f>
        <v>N/A</v>
      </c>
      <c r="Q58" s="538" cm="1">
        <f t="array" ref="Q58">_xlfn.IFERROR(IF(B58&gt;5,IF(B58&gt;11,IF(B58&gt;15,4,3),2),IF(B58=0,"N/A",1))*SUM('Direct Costs 2026'!$C$67:$C$68),"N/A")</f>
        <v>979200</v>
      </c>
      <c r="R58" s="538" cm="1">
        <f t="array" ref="R58">_xlfn.IFERROR('Direct Costs 2026'!$C$27*C58,"N/A")</f>
        <v>113500</v>
      </c>
      <c r="S58" s="538" cm="1">
        <f t="array" ref="S58">_xlfn.IFERROR(C58+SUM(E58:R58),"N/A")</f>
        <v>10481700</v>
      </c>
      <c r="T58" s="424"/>
      <c r="U58" s="538" cm="1">
        <f t="array" ref="U58">IF(B58&gt;0,'Allocation OH and Target 2026'!$E$27,"N/A")</f>
        <v>2134447.30345641</v>
      </c>
      <c r="V58" s="538" cm="1">
        <f t="array" ref="V58">IF(B58&gt;0,'Allocation OH and Target 2026'!$E$28,"N/A")</f>
        <v>200042.323056976</v>
      </c>
      <c r="W58" s="538" cm="1">
        <f t="array" ref="W58">IF(B58&gt;0,VLOOKUP(C48,'Allocation OH and Target 2026'!$C$3:$T$23,17,0),"N/A")</f>
        <v>0</v>
      </c>
      <c r="X58" s="538" cm="1">
        <f t="array" ref="X58">IF(B58&gt;0,VLOOKUP(C48,'Allocation OH and Target 2026'!$C$3:$T$23,18,0),"N/A")</f>
        <v>0</v>
      </c>
      <c r="Y58" s="538" cm="1">
        <f t="array" ref="Y58">_xlfn.IFERROR(B58*(V58+X58),"N/A")</f>
        <v>1600338.58445581</v>
      </c>
      <c r="Z58" s="424"/>
      <c r="AA58" s="538" cm="1">
        <f t="array" ref="AA58">_xlfn.IFERROR(Y58+S58,"N/A")</f>
        <v>12082038.5844558</v>
      </c>
      <c r="AB58" s="538" cm="1">
        <f t="array" ref="AB58">_xlfn.IFERROR(AA58*0.5%,"N/A")</f>
        <v>60410.192922279</v>
      </c>
      <c r="AC58" s="538" cm="1">
        <f t="array" ref="AC58">_xlfn.IFERROR(AA58*25%,"N/A")</f>
        <v>3020509.64611395</v>
      </c>
      <c r="AD58" s="539" cm="1">
        <f t="array" ref="AD58">IF(B58&gt;0,SUM(AA58:AC58),"N/A")</f>
        <v>15162958.423492</v>
      </c>
      <c r="AE58" s="538" cm="1">
        <f t="array" ref="AE58">_xlfn.IFERROR(AD58/B58,"N/A")</f>
        <v>1895369.8029365</v>
      </c>
      <c r="AF58" s="424"/>
      <c r="AG58" t="str" s="546" cm="1">
        <f t="array" ref="AG58">IF(B58/VLOOKUP(C48,'Boats Data Sheet 2026'!$C$3:$H$57,6,0)&gt;VLOOKUP(C48,'Allocation OH and Target 2026'!$C$3:$J$23,8,0),IF(SUM(AH50:AH57)=0,AE58,"N/A"),"N/A")</f>
        <v>N/A</v>
      </c>
      <c r="AH58" s="424" cm="1">
        <f t="array" ref="AH58">IF(AG58="N/A",0,1)</f>
        <v>0</v>
      </c>
      <c r="AI58" t="str" s="547" cm="1">
        <f t="array" ref="AI58">IF(B58/VLOOKUP(C48,'Boats Data Sheet 2026'!$C$3:$H$57,6,0)&gt;VLOOKUP(C48,'Allocation OH and Target 2026'!$C$3:$J$23,8,0),IF(SUM(AH50:AH57)=0,S58/B58,"N/A"),"N/A")</f>
        <v>N/A</v>
      </c>
      <c r="AJ58" s="424" cm="1">
        <f t="array" ref="AJ58">IF(AI58="N/A",0,1)</f>
        <v>0</v>
      </c>
      <c r="AK58" t="str" s="527" cm="1">
        <f t="array" ref="AK58">IF(SUM($AG$51:$AG$68)*B58&lt;SUM(AA58:AB58),"NO GO","GO")</f>
        <v>NO GO</v>
      </c>
      <c r="AL58" s="424"/>
      <c r="AM58" s="538"/>
      <c r="AN58" s="538"/>
      <c r="AO58" s="538"/>
      <c r="AP58" s="542"/>
      <c r="AQ58" s="543" cm="1">
        <f t="array" ref="AQ58">B58</f>
        <v>8</v>
      </c>
      <c r="AR58" s="18"/>
    </row>
    <row r="59" ht="16" customHeight="1">
      <c r="A59" s="12"/>
      <c r="B59" s="544" cm="1">
        <f t="array" ref="B59">IF(B58=0,0,IF(B58&lt;VLOOKUP(C48,'Boats Data Sheet 2026'!$C$3:$H$57,6,0),B58+1,0))</f>
        <v>9</v>
      </c>
      <c r="C59" s="538" cm="1">
        <f t="array" ref="C59">IF(B59&gt;0,IF(VLOOKUP(C48,'Boats Data Sheet 2026'!$C$3:$J$57,8,0)="N/A",0,VLOOKUP(C48,'Boats Data Sheet 2026'!$C$3:$J$57,8,0)),"N/A")</f>
        <v>5675000</v>
      </c>
      <c r="D59" s="545" cm="1">
        <f t="array" ref="D59">IF(B59&gt;7,2,IF(B59=0,"N/A",1))</f>
        <v>2</v>
      </c>
      <c r="E59" s="538" cm="1">
        <f t="array" ref="E59">_xlfn.IFERROR(SUM('Direct Costs 2026'!$C$4:$C$5)*D59,"N/A")</f>
        <v>1751000</v>
      </c>
      <c r="F59" s="538" cm="1">
        <f t="array" ref="F59">_xlfn.IFERROR('Direct Costs 2026'!$C$43*B59,"N/A")</f>
        <v>54000</v>
      </c>
      <c r="G59" s="538" cm="1">
        <f t="array" ref="G59">IF(B59&gt;0,'Direct Costs 2026'!$C$25,"N/A")</f>
        <v>90000</v>
      </c>
      <c r="H59" s="538" cm="1">
        <f t="array" ref="H59">IF(B59&gt;0,'Direct Costs 2026'!$C$19+'Direct Costs 2026'!$C$18*B59,"N/A")</f>
        <v>390000</v>
      </c>
      <c r="I59" s="538">
        <v>0</v>
      </c>
      <c r="J59" s="538" cm="1">
        <f t="array" ref="J59">IF(B59&gt;0,'Direct Costs 2026'!$C$22,"N/A")</f>
        <v>200000</v>
      </c>
      <c r="K59" s="538" cm="1">
        <f t="array" ref="K59">IF(B59&gt;0,'Direct Costs 2026'!$C$15+'Direct Costs 2026'!$C$14,"N/A")</f>
        <v>230000</v>
      </c>
      <c r="L59" s="538" cm="1">
        <f t="array" ref="L59">IF(B59&gt;0,'Direct Costs 2026'!$C$26,"N/A")</f>
        <v>20000</v>
      </c>
      <c r="M59" s="538" cm="1">
        <f t="array" ref="M59">IF(B59&gt;0,'Direct Costs 2026'!$C$23,"N/A")</f>
        <v>140000</v>
      </c>
      <c r="N59" s="538" cm="1">
        <f t="array" ref="N59">IF(B59&gt;0,'Direct Costs 2026'!$C$44*B59,"N/A")</f>
        <v>990000</v>
      </c>
      <c r="O59" t="str" s="547" cm="1">
        <f t="array" ref="O59">IF(B59&gt;0,_xlfn.IFERROR(VLOOKUP(C48,'Boats Data Sheet 2026'!$C$3:$I$57,7,0)*'Direct Costs 2026'!$C$36,"N/A"),"N/A")</f>
        <v>N/A</v>
      </c>
      <c r="P59" t="str" s="547" cm="1">
        <f t="array" ref="P59">IF(B59&gt;0,IF(OR(VLOOKUP(C48,'Boats Data Sheet 2026'!$C$3:$F$57,4,0)="Own",VLOOKUP(C48,'Boats Data Sheet 2026'!$C$3:$F$57,4,0)="Management"),('Direct Costs 2026'!$C$37+'Direct Costs 2026'!$C$39),"N/A"),"N/A")</f>
        <v>N/A</v>
      </c>
      <c r="Q59" s="538" cm="1">
        <f t="array" ref="Q59">_xlfn.IFERROR(IF(B59&gt;5,IF(B59&gt;11,IF(B59&gt;15,4,3),2),IF(B59=0,"N/A",1))*SUM('Direct Costs 2026'!$C$67:$C$68),"N/A")</f>
        <v>979200</v>
      </c>
      <c r="R59" s="538" cm="1">
        <f t="array" ref="R59">_xlfn.IFERROR('Direct Costs 2026'!$C$27*C59,"N/A")</f>
        <v>113500</v>
      </c>
      <c r="S59" s="538" cm="1">
        <f t="array" ref="S59">_xlfn.IFERROR(C59+SUM(E59:R59),"N/A")</f>
        <v>10632700</v>
      </c>
      <c r="T59" s="424"/>
      <c r="U59" s="538" cm="1">
        <f t="array" ref="U59">IF(B59&gt;0,'Allocation OH and Target 2026'!$E$27,"N/A")</f>
        <v>2134447.30345641</v>
      </c>
      <c r="V59" s="538" cm="1">
        <f t="array" ref="V59">IF(B59&gt;0,'Allocation OH and Target 2026'!$E$28,"N/A")</f>
        <v>200042.323056976</v>
      </c>
      <c r="W59" s="538" cm="1">
        <f t="array" ref="W59">IF(B59&gt;0,VLOOKUP(C48,'Allocation OH and Target 2026'!$C$3:$T$23,17,0),"N/A")</f>
        <v>0</v>
      </c>
      <c r="X59" s="538" cm="1">
        <f t="array" ref="X59">IF(B59&gt;0,VLOOKUP(C48,'Allocation OH and Target 2026'!$C$3:$T$23,18,0),"N/A")</f>
        <v>0</v>
      </c>
      <c r="Y59" s="538" cm="1">
        <f t="array" ref="Y59">_xlfn.IFERROR(B59*(V59+X59),"N/A")</f>
        <v>1800380.90751278</v>
      </c>
      <c r="Z59" s="424"/>
      <c r="AA59" s="538" cm="1">
        <f t="array" ref="AA59">_xlfn.IFERROR(Y59+S59,"N/A")</f>
        <v>12433080.9075128</v>
      </c>
      <c r="AB59" s="538" cm="1">
        <f t="array" ref="AB59">_xlfn.IFERROR(AA59*0.5%,"N/A")</f>
        <v>62165.404537564</v>
      </c>
      <c r="AC59" s="538" cm="1">
        <f t="array" ref="AC59">_xlfn.IFERROR(AA59*25%,"N/A")</f>
        <v>3108270.2268782</v>
      </c>
      <c r="AD59" s="539" cm="1">
        <f t="array" ref="AD59">IF(B59&gt;0,SUM(AA59:AC59),"N/A")</f>
        <v>15603516.5389286</v>
      </c>
      <c r="AE59" s="538" cm="1">
        <f t="array" ref="AE59">_xlfn.IFERROR(AD59/B59,"N/A")</f>
        <v>1733724.05988096</v>
      </c>
      <c r="AF59" s="424"/>
      <c r="AG59" t="str" s="546" cm="1">
        <f t="array" ref="AG59">IF(B59/VLOOKUP(C48,'Boats Data Sheet 2026'!$C$3:$H$57,6,0)&gt;VLOOKUP(C48,'Allocation OH and Target 2026'!$C$3:$J$23,8,0),IF(SUM(AH50:AH58)=0,AE59,"N/A"),"N/A")</f>
        <v>N/A</v>
      </c>
      <c r="AH59" s="424" cm="1">
        <f t="array" ref="AH59">IF(AG59="N/A",0,1)</f>
        <v>0</v>
      </c>
      <c r="AI59" t="str" s="547" cm="1">
        <f t="array" ref="AI59">IF(B59/VLOOKUP(C48,'Boats Data Sheet 2026'!$C$3:$H$57,6,0)&gt;VLOOKUP(C48,'Allocation OH and Target 2026'!$C$3:$J$23,8,0),IF(SUM(AH50:AH58)=0,S59/B59,"N/A"),"N/A")</f>
        <v>N/A</v>
      </c>
      <c r="AJ59" s="424" cm="1">
        <f t="array" ref="AJ59">IF(AI59="N/A",0,1)</f>
        <v>0</v>
      </c>
      <c r="AK59" t="str" s="527" cm="1">
        <f t="array" ref="AK59">IF(SUM($AG$51:$AG$68)*B59&lt;SUM(AA59:AB59),"NO GO","GO")</f>
        <v>GO</v>
      </c>
      <c r="AL59" s="424"/>
      <c r="AM59" s="538"/>
      <c r="AN59" s="538"/>
      <c r="AO59" s="538"/>
      <c r="AP59" s="542"/>
      <c r="AQ59" s="543" cm="1">
        <f t="array" ref="AQ59">B59</f>
        <v>9</v>
      </c>
      <c r="AR59" s="18"/>
    </row>
    <row r="60" ht="16" customHeight="1">
      <c r="A60" s="12"/>
      <c r="B60" s="544" cm="1">
        <f t="array" ref="B60">IF(B59=0,0,IF(B59&lt;VLOOKUP(C48,'Boats Data Sheet 2026'!$C$3:$H$57,6,0),B59+1,0))</f>
        <v>10</v>
      </c>
      <c r="C60" s="538" cm="1">
        <f t="array" ref="C60">IF(B60&gt;0,IF(VLOOKUP(C48,'Boats Data Sheet 2026'!$C$3:$J$57,8,0)="N/A",0,VLOOKUP(C48,'Boats Data Sheet 2026'!$C$3:$J$57,8,0)),"N/A")</f>
        <v>5675000</v>
      </c>
      <c r="D60" s="545" cm="1">
        <f t="array" ref="D60">IF(B60&gt;7,2,IF(B60=0,"N/A",1))</f>
        <v>2</v>
      </c>
      <c r="E60" s="538" cm="1">
        <f t="array" ref="E60">_xlfn.IFERROR(SUM('Direct Costs 2026'!$C$4:$C$5)*D60,"N/A")</f>
        <v>1751000</v>
      </c>
      <c r="F60" s="538" cm="1">
        <f t="array" ref="F60">_xlfn.IFERROR('Direct Costs 2026'!$C$43*B60,"N/A")</f>
        <v>60000</v>
      </c>
      <c r="G60" s="538" cm="1">
        <f t="array" ref="G60">IF(B60&gt;0,'Direct Costs 2026'!$C$25,"N/A")</f>
        <v>90000</v>
      </c>
      <c r="H60" s="538" cm="1">
        <f t="array" ref="H60">IF(B60&gt;0,'Direct Costs 2026'!$C$19+'Direct Costs 2026'!$C$18*B60,"N/A")</f>
        <v>425000</v>
      </c>
      <c r="I60" s="538">
        <v>0</v>
      </c>
      <c r="J60" s="538" cm="1">
        <f t="array" ref="J60">IF(B60&gt;0,'Direct Costs 2026'!$C$22,"N/A")</f>
        <v>200000</v>
      </c>
      <c r="K60" s="538" cm="1">
        <f t="array" ref="K60">IF(B60&gt;0,'Direct Costs 2026'!$C$15+'Direct Costs 2026'!$C$14,"N/A")</f>
        <v>230000</v>
      </c>
      <c r="L60" s="538" cm="1">
        <f t="array" ref="L60">IF(B60&gt;0,'Direct Costs 2026'!$C$26,"N/A")</f>
        <v>20000</v>
      </c>
      <c r="M60" s="538" cm="1">
        <f t="array" ref="M60">IF(B60&gt;0,'Direct Costs 2026'!$C$23,"N/A")</f>
        <v>140000</v>
      </c>
      <c r="N60" s="538" cm="1">
        <f t="array" ref="N60">IF(B60&gt;0,'Direct Costs 2026'!$C$44*B60,"N/A")</f>
        <v>1100000</v>
      </c>
      <c r="O60" t="str" s="547" cm="1">
        <f t="array" ref="O60">IF(B60&gt;0,_xlfn.IFERROR(VLOOKUP(C48,'Boats Data Sheet 2026'!$C$3:$I$57,7,0)*'Direct Costs 2026'!$C$36,"N/A"),"N/A")</f>
        <v>N/A</v>
      </c>
      <c r="P60" t="str" s="547" cm="1">
        <f t="array" ref="P60">IF(B60&gt;0,IF(OR(VLOOKUP(C48,'Boats Data Sheet 2026'!$C$3:$F$57,4,0)="Own",VLOOKUP(C48,'Boats Data Sheet 2026'!$C$3:$F$57,4,0)="Management"),('Direct Costs 2026'!$C$37+'Direct Costs 2026'!$C$39),"N/A"),"N/A")</f>
        <v>N/A</v>
      </c>
      <c r="Q60" s="538" cm="1">
        <f t="array" ref="Q60">_xlfn.IFERROR(IF(B60&gt;5,IF(B60&gt;11,IF(B60&gt;15,4,3),2),IF(B60=0,"N/A",1))*SUM('Direct Costs 2026'!$C$67:$C$68),"N/A")</f>
        <v>979200</v>
      </c>
      <c r="R60" s="538" cm="1">
        <f t="array" ref="R60">_xlfn.IFERROR('Direct Costs 2026'!$C$27*C60,"N/A")</f>
        <v>113500</v>
      </c>
      <c r="S60" s="538" cm="1">
        <f t="array" ref="S60">_xlfn.IFERROR(C60+SUM(E60:R60),"N/A")</f>
        <v>10783700</v>
      </c>
      <c r="T60" s="424"/>
      <c r="U60" s="538" cm="1">
        <f t="array" ref="U60">IF(B60&gt;0,'Allocation OH and Target 2026'!$E$27,"N/A")</f>
        <v>2134447.30345641</v>
      </c>
      <c r="V60" s="538" cm="1">
        <f t="array" ref="V60">IF(B60&gt;0,'Allocation OH and Target 2026'!$E$28,"N/A")</f>
        <v>200042.323056976</v>
      </c>
      <c r="W60" s="538" cm="1">
        <f t="array" ref="W60">IF(B60&gt;0,VLOOKUP(C48,'Allocation OH and Target 2026'!$C$3:$T$23,17,0),"N/A")</f>
        <v>0</v>
      </c>
      <c r="X60" s="538" cm="1">
        <f t="array" ref="X60">IF(B60&gt;0,VLOOKUP(C48,'Allocation OH and Target 2026'!$C$3:$T$23,18,0),"N/A")</f>
        <v>0</v>
      </c>
      <c r="Y60" s="538" cm="1">
        <f t="array" ref="Y60">_xlfn.IFERROR(B60*(V60+X60),"N/A")</f>
        <v>2000423.23056976</v>
      </c>
      <c r="Z60" s="424"/>
      <c r="AA60" s="538" cm="1">
        <f t="array" ref="AA60">_xlfn.IFERROR(Y60+S60,"N/A")</f>
        <v>12784123.2305698</v>
      </c>
      <c r="AB60" s="538" cm="1">
        <f t="array" ref="AB60">_xlfn.IFERROR(AA60*0.5%,"N/A")</f>
        <v>63920.616152849</v>
      </c>
      <c r="AC60" s="538" cm="1">
        <f t="array" ref="AC60">_xlfn.IFERROR(AA60*25%,"N/A")</f>
        <v>3196030.80764245</v>
      </c>
      <c r="AD60" s="539" cm="1">
        <f t="array" ref="AD60">IF(B60&gt;0,SUM(AA60:AC60),"N/A")</f>
        <v>16044074.6543651</v>
      </c>
      <c r="AE60" s="538" cm="1">
        <f t="array" ref="AE60">_xlfn.IFERROR(AD60/B60,"N/A")</f>
        <v>1604407.46543651</v>
      </c>
      <c r="AF60" s="424"/>
      <c r="AG60" t="str" s="546" cm="1">
        <f t="array" ref="AG60">IF(B60/VLOOKUP(C48,'Boats Data Sheet 2026'!$C$3:$H$57,6,0)&gt;VLOOKUP(C48,'Allocation OH and Target 2026'!$C$3:$J$23,8,0),IF(SUM(AH50:AH59)=0,AE60,"N/A"),"N/A")</f>
        <v>N/A</v>
      </c>
      <c r="AH60" s="424" cm="1">
        <f t="array" ref="AH60">IF(AG60="N/A",0,1)</f>
        <v>0</v>
      </c>
      <c r="AI60" t="str" s="547" cm="1">
        <f t="array" ref="AI60">IF(B60/VLOOKUP(C48,'Boats Data Sheet 2026'!$C$3:$H$57,6,0)&gt;VLOOKUP(C48,'Allocation OH and Target 2026'!$C$3:$J$23,8,0),IF(SUM(AH50:AH59)=0,S60/B60,"N/A"),"N/A")</f>
        <v>N/A</v>
      </c>
      <c r="AJ60" s="424" cm="1">
        <f t="array" ref="AJ60">IF(AI60="N/A",0,1)</f>
        <v>0</v>
      </c>
      <c r="AK60" t="str" s="527" cm="1">
        <f t="array" ref="AK60">IF(SUM($AG$51:$AG$68)*B60&lt;SUM(AA60:AB60),"NO GO","GO")</f>
        <v>GO</v>
      </c>
      <c r="AL60" s="424"/>
      <c r="AM60" s="538"/>
      <c r="AN60" s="538"/>
      <c r="AO60" s="538"/>
      <c r="AP60" s="542"/>
      <c r="AQ60" s="543" cm="1">
        <f t="array" ref="AQ60">B60</f>
        <v>10</v>
      </c>
      <c r="AR60" s="18"/>
    </row>
    <row r="61" ht="16" customHeight="1">
      <c r="A61" s="12"/>
      <c r="B61" s="544" cm="1">
        <f t="array" ref="B61">IF(B60=0,0,IF(B60&lt;VLOOKUP(C48,'Boats Data Sheet 2026'!$C$3:$H$57,6,0),B60+1,0))</f>
        <v>11</v>
      </c>
      <c r="C61" s="538" cm="1">
        <f t="array" ref="C61">IF(B61&gt;0,IF(VLOOKUP(C48,'Boats Data Sheet 2026'!$C$3:$J$57,8,0)="N/A",0,VLOOKUP(C48,'Boats Data Sheet 2026'!$C$3:$J$57,8,0)),"N/A")</f>
        <v>5675000</v>
      </c>
      <c r="D61" s="545" cm="1">
        <f t="array" ref="D61">IF(B61&gt;7,2,IF(B61=0,"N/A",1))</f>
        <v>2</v>
      </c>
      <c r="E61" s="538" cm="1">
        <f t="array" ref="E61">_xlfn.IFERROR(SUM('Direct Costs 2026'!$C$4:$C$5)*D61,"N/A")</f>
        <v>1751000</v>
      </c>
      <c r="F61" s="538" cm="1">
        <f t="array" ref="F61">_xlfn.IFERROR('Direct Costs 2026'!$C$43*B61,"N/A")</f>
        <v>66000</v>
      </c>
      <c r="G61" s="538" cm="1">
        <f t="array" ref="G61">IF(B61&gt;0,'Direct Costs 2026'!$C$25,"N/A")</f>
        <v>90000</v>
      </c>
      <c r="H61" s="538" cm="1">
        <f t="array" ref="H61">IF(B61&gt;0,'Direct Costs 2026'!$C$19+'Direct Costs 2026'!$C$18*B61,"N/A")</f>
        <v>460000</v>
      </c>
      <c r="I61" s="538">
        <v>0</v>
      </c>
      <c r="J61" s="538" cm="1">
        <f t="array" ref="J61">IF(B61&gt;0,'Direct Costs 2026'!$C$22,"N/A")</f>
        <v>200000</v>
      </c>
      <c r="K61" s="538" cm="1">
        <f t="array" ref="K61">IF(B61&gt;0,'Direct Costs 2026'!$C$15+'Direct Costs 2026'!$C$14,"N/A")</f>
        <v>230000</v>
      </c>
      <c r="L61" s="538" cm="1">
        <f t="array" ref="L61">IF(B61&gt;0,'Direct Costs 2026'!$C$26,"N/A")</f>
        <v>20000</v>
      </c>
      <c r="M61" s="538" cm="1">
        <f t="array" ref="M61">IF(B61&gt;0,'Direct Costs 2026'!$C$23,"N/A")</f>
        <v>140000</v>
      </c>
      <c r="N61" s="538" cm="1">
        <f t="array" ref="N61">IF(B61&gt;0,'Direct Costs 2026'!$C$44*B61,"N/A")</f>
        <v>1210000</v>
      </c>
      <c r="O61" t="str" s="547" cm="1">
        <f t="array" ref="O61">IF(B61&gt;0,_xlfn.IFERROR(VLOOKUP(C48,'Boats Data Sheet 2026'!$C$3:$I$57,7,0)*'Direct Costs 2026'!$C$36,"N/A"),"N/A")</f>
        <v>N/A</v>
      </c>
      <c r="P61" t="str" s="547" cm="1">
        <f t="array" ref="P61">IF(B61&gt;0,IF(OR(VLOOKUP(C48,'Boats Data Sheet 2026'!$C$3:$F$57,4,0)="Own",VLOOKUP(C48,'Boats Data Sheet 2026'!$C$3:$F$57,4,0)="Management"),('Direct Costs 2026'!$C$37+'Direct Costs 2026'!$C$39),"N/A"),"N/A")</f>
        <v>N/A</v>
      </c>
      <c r="Q61" s="538" cm="1">
        <f t="array" ref="Q61">_xlfn.IFERROR(IF(B61&gt;5,IF(B61&gt;11,IF(B61&gt;15,4,3),2),IF(B61=0,"N/A",1))*SUM('Direct Costs 2026'!$C$67:$C$68),"N/A")</f>
        <v>979200</v>
      </c>
      <c r="R61" s="538" cm="1">
        <f t="array" ref="R61">_xlfn.IFERROR('Direct Costs 2026'!$C$27*C61,"N/A")</f>
        <v>113500</v>
      </c>
      <c r="S61" s="538" cm="1">
        <f t="array" ref="S61">_xlfn.IFERROR(C61+SUM(E61:R61),"N/A")</f>
        <v>10934700</v>
      </c>
      <c r="T61" s="424"/>
      <c r="U61" s="538" cm="1">
        <f t="array" ref="U61">IF(B61&gt;0,'Allocation OH and Target 2026'!$E$27,"N/A")</f>
        <v>2134447.30345641</v>
      </c>
      <c r="V61" s="538" cm="1">
        <f t="array" ref="V61">IF(B61&gt;0,'Allocation OH and Target 2026'!$E$28,"N/A")</f>
        <v>200042.323056976</v>
      </c>
      <c r="W61" s="538" cm="1">
        <f t="array" ref="W61">IF(B61&gt;0,VLOOKUP(C48,'Allocation OH and Target 2026'!$C$3:$T$23,17,0),"N/A")</f>
        <v>0</v>
      </c>
      <c r="X61" s="538" cm="1">
        <f t="array" ref="X61">IF(B61&gt;0,VLOOKUP(C48,'Allocation OH and Target 2026'!$C$3:$T$23,18,0),"N/A")</f>
        <v>0</v>
      </c>
      <c r="Y61" s="538" cm="1">
        <f t="array" ref="Y61">_xlfn.IFERROR(B61*(V61+X61),"N/A")</f>
        <v>2200465.55362674</v>
      </c>
      <c r="Z61" s="424"/>
      <c r="AA61" s="538" cm="1">
        <f t="array" ref="AA61">_xlfn.IFERROR(Y61+S61,"N/A")</f>
        <v>13135165.5536267</v>
      </c>
      <c r="AB61" s="538" cm="1">
        <f t="array" ref="AB61">_xlfn.IFERROR(AA61*0.5%,"N/A")</f>
        <v>65675.8277681335</v>
      </c>
      <c r="AC61" s="538" cm="1">
        <f t="array" ref="AC61">_xlfn.IFERROR(AA61*25%,"N/A")</f>
        <v>3283791.38840668</v>
      </c>
      <c r="AD61" s="539" cm="1">
        <f t="array" ref="AD61">IF(B61&gt;0,SUM(AA61:AC61),"N/A")</f>
        <v>16484632.7698015</v>
      </c>
      <c r="AE61" s="538" cm="1">
        <f t="array" ref="AE61">_xlfn.IFERROR(AD61/B61,"N/A")</f>
        <v>1498602.97907286</v>
      </c>
      <c r="AF61" s="424"/>
      <c r="AG61" s="539" cm="1">
        <f t="array" ref="AG61">IF(B61/VLOOKUP(C48,'Boats Data Sheet 2026'!$C$3:$H$57,6,0)&gt;VLOOKUP(C48,'Allocation OH and Target 2026'!$C$3:$J$23,8,0),IF(SUM(AH50:AH60)=0,AE61,"N/A"),"N/A")</f>
        <v>1498602.97907286</v>
      </c>
      <c r="AH61" s="424" cm="1">
        <f t="array" ref="AH61">IF(AG61="N/A",0,1)</f>
        <v>1</v>
      </c>
      <c r="AI61" s="538" cm="1">
        <f t="array" ref="AI61">IF(B61/VLOOKUP(C48,'Boats Data Sheet 2026'!$C$3:$H$57,6,0)&gt;VLOOKUP(C48,'Allocation OH and Target 2026'!$C$3:$J$23,8,0),IF(SUM(AH50:AH60)=0,S61/B61,"N/A"),"N/A")</f>
        <v>994063.636363636</v>
      </c>
      <c r="AJ61" s="424" cm="1">
        <f t="array" ref="AJ61">IF(AI61="N/A",0,1)</f>
        <v>1</v>
      </c>
      <c r="AK61" t="str" s="527" cm="1">
        <f t="array" ref="AK61">IF(SUM($AG$51:$AG$68)*B61&lt;SUM(AA61:AB61),"NO GO","GO")</f>
        <v>GO</v>
      </c>
      <c r="AL61" s="424"/>
      <c r="AM61" s="538"/>
      <c r="AN61" s="538"/>
      <c r="AO61" s="538"/>
      <c r="AP61" s="542"/>
      <c r="AQ61" s="543" cm="1">
        <f t="array" ref="AQ61">B61</f>
        <v>11</v>
      </c>
      <c r="AR61" s="18"/>
    </row>
    <row r="62" ht="16" customHeight="1">
      <c r="A62" s="12"/>
      <c r="B62" s="544" cm="1">
        <f t="array" ref="B62">IF(B61=0,0,IF(B61&lt;VLOOKUP(C48,'Boats Data Sheet 2026'!$C$3:$H$57,6,0),B61+1,0))</f>
        <v>12</v>
      </c>
      <c r="C62" s="538" cm="1">
        <f t="array" ref="C62">IF(B62&gt;0,IF(VLOOKUP(C48,'Boats Data Sheet 2026'!$C$3:$J$57,8,0)="N/A",0,VLOOKUP(C48,'Boats Data Sheet 2026'!$C$3:$J$57,8,0)),"N/A")</f>
        <v>5675000</v>
      </c>
      <c r="D62" s="545" cm="1">
        <f t="array" ref="D62">IF(B62&gt;7,2,IF(B62=0,"N/A",1))</f>
        <v>2</v>
      </c>
      <c r="E62" s="538" cm="1">
        <f t="array" ref="E62">_xlfn.IFERROR(SUM('Direct Costs 2026'!$C$4:$C$5)*D62,"N/A")</f>
        <v>1751000</v>
      </c>
      <c r="F62" s="538" cm="1">
        <f t="array" ref="F62">_xlfn.IFERROR('Direct Costs 2026'!$C$43*B62,"N/A")</f>
        <v>72000</v>
      </c>
      <c r="G62" s="538" cm="1">
        <f t="array" ref="G62">IF(B62&gt;0,'Direct Costs 2026'!$C$25,"N/A")</f>
        <v>90000</v>
      </c>
      <c r="H62" s="538" cm="1">
        <f t="array" ref="H62">IF(B62&gt;0,'Direct Costs 2026'!$C$19+'Direct Costs 2026'!$C$18*B62,"N/A")</f>
        <v>495000</v>
      </c>
      <c r="I62" s="538">
        <v>0</v>
      </c>
      <c r="J62" s="538" cm="1">
        <f t="array" ref="J62">IF(B62&gt;0,'Direct Costs 2026'!$C$22,"N/A")</f>
        <v>200000</v>
      </c>
      <c r="K62" s="538" cm="1">
        <f t="array" ref="K62">IF(B62&gt;0,'Direct Costs 2026'!$C$15+'Direct Costs 2026'!$C$14,"N/A")</f>
        <v>230000</v>
      </c>
      <c r="L62" s="538" cm="1">
        <f t="array" ref="L62">IF(B62&gt;0,'Direct Costs 2026'!$C$26,"N/A")</f>
        <v>20000</v>
      </c>
      <c r="M62" s="538" cm="1">
        <f t="array" ref="M62">IF(B62&gt;0,'Direct Costs 2026'!$C$23,"N/A")</f>
        <v>140000</v>
      </c>
      <c r="N62" s="538" cm="1">
        <f t="array" ref="N62">IF(B62&gt;0,'Direct Costs 2026'!$C$44*B62,"N/A")</f>
        <v>1320000</v>
      </c>
      <c r="O62" t="str" s="547" cm="1">
        <f t="array" ref="O62">IF(B62&gt;0,_xlfn.IFERROR(VLOOKUP(C48,'Boats Data Sheet 2026'!$C$3:$I$57,7,0)*'Direct Costs 2026'!$C$36,"N/A"),"N/A")</f>
        <v>N/A</v>
      </c>
      <c r="P62" t="str" s="547" cm="1">
        <f t="array" ref="P62">IF(B62&gt;0,IF(OR(VLOOKUP(C48,'Boats Data Sheet 2026'!$C$3:$F$57,4,0)="Own",VLOOKUP(C48,'Boats Data Sheet 2026'!$C$3:$F$57,4,0)="Management"),('Direct Costs 2026'!$C$37+'Direct Costs 2026'!$C$39),"N/A"),"N/A")</f>
        <v>N/A</v>
      </c>
      <c r="Q62" s="538" cm="1">
        <f t="array" ref="Q62">_xlfn.IFERROR(IF(B62&gt;5,IF(B62&gt;11,IF(B62&gt;15,4,3),2),IF(B62=0,"N/A",1))*SUM('Direct Costs 2026'!$C$67:$C$68),"N/A")</f>
        <v>1468800</v>
      </c>
      <c r="R62" s="538" cm="1">
        <f t="array" ref="R62">_xlfn.IFERROR('Direct Costs 2026'!$C$27*C62,"N/A")</f>
        <v>113500</v>
      </c>
      <c r="S62" s="538" cm="1">
        <f t="array" ref="S62">_xlfn.IFERROR(C62+SUM(E62:R62),"N/A")</f>
        <v>11575300</v>
      </c>
      <c r="T62" s="424"/>
      <c r="U62" s="538" cm="1">
        <f t="array" ref="U62">IF(B62&gt;0,'Allocation OH and Target 2026'!$E$27,"N/A")</f>
        <v>2134447.30345641</v>
      </c>
      <c r="V62" s="538" cm="1">
        <f t="array" ref="V62">IF(B62&gt;0,'Allocation OH and Target 2026'!$E$28,"N/A")</f>
        <v>200042.323056976</v>
      </c>
      <c r="W62" s="538" cm="1">
        <f t="array" ref="W62">IF(B62&gt;0,VLOOKUP(C48,'Allocation OH and Target 2026'!$C$3:$T$23,17,0),"N/A")</f>
        <v>0</v>
      </c>
      <c r="X62" s="538" cm="1">
        <f t="array" ref="X62">IF(B62&gt;0,VLOOKUP(C48,'Allocation OH and Target 2026'!$C$3:$T$23,18,0),"N/A")</f>
        <v>0</v>
      </c>
      <c r="Y62" s="538" cm="1">
        <f t="array" ref="Y62">_xlfn.IFERROR(B62*(V62+X62),"N/A")</f>
        <v>2400507.87668371</v>
      </c>
      <c r="Z62" s="424"/>
      <c r="AA62" s="538" cm="1">
        <f t="array" ref="AA62">_xlfn.IFERROR(Y62+S62,"N/A")</f>
        <v>13975807.8766837</v>
      </c>
      <c r="AB62" s="538" cm="1">
        <f t="array" ref="AB62">_xlfn.IFERROR(AA62*0.5%,"N/A")</f>
        <v>69879.039383418494</v>
      </c>
      <c r="AC62" s="538" cm="1">
        <f t="array" ref="AC62">_xlfn.IFERROR(AA62*25%,"N/A")</f>
        <v>3493951.96917093</v>
      </c>
      <c r="AD62" s="539" cm="1">
        <f t="array" ref="AD62">IF(B62&gt;0,SUM(AA62:AC62),"N/A")</f>
        <v>17539638.885238</v>
      </c>
      <c r="AE62" s="538" cm="1">
        <f t="array" ref="AE62">_xlfn.IFERROR(AD62/B62,"N/A")</f>
        <v>1461636.57376983</v>
      </c>
      <c r="AF62" s="424"/>
      <c r="AG62" t="str" s="546" cm="1">
        <f t="array" ref="AG62">IF(B62/VLOOKUP(C48,'Boats Data Sheet 2026'!$C$3:$H$57,6,0)&gt;VLOOKUP(C48,'Allocation OH and Target 2026'!$C$3:$J$23,8,0),IF(SUM(AH50:AH61)=0,AE62,"N/A"),"N/A")</f>
        <v>N/A</v>
      </c>
      <c r="AH62" s="424" cm="1">
        <f t="array" ref="AH62">IF(AG62="N/A",0,1)</f>
        <v>0</v>
      </c>
      <c r="AI62" t="str" s="547" cm="1">
        <f t="array" ref="AI62">IF(B62/VLOOKUP(C48,'Boats Data Sheet 2026'!$C$3:$H$57,6,0)&gt;VLOOKUP(C48,'Allocation OH and Target 2026'!$C$3:$J$23,8,0),IF(SUM(AH50:AH61)=0,S62/B62,"N/A"),"N/A")</f>
        <v>N/A</v>
      </c>
      <c r="AJ62" s="424" cm="1">
        <f t="array" ref="AJ62">IF(AI62="N/A",0,1)</f>
        <v>0</v>
      </c>
      <c r="AK62" t="str" s="527" cm="1">
        <f t="array" ref="AK62">IF(SUM($AG$51:$AG$68)*B62&lt;SUM(AA62:AB62),"NO GO","GO")</f>
        <v>GO</v>
      </c>
      <c r="AL62" s="424"/>
      <c r="AM62" s="538"/>
      <c r="AN62" s="538"/>
      <c r="AO62" s="538"/>
      <c r="AP62" s="542"/>
      <c r="AQ62" s="543" cm="1">
        <f t="array" ref="AQ62">B62</f>
        <v>12</v>
      </c>
      <c r="AR62" s="18"/>
    </row>
    <row r="63" ht="16" customHeight="1">
      <c r="A63" s="12"/>
      <c r="B63" s="544" cm="1">
        <f t="array" ref="B63">IF(B62=0,0,IF(B62&lt;VLOOKUP(C48,'Boats Data Sheet 2026'!$C$3:$H$57,6,0),B62+1,0))</f>
        <v>13</v>
      </c>
      <c r="C63" s="538" cm="1">
        <f t="array" ref="C63">IF(B63&gt;0,IF(VLOOKUP(C48,'Boats Data Sheet 2026'!$C$3:$J$57,8,0)="N/A",0,VLOOKUP(C48,'Boats Data Sheet 2026'!$C$3:$J$57,8,0)),"N/A")</f>
        <v>5675000</v>
      </c>
      <c r="D63" s="545" cm="1">
        <f t="array" ref="D63">IF(B63&gt;7,2,IF(B63=0,"N/A",1))</f>
        <v>2</v>
      </c>
      <c r="E63" s="538" cm="1">
        <f t="array" ref="E63">_xlfn.IFERROR(SUM('Direct Costs 2026'!$C$4:$C$5)*D63,"N/A")</f>
        <v>1751000</v>
      </c>
      <c r="F63" s="538" cm="1">
        <f t="array" ref="F63">_xlfn.IFERROR('Direct Costs 2026'!$C$43*B63,"N/A")</f>
        <v>78000</v>
      </c>
      <c r="G63" s="538" cm="1">
        <f t="array" ref="G63">IF(B63&gt;0,'Direct Costs 2026'!$C$25,"N/A")</f>
        <v>90000</v>
      </c>
      <c r="H63" s="538" cm="1">
        <f t="array" ref="H63">IF(B63&gt;0,'Direct Costs 2026'!$C$19+'Direct Costs 2026'!$C$18*B63,"N/A")</f>
        <v>530000</v>
      </c>
      <c r="I63" s="538">
        <v>0</v>
      </c>
      <c r="J63" s="538" cm="1">
        <f t="array" ref="J63">IF(B63&gt;0,'Direct Costs 2026'!$C$22,"N/A")</f>
        <v>200000</v>
      </c>
      <c r="K63" s="538" cm="1">
        <f t="array" ref="K63">IF(B63&gt;0,'Direct Costs 2026'!$C$15+'Direct Costs 2026'!$C$14,"N/A")</f>
        <v>230000</v>
      </c>
      <c r="L63" s="538" cm="1">
        <f t="array" ref="L63">IF(B63&gt;0,'Direct Costs 2026'!$C$26,"N/A")</f>
        <v>20000</v>
      </c>
      <c r="M63" s="538" cm="1">
        <f t="array" ref="M63">IF(B63&gt;0,'Direct Costs 2026'!$C$23,"N/A")</f>
        <v>140000</v>
      </c>
      <c r="N63" s="538" cm="1">
        <f t="array" ref="N63">IF(B63&gt;0,'Direct Costs 2026'!$C$44*B63,"N/A")</f>
        <v>1430000</v>
      </c>
      <c r="O63" t="str" s="547" cm="1">
        <f t="array" ref="O63">IF(B63&gt;0,_xlfn.IFERROR(VLOOKUP(C48,'Boats Data Sheet 2026'!$C$3:$I$57,7,0)*'Direct Costs 2026'!$C$36,"N/A"),"N/A")</f>
        <v>N/A</v>
      </c>
      <c r="P63" t="str" s="547" cm="1">
        <f t="array" ref="P63">IF(B63&gt;0,IF(OR(VLOOKUP(C48,'Boats Data Sheet 2026'!$C$3:$F$57,4,0)="Own",VLOOKUP(C48,'Boats Data Sheet 2026'!$C$3:$F$57,4,0)="Management"),('Direct Costs 2026'!$C$37+'Direct Costs 2026'!$C$39),"N/A"),"N/A")</f>
        <v>N/A</v>
      </c>
      <c r="Q63" s="538" cm="1">
        <f t="array" ref="Q63">_xlfn.IFERROR(IF(B63&gt;5,IF(B63&gt;11,IF(B63&gt;15,4,3),2),IF(B63=0,"N/A",1))*SUM('Direct Costs 2026'!$C$67:$C$68),"N/A")</f>
        <v>1468800</v>
      </c>
      <c r="R63" s="538" cm="1">
        <f t="array" ref="R63">_xlfn.IFERROR('Direct Costs 2026'!$C$27*C63,"N/A")</f>
        <v>113500</v>
      </c>
      <c r="S63" s="538" cm="1">
        <f t="array" ref="S63">_xlfn.IFERROR(C63+SUM(E63:R63),"N/A")</f>
        <v>11726300</v>
      </c>
      <c r="T63" s="424"/>
      <c r="U63" s="538" cm="1">
        <f t="array" ref="U63">IF(B63&gt;0,'Allocation OH and Target 2026'!$E$27,"N/A")</f>
        <v>2134447.30345641</v>
      </c>
      <c r="V63" s="538" cm="1">
        <f t="array" ref="V63">IF(B63&gt;0,'Allocation OH and Target 2026'!$E$28,"N/A")</f>
        <v>200042.323056976</v>
      </c>
      <c r="W63" s="538" cm="1">
        <f t="array" ref="W63">IF(B63&gt;0,VLOOKUP(C48,'Allocation OH and Target 2026'!$C$3:$T$23,17,0),"N/A")</f>
        <v>0</v>
      </c>
      <c r="X63" s="538" cm="1">
        <f t="array" ref="X63">IF(B63&gt;0,VLOOKUP(C48,'Allocation OH and Target 2026'!$C$3:$T$23,18,0),"N/A")</f>
        <v>0</v>
      </c>
      <c r="Y63" s="538" cm="1">
        <f t="array" ref="Y63">_xlfn.IFERROR(B63*(V63+X63),"N/A")</f>
        <v>2600550.19974069</v>
      </c>
      <c r="Z63" s="424"/>
      <c r="AA63" s="538" cm="1">
        <f t="array" ref="AA63">_xlfn.IFERROR(Y63+S63,"N/A")</f>
        <v>14326850.1997407</v>
      </c>
      <c r="AB63" s="538" cm="1">
        <f t="array" ref="AB63">_xlfn.IFERROR(AA63*0.5%,"N/A")</f>
        <v>71634.2509987035</v>
      </c>
      <c r="AC63" s="538" cm="1">
        <f t="array" ref="AC63">_xlfn.IFERROR(AA63*25%,"N/A")</f>
        <v>3581712.54993518</v>
      </c>
      <c r="AD63" s="539" cm="1">
        <f t="array" ref="AD63">IF(B63&gt;0,SUM(AA63:AC63),"N/A")</f>
        <v>17980197.0006746</v>
      </c>
      <c r="AE63" s="538" cm="1">
        <f t="array" ref="AE63">_xlfn.IFERROR(AD63/B63,"N/A")</f>
        <v>1383092.07697497</v>
      </c>
      <c r="AF63" s="424"/>
      <c r="AG63" t="str" s="546" cm="1">
        <f t="array" ref="AG63">IF(B63/VLOOKUP(C48,'Boats Data Sheet 2026'!$C$3:$H$57,6,0)&gt;VLOOKUP(C48,'Allocation OH and Target 2026'!$C$3:$J$23,8,0),IF(SUM(AH50:AH62)=0,AE63,"N/A"),"N/A")</f>
        <v>N/A</v>
      </c>
      <c r="AH63" s="424" cm="1">
        <f t="array" ref="AH63">IF(AG63="N/A",0,1)</f>
        <v>0</v>
      </c>
      <c r="AI63" t="str" s="547" cm="1">
        <f t="array" ref="AI63">IF(B63/VLOOKUP(C48,'Boats Data Sheet 2026'!$C$3:$H$57,6,0)&gt;VLOOKUP(C48,'Allocation OH and Target 2026'!$C$3:$J$23,8,0),IF(SUM(AH50:AH62)=0,S63/B63,"N/A"),"N/A")</f>
        <v>N/A</v>
      </c>
      <c r="AJ63" s="424" cm="1">
        <f t="array" ref="AJ63">IF(AI63="N/A",0,1)</f>
        <v>0</v>
      </c>
      <c r="AK63" t="str" s="527" cm="1">
        <f t="array" ref="AK63">IF(SUM($AG$51:$AG$68)*B63&lt;SUM(AA63:AB63),"NO GO","GO")</f>
        <v>GO</v>
      </c>
      <c r="AL63" s="424"/>
      <c r="AM63" s="538"/>
      <c r="AN63" s="538"/>
      <c r="AO63" s="538"/>
      <c r="AP63" s="542"/>
      <c r="AQ63" s="543" cm="1">
        <f t="array" ref="AQ63">B63</f>
        <v>13</v>
      </c>
      <c r="AR63" s="18"/>
    </row>
    <row r="64" ht="16" customHeight="1">
      <c r="A64" s="12"/>
      <c r="B64" s="544" cm="1">
        <f t="array" ref="B64">IF(B63=0,0,IF(B63&lt;VLOOKUP(C48,'Boats Data Sheet 2026'!$C$3:$H$57,6,0),B63+1,0))</f>
        <v>0</v>
      </c>
      <c r="C64" t="str" s="547" cm="1">
        <f t="array" ref="C64">IF(B64&gt;0,IF(VLOOKUP(C48,'Boats Data Sheet 2026'!$C$3:$J$57,8,0)="N/A",0,VLOOKUP(C48,'Boats Data Sheet 2026'!$C$3:$J$57,8,0)),"N/A")</f>
        <v>N/A</v>
      </c>
      <c r="D64" t="str" s="547" cm="1">
        <f t="array" ref="D64">IF(B64&gt;7,2,IF(B64=0,"N/A",1))</f>
        <v>N/A</v>
      </c>
      <c r="E64" t="str" s="547" cm="1">
        <f t="array" ref="E64">_xlfn.IFERROR(SUM('Direct Costs 2026'!$C$4:$C$5)*D64,"N/A")</f>
        <v>N/A</v>
      </c>
      <c r="F64" s="538" cm="1">
        <f t="array" ref="F64">_xlfn.IFERROR('Direct Costs 2026'!$C$43*B64,"N/A")</f>
        <v>0</v>
      </c>
      <c r="G64" t="str" s="547" cm="1">
        <f t="array" ref="G64">IF(B64&gt;0,'Direct Costs 2026'!$C$25,"N/A")</f>
        <v>N/A</v>
      </c>
      <c r="H64" t="str" s="547" cm="1">
        <f t="array" ref="H64">IF(B64&gt;0,'Direct Costs 2026'!$C$19+'Direct Costs 2026'!$C$18*B64,"N/A")</f>
        <v>N/A</v>
      </c>
      <c r="I64" s="538">
        <v>0</v>
      </c>
      <c r="J64" t="str" s="547" cm="1">
        <f t="array" ref="J64">IF(B64&gt;0,'Direct Costs 2026'!$C$22,"N/A")</f>
        <v>N/A</v>
      </c>
      <c r="K64" t="str" s="547" cm="1">
        <f t="array" ref="K64">IF(B64&gt;0,'Direct Costs 2026'!$C$15+'Direct Costs 2026'!$C$14,"N/A")</f>
        <v>N/A</v>
      </c>
      <c r="L64" t="str" s="547" cm="1">
        <f t="array" ref="L64">IF(B64&gt;0,'Direct Costs 2026'!$C$26,"N/A")</f>
        <v>N/A</v>
      </c>
      <c r="M64" t="str" s="547" cm="1">
        <f t="array" ref="M64">IF(B64&gt;0,'Direct Costs 2026'!$C$23,"N/A")</f>
        <v>N/A</v>
      </c>
      <c r="N64" t="str" s="547" cm="1">
        <f t="array" ref="N64">IF(B64&gt;0,'Direct Costs 2026'!$C$44*B64,"N/A")</f>
        <v>N/A</v>
      </c>
      <c r="O64" t="str" s="547" cm="1">
        <f t="array" ref="O64">IF(B64&gt;0,_xlfn.IFERROR(VLOOKUP(C48,'Boats Data Sheet 2026'!$C$3:$I$57,7,0)*'Direct Costs 2026'!$C$36,"N/A"),"N/A")</f>
        <v>N/A</v>
      </c>
      <c r="P64" t="str" s="547" cm="1">
        <f t="array" ref="P64">IF(B64&gt;0,IF(OR(VLOOKUP(C48,'Boats Data Sheet 2026'!$C$3:$F$57,4,0)="Own",VLOOKUP(C48,'Boats Data Sheet 2026'!$C$3:$F$57,4,0)="Management"),('Direct Costs 2026'!$C$37+'Direct Costs 2026'!$C$39),"N/A"),"N/A")</f>
        <v>N/A</v>
      </c>
      <c r="Q64" t="str" s="547" cm="1">
        <f t="array" ref="Q64">_xlfn.IFERROR(IF(B64&gt;5,IF(B64&gt;11,IF(B64&gt;15,4,3),2),IF(B64=0,"N/A",1))*SUM('Direct Costs 2026'!$C$67:$C$68),"N/A")</f>
        <v>N/A</v>
      </c>
      <c r="R64" t="str" s="547" cm="1">
        <f t="array" ref="R64">_xlfn.IFERROR('Direct Costs 2026'!$C$27*C64,"N/A")</f>
        <v>N/A</v>
      </c>
      <c r="S64" t="str" s="547" cm="1">
        <f t="array" ref="S64">_xlfn.IFERROR(C64+SUM(E64:R64),"N/A")</f>
        <v>N/A</v>
      </c>
      <c r="T64" s="424"/>
      <c r="U64" t="str" s="547" cm="1">
        <f t="array" ref="U64">IF(B64&gt;0,'Allocation OH and Target 2026'!$E$27,"N/A")</f>
        <v>N/A</v>
      </c>
      <c r="V64" t="str" s="547" cm="1">
        <f t="array" ref="V64">IF(B64&gt;0,'Allocation OH and Target 2026'!$E$28,"N/A")</f>
        <v>N/A</v>
      </c>
      <c r="W64" t="str" s="547" cm="1">
        <f t="array" ref="W64">IF(B64&gt;0,VLOOKUP(C48,'Allocation OH and Target 2026'!$C$3:$T$23,17,0),"N/A")</f>
        <v>N/A</v>
      </c>
      <c r="X64" t="str" s="547" cm="1">
        <f t="array" ref="X64">IF(B64&gt;0,VLOOKUP(C48,'Allocation OH and Target 2026'!$C$3:$T$23,18,0),"N/A")</f>
        <v>N/A</v>
      </c>
      <c r="Y64" t="str" s="547" cm="1">
        <f t="array" ref="Y64">_xlfn.IFERROR(B64*(V64+X64),"N/A")</f>
        <v>N/A</v>
      </c>
      <c r="Z64" s="424"/>
      <c r="AA64" t="str" s="547" cm="1">
        <f t="array" ref="AA64">_xlfn.IFERROR(Y64+S64,"N/A")</f>
        <v>N/A</v>
      </c>
      <c r="AB64" t="str" s="547" cm="1">
        <f t="array" ref="AB64">_xlfn.IFERROR(AA64*0.5%,"N/A")</f>
        <v>N/A</v>
      </c>
      <c r="AC64" t="str" s="547" cm="1">
        <f t="array" ref="AC64">_xlfn.IFERROR(AA64*25%,"N/A")</f>
        <v>N/A</v>
      </c>
      <c r="AD64" t="str" s="546" cm="1">
        <f t="array" ref="AD64">IF(B64&gt;0,SUM(AA64:AC64),"N/A")</f>
        <v>N/A</v>
      </c>
      <c r="AE64" t="str" s="547" cm="1">
        <f t="array" ref="AE64">_xlfn.IFERROR(AD64/B64,"N/A")</f>
        <v>N/A</v>
      </c>
      <c r="AF64" s="424"/>
      <c r="AG64" t="str" s="546" cm="1">
        <f t="array" ref="AG64">IF(B64/VLOOKUP(C48,'Boats Data Sheet 2026'!$C$3:$H$57,6,0)&gt;VLOOKUP(C48,'Allocation OH and Target 2026'!$C$3:$J$23,8,0),IF(SUM(AH50:AH63)=0,AE64,"N/A"),"N/A")</f>
        <v>N/A</v>
      </c>
      <c r="AH64" s="424" cm="1">
        <f t="array" ref="AH64">IF(AG64="N/A",0,1)</f>
        <v>0</v>
      </c>
      <c r="AI64" t="str" s="547" cm="1">
        <f t="array" ref="AI64">IF(B64/VLOOKUP(C48,'Boats Data Sheet 2026'!$C$3:$H$57,6,0)&gt;VLOOKUP(C48,'Allocation OH and Target 2026'!$C$3:$J$23,8,0),IF(SUM(AH50:AH63)=0,S64/B64,"N/A"),"N/A")</f>
        <v>N/A</v>
      </c>
      <c r="AJ64" s="424" cm="1">
        <f t="array" ref="AJ64">IF(AI64="N/A",0,1)</f>
        <v>0</v>
      </c>
      <c r="AK64" t="str" s="527" cm="1">
        <f t="array" ref="AK64">IF(SUM($AG$51:$AG$68)*B64&lt;SUM(AA64:AB64),"NO GO","GO")</f>
        <v>GO</v>
      </c>
      <c r="AL64" s="424"/>
      <c r="AM64" s="538"/>
      <c r="AN64" s="538"/>
      <c r="AO64" s="538"/>
      <c r="AP64" s="542"/>
      <c r="AQ64" s="543" cm="1">
        <f t="array" ref="AQ64">B64</f>
        <v>0</v>
      </c>
      <c r="AR64" s="18"/>
    </row>
    <row r="65" ht="16" customHeight="1">
      <c r="A65" s="12"/>
      <c r="B65" s="544" cm="1">
        <f t="array" ref="B65">IF(B64=0,0,IF(B64&lt;VLOOKUP(C48,'Boats Data Sheet 2026'!$C$3:$H$57,6,0),B64+1,0))</f>
        <v>0</v>
      </c>
      <c r="C65" t="str" s="547" cm="1">
        <f t="array" ref="C65">IF(B65&gt;0,IF(VLOOKUP(C48,'Boats Data Sheet 2026'!$C$3:$J$57,8,0)="N/A",0,VLOOKUP(C48,'Boats Data Sheet 2026'!$C$3:$J$57,8,0)),"N/A")</f>
        <v>N/A</v>
      </c>
      <c r="D65" t="str" s="547" cm="1">
        <f t="array" ref="D65">IF(B65&gt;7,2,IF(B65=0,"N/A",1))</f>
        <v>N/A</v>
      </c>
      <c r="E65" t="str" s="547" cm="1">
        <f t="array" ref="E65">_xlfn.IFERROR(SUM('Direct Costs 2026'!$C$4:$C$5)*D65,"N/A")</f>
        <v>N/A</v>
      </c>
      <c r="F65" s="538" cm="1">
        <f t="array" ref="F65">_xlfn.IFERROR('Direct Costs 2026'!$C$43*B65,"N/A")</f>
        <v>0</v>
      </c>
      <c r="G65" t="str" s="547" cm="1">
        <f t="array" ref="G65">IF(B65&gt;0,'Direct Costs 2026'!$C$25,"N/A")</f>
        <v>N/A</v>
      </c>
      <c r="H65" t="str" s="547" cm="1">
        <f t="array" ref="H65">IF(B65&gt;0,'Direct Costs 2026'!$C$19+'Direct Costs 2026'!$C$18*B65,"N/A")</f>
        <v>N/A</v>
      </c>
      <c r="I65" s="538">
        <v>0</v>
      </c>
      <c r="J65" t="str" s="547" cm="1">
        <f t="array" ref="J65">IF(B65&gt;0,'Direct Costs 2026'!$C$22,"N/A")</f>
        <v>N/A</v>
      </c>
      <c r="K65" t="str" s="547" cm="1">
        <f t="array" ref="K65">IF(B65&gt;0,'Direct Costs 2026'!$C$15+'Direct Costs 2026'!$C$14,"N/A")</f>
        <v>N/A</v>
      </c>
      <c r="L65" t="str" s="547" cm="1">
        <f t="array" ref="L65">IF(B65&gt;0,'Direct Costs 2026'!$C$26,"N/A")</f>
        <v>N/A</v>
      </c>
      <c r="M65" t="str" s="547" cm="1">
        <f t="array" ref="M65">IF(B65&gt;0,'Direct Costs 2026'!$C$23,"N/A")</f>
        <v>N/A</v>
      </c>
      <c r="N65" t="str" s="547" cm="1">
        <f t="array" ref="N65">IF(B65&gt;0,'Direct Costs 2026'!$C$44*B65,"N/A")</f>
        <v>N/A</v>
      </c>
      <c r="O65" t="str" s="547" cm="1">
        <f t="array" ref="O65">IF(B65&gt;0,_xlfn.IFERROR(VLOOKUP(C48,'Boats Data Sheet 2026'!$C$3:$I$57,7,0)*'Direct Costs 2026'!$C$36,"N/A"),"N/A")</f>
        <v>N/A</v>
      </c>
      <c r="P65" t="str" s="547" cm="1">
        <f t="array" ref="P65">IF(B65&gt;0,IF(OR(VLOOKUP(C48,'Boats Data Sheet 2026'!$C$3:$F$57,4,0)="Own",VLOOKUP(C48,'Boats Data Sheet 2026'!$C$3:$F$57,4,0)="Management"),('Direct Costs 2026'!$C$37+'Direct Costs 2026'!$C$39),"N/A"),"N/A")</f>
        <v>N/A</v>
      </c>
      <c r="Q65" t="str" s="547" cm="1">
        <f t="array" ref="Q65">_xlfn.IFERROR(IF(B65&gt;5,IF(B65&gt;11,IF(B65&gt;15,4,3),2),IF(B65=0,"N/A",1))*SUM('Direct Costs 2026'!$C$67:$C$68),"N/A")</f>
        <v>N/A</v>
      </c>
      <c r="R65" t="str" s="547" cm="1">
        <f t="array" ref="R65">_xlfn.IFERROR('Direct Costs 2026'!$C$27*C65,"N/A")</f>
        <v>N/A</v>
      </c>
      <c r="S65" t="str" s="547" cm="1">
        <f t="array" ref="S65">_xlfn.IFERROR(C65+SUM(E65:R65),"N/A")</f>
        <v>N/A</v>
      </c>
      <c r="T65" s="424"/>
      <c r="U65" t="str" s="547" cm="1">
        <f t="array" ref="U65">IF(B65&gt;0,'Allocation OH and Target 2026'!$E$27,"N/A")</f>
        <v>N/A</v>
      </c>
      <c r="V65" t="str" s="547" cm="1">
        <f t="array" ref="V65">IF(B65&gt;0,'Allocation OH and Target 2026'!$E$28,"N/A")</f>
        <v>N/A</v>
      </c>
      <c r="W65" t="str" s="547" cm="1">
        <f t="array" ref="W65">IF(B65&gt;0,VLOOKUP(C48,'Allocation OH and Target 2026'!$C$3:$T$23,17,0),"N/A")</f>
        <v>N/A</v>
      </c>
      <c r="X65" t="str" s="547" cm="1">
        <f t="array" ref="X65">IF(B65&gt;0,VLOOKUP(C48,'Allocation OH and Target 2026'!$C$3:$T$23,18,0),"N/A")</f>
        <v>N/A</v>
      </c>
      <c r="Y65" t="str" s="547" cm="1">
        <f t="array" ref="Y65">_xlfn.IFERROR(V65*B65+X65,"N/A")</f>
        <v>N/A</v>
      </c>
      <c r="Z65" s="424"/>
      <c r="AA65" t="str" s="547" cm="1">
        <f t="array" ref="AA65">_xlfn.IFERROR(Y65+S65,"N/A")</f>
        <v>N/A</v>
      </c>
      <c r="AB65" t="str" s="547" cm="1">
        <f t="array" ref="AB65">_xlfn.IFERROR(AA65*0.5%,"N/A")</f>
        <v>N/A</v>
      </c>
      <c r="AC65" t="str" s="547" cm="1">
        <f t="array" ref="AC65">_xlfn.IFERROR(AA65*25%,"N/A")</f>
        <v>N/A</v>
      </c>
      <c r="AD65" t="str" s="546" cm="1">
        <f t="array" ref="AD65">IF(B65&gt;0,SUM(AA65:AC65),"N/A")</f>
        <v>N/A</v>
      </c>
      <c r="AE65" t="str" s="547" cm="1">
        <f t="array" ref="AE65">_xlfn.IFERROR(AD65/B65,"N/A")</f>
        <v>N/A</v>
      </c>
      <c r="AF65" s="424"/>
      <c r="AG65" t="str" s="546" cm="1">
        <f t="array" ref="AG65">IF(B65/VLOOKUP(C48,'Boats Data Sheet 2026'!$C$3:$H$57,6,0)&gt;VLOOKUP(C48,'Allocation OH and Target 2026'!$C$3:$J$23,8,0),IF(SUM(AH50:AH64)=0,AE65,"N/A"),"N/A")</f>
        <v>N/A</v>
      </c>
      <c r="AH65" s="424" cm="1">
        <f t="array" ref="AH65">IF(AG65="N/A",0,1)</f>
        <v>0</v>
      </c>
      <c r="AI65" t="str" s="547" cm="1">
        <f t="array" ref="AI65">IF(B65/VLOOKUP(C48,'Boats Data Sheet 2026'!$C$3:$H$57,6,0)&gt;VLOOKUP(C48,'Allocation OH and Target 2026'!$C$3:$J$23,8,0),IF(SUM(AH50:AH64)=0,S65/B65,"N/A"),"N/A")</f>
        <v>N/A</v>
      </c>
      <c r="AJ65" s="424" cm="1">
        <f t="array" ref="AJ65">IF(AI65="N/A",0,1)</f>
        <v>0</v>
      </c>
      <c r="AK65" t="str" s="527" cm="1">
        <f t="array" ref="AK65">IF(SUM($AG$51:$AG$68)*B65&lt;SUM(AA65:AB65),"NO GO","GO")</f>
        <v>GO</v>
      </c>
      <c r="AL65" s="424"/>
      <c r="AM65" s="538"/>
      <c r="AN65" s="538"/>
      <c r="AO65" s="538"/>
      <c r="AP65" s="542"/>
      <c r="AQ65" s="543" cm="1">
        <f t="array" ref="AQ65">B65</f>
        <v>0</v>
      </c>
      <c r="AR65" s="18"/>
    </row>
    <row r="66" ht="16" customHeight="1">
      <c r="A66" s="12"/>
      <c r="B66" s="544" cm="1">
        <f t="array" ref="B66">IF(B65=0,0,IF(B65&lt;VLOOKUP(C48,'Boats Data Sheet 2026'!$C$3:$H$57,6,0),B65+1,0))</f>
        <v>0</v>
      </c>
      <c r="C66" t="str" s="547" cm="1">
        <f t="array" ref="C66">IF(B66&gt;0,IF(VLOOKUP(C48,'Boats Data Sheet 2026'!$C$3:$J$57,8,0)="N/A",0,VLOOKUP(C48,'Boats Data Sheet 2026'!$C$3:$J$57,8,0)),"N/A")</f>
        <v>N/A</v>
      </c>
      <c r="D66" t="str" s="547" cm="1">
        <f t="array" ref="D66">IF(B66&gt;7,2,IF(B66=0,"N/A",1))</f>
        <v>N/A</v>
      </c>
      <c r="E66" t="str" s="547" cm="1">
        <f t="array" ref="E66">_xlfn.IFERROR(SUM('Direct Costs 2026'!$C$4:$C$5)*D66,"N/A")</f>
        <v>N/A</v>
      </c>
      <c r="F66" s="538" cm="1">
        <f t="array" ref="F66">_xlfn.IFERROR('Direct Costs 2026'!$C$43*B66,"N/A")</f>
        <v>0</v>
      </c>
      <c r="G66" t="str" s="547" cm="1">
        <f t="array" ref="G66">IF(B66&gt;0,'Direct Costs 2026'!$C$25,"N/A")</f>
        <v>N/A</v>
      </c>
      <c r="H66" t="str" s="547" cm="1">
        <f t="array" ref="H66">IF(B66&gt;0,'Direct Costs 2026'!$C$19+'Direct Costs 2026'!$C$18*B66,"N/A")</f>
        <v>N/A</v>
      </c>
      <c r="I66" s="538">
        <v>0</v>
      </c>
      <c r="J66" t="str" s="547" cm="1">
        <f t="array" ref="J66">IF(B66&gt;0,'Direct Costs 2026'!$C$22,"N/A")</f>
        <v>N/A</v>
      </c>
      <c r="K66" t="str" s="547" cm="1">
        <f t="array" ref="K66">IF(B66&gt;0,'Direct Costs 2026'!$C$15+'Direct Costs 2026'!$C$14,"N/A")</f>
        <v>N/A</v>
      </c>
      <c r="L66" t="str" s="547" cm="1">
        <f t="array" ref="L66">IF(B66&gt;0,'Direct Costs 2026'!$C$26,"N/A")</f>
        <v>N/A</v>
      </c>
      <c r="M66" t="str" s="547" cm="1">
        <f t="array" ref="M66">IF(B66&gt;0,'Direct Costs 2026'!$C$23,"N/A")</f>
        <v>N/A</v>
      </c>
      <c r="N66" t="str" s="547" cm="1">
        <f t="array" ref="N66">IF(B66&gt;0,'Direct Costs 2026'!$C$44*B66,"N/A")</f>
        <v>N/A</v>
      </c>
      <c r="O66" t="str" s="547" cm="1">
        <f t="array" ref="O66">IF(B66&gt;0,_xlfn.IFERROR(VLOOKUP(C48,'Boats Data Sheet 2026'!$C$3:$I$57,7,0)*'Direct Costs 2026'!$C$36,"N/A"),"N/A")</f>
        <v>N/A</v>
      </c>
      <c r="P66" t="str" s="547" cm="1">
        <f t="array" ref="P66">IF(B66&gt;0,IF(OR(VLOOKUP(C48,'Boats Data Sheet 2026'!$C$3:$F$57,4,0)="Own",VLOOKUP(C48,'Boats Data Sheet 2026'!$C$3:$F$57,4,0)="Management"),('Direct Costs 2026'!$C$37+'Direct Costs 2026'!$C$39),"N/A"),"N/A")</f>
        <v>N/A</v>
      </c>
      <c r="Q66" t="str" s="547" cm="1">
        <f t="array" ref="Q66">_xlfn.IFERROR(IF(B66&gt;5,IF(B66&gt;11,IF(B66&gt;15,4,3),2),IF(B66=0,"N/A",1))*SUM('Direct Costs 2026'!$C$67:$C$68),"N/A")</f>
        <v>N/A</v>
      </c>
      <c r="R66" t="str" s="547" cm="1">
        <f t="array" ref="R66">_xlfn.IFERROR('Direct Costs 2026'!$C$27*C66,"N/A")</f>
        <v>N/A</v>
      </c>
      <c r="S66" t="str" s="547" cm="1">
        <f t="array" ref="S66">_xlfn.IFERROR(C66+SUM(E66:R66),"N/A")</f>
        <v>N/A</v>
      </c>
      <c r="T66" s="424"/>
      <c r="U66" t="str" s="547" cm="1">
        <f t="array" ref="U66">IF(B66&gt;0,'Allocation OH and Target 2026'!$E$27,"N/A")</f>
        <v>N/A</v>
      </c>
      <c r="V66" t="str" s="547" cm="1">
        <f t="array" ref="V66">IF(B66&gt;0,'Allocation OH and Target 2026'!$E$28,"N/A")</f>
        <v>N/A</v>
      </c>
      <c r="W66" t="str" s="547" cm="1">
        <f t="array" ref="W66">IF(B66&gt;0,VLOOKUP(C48,'Allocation OH and Target 2026'!$C$3:$T$23,17,0),"N/A")</f>
        <v>N/A</v>
      </c>
      <c r="X66" t="str" s="547" cm="1">
        <f t="array" ref="X66">IF(B66&gt;0,VLOOKUP(C48,'Allocation OH and Target 2026'!$C$3:$T$23,18,0),"N/A")</f>
        <v>N/A</v>
      </c>
      <c r="Y66" t="str" s="547" cm="1">
        <f t="array" ref="Y66">_xlfn.IFERROR(V66*B66+X66,"N/A")</f>
        <v>N/A</v>
      </c>
      <c r="Z66" s="424"/>
      <c r="AA66" t="str" s="547" cm="1">
        <f t="array" ref="AA66">_xlfn.IFERROR(Y66+S66,"N/A")</f>
        <v>N/A</v>
      </c>
      <c r="AB66" t="str" s="547" cm="1">
        <f t="array" ref="AB66">_xlfn.IFERROR(AA66*0.5%,"N/A")</f>
        <v>N/A</v>
      </c>
      <c r="AC66" t="str" s="547" cm="1">
        <f t="array" ref="AC66">_xlfn.IFERROR(AA66*25%,"N/A")</f>
        <v>N/A</v>
      </c>
      <c r="AD66" t="str" s="546" cm="1">
        <f t="array" ref="AD66">IF(B66&gt;0,SUM(AA66:AC66),"N/A")</f>
        <v>N/A</v>
      </c>
      <c r="AE66" t="str" s="547" cm="1">
        <f t="array" ref="AE66">_xlfn.IFERROR(AD66/B66,"N/A")</f>
        <v>N/A</v>
      </c>
      <c r="AF66" s="424"/>
      <c r="AG66" t="str" s="546" cm="1">
        <f t="array" ref="AG66">IF(B66/VLOOKUP(C48,'Boats Data Sheet 2026'!$C$3:$H$57,6,0)&gt;VLOOKUP(C48,'Allocation OH and Target 2026'!$C$3:$J$23,8,0),IF(SUM(AH50:AH65)=0,AE66,"N/A"),"N/A")</f>
        <v>N/A</v>
      </c>
      <c r="AH66" s="424" cm="1">
        <f t="array" ref="AH66">IF(AG66="N/A",0,1)</f>
        <v>0</v>
      </c>
      <c r="AI66" t="str" s="547" cm="1">
        <f t="array" ref="AI66">IF(B66/VLOOKUP(C48,'Boats Data Sheet 2026'!$C$3:$H$57,6,0)&gt;VLOOKUP(C48,'Allocation OH and Target 2026'!$C$3:$J$23,8,0),IF(SUM(AH50:AH65)=0,S66/B66,"N/A"),"N/A")</f>
        <v>N/A</v>
      </c>
      <c r="AJ66" s="424" cm="1">
        <f t="array" ref="AJ66">IF(AI66="N/A",0,1)</f>
        <v>0</v>
      </c>
      <c r="AK66" t="str" s="527" cm="1">
        <f t="array" ref="AK66">IF(SUM($AG$51:$AG$68)*B66&lt;SUM(AA66:AB66),"NO GO","GO")</f>
        <v>GO</v>
      </c>
      <c r="AL66" s="424"/>
      <c r="AM66" s="538"/>
      <c r="AN66" s="538"/>
      <c r="AO66" s="538"/>
      <c r="AP66" s="542"/>
      <c r="AQ66" s="543" cm="1">
        <f t="array" ref="AQ66">B66</f>
        <v>0</v>
      </c>
      <c r="AR66" s="18"/>
    </row>
    <row r="67" ht="16" customHeight="1">
      <c r="A67" s="12"/>
      <c r="B67" s="544" cm="1">
        <f t="array" ref="B67">IF(B66=0,0,IF(B66&lt;VLOOKUP(C48,'Boats Data Sheet 2026'!$C$3:$H$57,6,0),B66+1,0))</f>
        <v>0</v>
      </c>
      <c r="C67" t="str" s="547" cm="1">
        <f t="array" ref="C67">IF(B67&gt;0,IF(VLOOKUP(C48,'Boats Data Sheet 2026'!$C$3:$J$57,8,0)="N/A",0,VLOOKUP(C48,'Boats Data Sheet 2026'!$C$3:$J$57,8,0)),"N/A")</f>
        <v>N/A</v>
      </c>
      <c r="D67" t="str" s="547" cm="1">
        <f t="array" ref="D67">IF(B67&gt;7,2,IF(B67=0,"N/A",1))</f>
        <v>N/A</v>
      </c>
      <c r="E67" t="str" s="547" cm="1">
        <f t="array" ref="E67">_xlfn.IFERROR(SUM('Direct Costs 2026'!$C$4:$C$5)*D67,"N/A")</f>
        <v>N/A</v>
      </c>
      <c r="F67" s="538" cm="1">
        <f t="array" ref="F67">_xlfn.IFERROR('Direct Costs 2026'!$C$43*B67,"N/A")</f>
        <v>0</v>
      </c>
      <c r="G67" t="str" s="547" cm="1">
        <f t="array" ref="G67">IF(B67&gt;0,'Direct Costs 2026'!$C$25,"N/A")</f>
        <v>N/A</v>
      </c>
      <c r="H67" t="str" s="547" cm="1">
        <f t="array" ref="H67">IF(B67&gt;0,'Direct Costs 2026'!$C$19+'Direct Costs 2026'!$C$18*B67,"N/A")</f>
        <v>N/A</v>
      </c>
      <c r="I67" s="538">
        <v>0</v>
      </c>
      <c r="J67" t="str" s="547" cm="1">
        <f t="array" ref="J67">IF(B67&gt;0,'Direct Costs 2026'!$C$22,"N/A")</f>
        <v>N/A</v>
      </c>
      <c r="K67" t="str" s="547" cm="1">
        <f t="array" ref="K67">IF(B67&gt;0,'Direct Costs 2026'!$C$15+'Direct Costs 2026'!$C$14,"N/A")</f>
        <v>N/A</v>
      </c>
      <c r="L67" t="str" s="547" cm="1">
        <f t="array" ref="L67">IF(B67&gt;0,'Direct Costs 2026'!$C$26,"N/A")</f>
        <v>N/A</v>
      </c>
      <c r="M67" t="str" s="547" cm="1">
        <f t="array" ref="M67">IF(B67&gt;0,'Direct Costs 2026'!$C$23,"N/A")</f>
        <v>N/A</v>
      </c>
      <c r="N67" t="str" s="547" cm="1">
        <f t="array" ref="N67">IF(B67&gt;0,'Direct Costs 2026'!$C$44*B67,"N/A")</f>
        <v>N/A</v>
      </c>
      <c r="O67" t="str" s="547" cm="1">
        <f t="array" ref="O67">IF(B67&gt;0,_xlfn.IFERROR(VLOOKUP(C48,'Boats Data Sheet 2026'!$C$3:$I$57,7,0)*'Direct Costs 2026'!$C$36,"N/A"),"N/A")</f>
        <v>N/A</v>
      </c>
      <c r="P67" t="str" s="547" cm="1">
        <f t="array" ref="P67">IF(B67&gt;0,IF(OR(VLOOKUP(C48,'Boats Data Sheet 2026'!$C$3:$F$57,4,0)="Own",VLOOKUP(C48,'Boats Data Sheet 2026'!$C$3:$F$57,4,0)="Management"),('Direct Costs 2026'!$C$37+'Direct Costs 2026'!$C$39),"N/A"),"N/A")</f>
        <v>N/A</v>
      </c>
      <c r="Q67" t="str" s="547" cm="1">
        <f t="array" ref="Q67">_xlfn.IFERROR(IF(B67&gt;5,IF(B67&gt;11,IF(B67&gt;15,4,3),2),IF(B67=0,"N/A",1))*SUM('Direct Costs 2026'!$C$67:$C$68),"N/A")</f>
        <v>N/A</v>
      </c>
      <c r="R67" t="str" s="547" cm="1">
        <f t="array" ref="R67">_xlfn.IFERROR('Direct Costs 2026'!$C$27*C67,"N/A")</f>
        <v>N/A</v>
      </c>
      <c r="S67" t="str" s="547" cm="1">
        <f t="array" ref="S67">_xlfn.IFERROR(C67+SUM(E67:R67),"N/A")</f>
        <v>N/A</v>
      </c>
      <c r="T67" s="424"/>
      <c r="U67" t="str" s="547" cm="1">
        <f t="array" ref="U67">IF(B67&gt;0,'Allocation OH and Target 2026'!$E$27,"N/A")</f>
        <v>N/A</v>
      </c>
      <c r="V67" t="str" s="547" cm="1">
        <f t="array" ref="V67">IF(B67&gt;0,'Allocation OH and Target 2026'!$E$28,"N/A")</f>
        <v>N/A</v>
      </c>
      <c r="W67" t="str" s="547" cm="1">
        <f t="array" ref="W67">IF(B67&gt;0,VLOOKUP(C48,'Allocation OH and Target 2026'!$C$3:$T$23,17,0),"N/A")</f>
        <v>N/A</v>
      </c>
      <c r="X67" t="str" s="547" cm="1">
        <f t="array" ref="X67">IF(B67&gt;0,VLOOKUP(C48,'Allocation OH and Target 2026'!$C$3:$T$23,18,0),"N/A")</f>
        <v>N/A</v>
      </c>
      <c r="Y67" t="str" s="547" cm="1">
        <f t="array" ref="Y67">_xlfn.IFERROR(V67*B67+X67,"N/A")</f>
        <v>N/A</v>
      </c>
      <c r="Z67" s="424"/>
      <c r="AA67" t="str" s="547" cm="1">
        <f t="array" ref="AA67">_xlfn.IFERROR(Y67+S67,"N/A")</f>
        <v>N/A</v>
      </c>
      <c r="AB67" t="str" s="547" cm="1">
        <f t="array" ref="AB67">_xlfn.IFERROR(AA67*0.5%,"N/A")</f>
        <v>N/A</v>
      </c>
      <c r="AC67" t="str" s="547" cm="1">
        <f t="array" ref="AC67">_xlfn.IFERROR(AA67*25%,"N/A")</f>
        <v>N/A</v>
      </c>
      <c r="AD67" t="str" s="546" cm="1">
        <f t="array" ref="AD67">IF(B67&gt;0,SUM(AA67:AC67),"N/A")</f>
        <v>N/A</v>
      </c>
      <c r="AE67" t="str" s="547" cm="1">
        <f t="array" ref="AE67">_xlfn.IFERROR(AD67/B67,"N/A")</f>
        <v>N/A</v>
      </c>
      <c r="AF67" s="424"/>
      <c r="AG67" t="str" s="546" cm="1">
        <f t="array" ref="AG67">IF(B67/VLOOKUP(C48,'Boats Data Sheet 2026'!$C$3:$H$57,6,0)&gt;VLOOKUP(C48,'Allocation OH and Target 2026'!$C$3:$J$23,8,0),IF(SUM(AH50:AH66)=0,AE67,"N/A"),"N/A")</f>
        <v>N/A</v>
      </c>
      <c r="AH67" s="424" cm="1">
        <f t="array" ref="AH67">IF(AG67="N/A",0,1)</f>
        <v>0</v>
      </c>
      <c r="AI67" t="str" s="547" cm="1">
        <f t="array" ref="AI67">IF(B67/VLOOKUP(C48,'Boats Data Sheet 2026'!$C$3:$H$57,6,0)&gt;VLOOKUP(C48,'Allocation OH and Target 2026'!$C$3:$J$23,8,0),IF(SUM(AH50:AH66)=0,S67/B67,"N/A"),"N/A")</f>
        <v>N/A</v>
      </c>
      <c r="AJ67" s="424" cm="1">
        <f t="array" ref="AJ67">IF(AI67="N/A",0,1)</f>
        <v>0</v>
      </c>
      <c r="AK67" t="str" s="527" cm="1">
        <f t="array" ref="AK67">IF(SUM($AG$51:$AG$68)*B67&lt;SUM(AA67:AB67),"NO GO","GO")</f>
        <v>GO</v>
      </c>
      <c r="AL67" s="424"/>
      <c r="AM67" s="538"/>
      <c r="AN67" s="538"/>
      <c r="AO67" s="538"/>
      <c r="AP67" s="542"/>
      <c r="AQ67" s="543" cm="1">
        <f t="array" ref="AQ67">B67</f>
        <v>0</v>
      </c>
      <c r="AR67" s="18"/>
    </row>
    <row r="68" ht="15.5" customHeight="1">
      <c r="A68" s="12"/>
      <c r="B68" s="550" cm="1">
        <f t="array" ref="B68">IF(B67=0,0,IF(B67&lt;VLOOKUP(C48,'Boats Data Sheet 2026'!$C$3:$H$57,6,0),B67+1,0))</f>
        <v>0</v>
      </c>
      <c r="C68" t="str" s="551" cm="1">
        <f t="array" ref="C68">IF(B68&gt;0,IF(VLOOKUP(C48,'Boats Data Sheet 2026'!$C$3:$J$57,8,0)="N/A",0,VLOOKUP(C48,'Boats Data Sheet 2026'!$C$3:$J$57,8,0)),"N/A")</f>
        <v>N/A</v>
      </c>
      <c r="D68" t="str" s="551" cm="1">
        <f t="array" ref="D68">IF(B68&gt;7,2,IF(B68=0,"N/A",1))</f>
        <v>N/A</v>
      </c>
      <c r="E68" t="str" s="551" cm="1">
        <f t="array" ref="E68">_xlfn.IFERROR(SUM('Direct Costs 2026'!$C$4:$C$5)*D68,"N/A")</f>
        <v>N/A</v>
      </c>
      <c r="F68" s="552" cm="1">
        <f t="array" ref="F68">_xlfn.IFERROR('Direct Costs 2026'!$C$43*B68,"N/A")</f>
        <v>0</v>
      </c>
      <c r="G68" t="str" s="551" cm="1">
        <f t="array" ref="G68">IF(B68&gt;0,'Direct Costs 2026'!$C$25,"N/A")</f>
        <v>N/A</v>
      </c>
      <c r="H68" t="str" s="551" cm="1">
        <f t="array" ref="H68">IF(B68&gt;0,'Direct Costs 2026'!$C$19+'Direct Costs 2026'!$C$18*B68,"N/A")</f>
        <v>N/A</v>
      </c>
      <c r="I68" s="552">
        <v>0</v>
      </c>
      <c r="J68" t="str" s="551" cm="1">
        <f t="array" ref="J68">IF(B68&gt;0,'Direct Costs 2026'!$C$22,"N/A")</f>
        <v>N/A</v>
      </c>
      <c r="K68" t="str" s="551" cm="1">
        <f t="array" ref="K68">IF(B68&gt;0,'Direct Costs 2026'!$C$15+'Direct Costs 2026'!$C$14,"N/A")</f>
        <v>N/A</v>
      </c>
      <c r="L68" t="str" s="551" cm="1">
        <f t="array" ref="L68">IF(B68&gt;0,'Direct Costs 2026'!$C$26,"N/A")</f>
        <v>N/A</v>
      </c>
      <c r="M68" t="str" s="551" cm="1">
        <f t="array" ref="M68">IF(B68&gt;0,'Direct Costs 2026'!$C$23,"N/A")</f>
        <v>N/A</v>
      </c>
      <c r="N68" t="str" s="551" cm="1">
        <f t="array" ref="N68">IF(B68&gt;0,'Direct Costs 2026'!$C$44*B68,"N/A")</f>
        <v>N/A</v>
      </c>
      <c r="O68" t="str" s="551" cm="1">
        <f t="array" ref="O68">IF(B68&gt;0,_xlfn.IFERROR(VLOOKUP(C48,'Boats Data Sheet 2026'!$C$3:$I$57,7,0)*'Direct Costs 2026'!$C$36,"N/A"),"N/A")</f>
        <v>N/A</v>
      </c>
      <c r="P68" t="str" s="551" cm="1">
        <f t="array" ref="P68">IF(B68&gt;0,IF(OR(VLOOKUP(C48,'Boats Data Sheet 2026'!$C$3:$F$57,4,0)="Own",VLOOKUP(C48,'Boats Data Sheet 2026'!$C$3:$F$57,4,0)="Management"),('Direct Costs 2026'!$C$37+'Direct Costs 2026'!$C$39),"N/A"),"N/A")</f>
        <v>N/A</v>
      </c>
      <c r="Q68" t="str" s="551" cm="1">
        <f t="array" ref="Q68">_xlfn.IFERROR(IF(B68&gt;5,IF(B68&gt;11,IF(B68&gt;15,4,3),2),IF(B68=0,"N/A",1))*SUM('Direct Costs 2026'!$C$67:$C$68),"N/A")</f>
        <v>N/A</v>
      </c>
      <c r="R68" t="str" s="551" cm="1">
        <f t="array" ref="R68">_xlfn.IFERROR('Direct Costs 2026'!$C$27*C68,"N/A")</f>
        <v>N/A</v>
      </c>
      <c r="S68" t="str" s="551" cm="1">
        <f t="array" ref="S68">_xlfn.IFERROR(C68+SUM(E68:R68),"N/A")</f>
        <v>N/A</v>
      </c>
      <c r="T68" s="435"/>
      <c r="U68" t="str" s="551" cm="1">
        <f t="array" ref="U68">IF(B68&gt;0,'Allocation OH and Target 2026'!$E$27,"N/A")</f>
        <v>N/A</v>
      </c>
      <c r="V68" t="str" s="551" cm="1">
        <f t="array" ref="V68">IF(B68&gt;0,'Allocation OH and Target 2026'!$E$28,"N/A")</f>
        <v>N/A</v>
      </c>
      <c r="W68" t="str" s="551" cm="1">
        <f t="array" ref="W68">IF(B68&gt;0,VLOOKUP(C48,'Allocation OH and Target 2026'!$C$3:$T$23,17,0),"N/A")</f>
        <v>N/A</v>
      </c>
      <c r="X68" t="str" s="551" cm="1">
        <f t="array" ref="X68">IF(B68&gt;0,VLOOKUP(C48,'Allocation OH and Target 2026'!$C$3:$T$23,18,0),"N/A")</f>
        <v>N/A</v>
      </c>
      <c r="Y68" t="str" s="551" cm="1">
        <f t="array" ref="Y68">_xlfn.IFERROR(V68*B68+X68,"N/A")</f>
        <v>N/A</v>
      </c>
      <c r="Z68" s="435"/>
      <c r="AA68" t="str" s="551" cm="1">
        <f t="array" ref="AA68">_xlfn.IFERROR(Y68+S68,"N/A")</f>
        <v>N/A</v>
      </c>
      <c r="AB68" t="str" s="551" cm="1">
        <f t="array" ref="AB68">_xlfn.IFERROR(AA68*0.5%,"N/A")</f>
        <v>N/A</v>
      </c>
      <c r="AC68" t="str" s="551" cm="1">
        <f t="array" ref="AC68">_xlfn.IFERROR(AA68*25%,"N/A")</f>
        <v>N/A</v>
      </c>
      <c r="AD68" t="str" s="553" cm="1">
        <f t="array" ref="AD68">IF(B68&gt;0,SUM(AA68:AC68),"N/A")</f>
        <v>N/A</v>
      </c>
      <c r="AE68" t="str" s="551" cm="1">
        <f t="array" ref="AE68">_xlfn.IFERROR(AD68/B68,"N/A")</f>
        <v>N/A</v>
      </c>
      <c r="AF68" s="435"/>
      <c r="AG68" t="str" s="553" cm="1">
        <f t="array" ref="AG68">IF(B68/VLOOKUP(C48,'Boats Data Sheet 2026'!$C$3:$H$57,6,0)&gt;VLOOKUP(C48,'Allocation OH and Target 2026'!$C$3:$J$23,8,0),IF(SUM(AH50:AH67)=0,AE68,"N/A"),"N/A")</f>
        <v>N/A</v>
      </c>
      <c r="AH68" s="435" cm="1">
        <f t="array" ref="AH68">IF(AG68="N/A",0,1)</f>
        <v>0</v>
      </c>
      <c r="AI68" t="str" s="551" cm="1">
        <f t="array" ref="AI68">IF(B68/VLOOKUP(C48,'Boats Data Sheet 2026'!$C$3:$H$57,6,0)&gt;VLOOKUP(C48,'Allocation OH and Target 2026'!$C$3:$J$23,8,0),IF(SUM(AH50:AH67)=0,S68/B68,"N/A"),"N/A")</f>
        <v>N/A</v>
      </c>
      <c r="AJ68" s="435" cm="1">
        <f t="array" ref="AJ68">IF(AI68="N/A",0,1)</f>
        <v>0</v>
      </c>
      <c r="AK68" t="str" s="554" cm="1">
        <f t="array" ref="AK68">IF(SUM($AG$51:$AG$68)*B68&lt;SUM(AA68:AB68),"NO GO","GO")</f>
        <v>GO</v>
      </c>
      <c r="AL68" s="435"/>
      <c r="AM68" s="552"/>
      <c r="AN68" s="552"/>
      <c r="AO68" s="552"/>
      <c r="AP68" s="555"/>
      <c r="AQ68" s="543" cm="1">
        <f t="array" ref="AQ68">B68</f>
        <v>0</v>
      </c>
      <c r="AR68" s="18"/>
    </row>
    <row r="69" ht="15.5" customHeight="1">
      <c r="A69" s="32"/>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7"/>
      <c r="AR69" s="18"/>
    </row>
    <row r="70" ht="15.5" customHeight="1">
      <c r="A70" s="32"/>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17"/>
      <c r="AR70" s="18"/>
    </row>
    <row r="71" ht="15.5" customHeight="1">
      <c r="A71" s="395">
        <v>4</v>
      </c>
      <c r="B71" t="s" s="517">
        <v>506</v>
      </c>
      <c r="C71" t="s" s="518">
        <v>583</v>
      </c>
      <c r="D71" s="519"/>
      <c r="E71" s="519"/>
      <c r="F71" s="519"/>
      <c r="G71" s="519"/>
      <c r="H71" s="519"/>
      <c r="I71" s="519"/>
      <c r="J71" s="519"/>
      <c r="K71" s="519"/>
      <c r="L71" s="519"/>
      <c r="M71" s="519"/>
      <c r="N71" s="519"/>
      <c r="O71" s="519"/>
      <c r="P71" s="519"/>
      <c r="Q71" s="519"/>
      <c r="R71" s="519"/>
      <c r="S71" s="519"/>
      <c r="T71" s="399"/>
      <c r="U71" s="519"/>
      <c r="V71" s="519"/>
      <c r="W71" s="519"/>
      <c r="X71" s="519"/>
      <c r="Y71" s="519"/>
      <c r="Z71" s="399"/>
      <c r="AA71" s="519"/>
      <c r="AB71" s="519"/>
      <c r="AC71" s="519"/>
      <c r="AD71" s="519"/>
      <c r="AE71" s="519"/>
      <c r="AF71" s="399"/>
      <c r="AG71" s="521"/>
      <c r="AH71" s="399"/>
      <c r="AI71" s="519"/>
      <c r="AJ71" s="399"/>
      <c r="AK71" s="519"/>
      <c r="AL71" s="399"/>
      <c r="AM71" s="519"/>
      <c r="AN71" s="519"/>
      <c r="AO71" s="519"/>
      <c r="AP71" s="522"/>
      <c r="AQ71" s="16"/>
      <c r="AR71" s="18"/>
    </row>
    <row r="72" ht="16" customHeight="1">
      <c r="A72" s="12"/>
      <c r="B72" s="523"/>
      <c r="C72" t="s" s="524">
        <v>513</v>
      </c>
      <c r="D72" s="525"/>
      <c r="E72" s="525"/>
      <c r="F72" s="525"/>
      <c r="G72" s="525"/>
      <c r="H72" s="525"/>
      <c r="I72" s="525"/>
      <c r="J72" s="525"/>
      <c r="K72" s="525"/>
      <c r="L72" s="525"/>
      <c r="M72" s="525"/>
      <c r="N72" s="525"/>
      <c r="O72" s="525"/>
      <c r="P72" s="525"/>
      <c r="Q72" s="525"/>
      <c r="R72" s="525"/>
      <c r="S72" s="526"/>
      <c r="T72" s="407"/>
      <c r="U72" t="s" s="524">
        <v>514</v>
      </c>
      <c r="V72" s="525"/>
      <c r="W72" s="525"/>
      <c r="X72" s="525"/>
      <c r="Y72" s="526"/>
      <c r="Z72" s="407"/>
      <c r="AA72" t="s" s="524">
        <v>515</v>
      </c>
      <c r="AB72" s="525"/>
      <c r="AC72" s="525"/>
      <c r="AD72" s="525"/>
      <c r="AE72" s="526"/>
      <c r="AF72" s="410"/>
      <c r="AG72" s="527"/>
      <c r="AH72" s="410"/>
      <c r="AI72" s="528"/>
      <c r="AJ72" s="410"/>
      <c r="AK72" s="528"/>
      <c r="AL72" s="410"/>
      <c r="AM72" s="528"/>
      <c r="AN72" s="528"/>
      <c r="AO72" s="528"/>
      <c r="AP72" s="529"/>
      <c r="AQ72" s="16"/>
      <c r="AR72" s="18"/>
    </row>
    <row r="73" ht="48" customHeight="1">
      <c r="A73" s="12"/>
      <c r="B73" t="s" s="530">
        <v>517</v>
      </c>
      <c r="C73" t="s" s="531">
        <v>518</v>
      </c>
      <c r="D73" t="s" s="531">
        <v>519</v>
      </c>
      <c r="E73" t="s" s="531">
        <v>520</v>
      </c>
      <c r="F73" t="s" s="532">
        <v>521</v>
      </c>
      <c r="G73" t="s" s="532">
        <v>522</v>
      </c>
      <c r="H73" t="s" s="532">
        <v>524</v>
      </c>
      <c r="I73" t="s" s="532">
        <v>525</v>
      </c>
      <c r="J73" t="s" s="532">
        <v>556</v>
      </c>
      <c r="K73" t="s" s="532">
        <v>553</v>
      </c>
      <c r="L73" t="s" s="532">
        <v>526</v>
      </c>
      <c r="M73" t="s" s="532">
        <v>527</v>
      </c>
      <c r="N73" t="s" s="532">
        <v>528</v>
      </c>
      <c r="O73" t="s" s="532">
        <v>529</v>
      </c>
      <c r="P73" t="s" s="532">
        <v>530</v>
      </c>
      <c r="Q73" t="s" s="532">
        <v>572</v>
      </c>
      <c r="R73" t="s" s="532">
        <v>531</v>
      </c>
      <c r="S73" t="s" s="532">
        <v>532</v>
      </c>
      <c r="T73" s="556"/>
      <c r="U73" t="s" s="532">
        <v>533</v>
      </c>
      <c r="V73" t="s" s="532">
        <v>573</v>
      </c>
      <c r="W73" t="s" s="532">
        <v>534</v>
      </c>
      <c r="X73" t="s" s="532">
        <v>574</v>
      </c>
      <c r="Y73" t="s" s="532">
        <v>535</v>
      </c>
      <c r="Z73" s="556"/>
      <c r="AA73" t="s" s="532">
        <v>536</v>
      </c>
      <c r="AB73" t="s" s="532">
        <v>537</v>
      </c>
      <c r="AC73" t="s" s="532">
        <v>538</v>
      </c>
      <c r="AD73" t="s" s="532">
        <v>575</v>
      </c>
      <c r="AE73" t="s" s="532">
        <v>539</v>
      </c>
      <c r="AF73" s="557"/>
      <c r="AG73" t="s" s="532">
        <v>576</v>
      </c>
      <c r="AH73" s="557"/>
      <c r="AI73" t="s" s="532">
        <v>577</v>
      </c>
      <c r="AJ73" s="557"/>
      <c r="AK73" t="s" s="531">
        <v>578</v>
      </c>
      <c r="AL73" s="557"/>
      <c r="AM73" s="533"/>
      <c r="AN73" s="533"/>
      <c r="AO73" s="533"/>
      <c r="AP73" s="534"/>
      <c r="AQ73" s="16"/>
      <c r="AR73" s="18"/>
    </row>
    <row r="74" ht="16.5" customHeight="1">
      <c r="A74" s="12"/>
      <c r="B74" s="535">
        <v>1</v>
      </c>
      <c r="C74" s="536" cm="1">
        <f t="array" ref="C74">IF(B74&gt;0,IF(VLOOKUP(C71,'Boats Data Sheet 2026'!$C$3:$J$57,8,0)="N/A",0,VLOOKUP(C71,'Boats Data Sheet 2026'!$C$3:$J$57,8,0)),"N/A")</f>
        <v>6675000</v>
      </c>
      <c r="D74" s="537" cm="1">
        <f t="array" ref="D74">IF(B74&gt;7,2,IF(B74=0,"N/A",1))</f>
        <v>1</v>
      </c>
      <c r="E74" s="536" cm="1">
        <f t="array" ref="E74">_xlfn.IFERROR(SUM('Direct Costs 2026'!$C$4:$C$5)*D74,"N/A")</f>
        <v>875500</v>
      </c>
      <c r="F74" s="538" cm="1">
        <f t="array" ref="F74">_xlfn.IFERROR('Direct Costs 2026'!$C$43*B74,"N/A")</f>
        <v>6000</v>
      </c>
      <c r="G74" s="538" cm="1">
        <f t="array" ref="G74">IF(B74&gt;0,'Direct Costs 2026'!$C$25,"N/A")</f>
        <v>90000</v>
      </c>
      <c r="H74" s="538" cm="1">
        <f t="array" ref="H74">IF(B74&gt;0,'Direct Costs 2026'!$C$19+'Direct Costs 2026'!$C$18*B74,"N/A")</f>
        <v>110000</v>
      </c>
      <c r="I74" s="538">
        <v>0</v>
      </c>
      <c r="J74" s="538" cm="1">
        <f t="array" ref="J74">IF(B74&gt;0,'Direct Costs 2026'!$C$22,"N/A")</f>
        <v>200000</v>
      </c>
      <c r="K74" s="538" cm="1">
        <f t="array" ref="K74">IF(B74&gt;0,'Direct Costs 2026'!$C$15+'Direct Costs 2026'!$C$14,"N/A")</f>
        <v>230000</v>
      </c>
      <c r="L74" s="538" cm="1">
        <f t="array" ref="L74">IF(B74&gt;0,'Direct Costs 2026'!$C$26,"N/A")</f>
        <v>20000</v>
      </c>
      <c r="M74" s="538" cm="1">
        <f t="array" ref="M74">IF(B74&gt;0,'Direct Costs 2026'!$C$23,"N/A")</f>
        <v>140000</v>
      </c>
      <c r="N74" s="538" cm="1">
        <f t="array" ref="N74">IF(B74&gt;0,'Direct Costs 2026'!$C$44*B74,"N/A")</f>
        <v>110000</v>
      </c>
      <c r="O74" t="str" s="547" cm="1">
        <f t="array" ref="O74">IF(B74&gt;0,_xlfn.IFERROR(VLOOKUP(C71,'Boats Data Sheet 2026'!$C$3:$I$57,7,0)*'Direct Costs 2026'!$C$36,"N/A"),"N/A")</f>
        <v>N/A</v>
      </c>
      <c r="P74" t="str" s="547" cm="1">
        <f t="array" ref="P74">IF(B74&gt;0,IF(OR(VLOOKUP(C71,'Boats Data Sheet 2026'!$C$3:$F$57,4,0)="Own",VLOOKUP(C71,'Boats Data Sheet 2026'!$C$3:$F$57,4,0)="Management"),('Direct Costs 2026'!$C$37+'Direct Costs 2026'!$C$39),"N/A"),"N/A")</f>
        <v>N/A</v>
      </c>
      <c r="Q74" s="538" cm="1">
        <f t="array" ref="Q74">_xlfn.IFERROR(IF(B74&gt;5,IF(B74&gt;11,IF(B74&gt;15,4,3),2),IF(B74=0,"N/A",1))*SUM('Direct Costs 2026'!$C$67:$C$68),"N/A")</f>
        <v>489600</v>
      </c>
      <c r="R74" s="538" cm="1">
        <f t="array" ref="R74">_xlfn.IFERROR('Direct Costs 2026'!$C$27*C74,"N/A")</f>
        <v>133500</v>
      </c>
      <c r="S74" s="538" cm="1">
        <f t="array" ref="S74">_xlfn.IFERROR(C74+SUM(E74:R74),"N/A")</f>
        <v>9079600</v>
      </c>
      <c r="T74" s="424"/>
      <c r="U74" s="538" cm="1">
        <f t="array" ref="U74">IF(B74&gt;0,'Allocation OH and Target 2026'!$E$27,"N/A")</f>
        <v>2134447.30345641</v>
      </c>
      <c r="V74" s="538" cm="1">
        <f t="array" ref="V74">IF(B74&gt;0,'Allocation OH and Target 2026'!$E$28,"N/A")</f>
        <v>200042.323056976</v>
      </c>
      <c r="W74" s="538" cm="1">
        <f t="array" ref="W74">IF(B74&gt;0,VLOOKUP(C71,'Allocation OH and Target 2026'!$C$3:$T$23,17,0),"N/A")</f>
        <v>0</v>
      </c>
      <c r="X74" s="538" cm="1">
        <f t="array" ref="X74">IF(B74&gt;0,VLOOKUP(C71,'Allocation OH and Target 2026'!$C$3:$T$23,18,0),"N/A")</f>
        <v>0</v>
      </c>
      <c r="Y74" s="538" cm="1">
        <f t="array" ref="Y74">_xlfn.IFERROR(B74*(V74+X74),"N/A")</f>
        <v>200042.323056976</v>
      </c>
      <c r="Z74" s="424"/>
      <c r="AA74" s="538" cm="1">
        <f t="array" ref="AA74">_xlfn.IFERROR(Y74+S74,"N/A")</f>
        <v>9279642.323056979</v>
      </c>
      <c r="AB74" s="538" cm="1">
        <f t="array" ref="AB74">_xlfn.IFERROR(AA74*0.5%,"N/A")</f>
        <v>46398.2116152849</v>
      </c>
      <c r="AC74" s="538" cm="1">
        <f t="array" ref="AC74">_xlfn.IFERROR(AA74*25%,"N/A")</f>
        <v>2319910.58076425</v>
      </c>
      <c r="AD74" s="539" cm="1">
        <f t="array" ref="AD74">IF(B74&gt;0,SUM(AA74:AC74),"N/A")</f>
        <v>11645951.1154365</v>
      </c>
      <c r="AE74" s="538" cm="1">
        <f t="array" ref="AE74">_xlfn.IFERROR(AD74/B74,"N/A")</f>
        <v>11645951.1154365</v>
      </c>
      <c r="AF74" s="424"/>
      <c r="AG74" t="s" s="540">
        <v>14</v>
      </c>
      <c r="AH74" s="424" cm="1">
        <f t="array" ref="AH74">IF(AG74="N/A",0,1)</f>
        <v>0</v>
      </c>
      <c r="AI74" t="s" s="541">
        <v>14</v>
      </c>
      <c r="AJ74" s="424" cm="1">
        <f t="array" ref="AJ74">IF(AI74="N/A",0,1)</f>
        <v>0</v>
      </c>
      <c r="AK74" t="str" s="558" cm="1">
        <f t="array" ref="AK74">IF(SUM($AG$74:$AG$91)*B74&lt;SUM(AA74:AB74),"NO GO","GO")</f>
        <v>NO GO</v>
      </c>
      <c r="AL74" s="424"/>
      <c r="AM74" s="538"/>
      <c r="AN74" s="538"/>
      <c r="AO74" s="538"/>
      <c r="AP74" s="542"/>
      <c r="AQ74" s="543" cm="1">
        <f t="array" ref="AQ74">B74</f>
        <v>1</v>
      </c>
      <c r="AR74" s="18"/>
    </row>
    <row r="75" ht="16" customHeight="1">
      <c r="A75" s="12"/>
      <c r="B75" s="544" cm="1">
        <f t="array" ref="B75">IF(B74=0,0,IF(B74&lt;VLOOKUP(C71,'Boats Data Sheet 2026'!$C$3:$H$57,6,0),B74+1,0))</f>
        <v>2</v>
      </c>
      <c r="C75" s="538" cm="1">
        <f t="array" ref="C75">IF(B75&gt;0,IF(VLOOKUP(C71,'Boats Data Sheet 2026'!$C$3:$J$57,8,0)="N/A",0,VLOOKUP(C71,'Boats Data Sheet 2026'!$C$3:$J$57,8,0)),"N/A")</f>
        <v>6675000</v>
      </c>
      <c r="D75" s="545" cm="1">
        <f t="array" ref="D75">IF(B75&gt;7,2,IF(B75=0,"N/A",1))</f>
        <v>1</v>
      </c>
      <c r="E75" s="538" cm="1">
        <f t="array" ref="E75">_xlfn.IFERROR(SUM('Direct Costs 2026'!$C$4:$C$5)*D75,"N/A")</f>
        <v>875500</v>
      </c>
      <c r="F75" s="538" cm="1">
        <f t="array" ref="F75">_xlfn.IFERROR('Direct Costs 2026'!$C$43*B75,"N/A")</f>
        <v>12000</v>
      </c>
      <c r="G75" s="538" cm="1">
        <f t="array" ref="G75">IF(B75&gt;0,'Direct Costs 2026'!$C$25,"N/A")</f>
        <v>90000</v>
      </c>
      <c r="H75" s="538" cm="1">
        <f t="array" ref="H75">IF(B75&gt;0,'Direct Costs 2026'!$C$19+'Direct Costs 2026'!$C$18*B75,"N/A")</f>
        <v>145000</v>
      </c>
      <c r="I75" s="538">
        <v>0</v>
      </c>
      <c r="J75" s="538" cm="1">
        <f t="array" ref="J75">IF(B75&gt;0,'Direct Costs 2026'!$C$22,"N/A")</f>
        <v>200000</v>
      </c>
      <c r="K75" s="538" cm="1">
        <f t="array" ref="K75">IF(B75&gt;0,'Direct Costs 2026'!$C$15+'Direct Costs 2026'!$C$14,"N/A")</f>
        <v>230000</v>
      </c>
      <c r="L75" s="538" cm="1">
        <f t="array" ref="L75">IF(B75&gt;0,'Direct Costs 2026'!$C$26,"N/A")</f>
        <v>20000</v>
      </c>
      <c r="M75" s="538" cm="1">
        <f t="array" ref="M75">IF(B75&gt;0,'Direct Costs 2026'!$C$23,"N/A")</f>
        <v>140000</v>
      </c>
      <c r="N75" s="538" cm="1">
        <f t="array" ref="N75">IF(B75&gt;0,'Direct Costs 2026'!$C$44*B75,"N/A")</f>
        <v>220000</v>
      </c>
      <c r="O75" t="str" s="547" cm="1">
        <f t="array" ref="O75">IF(B75&gt;0,_xlfn.IFERROR(VLOOKUP(C71,'Boats Data Sheet 2026'!$C$3:$I$57,7,0)*'Direct Costs 2026'!$C$36,"N/A"),"N/A")</f>
        <v>N/A</v>
      </c>
      <c r="P75" t="str" s="547" cm="1">
        <f t="array" ref="P75">IF(B75&gt;0,IF(OR(VLOOKUP(C71,'Boats Data Sheet 2026'!$C$3:$F$57,4,0)="Own",VLOOKUP(C71,'Boats Data Sheet 2026'!$C$3:$F$57,4,0)="Management"),('Direct Costs 2026'!$C$37+'Direct Costs 2026'!$C$39),"N/A"),"N/A")</f>
        <v>N/A</v>
      </c>
      <c r="Q75" s="538" cm="1">
        <f t="array" ref="Q75">_xlfn.IFERROR(IF(B75&gt;5,IF(B75&gt;11,IF(B75&gt;15,4,3),2),IF(B75=0,"N/A",1))*SUM('Direct Costs 2026'!$C$67:$C$68),"N/A")</f>
        <v>489600</v>
      </c>
      <c r="R75" s="538" cm="1">
        <f t="array" ref="R75">_xlfn.IFERROR('Direct Costs 2026'!$C$27*C75,"N/A")</f>
        <v>133500</v>
      </c>
      <c r="S75" s="538" cm="1">
        <f t="array" ref="S75">_xlfn.IFERROR(C75+SUM(E75:R75),"N/A")</f>
        <v>9230600</v>
      </c>
      <c r="T75" s="424"/>
      <c r="U75" s="538" cm="1">
        <f t="array" ref="U75">IF(B75&gt;0,'Allocation OH and Target 2026'!$E$27,"N/A")</f>
        <v>2134447.30345641</v>
      </c>
      <c r="V75" s="538" cm="1">
        <f t="array" ref="V75">IF(B75&gt;0,'Allocation OH and Target 2026'!$E$28,"N/A")</f>
        <v>200042.323056976</v>
      </c>
      <c r="W75" s="538" cm="1">
        <f t="array" ref="W75">IF(B75&gt;0,VLOOKUP(C71,'Allocation OH and Target 2026'!$C$3:$T$23,17,0),"N/A")</f>
        <v>0</v>
      </c>
      <c r="X75" s="538" cm="1">
        <f t="array" ref="X75">IF(B75&gt;0,VLOOKUP(C71,'Allocation OH and Target 2026'!$C$3:$T$23,18,0),"N/A")</f>
        <v>0</v>
      </c>
      <c r="Y75" s="538" cm="1">
        <f t="array" ref="Y75">_xlfn.IFERROR(B75*(V75+X75),"N/A")</f>
        <v>400084.646113952</v>
      </c>
      <c r="Z75" s="424"/>
      <c r="AA75" s="538" cm="1">
        <f t="array" ref="AA75">_xlfn.IFERROR(Y75+S75,"N/A")</f>
        <v>9630684.646113951</v>
      </c>
      <c r="AB75" s="538" cm="1">
        <f t="array" ref="AB75">_xlfn.IFERROR(AA75*0.5%,"N/A")</f>
        <v>48153.4232305698</v>
      </c>
      <c r="AC75" s="538" cm="1">
        <f t="array" ref="AC75">_xlfn.IFERROR(AA75*25%,"N/A")</f>
        <v>2407671.16152849</v>
      </c>
      <c r="AD75" s="539" cm="1">
        <f t="array" ref="AD75">IF(B75&gt;0,SUM(AA75:AC75),"N/A")</f>
        <v>12086509.230873</v>
      </c>
      <c r="AE75" s="538" cm="1">
        <f t="array" ref="AE75">_xlfn.IFERROR(AD75/B75,"N/A")</f>
        <v>6043254.6154365</v>
      </c>
      <c r="AF75" s="424"/>
      <c r="AG75" t="str" s="546" cm="1">
        <f t="array" ref="AG75">IF(B75/VLOOKUP(C71,'Boats Data Sheet 2026'!$C$3:$H$57,6,0)&gt;VLOOKUP(C71,'Allocation OH and Target 2026'!$C$3:$J$23,8,0),IF(SUM(AH73:AH74)=0,AE75,"N/A"),"N/A")</f>
        <v>N/A</v>
      </c>
      <c r="AH75" s="424" cm="1">
        <f t="array" ref="AH75">IF(AG75="N/A",0,1)</f>
        <v>0</v>
      </c>
      <c r="AI75" t="str" s="547" cm="1">
        <f t="array" ref="AI75">IF(B75/VLOOKUP(C71,'Boats Data Sheet 2026'!$C$3:$H$57,6,0)&gt;VLOOKUP(C71,'Allocation OH and Target 2026'!$C$3:$J$23,8,0),IF(SUM(AH73:AH74)=0,S75/B75,"N/A"),"N/A")</f>
        <v>N/A</v>
      </c>
      <c r="AJ75" s="424" cm="1">
        <f t="array" ref="AJ75">IF(AI75="N/A",0,1)</f>
        <v>0</v>
      </c>
      <c r="AK75" t="str" s="527" cm="1">
        <f t="array" ref="AK75">IF(SUM($AG$74:$AG$91)*B75&lt;SUM(AA75:AB75),"NO GO","GO")</f>
        <v>NO GO</v>
      </c>
      <c r="AL75" s="424"/>
      <c r="AM75" s="538"/>
      <c r="AN75" s="538"/>
      <c r="AO75" s="538"/>
      <c r="AP75" s="542"/>
      <c r="AQ75" s="543" cm="1">
        <f t="array" ref="AQ75">B75</f>
        <v>2</v>
      </c>
      <c r="AR75" s="18"/>
    </row>
    <row r="76" ht="16" customHeight="1">
      <c r="A76" s="12"/>
      <c r="B76" s="544" cm="1">
        <f t="array" ref="B76">IF(B75=0,0,IF(B75&lt;VLOOKUP(C71,'Boats Data Sheet 2026'!$C$3:$H$57,6,0),B75+1,0))</f>
        <v>3</v>
      </c>
      <c r="C76" s="538" cm="1">
        <f t="array" ref="C76">IF(B76&gt;0,IF(VLOOKUP(C71,'Boats Data Sheet 2026'!$C$3:$J$57,8,0)="N/A",0,VLOOKUP(C71,'Boats Data Sheet 2026'!$C$3:$J$57,8,0)),"N/A")</f>
        <v>6675000</v>
      </c>
      <c r="D76" s="545" cm="1">
        <f t="array" ref="D76">IF(B76&gt;7,2,IF(B76=0,"N/A",1))</f>
        <v>1</v>
      </c>
      <c r="E76" s="538" cm="1">
        <f t="array" ref="E76">_xlfn.IFERROR(SUM('Direct Costs 2026'!$C$4:$C$5)*D76,"N/A")</f>
        <v>875500</v>
      </c>
      <c r="F76" s="538" cm="1">
        <f t="array" ref="F76">_xlfn.IFERROR('Direct Costs 2026'!$C$43*B76,"N/A")</f>
        <v>18000</v>
      </c>
      <c r="G76" s="538" cm="1">
        <f t="array" ref="G76">IF(B76&gt;0,'Direct Costs 2026'!$C$25,"N/A")</f>
        <v>90000</v>
      </c>
      <c r="H76" s="538" cm="1">
        <f t="array" ref="H76">IF(B76&gt;0,'Direct Costs 2026'!$C$19+'Direct Costs 2026'!$C$18*B76,"N/A")</f>
        <v>180000</v>
      </c>
      <c r="I76" s="538">
        <v>0</v>
      </c>
      <c r="J76" s="538" cm="1">
        <f t="array" ref="J76">IF(B76&gt;0,'Direct Costs 2026'!$C$22,"N/A")</f>
        <v>200000</v>
      </c>
      <c r="K76" s="538" cm="1">
        <f t="array" ref="K76">IF(B76&gt;0,'Direct Costs 2026'!$C$15+'Direct Costs 2026'!$C$14,"N/A")</f>
        <v>230000</v>
      </c>
      <c r="L76" s="538" cm="1">
        <f t="array" ref="L76">IF(B76&gt;0,'Direct Costs 2026'!$C$26,"N/A")</f>
        <v>20000</v>
      </c>
      <c r="M76" s="538" cm="1">
        <f t="array" ref="M76">IF(B76&gt;0,'Direct Costs 2026'!$C$23,"N/A")</f>
        <v>140000</v>
      </c>
      <c r="N76" s="538" cm="1">
        <f t="array" ref="N76">IF(B76&gt;0,'Direct Costs 2026'!$C$44*B76,"N/A")</f>
        <v>330000</v>
      </c>
      <c r="O76" t="str" s="547" cm="1">
        <f t="array" ref="O76">IF(B76&gt;0,_xlfn.IFERROR(VLOOKUP(C71,'Boats Data Sheet 2026'!$C$3:$I$57,7,0)*'Direct Costs 2026'!$C$36,"N/A"),"N/A")</f>
        <v>N/A</v>
      </c>
      <c r="P76" t="str" s="547" cm="1">
        <f t="array" ref="P76">IF(B76&gt;0,IF(OR(VLOOKUP(C71,'Boats Data Sheet 2026'!$C$3:$F$57,4,0)="Own",VLOOKUP(C71,'Boats Data Sheet 2026'!$C$3:$F$57,4,0)="Management"),('Direct Costs 2026'!$C$37+'Direct Costs 2026'!$C$39),"N/A"),"N/A")</f>
        <v>N/A</v>
      </c>
      <c r="Q76" s="538" cm="1">
        <f t="array" ref="Q76">_xlfn.IFERROR(IF(B76&gt;5,IF(B76&gt;11,IF(B76&gt;15,4,3),2),IF(B76=0,"N/A",1))*SUM('Direct Costs 2026'!$C$67:$C$68),"N/A")</f>
        <v>489600</v>
      </c>
      <c r="R76" s="538" cm="1">
        <f t="array" ref="R76">_xlfn.IFERROR('Direct Costs 2026'!$C$27*C76,"N/A")</f>
        <v>133500</v>
      </c>
      <c r="S76" s="538" cm="1">
        <f t="array" ref="S76">_xlfn.IFERROR(C76+SUM(E76:R76),"N/A")</f>
        <v>9381600</v>
      </c>
      <c r="T76" s="424"/>
      <c r="U76" s="538" cm="1">
        <f t="array" ref="U76">IF(B76&gt;0,'Allocation OH and Target 2026'!$E$27,"N/A")</f>
        <v>2134447.30345641</v>
      </c>
      <c r="V76" s="538" cm="1">
        <f t="array" ref="V76">IF(B76&gt;0,'Allocation OH and Target 2026'!$E$28,"N/A")</f>
        <v>200042.323056976</v>
      </c>
      <c r="W76" s="538" cm="1">
        <f t="array" ref="W76">IF(B76&gt;0,VLOOKUP(C71,'Allocation OH and Target 2026'!$C$3:$T$23,17,0),"N/A")</f>
        <v>0</v>
      </c>
      <c r="X76" s="538" cm="1">
        <f t="array" ref="X76">IF(B76&gt;0,VLOOKUP(C71,'Allocation OH and Target 2026'!$C$3:$T$23,18,0),"N/A")</f>
        <v>0</v>
      </c>
      <c r="Y76" s="538" cm="1">
        <f t="array" ref="Y76">_xlfn.IFERROR(B76*(V76+X76),"N/A")</f>
        <v>600126.969170928</v>
      </c>
      <c r="Z76" s="424"/>
      <c r="AA76" s="538" cm="1">
        <f t="array" ref="AA76">_xlfn.IFERROR(Y76+S76,"N/A")</f>
        <v>9981726.96917093</v>
      </c>
      <c r="AB76" s="538" cm="1">
        <f t="array" ref="AB76">_xlfn.IFERROR(AA76*0.5%,"N/A")</f>
        <v>49908.6348458547</v>
      </c>
      <c r="AC76" s="538" cm="1">
        <f t="array" ref="AC76">_xlfn.IFERROR(AA76*25%,"N/A")</f>
        <v>2495431.74229273</v>
      </c>
      <c r="AD76" s="539" cm="1">
        <f t="array" ref="AD76">IF(B76&gt;0,SUM(AA76:AC76),"N/A")</f>
        <v>12527067.3463095</v>
      </c>
      <c r="AE76" s="538" cm="1">
        <f t="array" ref="AE76">_xlfn.IFERROR(AD76/B76,"N/A")</f>
        <v>4175689.1154365</v>
      </c>
      <c r="AF76" s="424"/>
      <c r="AG76" t="str" s="546" cm="1">
        <f t="array" ref="AG76">IF(B76/VLOOKUP(C71,'Boats Data Sheet 2026'!$C$3:$H$57,6,0)&gt;VLOOKUP(C71,'Allocation OH and Target 2026'!$C$3:$J$23,8,0),IF(SUM(AH73:AH75)=0,AE76,"N/A"),"N/A")</f>
        <v>N/A</v>
      </c>
      <c r="AH76" s="424" cm="1">
        <f t="array" ref="AH76">IF(AG76="N/A",0,1)</f>
        <v>0</v>
      </c>
      <c r="AI76" t="str" s="547" cm="1">
        <f t="array" ref="AI76">IF(B76/VLOOKUP(C71,'Boats Data Sheet 2026'!$C$3:$H$57,6,0)&gt;VLOOKUP(C71,'Allocation OH and Target 2026'!$C$3:$J$23,8,0),IF(SUM(AH73:AH75)=0,S76/B76,"N/A"),"N/A")</f>
        <v>N/A</v>
      </c>
      <c r="AJ76" s="424" cm="1">
        <f t="array" ref="AJ76">IF(AI76="N/A",0,1)</f>
        <v>0</v>
      </c>
      <c r="AK76" t="str" s="527" cm="1">
        <f t="array" ref="AK76">IF(SUM($AG$74:$AG$91)*B76&lt;SUM(AA76:AB76),"NO GO","GO")</f>
        <v>NO GO</v>
      </c>
      <c r="AL76" s="424"/>
      <c r="AM76" s="538"/>
      <c r="AN76" s="538"/>
      <c r="AO76" s="538"/>
      <c r="AP76" s="542"/>
      <c r="AQ76" s="543" cm="1">
        <f t="array" ref="AQ76">B76</f>
        <v>3</v>
      </c>
      <c r="AR76" s="18"/>
    </row>
    <row r="77" ht="16" customHeight="1">
      <c r="A77" s="12"/>
      <c r="B77" s="544" cm="1">
        <f t="array" ref="B77">IF(B76=0,0,IF(B76&lt;VLOOKUP(C71,'Boats Data Sheet 2026'!$C$3:$H$57,6,0),B76+1,0))</f>
        <v>4</v>
      </c>
      <c r="C77" s="538" cm="1">
        <f t="array" ref="C77">IF(B77&gt;0,IF(VLOOKUP(C71,'Boats Data Sheet 2026'!$C$3:$J$57,8,0)="N/A",0,VLOOKUP(C71,'Boats Data Sheet 2026'!$C$3:$J$57,8,0)),"N/A")</f>
        <v>6675000</v>
      </c>
      <c r="D77" s="545" cm="1">
        <f t="array" ref="D77">IF(B77&gt;7,2,IF(B77=0,"N/A",1))</f>
        <v>1</v>
      </c>
      <c r="E77" s="538" cm="1">
        <f t="array" ref="E77">_xlfn.IFERROR(SUM('Direct Costs 2026'!$C$4:$C$5)*D77,"N/A")</f>
        <v>875500</v>
      </c>
      <c r="F77" s="538" cm="1">
        <f t="array" ref="F77">_xlfn.IFERROR('Direct Costs 2026'!$C$43*B77,"N/A")</f>
        <v>24000</v>
      </c>
      <c r="G77" s="538" cm="1">
        <f t="array" ref="G77">IF(B77&gt;0,'Direct Costs 2026'!$C$25,"N/A")</f>
        <v>90000</v>
      </c>
      <c r="H77" s="538" cm="1">
        <f t="array" ref="H77">IF(B77&gt;0,'Direct Costs 2026'!$C$19+'Direct Costs 2026'!$C$18*B77,"N/A")</f>
        <v>215000</v>
      </c>
      <c r="I77" s="538">
        <v>0</v>
      </c>
      <c r="J77" s="538" cm="1">
        <f t="array" ref="J77">IF(B77&gt;0,'Direct Costs 2026'!$C$22,"N/A")</f>
        <v>200000</v>
      </c>
      <c r="K77" s="538" cm="1">
        <f t="array" ref="K77">IF(B77&gt;0,'Direct Costs 2026'!$C$15+'Direct Costs 2026'!$C$14,"N/A")</f>
        <v>230000</v>
      </c>
      <c r="L77" s="538" cm="1">
        <f t="array" ref="L77">IF(B77&gt;0,'Direct Costs 2026'!$C$26,"N/A")</f>
        <v>20000</v>
      </c>
      <c r="M77" s="538" cm="1">
        <f t="array" ref="M77">IF(B77&gt;0,'Direct Costs 2026'!$C$23,"N/A")</f>
        <v>140000</v>
      </c>
      <c r="N77" s="538" cm="1">
        <f t="array" ref="N77">IF(B77&gt;0,'Direct Costs 2026'!$C$44*B77,"N/A")</f>
        <v>440000</v>
      </c>
      <c r="O77" t="str" s="547" cm="1">
        <f t="array" ref="O77">IF(B77&gt;0,_xlfn.IFERROR(VLOOKUP(C71,'Boats Data Sheet 2026'!$C$3:$I$57,7,0)*'Direct Costs 2026'!$C$36,"N/A"),"N/A")</f>
        <v>N/A</v>
      </c>
      <c r="P77" t="str" s="547" cm="1">
        <f t="array" ref="P77">IF(B77&gt;0,IF(OR(VLOOKUP(C71,'Boats Data Sheet 2026'!$C$3:$F$57,4,0)="Own",VLOOKUP(C71,'Boats Data Sheet 2026'!$C$3:$F$57,4,0)="Management"),('Direct Costs 2026'!$C$37+'Direct Costs 2026'!$C$39),"N/A"),"N/A")</f>
        <v>N/A</v>
      </c>
      <c r="Q77" s="538" cm="1">
        <f t="array" ref="Q77">_xlfn.IFERROR(IF(B77&gt;5,IF(B77&gt;11,IF(B77&gt;15,4,3),2),IF(B77=0,"N/A",1))*SUM('Direct Costs 2026'!$C$67:$C$68),"N/A")</f>
        <v>489600</v>
      </c>
      <c r="R77" s="538" cm="1">
        <f t="array" ref="R77">_xlfn.IFERROR('Direct Costs 2026'!$C$27*C77,"N/A")</f>
        <v>133500</v>
      </c>
      <c r="S77" s="538" cm="1">
        <f t="array" ref="S77">_xlfn.IFERROR(C77+SUM(E77:R77),"N/A")</f>
        <v>9532600</v>
      </c>
      <c r="T77" s="424"/>
      <c r="U77" s="538" cm="1">
        <f t="array" ref="U77">IF(B77&gt;0,'Allocation OH and Target 2026'!$E$27,"N/A")</f>
        <v>2134447.30345641</v>
      </c>
      <c r="V77" s="538" cm="1">
        <f t="array" ref="V77">IF(B77&gt;0,'Allocation OH and Target 2026'!$E$28,"N/A")</f>
        <v>200042.323056976</v>
      </c>
      <c r="W77" s="538" cm="1">
        <f t="array" ref="W77">IF(B77&gt;0,VLOOKUP(C71,'Allocation OH and Target 2026'!$C$3:$T$23,17,0),"N/A")</f>
        <v>0</v>
      </c>
      <c r="X77" s="538" cm="1">
        <f t="array" ref="X77">IF(B77&gt;0,VLOOKUP(C71,'Allocation OH and Target 2026'!$C$3:$T$23,18,0),"N/A")</f>
        <v>0</v>
      </c>
      <c r="Y77" s="538" cm="1">
        <f t="array" ref="Y77">_xlfn.IFERROR(B77*(V77+X77),"N/A")</f>
        <v>800169.292227904</v>
      </c>
      <c r="Z77" s="424"/>
      <c r="AA77" s="538" cm="1">
        <f t="array" ref="AA77">_xlfn.IFERROR(Y77+S77,"N/A")</f>
        <v>10332769.2922279</v>
      </c>
      <c r="AB77" s="538" cm="1">
        <f t="array" ref="AB77">_xlfn.IFERROR(AA77*0.5%,"N/A")</f>
        <v>51663.8464611395</v>
      </c>
      <c r="AC77" s="538" cm="1">
        <f t="array" ref="AC77">_xlfn.IFERROR(AA77*25%,"N/A")</f>
        <v>2583192.32305698</v>
      </c>
      <c r="AD77" s="539" cm="1">
        <f t="array" ref="AD77">IF(B77&gt;0,SUM(AA77:AC77),"N/A")</f>
        <v>12967625.461746</v>
      </c>
      <c r="AE77" s="538" cm="1">
        <f t="array" ref="AE77">_xlfn.IFERROR(AD77/B77,"N/A")</f>
        <v>3241906.3654365</v>
      </c>
      <c r="AF77" s="424"/>
      <c r="AG77" t="str" s="546" cm="1">
        <f t="array" ref="AG77">IF(B77/VLOOKUP(C71,'Boats Data Sheet 2026'!$C$3:$H$57,6,0)&gt;VLOOKUP(C71,'Allocation OH and Target 2026'!$C$3:$J$23,8,0),IF(SUM(AH73:AH76)=0,AE77,"N/A"),"N/A")</f>
        <v>N/A</v>
      </c>
      <c r="AH77" s="424" cm="1">
        <f t="array" ref="AH77">IF(AG77="N/A",0,1)</f>
        <v>0</v>
      </c>
      <c r="AI77" t="str" s="547" cm="1">
        <f t="array" ref="AI77">IF(B77/VLOOKUP(C71,'Boats Data Sheet 2026'!$C$3:$H$57,6,0)&gt;VLOOKUP(C71,'Allocation OH and Target 2026'!$C$3:$J$23,8,0),IF(SUM(AH73:AH76)=0,S77/B77,"N/A"),"N/A")</f>
        <v>N/A</v>
      </c>
      <c r="AJ77" s="424" cm="1">
        <f t="array" ref="AJ77">IF(AI77="N/A",0,1)</f>
        <v>0</v>
      </c>
      <c r="AK77" t="str" s="527" cm="1">
        <f t="array" ref="AK77">IF(SUM($AG$74:$AG$91)*B77&lt;SUM(AA77:AB77),"NO GO","GO")</f>
        <v>NO GO</v>
      </c>
      <c r="AL77" s="424"/>
      <c r="AM77" s="538"/>
      <c r="AN77" s="538"/>
      <c r="AO77" s="538"/>
      <c r="AP77" s="542"/>
      <c r="AQ77" s="543" cm="1">
        <f t="array" ref="AQ77">B77</f>
        <v>4</v>
      </c>
      <c r="AR77" s="18"/>
    </row>
    <row r="78" ht="16" customHeight="1">
      <c r="A78" s="12"/>
      <c r="B78" s="544" cm="1">
        <f t="array" ref="B78">IF(B77=0,0,IF(B77&lt;VLOOKUP(C71,'Boats Data Sheet 2026'!$C$3:$H$57,6,0),B77+1,0))</f>
        <v>5</v>
      </c>
      <c r="C78" s="538" cm="1">
        <f t="array" ref="C78">IF(B78&gt;0,IF(VLOOKUP(C71,'Boats Data Sheet 2026'!$C$3:$J$57,8,0)="N/A",0,VLOOKUP(C71,'Boats Data Sheet 2026'!$C$3:$J$57,8,0)),"N/A")</f>
        <v>6675000</v>
      </c>
      <c r="D78" s="545" cm="1">
        <f t="array" ref="D78">IF(B78&gt;7,2,IF(B78=0,"N/A",1))</f>
        <v>1</v>
      </c>
      <c r="E78" s="538" cm="1">
        <f t="array" ref="E78">_xlfn.IFERROR(SUM('Direct Costs 2026'!$C$4:$C$5)*D78,"N/A")</f>
        <v>875500</v>
      </c>
      <c r="F78" s="538" cm="1">
        <f t="array" ref="F78">_xlfn.IFERROR('Direct Costs 2026'!$C$43*B78,"N/A")</f>
        <v>30000</v>
      </c>
      <c r="G78" s="538" cm="1">
        <f t="array" ref="G78">IF(B78&gt;0,'Direct Costs 2026'!$C$25,"N/A")</f>
        <v>90000</v>
      </c>
      <c r="H78" s="538" cm="1">
        <f t="array" ref="H78">IF(B78&gt;0,'Direct Costs 2026'!$C$19+'Direct Costs 2026'!$C$18*B78,"N/A")</f>
        <v>250000</v>
      </c>
      <c r="I78" s="538">
        <v>0</v>
      </c>
      <c r="J78" s="538" cm="1">
        <f t="array" ref="J78">IF(B78&gt;0,'Direct Costs 2026'!$C$22,"N/A")</f>
        <v>200000</v>
      </c>
      <c r="K78" s="538" cm="1">
        <f t="array" ref="K78">IF(B78&gt;0,'Direct Costs 2026'!$C$15+'Direct Costs 2026'!$C$14,"N/A")</f>
        <v>230000</v>
      </c>
      <c r="L78" s="538" cm="1">
        <f t="array" ref="L78">IF(B78&gt;0,'Direct Costs 2026'!$C$26,"N/A")</f>
        <v>20000</v>
      </c>
      <c r="M78" s="538" cm="1">
        <f t="array" ref="M78">IF(B78&gt;0,'Direct Costs 2026'!$C$23,"N/A")</f>
        <v>140000</v>
      </c>
      <c r="N78" s="538" cm="1">
        <f t="array" ref="N78">IF(B78&gt;0,'Direct Costs 2026'!$C$44*B78,"N/A")</f>
        <v>550000</v>
      </c>
      <c r="O78" t="str" s="547" cm="1">
        <f t="array" ref="O78">IF(B78&gt;0,_xlfn.IFERROR(VLOOKUP(C71,'Boats Data Sheet 2026'!$C$3:$I$57,7,0)*'Direct Costs 2026'!$C$36,"N/A"),"N/A")</f>
        <v>N/A</v>
      </c>
      <c r="P78" t="str" s="547" cm="1">
        <f t="array" ref="P78">IF(B78&gt;0,IF(OR(VLOOKUP(C71,'Boats Data Sheet 2026'!$C$3:$F$57,4,0)="Own",VLOOKUP(C71,'Boats Data Sheet 2026'!$C$3:$F$57,4,0)="Management"),('Direct Costs 2026'!$C$37+'Direct Costs 2026'!$C$39),"N/A"),"N/A")</f>
        <v>N/A</v>
      </c>
      <c r="Q78" s="538" cm="1">
        <f t="array" ref="Q78">_xlfn.IFERROR(IF(B78&gt;5,IF(B78&gt;11,IF(B78&gt;15,4,3),2),IF(B78=0,"N/A",1))*SUM('Direct Costs 2026'!$C$67:$C$68),"N/A")</f>
        <v>489600</v>
      </c>
      <c r="R78" s="538" cm="1">
        <f t="array" ref="R78">_xlfn.IFERROR('Direct Costs 2026'!$C$27*C78,"N/A")</f>
        <v>133500</v>
      </c>
      <c r="S78" s="538" cm="1">
        <f t="array" ref="S78">_xlfn.IFERROR(C78+SUM(E78:R78),"N/A")</f>
        <v>9683600</v>
      </c>
      <c r="T78" s="424"/>
      <c r="U78" s="538" cm="1">
        <f t="array" ref="U78">IF(B78&gt;0,'Allocation OH and Target 2026'!$E$27,"N/A")</f>
        <v>2134447.30345641</v>
      </c>
      <c r="V78" s="538" cm="1">
        <f t="array" ref="V78">IF(B78&gt;0,'Allocation OH and Target 2026'!$E$28,"N/A")</f>
        <v>200042.323056976</v>
      </c>
      <c r="W78" s="538" cm="1">
        <f t="array" ref="W78">IF(B78&gt;0,VLOOKUP(C71,'Allocation OH and Target 2026'!$C$3:$T$23,17,0),"N/A")</f>
        <v>0</v>
      </c>
      <c r="X78" s="538" cm="1">
        <f t="array" ref="X78">IF(B78&gt;0,VLOOKUP(C71,'Allocation OH and Target 2026'!$C$3:$T$23,18,0),"N/A")</f>
        <v>0</v>
      </c>
      <c r="Y78" s="538" cm="1">
        <f t="array" ref="Y78">_xlfn.IFERROR(B78*(V78+X78),"N/A")</f>
        <v>1000211.61528488</v>
      </c>
      <c r="Z78" s="424"/>
      <c r="AA78" s="538" cm="1">
        <f t="array" ref="AA78">_xlfn.IFERROR(Y78+S78,"N/A")</f>
        <v>10683811.6152849</v>
      </c>
      <c r="AB78" s="538" cm="1">
        <f t="array" ref="AB78">_xlfn.IFERROR(AA78*0.5%,"N/A")</f>
        <v>53419.0580764245</v>
      </c>
      <c r="AC78" s="538" cm="1">
        <f t="array" ref="AC78">_xlfn.IFERROR(AA78*25%,"N/A")</f>
        <v>2670952.90382123</v>
      </c>
      <c r="AD78" s="539" cm="1">
        <f t="array" ref="AD78">IF(B78&gt;0,SUM(AA78:AC78),"N/A")</f>
        <v>13408183.5771826</v>
      </c>
      <c r="AE78" s="538" cm="1">
        <f t="array" ref="AE78">_xlfn.IFERROR(AD78/B78,"N/A")</f>
        <v>2681636.71543652</v>
      </c>
      <c r="AF78" s="424"/>
      <c r="AG78" t="str" s="546" cm="1">
        <f t="array" ref="AG78">IF(B78/VLOOKUP(C71,'Boats Data Sheet 2026'!$C$3:$H$57,6,0)&gt;VLOOKUP(C71,'Allocation OH and Target 2026'!$C$3:$J$23,8,0),IF(SUM(AH73:AH77)=0,AE78,"N/A"),"N/A")</f>
        <v>N/A</v>
      </c>
      <c r="AH78" s="424" cm="1">
        <f t="array" ref="AH78">IF(AG78="N/A",0,1)</f>
        <v>0</v>
      </c>
      <c r="AI78" t="str" s="547" cm="1">
        <f t="array" ref="AI78">IF(B78/VLOOKUP(C71,'Boats Data Sheet 2026'!$C$3:$H$57,6,0)&gt;VLOOKUP(C71,'Allocation OH and Target 2026'!$C$3:$J$23,8,0),IF(SUM(AH73:AH77)=0,S78/B78,"N/A"),"N/A")</f>
        <v>N/A</v>
      </c>
      <c r="AJ78" s="424" cm="1">
        <f t="array" ref="AJ78">IF(AI78="N/A",0,1)</f>
        <v>0</v>
      </c>
      <c r="AK78" t="str" s="527" cm="1">
        <f t="array" ref="AK78">IF(SUM($AG$74:$AG$91)*B78&lt;SUM(AA78:AB78),"NO GO","GO")</f>
        <v>NO GO</v>
      </c>
      <c r="AL78" s="424"/>
      <c r="AM78" s="538"/>
      <c r="AN78" s="538"/>
      <c r="AO78" s="538"/>
      <c r="AP78" s="542"/>
      <c r="AQ78" s="543" cm="1">
        <f t="array" ref="AQ78">B78</f>
        <v>5</v>
      </c>
      <c r="AR78" s="18"/>
    </row>
    <row r="79" ht="16" customHeight="1">
      <c r="A79" s="12"/>
      <c r="B79" s="544" cm="1">
        <f t="array" ref="B79">IF(B78=0,0,IF(B78&lt;VLOOKUP(C71,'Boats Data Sheet 2026'!$C$3:$H$57,6,0),B78+1,0))</f>
        <v>6</v>
      </c>
      <c r="C79" s="538" cm="1">
        <f t="array" ref="C79">IF(B79&gt;0,IF(VLOOKUP(C71,'Boats Data Sheet 2026'!$C$3:$J$57,8,0)="N/A",0,VLOOKUP(C71,'Boats Data Sheet 2026'!$C$3:$J$57,8,0)),"N/A")</f>
        <v>6675000</v>
      </c>
      <c r="D79" s="545" cm="1">
        <f t="array" ref="D79">IF(B79&gt;7,2,IF(B79=0,"N/A",1))</f>
        <v>1</v>
      </c>
      <c r="E79" s="538" cm="1">
        <f t="array" ref="E79">_xlfn.IFERROR(SUM('Direct Costs 2026'!$C$4:$C$5)*D79,"N/A")</f>
        <v>875500</v>
      </c>
      <c r="F79" s="538" cm="1">
        <f t="array" ref="F79">_xlfn.IFERROR('Direct Costs 2026'!$C$43*B79,"N/A")</f>
        <v>36000</v>
      </c>
      <c r="G79" s="538" cm="1">
        <f t="array" ref="G79">IF(B79&gt;0,'Direct Costs 2026'!$C$25,"N/A")</f>
        <v>90000</v>
      </c>
      <c r="H79" s="538" cm="1">
        <f t="array" ref="H79">IF(B79&gt;0,'Direct Costs 2026'!$C$19+'Direct Costs 2026'!$C$18*B79,"N/A")</f>
        <v>285000</v>
      </c>
      <c r="I79" s="538">
        <v>0</v>
      </c>
      <c r="J79" s="538" cm="1">
        <f t="array" ref="J79">IF(B79&gt;0,'Direct Costs 2026'!$C$22,"N/A")</f>
        <v>200000</v>
      </c>
      <c r="K79" s="538" cm="1">
        <f t="array" ref="K79">IF(B79&gt;0,'Direct Costs 2026'!$C$15+'Direct Costs 2026'!$C$14,"N/A")</f>
        <v>230000</v>
      </c>
      <c r="L79" s="538" cm="1">
        <f t="array" ref="L79">IF(B79&gt;0,'Direct Costs 2026'!$C$26,"N/A")</f>
        <v>20000</v>
      </c>
      <c r="M79" s="538" cm="1">
        <f t="array" ref="M79">IF(B79&gt;0,'Direct Costs 2026'!$C$23,"N/A")</f>
        <v>140000</v>
      </c>
      <c r="N79" s="538" cm="1">
        <f t="array" ref="N79">IF(B79&gt;0,'Direct Costs 2026'!$C$44*B79,"N/A")</f>
        <v>660000</v>
      </c>
      <c r="O79" t="str" s="547" cm="1">
        <f t="array" ref="O79">IF(B79&gt;0,_xlfn.IFERROR(VLOOKUP(C71,'Boats Data Sheet 2026'!$C$3:$I$57,7,0)*'Direct Costs 2026'!$C$36,"N/A"),"N/A")</f>
        <v>N/A</v>
      </c>
      <c r="P79" t="str" s="547" cm="1">
        <f t="array" ref="P79">IF(B79&gt;0,IF(OR(VLOOKUP(C71,'Boats Data Sheet 2026'!$C$3:$F$57,4,0)="Own",VLOOKUP(C71,'Boats Data Sheet 2026'!$C$3:$F$57,4,0)="Management"),('Direct Costs 2026'!$C$37+'Direct Costs 2026'!$C$39),"N/A"),"N/A")</f>
        <v>N/A</v>
      </c>
      <c r="Q79" s="538" cm="1">
        <f t="array" ref="Q79">_xlfn.IFERROR(IF(B79&gt;5,IF(B79&gt;11,IF(B79&gt;15,4,3),2),IF(B79=0,"N/A",1))*SUM('Direct Costs 2026'!$C$67:$C$68),"N/A")</f>
        <v>979200</v>
      </c>
      <c r="R79" s="538" cm="1">
        <f t="array" ref="R79">_xlfn.IFERROR('Direct Costs 2026'!$C$27*C79,"N/A")</f>
        <v>133500</v>
      </c>
      <c r="S79" s="538" cm="1">
        <f t="array" ref="S79">_xlfn.IFERROR(C79+SUM(E79:R79),"N/A")</f>
        <v>10324200</v>
      </c>
      <c r="T79" s="424"/>
      <c r="U79" s="538" cm="1">
        <f t="array" ref="U79">IF(B79&gt;0,'Allocation OH and Target 2026'!$E$27,"N/A")</f>
        <v>2134447.30345641</v>
      </c>
      <c r="V79" s="538" cm="1">
        <f t="array" ref="V79">IF(B79&gt;0,'Allocation OH and Target 2026'!$E$28,"N/A")</f>
        <v>200042.323056976</v>
      </c>
      <c r="W79" s="538" cm="1">
        <f t="array" ref="W79">IF(B79&gt;0,VLOOKUP(C71,'Allocation OH and Target 2026'!$C$3:$T$23,17,0),"N/A")</f>
        <v>0</v>
      </c>
      <c r="X79" s="538" cm="1">
        <f t="array" ref="X79">IF(B79&gt;0,VLOOKUP(C71,'Allocation OH and Target 2026'!$C$3:$T$23,18,0),"N/A")</f>
        <v>0</v>
      </c>
      <c r="Y79" s="538" cm="1">
        <f t="array" ref="Y79">_xlfn.IFERROR(B79*(V79+X79),"N/A")</f>
        <v>1200253.93834186</v>
      </c>
      <c r="Z79" s="424"/>
      <c r="AA79" s="538" cm="1">
        <f t="array" ref="AA79">_xlfn.IFERROR(Y79+S79,"N/A")</f>
        <v>11524453.9383419</v>
      </c>
      <c r="AB79" s="538" cm="1">
        <f t="array" ref="AB79">_xlfn.IFERROR(AA79*0.5%,"N/A")</f>
        <v>57622.2696917095</v>
      </c>
      <c r="AC79" s="538" cm="1">
        <f t="array" ref="AC79">_xlfn.IFERROR(AA79*25%,"N/A")</f>
        <v>2881113.48458548</v>
      </c>
      <c r="AD79" s="539" cm="1">
        <f t="array" ref="AD79">IF(B79&gt;0,SUM(AA79:AC79),"N/A")</f>
        <v>14463189.6926191</v>
      </c>
      <c r="AE79" s="538" cm="1">
        <f t="array" ref="AE79">_xlfn.IFERROR(AD79/B79,"N/A")</f>
        <v>2410531.61543652</v>
      </c>
      <c r="AF79" s="424"/>
      <c r="AG79" t="str" s="546" cm="1">
        <f t="array" ref="AG79">IF(B79/VLOOKUP(C71,'Boats Data Sheet 2026'!$C$3:$H$57,6,0)&gt;VLOOKUP(C71,'Allocation OH and Target 2026'!$C$3:$J$23,8,0),IF(SUM(AH73:AH78)=0,AE79,"N/A"),"N/A")</f>
        <v>N/A</v>
      </c>
      <c r="AH79" s="424" cm="1">
        <f t="array" ref="AH79">IF(AG79="N/A",0,1)</f>
        <v>0</v>
      </c>
      <c r="AI79" t="str" s="547" cm="1">
        <f t="array" ref="AI79">IF(B79/VLOOKUP(C71,'Boats Data Sheet 2026'!$C$3:$H$57,6,0)&gt;VLOOKUP(C71,'Allocation OH and Target 2026'!$C$3:$J$23,8,0),IF(SUM(AH73:AH78)=0,S79/B79,"N/A"),"N/A")</f>
        <v>N/A</v>
      </c>
      <c r="AJ79" s="424" cm="1">
        <f t="array" ref="AJ79">IF(AI79="N/A",0,1)</f>
        <v>0</v>
      </c>
      <c r="AK79" t="str" s="527" cm="1">
        <f t="array" ref="AK79">IF(SUM($AG$74:$AG$91)*B79&lt;SUM(AA79:AB79),"NO GO","GO")</f>
        <v>NO GO</v>
      </c>
      <c r="AL79" s="424"/>
      <c r="AM79" s="538"/>
      <c r="AN79" s="538"/>
      <c r="AO79" s="538"/>
      <c r="AP79" s="542"/>
      <c r="AQ79" s="543" cm="1">
        <f t="array" ref="AQ79">B79</f>
        <v>6</v>
      </c>
      <c r="AR79" s="18"/>
    </row>
    <row r="80" ht="16" customHeight="1">
      <c r="A80" s="12"/>
      <c r="B80" s="544" cm="1">
        <f t="array" ref="B80">IF(B79=0,0,IF(B79&lt;VLOOKUP(C71,'Boats Data Sheet 2026'!$C$3:$H$57,6,0),B79+1,0))</f>
        <v>7</v>
      </c>
      <c r="C80" s="538" cm="1">
        <f t="array" ref="C80">IF(B80&gt;0,IF(VLOOKUP(C71,'Boats Data Sheet 2026'!$C$3:$J$57,8,0)="N/A",0,VLOOKUP(C71,'Boats Data Sheet 2026'!$C$3:$J$57,8,0)),"N/A")</f>
        <v>6675000</v>
      </c>
      <c r="D80" s="545" cm="1">
        <f t="array" ref="D80">IF(B80&gt;7,2,IF(B80=0,"N/A",1))</f>
        <v>1</v>
      </c>
      <c r="E80" s="538" cm="1">
        <f t="array" ref="E80">_xlfn.IFERROR(SUM('Direct Costs 2026'!$C$4:$C$5)*D80,"N/A")</f>
        <v>875500</v>
      </c>
      <c r="F80" s="538" cm="1">
        <f t="array" ref="F80">_xlfn.IFERROR('Direct Costs 2026'!$C$43*B80,"N/A")</f>
        <v>42000</v>
      </c>
      <c r="G80" s="538" cm="1">
        <f t="array" ref="G80">IF(B80&gt;0,'Direct Costs 2026'!$C$25,"N/A")</f>
        <v>90000</v>
      </c>
      <c r="H80" s="538" cm="1">
        <f t="array" ref="H80">IF(B80&gt;0,'Direct Costs 2026'!$C$19+'Direct Costs 2026'!$C$18*B80,"N/A")</f>
        <v>320000</v>
      </c>
      <c r="I80" s="538">
        <v>0</v>
      </c>
      <c r="J80" s="538" cm="1">
        <f t="array" ref="J80">IF(B80&gt;0,'Direct Costs 2026'!$C$22,"N/A")</f>
        <v>200000</v>
      </c>
      <c r="K80" s="538" cm="1">
        <f t="array" ref="K80">IF(B80&gt;0,'Direct Costs 2026'!$C$15+'Direct Costs 2026'!$C$14,"N/A")</f>
        <v>230000</v>
      </c>
      <c r="L80" s="538" cm="1">
        <f t="array" ref="L80">IF(B80&gt;0,'Direct Costs 2026'!$C$26,"N/A")</f>
        <v>20000</v>
      </c>
      <c r="M80" s="538" cm="1">
        <f t="array" ref="M80">IF(B80&gt;0,'Direct Costs 2026'!$C$23,"N/A")</f>
        <v>140000</v>
      </c>
      <c r="N80" s="538" cm="1">
        <f t="array" ref="N80">IF(B80&gt;0,'Direct Costs 2026'!$C$44*B80,"N/A")</f>
        <v>770000</v>
      </c>
      <c r="O80" t="str" s="547" cm="1">
        <f t="array" ref="O80">IF(B80&gt;0,_xlfn.IFERROR(VLOOKUP(C71,'Boats Data Sheet 2026'!$C$3:$I$57,7,0)*'Direct Costs 2026'!$C$36,"N/A"),"N/A")</f>
        <v>N/A</v>
      </c>
      <c r="P80" t="str" s="547" cm="1">
        <f t="array" ref="P80">IF(B80&gt;0,IF(OR(VLOOKUP(C71,'Boats Data Sheet 2026'!$C$3:$F$57,4,0)="Own",VLOOKUP(C71,'Boats Data Sheet 2026'!$C$3:$F$57,4,0)="Management"),('Direct Costs 2026'!$C$37+'Direct Costs 2026'!$C$39),"N/A"),"N/A")</f>
        <v>N/A</v>
      </c>
      <c r="Q80" s="538" cm="1">
        <f t="array" ref="Q80">_xlfn.IFERROR(IF(B80&gt;5,IF(B80&gt;11,IF(B80&gt;15,4,3),2),IF(B80=0,"N/A",1))*SUM('Direct Costs 2026'!$C$67:$C$68),"N/A")</f>
        <v>979200</v>
      </c>
      <c r="R80" s="538" cm="1">
        <f t="array" ref="R80">_xlfn.IFERROR('Direct Costs 2026'!$C$27*C80,"N/A")</f>
        <v>133500</v>
      </c>
      <c r="S80" s="538" cm="1">
        <f t="array" ref="S80">_xlfn.IFERROR(C80+SUM(E80:R80),"N/A")</f>
        <v>10475200</v>
      </c>
      <c r="T80" s="424"/>
      <c r="U80" s="538" cm="1">
        <f t="array" ref="U80">IF(B80&gt;0,'Allocation OH and Target 2026'!$E$27,"N/A")</f>
        <v>2134447.30345641</v>
      </c>
      <c r="V80" s="538" cm="1">
        <f t="array" ref="V80">IF(B80&gt;0,'Allocation OH and Target 2026'!$E$28,"N/A")</f>
        <v>200042.323056976</v>
      </c>
      <c r="W80" s="538" cm="1">
        <f t="array" ref="W80">IF(B80&gt;0,VLOOKUP(C71,'Allocation OH and Target 2026'!$C$3:$T$23,17,0),"N/A")</f>
        <v>0</v>
      </c>
      <c r="X80" s="538" cm="1">
        <f t="array" ref="X80">IF(B80&gt;0,VLOOKUP(C71,'Allocation OH and Target 2026'!$C$3:$T$23,18,0),"N/A")</f>
        <v>0</v>
      </c>
      <c r="Y80" s="538" cm="1">
        <f t="array" ref="Y80">_xlfn.IFERROR(B80*(V80+X80),"N/A")</f>
        <v>1400296.26139883</v>
      </c>
      <c r="Z80" s="424"/>
      <c r="AA80" s="538" cm="1">
        <f t="array" ref="AA80">_xlfn.IFERROR(Y80+S80,"N/A")</f>
        <v>11875496.2613988</v>
      </c>
      <c r="AB80" s="538" cm="1">
        <f t="array" ref="AB80">_xlfn.IFERROR(AA80*0.5%,"N/A")</f>
        <v>59377.481306994</v>
      </c>
      <c r="AC80" s="538" cm="1">
        <f t="array" ref="AC80">_xlfn.IFERROR(AA80*25%,"N/A")</f>
        <v>2968874.0653497</v>
      </c>
      <c r="AD80" s="539" cm="1">
        <f t="array" ref="AD80">IF(B80&gt;0,SUM(AA80:AC80),"N/A")</f>
        <v>14903747.8080555</v>
      </c>
      <c r="AE80" s="538" cm="1">
        <f t="array" ref="AE80">_xlfn.IFERROR(AD80/B80,"N/A")</f>
        <v>2129106.82972221</v>
      </c>
      <c r="AF80" s="424"/>
      <c r="AG80" t="str" s="546" cm="1">
        <f t="array" ref="AG80">IF(B80/VLOOKUP(C71,'Boats Data Sheet 2026'!$C$3:$H$57,6,0)&gt;VLOOKUP(C71,'Allocation OH and Target 2026'!$C$3:$J$23,8,0),IF(SUM(AH73:AH79)=0,AE80,"N/A"),"N/A")</f>
        <v>N/A</v>
      </c>
      <c r="AH80" s="424" cm="1">
        <f t="array" ref="AH80">IF(AG80="N/A",0,1)</f>
        <v>0</v>
      </c>
      <c r="AI80" t="str" s="547" cm="1">
        <f t="array" ref="AI80">IF(B80/VLOOKUP(C71,'Boats Data Sheet 2026'!$C$3:$H$57,6,0)&gt;VLOOKUP(C71,'Allocation OH and Target 2026'!$C$3:$J$23,8,0),IF(SUM(AH73:AH79)=0,S80/B80,"N/A"),"N/A")</f>
        <v>N/A</v>
      </c>
      <c r="AJ80" s="424" cm="1">
        <f t="array" ref="AJ80">IF(AI80="N/A",0,1)</f>
        <v>0</v>
      </c>
      <c r="AK80" t="str" s="527" cm="1">
        <f t="array" ref="AK80">IF(SUM($AG$74:$AG$91)*B80&lt;SUM(AA80:AB80),"NO GO","GO")</f>
        <v>NO GO</v>
      </c>
      <c r="AL80" s="424"/>
      <c r="AM80" s="538"/>
      <c r="AN80" s="538"/>
      <c r="AO80" s="538"/>
      <c r="AP80" s="542"/>
      <c r="AQ80" s="543" cm="1">
        <f t="array" ref="AQ80">B80</f>
        <v>7</v>
      </c>
      <c r="AR80" s="18"/>
    </row>
    <row r="81" ht="16" customHeight="1">
      <c r="A81" s="12"/>
      <c r="B81" s="544" cm="1">
        <f t="array" ref="B81">IF(B80=0,0,IF(B80&lt;VLOOKUP(C71,'Boats Data Sheet 2026'!$C$3:$H$57,6,0),B80+1,0))</f>
        <v>8</v>
      </c>
      <c r="C81" s="538" cm="1">
        <f t="array" ref="C81">IF(B81&gt;0,IF(VLOOKUP(C71,'Boats Data Sheet 2026'!$C$3:$J$57,8,0)="N/A",0,VLOOKUP(C71,'Boats Data Sheet 2026'!$C$3:$J$57,8,0)),"N/A")</f>
        <v>6675000</v>
      </c>
      <c r="D81" s="545" cm="1">
        <f t="array" ref="D81">IF(B81&gt;7,2,IF(B81=0,"N/A",1))</f>
        <v>2</v>
      </c>
      <c r="E81" s="538" cm="1">
        <f t="array" ref="E81">_xlfn.IFERROR(SUM('Direct Costs 2026'!$C$4:$C$5)*D81,"N/A")</f>
        <v>1751000</v>
      </c>
      <c r="F81" s="538" cm="1">
        <f t="array" ref="F81">_xlfn.IFERROR('Direct Costs 2026'!$C$43*B81,"N/A")</f>
        <v>48000</v>
      </c>
      <c r="G81" s="538" cm="1">
        <f t="array" ref="G81">IF(B81&gt;0,'Direct Costs 2026'!$C$25,"N/A")</f>
        <v>90000</v>
      </c>
      <c r="H81" s="538" cm="1">
        <f t="array" ref="H81">IF(B81&gt;0,'Direct Costs 2026'!$C$19+'Direct Costs 2026'!$C$18*B81,"N/A")</f>
        <v>355000</v>
      </c>
      <c r="I81" s="538">
        <v>0</v>
      </c>
      <c r="J81" s="538" cm="1">
        <f t="array" ref="J81">IF(B81&gt;0,'Direct Costs 2026'!$C$22,"N/A")</f>
        <v>200000</v>
      </c>
      <c r="K81" s="538" cm="1">
        <f t="array" ref="K81">IF(B81&gt;0,'Direct Costs 2026'!$C$15+'Direct Costs 2026'!$C$14,"N/A")</f>
        <v>230000</v>
      </c>
      <c r="L81" s="538" cm="1">
        <f t="array" ref="L81">IF(B81&gt;0,'Direct Costs 2026'!$C$26,"N/A")</f>
        <v>20000</v>
      </c>
      <c r="M81" s="538" cm="1">
        <f t="array" ref="M81">IF(B81&gt;0,'Direct Costs 2026'!$C$23,"N/A")</f>
        <v>140000</v>
      </c>
      <c r="N81" s="538" cm="1">
        <f t="array" ref="N81">IF(B81&gt;0,'Direct Costs 2026'!$C$44*B81,"N/A")</f>
        <v>880000</v>
      </c>
      <c r="O81" t="str" s="547" cm="1">
        <f t="array" ref="O81">IF(B81&gt;0,_xlfn.IFERROR(VLOOKUP(C71,'Boats Data Sheet 2026'!$C$3:$I$57,7,0)*'Direct Costs 2026'!$C$36,"N/A"),"N/A")</f>
        <v>N/A</v>
      </c>
      <c r="P81" t="str" s="547" cm="1">
        <f t="array" ref="P81">IF(B81&gt;0,IF(OR(VLOOKUP(C71,'Boats Data Sheet 2026'!$C$3:$F$57,4,0)="Own",VLOOKUP(C71,'Boats Data Sheet 2026'!$C$3:$F$57,4,0)="Management"),('Direct Costs 2026'!$C$37+'Direct Costs 2026'!$C$39),"N/A"),"N/A")</f>
        <v>N/A</v>
      </c>
      <c r="Q81" s="538" cm="1">
        <f t="array" ref="Q81">_xlfn.IFERROR(IF(B81&gt;5,IF(B81&gt;11,IF(B81&gt;15,4,3),2),IF(B81=0,"N/A",1))*SUM('Direct Costs 2026'!$C$67:$C$68),"N/A")</f>
        <v>979200</v>
      </c>
      <c r="R81" s="538" cm="1">
        <f t="array" ref="R81">_xlfn.IFERROR('Direct Costs 2026'!$C$27*C81,"N/A")</f>
        <v>133500</v>
      </c>
      <c r="S81" s="538" cm="1">
        <f t="array" ref="S81">_xlfn.IFERROR(C81+SUM(E81:R81),"N/A")</f>
        <v>11501700</v>
      </c>
      <c r="T81" s="424"/>
      <c r="U81" s="538" cm="1">
        <f t="array" ref="U81">IF(B81&gt;0,'Allocation OH and Target 2026'!$E$27,"N/A")</f>
        <v>2134447.30345641</v>
      </c>
      <c r="V81" s="538" cm="1">
        <f t="array" ref="V81">IF(B81&gt;0,'Allocation OH and Target 2026'!$E$28,"N/A")</f>
        <v>200042.323056976</v>
      </c>
      <c r="W81" s="538" cm="1">
        <f t="array" ref="W81">IF(B81&gt;0,VLOOKUP(C71,'Allocation OH and Target 2026'!$C$3:$T$23,17,0),"N/A")</f>
        <v>0</v>
      </c>
      <c r="X81" s="538" cm="1">
        <f t="array" ref="X81">IF(B81&gt;0,VLOOKUP(C71,'Allocation OH and Target 2026'!$C$3:$T$23,18,0),"N/A")</f>
        <v>0</v>
      </c>
      <c r="Y81" s="538" cm="1">
        <f t="array" ref="Y81">_xlfn.IFERROR(B81*(V81+X81),"N/A")</f>
        <v>1600338.58445581</v>
      </c>
      <c r="Z81" s="424"/>
      <c r="AA81" s="538" cm="1">
        <f t="array" ref="AA81">_xlfn.IFERROR(Y81+S81,"N/A")</f>
        <v>13102038.5844558</v>
      </c>
      <c r="AB81" s="538" cm="1">
        <f t="array" ref="AB81">_xlfn.IFERROR(AA81*0.5%,"N/A")</f>
        <v>65510.192922279</v>
      </c>
      <c r="AC81" s="538" cm="1">
        <f t="array" ref="AC81">_xlfn.IFERROR(AA81*25%,"N/A")</f>
        <v>3275509.64611395</v>
      </c>
      <c r="AD81" s="539" cm="1">
        <f t="array" ref="AD81">IF(B81&gt;0,SUM(AA81:AC81),"N/A")</f>
        <v>16443058.423492</v>
      </c>
      <c r="AE81" s="538" cm="1">
        <f t="array" ref="AE81">_xlfn.IFERROR(AD81/B81,"N/A")</f>
        <v>2055382.3029365</v>
      </c>
      <c r="AF81" s="424"/>
      <c r="AG81" t="str" s="546" cm="1">
        <f t="array" ref="AG81">IF(B81/VLOOKUP(C71,'Boats Data Sheet 2026'!$C$3:$H$57,6,0)&gt;VLOOKUP(C71,'Allocation OH and Target 2026'!$C$3:$J$23,8,0),IF(SUM(AH73:AH80)=0,AE81,"N/A"),"N/A")</f>
        <v>N/A</v>
      </c>
      <c r="AH81" s="424" cm="1">
        <f t="array" ref="AH81">IF(AG81="N/A",0,1)</f>
        <v>0</v>
      </c>
      <c r="AI81" t="str" s="547" cm="1">
        <f t="array" ref="AI81">IF(B81/VLOOKUP(C71,'Boats Data Sheet 2026'!$C$3:$H$57,6,0)&gt;VLOOKUP(C71,'Allocation OH and Target 2026'!$C$3:$J$23,8,0),IF(SUM(AH73:AH80)=0,S81/B81,"N/A"),"N/A")</f>
        <v>N/A</v>
      </c>
      <c r="AJ81" s="424" cm="1">
        <f t="array" ref="AJ81">IF(AI81="N/A",0,1)</f>
        <v>0</v>
      </c>
      <c r="AK81" t="str" s="527" cm="1">
        <f t="array" ref="AK81">IF(SUM($AG$74:$AG$91)*B81&lt;SUM(AA81:AB81),"NO GO","GO")</f>
        <v>NO GO</v>
      </c>
      <c r="AL81" s="424"/>
      <c r="AM81" s="538"/>
      <c r="AN81" s="538"/>
      <c r="AO81" s="538"/>
      <c r="AP81" s="542"/>
      <c r="AQ81" s="543" cm="1">
        <f t="array" ref="AQ81">B81</f>
        <v>8</v>
      </c>
      <c r="AR81" s="18"/>
    </row>
    <row r="82" ht="16" customHeight="1">
      <c r="A82" s="12"/>
      <c r="B82" s="544" cm="1">
        <f t="array" ref="B82">IF(B81=0,0,IF(B81&lt;VLOOKUP(C71,'Boats Data Sheet 2026'!$C$3:$H$57,6,0),B81+1,0))</f>
        <v>9</v>
      </c>
      <c r="C82" s="538" cm="1">
        <f t="array" ref="C82">IF(B82&gt;0,IF(VLOOKUP(C71,'Boats Data Sheet 2026'!$C$3:$J$57,8,0)="N/A",0,VLOOKUP(C71,'Boats Data Sheet 2026'!$C$3:$J$57,8,0)),"N/A")</f>
        <v>6675000</v>
      </c>
      <c r="D82" s="545" cm="1">
        <f t="array" ref="D82">IF(B82&gt;7,2,IF(B82=0,"N/A",1))</f>
        <v>2</v>
      </c>
      <c r="E82" s="538" cm="1">
        <f t="array" ref="E82">_xlfn.IFERROR(SUM('Direct Costs 2026'!$C$4:$C$5)*D82,"N/A")</f>
        <v>1751000</v>
      </c>
      <c r="F82" s="538" cm="1">
        <f t="array" ref="F82">_xlfn.IFERROR('Direct Costs 2026'!$C$43*B82,"N/A")</f>
        <v>54000</v>
      </c>
      <c r="G82" s="538" cm="1">
        <f t="array" ref="G82">IF(B82&gt;0,'Direct Costs 2026'!$C$25,"N/A")</f>
        <v>90000</v>
      </c>
      <c r="H82" s="538" cm="1">
        <f t="array" ref="H82">IF(B82&gt;0,'Direct Costs 2026'!$C$19+'Direct Costs 2026'!$C$18*B82,"N/A")</f>
        <v>390000</v>
      </c>
      <c r="I82" s="538">
        <v>0</v>
      </c>
      <c r="J82" s="538" cm="1">
        <f t="array" ref="J82">IF(B82&gt;0,'Direct Costs 2026'!$C$22,"N/A")</f>
        <v>200000</v>
      </c>
      <c r="K82" s="538" cm="1">
        <f t="array" ref="K82">IF(B82&gt;0,'Direct Costs 2026'!$C$15+'Direct Costs 2026'!$C$14,"N/A")</f>
        <v>230000</v>
      </c>
      <c r="L82" s="538" cm="1">
        <f t="array" ref="L82">IF(B82&gt;0,'Direct Costs 2026'!$C$26,"N/A")</f>
        <v>20000</v>
      </c>
      <c r="M82" s="538" cm="1">
        <f t="array" ref="M82">IF(B82&gt;0,'Direct Costs 2026'!$C$23,"N/A")</f>
        <v>140000</v>
      </c>
      <c r="N82" s="538" cm="1">
        <f t="array" ref="N82">IF(B82&gt;0,'Direct Costs 2026'!$C$44*B82,"N/A")</f>
        <v>990000</v>
      </c>
      <c r="O82" t="str" s="547" cm="1">
        <f t="array" ref="O82">IF(B82&gt;0,_xlfn.IFERROR(VLOOKUP(C71,'Boats Data Sheet 2026'!$C$3:$I$57,7,0)*'Direct Costs 2026'!$C$36,"N/A"),"N/A")</f>
        <v>N/A</v>
      </c>
      <c r="P82" t="str" s="547" cm="1">
        <f t="array" ref="P82">IF(B82&gt;0,IF(OR(VLOOKUP(C71,'Boats Data Sheet 2026'!$C$3:$F$57,4,0)="Own",VLOOKUP(C71,'Boats Data Sheet 2026'!$C$3:$F$57,4,0)="Management"),('Direct Costs 2026'!$C$37+'Direct Costs 2026'!$C$39),"N/A"),"N/A")</f>
        <v>N/A</v>
      </c>
      <c r="Q82" s="538" cm="1">
        <f t="array" ref="Q82">_xlfn.IFERROR(IF(B82&gt;5,IF(B82&gt;11,IF(B82&gt;15,4,3),2),IF(B82=0,"N/A",1))*SUM('Direct Costs 2026'!$C$67:$C$68),"N/A")</f>
        <v>979200</v>
      </c>
      <c r="R82" s="538" cm="1">
        <f t="array" ref="R82">_xlfn.IFERROR('Direct Costs 2026'!$C$27*C82,"N/A")</f>
        <v>133500</v>
      </c>
      <c r="S82" s="538" cm="1">
        <f t="array" ref="S82">_xlfn.IFERROR(C82+SUM(E82:R82),"N/A")</f>
        <v>11652700</v>
      </c>
      <c r="T82" s="424"/>
      <c r="U82" s="538" cm="1">
        <f t="array" ref="U82">IF(B82&gt;0,'Allocation OH and Target 2026'!$E$27,"N/A")</f>
        <v>2134447.30345641</v>
      </c>
      <c r="V82" s="538" cm="1">
        <f t="array" ref="V82">IF(B82&gt;0,'Allocation OH and Target 2026'!$E$28,"N/A")</f>
        <v>200042.323056976</v>
      </c>
      <c r="W82" s="538" cm="1">
        <f t="array" ref="W82">IF(B82&gt;0,VLOOKUP(C71,'Allocation OH and Target 2026'!$C$3:$T$23,17,0),"N/A")</f>
        <v>0</v>
      </c>
      <c r="X82" s="538" cm="1">
        <f t="array" ref="X82">IF(B82&gt;0,VLOOKUP(C71,'Allocation OH and Target 2026'!$C$3:$T$23,18,0),"N/A")</f>
        <v>0</v>
      </c>
      <c r="Y82" s="538" cm="1">
        <f t="array" ref="Y82">_xlfn.IFERROR(B82*(V82+X82),"N/A")</f>
        <v>1800380.90751278</v>
      </c>
      <c r="Z82" s="424"/>
      <c r="AA82" s="538" cm="1">
        <f t="array" ref="AA82">_xlfn.IFERROR(Y82+S82,"N/A")</f>
        <v>13453080.9075128</v>
      </c>
      <c r="AB82" s="538" cm="1">
        <f t="array" ref="AB82">_xlfn.IFERROR(AA82*0.5%,"N/A")</f>
        <v>67265.404537564</v>
      </c>
      <c r="AC82" s="538" cm="1">
        <f t="array" ref="AC82">_xlfn.IFERROR(AA82*25%,"N/A")</f>
        <v>3363270.2268782</v>
      </c>
      <c r="AD82" s="539" cm="1">
        <f t="array" ref="AD82">IF(B82&gt;0,SUM(AA82:AC82),"N/A")</f>
        <v>16883616.5389286</v>
      </c>
      <c r="AE82" s="538" cm="1">
        <f t="array" ref="AE82">_xlfn.IFERROR(AD82/B82,"N/A")</f>
        <v>1875957.39321429</v>
      </c>
      <c r="AF82" s="424"/>
      <c r="AG82" t="str" s="546" cm="1">
        <f t="array" ref="AG82">IF(B82/VLOOKUP(C71,'Boats Data Sheet 2026'!$C$3:$H$57,6,0)&gt;VLOOKUP(C71,'Allocation OH and Target 2026'!$C$3:$J$23,8,0),IF(SUM(AH73:AH81)=0,AE82,"N/A"),"N/A")</f>
        <v>N/A</v>
      </c>
      <c r="AH82" s="424" cm="1">
        <f t="array" ref="AH82">IF(AG82="N/A",0,1)</f>
        <v>0</v>
      </c>
      <c r="AI82" t="str" s="547" cm="1">
        <f t="array" ref="AI82">IF(B82/VLOOKUP(C71,'Boats Data Sheet 2026'!$C$3:$H$57,6,0)&gt;VLOOKUP(C71,'Allocation OH and Target 2026'!$C$3:$J$23,8,0),IF(SUM(AH73:AH81)=0,S82/B82,"N/A"),"N/A")</f>
        <v>N/A</v>
      </c>
      <c r="AJ82" s="424" cm="1">
        <f t="array" ref="AJ82">IF(AI82="N/A",0,1)</f>
        <v>0</v>
      </c>
      <c r="AK82" t="str" s="527" cm="1">
        <f t="array" ref="AK82">IF(SUM($AG$74:$AG$91)*B82&lt;SUM(AA82:AB82),"NO GO","GO")</f>
        <v>GO</v>
      </c>
      <c r="AL82" s="424"/>
      <c r="AM82" s="538"/>
      <c r="AN82" s="538"/>
      <c r="AO82" s="538"/>
      <c r="AP82" s="542"/>
      <c r="AQ82" s="543" cm="1">
        <f t="array" ref="AQ82">B82</f>
        <v>9</v>
      </c>
      <c r="AR82" s="18"/>
    </row>
    <row r="83" ht="16" customHeight="1">
      <c r="A83" s="12"/>
      <c r="B83" s="544" cm="1">
        <f t="array" ref="B83">IF(B82=0,0,IF(B82&lt;VLOOKUP(C71,'Boats Data Sheet 2026'!$C$3:$H$57,6,0),B82+1,0))</f>
        <v>10</v>
      </c>
      <c r="C83" s="538" cm="1">
        <f t="array" ref="C83">IF(B83&gt;0,IF(VLOOKUP(C71,'Boats Data Sheet 2026'!$C$3:$J$57,8,0)="N/A",0,VLOOKUP(C71,'Boats Data Sheet 2026'!$C$3:$J$57,8,0)),"N/A")</f>
        <v>6675000</v>
      </c>
      <c r="D83" s="545" cm="1">
        <f t="array" ref="D83">IF(B83&gt;7,2,IF(B83=0,"N/A",1))</f>
        <v>2</v>
      </c>
      <c r="E83" s="538" cm="1">
        <f t="array" ref="E83">_xlfn.IFERROR(SUM('Direct Costs 2026'!$C$4:$C$5)*D83,"N/A")</f>
        <v>1751000</v>
      </c>
      <c r="F83" s="538" cm="1">
        <f t="array" ref="F83">_xlfn.IFERROR('Direct Costs 2026'!$C$43*B83,"N/A")</f>
        <v>60000</v>
      </c>
      <c r="G83" s="538" cm="1">
        <f t="array" ref="G83">IF(B83&gt;0,'Direct Costs 2026'!$C$25,"N/A")</f>
        <v>90000</v>
      </c>
      <c r="H83" s="538" cm="1">
        <f t="array" ref="H83">IF(B83&gt;0,'Direct Costs 2026'!$C$19+'Direct Costs 2026'!$C$18*B83,"N/A")</f>
        <v>425000</v>
      </c>
      <c r="I83" s="538">
        <v>0</v>
      </c>
      <c r="J83" s="538" cm="1">
        <f t="array" ref="J83">IF(B83&gt;0,'Direct Costs 2026'!$C$22,"N/A")</f>
        <v>200000</v>
      </c>
      <c r="K83" s="538" cm="1">
        <f t="array" ref="K83">IF(B83&gt;0,'Direct Costs 2026'!$C$15+'Direct Costs 2026'!$C$14,"N/A")</f>
        <v>230000</v>
      </c>
      <c r="L83" s="538" cm="1">
        <f t="array" ref="L83">IF(B83&gt;0,'Direct Costs 2026'!$C$26,"N/A")</f>
        <v>20000</v>
      </c>
      <c r="M83" s="538" cm="1">
        <f t="array" ref="M83">IF(B83&gt;0,'Direct Costs 2026'!$C$23,"N/A")</f>
        <v>140000</v>
      </c>
      <c r="N83" s="538" cm="1">
        <f t="array" ref="N83">IF(B83&gt;0,'Direct Costs 2026'!$C$44*B83,"N/A")</f>
        <v>1100000</v>
      </c>
      <c r="O83" t="str" s="547" cm="1">
        <f t="array" ref="O83">IF(B83&gt;0,_xlfn.IFERROR(VLOOKUP(C71,'Boats Data Sheet 2026'!$C$3:$I$57,7,0)*'Direct Costs 2026'!$C$36,"N/A"),"N/A")</f>
        <v>N/A</v>
      </c>
      <c r="P83" t="str" s="547" cm="1">
        <f t="array" ref="P83">IF(B83&gt;0,IF(OR(VLOOKUP(C71,'Boats Data Sheet 2026'!$C$3:$F$57,4,0)="Own",VLOOKUP(C71,'Boats Data Sheet 2026'!$C$3:$F$57,4,0)="Management"),('Direct Costs 2026'!$C$37+'Direct Costs 2026'!$C$39),"N/A"),"N/A")</f>
        <v>N/A</v>
      </c>
      <c r="Q83" s="538" cm="1">
        <f t="array" ref="Q83">_xlfn.IFERROR(IF(B83&gt;5,IF(B83&gt;11,IF(B83&gt;15,4,3),2),IF(B83=0,"N/A",1))*SUM('Direct Costs 2026'!$C$67:$C$68),"N/A")</f>
        <v>979200</v>
      </c>
      <c r="R83" s="538" cm="1">
        <f t="array" ref="R83">_xlfn.IFERROR('Direct Costs 2026'!$C$27*C83,"N/A")</f>
        <v>133500</v>
      </c>
      <c r="S83" s="538" cm="1">
        <f t="array" ref="S83">_xlfn.IFERROR(C83+SUM(E83:R83),"N/A")</f>
        <v>11803700</v>
      </c>
      <c r="T83" s="424"/>
      <c r="U83" s="538" cm="1">
        <f t="array" ref="U83">IF(B83&gt;0,'Allocation OH and Target 2026'!$E$27,"N/A")</f>
        <v>2134447.30345641</v>
      </c>
      <c r="V83" s="538" cm="1">
        <f t="array" ref="V83">IF(B83&gt;0,'Allocation OH and Target 2026'!$E$28,"N/A")</f>
        <v>200042.323056976</v>
      </c>
      <c r="W83" s="538" cm="1">
        <f t="array" ref="W83">IF(B83&gt;0,VLOOKUP(C71,'Allocation OH and Target 2026'!$C$3:$T$23,17,0),"N/A")</f>
        <v>0</v>
      </c>
      <c r="X83" s="538" cm="1">
        <f t="array" ref="X83">IF(B83&gt;0,VLOOKUP(C71,'Allocation OH and Target 2026'!$C$3:$T$23,18,0),"N/A")</f>
        <v>0</v>
      </c>
      <c r="Y83" s="538" cm="1">
        <f t="array" ref="Y83">_xlfn.IFERROR(B83*(V83+X83),"N/A")</f>
        <v>2000423.23056976</v>
      </c>
      <c r="Z83" s="424"/>
      <c r="AA83" s="538" cm="1">
        <f t="array" ref="AA83">_xlfn.IFERROR(Y83+S83,"N/A")</f>
        <v>13804123.2305698</v>
      </c>
      <c r="AB83" s="538" cm="1">
        <f t="array" ref="AB83">_xlfn.IFERROR(AA83*0.5%,"N/A")</f>
        <v>69020.616152849</v>
      </c>
      <c r="AC83" s="538" cm="1">
        <f t="array" ref="AC83">_xlfn.IFERROR(AA83*25%,"N/A")</f>
        <v>3451030.80764245</v>
      </c>
      <c r="AD83" s="539" cm="1">
        <f t="array" ref="AD83">IF(B83&gt;0,SUM(AA83:AC83),"N/A")</f>
        <v>17324174.6543651</v>
      </c>
      <c r="AE83" s="538" cm="1">
        <f t="array" ref="AE83">_xlfn.IFERROR(AD83/B83,"N/A")</f>
        <v>1732417.46543651</v>
      </c>
      <c r="AF83" s="424"/>
      <c r="AG83" t="str" s="546" cm="1">
        <f t="array" ref="AG83">IF(B83/VLOOKUP(C71,'Boats Data Sheet 2026'!$C$3:$H$57,6,0)&gt;VLOOKUP(C71,'Allocation OH and Target 2026'!$C$3:$J$23,8,0),IF(SUM(AH73:AH82)=0,AE83,"N/A"),"N/A")</f>
        <v>N/A</v>
      </c>
      <c r="AH83" s="424" cm="1">
        <f t="array" ref="AH83">IF(AG83="N/A",0,1)</f>
        <v>0</v>
      </c>
      <c r="AI83" t="str" s="547" cm="1">
        <f t="array" ref="AI83">IF(B83/VLOOKUP(C71,'Boats Data Sheet 2026'!$C$3:$H$57,6,0)&gt;VLOOKUP(C71,'Allocation OH and Target 2026'!$C$3:$J$23,8,0),IF(SUM(AH73:AH82)=0,S83/B83,"N/A"),"N/A")</f>
        <v>N/A</v>
      </c>
      <c r="AJ83" s="424" cm="1">
        <f t="array" ref="AJ83">IF(AI83="N/A",0,1)</f>
        <v>0</v>
      </c>
      <c r="AK83" t="str" s="527" cm="1">
        <f t="array" ref="AK83">IF(SUM($AG$74:$AG$91)*B83&lt;SUM(AA83:AB83),"NO GO","GO")</f>
        <v>GO</v>
      </c>
      <c r="AL83" s="424"/>
      <c r="AM83" s="538"/>
      <c r="AN83" s="538"/>
      <c r="AO83" s="538"/>
      <c r="AP83" s="542"/>
      <c r="AQ83" s="543" cm="1">
        <f t="array" ref="AQ83">B83</f>
        <v>10</v>
      </c>
      <c r="AR83" s="18"/>
    </row>
    <row r="84" ht="16" customHeight="1">
      <c r="A84" s="12"/>
      <c r="B84" s="544" cm="1">
        <f t="array" ref="B84">IF(B83=0,0,IF(B83&lt;VLOOKUP(C71,'Boats Data Sheet 2026'!$C$3:$H$57,6,0),B83+1,0))</f>
        <v>11</v>
      </c>
      <c r="C84" s="538" cm="1">
        <f t="array" ref="C84">IF(B84&gt;0,IF(VLOOKUP(C71,'Boats Data Sheet 2026'!$C$3:$J$57,8,0)="N/A",0,VLOOKUP(C71,'Boats Data Sheet 2026'!$C$3:$J$57,8,0)),"N/A")</f>
        <v>6675000</v>
      </c>
      <c r="D84" s="545" cm="1">
        <f t="array" ref="D84">IF(B84&gt;7,2,IF(B84=0,"N/A",1))</f>
        <v>2</v>
      </c>
      <c r="E84" s="538" cm="1">
        <f t="array" ref="E84">_xlfn.IFERROR(SUM('Direct Costs 2026'!$C$4:$C$5)*D84,"N/A")</f>
        <v>1751000</v>
      </c>
      <c r="F84" s="538" cm="1">
        <f t="array" ref="F84">_xlfn.IFERROR('Direct Costs 2026'!$C$43*B84,"N/A")</f>
        <v>66000</v>
      </c>
      <c r="G84" s="538" cm="1">
        <f t="array" ref="G84">IF(B84&gt;0,'Direct Costs 2026'!$C$25,"N/A")</f>
        <v>90000</v>
      </c>
      <c r="H84" s="538" cm="1">
        <f t="array" ref="H84">IF(B84&gt;0,'Direct Costs 2026'!$C$19+'Direct Costs 2026'!$C$18*B84,"N/A")</f>
        <v>460000</v>
      </c>
      <c r="I84" s="538">
        <v>0</v>
      </c>
      <c r="J84" s="538" cm="1">
        <f t="array" ref="J84">IF(B84&gt;0,'Direct Costs 2026'!$C$22,"N/A")</f>
        <v>200000</v>
      </c>
      <c r="K84" s="538" cm="1">
        <f t="array" ref="K84">IF(B84&gt;0,'Direct Costs 2026'!$C$15+'Direct Costs 2026'!$C$14,"N/A")</f>
        <v>230000</v>
      </c>
      <c r="L84" s="538" cm="1">
        <f t="array" ref="L84">IF(B84&gt;0,'Direct Costs 2026'!$C$26,"N/A")</f>
        <v>20000</v>
      </c>
      <c r="M84" s="538" cm="1">
        <f t="array" ref="M84">IF(B84&gt;0,'Direct Costs 2026'!$C$23,"N/A")</f>
        <v>140000</v>
      </c>
      <c r="N84" s="538" cm="1">
        <f t="array" ref="N84">IF(B84&gt;0,'Direct Costs 2026'!$C$44*B84,"N/A")</f>
        <v>1210000</v>
      </c>
      <c r="O84" t="str" s="547" cm="1">
        <f t="array" ref="O84">IF(B84&gt;0,_xlfn.IFERROR(VLOOKUP(C71,'Boats Data Sheet 2026'!$C$3:$I$57,7,0)*'Direct Costs 2026'!$C$36,"N/A"),"N/A")</f>
        <v>N/A</v>
      </c>
      <c r="P84" t="str" s="547" cm="1">
        <f t="array" ref="P84">IF(B84&gt;0,IF(OR(VLOOKUP(C71,'Boats Data Sheet 2026'!$C$3:$F$57,4,0)="Own",VLOOKUP(C71,'Boats Data Sheet 2026'!$C$3:$F$57,4,0)="Management"),('Direct Costs 2026'!$C$37+'Direct Costs 2026'!$C$39),"N/A"),"N/A")</f>
        <v>N/A</v>
      </c>
      <c r="Q84" s="538" cm="1">
        <f t="array" ref="Q84">_xlfn.IFERROR(IF(B84&gt;5,IF(B84&gt;11,IF(B84&gt;15,4,3),2),IF(B84=0,"N/A",1))*SUM('Direct Costs 2026'!$C$67:$C$68),"N/A")</f>
        <v>979200</v>
      </c>
      <c r="R84" s="538" cm="1">
        <f t="array" ref="R84">_xlfn.IFERROR('Direct Costs 2026'!$C$27*C84,"N/A")</f>
        <v>133500</v>
      </c>
      <c r="S84" s="538" cm="1">
        <f t="array" ref="S84">_xlfn.IFERROR(C84+SUM(E84:R84),"N/A")</f>
        <v>11954700</v>
      </c>
      <c r="T84" s="424"/>
      <c r="U84" s="538" cm="1">
        <f t="array" ref="U84">IF(B84&gt;0,'Allocation OH and Target 2026'!$E$27,"N/A")</f>
        <v>2134447.30345641</v>
      </c>
      <c r="V84" s="538" cm="1">
        <f t="array" ref="V84">IF(B84&gt;0,'Allocation OH and Target 2026'!$E$28,"N/A")</f>
        <v>200042.323056976</v>
      </c>
      <c r="W84" s="538" cm="1">
        <f t="array" ref="W84">IF(B84&gt;0,VLOOKUP(C71,'Allocation OH and Target 2026'!$C$3:$T$23,17,0),"N/A")</f>
        <v>0</v>
      </c>
      <c r="X84" s="538" cm="1">
        <f t="array" ref="X84">IF(B84&gt;0,VLOOKUP(C71,'Allocation OH and Target 2026'!$C$3:$T$23,18,0),"N/A")</f>
        <v>0</v>
      </c>
      <c r="Y84" s="538" cm="1">
        <f t="array" ref="Y84">_xlfn.IFERROR(B84*(V84+X84),"N/A")</f>
        <v>2200465.55362674</v>
      </c>
      <c r="Z84" s="424"/>
      <c r="AA84" s="538" cm="1">
        <f t="array" ref="AA84">_xlfn.IFERROR(Y84+S84,"N/A")</f>
        <v>14155165.5536267</v>
      </c>
      <c r="AB84" s="538" cm="1">
        <f t="array" ref="AB84">_xlfn.IFERROR(AA84*0.5%,"N/A")</f>
        <v>70775.8277681335</v>
      </c>
      <c r="AC84" s="538" cm="1">
        <f t="array" ref="AC84">_xlfn.IFERROR(AA84*25%,"N/A")</f>
        <v>3538791.38840668</v>
      </c>
      <c r="AD84" s="539" cm="1">
        <f t="array" ref="AD84">IF(B84&gt;0,SUM(AA84:AC84),"N/A")</f>
        <v>17764732.7698015</v>
      </c>
      <c r="AE84" s="538" cm="1">
        <f t="array" ref="AE84">_xlfn.IFERROR(AD84/B84,"N/A")</f>
        <v>1614975.70634559</v>
      </c>
      <c r="AF84" s="424"/>
      <c r="AG84" t="str" s="546" cm="1">
        <f t="array" ref="AG84">IF(B84/VLOOKUP(C71,'Boats Data Sheet 2026'!$C$3:$H$57,6,0)&gt;VLOOKUP(C71,'Allocation OH and Target 2026'!$C$3:$J$23,8,0),IF(SUM(AH73:AH83)=0,AE84,"N/A"),"N/A")</f>
        <v>N/A</v>
      </c>
      <c r="AH84" s="424" cm="1">
        <f t="array" ref="AH84">IF(AG84="N/A",0,1)</f>
        <v>0</v>
      </c>
      <c r="AI84" t="str" s="547" cm="1">
        <f t="array" ref="AI84">IF(B84/VLOOKUP(C71,'Boats Data Sheet 2026'!$C$3:$H$57,6,0)&gt;VLOOKUP(C71,'Allocation OH and Target 2026'!$C$3:$J$23,8,0),IF(SUM(AH73:AH83)=0,S84/B84,"N/A"),"N/A")</f>
        <v>N/A</v>
      </c>
      <c r="AJ84" s="424" cm="1">
        <f t="array" ref="AJ84">IF(AI84="N/A",0,1)</f>
        <v>0</v>
      </c>
      <c r="AK84" t="str" s="527" cm="1">
        <f t="array" ref="AK84">IF(SUM($AG$74:$AG$91)*B84&lt;SUM(AA84:AB84),"NO GO","GO")</f>
        <v>GO</v>
      </c>
      <c r="AL84" s="424"/>
      <c r="AM84" s="538"/>
      <c r="AN84" s="538"/>
      <c r="AO84" s="538"/>
      <c r="AP84" s="542"/>
      <c r="AQ84" s="543" cm="1">
        <f t="array" ref="AQ84">B84</f>
        <v>11</v>
      </c>
      <c r="AR84" s="18"/>
    </row>
    <row r="85" ht="16" customHeight="1">
      <c r="A85" s="12"/>
      <c r="B85" s="544" cm="1">
        <f t="array" ref="B85">IF(B84=0,0,IF(B84&lt;VLOOKUP(C71,'Boats Data Sheet 2026'!$C$3:$H$57,6,0),B84+1,0))</f>
        <v>12</v>
      </c>
      <c r="C85" s="538" cm="1">
        <f t="array" ref="C85">IF(B85&gt;0,IF(VLOOKUP(C71,'Boats Data Sheet 2026'!$C$3:$J$57,8,0)="N/A",0,VLOOKUP(C71,'Boats Data Sheet 2026'!$C$3:$J$57,8,0)),"N/A")</f>
        <v>6675000</v>
      </c>
      <c r="D85" s="545" cm="1">
        <f t="array" ref="D85">IF(B85&gt;7,2,IF(B85=0,"N/A",1))</f>
        <v>2</v>
      </c>
      <c r="E85" s="538" cm="1">
        <f t="array" ref="E85">_xlfn.IFERROR(SUM('Direct Costs 2026'!$C$4:$C$5)*D85,"N/A")</f>
        <v>1751000</v>
      </c>
      <c r="F85" s="538" cm="1">
        <f t="array" ref="F85">_xlfn.IFERROR('Direct Costs 2026'!$C$43*B85,"N/A")</f>
        <v>72000</v>
      </c>
      <c r="G85" s="538" cm="1">
        <f t="array" ref="G85">IF(B85&gt;0,'Direct Costs 2026'!$C$25,"N/A")</f>
        <v>90000</v>
      </c>
      <c r="H85" s="538" cm="1">
        <f t="array" ref="H85">IF(B85&gt;0,'Direct Costs 2026'!$C$19+'Direct Costs 2026'!$C$18*B85,"N/A")</f>
        <v>495000</v>
      </c>
      <c r="I85" s="538">
        <v>0</v>
      </c>
      <c r="J85" s="538" cm="1">
        <f t="array" ref="J85">IF(B85&gt;0,'Direct Costs 2026'!$C$22,"N/A")</f>
        <v>200000</v>
      </c>
      <c r="K85" s="538" cm="1">
        <f t="array" ref="K85">IF(B85&gt;0,'Direct Costs 2026'!$C$15+'Direct Costs 2026'!$C$14,"N/A")</f>
        <v>230000</v>
      </c>
      <c r="L85" s="538" cm="1">
        <f t="array" ref="L85">IF(B85&gt;0,'Direct Costs 2026'!$C$26,"N/A")</f>
        <v>20000</v>
      </c>
      <c r="M85" s="538" cm="1">
        <f t="array" ref="M85">IF(B85&gt;0,'Direct Costs 2026'!$C$23,"N/A")</f>
        <v>140000</v>
      </c>
      <c r="N85" s="538" cm="1">
        <f t="array" ref="N85">IF(B85&gt;0,'Direct Costs 2026'!$C$44*B85,"N/A")</f>
        <v>1320000</v>
      </c>
      <c r="O85" t="str" s="547" cm="1">
        <f t="array" ref="O85">IF(B85&gt;0,_xlfn.IFERROR(VLOOKUP(C71,'Boats Data Sheet 2026'!$C$3:$I$57,7,0)*'Direct Costs 2026'!$C$36,"N/A"),"N/A")</f>
        <v>N/A</v>
      </c>
      <c r="P85" t="str" s="547" cm="1">
        <f t="array" ref="P85">IF(B85&gt;0,IF(OR(VLOOKUP(C71,'Boats Data Sheet 2026'!$C$3:$F$57,4,0)="Own",VLOOKUP(C71,'Boats Data Sheet 2026'!$C$3:$F$57,4,0)="Management"),('Direct Costs 2026'!$C$37+'Direct Costs 2026'!$C$39),"N/A"),"N/A")</f>
        <v>N/A</v>
      </c>
      <c r="Q85" s="538" cm="1">
        <f t="array" ref="Q85">_xlfn.IFERROR(IF(B85&gt;5,IF(B85&gt;11,IF(B85&gt;15,4,3),2),IF(B85=0,"N/A",1))*SUM('Direct Costs 2026'!$C$67:$C$68),"N/A")</f>
        <v>1468800</v>
      </c>
      <c r="R85" s="538" cm="1">
        <f t="array" ref="R85">_xlfn.IFERROR('Direct Costs 2026'!$C$27*C85,"N/A")</f>
        <v>133500</v>
      </c>
      <c r="S85" s="538" cm="1">
        <f t="array" ref="S85">_xlfn.IFERROR(C85+SUM(E85:R85),"N/A")</f>
        <v>12595300</v>
      </c>
      <c r="T85" s="424"/>
      <c r="U85" s="538" cm="1">
        <f t="array" ref="U85">IF(B85&gt;0,'Allocation OH and Target 2026'!$E$27,"N/A")</f>
        <v>2134447.30345641</v>
      </c>
      <c r="V85" s="538" cm="1">
        <f t="array" ref="V85">IF(B85&gt;0,'Allocation OH and Target 2026'!$E$28,"N/A")</f>
        <v>200042.323056976</v>
      </c>
      <c r="W85" s="538" cm="1">
        <f t="array" ref="W85">IF(B85&gt;0,VLOOKUP(C71,'Allocation OH and Target 2026'!$C$3:$T$23,17,0),"N/A")</f>
        <v>0</v>
      </c>
      <c r="X85" s="538" cm="1">
        <f t="array" ref="X85">IF(B85&gt;0,VLOOKUP(C71,'Allocation OH and Target 2026'!$C$3:$T$23,18,0),"N/A")</f>
        <v>0</v>
      </c>
      <c r="Y85" s="538" cm="1">
        <f t="array" ref="Y85">_xlfn.IFERROR(B85*(V85+X85),"N/A")</f>
        <v>2400507.87668371</v>
      </c>
      <c r="Z85" s="424"/>
      <c r="AA85" s="538" cm="1">
        <f t="array" ref="AA85">_xlfn.IFERROR(Y85+S85,"N/A")</f>
        <v>14995807.8766837</v>
      </c>
      <c r="AB85" s="538" cm="1">
        <f t="array" ref="AB85">_xlfn.IFERROR(AA85*0.5%,"N/A")</f>
        <v>74979.039383418494</v>
      </c>
      <c r="AC85" s="538" cm="1">
        <f t="array" ref="AC85">_xlfn.IFERROR(AA85*25%,"N/A")</f>
        <v>3748951.96917093</v>
      </c>
      <c r="AD85" s="539" cm="1">
        <f t="array" ref="AD85">IF(B85&gt;0,SUM(AA85:AC85),"N/A")</f>
        <v>18819738.885238</v>
      </c>
      <c r="AE85" s="538" cm="1">
        <f t="array" ref="AE85">_xlfn.IFERROR(AD85/B85,"N/A")</f>
        <v>1568311.57376983</v>
      </c>
      <c r="AF85" s="424"/>
      <c r="AG85" s="539" cm="1">
        <f t="array" ref="AG85">IF(B85/VLOOKUP(C71,'Boats Data Sheet 2026'!$C$3:$H$57,6,0)&gt;VLOOKUP(C71,'Allocation OH and Target 2026'!$C$3:$J$23,8,0),IF(SUM(AH73:AH84)=0,AE85,"N/A"),"N/A")</f>
        <v>1568311.57376983</v>
      </c>
      <c r="AH85" s="424" cm="1">
        <f t="array" ref="AH85">IF(AG85="N/A",0,1)</f>
        <v>1</v>
      </c>
      <c r="AI85" s="538" cm="1">
        <f t="array" ref="AI85">IF(B85/VLOOKUP(C71,'Boats Data Sheet 2026'!$C$3:$H$57,6,0)&gt;VLOOKUP(C71,'Allocation OH and Target 2026'!$C$3:$J$23,8,0),IF(SUM(AH73:AH84)=0,S85/B85,"N/A"),"N/A")</f>
        <v>1049608.33333333</v>
      </c>
      <c r="AJ85" s="424" cm="1">
        <f t="array" ref="AJ85">IF(AI85="N/A",0,1)</f>
        <v>1</v>
      </c>
      <c r="AK85" t="str" s="527" cm="1">
        <f t="array" ref="AK85">IF(SUM($AG$74:$AG$91)*B85&lt;SUM(AA85:AB85),"NO GO","GO")</f>
        <v>GO</v>
      </c>
      <c r="AL85" s="424"/>
      <c r="AM85" s="538"/>
      <c r="AN85" s="538"/>
      <c r="AO85" s="538"/>
      <c r="AP85" s="542"/>
      <c r="AQ85" s="543" cm="1">
        <f t="array" ref="AQ85">B85</f>
        <v>12</v>
      </c>
      <c r="AR85" s="18"/>
    </row>
    <row r="86" ht="16" customHeight="1">
      <c r="A86" s="12"/>
      <c r="B86" s="544" cm="1">
        <f t="array" ref="B86">IF(B85=0,0,IF(B85&lt;VLOOKUP(C71,'Boats Data Sheet 2026'!$C$3:$H$57,6,0),B85+1,0))</f>
        <v>13</v>
      </c>
      <c r="C86" s="538" cm="1">
        <f t="array" ref="C86">IF(B86&gt;0,IF(VLOOKUP(C71,'Boats Data Sheet 2026'!$C$3:$J$57,8,0)="N/A",0,VLOOKUP(C71,'Boats Data Sheet 2026'!$C$3:$J$57,8,0)),"N/A")</f>
        <v>6675000</v>
      </c>
      <c r="D86" s="545" cm="1">
        <f t="array" ref="D86">IF(B86&gt;7,2,IF(B86=0,"N/A",1))</f>
        <v>2</v>
      </c>
      <c r="E86" s="538" cm="1">
        <f t="array" ref="E86">_xlfn.IFERROR(SUM('Direct Costs 2026'!$C$4:$C$5)*D86,"N/A")</f>
        <v>1751000</v>
      </c>
      <c r="F86" s="538" cm="1">
        <f t="array" ref="F86">_xlfn.IFERROR('Direct Costs 2026'!$C$43*B86,"N/A")</f>
        <v>78000</v>
      </c>
      <c r="G86" s="538" cm="1">
        <f t="array" ref="G86">IF(B86&gt;0,'Direct Costs 2026'!$C$25,"N/A")</f>
        <v>90000</v>
      </c>
      <c r="H86" s="538" cm="1">
        <f t="array" ref="H86">IF(B86&gt;0,'Direct Costs 2026'!$C$19+'Direct Costs 2026'!$C$18*B86,"N/A")</f>
        <v>530000</v>
      </c>
      <c r="I86" s="538">
        <v>0</v>
      </c>
      <c r="J86" s="538" cm="1">
        <f t="array" ref="J86">IF(B86&gt;0,'Direct Costs 2026'!$C$22,"N/A")</f>
        <v>200000</v>
      </c>
      <c r="K86" s="538" cm="1">
        <f t="array" ref="K86">IF(B86&gt;0,'Direct Costs 2026'!$C$15+'Direct Costs 2026'!$C$14,"N/A")</f>
        <v>230000</v>
      </c>
      <c r="L86" s="538" cm="1">
        <f t="array" ref="L86">IF(B86&gt;0,'Direct Costs 2026'!$C$26,"N/A")</f>
        <v>20000</v>
      </c>
      <c r="M86" s="538" cm="1">
        <f t="array" ref="M86">IF(B86&gt;0,'Direct Costs 2026'!$C$23,"N/A")</f>
        <v>140000</v>
      </c>
      <c r="N86" s="538" cm="1">
        <f t="array" ref="N86">IF(B86&gt;0,'Direct Costs 2026'!$C$44*B86,"N/A")</f>
        <v>1430000</v>
      </c>
      <c r="O86" t="str" s="547" cm="1">
        <f t="array" ref="O86">IF(B86&gt;0,_xlfn.IFERROR(VLOOKUP(C71,'Boats Data Sheet 2026'!$C$3:$I$57,7,0)*'Direct Costs 2026'!$C$36,"N/A"),"N/A")</f>
        <v>N/A</v>
      </c>
      <c r="P86" t="str" s="547" cm="1">
        <f t="array" ref="P86">IF(B86&gt;0,IF(OR(VLOOKUP(C71,'Boats Data Sheet 2026'!$C$3:$F$57,4,0)="Own",VLOOKUP(C71,'Boats Data Sheet 2026'!$C$3:$F$57,4,0)="Management"),('Direct Costs 2026'!$C$37+'Direct Costs 2026'!$C$39),"N/A"),"N/A")</f>
        <v>N/A</v>
      </c>
      <c r="Q86" s="538" cm="1">
        <f t="array" ref="Q86">_xlfn.IFERROR(IF(B86&gt;5,IF(B86&gt;11,IF(B86&gt;15,4,3),2),IF(B86=0,"N/A",1))*SUM('Direct Costs 2026'!$C$67:$C$68),"N/A")</f>
        <v>1468800</v>
      </c>
      <c r="R86" s="538" cm="1">
        <f t="array" ref="R86">_xlfn.IFERROR('Direct Costs 2026'!$C$27*C86,"N/A")</f>
        <v>133500</v>
      </c>
      <c r="S86" s="538" cm="1">
        <f t="array" ref="S86">_xlfn.IFERROR(C86+SUM(E86:R86),"N/A")</f>
        <v>12746300</v>
      </c>
      <c r="T86" s="424"/>
      <c r="U86" s="538" cm="1">
        <f t="array" ref="U86">IF(B86&gt;0,'Allocation OH and Target 2026'!$E$27,"N/A")</f>
        <v>2134447.30345641</v>
      </c>
      <c r="V86" s="538" cm="1">
        <f t="array" ref="V86">IF(B86&gt;0,'Allocation OH and Target 2026'!$E$28,"N/A")</f>
        <v>200042.323056976</v>
      </c>
      <c r="W86" s="538" cm="1">
        <f t="array" ref="W86">IF(B86&gt;0,VLOOKUP(C71,'Allocation OH and Target 2026'!$C$3:$T$23,17,0),"N/A")</f>
        <v>0</v>
      </c>
      <c r="X86" s="538" cm="1">
        <f t="array" ref="X86">IF(B86&gt;0,VLOOKUP(C71,'Allocation OH and Target 2026'!$C$3:$T$23,18,0),"N/A")</f>
        <v>0</v>
      </c>
      <c r="Y86" s="538" cm="1">
        <f t="array" ref="Y86">_xlfn.IFERROR(B86*(V86+X86),"N/A")</f>
        <v>2600550.19974069</v>
      </c>
      <c r="Z86" s="424"/>
      <c r="AA86" s="538" cm="1">
        <f t="array" ref="AA86">_xlfn.IFERROR(Y86+S86,"N/A")</f>
        <v>15346850.1997407</v>
      </c>
      <c r="AB86" s="538" cm="1">
        <f t="array" ref="AB86">_xlfn.IFERROR(AA86*0.5%,"N/A")</f>
        <v>76734.2509987035</v>
      </c>
      <c r="AC86" s="538" cm="1">
        <f t="array" ref="AC86">_xlfn.IFERROR(AA86*25%,"N/A")</f>
        <v>3836712.54993518</v>
      </c>
      <c r="AD86" s="539" cm="1">
        <f t="array" ref="AD86">IF(B86&gt;0,SUM(AA86:AC86),"N/A")</f>
        <v>19260297.0006746</v>
      </c>
      <c r="AE86" s="538" cm="1">
        <f t="array" ref="AE86">_xlfn.IFERROR(AD86/B86,"N/A")</f>
        <v>1481561.3077442</v>
      </c>
      <c r="AF86" s="424"/>
      <c r="AG86" t="str" s="546" cm="1">
        <f t="array" ref="AG86">IF(B86/VLOOKUP(C71,'Boats Data Sheet 2026'!$C$3:$H$57,6,0)&gt;VLOOKUP(C71,'Allocation OH and Target 2026'!$C$3:$J$23,8,0),IF(SUM(AH73:AH85)=0,AE86,"N/A"),"N/A")</f>
        <v>N/A</v>
      </c>
      <c r="AH86" s="424" cm="1">
        <f t="array" ref="AH86">IF(AG86="N/A",0,1)</f>
        <v>0</v>
      </c>
      <c r="AI86" t="str" s="547" cm="1">
        <f t="array" ref="AI86">IF(B86/VLOOKUP(C71,'Boats Data Sheet 2026'!$C$3:$H$57,6,0)&gt;VLOOKUP(C71,'Allocation OH and Target 2026'!$C$3:$J$23,8,0),IF(SUM(AH73:AH85)=0,S86/B86,"N/A"),"N/A")</f>
        <v>N/A</v>
      </c>
      <c r="AJ86" s="424" cm="1">
        <f t="array" ref="AJ86">IF(AI86="N/A",0,1)</f>
        <v>0</v>
      </c>
      <c r="AK86" t="str" s="527" cm="1">
        <f t="array" ref="AK86">IF(SUM($AG$74:$AG$91)*B86&lt;SUM(AA86:AB86),"NO GO","GO")</f>
        <v>GO</v>
      </c>
      <c r="AL86" s="424"/>
      <c r="AM86" s="538"/>
      <c r="AN86" s="538"/>
      <c r="AO86" s="538"/>
      <c r="AP86" s="542"/>
      <c r="AQ86" s="543" cm="1">
        <f t="array" ref="AQ86">B86</f>
        <v>13</v>
      </c>
      <c r="AR86" s="18"/>
    </row>
    <row r="87" ht="16" customHeight="1">
      <c r="A87" s="12"/>
      <c r="B87" s="544" cm="1">
        <f t="array" ref="B87">IF(B86=0,0,IF(B86&lt;VLOOKUP(C71,'Boats Data Sheet 2026'!$C$3:$H$57,6,0),B86+1,0))</f>
        <v>14</v>
      </c>
      <c r="C87" s="538" cm="1">
        <f t="array" ref="C87">IF(B87&gt;0,IF(VLOOKUP(C71,'Boats Data Sheet 2026'!$C$3:$J$57,8,0)="N/A",0,VLOOKUP(C71,'Boats Data Sheet 2026'!$C$3:$J$57,8,0)),"N/A")</f>
        <v>6675000</v>
      </c>
      <c r="D87" s="549" cm="1">
        <f t="array" ref="D87">IF(B87&gt;7,2,IF(B87=0,"N/A",1))</f>
        <v>2</v>
      </c>
      <c r="E87" s="538" cm="1">
        <f t="array" ref="E87">_xlfn.IFERROR(SUM('Direct Costs 2026'!$C$4:$C$5)*D87,"N/A")</f>
        <v>1751000</v>
      </c>
      <c r="F87" s="538" cm="1">
        <f t="array" ref="F87">_xlfn.IFERROR('Direct Costs 2026'!$C$43*B87,"N/A")</f>
        <v>84000</v>
      </c>
      <c r="G87" s="538" cm="1">
        <f t="array" ref="G87">IF(B87&gt;0,'Direct Costs 2026'!$C$25,"N/A")</f>
        <v>90000</v>
      </c>
      <c r="H87" s="538" cm="1">
        <f t="array" ref="H87">IF(B87&gt;0,'Direct Costs 2026'!$C$19+'Direct Costs 2026'!$C$18*B87,"N/A")</f>
        <v>565000</v>
      </c>
      <c r="I87" s="538">
        <v>0</v>
      </c>
      <c r="J87" s="538" cm="1">
        <f t="array" ref="J87">IF(B87&gt;0,'Direct Costs 2026'!$C$22,"N/A")</f>
        <v>200000</v>
      </c>
      <c r="K87" s="538" cm="1">
        <f t="array" ref="K87">IF(B87&gt;0,'Direct Costs 2026'!$C$15+'Direct Costs 2026'!$C$14,"N/A")</f>
        <v>230000</v>
      </c>
      <c r="L87" s="538" cm="1">
        <f t="array" ref="L87">IF(B87&gt;0,'Direct Costs 2026'!$C$26,"N/A")</f>
        <v>20000</v>
      </c>
      <c r="M87" s="538" cm="1">
        <f t="array" ref="M87">IF(B87&gt;0,'Direct Costs 2026'!$C$23,"N/A")</f>
        <v>140000</v>
      </c>
      <c r="N87" s="538" cm="1">
        <f t="array" ref="N87">IF(B87&gt;0,'Direct Costs 2026'!$C$44*B87,"N/A")</f>
        <v>1540000</v>
      </c>
      <c r="O87" t="str" s="547" cm="1">
        <f t="array" ref="O87">IF(B87&gt;0,_xlfn.IFERROR(VLOOKUP(C71,'Boats Data Sheet 2026'!$C$3:$I$57,7,0)*'Direct Costs 2026'!$C$36,"N/A"),"N/A")</f>
        <v>N/A</v>
      </c>
      <c r="P87" t="str" s="547" cm="1">
        <f t="array" ref="P87">IF(B87&gt;0,IF(OR(VLOOKUP(C71,'Boats Data Sheet 2026'!$C$3:$F$57,4,0)="Own",VLOOKUP(C71,'Boats Data Sheet 2026'!$C$3:$F$57,4,0)="Management"),('Direct Costs 2026'!$C$37+'Direct Costs 2026'!$C$39),"N/A"),"N/A")</f>
        <v>N/A</v>
      </c>
      <c r="Q87" s="538" cm="1">
        <f t="array" ref="Q87">_xlfn.IFERROR(IF(B87&gt;5,IF(B87&gt;11,IF(B87&gt;15,4,3),2),IF(B87=0,"N/A",1))*SUM('Direct Costs 2026'!$C$67:$C$68),"N/A")</f>
        <v>1468800</v>
      </c>
      <c r="R87" s="538" cm="1">
        <f t="array" ref="R87">_xlfn.IFERROR('Direct Costs 2026'!$C$27*C87,"N/A")</f>
        <v>133500</v>
      </c>
      <c r="S87" s="538" cm="1">
        <f t="array" ref="S87">_xlfn.IFERROR(C87+SUM(E87:R87),"N/A")</f>
        <v>12897300</v>
      </c>
      <c r="T87" s="424"/>
      <c r="U87" s="538" cm="1">
        <f t="array" ref="U87">IF(B87&gt;0,'Allocation OH and Target 2026'!$E$27,"N/A")</f>
        <v>2134447.30345641</v>
      </c>
      <c r="V87" s="538" cm="1">
        <f t="array" ref="V87">IF(B87&gt;0,'Allocation OH and Target 2026'!$E$28,"N/A")</f>
        <v>200042.323056976</v>
      </c>
      <c r="W87" s="538" cm="1">
        <f t="array" ref="W87">IF(B87&gt;0,VLOOKUP(C71,'Allocation OH and Target 2026'!$C$3:$T$23,17,0),"N/A")</f>
        <v>0</v>
      </c>
      <c r="X87" s="538" cm="1">
        <f t="array" ref="X87">IF(B87&gt;0,VLOOKUP(C71,'Allocation OH and Target 2026'!$C$3:$T$23,18,0),"N/A")</f>
        <v>0</v>
      </c>
      <c r="Y87" s="538" cm="1">
        <f t="array" ref="Y87">_xlfn.IFERROR(B87*(V87+X87),"N/A")</f>
        <v>2800592.52279766</v>
      </c>
      <c r="Z87" s="424"/>
      <c r="AA87" s="538" cm="1">
        <f t="array" ref="AA87">_xlfn.IFERROR(Y87+S87,"N/A")</f>
        <v>15697892.5227977</v>
      </c>
      <c r="AB87" s="538" cm="1">
        <f t="array" ref="AB87">_xlfn.IFERROR(AA87*0.5%,"N/A")</f>
        <v>78489.462613988493</v>
      </c>
      <c r="AC87" s="538" cm="1">
        <f t="array" ref="AC87">_xlfn.IFERROR(AA87*25%,"N/A")</f>
        <v>3924473.13069943</v>
      </c>
      <c r="AD87" s="539" cm="1">
        <f t="array" ref="AD87">IF(B87&gt;0,SUM(AA87:AC87),"N/A")</f>
        <v>19700855.1161111</v>
      </c>
      <c r="AE87" s="538" cm="1">
        <f t="array" ref="AE87">_xlfn.IFERROR(AD87/B87,"N/A")</f>
        <v>1407203.93686508</v>
      </c>
      <c r="AF87" s="424"/>
      <c r="AG87" t="str" s="546" cm="1">
        <f t="array" ref="AG87">IF(B87/VLOOKUP(C71,'Boats Data Sheet 2026'!$C$3:$H$57,6,0)&gt;VLOOKUP(C71,'Allocation OH and Target 2026'!$C$3:$J$23,8,0),IF(SUM(AH73:AH86)=0,AE87,"N/A"),"N/A")</f>
        <v>N/A</v>
      </c>
      <c r="AH87" s="424" cm="1">
        <f t="array" ref="AH87">IF(AG87="N/A",0,1)</f>
        <v>0</v>
      </c>
      <c r="AI87" t="str" s="547" cm="1">
        <f t="array" ref="AI87">IF(B87/VLOOKUP(C71,'Boats Data Sheet 2026'!$C$3:$H$57,6,0)&gt;VLOOKUP(C71,'Allocation OH and Target 2026'!$C$3:$J$23,8,0),IF(SUM(AH73:AH86)=0,S87/B87,"N/A"),"N/A")</f>
        <v>N/A</v>
      </c>
      <c r="AJ87" s="424" cm="1">
        <f t="array" ref="AJ87">IF(AI87="N/A",0,1)</f>
        <v>0</v>
      </c>
      <c r="AK87" t="str" s="527" cm="1">
        <f t="array" ref="AK87">IF(SUM($AG$74:$AG$91)*B87&lt;SUM(AA87:AB87),"NO GO","GO")</f>
        <v>GO</v>
      </c>
      <c r="AL87" s="424"/>
      <c r="AM87" s="538"/>
      <c r="AN87" s="538"/>
      <c r="AO87" s="538"/>
      <c r="AP87" s="542"/>
      <c r="AQ87" s="543" cm="1">
        <f t="array" ref="AQ87">B87</f>
        <v>14</v>
      </c>
      <c r="AR87" s="18"/>
    </row>
    <row r="88" ht="16" customHeight="1">
      <c r="A88" s="12"/>
      <c r="B88" s="544" cm="1">
        <f t="array" ref="B88">IF(B87=0,0,IF(B87&lt;VLOOKUP(C71,'Boats Data Sheet 2026'!$C$3:$H$57,6,0),B87+1,0))</f>
        <v>0</v>
      </c>
      <c r="C88" t="str" s="547" cm="1">
        <f t="array" ref="C88">IF(B88&gt;0,IF(VLOOKUP(C71,'Boats Data Sheet 2026'!$C$3:$J$57,8,0)="N/A",0,VLOOKUP(C71,'Boats Data Sheet 2026'!$C$3:$J$57,8,0)),"N/A")</f>
        <v>N/A</v>
      </c>
      <c r="D88" t="str" s="547" cm="1">
        <f t="array" ref="D88">IF(B88&gt;7,2,IF(B88=0,"N/A",1))</f>
        <v>N/A</v>
      </c>
      <c r="E88" t="str" s="547" cm="1">
        <f t="array" ref="E88">_xlfn.IFERROR(SUM('Direct Costs 2026'!$C$4:$C$5)*D88,"N/A")</f>
        <v>N/A</v>
      </c>
      <c r="F88" s="538" cm="1">
        <f t="array" ref="F88">_xlfn.IFERROR('Direct Costs 2026'!$C$43*B88,"N/A")</f>
        <v>0</v>
      </c>
      <c r="G88" t="str" s="547" cm="1">
        <f t="array" ref="G88">IF(B88&gt;0,'Direct Costs 2026'!$C$25,"N/A")</f>
        <v>N/A</v>
      </c>
      <c r="H88" t="str" s="547" cm="1">
        <f t="array" ref="H88">IF(B88&gt;0,'Direct Costs 2026'!$C$19+'Direct Costs 2026'!$C$18*B88,"N/A")</f>
        <v>N/A</v>
      </c>
      <c r="I88" s="538">
        <v>0</v>
      </c>
      <c r="J88" t="str" s="547" cm="1">
        <f t="array" ref="J88">IF(B88&gt;0,'Direct Costs 2026'!$C$22,"N/A")</f>
        <v>N/A</v>
      </c>
      <c r="K88" t="str" s="547" cm="1">
        <f t="array" ref="K88">IF(B88&gt;0,'Direct Costs 2026'!$C$15+'Direct Costs 2026'!$C$14,"N/A")</f>
        <v>N/A</v>
      </c>
      <c r="L88" t="str" s="547" cm="1">
        <f t="array" ref="L88">IF(B88&gt;0,'Direct Costs 2026'!$C$26,"N/A")</f>
        <v>N/A</v>
      </c>
      <c r="M88" t="str" s="547" cm="1">
        <f t="array" ref="M88">IF(B88&gt;0,'Direct Costs 2026'!$C$23,"N/A")</f>
        <v>N/A</v>
      </c>
      <c r="N88" t="str" s="547" cm="1">
        <f t="array" ref="N88">IF(B88&gt;0,'Direct Costs 2026'!$C$44*B88,"N/A")</f>
        <v>N/A</v>
      </c>
      <c r="O88" t="str" s="547" cm="1">
        <f t="array" ref="O88">IF(B88&gt;0,_xlfn.IFERROR(VLOOKUP(C71,'Boats Data Sheet 2026'!$C$3:$I$57,7,0)*'Direct Costs 2026'!$C$36,"N/A"),"N/A")</f>
        <v>N/A</v>
      </c>
      <c r="P88" t="str" s="547" cm="1">
        <f t="array" ref="P88">IF(B88&gt;0,IF(OR(VLOOKUP(C71,'Boats Data Sheet 2026'!$C$3:$F$57,4,0)="Own",VLOOKUP(C71,'Boats Data Sheet 2026'!$C$3:$F$57,4,0)="Management"),('Direct Costs 2026'!$C$37+'Direct Costs 2026'!$C$39),"N/A"),"N/A")</f>
        <v>N/A</v>
      </c>
      <c r="Q88" t="str" s="547" cm="1">
        <f t="array" ref="Q88">_xlfn.IFERROR(IF(B88&gt;5,IF(B88&gt;11,IF(B88&gt;15,4,3),2),IF(B88=0,"N/A",1))*SUM('Direct Costs 2026'!$C$67:$C$68),"N/A")</f>
        <v>N/A</v>
      </c>
      <c r="R88" t="str" s="547" cm="1">
        <f t="array" ref="R88">_xlfn.IFERROR('Direct Costs 2026'!$C$27*C88,"N/A")</f>
        <v>N/A</v>
      </c>
      <c r="S88" t="str" s="547" cm="1">
        <f t="array" ref="S88">_xlfn.IFERROR(C88+SUM(E88:R88),"N/A")</f>
        <v>N/A</v>
      </c>
      <c r="T88" s="424"/>
      <c r="U88" t="str" s="547" cm="1">
        <f t="array" ref="U88">IF(B88&gt;0,'Allocation OH and Target 2026'!$E$27,"N/A")</f>
        <v>N/A</v>
      </c>
      <c r="V88" t="str" s="547" cm="1">
        <f t="array" ref="V88">IF(B88&gt;0,'Allocation OH and Target 2026'!$E$28,"N/A")</f>
        <v>N/A</v>
      </c>
      <c r="W88" t="str" s="547" cm="1">
        <f t="array" ref="W88">IF(B88&gt;0,VLOOKUP(C71,'Allocation OH and Target 2026'!$C$3:$T$23,17,0),"N/A")</f>
        <v>N/A</v>
      </c>
      <c r="X88" t="str" s="547" cm="1">
        <f t="array" ref="X88">IF(B88&gt;0,VLOOKUP(C71,'Allocation OH and Target 2026'!$C$3:$T$23,18,0),"N/A")</f>
        <v>N/A</v>
      </c>
      <c r="Y88" t="str" s="547" cm="1">
        <f t="array" ref="Y88">_xlfn.IFERROR(V88*B88+X88,"N/A")</f>
        <v>N/A</v>
      </c>
      <c r="Z88" s="424"/>
      <c r="AA88" t="str" s="547" cm="1">
        <f t="array" ref="AA88">_xlfn.IFERROR(Y88+S88,"N/A")</f>
        <v>N/A</v>
      </c>
      <c r="AB88" t="str" s="547" cm="1">
        <f t="array" ref="AB88">_xlfn.IFERROR(AA88*0.5%,"N/A")</f>
        <v>N/A</v>
      </c>
      <c r="AC88" t="str" s="547" cm="1">
        <f t="array" ref="AC88">_xlfn.IFERROR(AA88*25%,"N/A")</f>
        <v>N/A</v>
      </c>
      <c r="AD88" t="str" s="546" cm="1">
        <f t="array" ref="AD88">IF(B88&gt;0,SUM(AA88:AC88),"N/A")</f>
        <v>N/A</v>
      </c>
      <c r="AE88" t="str" s="547" cm="1">
        <f t="array" ref="AE88">_xlfn.IFERROR(AD88/B88,"N/A")</f>
        <v>N/A</v>
      </c>
      <c r="AF88" s="424"/>
      <c r="AG88" t="str" s="546" cm="1">
        <f t="array" ref="AG88">IF(B88/VLOOKUP(C71,'Boats Data Sheet 2026'!$C$3:$H$57,6,0)&gt;VLOOKUP(C71,'Allocation OH and Target 2026'!$C$3:$J$23,8,0),IF(SUM(AH73:AH87)=0,AE88,"N/A"),"N/A")</f>
        <v>N/A</v>
      </c>
      <c r="AH88" s="424" cm="1">
        <f t="array" ref="AH88">IF(AG88="N/A",0,1)</f>
        <v>0</v>
      </c>
      <c r="AI88" t="str" s="547" cm="1">
        <f t="array" ref="AI88">IF(B88/VLOOKUP(C71,'Boats Data Sheet 2026'!$C$3:$H$57,6,0)&gt;VLOOKUP(C71,'Allocation OH and Target 2026'!$C$3:$J$23,8,0),IF(SUM(AH73:AH87)=0,S88/B88,"N/A"),"N/A")</f>
        <v>N/A</v>
      </c>
      <c r="AJ88" s="424" cm="1">
        <f t="array" ref="AJ88">IF(AI88="N/A",0,1)</f>
        <v>0</v>
      </c>
      <c r="AK88" t="str" s="527" cm="1">
        <f t="array" ref="AK88">IF(SUM($AG$74:$AG$91)*B88&lt;SUM(AA88:AB88),"NO GO","GO")</f>
        <v>GO</v>
      </c>
      <c r="AL88" s="424"/>
      <c r="AM88" s="538"/>
      <c r="AN88" s="538"/>
      <c r="AO88" s="538"/>
      <c r="AP88" s="542"/>
      <c r="AQ88" s="543" cm="1">
        <f t="array" ref="AQ88">B88</f>
        <v>0</v>
      </c>
      <c r="AR88" s="18"/>
    </row>
    <row r="89" ht="16" customHeight="1">
      <c r="A89" s="12"/>
      <c r="B89" s="544" cm="1">
        <f t="array" ref="B89">IF(B88=0,0,IF(B88&lt;VLOOKUP(C71,'Boats Data Sheet 2026'!$C$3:$H$57,6,0),B88+1,0))</f>
        <v>0</v>
      </c>
      <c r="C89" t="str" s="547" cm="1">
        <f t="array" ref="C89">IF(B89&gt;0,IF(VLOOKUP(C71,'Boats Data Sheet 2026'!$C$3:$J$57,8,0)="N/A",0,VLOOKUP(C71,'Boats Data Sheet 2026'!$C$3:$J$57,8,0)),"N/A")</f>
        <v>N/A</v>
      </c>
      <c r="D89" t="str" s="547" cm="1">
        <f t="array" ref="D89">IF(B89&gt;7,2,IF(B89=0,"N/A",1))</f>
        <v>N/A</v>
      </c>
      <c r="E89" t="str" s="547" cm="1">
        <f t="array" ref="E89">_xlfn.IFERROR(SUM('Direct Costs 2026'!$C$4:$C$5)*D89,"N/A")</f>
        <v>N/A</v>
      </c>
      <c r="F89" s="538" cm="1">
        <f t="array" ref="F89">_xlfn.IFERROR('Direct Costs 2026'!$C$43*B89,"N/A")</f>
        <v>0</v>
      </c>
      <c r="G89" t="str" s="547" cm="1">
        <f t="array" ref="G89">IF(B89&gt;0,'Direct Costs 2026'!$C$25,"N/A")</f>
        <v>N/A</v>
      </c>
      <c r="H89" t="str" s="547" cm="1">
        <f t="array" ref="H89">IF(B89&gt;0,'Direct Costs 2026'!$C$19+'Direct Costs 2026'!$C$18*B89,"N/A")</f>
        <v>N/A</v>
      </c>
      <c r="I89" s="538">
        <v>0</v>
      </c>
      <c r="J89" t="str" s="547" cm="1">
        <f t="array" ref="J89">IF(B89&gt;0,'Direct Costs 2026'!$C$22,"N/A")</f>
        <v>N/A</v>
      </c>
      <c r="K89" t="str" s="547" cm="1">
        <f t="array" ref="K89">IF(B89&gt;0,'Direct Costs 2026'!$C$15+'Direct Costs 2026'!$C$14,"N/A")</f>
        <v>N/A</v>
      </c>
      <c r="L89" t="str" s="547" cm="1">
        <f t="array" ref="L89">IF(B89&gt;0,'Direct Costs 2026'!$C$26,"N/A")</f>
        <v>N/A</v>
      </c>
      <c r="M89" t="str" s="547" cm="1">
        <f t="array" ref="M89">IF(B89&gt;0,'Direct Costs 2026'!$C$23,"N/A")</f>
        <v>N/A</v>
      </c>
      <c r="N89" t="str" s="547" cm="1">
        <f t="array" ref="N89">IF(B89&gt;0,'Direct Costs 2026'!$C$44*B89,"N/A")</f>
        <v>N/A</v>
      </c>
      <c r="O89" t="str" s="547" cm="1">
        <f t="array" ref="O89">IF(B89&gt;0,_xlfn.IFERROR(VLOOKUP(C71,'Boats Data Sheet 2026'!$C$3:$I$57,7,0)*'Direct Costs 2026'!$C$36,"N/A"),"N/A")</f>
        <v>N/A</v>
      </c>
      <c r="P89" t="str" s="547" cm="1">
        <f t="array" ref="P89">IF(B89&gt;0,IF(OR(VLOOKUP(C71,'Boats Data Sheet 2026'!$C$3:$F$57,4,0)="Own",VLOOKUP(C71,'Boats Data Sheet 2026'!$C$3:$F$57,4,0)="Management"),('Direct Costs 2026'!$C$37+'Direct Costs 2026'!$C$39),"N/A"),"N/A")</f>
        <v>N/A</v>
      </c>
      <c r="Q89" t="str" s="547" cm="1">
        <f t="array" ref="Q89">_xlfn.IFERROR(IF(B89&gt;5,IF(B89&gt;11,IF(B89&gt;15,4,3),2),IF(B89=0,"N/A",1))*SUM('Direct Costs 2026'!$C$67:$C$68),"N/A")</f>
        <v>N/A</v>
      </c>
      <c r="R89" t="str" s="547" cm="1">
        <f t="array" ref="R89">_xlfn.IFERROR('Direct Costs 2026'!$C$27*C89,"N/A")</f>
        <v>N/A</v>
      </c>
      <c r="S89" t="str" s="547" cm="1">
        <f t="array" ref="S89">_xlfn.IFERROR(C89+SUM(E89:R89),"N/A")</f>
        <v>N/A</v>
      </c>
      <c r="T89" s="424"/>
      <c r="U89" t="str" s="547" cm="1">
        <f t="array" ref="U89">IF(B89&gt;0,'Allocation OH and Target 2026'!$E$27,"N/A")</f>
        <v>N/A</v>
      </c>
      <c r="V89" t="str" s="547" cm="1">
        <f t="array" ref="V89">IF(B89&gt;0,'Allocation OH and Target 2026'!$E$28,"N/A")</f>
        <v>N/A</v>
      </c>
      <c r="W89" t="str" s="547" cm="1">
        <f t="array" ref="W89">IF(B89&gt;0,VLOOKUP(C71,'Allocation OH and Target 2026'!$C$3:$T$23,17,0),"N/A")</f>
        <v>N/A</v>
      </c>
      <c r="X89" t="str" s="547" cm="1">
        <f t="array" ref="X89">IF(B89&gt;0,VLOOKUP(C71,'Allocation OH and Target 2026'!$C$3:$T$23,18,0),"N/A")</f>
        <v>N/A</v>
      </c>
      <c r="Y89" t="str" s="547" cm="1">
        <f t="array" ref="Y89">_xlfn.IFERROR(V89*B89+X89,"N/A")</f>
        <v>N/A</v>
      </c>
      <c r="Z89" s="424"/>
      <c r="AA89" t="str" s="547" cm="1">
        <f t="array" ref="AA89">_xlfn.IFERROR(Y89+S89,"N/A")</f>
        <v>N/A</v>
      </c>
      <c r="AB89" t="str" s="547" cm="1">
        <f t="array" ref="AB89">_xlfn.IFERROR(AA89*0.5%,"N/A")</f>
        <v>N/A</v>
      </c>
      <c r="AC89" t="str" s="547" cm="1">
        <f t="array" ref="AC89">_xlfn.IFERROR(AA89*25%,"N/A")</f>
        <v>N/A</v>
      </c>
      <c r="AD89" t="str" s="546" cm="1">
        <f t="array" ref="AD89">IF(B89&gt;0,SUM(AA89:AC89),"N/A")</f>
        <v>N/A</v>
      </c>
      <c r="AE89" t="str" s="547" cm="1">
        <f t="array" ref="AE89">_xlfn.IFERROR(AD89/B89,"N/A")</f>
        <v>N/A</v>
      </c>
      <c r="AF89" s="424"/>
      <c r="AG89" t="str" s="546" cm="1">
        <f t="array" ref="AG89">IF(B89/VLOOKUP(C71,'Boats Data Sheet 2026'!$C$3:$H$57,6,0)&gt;VLOOKUP(C71,'Allocation OH and Target 2026'!$C$3:$J$23,8,0),IF(SUM(AH73:AH88)=0,AE89,"N/A"),"N/A")</f>
        <v>N/A</v>
      </c>
      <c r="AH89" s="424" cm="1">
        <f t="array" ref="AH89">IF(AG89="N/A",0,1)</f>
        <v>0</v>
      </c>
      <c r="AI89" t="str" s="547" cm="1">
        <f t="array" ref="AI89">IF(B89/VLOOKUP(C71,'Boats Data Sheet 2026'!$C$3:$H$57,6,0)&gt;VLOOKUP(C71,'Allocation OH and Target 2026'!$C$3:$J$23,8,0),IF(SUM(AH73:AH88)=0,S89/B89,"N/A"),"N/A")</f>
        <v>N/A</v>
      </c>
      <c r="AJ89" s="424" cm="1">
        <f t="array" ref="AJ89">IF(AI89="N/A",0,1)</f>
        <v>0</v>
      </c>
      <c r="AK89" t="str" s="527" cm="1">
        <f t="array" ref="AK89">IF(SUM($AG$74:$AG$91)*B89&lt;SUM(AA89:AB89),"NO GO","GO")</f>
        <v>GO</v>
      </c>
      <c r="AL89" s="424"/>
      <c r="AM89" s="538"/>
      <c r="AN89" s="538"/>
      <c r="AO89" s="538"/>
      <c r="AP89" s="542"/>
      <c r="AQ89" s="543" cm="1">
        <f t="array" ref="AQ89">B89</f>
        <v>0</v>
      </c>
      <c r="AR89" s="18"/>
    </row>
    <row r="90" ht="16" customHeight="1">
      <c r="A90" s="12"/>
      <c r="B90" s="544" cm="1">
        <f t="array" ref="B90">IF(B89=0,0,IF(B89&lt;VLOOKUP(C71,'Boats Data Sheet 2026'!$C$3:$H$57,6,0),B89+1,0))</f>
        <v>0</v>
      </c>
      <c r="C90" t="str" s="547" cm="1">
        <f t="array" ref="C90">IF(B90&gt;0,IF(VLOOKUP(C71,'Boats Data Sheet 2026'!$C$3:$J$57,8,0)="N/A",0,VLOOKUP(C71,'Boats Data Sheet 2026'!$C$3:$J$57,8,0)),"N/A")</f>
        <v>N/A</v>
      </c>
      <c r="D90" t="str" s="547" cm="1">
        <f t="array" ref="D90">IF(B90&gt;7,2,IF(B90=0,"N/A",1))</f>
        <v>N/A</v>
      </c>
      <c r="E90" t="str" s="547" cm="1">
        <f t="array" ref="E90">_xlfn.IFERROR(SUM('Direct Costs 2026'!$C$4:$C$5)*D90,"N/A")</f>
        <v>N/A</v>
      </c>
      <c r="F90" s="538" cm="1">
        <f t="array" ref="F90">_xlfn.IFERROR('Direct Costs 2026'!$C$43*B90,"N/A")</f>
        <v>0</v>
      </c>
      <c r="G90" t="str" s="547" cm="1">
        <f t="array" ref="G90">IF(B90&gt;0,'Direct Costs 2026'!$C$25,"N/A")</f>
        <v>N/A</v>
      </c>
      <c r="H90" t="str" s="547" cm="1">
        <f t="array" ref="H90">IF(B90&gt;0,'Direct Costs 2026'!$C$19+'Direct Costs 2026'!$C$18*B90,"N/A")</f>
        <v>N/A</v>
      </c>
      <c r="I90" s="538">
        <v>0</v>
      </c>
      <c r="J90" t="str" s="547" cm="1">
        <f t="array" ref="J90">IF(B90&gt;0,'Direct Costs 2026'!$C$22,"N/A")</f>
        <v>N/A</v>
      </c>
      <c r="K90" t="str" s="547" cm="1">
        <f t="array" ref="K90">IF(B90&gt;0,'Direct Costs 2026'!$C$15+'Direct Costs 2026'!$C$14,"N/A")</f>
        <v>N/A</v>
      </c>
      <c r="L90" t="str" s="547" cm="1">
        <f t="array" ref="L90">IF(B90&gt;0,'Direct Costs 2026'!$C$26,"N/A")</f>
        <v>N/A</v>
      </c>
      <c r="M90" t="str" s="547" cm="1">
        <f t="array" ref="M90">IF(B90&gt;0,'Direct Costs 2026'!$C$23,"N/A")</f>
        <v>N/A</v>
      </c>
      <c r="N90" t="str" s="547" cm="1">
        <f t="array" ref="N90">IF(B90&gt;0,'Direct Costs 2026'!$C$44*B90,"N/A")</f>
        <v>N/A</v>
      </c>
      <c r="O90" t="str" s="547" cm="1">
        <f t="array" ref="O90">IF(B90&gt;0,_xlfn.IFERROR(VLOOKUP(C71,'Boats Data Sheet 2026'!$C$3:$I$57,7,0)*'Direct Costs 2026'!$C$36,"N/A"),"N/A")</f>
        <v>N/A</v>
      </c>
      <c r="P90" t="str" s="547" cm="1">
        <f t="array" ref="P90">IF(B90&gt;0,IF(OR(VLOOKUP(C71,'Boats Data Sheet 2026'!$C$3:$F$57,4,0)="Own",VLOOKUP(C71,'Boats Data Sheet 2026'!$C$3:$F$57,4,0)="Management"),('Direct Costs 2026'!$C$37+'Direct Costs 2026'!$C$39),"N/A"),"N/A")</f>
        <v>N/A</v>
      </c>
      <c r="Q90" t="str" s="547" cm="1">
        <f t="array" ref="Q90">_xlfn.IFERROR(IF(B90&gt;5,IF(B90&gt;11,IF(B90&gt;15,4,3),2),IF(B90=0,"N/A",1))*SUM('Direct Costs 2026'!$C$67:$C$68),"N/A")</f>
        <v>N/A</v>
      </c>
      <c r="R90" t="str" s="547" cm="1">
        <f t="array" ref="R90">_xlfn.IFERROR('Direct Costs 2026'!$C$27*C90,"N/A")</f>
        <v>N/A</v>
      </c>
      <c r="S90" t="str" s="547" cm="1">
        <f t="array" ref="S90">_xlfn.IFERROR(C90+SUM(E90:R90),"N/A")</f>
        <v>N/A</v>
      </c>
      <c r="T90" s="424"/>
      <c r="U90" t="str" s="547" cm="1">
        <f t="array" ref="U90">IF(B90&gt;0,'Allocation OH and Target 2026'!$E$27,"N/A")</f>
        <v>N/A</v>
      </c>
      <c r="V90" t="str" s="547" cm="1">
        <f t="array" ref="V90">IF(B90&gt;0,'Allocation OH and Target 2026'!$E$28,"N/A")</f>
        <v>N/A</v>
      </c>
      <c r="W90" t="str" s="547" cm="1">
        <f t="array" ref="W90">IF(B90&gt;0,VLOOKUP(C71,'Allocation OH and Target 2026'!$C$3:$T$23,17,0),"N/A")</f>
        <v>N/A</v>
      </c>
      <c r="X90" t="str" s="547" cm="1">
        <f t="array" ref="X90">IF(B90&gt;0,VLOOKUP(C71,'Allocation OH and Target 2026'!$C$3:$T$23,18,0),"N/A")</f>
        <v>N/A</v>
      </c>
      <c r="Y90" t="str" s="547" cm="1">
        <f t="array" ref="Y90">_xlfn.IFERROR(V90*B90+X90,"N/A")</f>
        <v>N/A</v>
      </c>
      <c r="Z90" s="424"/>
      <c r="AA90" t="str" s="547" cm="1">
        <f t="array" ref="AA90">_xlfn.IFERROR(Y90+S90,"N/A")</f>
        <v>N/A</v>
      </c>
      <c r="AB90" t="str" s="547" cm="1">
        <f t="array" ref="AB90">_xlfn.IFERROR(AA90*0.5%,"N/A")</f>
        <v>N/A</v>
      </c>
      <c r="AC90" t="str" s="547" cm="1">
        <f t="array" ref="AC90">_xlfn.IFERROR(AA90*25%,"N/A")</f>
        <v>N/A</v>
      </c>
      <c r="AD90" t="str" s="546" cm="1">
        <f t="array" ref="AD90">IF(B90&gt;0,SUM(AA90:AC90),"N/A")</f>
        <v>N/A</v>
      </c>
      <c r="AE90" t="str" s="547" cm="1">
        <f t="array" ref="AE90">_xlfn.IFERROR(AD90/B90,"N/A")</f>
        <v>N/A</v>
      </c>
      <c r="AF90" s="424"/>
      <c r="AG90" t="str" s="546" cm="1">
        <f t="array" ref="AG90">IF(B90/VLOOKUP(C71,'Boats Data Sheet 2026'!$C$3:$H$57,6,0)&gt;VLOOKUP(C71,'Allocation OH and Target 2026'!$C$3:$J$23,8,0),IF(SUM(AH73:AH89)=0,AE90,"N/A"),"N/A")</f>
        <v>N/A</v>
      </c>
      <c r="AH90" s="424" cm="1">
        <f t="array" ref="AH90">IF(AG90="N/A",0,1)</f>
        <v>0</v>
      </c>
      <c r="AI90" t="str" s="547" cm="1">
        <f t="array" ref="AI90">IF(B90/VLOOKUP(C71,'Boats Data Sheet 2026'!$C$3:$H$57,6,0)&gt;VLOOKUP(C71,'Allocation OH and Target 2026'!$C$3:$J$23,8,0),IF(SUM(AH73:AH89)=0,S90/B90,"N/A"),"N/A")</f>
        <v>N/A</v>
      </c>
      <c r="AJ90" s="424" cm="1">
        <f t="array" ref="AJ90">IF(AI90="N/A",0,1)</f>
        <v>0</v>
      </c>
      <c r="AK90" t="str" s="527" cm="1">
        <f t="array" ref="AK90">IF(SUM($AG$74:$AG$91)*B90&lt;SUM(AA90:AB90),"NO GO","GO")</f>
        <v>GO</v>
      </c>
      <c r="AL90" s="424"/>
      <c r="AM90" s="538"/>
      <c r="AN90" s="538"/>
      <c r="AO90" s="538"/>
      <c r="AP90" s="542"/>
      <c r="AQ90" s="543" cm="1">
        <f t="array" ref="AQ90">B90</f>
        <v>0</v>
      </c>
      <c r="AR90" s="18"/>
    </row>
    <row r="91" ht="15.5" customHeight="1">
      <c r="A91" s="12"/>
      <c r="B91" s="550" cm="1">
        <f t="array" ref="B91">IF(B90=0,0,IF(B90&lt;VLOOKUP(C71,'Boats Data Sheet 2026'!$C$3:$H$57,6,0),B90+1,0))</f>
        <v>0</v>
      </c>
      <c r="C91" t="str" s="551" cm="1">
        <f t="array" ref="C91">IF(B91&gt;0,IF(VLOOKUP(C71,'Boats Data Sheet 2026'!$C$3:$J$57,8,0)="N/A",0,VLOOKUP(C71,'Boats Data Sheet 2026'!$C$3:$J$57,8,0)),"N/A")</f>
        <v>N/A</v>
      </c>
      <c r="D91" t="str" s="551" cm="1">
        <f t="array" ref="D91">IF(B91&gt;7,2,IF(B91=0,"N/A",1))</f>
        <v>N/A</v>
      </c>
      <c r="E91" t="str" s="551" cm="1">
        <f t="array" ref="E91">_xlfn.IFERROR(SUM('Direct Costs 2026'!$C$4:$C$5)*D91,"N/A")</f>
        <v>N/A</v>
      </c>
      <c r="F91" s="552" cm="1">
        <f t="array" ref="F91">_xlfn.IFERROR('Direct Costs 2026'!$C$43*B91,"N/A")</f>
        <v>0</v>
      </c>
      <c r="G91" t="str" s="551" cm="1">
        <f t="array" ref="G91">IF(B91&gt;0,'Direct Costs 2026'!$C$25,"N/A")</f>
        <v>N/A</v>
      </c>
      <c r="H91" t="str" s="551" cm="1">
        <f t="array" ref="H91">IF(B91&gt;0,'Direct Costs 2026'!$C$19+'Direct Costs 2026'!$C$18*B91,"N/A")</f>
        <v>N/A</v>
      </c>
      <c r="I91" s="552">
        <v>0</v>
      </c>
      <c r="J91" t="str" s="551" cm="1">
        <f t="array" ref="J91">IF(B91&gt;0,'Direct Costs 2026'!$C$22,"N/A")</f>
        <v>N/A</v>
      </c>
      <c r="K91" t="str" s="551" cm="1">
        <f t="array" ref="K91">IF(B91&gt;0,'Direct Costs 2026'!$C$15+'Direct Costs 2026'!$C$14,"N/A")</f>
        <v>N/A</v>
      </c>
      <c r="L91" t="str" s="551" cm="1">
        <f t="array" ref="L91">IF(B91&gt;0,'Direct Costs 2026'!$C$26,"N/A")</f>
        <v>N/A</v>
      </c>
      <c r="M91" t="str" s="551" cm="1">
        <f t="array" ref="M91">IF(B91&gt;0,'Direct Costs 2026'!$C$23,"N/A")</f>
        <v>N/A</v>
      </c>
      <c r="N91" t="str" s="551" cm="1">
        <f t="array" ref="N91">IF(B91&gt;0,'Direct Costs 2026'!$C$44*B91,"N/A")</f>
        <v>N/A</v>
      </c>
      <c r="O91" t="str" s="551" cm="1">
        <f t="array" ref="O91">IF(B91&gt;0,_xlfn.IFERROR(VLOOKUP(C71,'Boats Data Sheet 2026'!$C$3:$I$57,7,0)*'Direct Costs 2026'!$C$36,"N/A"),"N/A")</f>
        <v>N/A</v>
      </c>
      <c r="P91" t="str" s="551" cm="1">
        <f t="array" ref="P91">IF(B91&gt;0,IF(OR(VLOOKUP(C71,'Boats Data Sheet 2026'!$C$3:$F$57,4,0)="Own",VLOOKUP(C71,'Boats Data Sheet 2026'!$C$3:$F$57,4,0)="Management"),('Direct Costs 2026'!$C$37+'Direct Costs 2026'!$C$39),"N/A"),"N/A")</f>
        <v>N/A</v>
      </c>
      <c r="Q91" t="str" s="551" cm="1">
        <f t="array" ref="Q91">_xlfn.IFERROR(IF(B91&gt;5,IF(B91&gt;11,IF(B91&gt;15,4,3),2),IF(B91=0,"N/A",1))*SUM('Direct Costs 2026'!$C$67:$C$68),"N/A")</f>
        <v>N/A</v>
      </c>
      <c r="R91" t="str" s="551" cm="1">
        <f t="array" ref="R91">_xlfn.IFERROR('Direct Costs 2026'!$C$27*C91,"N/A")</f>
        <v>N/A</v>
      </c>
      <c r="S91" t="str" s="551" cm="1">
        <f t="array" ref="S91">_xlfn.IFERROR(C91+SUM(E91:R91),"N/A")</f>
        <v>N/A</v>
      </c>
      <c r="T91" s="435"/>
      <c r="U91" t="str" s="551" cm="1">
        <f t="array" ref="U91">IF(B91&gt;0,'Allocation OH and Target 2026'!$E$27,"N/A")</f>
        <v>N/A</v>
      </c>
      <c r="V91" t="str" s="551" cm="1">
        <f t="array" ref="V91">IF(B91&gt;0,'Allocation OH and Target 2026'!$E$28,"N/A")</f>
        <v>N/A</v>
      </c>
      <c r="W91" t="str" s="551" cm="1">
        <f t="array" ref="W91">IF(B91&gt;0,VLOOKUP(C71,'Allocation OH and Target 2026'!$C$3:$T$23,17,0),"N/A")</f>
        <v>N/A</v>
      </c>
      <c r="X91" t="str" s="551" cm="1">
        <f t="array" ref="X91">IF(B91&gt;0,VLOOKUP(C71,'Allocation OH and Target 2026'!$C$3:$T$23,18,0),"N/A")</f>
        <v>N/A</v>
      </c>
      <c r="Y91" t="str" s="551" cm="1">
        <f t="array" ref="Y91">_xlfn.IFERROR(V91*B91+X91,"N/A")</f>
        <v>N/A</v>
      </c>
      <c r="Z91" s="435"/>
      <c r="AA91" t="str" s="551" cm="1">
        <f t="array" ref="AA91">_xlfn.IFERROR(Y91+S91,"N/A")</f>
        <v>N/A</v>
      </c>
      <c r="AB91" t="str" s="551" cm="1">
        <f t="array" ref="AB91">_xlfn.IFERROR(AA91*0.5%,"N/A")</f>
        <v>N/A</v>
      </c>
      <c r="AC91" t="str" s="551" cm="1">
        <f t="array" ref="AC91">_xlfn.IFERROR(AA91*25%,"N/A")</f>
        <v>N/A</v>
      </c>
      <c r="AD91" t="str" s="553" cm="1">
        <f t="array" ref="AD91">IF(B91&gt;0,SUM(AA91:AC91),"N/A")</f>
        <v>N/A</v>
      </c>
      <c r="AE91" t="str" s="551" cm="1">
        <f t="array" ref="AE91">_xlfn.IFERROR(AD91/B91,"N/A")</f>
        <v>N/A</v>
      </c>
      <c r="AF91" s="435"/>
      <c r="AG91" t="str" s="553" cm="1">
        <f t="array" ref="AG91">IF(B91/VLOOKUP(C71,'Boats Data Sheet 2026'!$C$3:$H$57,6,0)&gt;VLOOKUP(C71,'Allocation OH and Target 2026'!$C$3:$J$23,8,0),IF(SUM(AH73:AH90)=0,AE91,"N/A"),"N/A")</f>
        <v>N/A</v>
      </c>
      <c r="AH91" s="435" cm="1">
        <f t="array" ref="AH91">IF(AG91="N/A",0,1)</f>
        <v>0</v>
      </c>
      <c r="AI91" t="str" s="551" cm="1">
        <f t="array" ref="AI91">IF(B91/VLOOKUP(C71,'Boats Data Sheet 2026'!$C$3:$H$57,6,0)&gt;VLOOKUP(C71,'Allocation OH and Target 2026'!$C$3:$J$23,8,0),IF(SUM(AH73:AH90)=0,S91/B91,"N/A"),"N/A")</f>
        <v>N/A</v>
      </c>
      <c r="AJ91" s="435" cm="1">
        <f t="array" ref="AJ91">IF(AI91="N/A",0,1)</f>
        <v>0</v>
      </c>
      <c r="AK91" t="str" s="554" cm="1">
        <f t="array" ref="AK91">IF(SUM($AG$74:$AG$91)*B91&lt;SUM(AA91:AB91),"NO GO","GO")</f>
        <v>GO</v>
      </c>
      <c r="AL91" s="435"/>
      <c r="AM91" s="552"/>
      <c r="AN91" s="552"/>
      <c r="AO91" s="552"/>
      <c r="AP91" s="555"/>
      <c r="AQ91" s="543" cm="1">
        <f t="array" ref="AQ91">B91</f>
        <v>0</v>
      </c>
      <c r="AR91" s="18"/>
    </row>
    <row r="92" ht="15.5" customHeight="1">
      <c r="A92" s="32"/>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503"/>
      <c r="AB92" s="124"/>
      <c r="AC92" s="124"/>
      <c r="AD92" s="124"/>
      <c r="AE92" s="124"/>
      <c r="AF92" s="124"/>
      <c r="AG92" s="124"/>
      <c r="AH92" s="124"/>
      <c r="AI92" s="124"/>
      <c r="AJ92" s="124"/>
      <c r="AK92" s="124"/>
      <c r="AL92" s="124"/>
      <c r="AM92" s="124"/>
      <c r="AN92" s="124"/>
      <c r="AO92" s="124"/>
      <c r="AP92" s="124"/>
      <c r="AQ92" s="17"/>
      <c r="AR92" s="18"/>
    </row>
    <row r="93" ht="15.5" customHeight="1">
      <c r="A93" s="32"/>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17"/>
      <c r="AR93" s="18"/>
    </row>
    <row r="94" ht="15.5" customHeight="1">
      <c r="A94" s="395">
        <v>5</v>
      </c>
      <c r="B94" t="s" s="517">
        <v>506</v>
      </c>
      <c r="C94" t="s" s="518">
        <v>584</v>
      </c>
      <c r="D94" s="519"/>
      <c r="E94" s="519"/>
      <c r="F94" s="519"/>
      <c r="G94" s="519"/>
      <c r="H94" s="519"/>
      <c r="I94" s="519"/>
      <c r="J94" s="519"/>
      <c r="K94" s="519"/>
      <c r="L94" s="519"/>
      <c r="M94" s="519"/>
      <c r="N94" s="519"/>
      <c r="O94" s="519"/>
      <c r="P94" s="519"/>
      <c r="Q94" s="519"/>
      <c r="R94" s="519"/>
      <c r="S94" s="519"/>
      <c r="T94" s="399"/>
      <c r="U94" s="519"/>
      <c r="V94" s="519"/>
      <c r="W94" s="519"/>
      <c r="X94" s="519"/>
      <c r="Y94" s="519"/>
      <c r="Z94" s="399"/>
      <c r="AA94" s="519"/>
      <c r="AB94" s="519"/>
      <c r="AC94" s="519"/>
      <c r="AD94" s="519"/>
      <c r="AE94" s="519"/>
      <c r="AF94" s="399"/>
      <c r="AG94" s="521"/>
      <c r="AH94" s="399"/>
      <c r="AI94" s="519"/>
      <c r="AJ94" s="399"/>
      <c r="AK94" s="519"/>
      <c r="AL94" s="399"/>
      <c r="AM94" s="519"/>
      <c r="AN94" s="519"/>
      <c r="AO94" s="519"/>
      <c r="AP94" s="522"/>
      <c r="AQ94" s="16"/>
      <c r="AR94" s="18"/>
    </row>
    <row r="95" ht="16" customHeight="1">
      <c r="A95" s="12"/>
      <c r="B95" s="523"/>
      <c r="C95" t="s" s="524">
        <v>513</v>
      </c>
      <c r="D95" s="525"/>
      <c r="E95" s="525"/>
      <c r="F95" s="525"/>
      <c r="G95" s="525"/>
      <c r="H95" s="525"/>
      <c r="I95" s="525"/>
      <c r="J95" s="525"/>
      <c r="K95" s="525"/>
      <c r="L95" s="525"/>
      <c r="M95" s="525"/>
      <c r="N95" s="525"/>
      <c r="O95" s="525"/>
      <c r="P95" s="525"/>
      <c r="Q95" s="525"/>
      <c r="R95" s="525"/>
      <c r="S95" s="526"/>
      <c r="T95" s="407"/>
      <c r="U95" t="s" s="524">
        <v>514</v>
      </c>
      <c r="V95" s="525"/>
      <c r="W95" s="525"/>
      <c r="X95" s="525"/>
      <c r="Y95" s="526"/>
      <c r="Z95" s="407"/>
      <c r="AA95" t="s" s="524">
        <v>515</v>
      </c>
      <c r="AB95" s="525"/>
      <c r="AC95" s="525"/>
      <c r="AD95" s="525"/>
      <c r="AE95" s="526"/>
      <c r="AF95" s="410"/>
      <c r="AG95" s="527"/>
      <c r="AH95" s="410"/>
      <c r="AI95" s="528"/>
      <c r="AJ95" s="410"/>
      <c r="AK95" s="528"/>
      <c r="AL95" s="410"/>
      <c r="AM95" s="528"/>
      <c r="AN95" s="528"/>
      <c r="AO95" s="528"/>
      <c r="AP95" s="529"/>
      <c r="AQ95" s="16"/>
      <c r="AR95" s="18"/>
    </row>
    <row r="96" ht="48" customHeight="1">
      <c r="A96" s="12"/>
      <c r="B96" t="s" s="530">
        <v>517</v>
      </c>
      <c r="C96" t="s" s="531">
        <v>518</v>
      </c>
      <c r="D96" t="s" s="531">
        <v>519</v>
      </c>
      <c r="E96" t="s" s="531">
        <v>520</v>
      </c>
      <c r="F96" t="s" s="532">
        <v>521</v>
      </c>
      <c r="G96" t="s" s="532">
        <v>522</v>
      </c>
      <c r="H96" t="s" s="532">
        <v>524</v>
      </c>
      <c r="I96" t="s" s="532">
        <v>525</v>
      </c>
      <c r="J96" t="s" s="532">
        <v>556</v>
      </c>
      <c r="K96" t="s" s="532">
        <v>553</v>
      </c>
      <c r="L96" t="s" s="532">
        <v>526</v>
      </c>
      <c r="M96" t="s" s="532">
        <v>527</v>
      </c>
      <c r="N96" t="s" s="532">
        <v>528</v>
      </c>
      <c r="O96" t="s" s="532">
        <v>529</v>
      </c>
      <c r="P96" t="s" s="532">
        <v>530</v>
      </c>
      <c r="Q96" t="s" s="532">
        <v>572</v>
      </c>
      <c r="R96" t="s" s="532">
        <v>531</v>
      </c>
      <c r="S96" t="s" s="532">
        <v>532</v>
      </c>
      <c r="T96" s="556"/>
      <c r="U96" t="s" s="532">
        <v>533</v>
      </c>
      <c r="V96" t="s" s="532">
        <v>573</v>
      </c>
      <c r="W96" t="s" s="532">
        <v>534</v>
      </c>
      <c r="X96" t="s" s="532">
        <v>574</v>
      </c>
      <c r="Y96" t="s" s="532">
        <v>535</v>
      </c>
      <c r="Z96" s="556"/>
      <c r="AA96" t="s" s="532">
        <v>536</v>
      </c>
      <c r="AB96" t="s" s="532">
        <v>537</v>
      </c>
      <c r="AC96" t="s" s="532">
        <v>538</v>
      </c>
      <c r="AD96" t="s" s="532">
        <v>575</v>
      </c>
      <c r="AE96" t="s" s="532">
        <v>539</v>
      </c>
      <c r="AF96" s="557"/>
      <c r="AG96" t="s" s="532">
        <v>576</v>
      </c>
      <c r="AH96" s="557"/>
      <c r="AI96" t="s" s="532">
        <v>577</v>
      </c>
      <c r="AJ96" s="557"/>
      <c r="AK96" t="s" s="531">
        <v>578</v>
      </c>
      <c r="AL96" s="557"/>
      <c r="AM96" s="533"/>
      <c r="AN96" s="533"/>
      <c r="AO96" s="533"/>
      <c r="AP96" s="534"/>
      <c r="AQ96" s="16"/>
      <c r="AR96" s="18"/>
    </row>
    <row r="97" ht="16.5" customHeight="1">
      <c r="A97" s="12"/>
      <c r="B97" s="535">
        <v>1</v>
      </c>
      <c r="C97" s="536" cm="1">
        <f t="array" ref="C97">IF(B97&gt;0,IF(VLOOKUP(C94,'Boats Data Sheet 2026'!$C$3:$J$57,8,0)="N/A",0,VLOOKUP(C94,'Boats Data Sheet 2026'!$C$3:$J$57,8,0)),"N/A")</f>
        <v>5675000</v>
      </c>
      <c r="D97" s="537" cm="1">
        <f t="array" ref="D97">IF(B97&gt;7,2,IF(B97=0,"N/A",1))</f>
        <v>1</v>
      </c>
      <c r="E97" s="536" cm="1">
        <f t="array" ref="E97">_xlfn.IFERROR(SUM('Direct Costs 2026'!$C$4:$C$5)*D97,"N/A")</f>
        <v>875500</v>
      </c>
      <c r="F97" s="538" cm="1">
        <f t="array" ref="F97">_xlfn.IFERROR('Direct Costs 2026'!$C$43*B97,"N/A")</f>
        <v>6000</v>
      </c>
      <c r="G97" s="538" cm="1">
        <f t="array" ref="G97">IF(B97&gt;0,'Direct Costs 2026'!$C$25,"N/A")</f>
        <v>90000</v>
      </c>
      <c r="H97" s="538" cm="1">
        <f t="array" ref="H97">IF(B97&gt;0,'Direct Costs 2026'!$C$19+'Direct Costs 2026'!$C$18*B97,"N/A")</f>
        <v>110000</v>
      </c>
      <c r="I97" s="538">
        <v>0</v>
      </c>
      <c r="J97" s="538" cm="1">
        <f t="array" ref="J97">IF(B97&gt;0,'Direct Costs 2026'!$C$22,"N/A")</f>
        <v>200000</v>
      </c>
      <c r="K97" s="538" cm="1">
        <f t="array" ref="K97">IF(B97&gt;0,'Direct Costs 2026'!$C$15+'Direct Costs 2026'!$C$14,"N/A")</f>
        <v>230000</v>
      </c>
      <c r="L97" s="538" cm="1">
        <f t="array" ref="L97">IF(B97&gt;0,'Direct Costs 2026'!$C$26,"N/A")</f>
        <v>20000</v>
      </c>
      <c r="M97" s="538" cm="1">
        <f t="array" ref="M97">IF(B97&gt;0,'Direct Costs 2026'!$C$23,"N/A")</f>
        <v>140000</v>
      </c>
      <c r="N97" s="538" cm="1">
        <f t="array" ref="N97">IF(B97&gt;0,'Direct Costs 2026'!$C$44*B97,"N/A")</f>
        <v>110000</v>
      </c>
      <c r="O97" t="str" s="547" cm="1">
        <f t="array" ref="O97">IF(B97&gt;0,_xlfn.IFERROR(VLOOKUP(C94,'Boats Data Sheet 2026'!$C$3:$I$57,7,0)*'Direct Costs 2026'!$C$36,"N/A"),"N/A")</f>
        <v>N/A</v>
      </c>
      <c r="P97" t="str" s="547" cm="1">
        <f t="array" ref="P97">IF(B97&gt;0,IF(OR(VLOOKUP(C94,'Boats Data Sheet 2026'!$C$3:$F$57,4,0)="Own",VLOOKUP(C94,'Boats Data Sheet 2026'!$C$3:$F$57,4,0)="Management"),('Direct Costs 2026'!$C$37+'Direct Costs 2026'!$C$39),"N/A"),"N/A")</f>
        <v>N/A</v>
      </c>
      <c r="Q97" s="538" cm="1">
        <f t="array" ref="Q97">_xlfn.IFERROR(IF(B97&gt;5,IF(B97&gt;11,IF(B97&gt;15,4,3),2),IF(B97=0,"N/A",1))*SUM('Direct Costs 2026'!$C$67:$C$68),"N/A")</f>
        <v>489600</v>
      </c>
      <c r="R97" s="538" cm="1">
        <f t="array" ref="R97">_xlfn.IFERROR('Direct Costs 2026'!$C$27*C97,"N/A")</f>
        <v>113500</v>
      </c>
      <c r="S97" s="538" cm="1">
        <f t="array" ref="S97">_xlfn.IFERROR(C97+SUM(E97:R97),"N/A")</f>
        <v>8059600</v>
      </c>
      <c r="T97" s="424"/>
      <c r="U97" s="538" cm="1">
        <f t="array" ref="U97">IF(B97&gt;0,'Allocation OH and Target 2026'!$E$27,"N/A")</f>
        <v>2134447.30345641</v>
      </c>
      <c r="V97" s="538" cm="1">
        <f t="array" ref="V97">IF(B97&gt;0,'Allocation OH and Target 2026'!$E$28,"N/A")</f>
        <v>200042.323056976</v>
      </c>
      <c r="W97" s="538" cm="1">
        <f t="array" ref="W97">IF(B97&gt;0,VLOOKUP(C94,'Allocation OH and Target 2026'!$C$3:$T$23,17,0),"N/A")</f>
        <v>0</v>
      </c>
      <c r="X97" s="538" cm="1">
        <f t="array" ref="X97">IF(B97&gt;0,VLOOKUP(C94,'Allocation OH and Target 2026'!$C$3:$T$23,18,0),"N/A")</f>
        <v>0</v>
      </c>
      <c r="Y97" s="538" cm="1">
        <f t="array" ref="Y97">_xlfn.IFERROR(B97*(V97+X97),"N/A")</f>
        <v>200042.323056976</v>
      </c>
      <c r="Z97" s="424"/>
      <c r="AA97" s="538" cm="1">
        <f t="array" ref="AA97">_xlfn.IFERROR(Y97+S97,"N/A")</f>
        <v>8259642.32305698</v>
      </c>
      <c r="AB97" s="538" cm="1">
        <f t="array" ref="AB97">_xlfn.IFERROR(AA97*0.5%,"N/A")</f>
        <v>41298.2116152849</v>
      </c>
      <c r="AC97" s="538" cm="1">
        <f t="array" ref="AC97">_xlfn.IFERROR(AA97*25%,"N/A")</f>
        <v>2064910.58076425</v>
      </c>
      <c r="AD97" s="539" cm="1">
        <f t="array" ref="AD97">IF(B97&gt;0,SUM(AA97:AC97),"N/A")</f>
        <v>10365851.1154365</v>
      </c>
      <c r="AE97" s="538" cm="1">
        <f t="array" ref="AE97">_xlfn.IFERROR(AD97/B97,"N/A")</f>
        <v>10365851.1154365</v>
      </c>
      <c r="AF97" s="424"/>
      <c r="AG97" t="s" s="540">
        <v>14</v>
      </c>
      <c r="AH97" s="424" cm="1">
        <f t="array" ref="AH97">IF(AG97="N/A",0,1)</f>
        <v>0</v>
      </c>
      <c r="AI97" t="s" s="541">
        <v>14</v>
      </c>
      <c r="AJ97" s="424" cm="1">
        <f t="array" ref="AJ97">IF(AI97="N/A",0,1)</f>
        <v>0</v>
      </c>
      <c r="AK97" t="str" s="558" cm="1">
        <f t="array" ref="AK97">IF(SUM($AG$97:$AG$114)*B97&lt;SUM(AA97:AB97),"NO GO","GO")</f>
        <v>NO GO</v>
      </c>
      <c r="AL97" s="424"/>
      <c r="AM97" s="538"/>
      <c r="AN97" s="538"/>
      <c r="AO97" s="538"/>
      <c r="AP97" s="542"/>
      <c r="AQ97" s="543" cm="1">
        <f t="array" ref="AQ97">B97</f>
        <v>1</v>
      </c>
      <c r="AR97" s="18"/>
    </row>
    <row r="98" ht="16" customHeight="1">
      <c r="A98" s="12"/>
      <c r="B98" s="544" cm="1">
        <f t="array" ref="B98">IF(B97=0,0,IF(B97&lt;VLOOKUP(C94,'Boats Data Sheet 2026'!$C$3:$H$57,6,0),B97+1,0))</f>
        <v>2</v>
      </c>
      <c r="C98" s="538" cm="1">
        <f t="array" ref="C98">IF(B98&gt;0,IF(VLOOKUP(C94,'Boats Data Sheet 2026'!$C$3:$J$57,8,0)="N/A",0,VLOOKUP(C94,'Boats Data Sheet 2026'!$C$3:$J$57,8,0)),"N/A")</f>
        <v>5675000</v>
      </c>
      <c r="D98" s="545" cm="1">
        <f t="array" ref="D98">IF(B98&gt;7,2,IF(B98=0,"N/A",1))</f>
        <v>1</v>
      </c>
      <c r="E98" s="538" cm="1">
        <f t="array" ref="E98">_xlfn.IFERROR(SUM('Direct Costs 2026'!$C$4:$C$5)*D98,"N/A")</f>
        <v>875500</v>
      </c>
      <c r="F98" s="538" cm="1">
        <f t="array" ref="F98">_xlfn.IFERROR('Direct Costs 2026'!$C$43*B98,"N/A")</f>
        <v>12000</v>
      </c>
      <c r="G98" s="538" cm="1">
        <f t="array" ref="G98">IF(B98&gt;0,'Direct Costs 2026'!$C$25,"N/A")</f>
        <v>90000</v>
      </c>
      <c r="H98" s="538" cm="1">
        <f t="array" ref="H98">IF(B98&gt;0,'Direct Costs 2026'!$C$19+'Direct Costs 2026'!$C$18*B98,"N/A")</f>
        <v>145000</v>
      </c>
      <c r="I98" s="538">
        <v>0</v>
      </c>
      <c r="J98" s="538" cm="1">
        <f t="array" ref="J98">IF(B98&gt;0,'Direct Costs 2026'!$C$22,"N/A")</f>
        <v>200000</v>
      </c>
      <c r="K98" s="538" cm="1">
        <f t="array" ref="K98">IF(B98&gt;0,'Direct Costs 2026'!$C$15+'Direct Costs 2026'!$C$14,"N/A")</f>
        <v>230000</v>
      </c>
      <c r="L98" s="538" cm="1">
        <f t="array" ref="L98">IF(B98&gt;0,'Direct Costs 2026'!$C$26,"N/A")</f>
        <v>20000</v>
      </c>
      <c r="M98" s="538" cm="1">
        <f t="array" ref="M98">IF(B98&gt;0,'Direct Costs 2026'!$C$23,"N/A")</f>
        <v>140000</v>
      </c>
      <c r="N98" s="538" cm="1">
        <f t="array" ref="N98">IF(B98&gt;0,'Direct Costs 2026'!$C$44*B98,"N/A")</f>
        <v>220000</v>
      </c>
      <c r="O98" t="str" s="547" cm="1">
        <f t="array" ref="O98">IF(B98&gt;0,_xlfn.IFERROR(VLOOKUP(C94,'Boats Data Sheet 2026'!$C$3:$I$57,7,0)*'Direct Costs 2026'!$C$36,"N/A"),"N/A")</f>
        <v>N/A</v>
      </c>
      <c r="P98" t="str" s="547" cm="1">
        <f t="array" ref="P98">IF(B98&gt;0,IF(OR(VLOOKUP(C94,'Boats Data Sheet 2026'!$C$3:$F$57,4,0)="Own",VLOOKUP(C94,'Boats Data Sheet 2026'!$C$3:$F$57,4,0)="Management"),('Direct Costs 2026'!$C$37+'Direct Costs 2026'!$C$39),"N/A"),"N/A")</f>
        <v>N/A</v>
      </c>
      <c r="Q98" s="538" cm="1">
        <f t="array" ref="Q98">_xlfn.IFERROR(IF(B98&gt;5,IF(B98&gt;11,IF(B98&gt;15,4,3),2),IF(B98=0,"N/A",1))*SUM('Direct Costs 2026'!$C$67:$C$68),"N/A")</f>
        <v>489600</v>
      </c>
      <c r="R98" s="538" cm="1">
        <f t="array" ref="R98">_xlfn.IFERROR('Direct Costs 2026'!$C$27*C98,"N/A")</f>
        <v>113500</v>
      </c>
      <c r="S98" s="538" cm="1">
        <f t="array" ref="S98">_xlfn.IFERROR(C98+SUM(E98:R98),"N/A")</f>
        <v>8210600</v>
      </c>
      <c r="T98" s="424"/>
      <c r="U98" s="538" cm="1">
        <f t="array" ref="U98">IF(B98&gt;0,'Allocation OH and Target 2026'!$E$27,"N/A")</f>
        <v>2134447.30345641</v>
      </c>
      <c r="V98" s="538" cm="1">
        <f t="array" ref="V98">IF(B98&gt;0,'Allocation OH and Target 2026'!$E$28,"N/A")</f>
        <v>200042.323056976</v>
      </c>
      <c r="W98" s="538" cm="1">
        <f t="array" ref="W98">IF(B98&gt;0,VLOOKUP(C94,'Allocation OH and Target 2026'!$C$3:$T$23,17,0),"N/A")</f>
        <v>0</v>
      </c>
      <c r="X98" s="538" cm="1">
        <f t="array" ref="X98">IF(B98&gt;0,VLOOKUP(C94,'Allocation OH and Target 2026'!$C$3:$T$23,18,0),"N/A")</f>
        <v>0</v>
      </c>
      <c r="Y98" s="538" cm="1">
        <f t="array" ref="Y98">_xlfn.IFERROR(B98*(V98+X98),"N/A")</f>
        <v>400084.646113952</v>
      </c>
      <c r="Z98" s="424"/>
      <c r="AA98" s="538" cm="1">
        <f t="array" ref="AA98">_xlfn.IFERROR(Y98+S98,"N/A")</f>
        <v>8610684.646113951</v>
      </c>
      <c r="AB98" s="538" cm="1">
        <f t="array" ref="AB98">_xlfn.IFERROR(AA98*0.5%,"N/A")</f>
        <v>43053.4232305698</v>
      </c>
      <c r="AC98" s="538" cm="1">
        <f t="array" ref="AC98">_xlfn.IFERROR(AA98*25%,"N/A")</f>
        <v>2152671.16152849</v>
      </c>
      <c r="AD98" s="539" cm="1">
        <f t="array" ref="AD98">IF(B98&gt;0,SUM(AA98:AC98),"N/A")</f>
        <v>10806409.230873</v>
      </c>
      <c r="AE98" s="538" cm="1">
        <f t="array" ref="AE98">_xlfn.IFERROR(AD98/B98,"N/A")</f>
        <v>5403204.6154365</v>
      </c>
      <c r="AF98" s="424"/>
      <c r="AG98" t="str" s="546" cm="1">
        <f t="array" ref="AG98">IF(B98/VLOOKUP(C94,'Boats Data Sheet 2026'!$C$3:$H$57,6,0)&gt;VLOOKUP(C94,'Allocation OH and Target 2026'!$C$3:$J$23,8,0),IF(SUM(AH96:AH97)=0,AE98,"N/A"),"N/A")</f>
        <v>N/A</v>
      </c>
      <c r="AH98" s="424" cm="1">
        <f t="array" ref="AH98">IF(AG98="N/A",0,1)</f>
        <v>0</v>
      </c>
      <c r="AI98" t="str" s="547" cm="1">
        <f t="array" ref="AI98">IF(B98/VLOOKUP(C94,'Boats Data Sheet 2026'!$C$3:$H$57,6,0)&gt;VLOOKUP(C94,'Allocation OH and Target 2026'!$C$3:$J$23,8,0),IF(SUM(AH96:AH97)=0,S98/B98,"N/A"),"N/A")</f>
        <v>N/A</v>
      </c>
      <c r="AJ98" s="424" cm="1">
        <f t="array" ref="AJ98">IF(AI98="N/A",0,1)</f>
        <v>0</v>
      </c>
      <c r="AK98" t="str" s="527" cm="1">
        <f t="array" ref="AK98">IF(SUM($AG$97:$AG$114)*B98&lt;SUM(AA98:AB98),"NO GO","GO")</f>
        <v>NO GO</v>
      </c>
      <c r="AL98" s="424"/>
      <c r="AM98" s="538"/>
      <c r="AN98" s="538"/>
      <c r="AO98" s="538"/>
      <c r="AP98" s="542"/>
      <c r="AQ98" s="543" cm="1">
        <f t="array" ref="AQ98">B98</f>
        <v>2</v>
      </c>
      <c r="AR98" s="18"/>
    </row>
    <row r="99" ht="16" customHeight="1">
      <c r="A99" s="12"/>
      <c r="B99" s="544" cm="1">
        <f t="array" ref="B99">IF(B98=0,0,IF(B98&lt;VLOOKUP(C94,'Boats Data Sheet 2026'!$C$3:$H$57,6,0),B98+1,0))</f>
        <v>3</v>
      </c>
      <c r="C99" s="538" cm="1">
        <f t="array" ref="C99">IF(B99&gt;0,IF(VLOOKUP(C94,'Boats Data Sheet 2026'!$C$3:$J$57,8,0)="N/A",0,VLOOKUP(C94,'Boats Data Sheet 2026'!$C$3:$J$57,8,0)),"N/A")</f>
        <v>5675000</v>
      </c>
      <c r="D99" s="545" cm="1">
        <f t="array" ref="D99">IF(B99&gt;7,2,IF(B99=0,"N/A",1))</f>
        <v>1</v>
      </c>
      <c r="E99" s="538" cm="1">
        <f t="array" ref="E99">_xlfn.IFERROR(SUM('Direct Costs 2026'!$C$4:$C$5)*D99,"N/A")</f>
        <v>875500</v>
      </c>
      <c r="F99" s="538" cm="1">
        <f t="array" ref="F99">_xlfn.IFERROR('Direct Costs 2026'!$C$43*B99,"N/A")</f>
        <v>18000</v>
      </c>
      <c r="G99" s="538" cm="1">
        <f t="array" ref="G99">IF(B99&gt;0,'Direct Costs 2026'!$C$25,"N/A")</f>
        <v>90000</v>
      </c>
      <c r="H99" s="538" cm="1">
        <f t="array" ref="H99">IF(B99&gt;0,'Direct Costs 2026'!$C$19+'Direct Costs 2026'!$C$18*B99,"N/A")</f>
        <v>180000</v>
      </c>
      <c r="I99" s="538">
        <v>0</v>
      </c>
      <c r="J99" s="538" cm="1">
        <f t="array" ref="J99">IF(B99&gt;0,'Direct Costs 2026'!$C$22,"N/A")</f>
        <v>200000</v>
      </c>
      <c r="K99" s="538" cm="1">
        <f t="array" ref="K99">IF(B99&gt;0,'Direct Costs 2026'!$C$15+'Direct Costs 2026'!$C$14,"N/A")</f>
        <v>230000</v>
      </c>
      <c r="L99" s="538" cm="1">
        <f t="array" ref="L99">IF(B99&gt;0,'Direct Costs 2026'!$C$26,"N/A")</f>
        <v>20000</v>
      </c>
      <c r="M99" s="538" cm="1">
        <f t="array" ref="M99">IF(B99&gt;0,'Direct Costs 2026'!$C$23,"N/A")</f>
        <v>140000</v>
      </c>
      <c r="N99" s="538" cm="1">
        <f t="array" ref="N99">IF(B99&gt;0,'Direct Costs 2026'!$C$44*B99,"N/A")</f>
        <v>330000</v>
      </c>
      <c r="O99" t="str" s="547" cm="1">
        <f t="array" ref="O99">IF(B99&gt;0,_xlfn.IFERROR(VLOOKUP(C94,'Boats Data Sheet 2026'!$C$3:$I$57,7,0)*'Direct Costs 2026'!$C$36,"N/A"),"N/A")</f>
        <v>N/A</v>
      </c>
      <c r="P99" t="str" s="547" cm="1">
        <f t="array" ref="P99">IF(B99&gt;0,IF(OR(VLOOKUP(C94,'Boats Data Sheet 2026'!$C$3:$F$57,4,0)="Own",VLOOKUP(C94,'Boats Data Sheet 2026'!$C$3:$F$57,4,0)="Management"),('Direct Costs 2026'!$C$37+'Direct Costs 2026'!$C$39),"N/A"),"N/A")</f>
        <v>N/A</v>
      </c>
      <c r="Q99" s="538" cm="1">
        <f t="array" ref="Q99">_xlfn.IFERROR(IF(B99&gt;5,IF(B99&gt;11,IF(B99&gt;15,4,3),2),IF(B99=0,"N/A",1))*SUM('Direct Costs 2026'!$C$67:$C$68),"N/A")</f>
        <v>489600</v>
      </c>
      <c r="R99" s="538" cm="1">
        <f t="array" ref="R99">_xlfn.IFERROR('Direct Costs 2026'!$C$27*C99,"N/A")</f>
        <v>113500</v>
      </c>
      <c r="S99" s="538" cm="1">
        <f t="array" ref="S99">_xlfn.IFERROR(C99+SUM(E99:R99),"N/A")</f>
        <v>8361600</v>
      </c>
      <c r="T99" s="424"/>
      <c r="U99" s="538" cm="1">
        <f t="array" ref="U99">IF(B99&gt;0,'Allocation OH and Target 2026'!$E$27,"N/A")</f>
        <v>2134447.30345641</v>
      </c>
      <c r="V99" s="538" cm="1">
        <f t="array" ref="V99">IF(B99&gt;0,'Allocation OH and Target 2026'!$E$28,"N/A")</f>
        <v>200042.323056976</v>
      </c>
      <c r="W99" s="538" cm="1">
        <f t="array" ref="W99">IF(B99&gt;0,VLOOKUP(C94,'Allocation OH and Target 2026'!$C$3:$T$23,17,0),"N/A")</f>
        <v>0</v>
      </c>
      <c r="X99" s="538" cm="1">
        <f t="array" ref="X99">IF(B99&gt;0,VLOOKUP(C94,'Allocation OH and Target 2026'!$C$3:$T$23,18,0),"N/A")</f>
        <v>0</v>
      </c>
      <c r="Y99" s="538" cm="1">
        <f t="array" ref="Y99">_xlfn.IFERROR(B99*(V99+X99),"N/A")</f>
        <v>600126.969170928</v>
      </c>
      <c r="Z99" s="424"/>
      <c r="AA99" s="538" cm="1">
        <f t="array" ref="AA99">_xlfn.IFERROR(Y99+S99,"N/A")</f>
        <v>8961726.96917093</v>
      </c>
      <c r="AB99" s="538" cm="1">
        <f t="array" ref="AB99">_xlfn.IFERROR(AA99*0.5%,"N/A")</f>
        <v>44808.6348458547</v>
      </c>
      <c r="AC99" s="538" cm="1">
        <f t="array" ref="AC99">_xlfn.IFERROR(AA99*25%,"N/A")</f>
        <v>2240431.74229273</v>
      </c>
      <c r="AD99" s="539" cm="1">
        <f t="array" ref="AD99">IF(B99&gt;0,SUM(AA99:AC99),"N/A")</f>
        <v>11246967.3463095</v>
      </c>
      <c r="AE99" s="538" cm="1">
        <f t="array" ref="AE99">_xlfn.IFERROR(AD99/B99,"N/A")</f>
        <v>3748989.1154365</v>
      </c>
      <c r="AF99" s="424"/>
      <c r="AG99" t="str" s="546" cm="1">
        <f t="array" ref="AG99">IF(B99/VLOOKUP(C94,'Boats Data Sheet 2026'!$C$3:$H$57,6,0)&gt;VLOOKUP(C94,'Allocation OH and Target 2026'!$C$3:$J$23,8,0),IF(SUM(AH96:AH98)=0,AE99,"N/A"),"N/A")</f>
        <v>N/A</v>
      </c>
      <c r="AH99" s="424" cm="1">
        <f t="array" ref="AH99">IF(AG99="N/A",0,1)</f>
        <v>0</v>
      </c>
      <c r="AI99" t="str" s="547" cm="1">
        <f t="array" ref="AI99">IF(B99/VLOOKUP(C94,'Boats Data Sheet 2026'!$C$3:$H$57,6,0)&gt;VLOOKUP(C94,'Allocation OH and Target 2026'!$C$3:$J$23,8,0),IF(SUM(AH96:AH98)=0,S99/B99,"N/A"),"N/A")</f>
        <v>N/A</v>
      </c>
      <c r="AJ99" s="424" cm="1">
        <f t="array" ref="AJ99">IF(AI99="N/A",0,1)</f>
        <v>0</v>
      </c>
      <c r="AK99" t="str" s="527" cm="1">
        <f t="array" ref="AK99">IF(SUM($AG$97:$AG$114)*B99&lt;SUM(AA99:AB99),"NO GO","GO")</f>
        <v>NO GO</v>
      </c>
      <c r="AL99" s="424"/>
      <c r="AM99" s="538"/>
      <c r="AN99" s="538"/>
      <c r="AO99" s="538"/>
      <c r="AP99" s="542"/>
      <c r="AQ99" s="543" cm="1">
        <f t="array" ref="AQ99">B99</f>
        <v>3</v>
      </c>
      <c r="AR99" s="18"/>
    </row>
    <row r="100" ht="16" customHeight="1">
      <c r="A100" s="12"/>
      <c r="B100" s="544" cm="1">
        <f t="array" ref="B100">IF(B99=0,0,IF(B99&lt;VLOOKUP(C94,'Boats Data Sheet 2026'!$C$3:$H$57,6,0),B99+1,0))</f>
        <v>4</v>
      </c>
      <c r="C100" s="538" cm="1">
        <f t="array" ref="C100">IF(B100&gt;0,IF(VLOOKUP(C94,'Boats Data Sheet 2026'!$C$3:$J$57,8,0)="N/A",0,VLOOKUP(C94,'Boats Data Sheet 2026'!$C$3:$J$57,8,0)),"N/A")</f>
        <v>5675000</v>
      </c>
      <c r="D100" s="545" cm="1">
        <f t="array" ref="D100">IF(B100&gt;7,2,IF(B100=0,"N/A",1))</f>
        <v>1</v>
      </c>
      <c r="E100" s="538" cm="1">
        <f t="array" ref="E100">_xlfn.IFERROR(SUM('Direct Costs 2026'!$C$4:$C$5)*D100,"N/A")</f>
        <v>875500</v>
      </c>
      <c r="F100" s="538" cm="1">
        <f t="array" ref="F100">_xlfn.IFERROR('Direct Costs 2026'!$C$43*B100,"N/A")</f>
        <v>24000</v>
      </c>
      <c r="G100" s="538" cm="1">
        <f t="array" ref="G100">IF(B100&gt;0,'Direct Costs 2026'!$C$25,"N/A")</f>
        <v>90000</v>
      </c>
      <c r="H100" s="538" cm="1">
        <f t="array" ref="H100">IF(B100&gt;0,'Direct Costs 2026'!$C$19+'Direct Costs 2026'!$C$18*B100,"N/A")</f>
        <v>215000</v>
      </c>
      <c r="I100" s="538">
        <v>0</v>
      </c>
      <c r="J100" s="538" cm="1">
        <f t="array" ref="J100">IF(B100&gt;0,'Direct Costs 2026'!$C$22,"N/A")</f>
        <v>200000</v>
      </c>
      <c r="K100" s="538" cm="1">
        <f t="array" ref="K100">IF(B100&gt;0,'Direct Costs 2026'!$C$15+'Direct Costs 2026'!$C$14,"N/A")</f>
        <v>230000</v>
      </c>
      <c r="L100" s="538" cm="1">
        <f t="array" ref="L100">IF(B100&gt;0,'Direct Costs 2026'!$C$26,"N/A")</f>
        <v>20000</v>
      </c>
      <c r="M100" s="538" cm="1">
        <f t="array" ref="M100">IF(B100&gt;0,'Direct Costs 2026'!$C$23,"N/A")</f>
        <v>140000</v>
      </c>
      <c r="N100" s="538" cm="1">
        <f t="array" ref="N100">IF(B100&gt;0,'Direct Costs 2026'!$C$44*B100,"N/A")</f>
        <v>440000</v>
      </c>
      <c r="O100" t="str" s="547" cm="1">
        <f t="array" ref="O100">IF(B100&gt;0,_xlfn.IFERROR(VLOOKUP(C94,'Boats Data Sheet 2026'!$C$3:$I$57,7,0)*'Direct Costs 2026'!$C$36,"N/A"),"N/A")</f>
        <v>N/A</v>
      </c>
      <c r="P100" t="str" s="547" cm="1">
        <f t="array" ref="P100">IF(B100&gt;0,IF(OR(VLOOKUP(C94,'Boats Data Sheet 2026'!$C$3:$F$57,4,0)="Own",VLOOKUP(C94,'Boats Data Sheet 2026'!$C$3:$F$57,4,0)="Management"),('Direct Costs 2026'!$C$37+'Direct Costs 2026'!$C$39),"N/A"),"N/A")</f>
        <v>N/A</v>
      </c>
      <c r="Q100" s="538" cm="1">
        <f t="array" ref="Q100">_xlfn.IFERROR(IF(B100&gt;5,IF(B100&gt;11,IF(B100&gt;15,4,3),2),IF(B100=0,"N/A",1))*SUM('Direct Costs 2026'!$C$67:$C$68),"N/A")</f>
        <v>489600</v>
      </c>
      <c r="R100" s="538" cm="1">
        <f t="array" ref="R100">_xlfn.IFERROR('Direct Costs 2026'!$C$27*C100,"N/A")</f>
        <v>113500</v>
      </c>
      <c r="S100" s="538" cm="1">
        <f t="array" ref="S100">_xlfn.IFERROR(C100+SUM(E100:R100),"N/A")</f>
        <v>8512600</v>
      </c>
      <c r="T100" s="424"/>
      <c r="U100" s="538" cm="1">
        <f t="array" ref="U100">IF(B100&gt;0,'Allocation OH and Target 2026'!$E$27,"N/A")</f>
        <v>2134447.30345641</v>
      </c>
      <c r="V100" s="538" cm="1">
        <f t="array" ref="V100">IF(B100&gt;0,'Allocation OH and Target 2026'!$E$28,"N/A")</f>
        <v>200042.323056976</v>
      </c>
      <c r="W100" s="538" cm="1">
        <f t="array" ref="W100">IF(B100&gt;0,VLOOKUP(C94,'Allocation OH and Target 2026'!$C$3:$T$23,17,0),"N/A")</f>
        <v>0</v>
      </c>
      <c r="X100" s="538" cm="1">
        <f t="array" ref="X100">IF(B100&gt;0,VLOOKUP(C94,'Allocation OH and Target 2026'!$C$3:$T$23,18,0),"N/A")</f>
        <v>0</v>
      </c>
      <c r="Y100" s="538" cm="1">
        <f t="array" ref="Y100">_xlfn.IFERROR(B100*(V100+X100),"N/A")</f>
        <v>800169.292227904</v>
      </c>
      <c r="Z100" s="424"/>
      <c r="AA100" s="538" cm="1">
        <f t="array" ref="AA100">_xlfn.IFERROR(Y100+S100,"N/A")</f>
        <v>9312769.2922279</v>
      </c>
      <c r="AB100" s="538" cm="1">
        <f t="array" ref="AB100">_xlfn.IFERROR(AA100*0.5%,"N/A")</f>
        <v>46563.8464611395</v>
      </c>
      <c r="AC100" s="538" cm="1">
        <f t="array" ref="AC100">_xlfn.IFERROR(AA100*25%,"N/A")</f>
        <v>2328192.32305698</v>
      </c>
      <c r="AD100" s="539" cm="1">
        <f t="array" ref="AD100">IF(B100&gt;0,SUM(AA100:AC100),"N/A")</f>
        <v>11687525.461746</v>
      </c>
      <c r="AE100" s="538" cm="1">
        <f t="array" ref="AE100">_xlfn.IFERROR(AD100/B100,"N/A")</f>
        <v>2921881.3654365</v>
      </c>
      <c r="AF100" s="424"/>
      <c r="AG100" t="str" s="546" cm="1">
        <f t="array" ref="AG100">IF(B100/VLOOKUP(C94,'Boats Data Sheet 2026'!$C$3:$H$57,6,0)&gt;VLOOKUP(C94,'Allocation OH and Target 2026'!$C$3:$J$23,8,0),IF(SUM(AH96:AH99)=0,AE100,"N/A"),"N/A")</f>
        <v>N/A</v>
      </c>
      <c r="AH100" s="424" cm="1">
        <f t="array" ref="AH100">IF(AG100="N/A",0,1)</f>
        <v>0</v>
      </c>
      <c r="AI100" t="str" s="547" cm="1">
        <f t="array" ref="AI100">IF(B100/VLOOKUP(C94,'Boats Data Sheet 2026'!$C$3:$H$57,6,0)&gt;VLOOKUP(C94,'Allocation OH and Target 2026'!$C$3:$J$23,8,0),IF(SUM(AH96:AH99)=0,S100/B100,"N/A"),"N/A")</f>
        <v>N/A</v>
      </c>
      <c r="AJ100" s="424" cm="1">
        <f t="array" ref="AJ100">IF(AI100="N/A",0,1)</f>
        <v>0</v>
      </c>
      <c r="AK100" t="str" s="527" cm="1">
        <f t="array" ref="AK100">IF(SUM($AG$97:$AG$114)*B100&lt;SUM(AA100:AB100),"NO GO","GO")</f>
        <v>NO GO</v>
      </c>
      <c r="AL100" s="424"/>
      <c r="AM100" s="538"/>
      <c r="AN100" s="538"/>
      <c r="AO100" s="538"/>
      <c r="AP100" s="542"/>
      <c r="AQ100" s="543" cm="1">
        <f t="array" ref="AQ100">B100</f>
        <v>4</v>
      </c>
      <c r="AR100" s="18"/>
    </row>
    <row r="101" ht="16" customHeight="1">
      <c r="A101" s="12"/>
      <c r="B101" s="544" cm="1">
        <f t="array" ref="B101">IF(B100=0,0,IF(B100&lt;VLOOKUP(C94,'Boats Data Sheet 2026'!$C$3:$H$57,6,0),B100+1,0))</f>
        <v>5</v>
      </c>
      <c r="C101" s="538" cm="1">
        <f t="array" ref="C101">IF(B101&gt;0,IF(VLOOKUP(C94,'Boats Data Sheet 2026'!$C$3:$J$57,8,0)="N/A",0,VLOOKUP(C94,'Boats Data Sheet 2026'!$C$3:$J$57,8,0)),"N/A")</f>
        <v>5675000</v>
      </c>
      <c r="D101" s="545" cm="1">
        <f t="array" ref="D101">IF(B101&gt;7,2,IF(B101=0,"N/A",1))</f>
        <v>1</v>
      </c>
      <c r="E101" s="538" cm="1">
        <f t="array" ref="E101">_xlfn.IFERROR(SUM('Direct Costs 2026'!$C$4:$C$5)*D101,"N/A")</f>
        <v>875500</v>
      </c>
      <c r="F101" s="538" cm="1">
        <f t="array" ref="F101">_xlfn.IFERROR('Direct Costs 2026'!$C$43*B101,"N/A")</f>
        <v>30000</v>
      </c>
      <c r="G101" s="538" cm="1">
        <f t="array" ref="G101">IF(B101&gt;0,'Direct Costs 2026'!$C$25,"N/A")</f>
        <v>90000</v>
      </c>
      <c r="H101" s="538" cm="1">
        <f t="array" ref="H101">IF(B101&gt;0,'Direct Costs 2026'!$C$19+'Direct Costs 2026'!$C$18*B101,"N/A")</f>
        <v>250000</v>
      </c>
      <c r="I101" s="538">
        <v>0</v>
      </c>
      <c r="J101" s="538" cm="1">
        <f t="array" ref="J101">IF(B101&gt;0,'Direct Costs 2026'!$C$22,"N/A")</f>
        <v>200000</v>
      </c>
      <c r="K101" s="538" cm="1">
        <f t="array" ref="K101">IF(B101&gt;0,'Direct Costs 2026'!$C$15+'Direct Costs 2026'!$C$14,"N/A")</f>
        <v>230000</v>
      </c>
      <c r="L101" s="538" cm="1">
        <f t="array" ref="L101">IF(B101&gt;0,'Direct Costs 2026'!$C$26,"N/A")</f>
        <v>20000</v>
      </c>
      <c r="M101" s="538" cm="1">
        <f t="array" ref="M101">IF(B101&gt;0,'Direct Costs 2026'!$C$23,"N/A")</f>
        <v>140000</v>
      </c>
      <c r="N101" s="538" cm="1">
        <f t="array" ref="N101">IF(B101&gt;0,'Direct Costs 2026'!$C$44*B101,"N/A")</f>
        <v>550000</v>
      </c>
      <c r="O101" t="str" s="547" cm="1">
        <f t="array" ref="O101">IF(B101&gt;0,_xlfn.IFERROR(VLOOKUP(C94,'Boats Data Sheet 2026'!$C$3:$I$57,7,0)*'Direct Costs 2026'!$C$36,"N/A"),"N/A")</f>
        <v>N/A</v>
      </c>
      <c r="P101" t="str" s="547" cm="1">
        <f t="array" ref="P101">IF(B101&gt;0,IF(OR(VLOOKUP(C94,'Boats Data Sheet 2026'!$C$3:$F$57,4,0)="Own",VLOOKUP(C94,'Boats Data Sheet 2026'!$C$3:$F$57,4,0)="Management"),('Direct Costs 2026'!$C$37+'Direct Costs 2026'!$C$39),"N/A"),"N/A")</f>
        <v>N/A</v>
      </c>
      <c r="Q101" s="538" cm="1">
        <f t="array" ref="Q101">_xlfn.IFERROR(IF(B101&gt;5,IF(B101&gt;11,IF(B101&gt;15,4,3),2),IF(B101=0,"N/A",1))*SUM('Direct Costs 2026'!$C$67:$C$68),"N/A")</f>
        <v>489600</v>
      </c>
      <c r="R101" s="538" cm="1">
        <f t="array" ref="R101">_xlfn.IFERROR('Direct Costs 2026'!$C$27*C101,"N/A")</f>
        <v>113500</v>
      </c>
      <c r="S101" s="538" cm="1">
        <f t="array" ref="S101">_xlfn.IFERROR(C101+SUM(E101:R101),"N/A")</f>
        <v>8663600</v>
      </c>
      <c r="T101" s="424"/>
      <c r="U101" s="538" cm="1">
        <f t="array" ref="U101">IF(B101&gt;0,'Allocation OH and Target 2026'!$E$27,"N/A")</f>
        <v>2134447.30345641</v>
      </c>
      <c r="V101" s="538" cm="1">
        <f t="array" ref="V101">IF(B101&gt;0,'Allocation OH and Target 2026'!$E$28,"N/A")</f>
        <v>200042.323056976</v>
      </c>
      <c r="W101" s="538" cm="1">
        <f t="array" ref="W101">IF(B101&gt;0,VLOOKUP(C94,'Allocation OH and Target 2026'!$C$3:$T$23,17,0),"N/A")</f>
        <v>0</v>
      </c>
      <c r="X101" s="538" cm="1">
        <f t="array" ref="X101">IF(B101&gt;0,VLOOKUP(C94,'Allocation OH and Target 2026'!$C$3:$T$23,18,0),"N/A")</f>
        <v>0</v>
      </c>
      <c r="Y101" s="538" cm="1">
        <f t="array" ref="Y101">_xlfn.IFERROR(B101*(V101+X101),"N/A")</f>
        <v>1000211.61528488</v>
      </c>
      <c r="Z101" s="424"/>
      <c r="AA101" s="538" cm="1">
        <f t="array" ref="AA101">_xlfn.IFERROR(Y101+S101,"N/A")</f>
        <v>9663811.615284881</v>
      </c>
      <c r="AB101" s="538" cm="1">
        <f t="array" ref="AB101">_xlfn.IFERROR(AA101*0.5%,"N/A")</f>
        <v>48319.0580764244</v>
      </c>
      <c r="AC101" s="538" cm="1">
        <f t="array" ref="AC101">_xlfn.IFERROR(AA101*25%,"N/A")</f>
        <v>2415952.90382122</v>
      </c>
      <c r="AD101" s="539" cm="1">
        <f t="array" ref="AD101">IF(B101&gt;0,SUM(AA101:AC101),"N/A")</f>
        <v>12128083.5771825</v>
      </c>
      <c r="AE101" s="538" cm="1">
        <f t="array" ref="AE101">_xlfn.IFERROR(AD101/B101,"N/A")</f>
        <v>2425616.7154365</v>
      </c>
      <c r="AF101" s="424"/>
      <c r="AG101" t="str" s="546" cm="1">
        <f t="array" ref="AG101">IF(B101/VLOOKUP(C94,'Boats Data Sheet 2026'!$C$3:$H$57,6,0)&gt;VLOOKUP(C94,'Allocation OH and Target 2026'!$C$3:$J$23,8,0),IF(SUM(AH96:AH100)=0,AE101,"N/A"),"N/A")</f>
        <v>N/A</v>
      </c>
      <c r="AH101" s="424" cm="1">
        <f t="array" ref="AH101">IF(AG101="N/A",0,1)</f>
        <v>0</v>
      </c>
      <c r="AI101" t="str" s="547" cm="1">
        <f t="array" ref="AI101">IF(B101/VLOOKUP(C94,'Boats Data Sheet 2026'!$C$3:$H$57,6,0)&gt;VLOOKUP(C94,'Allocation OH and Target 2026'!$C$3:$J$23,8,0),IF(SUM(AH96:AH100)=0,S101/B101,"N/A"),"N/A")</f>
        <v>N/A</v>
      </c>
      <c r="AJ101" s="424" cm="1">
        <f t="array" ref="AJ101">IF(AI101="N/A",0,1)</f>
        <v>0</v>
      </c>
      <c r="AK101" t="str" s="527" cm="1">
        <f t="array" ref="AK101">IF(SUM($AG$97:$AG$114)*B101&lt;SUM(AA101:AB101),"NO GO","GO")</f>
        <v>NO GO</v>
      </c>
      <c r="AL101" s="424"/>
      <c r="AM101" s="538"/>
      <c r="AN101" s="538"/>
      <c r="AO101" s="538"/>
      <c r="AP101" s="542"/>
      <c r="AQ101" s="543" cm="1">
        <f t="array" ref="AQ101">B101</f>
        <v>5</v>
      </c>
      <c r="AR101" s="18"/>
    </row>
    <row r="102" ht="16" customHeight="1">
      <c r="A102" s="12"/>
      <c r="B102" s="544" cm="1">
        <f t="array" ref="B102">IF(B101=0,0,IF(B101&lt;VLOOKUP(C94,'Boats Data Sheet 2026'!$C$3:$H$57,6,0),B101+1,0))</f>
        <v>6</v>
      </c>
      <c r="C102" s="538" cm="1">
        <f t="array" ref="C102">IF(B102&gt;0,IF(VLOOKUP(C94,'Boats Data Sheet 2026'!$C$3:$J$57,8,0)="N/A",0,VLOOKUP(C94,'Boats Data Sheet 2026'!$C$3:$J$57,8,0)),"N/A")</f>
        <v>5675000</v>
      </c>
      <c r="D102" s="545" cm="1">
        <f t="array" ref="D102">IF(B102&gt;7,2,IF(B102=0,"N/A",1))</f>
        <v>1</v>
      </c>
      <c r="E102" s="538" cm="1">
        <f t="array" ref="E102">_xlfn.IFERROR(SUM('Direct Costs 2026'!$C$4:$C$5)*D102,"N/A")</f>
        <v>875500</v>
      </c>
      <c r="F102" s="538" cm="1">
        <f t="array" ref="F102">_xlfn.IFERROR('Direct Costs 2026'!$C$43*B102,"N/A")</f>
        <v>36000</v>
      </c>
      <c r="G102" s="538" cm="1">
        <f t="array" ref="G102">IF(B102&gt;0,'Direct Costs 2026'!$C$25,"N/A")</f>
        <v>90000</v>
      </c>
      <c r="H102" s="538" cm="1">
        <f t="array" ref="H102">IF(B102&gt;0,'Direct Costs 2026'!$C$19+'Direct Costs 2026'!$C$18*B102,"N/A")</f>
        <v>285000</v>
      </c>
      <c r="I102" s="538">
        <v>0</v>
      </c>
      <c r="J102" s="538" cm="1">
        <f t="array" ref="J102">IF(B102&gt;0,'Direct Costs 2026'!$C$22,"N/A")</f>
        <v>200000</v>
      </c>
      <c r="K102" s="538" cm="1">
        <f t="array" ref="K102">IF(B102&gt;0,'Direct Costs 2026'!$C$15+'Direct Costs 2026'!$C$14,"N/A")</f>
        <v>230000</v>
      </c>
      <c r="L102" s="538" cm="1">
        <f t="array" ref="L102">IF(B102&gt;0,'Direct Costs 2026'!$C$26,"N/A")</f>
        <v>20000</v>
      </c>
      <c r="M102" s="538" cm="1">
        <f t="array" ref="M102">IF(B102&gt;0,'Direct Costs 2026'!$C$23,"N/A")</f>
        <v>140000</v>
      </c>
      <c r="N102" s="538" cm="1">
        <f t="array" ref="N102">IF(B102&gt;0,'Direct Costs 2026'!$C$44*B102,"N/A")</f>
        <v>660000</v>
      </c>
      <c r="O102" t="str" s="547" cm="1">
        <f t="array" ref="O102">IF(B102&gt;0,_xlfn.IFERROR(VLOOKUP(C94,'Boats Data Sheet 2026'!$C$3:$I$57,7,0)*'Direct Costs 2026'!$C$36,"N/A"),"N/A")</f>
        <v>N/A</v>
      </c>
      <c r="P102" t="str" s="547" cm="1">
        <f t="array" ref="P102">IF(B102&gt;0,IF(OR(VLOOKUP(C94,'Boats Data Sheet 2026'!$C$3:$F$57,4,0)="Own",VLOOKUP(C94,'Boats Data Sheet 2026'!$C$3:$F$57,4,0)="Management"),('Direct Costs 2026'!$C$37+'Direct Costs 2026'!$C$39),"N/A"),"N/A")</f>
        <v>N/A</v>
      </c>
      <c r="Q102" s="538" cm="1">
        <f t="array" ref="Q102">_xlfn.IFERROR(IF(B102&gt;5,IF(B102&gt;11,IF(B102&gt;15,4,3),2),IF(B102=0,"N/A",1))*SUM('Direct Costs 2026'!$C$67:$C$68),"N/A")</f>
        <v>979200</v>
      </c>
      <c r="R102" s="538" cm="1">
        <f t="array" ref="R102">_xlfn.IFERROR('Direct Costs 2026'!$C$27*C102,"N/A")</f>
        <v>113500</v>
      </c>
      <c r="S102" s="538" cm="1">
        <f t="array" ref="S102">_xlfn.IFERROR(C102+SUM(E102:R102),"N/A")</f>
        <v>9304200</v>
      </c>
      <c r="T102" s="424"/>
      <c r="U102" s="538" cm="1">
        <f t="array" ref="U102">IF(B102&gt;0,'Allocation OH and Target 2026'!$E$27,"N/A")</f>
        <v>2134447.30345641</v>
      </c>
      <c r="V102" s="538" cm="1">
        <f t="array" ref="V102">IF(B102&gt;0,'Allocation OH and Target 2026'!$E$28,"N/A")</f>
        <v>200042.323056976</v>
      </c>
      <c r="W102" s="538" cm="1">
        <f t="array" ref="W102">IF(B102&gt;0,VLOOKUP(C94,'Allocation OH and Target 2026'!$C$3:$T$23,17,0),"N/A")</f>
        <v>0</v>
      </c>
      <c r="X102" s="538" cm="1">
        <f t="array" ref="X102">IF(B102&gt;0,VLOOKUP(C94,'Allocation OH and Target 2026'!$C$3:$T$23,18,0),"N/A")</f>
        <v>0</v>
      </c>
      <c r="Y102" s="538" cm="1">
        <f t="array" ref="Y102">_xlfn.IFERROR(B102*(V102+X102),"N/A")</f>
        <v>1200253.93834186</v>
      </c>
      <c r="Z102" s="424"/>
      <c r="AA102" s="538" cm="1">
        <f t="array" ref="AA102">_xlfn.IFERROR(Y102+S102,"N/A")</f>
        <v>10504453.9383419</v>
      </c>
      <c r="AB102" s="538" cm="1">
        <f t="array" ref="AB102">_xlfn.IFERROR(AA102*0.5%,"N/A")</f>
        <v>52522.2696917095</v>
      </c>
      <c r="AC102" s="538" cm="1">
        <f t="array" ref="AC102">_xlfn.IFERROR(AA102*25%,"N/A")</f>
        <v>2626113.48458548</v>
      </c>
      <c r="AD102" s="539" cm="1">
        <f t="array" ref="AD102">IF(B102&gt;0,SUM(AA102:AC102),"N/A")</f>
        <v>13183089.6926191</v>
      </c>
      <c r="AE102" s="538" cm="1">
        <f t="array" ref="AE102">_xlfn.IFERROR(AD102/B102,"N/A")</f>
        <v>2197181.61543652</v>
      </c>
      <c r="AF102" s="424"/>
      <c r="AG102" t="str" s="546" cm="1">
        <f t="array" ref="AG102">IF(B102/VLOOKUP(C94,'Boats Data Sheet 2026'!$C$3:$H$57,6,0)&gt;VLOOKUP(C94,'Allocation OH and Target 2026'!$C$3:$J$23,8,0),IF(SUM(AH96:AH101)=0,AE102,"N/A"),"N/A")</f>
        <v>N/A</v>
      </c>
      <c r="AH102" s="424" cm="1">
        <f t="array" ref="AH102">IF(AG102="N/A",0,1)</f>
        <v>0</v>
      </c>
      <c r="AI102" t="str" s="547" cm="1">
        <f t="array" ref="AI102">IF(B102/VLOOKUP(C94,'Boats Data Sheet 2026'!$C$3:$H$57,6,0)&gt;VLOOKUP(C94,'Allocation OH and Target 2026'!$C$3:$J$23,8,0),IF(SUM(AH96:AH101)=0,S102/B102,"N/A"),"N/A")</f>
        <v>N/A</v>
      </c>
      <c r="AJ102" s="424" cm="1">
        <f t="array" ref="AJ102">IF(AI102="N/A",0,1)</f>
        <v>0</v>
      </c>
      <c r="AK102" t="str" s="527" cm="1">
        <f t="array" ref="AK102">IF(SUM($AG$97:$AG$114)*B102&lt;SUM(AA102:AB102),"NO GO","GO")</f>
        <v>NO GO</v>
      </c>
      <c r="AL102" s="424"/>
      <c r="AM102" s="538"/>
      <c r="AN102" s="538"/>
      <c r="AO102" s="538"/>
      <c r="AP102" s="542"/>
      <c r="AQ102" s="543" cm="1">
        <f t="array" ref="AQ102">B102</f>
        <v>6</v>
      </c>
      <c r="AR102" s="18"/>
    </row>
    <row r="103" ht="16" customHeight="1">
      <c r="A103" s="12"/>
      <c r="B103" s="544" cm="1">
        <f t="array" ref="B103">IF(B102=0,0,IF(B102&lt;VLOOKUP(C94,'Boats Data Sheet 2026'!$C$3:$H$57,6,0),B102+1,0))</f>
        <v>7</v>
      </c>
      <c r="C103" s="538" cm="1">
        <f t="array" ref="C103">IF(B103&gt;0,IF(VLOOKUP(C94,'Boats Data Sheet 2026'!$C$3:$J$57,8,0)="N/A",0,VLOOKUP(C94,'Boats Data Sheet 2026'!$C$3:$J$57,8,0)),"N/A")</f>
        <v>5675000</v>
      </c>
      <c r="D103" s="545" cm="1">
        <f t="array" ref="D103">IF(B103&gt;7,2,IF(B103=0,"N/A",1))</f>
        <v>1</v>
      </c>
      <c r="E103" s="538" cm="1">
        <f t="array" ref="E103">_xlfn.IFERROR(SUM('Direct Costs 2026'!$C$4:$C$5)*D103,"N/A")</f>
        <v>875500</v>
      </c>
      <c r="F103" s="538" cm="1">
        <f t="array" ref="F103">_xlfn.IFERROR('Direct Costs 2026'!$C$43*B103,"N/A")</f>
        <v>42000</v>
      </c>
      <c r="G103" s="538" cm="1">
        <f t="array" ref="G103">IF(B103&gt;0,'Direct Costs 2026'!$C$25,"N/A")</f>
        <v>90000</v>
      </c>
      <c r="H103" s="538" cm="1">
        <f t="array" ref="H103">IF(B103&gt;0,'Direct Costs 2026'!$C$19+'Direct Costs 2026'!$C$18*B103,"N/A")</f>
        <v>320000</v>
      </c>
      <c r="I103" s="538">
        <v>0</v>
      </c>
      <c r="J103" s="538" cm="1">
        <f t="array" ref="J103">IF(B103&gt;0,'Direct Costs 2026'!$C$22,"N/A")</f>
        <v>200000</v>
      </c>
      <c r="K103" s="538" cm="1">
        <f t="array" ref="K103">IF(B103&gt;0,'Direct Costs 2026'!$C$15+'Direct Costs 2026'!$C$14,"N/A")</f>
        <v>230000</v>
      </c>
      <c r="L103" s="538" cm="1">
        <f t="array" ref="L103">IF(B103&gt;0,'Direct Costs 2026'!$C$26,"N/A")</f>
        <v>20000</v>
      </c>
      <c r="M103" s="538" cm="1">
        <f t="array" ref="M103">IF(B103&gt;0,'Direct Costs 2026'!$C$23,"N/A")</f>
        <v>140000</v>
      </c>
      <c r="N103" s="538" cm="1">
        <f t="array" ref="N103">IF(B103&gt;0,'Direct Costs 2026'!$C$44*B103,"N/A")</f>
        <v>770000</v>
      </c>
      <c r="O103" t="str" s="547" cm="1">
        <f t="array" ref="O103">IF(B103&gt;0,_xlfn.IFERROR(VLOOKUP(C94,'Boats Data Sheet 2026'!$C$3:$I$57,7,0)*'Direct Costs 2026'!$C$36,"N/A"),"N/A")</f>
        <v>N/A</v>
      </c>
      <c r="P103" t="str" s="547" cm="1">
        <f t="array" ref="P103">IF(B103&gt;0,IF(OR(VLOOKUP(C94,'Boats Data Sheet 2026'!$C$3:$F$57,4,0)="Own",VLOOKUP(C94,'Boats Data Sheet 2026'!$C$3:$F$57,4,0)="Management"),('Direct Costs 2026'!$C$37+'Direct Costs 2026'!$C$39),"N/A"),"N/A")</f>
        <v>N/A</v>
      </c>
      <c r="Q103" s="538" cm="1">
        <f t="array" ref="Q103">_xlfn.IFERROR(IF(B103&gt;5,IF(B103&gt;11,IF(B103&gt;15,4,3),2),IF(B103=0,"N/A",1))*SUM('Direct Costs 2026'!$C$67:$C$68),"N/A")</f>
        <v>979200</v>
      </c>
      <c r="R103" s="538" cm="1">
        <f t="array" ref="R103">_xlfn.IFERROR('Direct Costs 2026'!$C$27*C103,"N/A")</f>
        <v>113500</v>
      </c>
      <c r="S103" s="538" cm="1">
        <f t="array" ref="S103">_xlfn.IFERROR(C103+SUM(E103:R103),"N/A")</f>
        <v>9455200</v>
      </c>
      <c r="T103" s="424"/>
      <c r="U103" s="538" cm="1">
        <f t="array" ref="U103">IF(B103&gt;0,'Allocation OH and Target 2026'!$E$27,"N/A")</f>
        <v>2134447.30345641</v>
      </c>
      <c r="V103" s="538" cm="1">
        <f t="array" ref="V103">IF(B103&gt;0,'Allocation OH and Target 2026'!$E$28,"N/A")</f>
        <v>200042.323056976</v>
      </c>
      <c r="W103" s="538" cm="1">
        <f t="array" ref="W103">IF(B103&gt;0,VLOOKUP(C94,'Allocation OH and Target 2026'!$C$3:$T$23,17,0),"N/A")</f>
        <v>0</v>
      </c>
      <c r="X103" s="538" cm="1">
        <f t="array" ref="X103">IF(B103&gt;0,VLOOKUP(C94,'Allocation OH and Target 2026'!$C$3:$T$23,18,0),"N/A")</f>
        <v>0</v>
      </c>
      <c r="Y103" s="538" cm="1">
        <f t="array" ref="Y103">_xlfn.IFERROR(B103*(V103+X103),"N/A")</f>
        <v>1400296.26139883</v>
      </c>
      <c r="Z103" s="424"/>
      <c r="AA103" s="538" cm="1">
        <f t="array" ref="AA103">_xlfn.IFERROR(Y103+S103,"N/A")</f>
        <v>10855496.2613988</v>
      </c>
      <c r="AB103" s="538" cm="1">
        <f t="array" ref="AB103">_xlfn.IFERROR(AA103*0.5%,"N/A")</f>
        <v>54277.481306994</v>
      </c>
      <c r="AC103" s="538" cm="1">
        <f t="array" ref="AC103">_xlfn.IFERROR(AA103*25%,"N/A")</f>
        <v>2713874.0653497</v>
      </c>
      <c r="AD103" s="539" cm="1">
        <f t="array" ref="AD103">IF(B103&gt;0,SUM(AA103:AC103),"N/A")</f>
        <v>13623647.8080555</v>
      </c>
      <c r="AE103" s="538" cm="1">
        <f t="array" ref="AE103">_xlfn.IFERROR(AD103/B103,"N/A")</f>
        <v>1946235.40115079</v>
      </c>
      <c r="AF103" s="424"/>
      <c r="AG103" t="str" s="546" cm="1">
        <f t="array" ref="AG103">IF(B103/VLOOKUP(C94,'Boats Data Sheet 2026'!$C$3:$H$57,6,0)&gt;VLOOKUP(C94,'Allocation OH and Target 2026'!$C$3:$J$23,8,0),IF(SUM(AH96:AH102)=0,AE103,"N/A"),"N/A")</f>
        <v>N/A</v>
      </c>
      <c r="AH103" s="424" cm="1">
        <f t="array" ref="AH103">IF(AG103="N/A",0,1)</f>
        <v>0</v>
      </c>
      <c r="AI103" t="str" s="547" cm="1">
        <f t="array" ref="AI103">IF(B103/VLOOKUP(C94,'Boats Data Sheet 2026'!$C$3:$H$57,6,0)&gt;VLOOKUP(C94,'Allocation OH and Target 2026'!$C$3:$J$23,8,0),IF(SUM(AH96:AH102)=0,S103/B103,"N/A"),"N/A")</f>
        <v>N/A</v>
      </c>
      <c r="AJ103" s="424" cm="1">
        <f t="array" ref="AJ103">IF(AI103="N/A",0,1)</f>
        <v>0</v>
      </c>
      <c r="AK103" t="str" s="527" cm="1">
        <f t="array" ref="AK103">IF(SUM($AG$97:$AG$114)*B103&lt;SUM(AA103:AB103),"NO GO","GO")</f>
        <v>NO GO</v>
      </c>
      <c r="AL103" s="424"/>
      <c r="AM103" s="538"/>
      <c r="AN103" s="538"/>
      <c r="AO103" s="538"/>
      <c r="AP103" s="542"/>
      <c r="AQ103" s="543" cm="1">
        <f t="array" ref="AQ103">B103</f>
        <v>7</v>
      </c>
      <c r="AR103" s="18"/>
    </row>
    <row r="104" ht="16" customHeight="1">
      <c r="A104" s="12"/>
      <c r="B104" s="544" cm="1">
        <f t="array" ref="B104">IF(B103=0,0,IF(B103&lt;VLOOKUP(C94,'Boats Data Sheet 2026'!$C$3:$H$57,6,0),B103+1,0))</f>
        <v>8</v>
      </c>
      <c r="C104" s="538" cm="1">
        <f t="array" ref="C104">IF(B104&gt;0,IF(VLOOKUP(C94,'Boats Data Sheet 2026'!$C$3:$J$57,8,0)="N/A",0,VLOOKUP(C94,'Boats Data Sheet 2026'!$C$3:$J$57,8,0)),"N/A")</f>
        <v>5675000</v>
      </c>
      <c r="D104" s="545" cm="1">
        <f t="array" ref="D104">IF(B104&gt;7,2,IF(B104=0,"N/A",1))</f>
        <v>2</v>
      </c>
      <c r="E104" s="538" cm="1">
        <f t="array" ref="E104">_xlfn.IFERROR(SUM('Direct Costs 2026'!$C$4:$C$5)*D104,"N/A")</f>
        <v>1751000</v>
      </c>
      <c r="F104" s="538" cm="1">
        <f t="array" ref="F104">_xlfn.IFERROR('Direct Costs 2026'!$C$43*B104,"N/A")</f>
        <v>48000</v>
      </c>
      <c r="G104" s="538" cm="1">
        <f t="array" ref="G104">IF(B104&gt;0,'Direct Costs 2026'!$C$25,"N/A")</f>
        <v>90000</v>
      </c>
      <c r="H104" s="538" cm="1">
        <f t="array" ref="H104">IF(B104&gt;0,'Direct Costs 2026'!$C$19+'Direct Costs 2026'!$C$18*B104,"N/A")</f>
        <v>355000</v>
      </c>
      <c r="I104" s="538">
        <v>0</v>
      </c>
      <c r="J104" s="538" cm="1">
        <f t="array" ref="J104">IF(B104&gt;0,'Direct Costs 2026'!$C$22,"N/A")</f>
        <v>200000</v>
      </c>
      <c r="K104" s="538" cm="1">
        <f t="array" ref="K104">IF(B104&gt;0,'Direct Costs 2026'!$C$15+'Direct Costs 2026'!$C$14,"N/A")</f>
        <v>230000</v>
      </c>
      <c r="L104" s="538" cm="1">
        <f t="array" ref="L104">IF(B104&gt;0,'Direct Costs 2026'!$C$26,"N/A")</f>
        <v>20000</v>
      </c>
      <c r="M104" s="538" cm="1">
        <f t="array" ref="M104">IF(B104&gt;0,'Direct Costs 2026'!$C$23,"N/A")</f>
        <v>140000</v>
      </c>
      <c r="N104" s="538" cm="1">
        <f t="array" ref="N104">IF(B104&gt;0,'Direct Costs 2026'!$C$44*B104,"N/A")</f>
        <v>880000</v>
      </c>
      <c r="O104" t="str" s="547" cm="1">
        <f t="array" ref="O104">IF(B104&gt;0,_xlfn.IFERROR(VLOOKUP(C94,'Boats Data Sheet 2026'!$C$3:$I$57,7,0)*'Direct Costs 2026'!$C$36,"N/A"),"N/A")</f>
        <v>N/A</v>
      </c>
      <c r="P104" t="str" s="547" cm="1">
        <f t="array" ref="P104">IF(B104&gt;0,IF(OR(VLOOKUP(C94,'Boats Data Sheet 2026'!$C$3:$F$57,4,0)="Own",VLOOKUP(C94,'Boats Data Sheet 2026'!$C$3:$F$57,4,0)="Management"),('Direct Costs 2026'!$C$37+'Direct Costs 2026'!$C$39),"N/A"),"N/A")</f>
        <v>N/A</v>
      </c>
      <c r="Q104" s="538" cm="1">
        <f t="array" ref="Q104">_xlfn.IFERROR(IF(B104&gt;5,IF(B104&gt;11,IF(B104&gt;15,4,3),2),IF(B104=0,"N/A",1))*SUM('Direct Costs 2026'!$C$67:$C$68),"N/A")</f>
        <v>979200</v>
      </c>
      <c r="R104" s="538" cm="1">
        <f t="array" ref="R104">_xlfn.IFERROR('Direct Costs 2026'!$C$27*C104,"N/A")</f>
        <v>113500</v>
      </c>
      <c r="S104" s="538" cm="1">
        <f t="array" ref="S104">_xlfn.IFERROR(C104+SUM(E104:R104),"N/A")</f>
        <v>10481700</v>
      </c>
      <c r="T104" s="424"/>
      <c r="U104" s="538" cm="1">
        <f t="array" ref="U104">IF(B104&gt;0,'Allocation OH and Target 2026'!$E$27,"N/A")</f>
        <v>2134447.30345641</v>
      </c>
      <c r="V104" s="538" cm="1">
        <f t="array" ref="V104">IF(B104&gt;0,'Allocation OH and Target 2026'!$E$28,"N/A")</f>
        <v>200042.323056976</v>
      </c>
      <c r="W104" s="538" cm="1">
        <f t="array" ref="W104">IF(B104&gt;0,VLOOKUP(C94,'Allocation OH and Target 2026'!$C$3:$T$23,17,0),"N/A")</f>
        <v>0</v>
      </c>
      <c r="X104" s="538" cm="1">
        <f t="array" ref="X104">IF(B104&gt;0,VLOOKUP(C94,'Allocation OH and Target 2026'!$C$3:$T$23,18,0),"N/A")</f>
        <v>0</v>
      </c>
      <c r="Y104" s="538" cm="1">
        <f t="array" ref="Y104">_xlfn.IFERROR(B104*(V104+X104),"N/A")</f>
        <v>1600338.58445581</v>
      </c>
      <c r="Z104" s="424"/>
      <c r="AA104" s="538" cm="1">
        <f t="array" ref="AA104">_xlfn.IFERROR(Y104+S104,"N/A")</f>
        <v>12082038.5844558</v>
      </c>
      <c r="AB104" s="538" cm="1">
        <f t="array" ref="AB104">_xlfn.IFERROR(AA104*0.5%,"N/A")</f>
        <v>60410.192922279</v>
      </c>
      <c r="AC104" s="538" cm="1">
        <f t="array" ref="AC104">_xlfn.IFERROR(AA104*25%,"N/A")</f>
        <v>3020509.64611395</v>
      </c>
      <c r="AD104" s="539" cm="1">
        <f t="array" ref="AD104">IF(B104&gt;0,SUM(AA104:AC104),"N/A")</f>
        <v>15162958.423492</v>
      </c>
      <c r="AE104" s="538" cm="1">
        <f t="array" ref="AE104">_xlfn.IFERROR(AD104/B104,"N/A")</f>
        <v>1895369.8029365</v>
      </c>
      <c r="AF104" s="424"/>
      <c r="AG104" t="str" s="546" cm="1">
        <f t="array" ref="AG104">IF(B104/VLOOKUP(C94,'Boats Data Sheet 2026'!$C$3:$H$57,6,0)&gt;VLOOKUP(C94,'Allocation OH and Target 2026'!$C$3:$J$23,8,0),IF(SUM(AH96:AH103)=0,AE104,"N/A"),"N/A")</f>
        <v>N/A</v>
      </c>
      <c r="AH104" s="424" cm="1">
        <f t="array" ref="AH104">IF(AG104="N/A",0,1)</f>
        <v>0</v>
      </c>
      <c r="AI104" t="str" s="547" cm="1">
        <f t="array" ref="AI104">IF(B104/VLOOKUP(C94,'Boats Data Sheet 2026'!$C$3:$H$57,6,0)&gt;VLOOKUP(C94,'Allocation OH and Target 2026'!$C$3:$J$23,8,0),IF(SUM(AH96:AH103)=0,S104/B104,"N/A"),"N/A")</f>
        <v>N/A</v>
      </c>
      <c r="AJ104" s="424" cm="1">
        <f t="array" ref="AJ104">IF(AI104="N/A",0,1)</f>
        <v>0</v>
      </c>
      <c r="AK104" t="str" s="527" cm="1">
        <f t="array" ref="AK104">IF(SUM($AG$97:$AG$114)*B104&lt;SUM(AA104:AB104),"NO GO","GO")</f>
        <v>NO GO</v>
      </c>
      <c r="AL104" s="424"/>
      <c r="AM104" s="538"/>
      <c r="AN104" s="538"/>
      <c r="AO104" s="538"/>
      <c r="AP104" s="542"/>
      <c r="AQ104" s="543" cm="1">
        <f t="array" ref="AQ104">B104</f>
        <v>8</v>
      </c>
      <c r="AR104" s="18"/>
    </row>
    <row r="105" ht="16" customHeight="1">
      <c r="A105" s="12"/>
      <c r="B105" s="544" cm="1">
        <f t="array" ref="B105">IF(B104=0,0,IF(B104&lt;VLOOKUP(C94,'Boats Data Sheet 2026'!$C$3:$H$57,6,0),B104+1,0))</f>
        <v>9</v>
      </c>
      <c r="C105" s="538" cm="1">
        <f t="array" ref="C105">IF(B105&gt;0,IF(VLOOKUP(C94,'Boats Data Sheet 2026'!$C$3:$J$57,8,0)="N/A",0,VLOOKUP(C94,'Boats Data Sheet 2026'!$C$3:$J$57,8,0)),"N/A")</f>
        <v>5675000</v>
      </c>
      <c r="D105" s="545" cm="1">
        <f t="array" ref="D105">IF(B105&gt;7,2,IF(B105=0,"N/A",1))</f>
        <v>2</v>
      </c>
      <c r="E105" s="538" cm="1">
        <f t="array" ref="E105">_xlfn.IFERROR(SUM('Direct Costs 2026'!$C$4:$C$5)*D105,"N/A")</f>
        <v>1751000</v>
      </c>
      <c r="F105" s="538" cm="1">
        <f t="array" ref="F105">_xlfn.IFERROR('Direct Costs 2026'!$C$43*B105,"N/A")</f>
        <v>54000</v>
      </c>
      <c r="G105" s="538" cm="1">
        <f t="array" ref="G105">IF(B105&gt;0,'Direct Costs 2026'!$C$25,"N/A")</f>
        <v>90000</v>
      </c>
      <c r="H105" s="538" cm="1">
        <f t="array" ref="H105">IF(B105&gt;0,'Direct Costs 2026'!$C$19+'Direct Costs 2026'!$C$18*B105,"N/A")</f>
        <v>390000</v>
      </c>
      <c r="I105" s="538">
        <v>0</v>
      </c>
      <c r="J105" s="538" cm="1">
        <f t="array" ref="J105">IF(B105&gt;0,'Direct Costs 2026'!$C$22,"N/A")</f>
        <v>200000</v>
      </c>
      <c r="K105" s="538" cm="1">
        <f t="array" ref="K105">IF(B105&gt;0,'Direct Costs 2026'!$C$15+'Direct Costs 2026'!$C$14,"N/A")</f>
        <v>230000</v>
      </c>
      <c r="L105" s="538" cm="1">
        <f t="array" ref="L105">IF(B105&gt;0,'Direct Costs 2026'!$C$26,"N/A")</f>
        <v>20000</v>
      </c>
      <c r="M105" s="538" cm="1">
        <f t="array" ref="M105">IF(B105&gt;0,'Direct Costs 2026'!$C$23,"N/A")</f>
        <v>140000</v>
      </c>
      <c r="N105" s="538" cm="1">
        <f t="array" ref="N105">IF(B105&gt;0,'Direct Costs 2026'!$C$44*B105,"N/A")</f>
        <v>990000</v>
      </c>
      <c r="O105" t="str" s="547" cm="1">
        <f t="array" ref="O105">IF(B105&gt;0,_xlfn.IFERROR(VLOOKUP(C94,'Boats Data Sheet 2026'!$C$3:$I$57,7,0)*'Direct Costs 2026'!$C$36,"N/A"),"N/A")</f>
        <v>N/A</v>
      </c>
      <c r="P105" t="str" s="547" cm="1">
        <f t="array" ref="P105">IF(B105&gt;0,IF(OR(VLOOKUP(C94,'Boats Data Sheet 2026'!$C$3:$F$57,4,0)="Own",VLOOKUP(C94,'Boats Data Sheet 2026'!$C$3:$F$57,4,0)="Management"),('Direct Costs 2026'!$C$37+'Direct Costs 2026'!$C$39),"N/A"),"N/A")</f>
        <v>N/A</v>
      </c>
      <c r="Q105" s="538" cm="1">
        <f t="array" ref="Q105">_xlfn.IFERROR(IF(B105&gt;5,IF(B105&gt;11,IF(B105&gt;15,4,3),2),IF(B105=0,"N/A",1))*SUM('Direct Costs 2026'!$C$67:$C$68),"N/A")</f>
        <v>979200</v>
      </c>
      <c r="R105" s="538" cm="1">
        <f t="array" ref="R105">_xlfn.IFERROR('Direct Costs 2026'!$C$27*C105,"N/A")</f>
        <v>113500</v>
      </c>
      <c r="S105" s="538" cm="1">
        <f t="array" ref="S105">_xlfn.IFERROR(C105+SUM(E105:R105),"N/A")</f>
        <v>10632700</v>
      </c>
      <c r="T105" s="424"/>
      <c r="U105" s="538" cm="1">
        <f t="array" ref="U105">IF(B105&gt;0,'Allocation OH and Target 2026'!$E$27,"N/A")</f>
        <v>2134447.30345641</v>
      </c>
      <c r="V105" s="538" cm="1">
        <f t="array" ref="V105">IF(B105&gt;0,'Allocation OH and Target 2026'!$E$28,"N/A")</f>
        <v>200042.323056976</v>
      </c>
      <c r="W105" s="538" cm="1">
        <f t="array" ref="W105">IF(B105&gt;0,VLOOKUP(C94,'Allocation OH and Target 2026'!$C$3:$T$23,17,0),"N/A")</f>
        <v>0</v>
      </c>
      <c r="X105" s="538" cm="1">
        <f t="array" ref="X105">IF(B105&gt;0,VLOOKUP(C94,'Allocation OH and Target 2026'!$C$3:$T$23,18,0),"N/A")</f>
        <v>0</v>
      </c>
      <c r="Y105" s="538" cm="1">
        <f t="array" ref="Y105">_xlfn.IFERROR(B105*(V105+X105),"N/A")</f>
        <v>1800380.90751278</v>
      </c>
      <c r="Z105" s="424"/>
      <c r="AA105" s="538" cm="1">
        <f t="array" ref="AA105">_xlfn.IFERROR(Y105+S105,"N/A")</f>
        <v>12433080.9075128</v>
      </c>
      <c r="AB105" s="538" cm="1">
        <f t="array" ref="AB105">_xlfn.IFERROR(AA105*0.5%,"N/A")</f>
        <v>62165.404537564</v>
      </c>
      <c r="AC105" s="538" cm="1">
        <f t="array" ref="AC105">_xlfn.IFERROR(AA105*25%,"N/A")</f>
        <v>3108270.2268782</v>
      </c>
      <c r="AD105" s="539" cm="1">
        <f t="array" ref="AD105">IF(B105&gt;0,SUM(AA105:AC105),"N/A")</f>
        <v>15603516.5389286</v>
      </c>
      <c r="AE105" s="538" cm="1">
        <f t="array" ref="AE105">_xlfn.IFERROR(AD105/B105,"N/A")</f>
        <v>1733724.05988096</v>
      </c>
      <c r="AF105" s="424"/>
      <c r="AG105" t="str" s="546" cm="1">
        <f t="array" ref="AG105">IF(B105/VLOOKUP(C94,'Boats Data Sheet 2026'!$C$3:$H$57,6,0)&gt;VLOOKUP(C94,'Allocation OH and Target 2026'!$C$3:$J$23,8,0),IF(SUM(AH96:AH104)=0,AE105,"N/A"),"N/A")</f>
        <v>N/A</v>
      </c>
      <c r="AH105" s="424" cm="1">
        <f t="array" ref="AH105">IF(AG105="N/A",0,1)</f>
        <v>0</v>
      </c>
      <c r="AI105" t="str" s="547" cm="1">
        <f t="array" ref="AI105">IF(B105/VLOOKUP(C94,'Boats Data Sheet 2026'!$C$3:$H$57,6,0)&gt;VLOOKUP(C94,'Allocation OH and Target 2026'!$C$3:$J$23,8,0),IF(SUM(AH96:AH104)=0,S105/B105,"N/A"),"N/A")</f>
        <v>N/A</v>
      </c>
      <c r="AJ105" s="424" cm="1">
        <f t="array" ref="AJ105">IF(AI105="N/A",0,1)</f>
        <v>0</v>
      </c>
      <c r="AK105" t="str" s="527" cm="1">
        <f t="array" ref="AK105">IF(SUM($AG$97:$AG$114)*B105&lt;SUM(AA105:AB105),"NO GO","GO")</f>
        <v>GO</v>
      </c>
      <c r="AL105" s="424"/>
      <c r="AM105" s="538"/>
      <c r="AN105" s="538"/>
      <c r="AO105" s="538"/>
      <c r="AP105" s="542"/>
      <c r="AQ105" s="543" cm="1">
        <f t="array" ref="AQ105">B105</f>
        <v>9</v>
      </c>
      <c r="AR105" s="18"/>
    </row>
    <row r="106" ht="16" customHeight="1">
      <c r="A106" s="12"/>
      <c r="B106" s="544" cm="1">
        <f t="array" ref="B106">IF(B105=0,0,IF(B105&lt;VLOOKUP(C94,'Boats Data Sheet 2026'!$C$3:$H$57,6,0),B105+1,0))</f>
        <v>10</v>
      </c>
      <c r="C106" s="538" cm="1">
        <f t="array" ref="C106">IF(B106&gt;0,IF(VLOOKUP(C94,'Boats Data Sheet 2026'!$C$3:$J$57,8,0)="N/A",0,VLOOKUP(C94,'Boats Data Sheet 2026'!$C$3:$J$57,8,0)),"N/A")</f>
        <v>5675000</v>
      </c>
      <c r="D106" s="545" cm="1">
        <f t="array" ref="D106">IF(B106&gt;7,2,IF(B106=0,"N/A",1))</f>
        <v>2</v>
      </c>
      <c r="E106" s="538" cm="1">
        <f t="array" ref="E106">_xlfn.IFERROR(SUM('Direct Costs 2026'!$C$4:$C$5)*D106,"N/A")</f>
        <v>1751000</v>
      </c>
      <c r="F106" s="538" cm="1">
        <f t="array" ref="F106">_xlfn.IFERROR('Direct Costs 2026'!$C$43*B106,"N/A")</f>
        <v>60000</v>
      </c>
      <c r="G106" s="538" cm="1">
        <f t="array" ref="G106">IF(B106&gt;0,'Direct Costs 2026'!$C$25,"N/A")</f>
        <v>90000</v>
      </c>
      <c r="H106" s="538" cm="1">
        <f t="array" ref="H106">IF(B106&gt;0,'Direct Costs 2026'!$C$19+'Direct Costs 2026'!$C$18*B106,"N/A")</f>
        <v>425000</v>
      </c>
      <c r="I106" s="538">
        <v>0</v>
      </c>
      <c r="J106" s="538" cm="1">
        <f t="array" ref="J106">IF(B106&gt;0,'Direct Costs 2026'!$C$22,"N/A")</f>
        <v>200000</v>
      </c>
      <c r="K106" s="538" cm="1">
        <f t="array" ref="K106">IF(B106&gt;0,'Direct Costs 2026'!$C$15+'Direct Costs 2026'!$C$14,"N/A")</f>
        <v>230000</v>
      </c>
      <c r="L106" s="538" cm="1">
        <f t="array" ref="L106">IF(B106&gt;0,'Direct Costs 2026'!$C$26,"N/A")</f>
        <v>20000</v>
      </c>
      <c r="M106" s="538" cm="1">
        <f t="array" ref="M106">IF(B106&gt;0,'Direct Costs 2026'!$C$23,"N/A")</f>
        <v>140000</v>
      </c>
      <c r="N106" s="538" cm="1">
        <f t="array" ref="N106">IF(B106&gt;0,'Direct Costs 2026'!$C$44*B106,"N/A")</f>
        <v>1100000</v>
      </c>
      <c r="O106" t="str" s="547" cm="1">
        <f t="array" ref="O106">IF(B106&gt;0,_xlfn.IFERROR(VLOOKUP(C94,'Boats Data Sheet 2026'!$C$3:$I$57,7,0)*'Direct Costs 2026'!$C$36,"N/A"),"N/A")</f>
        <v>N/A</v>
      </c>
      <c r="P106" t="str" s="547" cm="1">
        <f t="array" ref="P106">IF(B106&gt;0,IF(OR(VLOOKUP(C94,'Boats Data Sheet 2026'!$C$3:$F$57,4,0)="Own",VLOOKUP(C94,'Boats Data Sheet 2026'!$C$3:$F$57,4,0)="Management"),('Direct Costs 2026'!$C$37+'Direct Costs 2026'!$C$39),"N/A"),"N/A")</f>
        <v>N/A</v>
      </c>
      <c r="Q106" s="538" cm="1">
        <f t="array" ref="Q106">_xlfn.IFERROR(IF(B106&gt;5,IF(B106&gt;11,IF(B106&gt;15,4,3),2),IF(B106=0,"N/A",1))*SUM('Direct Costs 2026'!$C$67:$C$68),"N/A")</f>
        <v>979200</v>
      </c>
      <c r="R106" s="538" cm="1">
        <f t="array" ref="R106">_xlfn.IFERROR('Direct Costs 2026'!$C$27*C106,"N/A")</f>
        <v>113500</v>
      </c>
      <c r="S106" s="538" cm="1">
        <f t="array" ref="S106">_xlfn.IFERROR(C106+SUM(E106:R106),"N/A")</f>
        <v>10783700</v>
      </c>
      <c r="T106" s="424"/>
      <c r="U106" s="538" cm="1">
        <f t="array" ref="U106">IF(B106&gt;0,'Allocation OH and Target 2026'!$E$27,"N/A")</f>
        <v>2134447.30345641</v>
      </c>
      <c r="V106" s="538" cm="1">
        <f t="array" ref="V106">IF(B106&gt;0,'Allocation OH and Target 2026'!$E$28,"N/A")</f>
        <v>200042.323056976</v>
      </c>
      <c r="W106" s="538" cm="1">
        <f t="array" ref="W106">IF(B106&gt;0,VLOOKUP(C94,'Allocation OH and Target 2026'!$C$3:$T$23,17,0),"N/A")</f>
        <v>0</v>
      </c>
      <c r="X106" s="538" cm="1">
        <f t="array" ref="X106">IF(B106&gt;0,VLOOKUP(C94,'Allocation OH and Target 2026'!$C$3:$T$23,18,0),"N/A")</f>
        <v>0</v>
      </c>
      <c r="Y106" s="538" cm="1">
        <f t="array" ref="Y106">_xlfn.IFERROR(B106*(V106+X106),"N/A")</f>
        <v>2000423.23056976</v>
      </c>
      <c r="Z106" s="424"/>
      <c r="AA106" s="538" cm="1">
        <f t="array" ref="AA106">_xlfn.IFERROR(Y106+S106,"N/A")</f>
        <v>12784123.2305698</v>
      </c>
      <c r="AB106" s="538" cm="1">
        <f t="array" ref="AB106">_xlfn.IFERROR(AA106*0.5%,"N/A")</f>
        <v>63920.616152849</v>
      </c>
      <c r="AC106" s="538" cm="1">
        <f t="array" ref="AC106">_xlfn.IFERROR(AA106*25%,"N/A")</f>
        <v>3196030.80764245</v>
      </c>
      <c r="AD106" s="539" cm="1">
        <f t="array" ref="AD106">IF(B106&gt;0,SUM(AA106:AC106),"N/A")</f>
        <v>16044074.6543651</v>
      </c>
      <c r="AE106" s="538" cm="1">
        <f t="array" ref="AE106">_xlfn.IFERROR(AD106/B106,"N/A")</f>
        <v>1604407.46543651</v>
      </c>
      <c r="AF106" s="424"/>
      <c r="AG106" t="str" s="546" cm="1">
        <f t="array" ref="AG106">IF(B106/VLOOKUP(C94,'Boats Data Sheet 2026'!$C$3:$H$57,6,0)&gt;VLOOKUP(C94,'Allocation OH and Target 2026'!$C$3:$J$23,8,0),IF(SUM(AH96:AH105)=0,AE106,"N/A"),"N/A")</f>
        <v>N/A</v>
      </c>
      <c r="AH106" s="424" cm="1">
        <f t="array" ref="AH106">IF(AG106="N/A",0,1)</f>
        <v>0</v>
      </c>
      <c r="AI106" t="str" s="547" cm="1">
        <f t="array" ref="AI106">IF(B106/VLOOKUP(C94,'Boats Data Sheet 2026'!$C$3:$H$57,6,0)&gt;VLOOKUP(C94,'Allocation OH and Target 2026'!$C$3:$J$23,8,0),IF(SUM(AH96:AH105)=0,S106/B106,"N/A"),"N/A")</f>
        <v>N/A</v>
      </c>
      <c r="AJ106" s="424" cm="1">
        <f t="array" ref="AJ106">IF(AI106="N/A",0,1)</f>
        <v>0</v>
      </c>
      <c r="AK106" t="str" s="527" cm="1">
        <f t="array" ref="AK106">IF(SUM($AG$97:$AG$114)*B106&lt;SUM(AA106:AB106),"NO GO","GO")</f>
        <v>GO</v>
      </c>
      <c r="AL106" s="424"/>
      <c r="AM106" s="538"/>
      <c r="AN106" s="538"/>
      <c r="AO106" s="538"/>
      <c r="AP106" s="542"/>
      <c r="AQ106" s="543" cm="1">
        <f t="array" ref="AQ106">B106</f>
        <v>10</v>
      </c>
      <c r="AR106" s="18"/>
    </row>
    <row r="107" ht="16" customHeight="1">
      <c r="A107" s="12"/>
      <c r="B107" s="544" cm="1">
        <f t="array" ref="B107">IF(B106=0,0,IF(B106&lt;VLOOKUP(C94,'Boats Data Sheet 2026'!$C$3:$H$57,6,0),B106+1,0))</f>
        <v>11</v>
      </c>
      <c r="C107" s="538" cm="1">
        <f t="array" ref="C107">IF(B107&gt;0,IF(VLOOKUP(C94,'Boats Data Sheet 2026'!$C$3:$J$57,8,0)="N/A",0,VLOOKUP(C94,'Boats Data Sheet 2026'!$C$3:$J$57,8,0)),"N/A")</f>
        <v>5675000</v>
      </c>
      <c r="D107" s="545" cm="1">
        <f t="array" ref="D107">IF(B107&gt;7,2,IF(B107=0,"N/A",1))</f>
        <v>2</v>
      </c>
      <c r="E107" s="538" cm="1">
        <f t="array" ref="E107">_xlfn.IFERROR(SUM('Direct Costs 2026'!$C$4:$C$5)*D107,"N/A")</f>
        <v>1751000</v>
      </c>
      <c r="F107" s="538" cm="1">
        <f t="array" ref="F107">_xlfn.IFERROR('Direct Costs 2026'!$C$43*B107,"N/A")</f>
        <v>66000</v>
      </c>
      <c r="G107" s="538" cm="1">
        <f t="array" ref="G107">IF(B107&gt;0,'Direct Costs 2026'!$C$25,"N/A")</f>
        <v>90000</v>
      </c>
      <c r="H107" s="538" cm="1">
        <f t="array" ref="H107">IF(B107&gt;0,'Direct Costs 2026'!$C$19+'Direct Costs 2026'!$C$18*B107,"N/A")</f>
        <v>460000</v>
      </c>
      <c r="I107" s="538">
        <v>0</v>
      </c>
      <c r="J107" s="538" cm="1">
        <f t="array" ref="J107">IF(B107&gt;0,'Direct Costs 2026'!$C$22,"N/A")</f>
        <v>200000</v>
      </c>
      <c r="K107" s="538" cm="1">
        <f t="array" ref="K107">IF(B107&gt;0,'Direct Costs 2026'!$C$15+'Direct Costs 2026'!$C$14,"N/A")</f>
        <v>230000</v>
      </c>
      <c r="L107" s="538" cm="1">
        <f t="array" ref="L107">IF(B107&gt;0,'Direct Costs 2026'!$C$26,"N/A")</f>
        <v>20000</v>
      </c>
      <c r="M107" s="538" cm="1">
        <f t="array" ref="M107">IF(B107&gt;0,'Direct Costs 2026'!$C$23,"N/A")</f>
        <v>140000</v>
      </c>
      <c r="N107" s="538" cm="1">
        <f t="array" ref="N107">IF(B107&gt;0,'Direct Costs 2026'!$C$44*B107,"N/A")</f>
        <v>1210000</v>
      </c>
      <c r="O107" t="str" s="547" cm="1">
        <f t="array" ref="O107">IF(B107&gt;0,_xlfn.IFERROR(VLOOKUP(C94,'Boats Data Sheet 2026'!$C$3:$I$57,7,0)*'Direct Costs 2026'!$C$36,"N/A"),"N/A")</f>
        <v>N/A</v>
      </c>
      <c r="P107" t="str" s="547" cm="1">
        <f t="array" ref="P107">IF(B107&gt;0,IF(OR(VLOOKUP(C94,'Boats Data Sheet 2026'!$C$3:$F$57,4,0)="Own",VLOOKUP(C94,'Boats Data Sheet 2026'!$C$3:$F$57,4,0)="Management"),('Direct Costs 2026'!$C$37+'Direct Costs 2026'!$C$39),"N/A"),"N/A")</f>
        <v>N/A</v>
      </c>
      <c r="Q107" s="538" cm="1">
        <f t="array" ref="Q107">_xlfn.IFERROR(IF(B107&gt;5,IF(B107&gt;11,IF(B107&gt;15,4,3),2),IF(B107=0,"N/A",1))*SUM('Direct Costs 2026'!$C$67:$C$68),"N/A")</f>
        <v>979200</v>
      </c>
      <c r="R107" s="538" cm="1">
        <f t="array" ref="R107">_xlfn.IFERROR('Direct Costs 2026'!$C$27*C107,"N/A")</f>
        <v>113500</v>
      </c>
      <c r="S107" s="538" cm="1">
        <f t="array" ref="S107">_xlfn.IFERROR(C107+SUM(E107:R107),"N/A")</f>
        <v>10934700</v>
      </c>
      <c r="T107" s="424"/>
      <c r="U107" s="538" cm="1">
        <f t="array" ref="U107">IF(B107&gt;0,'Allocation OH and Target 2026'!$E$27,"N/A")</f>
        <v>2134447.30345641</v>
      </c>
      <c r="V107" s="538" cm="1">
        <f t="array" ref="V107">IF(B107&gt;0,'Allocation OH and Target 2026'!$E$28,"N/A")</f>
        <v>200042.323056976</v>
      </c>
      <c r="W107" s="538" cm="1">
        <f t="array" ref="W107">IF(B107&gt;0,VLOOKUP(C94,'Allocation OH and Target 2026'!$C$3:$T$23,17,0),"N/A")</f>
        <v>0</v>
      </c>
      <c r="X107" s="538" cm="1">
        <f t="array" ref="X107">IF(B107&gt;0,VLOOKUP(C94,'Allocation OH and Target 2026'!$C$3:$T$23,18,0),"N/A")</f>
        <v>0</v>
      </c>
      <c r="Y107" s="538" cm="1">
        <f t="array" ref="Y107">_xlfn.IFERROR(B107*(V107+X107),"N/A")</f>
        <v>2200465.55362674</v>
      </c>
      <c r="Z107" s="424"/>
      <c r="AA107" s="538" cm="1">
        <f t="array" ref="AA107">_xlfn.IFERROR(Y107+S107,"N/A")</f>
        <v>13135165.5536267</v>
      </c>
      <c r="AB107" s="538" cm="1">
        <f t="array" ref="AB107">_xlfn.IFERROR(AA107*0.5%,"N/A")</f>
        <v>65675.8277681335</v>
      </c>
      <c r="AC107" s="538" cm="1">
        <f t="array" ref="AC107">_xlfn.IFERROR(AA107*25%,"N/A")</f>
        <v>3283791.38840668</v>
      </c>
      <c r="AD107" s="539" cm="1">
        <f t="array" ref="AD107">IF(B107&gt;0,SUM(AA107:AC107),"N/A")</f>
        <v>16484632.7698015</v>
      </c>
      <c r="AE107" s="538" cm="1">
        <f t="array" ref="AE107">_xlfn.IFERROR(AD107/B107,"N/A")</f>
        <v>1498602.97907286</v>
      </c>
      <c r="AF107" s="424"/>
      <c r="AG107" s="539" cm="1">
        <f t="array" ref="AG107">IF(B107/VLOOKUP(C94,'Boats Data Sheet 2026'!$C$3:$H$57,6,0)&gt;VLOOKUP(C94,'Allocation OH and Target 2026'!$C$3:$J$23,8,0),IF(SUM(AH96:AH106)=0,AE107,"N/A"),"N/A")</f>
        <v>1498602.97907286</v>
      </c>
      <c r="AH107" s="424" cm="1">
        <f t="array" ref="AH107">IF(AG107="N/A",0,1)</f>
        <v>1</v>
      </c>
      <c r="AI107" s="538" cm="1">
        <f t="array" ref="AI107">IF(B107/VLOOKUP(C94,'Boats Data Sheet 2026'!$C$3:$H$57,6,0)&gt;VLOOKUP(C94,'Allocation OH and Target 2026'!$C$3:$J$23,8,0),IF(SUM(AH96:AH106)=0,S107/B107,"N/A"),"N/A")</f>
        <v>994063.636363636</v>
      </c>
      <c r="AJ107" s="424" cm="1">
        <f t="array" ref="AJ107">IF(AI107="N/A",0,1)</f>
        <v>1</v>
      </c>
      <c r="AK107" t="str" s="527" cm="1">
        <f t="array" ref="AK107">IF(SUM($AG$97:$AG$114)*B107&lt;SUM(AA107:AB107),"NO GO","GO")</f>
        <v>GO</v>
      </c>
      <c r="AL107" s="424"/>
      <c r="AM107" s="538"/>
      <c r="AN107" s="538"/>
      <c r="AO107" s="538"/>
      <c r="AP107" s="542"/>
      <c r="AQ107" s="543" cm="1">
        <f t="array" ref="AQ107">B107</f>
        <v>11</v>
      </c>
      <c r="AR107" s="18"/>
    </row>
    <row r="108" ht="16" customHeight="1">
      <c r="A108" s="12"/>
      <c r="B108" s="544" cm="1">
        <f t="array" ref="B108">IF(B107=0,0,IF(B107&lt;VLOOKUP(C94,'Boats Data Sheet 2026'!$C$3:$H$57,6,0),B107+1,0))</f>
        <v>12</v>
      </c>
      <c r="C108" s="538" cm="1">
        <f t="array" ref="C108">IF(B108&gt;0,IF(VLOOKUP(C94,'Boats Data Sheet 2026'!$C$3:$J$57,8,0)="N/A",0,VLOOKUP(C94,'Boats Data Sheet 2026'!$C$3:$J$57,8,0)),"N/A")</f>
        <v>5675000</v>
      </c>
      <c r="D108" s="545" cm="1">
        <f t="array" ref="D108">IF(B108&gt;7,2,IF(B108=0,"N/A",1))</f>
        <v>2</v>
      </c>
      <c r="E108" s="538" cm="1">
        <f t="array" ref="E108">_xlfn.IFERROR(SUM('Direct Costs 2026'!$C$4:$C$5)*D108,"N/A")</f>
        <v>1751000</v>
      </c>
      <c r="F108" s="538" cm="1">
        <f t="array" ref="F108">_xlfn.IFERROR('Direct Costs 2026'!$C$43*B108,"N/A")</f>
        <v>72000</v>
      </c>
      <c r="G108" s="538" cm="1">
        <f t="array" ref="G108">IF(B108&gt;0,'Direct Costs 2026'!$C$25,"N/A")</f>
        <v>90000</v>
      </c>
      <c r="H108" s="538" cm="1">
        <f t="array" ref="H108">IF(B108&gt;0,'Direct Costs 2026'!$C$19+'Direct Costs 2026'!$C$18*B108,"N/A")</f>
        <v>495000</v>
      </c>
      <c r="I108" s="538">
        <v>0</v>
      </c>
      <c r="J108" s="538" cm="1">
        <f t="array" ref="J108">IF(B108&gt;0,'Direct Costs 2026'!$C$22,"N/A")</f>
        <v>200000</v>
      </c>
      <c r="K108" s="538" cm="1">
        <f t="array" ref="K108">IF(B108&gt;0,'Direct Costs 2026'!$C$15+'Direct Costs 2026'!$C$14,"N/A")</f>
        <v>230000</v>
      </c>
      <c r="L108" s="538" cm="1">
        <f t="array" ref="L108">IF(B108&gt;0,'Direct Costs 2026'!$C$26,"N/A")</f>
        <v>20000</v>
      </c>
      <c r="M108" s="538" cm="1">
        <f t="array" ref="M108">IF(B108&gt;0,'Direct Costs 2026'!$C$23,"N/A")</f>
        <v>140000</v>
      </c>
      <c r="N108" s="538" cm="1">
        <f t="array" ref="N108">IF(B108&gt;0,'Direct Costs 2026'!$C$44*B108,"N/A")</f>
        <v>1320000</v>
      </c>
      <c r="O108" t="str" s="547" cm="1">
        <f t="array" ref="O108">IF(B108&gt;0,_xlfn.IFERROR(VLOOKUP(C94,'Boats Data Sheet 2026'!$C$3:$I$57,7,0)*'Direct Costs 2026'!$C$36,"N/A"),"N/A")</f>
        <v>N/A</v>
      </c>
      <c r="P108" t="str" s="547" cm="1">
        <f t="array" ref="P108">IF(B108&gt;0,IF(OR(VLOOKUP(C94,'Boats Data Sheet 2026'!$C$3:$F$57,4,0)="Own",VLOOKUP(C94,'Boats Data Sheet 2026'!$C$3:$F$57,4,0)="Management"),('Direct Costs 2026'!$C$37+'Direct Costs 2026'!$C$39),"N/A"),"N/A")</f>
        <v>N/A</v>
      </c>
      <c r="Q108" s="538" cm="1">
        <f t="array" ref="Q108">_xlfn.IFERROR(IF(B108&gt;5,IF(B108&gt;11,IF(B108&gt;15,4,3),2),IF(B108=0,"N/A",1))*SUM('Direct Costs 2026'!$C$67:$C$68),"N/A")</f>
        <v>1468800</v>
      </c>
      <c r="R108" s="538" cm="1">
        <f t="array" ref="R108">_xlfn.IFERROR('Direct Costs 2026'!$C$27*C108,"N/A")</f>
        <v>113500</v>
      </c>
      <c r="S108" s="538" cm="1">
        <f t="array" ref="S108">_xlfn.IFERROR(C108+SUM(E108:R108),"N/A")</f>
        <v>11575300</v>
      </c>
      <c r="T108" s="424"/>
      <c r="U108" s="538" cm="1">
        <f t="array" ref="U108">IF(B108&gt;0,'Allocation OH and Target 2026'!$E$27,"N/A")</f>
        <v>2134447.30345641</v>
      </c>
      <c r="V108" s="538" cm="1">
        <f t="array" ref="V108">IF(B108&gt;0,'Allocation OH and Target 2026'!$E$28,"N/A")</f>
        <v>200042.323056976</v>
      </c>
      <c r="W108" s="538" cm="1">
        <f t="array" ref="W108">IF(B108&gt;0,VLOOKUP(C94,'Allocation OH and Target 2026'!$C$3:$T$23,17,0),"N/A")</f>
        <v>0</v>
      </c>
      <c r="X108" s="538" cm="1">
        <f t="array" ref="X108">IF(B108&gt;0,VLOOKUP(C94,'Allocation OH and Target 2026'!$C$3:$T$23,18,0),"N/A")</f>
        <v>0</v>
      </c>
      <c r="Y108" s="538" cm="1">
        <f t="array" ref="Y108">_xlfn.IFERROR(B108*(V108+X108),"N/A")</f>
        <v>2400507.87668371</v>
      </c>
      <c r="Z108" s="424"/>
      <c r="AA108" s="538" cm="1">
        <f t="array" ref="AA108">_xlfn.IFERROR(Y108+S108,"N/A")</f>
        <v>13975807.8766837</v>
      </c>
      <c r="AB108" s="538" cm="1">
        <f t="array" ref="AB108">_xlfn.IFERROR(AA108*0.5%,"N/A")</f>
        <v>69879.039383418494</v>
      </c>
      <c r="AC108" s="538" cm="1">
        <f t="array" ref="AC108">_xlfn.IFERROR(AA108*25%,"N/A")</f>
        <v>3493951.96917093</v>
      </c>
      <c r="AD108" s="539" cm="1">
        <f t="array" ref="AD108">IF(B108&gt;0,SUM(AA108:AC108),"N/A")</f>
        <v>17539638.885238</v>
      </c>
      <c r="AE108" s="538" cm="1">
        <f t="array" ref="AE108">_xlfn.IFERROR(AD108/B108,"N/A")</f>
        <v>1461636.57376983</v>
      </c>
      <c r="AF108" s="424"/>
      <c r="AG108" t="str" s="546" cm="1">
        <f t="array" ref="AG108">IF(B108/VLOOKUP(C94,'Boats Data Sheet 2026'!$C$3:$H$57,6,0)&gt;VLOOKUP(C94,'Allocation OH and Target 2026'!$C$3:$J$23,8,0),IF(SUM(AH96:AH107)=0,AE108,"N/A"),"N/A")</f>
        <v>N/A</v>
      </c>
      <c r="AH108" s="424" cm="1">
        <f t="array" ref="AH108">IF(AG108="N/A",0,1)</f>
        <v>0</v>
      </c>
      <c r="AI108" t="str" s="547" cm="1">
        <f t="array" ref="AI108">IF(B108/VLOOKUP(C94,'Boats Data Sheet 2026'!$C$3:$H$57,6,0)&gt;VLOOKUP(C94,'Allocation OH and Target 2026'!$C$3:$J$23,8,0),IF(SUM(AH96:AH107)=0,S108/B108,"N/A"),"N/A")</f>
        <v>N/A</v>
      </c>
      <c r="AJ108" s="424" cm="1">
        <f t="array" ref="AJ108">IF(AI108="N/A",0,1)</f>
        <v>0</v>
      </c>
      <c r="AK108" t="str" s="527" cm="1">
        <f t="array" ref="AK108">IF(SUM($AG$97:$AG$114)*B108&lt;SUM(AA108:AB108),"NO GO","GO")</f>
        <v>GO</v>
      </c>
      <c r="AL108" s="424"/>
      <c r="AM108" s="538"/>
      <c r="AN108" s="538"/>
      <c r="AO108" s="538"/>
      <c r="AP108" s="542"/>
      <c r="AQ108" s="543" cm="1">
        <f t="array" ref="AQ108">B108</f>
        <v>12</v>
      </c>
      <c r="AR108" s="18"/>
    </row>
    <row r="109" ht="16" customHeight="1">
      <c r="A109" s="12"/>
      <c r="B109" s="544" cm="1">
        <f t="array" ref="B109">IF(B108=0,0,IF(B108&lt;VLOOKUP(C94,'Boats Data Sheet 2026'!$C$3:$H$57,6,0),B108+1,0))</f>
        <v>13</v>
      </c>
      <c r="C109" s="538" cm="1">
        <f t="array" ref="C109">IF(B109&gt;0,IF(VLOOKUP(C94,'Boats Data Sheet 2026'!$C$3:$J$57,8,0)="N/A",0,VLOOKUP(C94,'Boats Data Sheet 2026'!$C$3:$J$57,8,0)),"N/A")</f>
        <v>5675000</v>
      </c>
      <c r="D109" s="545" cm="1">
        <f t="array" ref="D109">IF(B109&gt;7,2,IF(B109=0,"N/A",1))</f>
        <v>2</v>
      </c>
      <c r="E109" s="538" cm="1">
        <f t="array" ref="E109">_xlfn.IFERROR(SUM('Direct Costs 2026'!$C$4:$C$5)*D109,"N/A")</f>
        <v>1751000</v>
      </c>
      <c r="F109" s="538" cm="1">
        <f t="array" ref="F109">_xlfn.IFERROR('Direct Costs 2026'!$C$43*B109,"N/A")</f>
        <v>78000</v>
      </c>
      <c r="G109" s="538" cm="1">
        <f t="array" ref="G109">IF(B109&gt;0,'Direct Costs 2026'!$C$25,"N/A")</f>
        <v>90000</v>
      </c>
      <c r="H109" s="538" cm="1">
        <f t="array" ref="H109">IF(B109&gt;0,'Direct Costs 2026'!$C$19+'Direct Costs 2026'!$C$18*B109,"N/A")</f>
        <v>530000</v>
      </c>
      <c r="I109" s="538">
        <v>0</v>
      </c>
      <c r="J109" s="538" cm="1">
        <f t="array" ref="J109">IF(B109&gt;0,'Direct Costs 2026'!$C$22,"N/A")</f>
        <v>200000</v>
      </c>
      <c r="K109" s="538" cm="1">
        <f t="array" ref="K109">IF(B109&gt;0,'Direct Costs 2026'!$C$15+'Direct Costs 2026'!$C$14,"N/A")</f>
        <v>230000</v>
      </c>
      <c r="L109" s="538" cm="1">
        <f t="array" ref="L109">IF(B109&gt;0,'Direct Costs 2026'!$C$26,"N/A")</f>
        <v>20000</v>
      </c>
      <c r="M109" s="538" cm="1">
        <f t="array" ref="M109">IF(B109&gt;0,'Direct Costs 2026'!$C$23,"N/A")</f>
        <v>140000</v>
      </c>
      <c r="N109" s="538" cm="1">
        <f t="array" ref="N109">IF(B109&gt;0,'Direct Costs 2026'!$C$44*B109,"N/A")</f>
        <v>1430000</v>
      </c>
      <c r="O109" t="str" s="547" cm="1">
        <f t="array" ref="O109">IF(B109&gt;0,_xlfn.IFERROR(VLOOKUP(C94,'Boats Data Sheet 2026'!$C$3:$I$57,7,0)*'Direct Costs 2026'!$C$36,"N/A"),"N/A")</f>
        <v>N/A</v>
      </c>
      <c r="P109" t="str" s="547" cm="1">
        <f t="array" ref="P109">IF(B109&gt;0,IF(OR(VLOOKUP(C94,'Boats Data Sheet 2026'!$C$3:$F$57,4,0)="Own",VLOOKUP(C94,'Boats Data Sheet 2026'!$C$3:$F$57,4,0)="Management"),('Direct Costs 2026'!$C$37+'Direct Costs 2026'!$C$39),"N/A"),"N/A")</f>
        <v>N/A</v>
      </c>
      <c r="Q109" s="538" cm="1">
        <f t="array" ref="Q109">_xlfn.IFERROR(IF(B109&gt;5,IF(B109&gt;11,IF(B109&gt;15,4,3),2),IF(B109=0,"N/A",1))*SUM('Direct Costs 2026'!$C$67:$C$68),"N/A")</f>
        <v>1468800</v>
      </c>
      <c r="R109" s="538" cm="1">
        <f t="array" ref="R109">_xlfn.IFERROR('Direct Costs 2026'!$C$27*C109,"N/A")</f>
        <v>113500</v>
      </c>
      <c r="S109" s="538" cm="1">
        <f t="array" ref="S109">_xlfn.IFERROR(C109+SUM(E109:R109),"N/A")</f>
        <v>11726300</v>
      </c>
      <c r="T109" s="424"/>
      <c r="U109" s="538" cm="1">
        <f t="array" ref="U109">IF(B109&gt;0,'Allocation OH and Target 2026'!$E$27,"N/A")</f>
        <v>2134447.30345641</v>
      </c>
      <c r="V109" s="538" cm="1">
        <f t="array" ref="V109">IF(B109&gt;0,'Allocation OH and Target 2026'!$E$28,"N/A")</f>
        <v>200042.323056976</v>
      </c>
      <c r="W109" s="538" cm="1">
        <f t="array" ref="W109">IF(B109&gt;0,VLOOKUP(C94,'Allocation OH and Target 2026'!$C$3:$T$23,17,0),"N/A")</f>
        <v>0</v>
      </c>
      <c r="X109" s="538" cm="1">
        <f t="array" ref="X109">IF(B109&gt;0,VLOOKUP(C94,'Allocation OH and Target 2026'!$C$3:$T$23,18,0),"N/A")</f>
        <v>0</v>
      </c>
      <c r="Y109" s="538" cm="1">
        <f t="array" ref="Y109">_xlfn.IFERROR(B109*(V109+X109),"N/A")</f>
        <v>2600550.19974069</v>
      </c>
      <c r="Z109" s="424"/>
      <c r="AA109" s="538" cm="1">
        <f t="array" ref="AA109">_xlfn.IFERROR(Y109+S109,"N/A")</f>
        <v>14326850.1997407</v>
      </c>
      <c r="AB109" s="538" cm="1">
        <f t="array" ref="AB109">_xlfn.IFERROR(AA109*0.5%,"N/A")</f>
        <v>71634.2509987035</v>
      </c>
      <c r="AC109" s="538" cm="1">
        <f t="array" ref="AC109">_xlfn.IFERROR(AA109*25%,"N/A")</f>
        <v>3581712.54993518</v>
      </c>
      <c r="AD109" s="539" cm="1">
        <f t="array" ref="AD109">IF(B109&gt;0,SUM(AA109:AC109),"N/A")</f>
        <v>17980197.0006746</v>
      </c>
      <c r="AE109" s="538" cm="1">
        <f t="array" ref="AE109">_xlfn.IFERROR(AD109/B109,"N/A")</f>
        <v>1383092.07697497</v>
      </c>
      <c r="AF109" s="424"/>
      <c r="AG109" t="str" s="546" cm="1">
        <f t="array" ref="AG109">IF(B109/VLOOKUP(C94,'Boats Data Sheet 2026'!$C$3:$H$57,6,0)&gt;VLOOKUP(C94,'Allocation OH and Target 2026'!$C$3:$J$23,8,0),IF(SUM(AH96:AH108)=0,AE109,"N/A"),"N/A")</f>
        <v>N/A</v>
      </c>
      <c r="AH109" s="424" cm="1">
        <f t="array" ref="AH109">IF(AG109="N/A",0,1)</f>
        <v>0</v>
      </c>
      <c r="AI109" t="str" s="547" cm="1">
        <f t="array" ref="AI109">IF(B109/VLOOKUP(C94,'Boats Data Sheet 2026'!$C$3:$H$57,6,0)&gt;VLOOKUP(C94,'Allocation OH and Target 2026'!$C$3:$J$23,8,0),IF(SUM(AH96:AH108)=0,S109/B109,"N/A"),"N/A")</f>
        <v>N/A</v>
      </c>
      <c r="AJ109" s="424" cm="1">
        <f t="array" ref="AJ109">IF(AI109="N/A",0,1)</f>
        <v>0</v>
      </c>
      <c r="AK109" t="str" s="527" cm="1">
        <f t="array" ref="AK109">IF(SUM($AG$97:$AG$114)*B109&lt;SUM(AA109:AB109),"NO GO","GO")</f>
        <v>GO</v>
      </c>
      <c r="AL109" s="424"/>
      <c r="AM109" s="538"/>
      <c r="AN109" s="538"/>
      <c r="AO109" s="538"/>
      <c r="AP109" s="542"/>
      <c r="AQ109" s="543" cm="1">
        <f t="array" ref="AQ109">B109</f>
        <v>13</v>
      </c>
      <c r="AR109" s="18"/>
    </row>
    <row r="110" ht="16" customHeight="1">
      <c r="A110" s="12"/>
      <c r="B110" s="544" cm="1">
        <f t="array" ref="B110">IF(B109=0,0,IF(B109&lt;VLOOKUP(C94,'Boats Data Sheet 2026'!$C$3:$H$57,6,0),B109+1,0))</f>
        <v>0</v>
      </c>
      <c r="C110" t="str" s="547" cm="1">
        <f t="array" ref="C110">IF(B110&gt;0,IF(VLOOKUP(C94,'Boats Data Sheet 2026'!$C$3:$J$57,8,0)="N/A",0,VLOOKUP(C94,'Boats Data Sheet 2026'!$C$3:$J$57,8,0)),"N/A")</f>
        <v>N/A</v>
      </c>
      <c r="D110" t="str" s="547" cm="1">
        <f t="array" ref="D110">IF(B110&gt;7,2,IF(B110=0,"N/A",1))</f>
        <v>N/A</v>
      </c>
      <c r="E110" t="str" s="547" cm="1">
        <f t="array" ref="E110">_xlfn.IFERROR(SUM('Direct Costs 2026'!$C$4:$C$5)*D110,"N/A")</f>
        <v>N/A</v>
      </c>
      <c r="F110" s="538" cm="1">
        <f t="array" ref="F110">_xlfn.IFERROR('Direct Costs 2026'!$C$43*B110,"N/A")</f>
        <v>0</v>
      </c>
      <c r="G110" t="str" s="547" cm="1">
        <f t="array" ref="G110">IF(B110&gt;0,'Direct Costs 2026'!$C$25,"N/A")</f>
        <v>N/A</v>
      </c>
      <c r="H110" t="str" s="547" cm="1">
        <f t="array" ref="H110">IF(B110&gt;0,'Direct Costs 2026'!$C$19+'Direct Costs 2026'!$C$18*B110,"N/A")</f>
        <v>N/A</v>
      </c>
      <c r="I110" s="538">
        <v>0</v>
      </c>
      <c r="J110" t="str" s="547" cm="1">
        <f t="array" ref="J110">IF(B110&gt;0,'Direct Costs 2026'!$C$22,"N/A")</f>
        <v>N/A</v>
      </c>
      <c r="K110" t="str" s="547" cm="1">
        <f t="array" ref="K110">IF(B110&gt;0,'Direct Costs 2026'!$C$15+'Direct Costs 2026'!$C$14,"N/A")</f>
        <v>N/A</v>
      </c>
      <c r="L110" t="str" s="547" cm="1">
        <f t="array" ref="L110">IF(B110&gt;0,'Direct Costs 2026'!$C$26,"N/A")</f>
        <v>N/A</v>
      </c>
      <c r="M110" t="str" s="547" cm="1">
        <f t="array" ref="M110">IF(B110&gt;0,'Direct Costs 2026'!$C$23,"N/A")</f>
        <v>N/A</v>
      </c>
      <c r="N110" t="str" s="547" cm="1">
        <f t="array" ref="N110">IF(B110&gt;0,'Direct Costs 2026'!$C$44*B110,"N/A")</f>
        <v>N/A</v>
      </c>
      <c r="O110" t="str" s="547" cm="1">
        <f t="array" ref="O110">IF(B110&gt;0,_xlfn.IFERROR(VLOOKUP(C94,'Boats Data Sheet 2026'!$C$3:$I$57,7,0)*'Direct Costs 2026'!$C$36,"N/A"),"N/A")</f>
        <v>N/A</v>
      </c>
      <c r="P110" t="str" s="547" cm="1">
        <f t="array" ref="P110">IF(B110&gt;0,IF(OR(VLOOKUP(C94,'Boats Data Sheet 2026'!$C$3:$F$57,4,0)="Own",VLOOKUP(C94,'Boats Data Sheet 2026'!$C$3:$F$57,4,0)="Management"),('Direct Costs 2026'!$C$37+'Direct Costs 2026'!$C$39),"N/A"),"N/A")</f>
        <v>N/A</v>
      </c>
      <c r="Q110" t="str" s="547" cm="1">
        <f t="array" ref="Q110">_xlfn.IFERROR(IF(B110&gt;5,IF(B110&gt;11,IF(B110&gt;15,4,3),2),IF(B110=0,"N/A",1))*SUM('Direct Costs 2026'!$C$67:$C$68),"N/A")</f>
        <v>N/A</v>
      </c>
      <c r="R110" t="str" s="547" cm="1">
        <f t="array" ref="R110">_xlfn.IFERROR('Direct Costs 2026'!$C$27*C110,"N/A")</f>
        <v>N/A</v>
      </c>
      <c r="S110" t="str" s="547" cm="1">
        <f t="array" ref="S110">_xlfn.IFERROR(C110+SUM(E110:R110),"N/A")</f>
        <v>N/A</v>
      </c>
      <c r="T110" s="424"/>
      <c r="U110" t="str" s="547" cm="1">
        <f t="array" ref="U110">IF(B110&gt;0,'Allocation OH and Target 2026'!$E$27,"N/A")</f>
        <v>N/A</v>
      </c>
      <c r="V110" t="str" s="547" cm="1">
        <f t="array" ref="V110">IF(B110&gt;0,'Allocation OH and Target 2026'!$E$28,"N/A")</f>
        <v>N/A</v>
      </c>
      <c r="W110" t="str" s="547" cm="1">
        <f t="array" ref="W110">IF(B110&gt;0,VLOOKUP(C94,'Allocation OH and Target 2026'!$C$3:$T$23,17,0),"N/A")</f>
        <v>N/A</v>
      </c>
      <c r="X110" t="str" s="547" cm="1">
        <f t="array" ref="X110">IF(B110&gt;0,VLOOKUP(C94,'Allocation OH and Target 2026'!$C$3:$T$23,18,0),"N/A")</f>
        <v>N/A</v>
      </c>
      <c r="Y110" t="str" s="547" cm="1">
        <f t="array" ref="Y110">_xlfn.IFERROR(B110*(V110+X110),"N/A")</f>
        <v>N/A</v>
      </c>
      <c r="Z110" s="424"/>
      <c r="AA110" t="str" s="547" cm="1">
        <f t="array" ref="AA110">_xlfn.IFERROR(Y110+S110,"N/A")</f>
        <v>N/A</v>
      </c>
      <c r="AB110" t="str" s="547" cm="1">
        <f t="array" ref="AB110">_xlfn.IFERROR(AA110*0.5%,"N/A")</f>
        <v>N/A</v>
      </c>
      <c r="AC110" t="str" s="547" cm="1">
        <f t="array" ref="AC110">_xlfn.IFERROR(AA110*25%,"N/A")</f>
        <v>N/A</v>
      </c>
      <c r="AD110" t="str" s="546" cm="1">
        <f t="array" ref="AD110">IF(B110&gt;0,SUM(AA110:AC110),"N/A")</f>
        <v>N/A</v>
      </c>
      <c r="AE110" t="str" s="547" cm="1">
        <f t="array" ref="AE110">_xlfn.IFERROR(AD110/B110,"N/A")</f>
        <v>N/A</v>
      </c>
      <c r="AF110" s="424"/>
      <c r="AG110" t="str" s="546" cm="1">
        <f t="array" ref="AG110">IF(B110/VLOOKUP(C94,'Boats Data Sheet 2026'!$C$3:$H$57,6,0)&gt;VLOOKUP(C94,'Allocation OH and Target 2026'!$C$3:$J$23,8,0),IF(SUM(AH96:AH109)=0,AE110,"N/A"),"N/A")</f>
        <v>N/A</v>
      </c>
      <c r="AH110" s="424" cm="1">
        <f t="array" ref="AH110">IF(AG110="N/A",0,1)</f>
        <v>0</v>
      </c>
      <c r="AI110" t="str" s="547" cm="1">
        <f t="array" ref="AI110">IF(B110/VLOOKUP(C94,'Boats Data Sheet 2026'!$C$3:$H$57,6,0)&gt;VLOOKUP(C94,'Allocation OH and Target 2026'!$C$3:$J$23,8,0),IF(SUM(AH96:AH109)=0,S110/B110,"N/A"),"N/A")</f>
        <v>N/A</v>
      </c>
      <c r="AJ110" s="424" cm="1">
        <f t="array" ref="AJ110">IF(AI110="N/A",0,1)</f>
        <v>0</v>
      </c>
      <c r="AK110" t="str" s="527" cm="1">
        <f t="array" ref="AK110">IF(SUM($AG$97:$AG$114)*B110&lt;SUM(AA110:AB110),"NO GO","GO")</f>
        <v>GO</v>
      </c>
      <c r="AL110" s="424"/>
      <c r="AM110" s="538"/>
      <c r="AN110" s="538"/>
      <c r="AO110" s="538"/>
      <c r="AP110" s="542"/>
      <c r="AQ110" s="543" cm="1">
        <f t="array" ref="AQ110">B110</f>
        <v>0</v>
      </c>
      <c r="AR110" s="18"/>
    </row>
    <row r="111" ht="16" customHeight="1">
      <c r="A111" s="12"/>
      <c r="B111" s="544" cm="1">
        <f t="array" ref="B111">IF(B110=0,0,IF(B110&lt;VLOOKUP(C94,'Boats Data Sheet 2026'!$C$3:$H$57,6,0),B110+1,0))</f>
        <v>0</v>
      </c>
      <c r="C111" t="str" s="547" cm="1">
        <f t="array" ref="C111">IF(B111&gt;0,IF(VLOOKUP(C94,'Boats Data Sheet 2026'!$C$3:$J$57,8,0)="N/A",0,VLOOKUP(C94,'Boats Data Sheet 2026'!$C$3:$J$57,8,0)),"N/A")</f>
        <v>N/A</v>
      </c>
      <c r="D111" t="str" s="547" cm="1">
        <f t="array" ref="D111">IF(B111&gt;7,2,IF(B111=0,"N/A",1))</f>
        <v>N/A</v>
      </c>
      <c r="E111" t="str" s="547" cm="1">
        <f t="array" ref="E111">_xlfn.IFERROR(SUM('Direct Costs 2026'!$C$4:$C$5)*D111,"N/A")</f>
        <v>N/A</v>
      </c>
      <c r="F111" s="538" cm="1">
        <f t="array" ref="F111">_xlfn.IFERROR('Direct Costs 2026'!$C$43*B111,"N/A")</f>
        <v>0</v>
      </c>
      <c r="G111" t="str" s="547" cm="1">
        <f t="array" ref="G111">IF(B111&gt;0,'Direct Costs 2026'!$C$25,"N/A")</f>
        <v>N/A</v>
      </c>
      <c r="H111" t="str" s="547" cm="1">
        <f t="array" ref="H111">IF(B111&gt;0,'Direct Costs 2026'!$C$19+'Direct Costs 2026'!$C$18*B111,"N/A")</f>
        <v>N/A</v>
      </c>
      <c r="I111" s="538">
        <v>0</v>
      </c>
      <c r="J111" t="str" s="547" cm="1">
        <f t="array" ref="J111">IF(B111&gt;0,'Direct Costs 2026'!$C$22,"N/A")</f>
        <v>N/A</v>
      </c>
      <c r="K111" t="str" s="547" cm="1">
        <f t="array" ref="K111">IF(B111&gt;0,'Direct Costs 2026'!$C$15+'Direct Costs 2026'!$C$14,"N/A")</f>
        <v>N/A</v>
      </c>
      <c r="L111" t="str" s="547" cm="1">
        <f t="array" ref="L111">IF(B111&gt;0,'Direct Costs 2026'!$C$26,"N/A")</f>
        <v>N/A</v>
      </c>
      <c r="M111" t="str" s="547" cm="1">
        <f t="array" ref="M111">IF(B111&gt;0,'Direct Costs 2026'!$C$23,"N/A")</f>
        <v>N/A</v>
      </c>
      <c r="N111" t="str" s="547" cm="1">
        <f t="array" ref="N111">IF(B111&gt;0,'Direct Costs 2026'!$C$44*B111,"N/A")</f>
        <v>N/A</v>
      </c>
      <c r="O111" t="str" s="547" cm="1">
        <f t="array" ref="O111">IF(B111&gt;0,_xlfn.IFERROR(VLOOKUP(C94,'Boats Data Sheet 2026'!$C$3:$I$57,7,0)*'Direct Costs 2026'!$C$36,"N/A"),"N/A")</f>
        <v>N/A</v>
      </c>
      <c r="P111" t="str" s="547" cm="1">
        <f t="array" ref="P111">IF(B111&gt;0,IF(OR(VLOOKUP(C94,'Boats Data Sheet 2026'!$C$3:$F$57,4,0)="Own",VLOOKUP(C94,'Boats Data Sheet 2026'!$C$3:$F$57,4,0)="Management"),('Direct Costs 2026'!$C$37+'Direct Costs 2026'!$C$39),"N/A"),"N/A")</f>
        <v>N/A</v>
      </c>
      <c r="Q111" t="str" s="547" cm="1">
        <f t="array" ref="Q111">_xlfn.IFERROR(IF(B111&gt;5,IF(B111&gt;11,IF(B111&gt;15,4,3),2),IF(B111=0,"N/A",1))*SUM('Direct Costs 2026'!$C$67:$C$68),"N/A")</f>
        <v>N/A</v>
      </c>
      <c r="R111" t="str" s="547" cm="1">
        <f t="array" ref="R111">_xlfn.IFERROR('Direct Costs 2026'!$C$27*C111,"N/A")</f>
        <v>N/A</v>
      </c>
      <c r="S111" t="str" s="547" cm="1">
        <f t="array" ref="S111">_xlfn.IFERROR(C111+SUM(E111:R111),"N/A")</f>
        <v>N/A</v>
      </c>
      <c r="T111" s="424"/>
      <c r="U111" t="str" s="547" cm="1">
        <f t="array" ref="U111">IF(B111&gt;0,'Allocation OH and Target 2026'!$E$27,"N/A")</f>
        <v>N/A</v>
      </c>
      <c r="V111" t="str" s="547" cm="1">
        <f t="array" ref="V111">IF(B111&gt;0,'Allocation OH and Target 2026'!$E$28,"N/A")</f>
        <v>N/A</v>
      </c>
      <c r="W111" t="str" s="547" cm="1">
        <f t="array" ref="W111">IF(B111&gt;0,VLOOKUP(C94,'Allocation OH and Target 2026'!$C$3:$T$23,17,0),"N/A")</f>
        <v>N/A</v>
      </c>
      <c r="X111" t="str" s="547" cm="1">
        <f t="array" ref="X111">IF(B111&gt;0,VLOOKUP(C94,'Allocation OH and Target 2026'!$C$3:$T$23,18,0),"N/A")</f>
        <v>N/A</v>
      </c>
      <c r="Y111" t="str" s="547" cm="1">
        <f t="array" ref="Y111">_xlfn.IFERROR(V111*B111+X111,"N/A")</f>
        <v>N/A</v>
      </c>
      <c r="Z111" s="424"/>
      <c r="AA111" t="str" s="547" cm="1">
        <f t="array" ref="AA111">_xlfn.IFERROR(Y111+S111,"N/A")</f>
        <v>N/A</v>
      </c>
      <c r="AB111" t="str" s="547" cm="1">
        <f t="array" ref="AB111">_xlfn.IFERROR(AA111*0.5%,"N/A")</f>
        <v>N/A</v>
      </c>
      <c r="AC111" t="str" s="547" cm="1">
        <f t="array" ref="AC111">_xlfn.IFERROR(AA111*25%,"N/A")</f>
        <v>N/A</v>
      </c>
      <c r="AD111" t="str" s="546" cm="1">
        <f t="array" ref="AD111">IF(B111&gt;0,SUM(AA111:AC111),"N/A")</f>
        <v>N/A</v>
      </c>
      <c r="AE111" t="str" s="547" cm="1">
        <f t="array" ref="AE111">_xlfn.IFERROR(AD111/B111,"N/A")</f>
        <v>N/A</v>
      </c>
      <c r="AF111" s="424"/>
      <c r="AG111" t="str" s="546" cm="1">
        <f t="array" ref="AG111">IF(B111/VLOOKUP(C94,'Boats Data Sheet 2026'!$C$3:$H$57,6,0)&gt;VLOOKUP(C94,'Allocation OH and Target 2026'!$C$3:$J$23,8,0),IF(SUM(AH96:AH110)=0,AE111,"N/A"),"N/A")</f>
        <v>N/A</v>
      </c>
      <c r="AH111" s="424" cm="1">
        <f t="array" ref="AH111">IF(AG111="N/A",0,1)</f>
        <v>0</v>
      </c>
      <c r="AI111" t="str" s="547" cm="1">
        <f t="array" ref="AI111">IF(B111/VLOOKUP(C94,'Boats Data Sheet 2026'!$C$3:$H$57,6,0)&gt;VLOOKUP(C94,'Allocation OH and Target 2026'!$C$3:$J$23,8,0),IF(SUM(AH96:AH110)=0,S111/B111,"N/A"),"N/A")</f>
        <v>N/A</v>
      </c>
      <c r="AJ111" s="424" cm="1">
        <f t="array" ref="AJ111">IF(AI111="N/A",0,1)</f>
        <v>0</v>
      </c>
      <c r="AK111" t="str" s="527" cm="1">
        <f t="array" ref="AK111">IF(SUM($AG$97:$AG$114)*B111&lt;SUM(AA111:AB111),"NO GO","GO")</f>
        <v>GO</v>
      </c>
      <c r="AL111" s="424"/>
      <c r="AM111" s="538"/>
      <c r="AN111" s="538"/>
      <c r="AO111" s="538"/>
      <c r="AP111" s="542"/>
      <c r="AQ111" s="543" cm="1">
        <f t="array" ref="AQ111">B111</f>
        <v>0</v>
      </c>
      <c r="AR111" s="18"/>
    </row>
    <row r="112" ht="16" customHeight="1">
      <c r="A112" s="12"/>
      <c r="B112" s="544" cm="1">
        <f t="array" ref="B112">IF(B111=0,0,IF(B111&lt;VLOOKUP(C94,'Boats Data Sheet 2026'!$C$3:$H$57,6,0),B111+1,0))</f>
        <v>0</v>
      </c>
      <c r="C112" t="str" s="547" cm="1">
        <f t="array" ref="C112">IF(B112&gt;0,IF(VLOOKUP(C94,'Boats Data Sheet 2026'!$C$3:$J$57,8,0)="N/A",0,VLOOKUP(C94,'Boats Data Sheet 2026'!$C$3:$J$57,8,0)),"N/A")</f>
        <v>N/A</v>
      </c>
      <c r="D112" t="str" s="547" cm="1">
        <f t="array" ref="D112">IF(B112&gt;7,2,IF(B112=0,"N/A",1))</f>
        <v>N/A</v>
      </c>
      <c r="E112" t="str" s="547" cm="1">
        <f t="array" ref="E112">_xlfn.IFERROR(SUM('Direct Costs 2026'!$C$4:$C$5)*D112,"N/A")</f>
        <v>N/A</v>
      </c>
      <c r="F112" s="538" cm="1">
        <f t="array" ref="F112">_xlfn.IFERROR('Direct Costs 2026'!$C$43*B112,"N/A")</f>
        <v>0</v>
      </c>
      <c r="G112" t="str" s="547" cm="1">
        <f t="array" ref="G112">IF(B112&gt;0,'Direct Costs 2026'!$C$25,"N/A")</f>
        <v>N/A</v>
      </c>
      <c r="H112" t="str" s="547" cm="1">
        <f t="array" ref="H112">IF(B112&gt;0,'Direct Costs 2026'!$C$19+'Direct Costs 2026'!$C$18*B112,"N/A")</f>
        <v>N/A</v>
      </c>
      <c r="I112" s="538">
        <v>0</v>
      </c>
      <c r="J112" t="str" s="547" cm="1">
        <f t="array" ref="J112">IF(B112&gt;0,'Direct Costs 2026'!$C$22,"N/A")</f>
        <v>N/A</v>
      </c>
      <c r="K112" t="str" s="547" cm="1">
        <f t="array" ref="K112">IF(B112&gt;0,'Direct Costs 2026'!$C$15+'Direct Costs 2026'!$C$14,"N/A")</f>
        <v>N/A</v>
      </c>
      <c r="L112" t="str" s="547" cm="1">
        <f t="array" ref="L112">IF(B112&gt;0,'Direct Costs 2026'!$C$26,"N/A")</f>
        <v>N/A</v>
      </c>
      <c r="M112" t="str" s="547" cm="1">
        <f t="array" ref="M112">IF(B112&gt;0,'Direct Costs 2026'!$C$23,"N/A")</f>
        <v>N/A</v>
      </c>
      <c r="N112" t="str" s="547" cm="1">
        <f t="array" ref="N112">IF(B112&gt;0,'Direct Costs 2026'!$C$44*B112,"N/A")</f>
        <v>N/A</v>
      </c>
      <c r="O112" t="str" s="547" cm="1">
        <f t="array" ref="O112">IF(B112&gt;0,_xlfn.IFERROR(VLOOKUP(C94,'Boats Data Sheet 2026'!$C$3:$I$57,7,0)*'Direct Costs 2026'!$C$36,"N/A"),"N/A")</f>
        <v>N/A</v>
      </c>
      <c r="P112" t="str" s="547" cm="1">
        <f t="array" ref="P112">IF(B112&gt;0,IF(OR(VLOOKUP(C94,'Boats Data Sheet 2026'!$C$3:$F$57,4,0)="Own",VLOOKUP(C94,'Boats Data Sheet 2026'!$C$3:$F$57,4,0)="Management"),('Direct Costs 2026'!$C$37+'Direct Costs 2026'!$C$39),"N/A"),"N/A")</f>
        <v>N/A</v>
      </c>
      <c r="Q112" t="str" s="547" cm="1">
        <f t="array" ref="Q112">_xlfn.IFERROR(IF(B112&gt;5,IF(B112&gt;11,IF(B112&gt;15,4,3),2),IF(B112=0,"N/A",1))*SUM('Direct Costs 2026'!$C$67:$C$68),"N/A")</f>
        <v>N/A</v>
      </c>
      <c r="R112" t="str" s="547" cm="1">
        <f t="array" ref="R112">_xlfn.IFERROR('Direct Costs 2026'!$C$27*C112,"N/A")</f>
        <v>N/A</v>
      </c>
      <c r="S112" t="str" s="547" cm="1">
        <f t="array" ref="S112">_xlfn.IFERROR(C112+SUM(E112:R112),"N/A")</f>
        <v>N/A</v>
      </c>
      <c r="T112" s="424"/>
      <c r="U112" t="str" s="547" cm="1">
        <f t="array" ref="U112">IF(B112&gt;0,'Allocation OH and Target 2026'!$E$27,"N/A")</f>
        <v>N/A</v>
      </c>
      <c r="V112" t="str" s="547" cm="1">
        <f t="array" ref="V112">IF(B112&gt;0,'Allocation OH and Target 2026'!$E$28,"N/A")</f>
        <v>N/A</v>
      </c>
      <c r="W112" t="str" s="547" cm="1">
        <f t="array" ref="W112">IF(B112&gt;0,VLOOKUP(C94,'Allocation OH and Target 2026'!$C$3:$T$23,17,0),"N/A")</f>
        <v>N/A</v>
      </c>
      <c r="X112" t="str" s="547" cm="1">
        <f t="array" ref="X112">IF(B112&gt;0,VLOOKUP(C94,'Allocation OH and Target 2026'!$C$3:$T$23,18,0),"N/A")</f>
        <v>N/A</v>
      </c>
      <c r="Y112" t="str" s="547" cm="1">
        <f t="array" ref="Y112">_xlfn.IFERROR(V112*B112+X112,"N/A")</f>
        <v>N/A</v>
      </c>
      <c r="Z112" s="424"/>
      <c r="AA112" t="str" s="547" cm="1">
        <f t="array" ref="AA112">_xlfn.IFERROR(Y112+S112,"N/A")</f>
        <v>N/A</v>
      </c>
      <c r="AB112" t="str" s="547" cm="1">
        <f t="array" ref="AB112">_xlfn.IFERROR(AA112*0.5%,"N/A")</f>
        <v>N/A</v>
      </c>
      <c r="AC112" t="str" s="547" cm="1">
        <f t="array" ref="AC112">_xlfn.IFERROR(AA112*25%,"N/A")</f>
        <v>N/A</v>
      </c>
      <c r="AD112" t="str" s="546" cm="1">
        <f t="array" ref="AD112">IF(B112&gt;0,SUM(AA112:AC112),"N/A")</f>
        <v>N/A</v>
      </c>
      <c r="AE112" t="str" s="547" cm="1">
        <f t="array" ref="AE112">_xlfn.IFERROR(AD112/B112,"N/A")</f>
        <v>N/A</v>
      </c>
      <c r="AF112" s="424"/>
      <c r="AG112" t="str" s="546" cm="1">
        <f t="array" ref="AG112">IF(B112/VLOOKUP(C94,'Boats Data Sheet 2026'!$C$3:$H$57,6,0)&gt;VLOOKUP(C94,'Allocation OH and Target 2026'!$C$3:$J$23,8,0),IF(SUM(AH96:AH111)=0,AE112,"N/A"),"N/A")</f>
        <v>N/A</v>
      </c>
      <c r="AH112" s="424" cm="1">
        <f t="array" ref="AH112">IF(AG112="N/A",0,1)</f>
        <v>0</v>
      </c>
      <c r="AI112" t="str" s="547" cm="1">
        <f t="array" ref="AI112">IF(B112/VLOOKUP(C94,'Boats Data Sheet 2026'!$C$3:$H$57,6,0)&gt;VLOOKUP(C94,'Allocation OH and Target 2026'!$C$3:$J$23,8,0),IF(SUM(AH96:AH111)=0,S112/B112,"N/A"),"N/A")</f>
        <v>N/A</v>
      </c>
      <c r="AJ112" s="424" cm="1">
        <f t="array" ref="AJ112">IF(AI112="N/A",0,1)</f>
        <v>0</v>
      </c>
      <c r="AK112" t="str" s="527" cm="1">
        <f t="array" ref="AK112">IF(SUM($AG$97:$AG$114)*B112&lt;SUM(AA112:AB112),"NO GO","GO")</f>
        <v>GO</v>
      </c>
      <c r="AL112" s="424"/>
      <c r="AM112" s="538"/>
      <c r="AN112" s="538"/>
      <c r="AO112" s="538"/>
      <c r="AP112" s="542"/>
      <c r="AQ112" s="543" cm="1">
        <f t="array" ref="AQ112">B112</f>
        <v>0</v>
      </c>
      <c r="AR112" s="18"/>
    </row>
    <row r="113" ht="16" customHeight="1">
      <c r="A113" s="12"/>
      <c r="B113" s="544" cm="1">
        <f t="array" ref="B113">IF(B112=0,0,IF(B112&lt;VLOOKUP(C94,'Boats Data Sheet 2026'!$C$3:$H$57,6,0),B112+1,0))</f>
        <v>0</v>
      </c>
      <c r="C113" t="str" s="547" cm="1">
        <f t="array" ref="C113">IF(B113&gt;0,IF(VLOOKUP(C94,'Boats Data Sheet 2026'!$C$3:$J$57,8,0)="N/A",0,VLOOKUP(C94,'Boats Data Sheet 2026'!$C$3:$J$57,8,0)),"N/A")</f>
        <v>N/A</v>
      </c>
      <c r="D113" t="str" s="547" cm="1">
        <f t="array" ref="D113">IF(B113&gt;7,2,IF(B113=0,"N/A",1))</f>
        <v>N/A</v>
      </c>
      <c r="E113" t="str" s="547" cm="1">
        <f t="array" ref="E113">_xlfn.IFERROR(SUM('Direct Costs 2026'!$C$4:$C$5)*D113,"N/A")</f>
        <v>N/A</v>
      </c>
      <c r="F113" s="538" cm="1">
        <f t="array" ref="F113">_xlfn.IFERROR('Direct Costs 2026'!$C$43*B113,"N/A")</f>
        <v>0</v>
      </c>
      <c r="G113" t="str" s="547" cm="1">
        <f t="array" ref="G113">IF(B113&gt;0,'Direct Costs 2026'!$C$25,"N/A")</f>
        <v>N/A</v>
      </c>
      <c r="H113" t="str" s="547" cm="1">
        <f t="array" ref="H113">IF(B113&gt;0,'Direct Costs 2026'!$C$19+'Direct Costs 2026'!$C$18*B113,"N/A")</f>
        <v>N/A</v>
      </c>
      <c r="I113" s="538">
        <v>0</v>
      </c>
      <c r="J113" t="str" s="547" cm="1">
        <f t="array" ref="J113">IF(B113&gt;0,'Direct Costs 2026'!$C$22,"N/A")</f>
        <v>N/A</v>
      </c>
      <c r="K113" t="str" s="547" cm="1">
        <f t="array" ref="K113">IF(B113&gt;0,'Direct Costs 2026'!$C$15+'Direct Costs 2026'!$C$14,"N/A")</f>
        <v>N/A</v>
      </c>
      <c r="L113" t="str" s="547" cm="1">
        <f t="array" ref="L113">IF(B113&gt;0,'Direct Costs 2026'!$C$26,"N/A")</f>
        <v>N/A</v>
      </c>
      <c r="M113" t="str" s="547" cm="1">
        <f t="array" ref="M113">IF(B113&gt;0,'Direct Costs 2026'!$C$23,"N/A")</f>
        <v>N/A</v>
      </c>
      <c r="N113" t="str" s="547" cm="1">
        <f t="array" ref="N113">IF(B113&gt;0,'Direct Costs 2026'!$C$44*B113,"N/A")</f>
        <v>N/A</v>
      </c>
      <c r="O113" t="str" s="547" cm="1">
        <f t="array" ref="O113">IF(B113&gt;0,_xlfn.IFERROR(VLOOKUP(C94,'Boats Data Sheet 2026'!$C$3:$I$57,7,0)*'Direct Costs 2026'!$C$36,"N/A"),"N/A")</f>
        <v>N/A</v>
      </c>
      <c r="P113" t="str" s="547" cm="1">
        <f t="array" ref="P113">IF(B113&gt;0,IF(OR(VLOOKUP(C94,'Boats Data Sheet 2026'!$C$3:$F$57,4,0)="Own",VLOOKUP(C94,'Boats Data Sheet 2026'!$C$3:$F$57,4,0)="Management"),('Direct Costs 2026'!$C$37+'Direct Costs 2026'!$C$39),"N/A"),"N/A")</f>
        <v>N/A</v>
      </c>
      <c r="Q113" t="str" s="547" cm="1">
        <f t="array" ref="Q113">_xlfn.IFERROR(IF(B113&gt;5,IF(B113&gt;11,IF(B113&gt;15,4,3),2),IF(B113=0,"N/A",1))*SUM('Direct Costs 2026'!$C$67:$C$68),"N/A")</f>
        <v>N/A</v>
      </c>
      <c r="R113" t="str" s="547" cm="1">
        <f t="array" ref="R113">_xlfn.IFERROR('Direct Costs 2026'!$C$27*C113,"N/A")</f>
        <v>N/A</v>
      </c>
      <c r="S113" t="str" s="547" cm="1">
        <f t="array" ref="S113">_xlfn.IFERROR(C113+SUM(E113:R113),"N/A")</f>
        <v>N/A</v>
      </c>
      <c r="T113" s="424"/>
      <c r="U113" t="str" s="547" cm="1">
        <f t="array" ref="U113">IF(B113&gt;0,'Allocation OH and Target 2026'!$E$27,"N/A")</f>
        <v>N/A</v>
      </c>
      <c r="V113" t="str" s="547" cm="1">
        <f t="array" ref="V113">IF(B113&gt;0,'Allocation OH and Target 2026'!$E$28,"N/A")</f>
        <v>N/A</v>
      </c>
      <c r="W113" t="str" s="547" cm="1">
        <f t="array" ref="W113">IF(B113&gt;0,VLOOKUP(C94,'Allocation OH and Target 2026'!$C$3:$T$23,17,0),"N/A")</f>
        <v>N/A</v>
      </c>
      <c r="X113" t="str" s="547" cm="1">
        <f t="array" ref="X113">IF(B113&gt;0,VLOOKUP(C94,'Allocation OH and Target 2026'!$C$3:$T$23,18,0),"N/A")</f>
        <v>N/A</v>
      </c>
      <c r="Y113" t="str" s="547" cm="1">
        <f t="array" ref="Y113">_xlfn.IFERROR(V113*B113+X113,"N/A")</f>
        <v>N/A</v>
      </c>
      <c r="Z113" s="424"/>
      <c r="AA113" t="str" s="547" cm="1">
        <f t="array" ref="AA113">_xlfn.IFERROR(Y113+S113,"N/A")</f>
        <v>N/A</v>
      </c>
      <c r="AB113" t="str" s="547" cm="1">
        <f t="array" ref="AB113">_xlfn.IFERROR(AA113*0.5%,"N/A")</f>
        <v>N/A</v>
      </c>
      <c r="AC113" t="str" s="547" cm="1">
        <f t="array" ref="AC113">_xlfn.IFERROR(AA113*25%,"N/A")</f>
        <v>N/A</v>
      </c>
      <c r="AD113" t="str" s="546" cm="1">
        <f t="array" ref="AD113">IF(B113&gt;0,SUM(AA113:AC113),"N/A")</f>
        <v>N/A</v>
      </c>
      <c r="AE113" t="str" s="547" cm="1">
        <f t="array" ref="AE113">_xlfn.IFERROR(AD113/B113,"N/A")</f>
        <v>N/A</v>
      </c>
      <c r="AF113" s="424"/>
      <c r="AG113" t="str" s="546" cm="1">
        <f t="array" ref="AG113">IF(B113/VLOOKUP(C94,'Boats Data Sheet 2026'!$C$3:$H$57,6,0)&gt;VLOOKUP(C94,'Allocation OH and Target 2026'!$C$3:$J$23,8,0),IF(SUM(AH96:AH112)=0,AE113,"N/A"),"N/A")</f>
        <v>N/A</v>
      </c>
      <c r="AH113" s="424" cm="1">
        <f t="array" ref="AH113">IF(AG113="N/A",0,1)</f>
        <v>0</v>
      </c>
      <c r="AI113" t="str" s="547" cm="1">
        <f t="array" ref="AI113">IF(B113/VLOOKUP(C94,'Boats Data Sheet 2026'!$C$3:$H$57,6,0)&gt;VLOOKUP(C94,'Allocation OH and Target 2026'!$C$3:$J$23,8,0),IF(SUM(AH96:AH112)=0,S113/B113,"N/A"),"N/A")</f>
        <v>N/A</v>
      </c>
      <c r="AJ113" s="424" cm="1">
        <f t="array" ref="AJ113">IF(AI113="N/A",0,1)</f>
        <v>0</v>
      </c>
      <c r="AK113" t="str" s="527" cm="1">
        <f t="array" ref="AK113">IF(SUM($AG$97:$AG$114)*B113&lt;SUM(AA113:AB113),"NO GO","GO")</f>
        <v>GO</v>
      </c>
      <c r="AL113" s="424"/>
      <c r="AM113" s="538"/>
      <c r="AN113" s="538"/>
      <c r="AO113" s="538"/>
      <c r="AP113" s="542"/>
      <c r="AQ113" s="543" cm="1">
        <f t="array" ref="AQ113">B113</f>
        <v>0</v>
      </c>
      <c r="AR113" s="18"/>
    </row>
    <row r="114" ht="15.5" customHeight="1">
      <c r="A114" s="12"/>
      <c r="B114" s="550" cm="1">
        <f t="array" ref="B114">IF(B113=0,0,IF(B113&lt;VLOOKUP(C94,'Boats Data Sheet 2026'!$C$3:$H$57,6,0),B113+1,0))</f>
        <v>0</v>
      </c>
      <c r="C114" t="str" s="551" cm="1">
        <f t="array" ref="C114">IF(B114&gt;0,IF(VLOOKUP(C94,'Boats Data Sheet 2026'!$C$3:$J$57,8,0)="N/A",0,VLOOKUP(C94,'Boats Data Sheet 2026'!$C$3:$J$57,8,0)),"N/A")</f>
        <v>N/A</v>
      </c>
      <c r="D114" t="str" s="551" cm="1">
        <f t="array" ref="D114">IF(B114&gt;7,2,IF(B114=0,"N/A",1))</f>
        <v>N/A</v>
      </c>
      <c r="E114" t="str" s="551" cm="1">
        <f t="array" ref="E114">_xlfn.IFERROR(SUM('Direct Costs 2026'!$C$4:$C$5)*D114,"N/A")</f>
        <v>N/A</v>
      </c>
      <c r="F114" s="552" cm="1">
        <f t="array" ref="F114">_xlfn.IFERROR('Direct Costs 2026'!$C$43*B114,"N/A")</f>
        <v>0</v>
      </c>
      <c r="G114" t="str" s="551" cm="1">
        <f t="array" ref="G114">IF(B114&gt;0,'Direct Costs 2026'!$C$25,"N/A")</f>
        <v>N/A</v>
      </c>
      <c r="H114" t="str" s="551" cm="1">
        <f t="array" ref="H114">IF(B114&gt;0,'Direct Costs 2026'!$C$19+'Direct Costs 2026'!$C$18*B114,"N/A")</f>
        <v>N/A</v>
      </c>
      <c r="I114" s="552">
        <v>0</v>
      </c>
      <c r="J114" t="str" s="551" cm="1">
        <f t="array" ref="J114">IF(B114&gt;0,'Direct Costs 2026'!$C$22,"N/A")</f>
        <v>N/A</v>
      </c>
      <c r="K114" t="str" s="551" cm="1">
        <f t="array" ref="K114">IF(B114&gt;0,'Direct Costs 2026'!$C$15+'Direct Costs 2026'!$C$14,"N/A")</f>
        <v>N/A</v>
      </c>
      <c r="L114" t="str" s="551" cm="1">
        <f t="array" ref="L114">IF(B114&gt;0,'Direct Costs 2026'!$C$26,"N/A")</f>
        <v>N/A</v>
      </c>
      <c r="M114" t="str" s="551" cm="1">
        <f t="array" ref="M114">IF(B114&gt;0,'Direct Costs 2026'!$C$23,"N/A")</f>
        <v>N/A</v>
      </c>
      <c r="N114" t="str" s="551" cm="1">
        <f t="array" ref="N114">IF(B114&gt;0,'Direct Costs 2026'!$C$44*B114,"N/A")</f>
        <v>N/A</v>
      </c>
      <c r="O114" t="str" s="551" cm="1">
        <f t="array" ref="O114">IF(B114&gt;0,_xlfn.IFERROR(VLOOKUP(C94,'Boats Data Sheet 2026'!$C$3:$I$57,7,0)*'Direct Costs 2026'!$C$36,"N/A"),"N/A")</f>
        <v>N/A</v>
      </c>
      <c r="P114" t="str" s="551" cm="1">
        <f t="array" ref="P114">IF(B114&gt;0,IF(OR(VLOOKUP(C94,'Boats Data Sheet 2026'!$C$3:$F$57,4,0)="Own",VLOOKUP(C94,'Boats Data Sheet 2026'!$C$3:$F$57,4,0)="Management"),('Direct Costs 2026'!$C$37+'Direct Costs 2026'!$C$39),"N/A"),"N/A")</f>
        <v>N/A</v>
      </c>
      <c r="Q114" t="str" s="551" cm="1">
        <f t="array" ref="Q114">_xlfn.IFERROR(IF(B114&gt;5,IF(B114&gt;11,IF(B114&gt;15,4,3),2),IF(B114=0,"N/A",1))*SUM('Direct Costs 2026'!$C$67:$C$68),"N/A")</f>
        <v>N/A</v>
      </c>
      <c r="R114" t="str" s="551" cm="1">
        <f t="array" ref="R114">_xlfn.IFERROR('Direct Costs 2026'!$C$27*C114,"N/A")</f>
        <v>N/A</v>
      </c>
      <c r="S114" t="str" s="551" cm="1">
        <f t="array" ref="S114">_xlfn.IFERROR(C114+SUM(E114:R114),"N/A")</f>
        <v>N/A</v>
      </c>
      <c r="T114" s="435"/>
      <c r="U114" t="str" s="551" cm="1">
        <f t="array" ref="U114">IF(B114&gt;0,'Allocation OH and Target 2026'!$E$27,"N/A")</f>
        <v>N/A</v>
      </c>
      <c r="V114" t="str" s="551" cm="1">
        <f t="array" ref="V114">IF(B114&gt;0,'Allocation OH and Target 2026'!$E$28,"N/A")</f>
        <v>N/A</v>
      </c>
      <c r="W114" t="str" s="551" cm="1">
        <f t="array" ref="W114">IF(B114&gt;0,VLOOKUP(C94,'Allocation OH and Target 2026'!$C$3:$T$23,17,0),"N/A")</f>
        <v>N/A</v>
      </c>
      <c r="X114" t="str" s="551" cm="1">
        <f t="array" ref="X114">IF(B114&gt;0,VLOOKUP(C94,'Allocation OH and Target 2026'!$C$3:$T$23,18,0),"N/A")</f>
        <v>N/A</v>
      </c>
      <c r="Y114" t="str" s="551" cm="1">
        <f t="array" ref="Y114">_xlfn.IFERROR(V114*B114+X114,"N/A")</f>
        <v>N/A</v>
      </c>
      <c r="Z114" s="435"/>
      <c r="AA114" t="str" s="551" cm="1">
        <f t="array" ref="AA114">_xlfn.IFERROR(Y114+S114,"N/A")</f>
        <v>N/A</v>
      </c>
      <c r="AB114" t="str" s="551" cm="1">
        <f t="array" ref="AB114">_xlfn.IFERROR(AA114*0.5%,"N/A")</f>
        <v>N/A</v>
      </c>
      <c r="AC114" t="str" s="551" cm="1">
        <f t="array" ref="AC114">_xlfn.IFERROR(AA114*25%,"N/A")</f>
        <v>N/A</v>
      </c>
      <c r="AD114" t="str" s="553" cm="1">
        <f t="array" ref="AD114">IF(B114&gt;0,SUM(AA114:AC114),"N/A")</f>
        <v>N/A</v>
      </c>
      <c r="AE114" t="str" s="551" cm="1">
        <f t="array" ref="AE114">_xlfn.IFERROR(AD114/B114,"N/A")</f>
        <v>N/A</v>
      </c>
      <c r="AF114" s="435"/>
      <c r="AG114" t="str" s="553" cm="1">
        <f t="array" ref="AG114">IF(B114/VLOOKUP(C94,'Boats Data Sheet 2026'!$C$3:$H$57,6,0)&gt;VLOOKUP(C94,'Allocation OH and Target 2026'!$C$3:$J$23,8,0),IF(SUM(AH96:AH113)=0,AE114,"N/A"),"N/A")</f>
        <v>N/A</v>
      </c>
      <c r="AH114" s="435" cm="1">
        <f t="array" ref="AH114">IF(AG114="N/A",0,1)</f>
        <v>0</v>
      </c>
      <c r="AI114" t="str" s="551" cm="1">
        <f t="array" ref="AI114">IF(B114/VLOOKUP(C94,'Boats Data Sheet 2026'!$C$3:$H$57,6,0)&gt;VLOOKUP(C94,'Allocation OH and Target 2026'!$C$3:$J$23,8,0),IF(SUM(AH96:AH113)=0,S114/B114,"N/A"),"N/A")</f>
        <v>N/A</v>
      </c>
      <c r="AJ114" s="435" cm="1">
        <f t="array" ref="AJ114">IF(AI114="N/A",0,1)</f>
        <v>0</v>
      </c>
      <c r="AK114" t="str" s="554" cm="1">
        <f t="array" ref="AK114">IF(SUM($AG$97:$AG$114)*B114&lt;SUM(AA114:AB114),"NO GO","GO")</f>
        <v>GO</v>
      </c>
      <c r="AL114" s="435"/>
      <c r="AM114" s="552"/>
      <c r="AN114" s="552"/>
      <c r="AO114" s="552"/>
      <c r="AP114" s="555"/>
      <c r="AQ114" s="543" cm="1">
        <f t="array" ref="AQ114">B114</f>
        <v>0</v>
      </c>
      <c r="AR114" s="18"/>
    </row>
    <row r="115" ht="15.5" customHeight="1">
      <c r="A115" s="32"/>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7"/>
      <c r="AR115" s="18"/>
    </row>
    <row r="116" ht="15.5" customHeight="1">
      <c r="A116" s="32"/>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17"/>
      <c r="AR116" s="18"/>
    </row>
    <row r="117" ht="15.5" customHeight="1">
      <c r="A117" s="395">
        <v>6</v>
      </c>
      <c r="B117" t="s" s="517">
        <v>506</v>
      </c>
      <c r="C117" t="s" s="518">
        <v>585</v>
      </c>
      <c r="D117" s="519"/>
      <c r="E117" s="519"/>
      <c r="F117" s="519"/>
      <c r="G117" s="519"/>
      <c r="H117" s="519"/>
      <c r="I117" s="519"/>
      <c r="J117" s="519"/>
      <c r="K117" s="519"/>
      <c r="L117" s="519"/>
      <c r="M117" s="519"/>
      <c r="N117" s="519"/>
      <c r="O117" s="519"/>
      <c r="P117" s="519"/>
      <c r="Q117" s="519"/>
      <c r="R117" s="519"/>
      <c r="S117" s="519"/>
      <c r="T117" s="399"/>
      <c r="U117" s="519"/>
      <c r="V117" s="519"/>
      <c r="W117" s="519"/>
      <c r="X117" s="519"/>
      <c r="Y117" s="519"/>
      <c r="Z117" s="399"/>
      <c r="AA117" s="519"/>
      <c r="AB117" s="519"/>
      <c r="AC117" s="519"/>
      <c r="AD117" s="519"/>
      <c r="AE117" s="519"/>
      <c r="AF117" s="399"/>
      <c r="AG117" s="521"/>
      <c r="AH117" s="399"/>
      <c r="AI117" s="519"/>
      <c r="AJ117" s="399"/>
      <c r="AK117" s="519"/>
      <c r="AL117" s="399"/>
      <c r="AM117" s="519"/>
      <c r="AN117" s="519"/>
      <c r="AO117" s="519"/>
      <c r="AP117" s="522"/>
      <c r="AQ117" s="16"/>
      <c r="AR117" s="18"/>
    </row>
    <row r="118" ht="16" customHeight="1">
      <c r="A118" s="12"/>
      <c r="B118" s="523"/>
      <c r="C118" t="s" s="524">
        <v>513</v>
      </c>
      <c r="D118" s="525"/>
      <c r="E118" s="525"/>
      <c r="F118" s="525"/>
      <c r="G118" s="525"/>
      <c r="H118" s="525"/>
      <c r="I118" s="525"/>
      <c r="J118" s="525"/>
      <c r="K118" s="525"/>
      <c r="L118" s="525"/>
      <c r="M118" s="525"/>
      <c r="N118" s="525"/>
      <c r="O118" s="525"/>
      <c r="P118" s="525"/>
      <c r="Q118" s="525"/>
      <c r="R118" s="525"/>
      <c r="S118" s="526"/>
      <c r="T118" s="407"/>
      <c r="U118" t="s" s="524">
        <v>514</v>
      </c>
      <c r="V118" s="525"/>
      <c r="W118" s="525"/>
      <c r="X118" s="525"/>
      <c r="Y118" s="526"/>
      <c r="Z118" s="407"/>
      <c r="AA118" t="s" s="524">
        <v>515</v>
      </c>
      <c r="AB118" s="525"/>
      <c r="AC118" s="525"/>
      <c r="AD118" s="525"/>
      <c r="AE118" s="526"/>
      <c r="AF118" s="410"/>
      <c r="AG118" s="527"/>
      <c r="AH118" s="410"/>
      <c r="AI118" s="528"/>
      <c r="AJ118" s="410"/>
      <c r="AK118" s="528"/>
      <c r="AL118" s="410"/>
      <c r="AM118" s="528"/>
      <c r="AN118" s="528"/>
      <c r="AO118" s="528"/>
      <c r="AP118" s="529"/>
      <c r="AQ118" s="16"/>
      <c r="AR118" s="18"/>
    </row>
    <row r="119" ht="48" customHeight="1">
      <c r="A119" s="12"/>
      <c r="B119" t="s" s="530">
        <v>517</v>
      </c>
      <c r="C119" t="s" s="531">
        <v>518</v>
      </c>
      <c r="D119" t="s" s="531">
        <v>519</v>
      </c>
      <c r="E119" t="s" s="531">
        <v>520</v>
      </c>
      <c r="F119" t="s" s="532">
        <v>521</v>
      </c>
      <c r="G119" t="s" s="532">
        <v>522</v>
      </c>
      <c r="H119" t="s" s="532">
        <v>524</v>
      </c>
      <c r="I119" t="s" s="532">
        <v>525</v>
      </c>
      <c r="J119" t="s" s="532">
        <v>556</v>
      </c>
      <c r="K119" t="s" s="532">
        <v>553</v>
      </c>
      <c r="L119" t="s" s="532">
        <v>526</v>
      </c>
      <c r="M119" t="s" s="532">
        <v>527</v>
      </c>
      <c r="N119" t="s" s="532">
        <v>528</v>
      </c>
      <c r="O119" t="s" s="532">
        <v>529</v>
      </c>
      <c r="P119" t="s" s="532">
        <v>530</v>
      </c>
      <c r="Q119" t="s" s="532">
        <v>572</v>
      </c>
      <c r="R119" t="s" s="532">
        <v>531</v>
      </c>
      <c r="S119" t="s" s="532">
        <v>532</v>
      </c>
      <c r="T119" s="556"/>
      <c r="U119" t="s" s="532">
        <v>533</v>
      </c>
      <c r="V119" t="s" s="532">
        <v>573</v>
      </c>
      <c r="W119" t="s" s="532">
        <v>534</v>
      </c>
      <c r="X119" t="s" s="532">
        <v>574</v>
      </c>
      <c r="Y119" t="s" s="532">
        <v>535</v>
      </c>
      <c r="Z119" s="556"/>
      <c r="AA119" t="s" s="532">
        <v>536</v>
      </c>
      <c r="AB119" t="s" s="532">
        <v>537</v>
      </c>
      <c r="AC119" t="s" s="532">
        <v>538</v>
      </c>
      <c r="AD119" t="s" s="532">
        <v>575</v>
      </c>
      <c r="AE119" t="s" s="532">
        <v>539</v>
      </c>
      <c r="AF119" s="557"/>
      <c r="AG119" t="s" s="532">
        <v>576</v>
      </c>
      <c r="AH119" s="557"/>
      <c r="AI119" t="s" s="532">
        <v>577</v>
      </c>
      <c r="AJ119" s="557"/>
      <c r="AK119" t="s" s="531">
        <v>578</v>
      </c>
      <c r="AL119" s="557"/>
      <c r="AM119" s="533"/>
      <c r="AN119" s="533"/>
      <c r="AO119" s="533"/>
      <c r="AP119" s="534"/>
      <c r="AQ119" s="16"/>
      <c r="AR119" s="18"/>
    </row>
    <row r="120" ht="16.5" customHeight="1">
      <c r="A120" s="12"/>
      <c r="B120" s="535">
        <v>1</v>
      </c>
      <c r="C120" s="536" cm="1">
        <f t="array" ref="C120">IF(B120&gt;0,IF(VLOOKUP(C117,'Boats Data Sheet 2026'!$C$3:$J$57,8,0)="N/A",0,VLOOKUP(C117,'Boats Data Sheet 2026'!$C$3:$J$57,8,0)),"N/A")</f>
        <v>5675000</v>
      </c>
      <c r="D120" s="537" cm="1">
        <f t="array" ref="D120">IF(B120&gt;7,2,IF(B120=0,"N/A",1))</f>
        <v>1</v>
      </c>
      <c r="E120" s="536" cm="1">
        <f t="array" ref="E120">_xlfn.IFERROR(SUM('Direct Costs 2026'!$C$4:$C$5)*D120,"N/A")</f>
        <v>875500</v>
      </c>
      <c r="F120" s="538" cm="1">
        <f t="array" ref="F120">_xlfn.IFERROR('Direct Costs 2026'!$C$43*B120,"N/A")</f>
        <v>6000</v>
      </c>
      <c r="G120" s="538" cm="1">
        <f t="array" ref="G120">IF(B120&gt;0,'Direct Costs 2026'!$C$25,"N/A")</f>
        <v>90000</v>
      </c>
      <c r="H120" s="538" cm="1">
        <f t="array" ref="H120">IF(B120&gt;0,'Direct Costs 2026'!$C$19+'Direct Costs 2026'!$C$18*B120,"N/A")</f>
        <v>110000</v>
      </c>
      <c r="I120" s="538">
        <v>0</v>
      </c>
      <c r="J120" s="538" cm="1">
        <f t="array" ref="J120">IF(B120&gt;0,'Direct Costs 2026'!$C$22,"N/A")</f>
        <v>200000</v>
      </c>
      <c r="K120" s="538" cm="1">
        <f t="array" ref="K120">IF(B120&gt;0,'Direct Costs 2026'!$C$15+'Direct Costs 2026'!$C$14,"N/A")</f>
        <v>230000</v>
      </c>
      <c r="L120" s="538" cm="1">
        <f t="array" ref="L120">IF(B120&gt;0,'Direct Costs 2026'!$C$26,"N/A")</f>
        <v>20000</v>
      </c>
      <c r="M120" s="538" cm="1">
        <f t="array" ref="M120">IF(B120&gt;0,'Direct Costs 2026'!$C$23,"N/A")</f>
        <v>140000</v>
      </c>
      <c r="N120" s="538" cm="1">
        <f t="array" ref="N120">IF(B120&gt;0,'Direct Costs 2026'!$C$44*B120,"N/A")</f>
        <v>110000</v>
      </c>
      <c r="O120" t="str" s="547" cm="1">
        <f t="array" ref="O120">IF(B120&gt;0,_xlfn.IFERROR(VLOOKUP(C117,'Boats Data Sheet 2026'!$C$3:$I$57,7,0)*'Direct Costs 2026'!$C$36,"N/A"),"N/A")</f>
        <v>N/A</v>
      </c>
      <c r="P120" t="str" s="547" cm="1">
        <f t="array" ref="P120">IF(B120&gt;0,IF(OR(VLOOKUP(C117,'Boats Data Sheet 2026'!$C$3:$F$57,4,0)="Own",VLOOKUP(C117,'Boats Data Sheet 2026'!$C$3:$F$57,4,0)="Management"),('Direct Costs 2026'!$C$37+'Direct Costs 2026'!$C$39),"N/A"),"N/A")</f>
        <v>N/A</v>
      </c>
      <c r="Q120" s="538" cm="1">
        <f t="array" ref="Q120">_xlfn.IFERROR(IF(B120&gt;5,IF(B120&gt;11,IF(B120&gt;15,4,3),2),IF(B120=0,"N/A",1))*SUM('Direct Costs 2026'!$C$67:$C$68),"N/A")</f>
        <v>489600</v>
      </c>
      <c r="R120" s="538" cm="1">
        <f t="array" ref="R120">_xlfn.IFERROR('Direct Costs 2026'!$C$27*C120,"N/A")</f>
        <v>113500</v>
      </c>
      <c r="S120" s="538" cm="1">
        <f t="array" ref="S120">_xlfn.IFERROR(C120+SUM(E120:R120),"N/A")</f>
        <v>8059600</v>
      </c>
      <c r="T120" s="424"/>
      <c r="U120" s="538" cm="1">
        <f t="array" ref="U120">IF(B120&gt;0,'Allocation OH and Target 2026'!$E$27,"N/A")</f>
        <v>2134447.30345641</v>
      </c>
      <c r="V120" s="538" cm="1">
        <f t="array" ref="V120">IF(B120&gt;0,'Allocation OH and Target 2026'!$E$28,"N/A")</f>
        <v>200042.323056976</v>
      </c>
      <c r="W120" s="538" cm="1">
        <f t="array" ref="W120">IF(B120&gt;0,VLOOKUP(C117,'Allocation OH and Target 2026'!$C$3:$T$23,17,0),"N/A")</f>
        <v>0</v>
      </c>
      <c r="X120" s="538" cm="1">
        <f t="array" ref="X120">IF(B120&gt;0,VLOOKUP(C117,'Allocation OH and Target 2026'!$C$3:$T$23,18,0),"N/A")</f>
        <v>0</v>
      </c>
      <c r="Y120" s="538" cm="1">
        <f t="array" ref="Y120">_xlfn.IFERROR(B120*(V120+X120),"N/A")</f>
        <v>200042.323056976</v>
      </c>
      <c r="Z120" s="424"/>
      <c r="AA120" s="538" cm="1">
        <f t="array" ref="AA120">_xlfn.IFERROR(Y120+S120,"N/A")</f>
        <v>8259642.32305698</v>
      </c>
      <c r="AB120" s="538" cm="1">
        <f t="array" ref="AB120">_xlfn.IFERROR(AA120*0.5%,"N/A")</f>
        <v>41298.2116152849</v>
      </c>
      <c r="AC120" s="538" cm="1">
        <f t="array" ref="AC120">_xlfn.IFERROR(AA120*25%,"N/A")</f>
        <v>2064910.58076425</v>
      </c>
      <c r="AD120" s="539" cm="1">
        <f t="array" ref="AD120">IF(B120&gt;0,SUM(AA120:AC120),"N/A")</f>
        <v>10365851.1154365</v>
      </c>
      <c r="AE120" s="538" cm="1">
        <f t="array" ref="AE120">_xlfn.IFERROR(AD120/B120,"N/A")</f>
        <v>10365851.1154365</v>
      </c>
      <c r="AF120" s="424"/>
      <c r="AG120" t="s" s="540">
        <v>14</v>
      </c>
      <c r="AH120" s="424" cm="1">
        <f t="array" ref="AH120">IF(AG120="N/A",0,1)</f>
        <v>0</v>
      </c>
      <c r="AI120" t="s" s="541">
        <v>14</v>
      </c>
      <c r="AJ120" s="424" cm="1">
        <f t="array" ref="AJ120">IF(AI120="N/A",0,1)</f>
        <v>0</v>
      </c>
      <c r="AK120" t="str" s="558" cm="1">
        <f t="array" ref="AK120">IF(SUM($AG$120:$AG$137)*B120&lt;SUM(AA120:AB120),"NO GO","GO")</f>
        <v>NO GO</v>
      </c>
      <c r="AL120" s="424"/>
      <c r="AM120" s="538"/>
      <c r="AN120" s="538"/>
      <c r="AO120" s="538"/>
      <c r="AP120" s="542"/>
      <c r="AQ120" s="543" cm="1">
        <f t="array" ref="AQ120">B120</f>
        <v>1</v>
      </c>
      <c r="AR120" s="18"/>
    </row>
    <row r="121" ht="16" customHeight="1">
      <c r="A121" s="12"/>
      <c r="B121" s="544" cm="1">
        <f t="array" ref="B121">IF(B120=0,0,IF(B120&lt;VLOOKUP(C117,'Boats Data Sheet 2026'!$C$3:$H$57,6,0),B120+1,0))</f>
        <v>2</v>
      </c>
      <c r="C121" s="538" cm="1">
        <f t="array" ref="C121">IF(B121&gt;0,IF(VLOOKUP(C117,'Boats Data Sheet 2026'!$C$3:$J$57,8,0)="N/A",0,VLOOKUP(C117,'Boats Data Sheet 2026'!$C$3:$J$57,8,0)),"N/A")</f>
        <v>5675000</v>
      </c>
      <c r="D121" s="545" cm="1">
        <f t="array" ref="D121">IF(B121&gt;7,2,IF(B121=0,"N/A",1))</f>
        <v>1</v>
      </c>
      <c r="E121" s="538" cm="1">
        <f t="array" ref="E121">_xlfn.IFERROR(SUM('Direct Costs 2026'!$C$4:$C$5)*D121,"N/A")</f>
        <v>875500</v>
      </c>
      <c r="F121" s="538" cm="1">
        <f t="array" ref="F121">_xlfn.IFERROR('Direct Costs 2026'!$C$43*B121,"N/A")</f>
        <v>12000</v>
      </c>
      <c r="G121" s="538" cm="1">
        <f t="array" ref="G121">IF(B121&gt;0,'Direct Costs 2026'!$C$25,"N/A")</f>
        <v>90000</v>
      </c>
      <c r="H121" s="538" cm="1">
        <f t="array" ref="H121">IF(B121&gt;0,'Direct Costs 2026'!$C$19+'Direct Costs 2026'!$C$18*B121,"N/A")</f>
        <v>145000</v>
      </c>
      <c r="I121" s="538">
        <v>0</v>
      </c>
      <c r="J121" s="538" cm="1">
        <f t="array" ref="J121">IF(B121&gt;0,'Direct Costs 2026'!$C$22,"N/A")</f>
        <v>200000</v>
      </c>
      <c r="K121" s="538" cm="1">
        <f t="array" ref="K121">IF(B121&gt;0,'Direct Costs 2026'!$C$15+'Direct Costs 2026'!$C$14,"N/A")</f>
        <v>230000</v>
      </c>
      <c r="L121" s="538" cm="1">
        <f t="array" ref="L121">IF(B121&gt;0,'Direct Costs 2026'!$C$26,"N/A")</f>
        <v>20000</v>
      </c>
      <c r="M121" s="538" cm="1">
        <f t="array" ref="M121">IF(B121&gt;0,'Direct Costs 2026'!$C$23,"N/A")</f>
        <v>140000</v>
      </c>
      <c r="N121" s="538" cm="1">
        <f t="array" ref="N121">IF(B121&gt;0,'Direct Costs 2026'!$C$44*B121,"N/A")</f>
        <v>220000</v>
      </c>
      <c r="O121" t="str" s="547" cm="1">
        <f t="array" ref="O121">IF(B121&gt;0,_xlfn.IFERROR(VLOOKUP(C117,'Boats Data Sheet 2026'!$C$3:$I$57,7,0)*'Direct Costs 2026'!$C$36,"N/A"),"N/A")</f>
        <v>N/A</v>
      </c>
      <c r="P121" t="str" s="547" cm="1">
        <f t="array" ref="P121">IF(B121&gt;0,IF(OR(VLOOKUP(C117,'Boats Data Sheet 2026'!$C$3:$F$57,4,0)="Own",VLOOKUP(C117,'Boats Data Sheet 2026'!$C$3:$F$57,4,0)="Management"),('Direct Costs 2026'!$C$37+'Direct Costs 2026'!$C$39),"N/A"),"N/A")</f>
        <v>N/A</v>
      </c>
      <c r="Q121" s="538" cm="1">
        <f t="array" ref="Q121">_xlfn.IFERROR(IF(B121&gt;5,IF(B121&gt;11,IF(B121&gt;15,4,3),2),IF(B121=0,"N/A",1))*SUM('Direct Costs 2026'!$C$67:$C$68),"N/A")</f>
        <v>489600</v>
      </c>
      <c r="R121" s="538" cm="1">
        <f t="array" ref="R121">_xlfn.IFERROR('Direct Costs 2026'!$C$27*C121,"N/A")</f>
        <v>113500</v>
      </c>
      <c r="S121" s="538" cm="1">
        <f t="array" ref="S121">_xlfn.IFERROR(C121+SUM(E121:R121),"N/A")</f>
        <v>8210600</v>
      </c>
      <c r="T121" s="424"/>
      <c r="U121" s="538" cm="1">
        <f t="array" ref="U121">IF(B121&gt;0,'Allocation OH and Target 2026'!$E$27,"N/A")</f>
        <v>2134447.30345641</v>
      </c>
      <c r="V121" s="538" cm="1">
        <f t="array" ref="V121">IF(B121&gt;0,'Allocation OH and Target 2026'!$E$28,"N/A")</f>
        <v>200042.323056976</v>
      </c>
      <c r="W121" s="538" cm="1">
        <f t="array" ref="W121">IF(B121&gt;0,VLOOKUP(C117,'Allocation OH and Target 2026'!$C$3:$T$23,17,0),"N/A")</f>
        <v>0</v>
      </c>
      <c r="X121" s="538" cm="1">
        <f t="array" ref="X121">IF(B121&gt;0,VLOOKUP(C117,'Allocation OH and Target 2026'!$C$3:$T$23,18,0),"N/A")</f>
        <v>0</v>
      </c>
      <c r="Y121" s="538" cm="1">
        <f t="array" ref="Y121">_xlfn.IFERROR(B121*(V121+X121),"N/A")</f>
        <v>400084.646113952</v>
      </c>
      <c r="Z121" s="424"/>
      <c r="AA121" s="538" cm="1">
        <f t="array" ref="AA121">_xlfn.IFERROR(Y121+S121,"N/A")</f>
        <v>8610684.646113951</v>
      </c>
      <c r="AB121" s="538" cm="1">
        <f t="array" ref="AB121">_xlfn.IFERROR(AA121*0.5%,"N/A")</f>
        <v>43053.4232305698</v>
      </c>
      <c r="AC121" s="538" cm="1">
        <f t="array" ref="AC121">_xlfn.IFERROR(AA121*25%,"N/A")</f>
        <v>2152671.16152849</v>
      </c>
      <c r="AD121" s="539" cm="1">
        <f t="array" ref="AD121">IF(B121&gt;0,SUM(AA121:AC121),"N/A")</f>
        <v>10806409.230873</v>
      </c>
      <c r="AE121" s="538" cm="1">
        <f t="array" ref="AE121">_xlfn.IFERROR(AD121/B121,"N/A")</f>
        <v>5403204.6154365</v>
      </c>
      <c r="AF121" s="424"/>
      <c r="AG121" t="str" s="546" cm="1">
        <f t="array" ref="AG121">IF(B121/VLOOKUP(C117,'Boats Data Sheet 2026'!$C$3:$H$57,6,0)&gt;VLOOKUP(C117,'Allocation OH and Target 2026'!$C$3:$J$23,8,0),IF(SUM(AH119:AH120)=0,AE121,"N/A"),"N/A")</f>
        <v>N/A</v>
      </c>
      <c r="AH121" s="424" cm="1">
        <f t="array" ref="AH121">IF(AG121="N/A",0,1)</f>
        <v>0</v>
      </c>
      <c r="AI121" t="str" s="547" cm="1">
        <f t="array" ref="AI121">IF(B121/VLOOKUP(C117,'Boats Data Sheet 2026'!$C$3:$H$57,6,0)&gt;VLOOKUP(C117,'Allocation OH and Target 2026'!$C$3:$J$23,8,0),IF(SUM(AH119:AH120)=0,S121/B121,"N/A"),"N/A")</f>
        <v>N/A</v>
      </c>
      <c r="AJ121" s="424" cm="1">
        <f t="array" ref="AJ121">IF(AI121="N/A",0,1)</f>
        <v>0</v>
      </c>
      <c r="AK121" t="str" s="527" cm="1">
        <f t="array" ref="AK121">IF(SUM($AG$120:$AG$137)*B121&lt;SUM(AA121:AB121),"NO GO","GO")</f>
        <v>NO GO</v>
      </c>
      <c r="AL121" s="424"/>
      <c r="AM121" s="538"/>
      <c r="AN121" s="538"/>
      <c r="AO121" s="538"/>
      <c r="AP121" s="542"/>
      <c r="AQ121" s="543" cm="1">
        <f t="array" ref="AQ121">B121</f>
        <v>2</v>
      </c>
      <c r="AR121" s="18"/>
    </row>
    <row r="122" ht="16" customHeight="1">
      <c r="A122" s="12"/>
      <c r="B122" s="544" cm="1">
        <f t="array" ref="B122">IF(B121=0,0,IF(B121&lt;VLOOKUP(C117,'Boats Data Sheet 2026'!$C$3:$H$57,6,0),B121+1,0))</f>
        <v>3</v>
      </c>
      <c r="C122" s="538" cm="1">
        <f t="array" ref="C122">IF(B122&gt;0,IF(VLOOKUP(C117,'Boats Data Sheet 2026'!$C$3:$J$57,8,0)="N/A",0,VLOOKUP(C117,'Boats Data Sheet 2026'!$C$3:$J$57,8,0)),"N/A")</f>
        <v>5675000</v>
      </c>
      <c r="D122" s="545" cm="1">
        <f t="array" ref="D122">IF(B122&gt;7,2,IF(B122=0,"N/A",1))</f>
        <v>1</v>
      </c>
      <c r="E122" s="538" cm="1">
        <f t="array" ref="E122">_xlfn.IFERROR(SUM('Direct Costs 2026'!$C$4:$C$5)*D122,"N/A")</f>
        <v>875500</v>
      </c>
      <c r="F122" s="538" cm="1">
        <f t="array" ref="F122">_xlfn.IFERROR('Direct Costs 2026'!$C$43*B122,"N/A")</f>
        <v>18000</v>
      </c>
      <c r="G122" s="538" cm="1">
        <f t="array" ref="G122">IF(B122&gt;0,'Direct Costs 2026'!$C$25,"N/A")</f>
        <v>90000</v>
      </c>
      <c r="H122" s="538" cm="1">
        <f t="array" ref="H122">IF(B122&gt;0,'Direct Costs 2026'!$C$19+'Direct Costs 2026'!$C$18*B122,"N/A")</f>
        <v>180000</v>
      </c>
      <c r="I122" s="538">
        <v>0</v>
      </c>
      <c r="J122" s="538" cm="1">
        <f t="array" ref="J122">IF(B122&gt;0,'Direct Costs 2026'!$C$22,"N/A")</f>
        <v>200000</v>
      </c>
      <c r="K122" s="538" cm="1">
        <f t="array" ref="K122">IF(B122&gt;0,'Direct Costs 2026'!$C$15+'Direct Costs 2026'!$C$14,"N/A")</f>
        <v>230000</v>
      </c>
      <c r="L122" s="538" cm="1">
        <f t="array" ref="L122">IF(B122&gt;0,'Direct Costs 2026'!$C$26,"N/A")</f>
        <v>20000</v>
      </c>
      <c r="M122" s="538" cm="1">
        <f t="array" ref="M122">IF(B122&gt;0,'Direct Costs 2026'!$C$23,"N/A")</f>
        <v>140000</v>
      </c>
      <c r="N122" s="538" cm="1">
        <f t="array" ref="N122">IF(B122&gt;0,'Direct Costs 2026'!$C$44*B122,"N/A")</f>
        <v>330000</v>
      </c>
      <c r="O122" t="str" s="547" cm="1">
        <f t="array" ref="O122">IF(B122&gt;0,_xlfn.IFERROR(VLOOKUP(C117,'Boats Data Sheet 2026'!$C$3:$I$57,7,0)*'Direct Costs 2026'!$C$36,"N/A"),"N/A")</f>
        <v>N/A</v>
      </c>
      <c r="P122" t="str" s="547" cm="1">
        <f t="array" ref="P122">IF(B122&gt;0,IF(OR(VLOOKUP(C117,'Boats Data Sheet 2026'!$C$3:$F$57,4,0)="Own",VLOOKUP(C117,'Boats Data Sheet 2026'!$C$3:$F$57,4,0)="Management"),('Direct Costs 2026'!$C$37+'Direct Costs 2026'!$C$39),"N/A"),"N/A")</f>
        <v>N/A</v>
      </c>
      <c r="Q122" s="538" cm="1">
        <f t="array" ref="Q122">_xlfn.IFERROR(IF(B122&gt;5,IF(B122&gt;11,IF(B122&gt;15,4,3),2),IF(B122=0,"N/A",1))*SUM('Direct Costs 2026'!$C$67:$C$68),"N/A")</f>
        <v>489600</v>
      </c>
      <c r="R122" s="538" cm="1">
        <f t="array" ref="R122">_xlfn.IFERROR('Direct Costs 2026'!$C$27*C122,"N/A")</f>
        <v>113500</v>
      </c>
      <c r="S122" s="538" cm="1">
        <f t="array" ref="S122">_xlfn.IFERROR(C122+SUM(E122:R122),"N/A")</f>
        <v>8361600</v>
      </c>
      <c r="T122" s="424"/>
      <c r="U122" s="538" cm="1">
        <f t="array" ref="U122">IF(B122&gt;0,'Allocation OH and Target 2026'!$E$27,"N/A")</f>
        <v>2134447.30345641</v>
      </c>
      <c r="V122" s="538" cm="1">
        <f t="array" ref="V122">IF(B122&gt;0,'Allocation OH and Target 2026'!$E$28,"N/A")</f>
        <v>200042.323056976</v>
      </c>
      <c r="W122" s="538" cm="1">
        <f t="array" ref="W122">IF(B122&gt;0,VLOOKUP(C117,'Allocation OH and Target 2026'!$C$3:$T$23,17,0),"N/A")</f>
        <v>0</v>
      </c>
      <c r="X122" s="538" cm="1">
        <f t="array" ref="X122">IF(B122&gt;0,VLOOKUP(C117,'Allocation OH and Target 2026'!$C$3:$T$23,18,0),"N/A")</f>
        <v>0</v>
      </c>
      <c r="Y122" s="538" cm="1">
        <f t="array" ref="Y122">_xlfn.IFERROR(B122*(V122+X122),"N/A")</f>
        <v>600126.969170928</v>
      </c>
      <c r="Z122" s="424"/>
      <c r="AA122" s="538" cm="1">
        <f t="array" ref="AA122">_xlfn.IFERROR(Y122+S122,"N/A")</f>
        <v>8961726.96917093</v>
      </c>
      <c r="AB122" s="538" cm="1">
        <f t="array" ref="AB122">_xlfn.IFERROR(AA122*0.5%,"N/A")</f>
        <v>44808.6348458547</v>
      </c>
      <c r="AC122" s="538" cm="1">
        <f t="array" ref="AC122">_xlfn.IFERROR(AA122*25%,"N/A")</f>
        <v>2240431.74229273</v>
      </c>
      <c r="AD122" s="539" cm="1">
        <f t="array" ref="AD122">IF(B122&gt;0,SUM(AA122:AC122),"N/A")</f>
        <v>11246967.3463095</v>
      </c>
      <c r="AE122" s="538" cm="1">
        <f t="array" ref="AE122">_xlfn.IFERROR(AD122/B122,"N/A")</f>
        <v>3748989.1154365</v>
      </c>
      <c r="AF122" s="424"/>
      <c r="AG122" t="str" s="546" cm="1">
        <f t="array" ref="AG122">IF(B122/VLOOKUP(C117,'Boats Data Sheet 2026'!$C$3:$H$57,6,0)&gt;VLOOKUP(C117,'Allocation OH and Target 2026'!$C$3:$J$23,8,0),IF(SUM(AH119:AH121)=0,AE122,"N/A"),"N/A")</f>
        <v>N/A</v>
      </c>
      <c r="AH122" s="424" cm="1">
        <f t="array" ref="AH122">IF(AG122="N/A",0,1)</f>
        <v>0</v>
      </c>
      <c r="AI122" t="str" s="547" cm="1">
        <f t="array" ref="AI122">IF(B122/VLOOKUP(C117,'Boats Data Sheet 2026'!$C$3:$H$57,6,0)&gt;VLOOKUP(C117,'Allocation OH and Target 2026'!$C$3:$J$23,8,0),IF(SUM(AH119:AH121)=0,S122/B122,"N/A"),"N/A")</f>
        <v>N/A</v>
      </c>
      <c r="AJ122" s="424" cm="1">
        <f t="array" ref="AJ122">IF(AI122="N/A",0,1)</f>
        <v>0</v>
      </c>
      <c r="AK122" t="str" s="527" cm="1">
        <f t="array" ref="AK122">IF(SUM($AG$120:$AG$137)*B122&lt;SUM(AA122:AB122),"NO GO","GO")</f>
        <v>NO GO</v>
      </c>
      <c r="AL122" s="424"/>
      <c r="AM122" s="538"/>
      <c r="AN122" s="538"/>
      <c r="AO122" s="538"/>
      <c r="AP122" s="542"/>
      <c r="AQ122" s="543" cm="1">
        <f t="array" ref="AQ122">B122</f>
        <v>3</v>
      </c>
      <c r="AR122" s="18"/>
    </row>
    <row r="123" ht="16" customHeight="1">
      <c r="A123" s="12"/>
      <c r="B123" s="544" cm="1">
        <f t="array" ref="B123">IF(B122=0,0,IF(B122&lt;VLOOKUP(C117,'Boats Data Sheet 2026'!$C$3:$H$57,6,0),B122+1,0))</f>
        <v>4</v>
      </c>
      <c r="C123" s="538" cm="1">
        <f t="array" ref="C123">IF(B123&gt;0,IF(VLOOKUP(C117,'Boats Data Sheet 2026'!$C$3:$J$57,8,0)="N/A",0,VLOOKUP(C117,'Boats Data Sheet 2026'!$C$3:$J$57,8,0)),"N/A")</f>
        <v>5675000</v>
      </c>
      <c r="D123" s="545" cm="1">
        <f t="array" ref="D123">IF(B123&gt;7,2,IF(B123=0,"N/A",1))</f>
        <v>1</v>
      </c>
      <c r="E123" s="538" cm="1">
        <f t="array" ref="E123">_xlfn.IFERROR(SUM('Direct Costs 2026'!$C$4:$C$5)*D123,"N/A")</f>
        <v>875500</v>
      </c>
      <c r="F123" s="538" cm="1">
        <f t="array" ref="F123">_xlfn.IFERROR('Direct Costs 2026'!$C$43*B123,"N/A")</f>
        <v>24000</v>
      </c>
      <c r="G123" s="538" cm="1">
        <f t="array" ref="G123">IF(B123&gt;0,'Direct Costs 2026'!$C$25,"N/A")</f>
        <v>90000</v>
      </c>
      <c r="H123" s="538" cm="1">
        <f t="array" ref="H123">IF(B123&gt;0,'Direct Costs 2026'!$C$19+'Direct Costs 2026'!$C$18*B123,"N/A")</f>
        <v>215000</v>
      </c>
      <c r="I123" s="538">
        <v>0</v>
      </c>
      <c r="J123" s="538" cm="1">
        <f t="array" ref="J123">IF(B123&gt;0,'Direct Costs 2026'!$C$22,"N/A")</f>
        <v>200000</v>
      </c>
      <c r="K123" s="538" cm="1">
        <f t="array" ref="K123">IF(B123&gt;0,'Direct Costs 2026'!$C$15+'Direct Costs 2026'!$C$14,"N/A")</f>
        <v>230000</v>
      </c>
      <c r="L123" s="538" cm="1">
        <f t="array" ref="L123">IF(B123&gt;0,'Direct Costs 2026'!$C$26,"N/A")</f>
        <v>20000</v>
      </c>
      <c r="M123" s="538" cm="1">
        <f t="array" ref="M123">IF(B123&gt;0,'Direct Costs 2026'!$C$23,"N/A")</f>
        <v>140000</v>
      </c>
      <c r="N123" s="538" cm="1">
        <f t="array" ref="N123">IF(B123&gt;0,'Direct Costs 2026'!$C$44*B123,"N/A")</f>
        <v>440000</v>
      </c>
      <c r="O123" t="str" s="547" cm="1">
        <f t="array" ref="O123">IF(B123&gt;0,_xlfn.IFERROR(VLOOKUP(C117,'Boats Data Sheet 2026'!$C$3:$I$57,7,0)*'Direct Costs 2026'!$C$36,"N/A"),"N/A")</f>
        <v>N/A</v>
      </c>
      <c r="P123" t="str" s="547" cm="1">
        <f t="array" ref="P123">IF(B123&gt;0,IF(OR(VLOOKUP(C117,'Boats Data Sheet 2026'!$C$3:$F$57,4,0)="Own",VLOOKUP(C117,'Boats Data Sheet 2026'!$C$3:$F$57,4,0)="Management"),('Direct Costs 2026'!$C$37+'Direct Costs 2026'!$C$39),"N/A"),"N/A")</f>
        <v>N/A</v>
      </c>
      <c r="Q123" s="538" cm="1">
        <f t="array" ref="Q123">_xlfn.IFERROR(IF(B123&gt;5,IF(B123&gt;11,IF(B123&gt;15,4,3),2),IF(B123=0,"N/A",1))*SUM('Direct Costs 2026'!$C$67:$C$68),"N/A")</f>
        <v>489600</v>
      </c>
      <c r="R123" s="538" cm="1">
        <f t="array" ref="R123">_xlfn.IFERROR('Direct Costs 2026'!$C$27*C123,"N/A")</f>
        <v>113500</v>
      </c>
      <c r="S123" s="538" cm="1">
        <f t="array" ref="S123">_xlfn.IFERROR(C123+SUM(E123:R123),"N/A")</f>
        <v>8512600</v>
      </c>
      <c r="T123" s="424"/>
      <c r="U123" s="538" cm="1">
        <f t="array" ref="U123">IF(B123&gt;0,'Allocation OH and Target 2026'!$E$27,"N/A")</f>
        <v>2134447.30345641</v>
      </c>
      <c r="V123" s="538" cm="1">
        <f t="array" ref="V123">IF(B123&gt;0,'Allocation OH and Target 2026'!$E$28,"N/A")</f>
        <v>200042.323056976</v>
      </c>
      <c r="W123" s="538" cm="1">
        <f t="array" ref="W123">IF(B123&gt;0,VLOOKUP(C117,'Allocation OH and Target 2026'!$C$3:$T$23,17,0),"N/A")</f>
        <v>0</v>
      </c>
      <c r="X123" s="538" cm="1">
        <f t="array" ref="X123">IF(B123&gt;0,VLOOKUP(C117,'Allocation OH and Target 2026'!$C$3:$T$23,18,0),"N/A")</f>
        <v>0</v>
      </c>
      <c r="Y123" s="538" cm="1">
        <f t="array" ref="Y123">_xlfn.IFERROR(B123*(V123+X123),"N/A")</f>
        <v>800169.292227904</v>
      </c>
      <c r="Z123" s="424"/>
      <c r="AA123" s="538" cm="1">
        <f t="array" ref="AA123">_xlfn.IFERROR(Y123+S123,"N/A")</f>
        <v>9312769.2922279</v>
      </c>
      <c r="AB123" s="538" cm="1">
        <f t="array" ref="AB123">_xlfn.IFERROR(AA123*0.5%,"N/A")</f>
        <v>46563.8464611395</v>
      </c>
      <c r="AC123" s="538" cm="1">
        <f t="array" ref="AC123">_xlfn.IFERROR(AA123*25%,"N/A")</f>
        <v>2328192.32305698</v>
      </c>
      <c r="AD123" s="539" cm="1">
        <f t="array" ref="AD123">IF(B123&gt;0,SUM(AA123:AC123),"N/A")</f>
        <v>11687525.461746</v>
      </c>
      <c r="AE123" s="538" cm="1">
        <f t="array" ref="AE123">_xlfn.IFERROR(AD123/B123,"N/A")</f>
        <v>2921881.3654365</v>
      </c>
      <c r="AF123" s="424"/>
      <c r="AG123" t="str" s="546" cm="1">
        <f t="array" ref="AG123">IF(B123/VLOOKUP(C117,'Boats Data Sheet 2026'!$C$3:$H$57,6,0)&gt;VLOOKUP(C117,'Allocation OH and Target 2026'!$C$3:$J$23,8,0),IF(SUM(AH119:AH122)=0,AE123,"N/A"),"N/A")</f>
        <v>N/A</v>
      </c>
      <c r="AH123" s="424" cm="1">
        <f t="array" ref="AH123">IF(AG123="N/A",0,1)</f>
        <v>0</v>
      </c>
      <c r="AI123" t="str" s="547" cm="1">
        <f t="array" ref="AI123">IF(B123/VLOOKUP(C117,'Boats Data Sheet 2026'!$C$3:$H$57,6,0)&gt;VLOOKUP(C117,'Allocation OH and Target 2026'!$C$3:$J$23,8,0),IF(SUM(AH119:AH122)=0,S123/B123,"N/A"),"N/A")</f>
        <v>N/A</v>
      </c>
      <c r="AJ123" s="424" cm="1">
        <f t="array" ref="AJ123">IF(AI123="N/A",0,1)</f>
        <v>0</v>
      </c>
      <c r="AK123" t="str" s="527" cm="1">
        <f t="array" ref="AK123">IF(SUM($AG$120:$AG$137)*B123&lt;SUM(AA123:AB123),"NO GO","GO")</f>
        <v>NO GO</v>
      </c>
      <c r="AL123" s="424"/>
      <c r="AM123" s="538"/>
      <c r="AN123" s="538"/>
      <c r="AO123" s="538"/>
      <c r="AP123" s="542"/>
      <c r="AQ123" s="543" cm="1">
        <f t="array" ref="AQ123">B123</f>
        <v>4</v>
      </c>
      <c r="AR123" s="18"/>
    </row>
    <row r="124" ht="16" customHeight="1">
      <c r="A124" s="12"/>
      <c r="B124" s="544" cm="1">
        <f t="array" ref="B124">IF(B123=0,0,IF(B123&lt;VLOOKUP(C117,'Boats Data Sheet 2026'!$C$3:$H$57,6,0),B123+1,0))</f>
        <v>5</v>
      </c>
      <c r="C124" s="538" cm="1">
        <f t="array" ref="C124">IF(B124&gt;0,IF(VLOOKUP(C117,'Boats Data Sheet 2026'!$C$3:$J$57,8,0)="N/A",0,VLOOKUP(C117,'Boats Data Sheet 2026'!$C$3:$J$57,8,0)),"N/A")</f>
        <v>5675000</v>
      </c>
      <c r="D124" s="545" cm="1">
        <f t="array" ref="D124">IF(B124&gt;7,2,IF(B124=0,"N/A",1))</f>
        <v>1</v>
      </c>
      <c r="E124" s="538" cm="1">
        <f t="array" ref="E124">_xlfn.IFERROR(SUM('Direct Costs 2026'!$C$4:$C$5)*D124,"N/A")</f>
        <v>875500</v>
      </c>
      <c r="F124" s="538" cm="1">
        <f t="array" ref="F124">_xlfn.IFERROR('Direct Costs 2026'!$C$43*B124,"N/A")</f>
        <v>30000</v>
      </c>
      <c r="G124" s="538" cm="1">
        <f t="array" ref="G124">IF(B124&gt;0,'Direct Costs 2026'!$C$25,"N/A")</f>
        <v>90000</v>
      </c>
      <c r="H124" s="538" cm="1">
        <f t="array" ref="H124">IF(B124&gt;0,'Direct Costs 2026'!$C$19+'Direct Costs 2026'!$C$18*B124,"N/A")</f>
        <v>250000</v>
      </c>
      <c r="I124" s="538">
        <v>0</v>
      </c>
      <c r="J124" s="538" cm="1">
        <f t="array" ref="J124">IF(B124&gt;0,'Direct Costs 2026'!$C$22,"N/A")</f>
        <v>200000</v>
      </c>
      <c r="K124" s="538" cm="1">
        <f t="array" ref="K124">IF(B124&gt;0,'Direct Costs 2026'!$C$15+'Direct Costs 2026'!$C$14,"N/A")</f>
        <v>230000</v>
      </c>
      <c r="L124" s="538" cm="1">
        <f t="array" ref="L124">IF(B124&gt;0,'Direct Costs 2026'!$C$26,"N/A")</f>
        <v>20000</v>
      </c>
      <c r="M124" s="538" cm="1">
        <f t="array" ref="M124">IF(B124&gt;0,'Direct Costs 2026'!$C$23,"N/A")</f>
        <v>140000</v>
      </c>
      <c r="N124" s="538" cm="1">
        <f t="array" ref="N124">IF(B124&gt;0,'Direct Costs 2026'!$C$44*B124,"N/A")</f>
        <v>550000</v>
      </c>
      <c r="O124" t="str" s="547" cm="1">
        <f t="array" ref="O124">IF(B124&gt;0,_xlfn.IFERROR(VLOOKUP(C117,'Boats Data Sheet 2026'!$C$3:$I$57,7,0)*'Direct Costs 2026'!$C$36,"N/A"),"N/A")</f>
        <v>N/A</v>
      </c>
      <c r="P124" t="str" s="547" cm="1">
        <f t="array" ref="P124">IF(B124&gt;0,IF(OR(VLOOKUP(C117,'Boats Data Sheet 2026'!$C$3:$F$57,4,0)="Own",VLOOKUP(C117,'Boats Data Sheet 2026'!$C$3:$F$57,4,0)="Management"),('Direct Costs 2026'!$C$37+'Direct Costs 2026'!$C$39),"N/A"),"N/A")</f>
        <v>N/A</v>
      </c>
      <c r="Q124" s="538" cm="1">
        <f t="array" ref="Q124">_xlfn.IFERROR(IF(B124&gt;5,IF(B124&gt;11,IF(B124&gt;15,4,3),2),IF(B124=0,"N/A",1))*SUM('Direct Costs 2026'!$C$67:$C$68),"N/A")</f>
        <v>489600</v>
      </c>
      <c r="R124" s="538" cm="1">
        <f t="array" ref="R124">_xlfn.IFERROR('Direct Costs 2026'!$C$27*C124,"N/A")</f>
        <v>113500</v>
      </c>
      <c r="S124" s="538" cm="1">
        <f t="array" ref="S124">_xlfn.IFERROR(C124+SUM(E124:R124),"N/A")</f>
        <v>8663600</v>
      </c>
      <c r="T124" s="424"/>
      <c r="U124" s="538" cm="1">
        <f t="array" ref="U124">IF(B124&gt;0,'Allocation OH and Target 2026'!$E$27,"N/A")</f>
        <v>2134447.30345641</v>
      </c>
      <c r="V124" s="538" cm="1">
        <f t="array" ref="V124">IF(B124&gt;0,'Allocation OH and Target 2026'!$E$28,"N/A")</f>
        <v>200042.323056976</v>
      </c>
      <c r="W124" s="538" cm="1">
        <f t="array" ref="W124">IF(B124&gt;0,VLOOKUP(C117,'Allocation OH and Target 2026'!$C$3:$T$23,17,0),"N/A")</f>
        <v>0</v>
      </c>
      <c r="X124" s="538" cm="1">
        <f t="array" ref="X124">IF(B124&gt;0,VLOOKUP(C117,'Allocation OH and Target 2026'!$C$3:$T$23,18,0),"N/A")</f>
        <v>0</v>
      </c>
      <c r="Y124" s="538" cm="1">
        <f t="array" ref="Y124">_xlfn.IFERROR(B124*(V124+X124),"N/A")</f>
        <v>1000211.61528488</v>
      </c>
      <c r="Z124" s="424"/>
      <c r="AA124" s="538" cm="1">
        <f t="array" ref="AA124">_xlfn.IFERROR(Y124+S124,"N/A")</f>
        <v>9663811.615284881</v>
      </c>
      <c r="AB124" s="538" cm="1">
        <f t="array" ref="AB124">_xlfn.IFERROR(AA124*0.5%,"N/A")</f>
        <v>48319.0580764244</v>
      </c>
      <c r="AC124" s="538" cm="1">
        <f t="array" ref="AC124">_xlfn.IFERROR(AA124*25%,"N/A")</f>
        <v>2415952.90382122</v>
      </c>
      <c r="AD124" s="539" cm="1">
        <f t="array" ref="AD124">IF(B124&gt;0,SUM(AA124:AC124),"N/A")</f>
        <v>12128083.5771825</v>
      </c>
      <c r="AE124" s="538" cm="1">
        <f t="array" ref="AE124">_xlfn.IFERROR(AD124/B124,"N/A")</f>
        <v>2425616.7154365</v>
      </c>
      <c r="AF124" s="424"/>
      <c r="AG124" t="str" s="546" cm="1">
        <f t="array" ref="AG124">IF(B124/VLOOKUP(C117,'Boats Data Sheet 2026'!$C$3:$H$57,6,0)&gt;VLOOKUP(C117,'Allocation OH and Target 2026'!$C$3:$J$23,8,0),IF(SUM(AH119:AH123)=0,AE124,"N/A"),"N/A")</f>
        <v>N/A</v>
      </c>
      <c r="AH124" s="424" cm="1">
        <f t="array" ref="AH124">IF(AG124="N/A",0,1)</f>
        <v>0</v>
      </c>
      <c r="AI124" t="str" s="547" cm="1">
        <f t="array" ref="AI124">IF(B124/VLOOKUP(C117,'Boats Data Sheet 2026'!$C$3:$H$57,6,0)&gt;VLOOKUP(C117,'Allocation OH and Target 2026'!$C$3:$J$23,8,0),IF(SUM(AH119:AH123)=0,S124/B124,"N/A"),"N/A")</f>
        <v>N/A</v>
      </c>
      <c r="AJ124" s="424" cm="1">
        <f t="array" ref="AJ124">IF(AI124="N/A",0,1)</f>
        <v>0</v>
      </c>
      <c r="AK124" t="str" s="527" cm="1">
        <f t="array" ref="AK124">IF(SUM($AG$120:$AG$137)*B124&lt;SUM(AA124:AB124),"NO GO","GO")</f>
        <v>NO GO</v>
      </c>
      <c r="AL124" s="424"/>
      <c r="AM124" s="538"/>
      <c r="AN124" s="538"/>
      <c r="AO124" s="538"/>
      <c r="AP124" s="542"/>
      <c r="AQ124" s="543" cm="1">
        <f t="array" ref="AQ124">B124</f>
        <v>5</v>
      </c>
      <c r="AR124" s="18"/>
    </row>
    <row r="125" ht="16" customHeight="1">
      <c r="A125" s="12"/>
      <c r="B125" s="544" cm="1">
        <f t="array" ref="B125">IF(B124=0,0,IF(B124&lt;VLOOKUP(C117,'Boats Data Sheet 2026'!$C$3:$H$57,6,0),B124+1,0))</f>
        <v>6</v>
      </c>
      <c r="C125" s="538" cm="1">
        <f t="array" ref="C125">IF(B125&gt;0,IF(VLOOKUP(C117,'Boats Data Sheet 2026'!$C$3:$J$57,8,0)="N/A",0,VLOOKUP(C117,'Boats Data Sheet 2026'!$C$3:$J$57,8,0)),"N/A")</f>
        <v>5675000</v>
      </c>
      <c r="D125" s="545" cm="1">
        <f t="array" ref="D125">IF(B125&gt;7,2,IF(B125=0,"N/A",1))</f>
        <v>1</v>
      </c>
      <c r="E125" s="538" cm="1">
        <f t="array" ref="E125">_xlfn.IFERROR(SUM('Direct Costs 2026'!$C$4:$C$5)*D125,"N/A")</f>
        <v>875500</v>
      </c>
      <c r="F125" s="538" cm="1">
        <f t="array" ref="F125">_xlfn.IFERROR('Direct Costs 2026'!$C$43*B125,"N/A")</f>
        <v>36000</v>
      </c>
      <c r="G125" s="538" cm="1">
        <f t="array" ref="G125">IF(B125&gt;0,'Direct Costs 2026'!$C$25,"N/A")</f>
        <v>90000</v>
      </c>
      <c r="H125" s="538" cm="1">
        <f t="array" ref="H125">IF(B125&gt;0,'Direct Costs 2026'!$C$19+'Direct Costs 2026'!$C$18*B125,"N/A")</f>
        <v>285000</v>
      </c>
      <c r="I125" s="538">
        <v>0</v>
      </c>
      <c r="J125" s="538" cm="1">
        <f t="array" ref="J125">IF(B125&gt;0,'Direct Costs 2026'!$C$22,"N/A")</f>
        <v>200000</v>
      </c>
      <c r="K125" s="538" cm="1">
        <f t="array" ref="K125">IF(B125&gt;0,'Direct Costs 2026'!$C$15+'Direct Costs 2026'!$C$14,"N/A")</f>
        <v>230000</v>
      </c>
      <c r="L125" s="538" cm="1">
        <f t="array" ref="L125">IF(B125&gt;0,'Direct Costs 2026'!$C$26,"N/A")</f>
        <v>20000</v>
      </c>
      <c r="M125" s="538" cm="1">
        <f t="array" ref="M125">IF(B125&gt;0,'Direct Costs 2026'!$C$23,"N/A")</f>
        <v>140000</v>
      </c>
      <c r="N125" s="538" cm="1">
        <f t="array" ref="N125">IF(B125&gt;0,'Direct Costs 2026'!$C$44*B125,"N/A")</f>
        <v>660000</v>
      </c>
      <c r="O125" t="str" s="547" cm="1">
        <f t="array" ref="O125">IF(B125&gt;0,_xlfn.IFERROR(VLOOKUP(C117,'Boats Data Sheet 2026'!$C$3:$I$57,7,0)*'Direct Costs 2026'!$C$36,"N/A"),"N/A")</f>
        <v>N/A</v>
      </c>
      <c r="P125" t="str" s="547" cm="1">
        <f t="array" ref="P125">IF(B125&gt;0,IF(OR(VLOOKUP(C117,'Boats Data Sheet 2026'!$C$3:$F$57,4,0)="Own",VLOOKUP(C117,'Boats Data Sheet 2026'!$C$3:$F$57,4,0)="Management"),('Direct Costs 2026'!$C$37+'Direct Costs 2026'!$C$39),"N/A"),"N/A")</f>
        <v>N/A</v>
      </c>
      <c r="Q125" s="538" cm="1">
        <f t="array" ref="Q125">_xlfn.IFERROR(IF(B125&gt;5,IF(B125&gt;11,IF(B125&gt;15,4,3),2),IF(B125=0,"N/A",1))*SUM('Direct Costs 2026'!$C$67:$C$68),"N/A")</f>
        <v>979200</v>
      </c>
      <c r="R125" s="538" cm="1">
        <f t="array" ref="R125">_xlfn.IFERROR('Direct Costs 2026'!$C$27*C125,"N/A")</f>
        <v>113500</v>
      </c>
      <c r="S125" s="538" cm="1">
        <f t="array" ref="S125">_xlfn.IFERROR(C125+SUM(E125:R125),"N/A")</f>
        <v>9304200</v>
      </c>
      <c r="T125" s="424"/>
      <c r="U125" s="538" cm="1">
        <f t="array" ref="U125">IF(B125&gt;0,'Allocation OH and Target 2026'!$E$27,"N/A")</f>
        <v>2134447.30345641</v>
      </c>
      <c r="V125" s="538" cm="1">
        <f t="array" ref="V125">IF(B125&gt;0,'Allocation OH and Target 2026'!$E$28,"N/A")</f>
        <v>200042.323056976</v>
      </c>
      <c r="W125" s="538" cm="1">
        <f t="array" ref="W125">IF(B125&gt;0,VLOOKUP(C117,'Allocation OH and Target 2026'!$C$3:$T$23,17,0),"N/A")</f>
        <v>0</v>
      </c>
      <c r="X125" s="538" cm="1">
        <f t="array" ref="X125">IF(B125&gt;0,VLOOKUP(C117,'Allocation OH and Target 2026'!$C$3:$T$23,18,0),"N/A")</f>
        <v>0</v>
      </c>
      <c r="Y125" s="538" cm="1">
        <f t="array" ref="Y125">_xlfn.IFERROR(B125*(V125+X125),"N/A")</f>
        <v>1200253.93834186</v>
      </c>
      <c r="Z125" s="424"/>
      <c r="AA125" s="538" cm="1">
        <f t="array" ref="AA125">_xlfn.IFERROR(Y125+S125,"N/A")</f>
        <v>10504453.9383419</v>
      </c>
      <c r="AB125" s="538" cm="1">
        <f t="array" ref="AB125">_xlfn.IFERROR(AA125*0.5%,"N/A")</f>
        <v>52522.2696917095</v>
      </c>
      <c r="AC125" s="538" cm="1">
        <f t="array" ref="AC125">_xlfn.IFERROR(AA125*25%,"N/A")</f>
        <v>2626113.48458548</v>
      </c>
      <c r="AD125" s="539" cm="1">
        <f t="array" ref="AD125">IF(B125&gt;0,SUM(AA125:AC125),"N/A")</f>
        <v>13183089.6926191</v>
      </c>
      <c r="AE125" s="538" cm="1">
        <f t="array" ref="AE125">_xlfn.IFERROR(AD125/B125,"N/A")</f>
        <v>2197181.61543652</v>
      </c>
      <c r="AF125" s="424"/>
      <c r="AG125" t="str" s="546" cm="1">
        <f t="array" ref="AG125">IF(B125/VLOOKUP(C117,'Boats Data Sheet 2026'!$C$3:$H$57,6,0)&gt;VLOOKUP(C117,'Allocation OH and Target 2026'!$C$3:$J$23,8,0),IF(SUM(AH119:AH124)=0,AE125,"N/A"),"N/A")</f>
        <v>N/A</v>
      </c>
      <c r="AH125" s="424" cm="1">
        <f t="array" ref="AH125">IF(AG125="N/A",0,1)</f>
        <v>0</v>
      </c>
      <c r="AI125" t="str" s="547" cm="1">
        <f t="array" ref="AI125">IF(B125/VLOOKUP(C117,'Boats Data Sheet 2026'!$C$3:$H$57,6,0)&gt;VLOOKUP(C117,'Allocation OH and Target 2026'!$C$3:$J$23,8,0),IF(SUM(AH119:AH124)=0,S125/B125,"N/A"),"N/A")</f>
        <v>N/A</v>
      </c>
      <c r="AJ125" s="424" cm="1">
        <f t="array" ref="AJ125">IF(AI125="N/A",0,1)</f>
        <v>0</v>
      </c>
      <c r="AK125" t="str" s="527" cm="1">
        <f t="array" ref="AK125">IF(SUM($AG$120:$AG$137)*B125&lt;SUM(AA125:AB125),"NO GO","GO")</f>
        <v>NO GO</v>
      </c>
      <c r="AL125" s="424"/>
      <c r="AM125" s="538"/>
      <c r="AN125" s="538"/>
      <c r="AO125" s="538"/>
      <c r="AP125" s="542"/>
      <c r="AQ125" s="543" cm="1">
        <f t="array" ref="AQ125">B125</f>
        <v>6</v>
      </c>
      <c r="AR125" s="18"/>
    </row>
    <row r="126" ht="16" customHeight="1">
      <c r="A126" s="12"/>
      <c r="B126" s="544" cm="1">
        <f t="array" ref="B126">IF(B125=0,0,IF(B125&lt;VLOOKUP(C117,'Boats Data Sheet 2026'!$C$3:$H$57,6,0),B125+1,0))</f>
        <v>7</v>
      </c>
      <c r="C126" s="538" cm="1">
        <f t="array" ref="C126">IF(B126&gt;0,IF(VLOOKUP(C117,'Boats Data Sheet 2026'!$C$3:$J$57,8,0)="N/A",0,VLOOKUP(C117,'Boats Data Sheet 2026'!$C$3:$J$57,8,0)),"N/A")</f>
        <v>5675000</v>
      </c>
      <c r="D126" s="545" cm="1">
        <f t="array" ref="D126">IF(B126&gt;7,2,IF(B126=0,"N/A",1))</f>
        <v>1</v>
      </c>
      <c r="E126" s="538" cm="1">
        <f t="array" ref="E126">_xlfn.IFERROR(SUM('Direct Costs 2026'!$C$4:$C$5)*D126,"N/A")</f>
        <v>875500</v>
      </c>
      <c r="F126" s="538" cm="1">
        <f t="array" ref="F126">_xlfn.IFERROR('Direct Costs 2026'!$C$43*B126,"N/A")</f>
        <v>42000</v>
      </c>
      <c r="G126" s="538" cm="1">
        <f t="array" ref="G126">IF(B126&gt;0,'Direct Costs 2026'!$C$25,"N/A")</f>
        <v>90000</v>
      </c>
      <c r="H126" s="538" cm="1">
        <f t="array" ref="H126">IF(B126&gt;0,'Direct Costs 2026'!$C$19+'Direct Costs 2026'!$C$18*B126,"N/A")</f>
        <v>320000</v>
      </c>
      <c r="I126" s="538">
        <v>0</v>
      </c>
      <c r="J126" s="538" cm="1">
        <f t="array" ref="J126">IF(B126&gt;0,'Direct Costs 2026'!$C$22,"N/A")</f>
        <v>200000</v>
      </c>
      <c r="K126" s="538" cm="1">
        <f t="array" ref="K126">IF(B126&gt;0,'Direct Costs 2026'!$C$15+'Direct Costs 2026'!$C$14,"N/A")</f>
        <v>230000</v>
      </c>
      <c r="L126" s="538" cm="1">
        <f t="array" ref="L126">IF(B126&gt;0,'Direct Costs 2026'!$C$26,"N/A")</f>
        <v>20000</v>
      </c>
      <c r="M126" s="538" cm="1">
        <f t="array" ref="M126">IF(B126&gt;0,'Direct Costs 2026'!$C$23,"N/A")</f>
        <v>140000</v>
      </c>
      <c r="N126" s="538" cm="1">
        <f t="array" ref="N126">IF(B126&gt;0,'Direct Costs 2026'!$C$44*B126,"N/A")</f>
        <v>770000</v>
      </c>
      <c r="O126" t="str" s="547" cm="1">
        <f t="array" ref="O126">IF(B126&gt;0,_xlfn.IFERROR(VLOOKUP(C117,'Boats Data Sheet 2026'!$C$3:$I$57,7,0)*'Direct Costs 2026'!$C$36,"N/A"),"N/A")</f>
        <v>N/A</v>
      </c>
      <c r="P126" t="str" s="547" cm="1">
        <f t="array" ref="P126">IF(B126&gt;0,IF(OR(VLOOKUP(C117,'Boats Data Sheet 2026'!$C$3:$F$57,4,0)="Own",VLOOKUP(C117,'Boats Data Sheet 2026'!$C$3:$F$57,4,0)="Management"),('Direct Costs 2026'!$C$37+'Direct Costs 2026'!$C$39),"N/A"),"N/A")</f>
        <v>N/A</v>
      </c>
      <c r="Q126" s="538" cm="1">
        <f t="array" ref="Q126">_xlfn.IFERROR(IF(B126&gt;5,IF(B126&gt;11,IF(B126&gt;15,4,3),2),IF(B126=0,"N/A",1))*SUM('Direct Costs 2026'!$C$67:$C$68),"N/A")</f>
        <v>979200</v>
      </c>
      <c r="R126" s="538" cm="1">
        <f t="array" ref="R126">_xlfn.IFERROR('Direct Costs 2026'!$C$27*C126,"N/A")</f>
        <v>113500</v>
      </c>
      <c r="S126" s="538" cm="1">
        <f t="array" ref="S126">_xlfn.IFERROR(C126+SUM(E126:R126),"N/A")</f>
        <v>9455200</v>
      </c>
      <c r="T126" s="424"/>
      <c r="U126" s="538" cm="1">
        <f t="array" ref="U126">IF(B126&gt;0,'Allocation OH and Target 2026'!$E$27,"N/A")</f>
        <v>2134447.30345641</v>
      </c>
      <c r="V126" s="538" cm="1">
        <f t="array" ref="V126">IF(B126&gt;0,'Allocation OH and Target 2026'!$E$28,"N/A")</f>
        <v>200042.323056976</v>
      </c>
      <c r="W126" s="538" cm="1">
        <f t="array" ref="W126">IF(B126&gt;0,VLOOKUP(C117,'Allocation OH and Target 2026'!$C$3:$T$23,17,0),"N/A")</f>
        <v>0</v>
      </c>
      <c r="X126" s="538" cm="1">
        <f t="array" ref="X126">IF(B126&gt;0,VLOOKUP(C117,'Allocation OH and Target 2026'!$C$3:$T$23,18,0),"N/A")</f>
        <v>0</v>
      </c>
      <c r="Y126" s="538" cm="1">
        <f t="array" ref="Y126">_xlfn.IFERROR(B126*(V126+X126),"N/A")</f>
        <v>1400296.26139883</v>
      </c>
      <c r="Z126" s="424"/>
      <c r="AA126" s="538" cm="1">
        <f t="array" ref="AA126">_xlfn.IFERROR(Y126+S126,"N/A")</f>
        <v>10855496.2613988</v>
      </c>
      <c r="AB126" s="538" cm="1">
        <f t="array" ref="AB126">_xlfn.IFERROR(AA126*0.5%,"N/A")</f>
        <v>54277.481306994</v>
      </c>
      <c r="AC126" s="538" cm="1">
        <f t="array" ref="AC126">_xlfn.IFERROR(AA126*25%,"N/A")</f>
        <v>2713874.0653497</v>
      </c>
      <c r="AD126" s="539" cm="1">
        <f t="array" ref="AD126">IF(B126&gt;0,SUM(AA126:AC126),"N/A")</f>
        <v>13623647.8080555</v>
      </c>
      <c r="AE126" s="538" cm="1">
        <f t="array" ref="AE126">_xlfn.IFERROR(AD126/B126,"N/A")</f>
        <v>1946235.40115079</v>
      </c>
      <c r="AF126" s="424"/>
      <c r="AG126" t="str" s="546" cm="1">
        <f t="array" ref="AG126">IF(B126/VLOOKUP(C117,'Boats Data Sheet 2026'!$C$3:$H$57,6,0)&gt;VLOOKUP(C117,'Allocation OH and Target 2026'!$C$3:$J$23,8,0),IF(SUM(AH119:AH125)=0,AE126,"N/A"),"N/A")</f>
        <v>N/A</v>
      </c>
      <c r="AH126" s="424" cm="1">
        <f t="array" ref="AH126">IF(AG126="N/A",0,1)</f>
        <v>0</v>
      </c>
      <c r="AI126" t="str" s="547" cm="1">
        <f t="array" ref="AI126">IF(B126/VLOOKUP(C117,'Boats Data Sheet 2026'!$C$3:$H$57,6,0)&gt;VLOOKUP(C117,'Allocation OH and Target 2026'!$C$3:$J$23,8,0),IF(SUM(AH119:AH125)=0,S126/B126,"N/A"),"N/A")</f>
        <v>N/A</v>
      </c>
      <c r="AJ126" s="424" cm="1">
        <f t="array" ref="AJ126">IF(AI126="N/A",0,1)</f>
        <v>0</v>
      </c>
      <c r="AK126" t="str" s="527" cm="1">
        <f t="array" ref="AK126">IF(SUM($AG$120:$AG$137)*B126&lt;SUM(AA126:AB126),"NO GO","GO")</f>
        <v>NO GO</v>
      </c>
      <c r="AL126" s="424"/>
      <c r="AM126" s="538"/>
      <c r="AN126" s="538"/>
      <c r="AO126" s="538"/>
      <c r="AP126" s="542"/>
      <c r="AQ126" s="543" cm="1">
        <f t="array" ref="AQ126">B126</f>
        <v>7</v>
      </c>
      <c r="AR126" s="18"/>
    </row>
    <row r="127" ht="16" customHeight="1">
      <c r="A127" s="12"/>
      <c r="B127" s="544" cm="1">
        <f t="array" ref="B127">IF(B126=0,0,IF(B126&lt;VLOOKUP(C117,'Boats Data Sheet 2026'!$C$3:$H$57,6,0),B126+1,0))</f>
        <v>8</v>
      </c>
      <c r="C127" s="538" cm="1">
        <f t="array" ref="C127">IF(B127&gt;0,IF(VLOOKUP(C117,'Boats Data Sheet 2026'!$C$3:$J$57,8,0)="N/A",0,VLOOKUP(C117,'Boats Data Sheet 2026'!$C$3:$J$57,8,0)),"N/A")</f>
        <v>5675000</v>
      </c>
      <c r="D127" s="545" cm="1">
        <f t="array" ref="D127">IF(B127&gt;7,2,IF(B127=0,"N/A",1))</f>
        <v>2</v>
      </c>
      <c r="E127" s="538" cm="1">
        <f t="array" ref="E127">_xlfn.IFERROR(SUM('Direct Costs 2026'!$C$4:$C$5)*D127,"N/A")</f>
        <v>1751000</v>
      </c>
      <c r="F127" s="538" cm="1">
        <f t="array" ref="F127">_xlfn.IFERROR('Direct Costs 2026'!$C$43*B127,"N/A")</f>
        <v>48000</v>
      </c>
      <c r="G127" s="538" cm="1">
        <f t="array" ref="G127">IF(B127&gt;0,'Direct Costs 2026'!$C$25,"N/A")</f>
        <v>90000</v>
      </c>
      <c r="H127" s="538" cm="1">
        <f t="array" ref="H127">IF(B127&gt;0,'Direct Costs 2026'!$C$19+'Direct Costs 2026'!$C$18*B127,"N/A")</f>
        <v>355000</v>
      </c>
      <c r="I127" s="538">
        <v>0</v>
      </c>
      <c r="J127" s="538" cm="1">
        <f t="array" ref="J127">IF(B127&gt;0,'Direct Costs 2026'!$C$22,"N/A")</f>
        <v>200000</v>
      </c>
      <c r="K127" s="538" cm="1">
        <f t="array" ref="K127">IF(B127&gt;0,'Direct Costs 2026'!$C$15+'Direct Costs 2026'!$C$14,"N/A")</f>
        <v>230000</v>
      </c>
      <c r="L127" s="538" cm="1">
        <f t="array" ref="L127">IF(B127&gt;0,'Direct Costs 2026'!$C$26,"N/A")</f>
        <v>20000</v>
      </c>
      <c r="M127" s="538" cm="1">
        <f t="array" ref="M127">IF(B127&gt;0,'Direct Costs 2026'!$C$23,"N/A")</f>
        <v>140000</v>
      </c>
      <c r="N127" s="538" cm="1">
        <f t="array" ref="N127">IF(B127&gt;0,'Direct Costs 2026'!$C$44*B127,"N/A")</f>
        <v>880000</v>
      </c>
      <c r="O127" t="str" s="547" cm="1">
        <f t="array" ref="O127">IF(B127&gt;0,_xlfn.IFERROR(VLOOKUP(C117,'Boats Data Sheet 2026'!$C$3:$I$57,7,0)*'Direct Costs 2026'!$C$36,"N/A"),"N/A")</f>
        <v>N/A</v>
      </c>
      <c r="P127" t="str" s="547" cm="1">
        <f t="array" ref="P127">IF(B127&gt;0,IF(OR(VLOOKUP(C117,'Boats Data Sheet 2026'!$C$3:$F$57,4,0)="Own",VLOOKUP(C117,'Boats Data Sheet 2026'!$C$3:$F$57,4,0)="Management"),('Direct Costs 2026'!$C$37+'Direct Costs 2026'!$C$39),"N/A"),"N/A")</f>
        <v>N/A</v>
      </c>
      <c r="Q127" s="538" cm="1">
        <f t="array" ref="Q127">_xlfn.IFERROR(IF(B127&gt;5,IF(B127&gt;11,IF(B127&gt;15,4,3),2),IF(B127=0,"N/A",1))*SUM('Direct Costs 2026'!$C$67:$C$68),"N/A")</f>
        <v>979200</v>
      </c>
      <c r="R127" s="538" cm="1">
        <f t="array" ref="R127">_xlfn.IFERROR('Direct Costs 2026'!$C$27*C127,"N/A")</f>
        <v>113500</v>
      </c>
      <c r="S127" s="538" cm="1">
        <f t="array" ref="S127">_xlfn.IFERROR(C127+SUM(E127:R127),"N/A")</f>
        <v>10481700</v>
      </c>
      <c r="T127" s="424"/>
      <c r="U127" s="538" cm="1">
        <f t="array" ref="U127">IF(B127&gt;0,'Allocation OH and Target 2026'!$E$27,"N/A")</f>
        <v>2134447.30345641</v>
      </c>
      <c r="V127" s="538" cm="1">
        <f t="array" ref="V127">IF(B127&gt;0,'Allocation OH and Target 2026'!$E$28,"N/A")</f>
        <v>200042.323056976</v>
      </c>
      <c r="W127" s="538" cm="1">
        <f t="array" ref="W127">IF(B127&gt;0,VLOOKUP(C117,'Allocation OH and Target 2026'!$C$3:$T$23,17,0),"N/A")</f>
        <v>0</v>
      </c>
      <c r="X127" s="538" cm="1">
        <f t="array" ref="X127">IF(B127&gt;0,VLOOKUP(C117,'Allocation OH and Target 2026'!$C$3:$T$23,18,0),"N/A")</f>
        <v>0</v>
      </c>
      <c r="Y127" s="538" cm="1">
        <f t="array" ref="Y127">_xlfn.IFERROR(B127*(V127+X127),"N/A")</f>
        <v>1600338.58445581</v>
      </c>
      <c r="Z127" s="424"/>
      <c r="AA127" s="538" cm="1">
        <f t="array" ref="AA127">_xlfn.IFERROR(Y127+S127,"N/A")</f>
        <v>12082038.5844558</v>
      </c>
      <c r="AB127" s="538" cm="1">
        <f t="array" ref="AB127">_xlfn.IFERROR(AA127*0.5%,"N/A")</f>
        <v>60410.192922279</v>
      </c>
      <c r="AC127" s="538" cm="1">
        <f t="array" ref="AC127">_xlfn.IFERROR(AA127*25%,"N/A")</f>
        <v>3020509.64611395</v>
      </c>
      <c r="AD127" s="539" cm="1">
        <f t="array" ref="AD127">IF(B127&gt;0,SUM(AA127:AC127),"N/A")</f>
        <v>15162958.423492</v>
      </c>
      <c r="AE127" s="538" cm="1">
        <f t="array" ref="AE127">_xlfn.IFERROR(AD127/B127,"N/A")</f>
        <v>1895369.8029365</v>
      </c>
      <c r="AF127" s="424"/>
      <c r="AG127" t="str" s="546" cm="1">
        <f t="array" ref="AG127">IF(B127/VLOOKUP(C117,'Boats Data Sheet 2026'!$C$3:$H$57,6,0)&gt;VLOOKUP(C117,'Allocation OH and Target 2026'!$C$3:$J$23,8,0),IF(SUM(AH119:AH126)=0,AE127,"N/A"),"N/A")</f>
        <v>N/A</v>
      </c>
      <c r="AH127" s="424" cm="1">
        <f t="array" ref="AH127">IF(AG127="N/A",0,1)</f>
        <v>0</v>
      </c>
      <c r="AI127" t="str" s="547" cm="1">
        <f t="array" ref="AI127">IF(B127/VLOOKUP(C117,'Boats Data Sheet 2026'!$C$3:$H$57,6,0)&gt;VLOOKUP(C117,'Allocation OH and Target 2026'!$C$3:$J$23,8,0),IF(SUM(AH119:AH126)=0,S127/B127,"N/A"),"N/A")</f>
        <v>N/A</v>
      </c>
      <c r="AJ127" s="424" cm="1">
        <f t="array" ref="AJ127">IF(AI127="N/A",0,1)</f>
        <v>0</v>
      </c>
      <c r="AK127" t="str" s="527" cm="1">
        <f t="array" ref="AK127">IF(SUM($AG$120:$AG$137)*B127&lt;SUM(AA127:AB127),"NO GO","GO")</f>
        <v>NO GO</v>
      </c>
      <c r="AL127" s="424"/>
      <c r="AM127" s="538"/>
      <c r="AN127" s="538"/>
      <c r="AO127" s="538"/>
      <c r="AP127" s="542"/>
      <c r="AQ127" s="543" cm="1">
        <f t="array" ref="AQ127">B127</f>
        <v>8</v>
      </c>
      <c r="AR127" s="18"/>
    </row>
    <row r="128" ht="16" customHeight="1">
      <c r="A128" s="12"/>
      <c r="B128" s="544" cm="1">
        <f t="array" ref="B128">IF(B127=0,0,IF(B127&lt;VLOOKUP(C117,'Boats Data Sheet 2026'!$C$3:$H$57,6,0),B127+1,0))</f>
        <v>9</v>
      </c>
      <c r="C128" s="538" cm="1">
        <f t="array" ref="C128">IF(B128&gt;0,IF(VLOOKUP(C117,'Boats Data Sheet 2026'!$C$3:$J$57,8,0)="N/A",0,VLOOKUP(C117,'Boats Data Sheet 2026'!$C$3:$J$57,8,0)),"N/A")</f>
        <v>5675000</v>
      </c>
      <c r="D128" s="545" cm="1">
        <f t="array" ref="D128">IF(B128&gt;7,2,IF(B128=0,"N/A",1))</f>
        <v>2</v>
      </c>
      <c r="E128" s="538" cm="1">
        <f t="array" ref="E128">_xlfn.IFERROR(SUM('Direct Costs 2026'!$C$4:$C$5)*D128,"N/A")</f>
        <v>1751000</v>
      </c>
      <c r="F128" s="538" cm="1">
        <f t="array" ref="F128">_xlfn.IFERROR('Direct Costs 2026'!$C$43*B128,"N/A")</f>
        <v>54000</v>
      </c>
      <c r="G128" s="538" cm="1">
        <f t="array" ref="G128">IF(B128&gt;0,'Direct Costs 2026'!$C$25,"N/A")</f>
        <v>90000</v>
      </c>
      <c r="H128" s="538" cm="1">
        <f t="array" ref="H128">IF(B128&gt;0,'Direct Costs 2026'!$C$19+'Direct Costs 2026'!$C$18*B128,"N/A")</f>
        <v>390000</v>
      </c>
      <c r="I128" s="538">
        <v>0</v>
      </c>
      <c r="J128" s="538" cm="1">
        <f t="array" ref="J128">IF(B128&gt;0,'Direct Costs 2026'!$C$22,"N/A")</f>
        <v>200000</v>
      </c>
      <c r="K128" s="538" cm="1">
        <f t="array" ref="K128">IF(B128&gt;0,'Direct Costs 2026'!$C$15+'Direct Costs 2026'!$C$14,"N/A")</f>
        <v>230000</v>
      </c>
      <c r="L128" s="538" cm="1">
        <f t="array" ref="L128">IF(B128&gt;0,'Direct Costs 2026'!$C$26,"N/A")</f>
        <v>20000</v>
      </c>
      <c r="M128" s="538" cm="1">
        <f t="array" ref="M128">IF(B128&gt;0,'Direct Costs 2026'!$C$23,"N/A")</f>
        <v>140000</v>
      </c>
      <c r="N128" s="538" cm="1">
        <f t="array" ref="N128">IF(B128&gt;0,'Direct Costs 2026'!$C$44*B128,"N/A")</f>
        <v>990000</v>
      </c>
      <c r="O128" t="str" s="547" cm="1">
        <f t="array" ref="O128">IF(B128&gt;0,_xlfn.IFERROR(VLOOKUP(C117,'Boats Data Sheet 2026'!$C$3:$I$57,7,0)*'Direct Costs 2026'!$C$36,"N/A"),"N/A")</f>
        <v>N/A</v>
      </c>
      <c r="P128" t="str" s="547" cm="1">
        <f t="array" ref="P128">IF(B128&gt;0,IF(OR(VLOOKUP(C117,'Boats Data Sheet 2026'!$C$3:$F$57,4,0)="Own",VLOOKUP(C117,'Boats Data Sheet 2026'!$C$3:$F$57,4,0)="Management"),('Direct Costs 2026'!$C$37+'Direct Costs 2026'!$C$39),"N/A"),"N/A")</f>
        <v>N/A</v>
      </c>
      <c r="Q128" s="538" cm="1">
        <f t="array" ref="Q128">_xlfn.IFERROR(IF(B128&gt;5,IF(B128&gt;11,IF(B128&gt;15,4,3),2),IF(B128=0,"N/A",1))*SUM('Direct Costs 2026'!$C$67:$C$68),"N/A")</f>
        <v>979200</v>
      </c>
      <c r="R128" s="538" cm="1">
        <f t="array" ref="R128">_xlfn.IFERROR('Direct Costs 2026'!$C$27*C128,"N/A")</f>
        <v>113500</v>
      </c>
      <c r="S128" s="538" cm="1">
        <f t="array" ref="S128">_xlfn.IFERROR(C128+SUM(E128:R128),"N/A")</f>
        <v>10632700</v>
      </c>
      <c r="T128" s="424"/>
      <c r="U128" s="538" cm="1">
        <f t="array" ref="U128">IF(B128&gt;0,'Allocation OH and Target 2026'!$E$27,"N/A")</f>
        <v>2134447.30345641</v>
      </c>
      <c r="V128" s="538" cm="1">
        <f t="array" ref="V128">IF(B128&gt;0,'Allocation OH and Target 2026'!$E$28,"N/A")</f>
        <v>200042.323056976</v>
      </c>
      <c r="W128" s="538" cm="1">
        <f t="array" ref="W128">IF(B128&gt;0,VLOOKUP(C117,'Allocation OH and Target 2026'!$C$3:$T$23,17,0),"N/A")</f>
        <v>0</v>
      </c>
      <c r="X128" s="538" cm="1">
        <f t="array" ref="X128">IF(B128&gt;0,VLOOKUP(C117,'Allocation OH and Target 2026'!$C$3:$T$23,18,0),"N/A")</f>
        <v>0</v>
      </c>
      <c r="Y128" s="538" cm="1">
        <f t="array" ref="Y128">_xlfn.IFERROR(B128*(V128+X128),"N/A")</f>
        <v>1800380.90751278</v>
      </c>
      <c r="Z128" s="424"/>
      <c r="AA128" s="538" cm="1">
        <f t="array" ref="AA128">_xlfn.IFERROR(Y128+S128,"N/A")</f>
        <v>12433080.9075128</v>
      </c>
      <c r="AB128" s="538" cm="1">
        <f t="array" ref="AB128">_xlfn.IFERROR(AA128*0.5%,"N/A")</f>
        <v>62165.404537564</v>
      </c>
      <c r="AC128" s="538" cm="1">
        <f t="array" ref="AC128">_xlfn.IFERROR(AA128*25%,"N/A")</f>
        <v>3108270.2268782</v>
      </c>
      <c r="AD128" s="539" cm="1">
        <f t="array" ref="AD128">IF(B128&gt;0,SUM(AA128:AC128),"N/A")</f>
        <v>15603516.5389286</v>
      </c>
      <c r="AE128" s="538" cm="1">
        <f t="array" ref="AE128">_xlfn.IFERROR(AD128/B128,"N/A")</f>
        <v>1733724.05988096</v>
      </c>
      <c r="AF128" s="424"/>
      <c r="AG128" t="str" s="546" cm="1">
        <f t="array" ref="AG128">IF(B128/VLOOKUP(C117,'Boats Data Sheet 2026'!$C$3:$H$57,6,0)&gt;VLOOKUP(C117,'Allocation OH and Target 2026'!$C$3:$J$23,8,0),IF(SUM(AH119:AH127)=0,AE128,"N/A"),"N/A")</f>
        <v>N/A</v>
      </c>
      <c r="AH128" s="424" cm="1">
        <f t="array" ref="AH128">IF(AG128="N/A",0,1)</f>
        <v>0</v>
      </c>
      <c r="AI128" t="str" s="547" cm="1">
        <f t="array" ref="AI128">IF(B128/VLOOKUP(C117,'Boats Data Sheet 2026'!$C$3:$H$57,6,0)&gt;VLOOKUP(C117,'Allocation OH and Target 2026'!$C$3:$J$23,8,0),IF(SUM(AH119:AH127)=0,S128/B128,"N/A"),"N/A")</f>
        <v>N/A</v>
      </c>
      <c r="AJ128" s="424" cm="1">
        <f t="array" ref="AJ128">IF(AI128="N/A",0,1)</f>
        <v>0</v>
      </c>
      <c r="AK128" t="str" s="527" cm="1">
        <f t="array" ref="AK128">IF(SUM($AG$120:$AG$137)*B128&lt;SUM(AA128:AB128),"NO GO","GO")</f>
        <v>GO</v>
      </c>
      <c r="AL128" s="424"/>
      <c r="AM128" s="538"/>
      <c r="AN128" s="538"/>
      <c r="AO128" s="538"/>
      <c r="AP128" s="542"/>
      <c r="AQ128" s="543" cm="1">
        <f t="array" ref="AQ128">B128</f>
        <v>9</v>
      </c>
      <c r="AR128" s="18"/>
    </row>
    <row r="129" ht="16" customHeight="1">
      <c r="A129" s="12"/>
      <c r="B129" s="544" cm="1">
        <f t="array" ref="B129">IF(B128=0,0,IF(B128&lt;VLOOKUP(C117,'Boats Data Sheet 2026'!$C$3:$H$57,6,0),B128+1,0))</f>
        <v>10</v>
      </c>
      <c r="C129" s="538" cm="1">
        <f t="array" ref="C129">IF(B129&gt;0,IF(VLOOKUP(C117,'Boats Data Sheet 2026'!$C$3:$J$57,8,0)="N/A",0,VLOOKUP(C117,'Boats Data Sheet 2026'!$C$3:$J$57,8,0)),"N/A")</f>
        <v>5675000</v>
      </c>
      <c r="D129" s="545" cm="1">
        <f t="array" ref="D129">IF(B129&gt;7,2,IF(B129=0,"N/A",1))</f>
        <v>2</v>
      </c>
      <c r="E129" s="538" cm="1">
        <f t="array" ref="E129">_xlfn.IFERROR(SUM('Direct Costs 2026'!$C$4:$C$5)*D129,"N/A")</f>
        <v>1751000</v>
      </c>
      <c r="F129" s="538" cm="1">
        <f t="array" ref="F129">_xlfn.IFERROR('Direct Costs 2026'!$C$43*B129,"N/A")</f>
        <v>60000</v>
      </c>
      <c r="G129" s="538" cm="1">
        <f t="array" ref="G129">IF(B129&gt;0,'Direct Costs 2026'!$C$25,"N/A")</f>
        <v>90000</v>
      </c>
      <c r="H129" s="538" cm="1">
        <f t="array" ref="H129">IF(B129&gt;0,'Direct Costs 2026'!$C$19+'Direct Costs 2026'!$C$18*B129,"N/A")</f>
        <v>425000</v>
      </c>
      <c r="I129" s="538">
        <v>0</v>
      </c>
      <c r="J129" s="538" cm="1">
        <f t="array" ref="J129">IF(B129&gt;0,'Direct Costs 2026'!$C$22,"N/A")</f>
        <v>200000</v>
      </c>
      <c r="K129" s="538" cm="1">
        <f t="array" ref="K129">IF(B129&gt;0,'Direct Costs 2026'!$C$15+'Direct Costs 2026'!$C$14,"N/A")</f>
        <v>230000</v>
      </c>
      <c r="L129" s="538" cm="1">
        <f t="array" ref="L129">IF(B129&gt;0,'Direct Costs 2026'!$C$26,"N/A")</f>
        <v>20000</v>
      </c>
      <c r="M129" s="538" cm="1">
        <f t="array" ref="M129">IF(B129&gt;0,'Direct Costs 2026'!$C$23,"N/A")</f>
        <v>140000</v>
      </c>
      <c r="N129" s="538" cm="1">
        <f t="array" ref="N129">IF(B129&gt;0,'Direct Costs 2026'!$C$44*B129,"N/A")</f>
        <v>1100000</v>
      </c>
      <c r="O129" t="str" s="547" cm="1">
        <f t="array" ref="O129">IF(B129&gt;0,_xlfn.IFERROR(VLOOKUP(C117,'Boats Data Sheet 2026'!$C$3:$I$57,7,0)*'Direct Costs 2026'!$C$36,"N/A"),"N/A")</f>
        <v>N/A</v>
      </c>
      <c r="P129" t="str" s="547" cm="1">
        <f t="array" ref="P129">IF(B129&gt;0,IF(OR(VLOOKUP(C117,'Boats Data Sheet 2026'!$C$3:$F$57,4,0)="Own",VLOOKUP(C117,'Boats Data Sheet 2026'!$C$3:$F$57,4,0)="Management"),('Direct Costs 2026'!$C$37+'Direct Costs 2026'!$C$39),"N/A"),"N/A")</f>
        <v>N/A</v>
      </c>
      <c r="Q129" s="538" cm="1">
        <f t="array" ref="Q129">_xlfn.IFERROR(IF(B129&gt;5,IF(B129&gt;11,IF(B129&gt;15,4,3),2),IF(B129=0,"N/A",1))*SUM('Direct Costs 2026'!$C$67:$C$68),"N/A")</f>
        <v>979200</v>
      </c>
      <c r="R129" s="538" cm="1">
        <f t="array" ref="R129">_xlfn.IFERROR('Direct Costs 2026'!$C$27*C129,"N/A")</f>
        <v>113500</v>
      </c>
      <c r="S129" s="538" cm="1">
        <f t="array" ref="S129">_xlfn.IFERROR(C129+SUM(E129:R129),"N/A")</f>
        <v>10783700</v>
      </c>
      <c r="T129" s="424"/>
      <c r="U129" s="538" cm="1">
        <f t="array" ref="U129">IF(B129&gt;0,'Allocation OH and Target 2026'!$E$27,"N/A")</f>
        <v>2134447.30345641</v>
      </c>
      <c r="V129" s="538" cm="1">
        <f t="array" ref="V129">IF(B129&gt;0,'Allocation OH and Target 2026'!$E$28,"N/A")</f>
        <v>200042.323056976</v>
      </c>
      <c r="W129" s="538" cm="1">
        <f t="array" ref="W129">IF(B129&gt;0,VLOOKUP(C117,'Allocation OH and Target 2026'!$C$3:$T$23,17,0),"N/A")</f>
        <v>0</v>
      </c>
      <c r="X129" s="538" cm="1">
        <f t="array" ref="X129">IF(B129&gt;0,VLOOKUP(C117,'Allocation OH and Target 2026'!$C$3:$T$23,18,0),"N/A")</f>
        <v>0</v>
      </c>
      <c r="Y129" s="538" cm="1">
        <f t="array" ref="Y129">_xlfn.IFERROR(B129*(V129+X129),"N/A")</f>
        <v>2000423.23056976</v>
      </c>
      <c r="Z129" s="424"/>
      <c r="AA129" s="538" cm="1">
        <f t="array" ref="AA129">_xlfn.IFERROR(Y129+S129,"N/A")</f>
        <v>12784123.2305698</v>
      </c>
      <c r="AB129" s="538" cm="1">
        <f t="array" ref="AB129">_xlfn.IFERROR(AA129*0.5%,"N/A")</f>
        <v>63920.616152849</v>
      </c>
      <c r="AC129" s="538" cm="1">
        <f t="array" ref="AC129">_xlfn.IFERROR(AA129*25%,"N/A")</f>
        <v>3196030.80764245</v>
      </c>
      <c r="AD129" s="539" cm="1">
        <f t="array" ref="AD129">IF(B129&gt;0,SUM(AA129:AC129),"N/A")</f>
        <v>16044074.6543651</v>
      </c>
      <c r="AE129" s="538" cm="1">
        <f t="array" ref="AE129">_xlfn.IFERROR(AD129/B129,"N/A")</f>
        <v>1604407.46543651</v>
      </c>
      <c r="AF129" s="424"/>
      <c r="AG129" t="str" s="546" cm="1">
        <f t="array" ref="AG129">IF(B129/VLOOKUP(C117,'Boats Data Sheet 2026'!$C$3:$H$57,6,0)&gt;VLOOKUP(C117,'Allocation OH and Target 2026'!$C$3:$J$23,8,0),IF(SUM(AH119:AH128)=0,AE129,"N/A"),"N/A")</f>
        <v>N/A</v>
      </c>
      <c r="AH129" s="424" cm="1">
        <f t="array" ref="AH129">IF(AG129="N/A",0,1)</f>
        <v>0</v>
      </c>
      <c r="AI129" t="str" s="547" cm="1">
        <f t="array" ref="AI129">IF(B129/VLOOKUP(C117,'Boats Data Sheet 2026'!$C$3:$H$57,6,0)&gt;VLOOKUP(C117,'Allocation OH and Target 2026'!$C$3:$J$23,8,0),IF(SUM(AH119:AH128)=0,S129/B129,"N/A"),"N/A")</f>
        <v>N/A</v>
      </c>
      <c r="AJ129" s="424" cm="1">
        <f t="array" ref="AJ129">IF(AI129="N/A",0,1)</f>
        <v>0</v>
      </c>
      <c r="AK129" t="str" s="527" cm="1">
        <f t="array" ref="AK129">IF(SUM($AG$120:$AG$137)*B129&lt;SUM(AA129:AB129),"NO GO","GO")</f>
        <v>GO</v>
      </c>
      <c r="AL129" s="424"/>
      <c r="AM129" s="538"/>
      <c r="AN129" s="538"/>
      <c r="AO129" s="538"/>
      <c r="AP129" s="542"/>
      <c r="AQ129" s="543" cm="1">
        <f t="array" ref="AQ129">B129</f>
        <v>10</v>
      </c>
      <c r="AR129" s="18"/>
    </row>
    <row r="130" ht="16" customHeight="1">
      <c r="A130" s="12"/>
      <c r="B130" s="544" cm="1">
        <f t="array" ref="B130">IF(B129=0,0,IF(B129&lt;VLOOKUP(C117,'Boats Data Sheet 2026'!$C$3:$H$57,6,0),B129+1,0))</f>
        <v>11</v>
      </c>
      <c r="C130" s="538" cm="1">
        <f t="array" ref="C130">IF(B130&gt;0,IF(VLOOKUP(C117,'Boats Data Sheet 2026'!$C$3:$J$57,8,0)="N/A",0,VLOOKUP(C117,'Boats Data Sheet 2026'!$C$3:$J$57,8,0)),"N/A")</f>
        <v>5675000</v>
      </c>
      <c r="D130" s="545" cm="1">
        <f t="array" ref="D130">IF(B130&gt;7,2,IF(B130=0,"N/A",1))</f>
        <v>2</v>
      </c>
      <c r="E130" s="538" cm="1">
        <f t="array" ref="E130">_xlfn.IFERROR(SUM('Direct Costs 2026'!$C$4:$C$5)*D130,"N/A")</f>
        <v>1751000</v>
      </c>
      <c r="F130" s="538" cm="1">
        <f t="array" ref="F130">_xlfn.IFERROR('Direct Costs 2026'!$C$43*B130,"N/A")</f>
        <v>66000</v>
      </c>
      <c r="G130" s="538" cm="1">
        <f t="array" ref="G130">IF(B130&gt;0,'Direct Costs 2026'!$C$25,"N/A")</f>
        <v>90000</v>
      </c>
      <c r="H130" s="538" cm="1">
        <f t="array" ref="H130">IF(B130&gt;0,'Direct Costs 2026'!$C$19+'Direct Costs 2026'!$C$18*B130,"N/A")</f>
        <v>460000</v>
      </c>
      <c r="I130" s="538">
        <v>0</v>
      </c>
      <c r="J130" s="538" cm="1">
        <f t="array" ref="J130">IF(B130&gt;0,'Direct Costs 2026'!$C$22,"N/A")</f>
        <v>200000</v>
      </c>
      <c r="K130" s="538" cm="1">
        <f t="array" ref="K130">IF(B130&gt;0,'Direct Costs 2026'!$C$15+'Direct Costs 2026'!$C$14,"N/A")</f>
        <v>230000</v>
      </c>
      <c r="L130" s="538" cm="1">
        <f t="array" ref="L130">IF(B130&gt;0,'Direct Costs 2026'!$C$26,"N/A")</f>
        <v>20000</v>
      </c>
      <c r="M130" s="538" cm="1">
        <f t="array" ref="M130">IF(B130&gt;0,'Direct Costs 2026'!$C$23,"N/A")</f>
        <v>140000</v>
      </c>
      <c r="N130" s="538" cm="1">
        <f t="array" ref="N130">IF(B130&gt;0,'Direct Costs 2026'!$C$44*B130,"N/A")</f>
        <v>1210000</v>
      </c>
      <c r="O130" t="str" s="547" cm="1">
        <f t="array" ref="O130">IF(B130&gt;0,_xlfn.IFERROR(VLOOKUP(C117,'Boats Data Sheet 2026'!$C$3:$I$57,7,0)*'Direct Costs 2026'!$C$36,"N/A"),"N/A")</f>
        <v>N/A</v>
      </c>
      <c r="P130" t="str" s="547" cm="1">
        <f t="array" ref="P130">IF(B130&gt;0,IF(OR(VLOOKUP(C117,'Boats Data Sheet 2026'!$C$3:$F$57,4,0)="Own",VLOOKUP(C117,'Boats Data Sheet 2026'!$C$3:$F$57,4,0)="Management"),('Direct Costs 2026'!$C$37+'Direct Costs 2026'!$C$39),"N/A"),"N/A")</f>
        <v>N/A</v>
      </c>
      <c r="Q130" s="538" cm="1">
        <f t="array" ref="Q130">_xlfn.IFERROR(IF(B130&gt;5,IF(B130&gt;11,IF(B130&gt;15,4,3),2),IF(B130=0,"N/A",1))*SUM('Direct Costs 2026'!$C$67:$C$68),"N/A")</f>
        <v>979200</v>
      </c>
      <c r="R130" s="538" cm="1">
        <f t="array" ref="R130">_xlfn.IFERROR('Direct Costs 2026'!$C$27*C130,"N/A")</f>
        <v>113500</v>
      </c>
      <c r="S130" s="538" cm="1">
        <f t="array" ref="S130">_xlfn.IFERROR(C130+SUM(E130:R130),"N/A")</f>
        <v>10934700</v>
      </c>
      <c r="T130" s="424"/>
      <c r="U130" s="538" cm="1">
        <f t="array" ref="U130">IF(B130&gt;0,'Allocation OH and Target 2026'!$E$27,"N/A")</f>
        <v>2134447.30345641</v>
      </c>
      <c r="V130" s="538" cm="1">
        <f t="array" ref="V130">IF(B130&gt;0,'Allocation OH and Target 2026'!$E$28,"N/A")</f>
        <v>200042.323056976</v>
      </c>
      <c r="W130" s="538" cm="1">
        <f t="array" ref="W130">IF(B130&gt;0,VLOOKUP(C117,'Allocation OH and Target 2026'!$C$3:$T$23,17,0),"N/A")</f>
        <v>0</v>
      </c>
      <c r="X130" s="538" cm="1">
        <f t="array" ref="X130">IF(B130&gt;0,VLOOKUP(C117,'Allocation OH and Target 2026'!$C$3:$T$23,18,0),"N/A")</f>
        <v>0</v>
      </c>
      <c r="Y130" s="538" cm="1">
        <f t="array" ref="Y130">_xlfn.IFERROR(B130*(V130+X130),"N/A")</f>
        <v>2200465.55362674</v>
      </c>
      <c r="Z130" s="424"/>
      <c r="AA130" s="538" cm="1">
        <f t="array" ref="AA130">_xlfn.IFERROR(Y130+S130,"N/A")</f>
        <v>13135165.5536267</v>
      </c>
      <c r="AB130" s="538" cm="1">
        <f t="array" ref="AB130">_xlfn.IFERROR(AA130*0.5%,"N/A")</f>
        <v>65675.8277681335</v>
      </c>
      <c r="AC130" s="538" cm="1">
        <f t="array" ref="AC130">_xlfn.IFERROR(AA130*25%,"N/A")</f>
        <v>3283791.38840668</v>
      </c>
      <c r="AD130" s="539" cm="1">
        <f t="array" ref="AD130">IF(B130&gt;0,SUM(AA130:AC130),"N/A")</f>
        <v>16484632.7698015</v>
      </c>
      <c r="AE130" s="538" cm="1">
        <f t="array" ref="AE130">_xlfn.IFERROR(AD130/B130,"N/A")</f>
        <v>1498602.97907286</v>
      </c>
      <c r="AF130" s="424"/>
      <c r="AG130" t="str" s="546" cm="1">
        <f t="array" ref="AG130">IF(B130/VLOOKUP(C117,'Boats Data Sheet 2026'!$C$3:$H$57,6,0)&gt;VLOOKUP(C117,'Allocation OH and Target 2026'!$C$3:$J$23,8,0),IF(SUM(AH119:AH129)=0,AE130,"N/A"),"N/A")</f>
        <v>N/A</v>
      </c>
      <c r="AH130" s="424" cm="1">
        <f t="array" ref="AH130">IF(AG130="N/A",0,1)</f>
        <v>0</v>
      </c>
      <c r="AI130" t="str" s="547" cm="1">
        <f t="array" ref="AI130">IF(B130/VLOOKUP(C117,'Boats Data Sheet 2026'!$C$3:$H$57,6,0)&gt;VLOOKUP(C117,'Allocation OH and Target 2026'!$C$3:$J$23,8,0),IF(SUM(AH119:AH129)=0,S130/B130,"N/A"),"N/A")</f>
        <v>N/A</v>
      </c>
      <c r="AJ130" s="424" cm="1">
        <f t="array" ref="AJ130">IF(AI130="N/A",0,1)</f>
        <v>0</v>
      </c>
      <c r="AK130" t="str" s="527" cm="1">
        <f t="array" ref="AK130">IF(SUM($AG$120:$AG$137)*B130&lt;SUM(AA130:AB130),"NO GO","GO")</f>
        <v>GO</v>
      </c>
      <c r="AL130" s="424"/>
      <c r="AM130" s="538"/>
      <c r="AN130" s="538"/>
      <c r="AO130" s="538"/>
      <c r="AP130" s="542"/>
      <c r="AQ130" s="543" cm="1">
        <f t="array" ref="AQ130">B130</f>
        <v>11</v>
      </c>
      <c r="AR130" s="18"/>
    </row>
    <row r="131" ht="16" customHeight="1">
      <c r="A131" s="12"/>
      <c r="B131" s="544" cm="1">
        <f t="array" ref="B131">IF(B130=0,0,IF(B130&lt;VLOOKUP(C117,'Boats Data Sheet 2026'!$C$3:$H$57,6,0),B130+1,0))</f>
        <v>12</v>
      </c>
      <c r="C131" s="538" cm="1">
        <f t="array" ref="C131">IF(B131&gt;0,IF(VLOOKUP(C117,'Boats Data Sheet 2026'!$C$3:$J$57,8,0)="N/A",0,VLOOKUP(C117,'Boats Data Sheet 2026'!$C$3:$J$57,8,0)),"N/A")</f>
        <v>5675000</v>
      </c>
      <c r="D131" s="545" cm="1">
        <f t="array" ref="D131">IF(B131&gt;7,2,IF(B131=0,"N/A",1))</f>
        <v>2</v>
      </c>
      <c r="E131" s="538" cm="1">
        <f t="array" ref="E131">_xlfn.IFERROR(SUM('Direct Costs 2026'!$C$4:$C$5)*D131,"N/A")</f>
        <v>1751000</v>
      </c>
      <c r="F131" s="538" cm="1">
        <f t="array" ref="F131">_xlfn.IFERROR('Direct Costs 2026'!$C$43*B131,"N/A")</f>
        <v>72000</v>
      </c>
      <c r="G131" s="538" cm="1">
        <f t="array" ref="G131">IF(B131&gt;0,'Direct Costs 2026'!$C$25,"N/A")</f>
        <v>90000</v>
      </c>
      <c r="H131" s="538" cm="1">
        <f t="array" ref="H131">IF(B131&gt;0,'Direct Costs 2026'!$C$19+'Direct Costs 2026'!$C$18*B131,"N/A")</f>
        <v>495000</v>
      </c>
      <c r="I131" s="538">
        <v>0</v>
      </c>
      <c r="J131" s="538" cm="1">
        <f t="array" ref="J131">IF(B131&gt;0,'Direct Costs 2026'!$C$22,"N/A")</f>
        <v>200000</v>
      </c>
      <c r="K131" s="538" cm="1">
        <f t="array" ref="K131">IF(B131&gt;0,'Direct Costs 2026'!$C$15+'Direct Costs 2026'!$C$14,"N/A")</f>
        <v>230000</v>
      </c>
      <c r="L131" s="538" cm="1">
        <f t="array" ref="L131">IF(B131&gt;0,'Direct Costs 2026'!$C$26,"N/A")</f>
        <v>20000</v>
      </c>
      <c r="M131" s="538" cm="1">
        <f t="array" ref="M131">IF(B131&gt;0,'Direct Costs 2026'!$C$23,"N/A")</f>
        <v>140000</v>
      </c>
      <c r="N131" s="538" cm="1">
        <f t="array" ref="N131">IF(B131&gt;0,'Direct Costs 2026'!$C$44*B131,"N/A")</f>
        <v>1320000</v>
      </c>
      <c r="O131" t="str" s="547" cm="1">
        <f t="array" ref="O131">IF(B131&gt;0,_xlfn.IFERROR(VLOOKUP(C117,'Boats Data Sheet 2026'!$C$3:$I$57,7,0)*'Direct Costs 2026'!$C$36,"N/A"),"N/A")</f>
        <v>N/A</v>
      </c>
      <c r="P131" t="str" s="547" cm="1">
        <f t="array" ref="P131">IF(B131&gt;0,IF(OR(VLOOKUP(C117,'Boats Data Sheet 2026'!$C$3:$F$57,4,0)="Own",VLOOKUP(C117,'Boats Data Sheet 2026'!$C$3:$F$57,4,0)="Management"),('Direct Costs 2026'!$C$37+'Direct Costs 2026'!$C$39),"N/A"),"N/A")</f>
        <v>N/A</v>
      </c>
      <c r="Q131" s="538" cm="1">
        <f t="array" ref="Q131">_xlfn.IFERROR(IF(B131&gt;5,IF(B131&gt;11,IF(B131&gt;15,4,3),2),IF(B131=0,"N/A",1))*SUM('Direct Costs 2026'!$C$67:$C$68),"N/A")</f>
        <v>1468800</v>
      </c>
      <c r="R131" s="538" cm="1">
        <f t="array" ref="R131">_xlfn.IFERROR('Direct Costs 2026'!$C$27*C131,"N/A")</f>
        <v>113500</v>
      </c>
      <c r="S131" s="538" cm="1">
        <f t="array" ref="S131">_xlfn.IFERROR(C131+SUM(E131:R131),"N/A")</f>
        <v>11575300</v>
      </c>
      <c r="T131" s="424"/>
      <c r="U131" s="538" cm="1">
        <f t="array" ref="U131">IF(B131&gt;0,'Allocation OH and Target 2026'!$E$27,"N/A")</f>
        <v>2134447.30345641</v>
      </c>
      <c r="V131" s="538" cm="1">
        <f t="array" ref="V131">IF(B131&gt;0,'Allocation OH and Target 2026'!$E$28,"N/A")</f>
        <v>200042.323056976</v>
      </c>
      <c r="W131" s="538" cm="1">
        <f t="array" ref="W131">IF(B131&gt;0,VLOOKUP(C117,'Allocation OH and Target 2026'!$C$3:$T$23,17,0),"N/A")</f>
        <v>0</v>
      </c>
      <c r="X131" s="538" cm="1">
        <f t="array" ref="X131">IF(B131&gt;0,VLOOKUP(C117,'Allocation OH and Target 2026'!$C$3:$T$23,18,0),"N/A")</f>
        <v>0</v>
      </c>
      <c r="Y131" s="538" cm="1">
        <f t="array" ref="Y131">_xlfn.IFERROR(B131*(V131+X131),"N/A")</f>
        <v>2400507.87668371</v>
      </c>
      <c r="Z131" s="424"/>
      <c r="AA131" s="538" cm="1">
        <f t="array" ref="AA131">_xlfn.IFERROR(Y131+S131,"N/A")</f>
        <v>13975807.8766837</v>
      </c>
      <c r="AB131" s="538" cm="1">
        <f t="array" ref="AB131">_xlfn.IFERROR(AA131*0.5%,"N/A")</f>
        <v>69879.039383418494</v>
      </c>
      <c r="AC131" s="538" cm="1">
        <f t="array" ref="AC131">_xlfn.IFERROR(AA131*25%,"N/A")</f>
        <v>3493951.96917093</v>
      </c>
      <c r="AD131" s="539" cm="1">
        <f t="array" ref="AD131">IF(B131&gt;0,SUM(AA131:AC131),"N/A")</f>
        <v>17539638.885238</v>
      </c>
      <c r="AE131" s="538" cm="1">
        <f t="array" ref="AE131">_xlfn.IFERROR(AD131/B131,"N/A")</f>
        <v>1461636.57376983</v>
      </c>
      <c r="AF131" s="424"/>
      <c r="AG131" s="539" cm="1">
        <f t="array" ref="AG131">IF(B131/VLOOKUP(C117,'Boats Data Sheet 2026'!$C$3:$H$57,6,0)&gt;VLOOKUP(C117,'Allocation OH and Target 2026'!$C$3:$J$23,8,0),IF(SUM(AH119:AH130)=0,AE131,"N/A"),"N/A")</f>
        <v>1461636.57376983</v>
      </c>
      <c r="AH131" s="424" cm="1">
        <f t="array" ref="AH131">IF(AG131="N/A",0,1)</f>
        <v>1</v>
      </c>
      <c r="AI131" s="538" cm="1">
        <f t="array" ref="AI131">IF(B131/VLOOKUP(C117,'Boats Data Sheet 2026'!$C$3:$H$57,6,0)&gt;VLOOKUP(C117,'Allocation OH and Target 2026'!$C$3:$J$23,8,0),IF(SUM(AH119:AH130)=0,S131/B131,"N/A"),"N/A")</f>
        <v>964608.333333333</v>
      </c>
      <c r="AJ131" s="424" cm="1">
        <f t="array" ref="AJ131">IF(AI131="N/A",0,1)</f>
        <v>1</v>
      </c>
      <c r="AK131" t="str" s="527" cm="1">
        <f t="array" ref="AK131">IF(SUM($AG$120:$AG$137)*B131&lt;SUM(AA131:AB131),"NO GO","GO")</f>
        <v>GO</v>
      </c>
      <c r="AL131" s="424"/>
      <c r="AM131" s="538"/>
      <c r="AN131" s="538"/>
      <c r="AO131" s="538"/>
      <c r="AP131" s="542"/>
      <c r="AQ131" s="543" cm="1">
        <f t="array" ref="AQ131">B131</f>
        <v>12</v>
      </c>
      <c r="AR131" s="18"/>
    </row>
    <row r="132" ht="16" customHeight="1">
      <c r="A132" s="12"/>
      <c r="B132" s="544" cm="1">
        <f t="array" ref="B132">IF(B131=0,0,IF(B131&lt;VLOOKUP(C117,'Boats Data Sheet 2026'!$C$3:$H$57,6,0),B131+1,0))</f>
        <v>13</v>
      </c>
      <c r="C132" s="538" cm="1">
        <f t="array" ref="C132">IF(B132&gt;0,IF(VLOOKUP(C117,'Boats Data Sheet 2026'!$C$3:$J$57,8,0)="N/A",0,VLOOKUP(C117,'Boats Data Sheet 2026'!$C$3:$J$57,8,0)),"N/A")</f>
        <v>5675000</v>
      </c>
      <c r="D132" s="545" cm="1">
        <f t="array" ref="D132">IF(B132&gt;7,2,IF(B132=0,"N/A",1))</f>
        <v>2</v>
      </c>
      <c r="E132" s="538" cm="1">
        <f t="array" ref="E132">_xlfn.IFERROR(SUM('Direct Costs 2026'!$C$4:$C$5)*D132,"N/A")</f>
        <v>1751000</v>
      </c>
      <c r="F132" s="538" cm="1">
        <f t="array" ref="F132">_xlfn.IFERROR('Direct Costs 2026'!$C$43*B132,"N/A")</f>
        <v>78000</v>
      </c>
      <c r="G132" s="538" cm="1">
        <f t="array" ref="G132">IF(B132&gt;0,'Direct Costs 2026'!$C$25,"N/A")</f>
        <v>90000</v>
      </c>
      <c r="H132" s="538" cm="1">
        <f t="array" ref="H132">IF(B132&gt;0,'Direct Costs 2026'!$C$19+'Direct Costs 2026'!$C$18*B132,"N/A")</f>
        <v>530000</v>
      </c>
      <c r="I132" s="538">
        <v>0</v>
      </c>
      <c r="J132" s="538" cm="1">
        <f t="array" ref="J132">IF(B132&gt;0,'Direct Costs 2026'!$C$22,"N/A")</f>
        <v>200000</v>
      </c>
      <c r="K132" s="538" cm="1">
        <f t="array" ref="K132">IF(B132&gt;0,'Direct Costs 2026'!$C$15+'Direct Costs 2026'!$C$14,"N/A")</f>
        <v>230000</v>
      </c>
      <c r="L132" s="538" cm="1">
        <f t="array" ref="L132">IF(B132&gt;0,'Direct Costs 2026'!$C$26,"N/A")</f>
        <v>20000</v>
      </c>
      <c r="M132" s="538" cm="1">
        <f t="array" ref="M132">IF(B132&gt;0,'Direct Costs 2026'!$C$23,"N/A")</f>
        <v>140000</v>
      </c>
      <c r="N132" s="538" cm="1">
        <f t="array" ref="N132">IF(B132&gt;0,'Direct Costs 2026'!$C$44*B132,"N/A")</f>
        <v>1430000</v>
      </c>
      <c r="O132" t="str" s="547" cm="1">
        <f t="array" ref="O132">IF(B132&gt;0,_xlfn.IFERROR(VLOOKUP(C117,'Boats Data Sheet 2026'!$C$3:$I$57,7,0)*'Direct Costs 2026'!$C$36,"N/A"),"N/A")</f>
        <v>N/A</v>
      </c>
      <c r="P132" t="str" s="547" cm="1">
        <f t="array" ref="P132">IF(B132&gt;0,IF(OR(VLOOKUP(C117,'Boats Data Sheet 2026'!$C$3:$F$57,4,0)="Own",VLOOKUP(C117,'Boats Data Sheet 2026'!$C$3:$F$57,4,0)="Management"),('Direct Costs 2026'!$C$37+'Direct Costs 2026'!$C$39),"N/A"),"N/A")</f>
        <v>N/A</v>
      </c>
      <c r="Q132" s="538" cm="1">
        <f t="array" ref="Q132">_xlfn.IFERROR(IF(B132&gt;5,IF(B132&gt;11,IF(B132&gt;15,4,3),2),IF(B132=0,"N/A",1))*SUM('Direct Costs 2026'!$C$67:$C$68),"N/A")</f>
        <v>1468800</v>
      </c>
      <c r="R132" s="538" cm="1">
        <f t="array" ref="R132">_xlfn.IFERROR('Direct Costs 2026'!$C$27*C132,"N/A")</f>
        <v>113500</v>
      </c>
      <c r="S132" s="538" cm="1">
        <f t="array" ref="S132">_xlfn.IFERROR(C132+SUM(E132:R132),"N/A")</f>
        <v>11726300</v>
      </c>
      <c r="T132" s="424"/>
      <c r="U132" s="538" cm="1">
        <f t="array" ref="U132">IF(B132&gt;0,'Allocation OH and Target 2026'!$E$27,"N/A")</f>
        <v>2134447.30345641</v>
      </c>
      <c r="V132" s="538" cm="1">
        <f t="array" ref="V132">IF(B132&gt;0,'Allocation OH and Target 2026'!$E$28,"N/A")</f>
        <v>200042.323056976</v>
      </c>
      <c r="W132" s="538" cm="1">
        <f t="array" ref="W132">IF(B132&gt;0,VLOOKUP(C117,'Allocation OH and Target 2026'!$C$3:$T$23,17,0),"N/A")</f>
        <v>0</v>
      </c>
      <c r="X132" s="538" cm="1">
        <f t="array" ref="X132">IF(B132&gt;0,VLOOKUP(C117,'Allocation OH and Target 2026'!$C$3:$T$23,18,0),"N/A")</f>
        <v>0</v>
      </c>
      <c r="Y132" s="538" cm="1">
        <f t="array" ref="Y132">_xlfn.IFERROR(B132*(V132+X132),"N/A")</f>
        <v>2600550.19974069</v>
      </c>
      <c r="Z132" s="424"/>
      <c r="AA132" s="538" cm="1">
        <f t="array" ref="AA132">_xlfn.IFERROR(Y132+S132,"N/A")</f>
        <v>14326850.1997407</v>
      </c>
      <c r="AB132" s="538" cm="1">
        <f t="array" ref="AB132">_xlfn.IFERROR(AA132*0.5%,"N/A")</f>
        <v>71634.2509987035</v>
      </c>
      <c r="AC132" s="538" cm="1">
        <f t="array" ref="AC132">_xlfn.IFERROR(AA132*25%,"N/A")</f>
        <v>3581712.54993518</v>
      </c>
      <c r="AD132" s="539" cm="1">
        <f t="array" ref="AD132">IF(B132&gt;0,SUM(AA132:AC132),"N/A")</f>
        <v>17980197.0006746</v>
      </c>
      <c r="AE132" s="538" cm="1">
        <f t="array" ref="AE132">_xlfn.IFERROR(AD132/B132,"N/A")</f>
        <v>1383092.07697497</v>
      </c>
      <c r="AF132" s="424"/>
      <c r="AG132" t="str" s="546" cm="1">
        <f t="array" ref="AG132">IF(B132/VLOOKUP(C117,'Boats Data Sheet 2026'!$C$3:$H$57,6,0)&gt;VLOOKUP(C117,'Allocation OH and Target 2026'!$C$3:$J$23,8,0),IF(SUM(AH119:AH131)=0,AE132,"N/A"),"N/A")</f>
        <v>N/A</v>
      </c>
      <c r="AH132" s="424" cm="1">
        <f t="array" ref="AH132">IF(AG132="N/A",0,1)</f>
        <v>0</v>
      </c>
      <c r="AI132" t="str" s="547" cm="1">
        <f t="array" ref="AI132">IF(B132/VLOOKUP(C117,'Boats Data Sheet 2026'!$C$3:$H$57,6,0)&gt;VLOOKUP(C117,'Allocation OH and Target 2026'!$C$3:$J$23,8,0),IF(SUM(AH119:AH131)=0,S132/B132,"N/A"),"N/A")</f>
        <v>N/A</v>
      </c>
      <c r="AJ132" s="424" cm="1">
        <f t="array" ref="AJ132">IF(AI132="N/A",0,1)</f>
        <v>0</v>
      </c>
      <c r="AK132" t="str" s="527" cm="1">
        <f t="array" ref="AK132">IF(SUM($AG$120:$AG$137)*B132&lt;SUM(AA132:AB132),"NO GO","GO")</f>
        <v>GO</v>
      </c>
      <c r="AL132" s="424"/>
      <c r="AM132" s="538"/>
      <c r="AN132" s="538"/>
      <c r="AO132" s="538"/>
      <c r="AP132" s="542"/>
      <c r="AQ132" s="543" cm="1">
        <f t="array" ref="AQ132">B132</f>
        <v>13</v>
      </c>
      <c r="AR132" s="18"/>
    </row>
    <row r="133" ht="16" customHeight="1">
      <c r="A133" s="12"/>
      <c r="B133" s="544" cm="1">
        <f t="array" ref="B133">IF(B132=0,0,IF(B132&lt;VLOOKUP(C117,'Boats Data Sheet 2026'!$C$3:$H$57,6,0),B132+1,0))</f>
        <v>14</v>
      </c>
      <c r="C133" s="538" cm="1">
        <f t="array" ref="C133">IF(B133&gt;0,IF(VLOOKUP(C117,'Boats Data Sheet 2026'!$C$3:$J$57,8,0)="N/A",0,VLOOKUP(C117,'Boats Data Sheet 2026'!$C$3:$J$57,8,0)),"N/A")</f>
        <v>5675000</v>
      </c>
      <c r="D133" s="549" cm="1">
        <f t="array" ref="D133">IF(B133&gt;7,2,IF(B133=0,"N/A",1))</f>
        <v>2</v>
      </c>
      <c r="E133" s="538" cm="1">
        <f t="array" ref="E133">_xlfn.IFERROR(SUM('Direct Costs 2026'!$C$4:$C$5)*D133,"N/A")</f>
        <v>1751000</v>
      </c>
      <c r="F133" s="538" cm="1">
        <f t="array" ref="F133">_xlfn.IFERROR('Direct Costs 2026'!$C$43*B133,"N/A")</f>
        <v>84000</v>
      </c>
      <c r="G133" s="538" cm="1">
        <f t="array" ref="G133">IF(B133&gt;0,'Direct Costs 2026'!$C$25,"N/A")</f>
        <v>90000</v>
      </c>
      <c r="H133" s="538" cm="1">
        <f t="array" ref="H133">IF(B133&gt;0,'Direct Costs 2026'!$C$19+'Direct Costs 2026'!$C$18*B133,"N/A")</f>
        <v>565000</v>
      </c>
      <c r="I133" s="538">
        <v>0</v>
      </c>
      <c r="J133" s="538" cm="1">
        <f t="array" ref="J133">IF(B133&gt;0,'Direct Costs 2026'!$C$22,"N/A")</f>
        <v>200000</v>
      </c>
      <c r="K133" s="538" cm="1">
        <f t="array" ref="K133">IF(B133&gt;0,'Direct Costs 2026'!$C$15+'Direct Costs 2026'!$C$14,"N/A")</f>
        <v>230000</v>
      </c>
      <c r="L133" s="538" cm="1">
        <f t="array" ref="L133">IF(B133&gt;0,'Direct Costs 2026'!$C$26,"N/A")</f>
        <v>20000</v>
      </c>
      <c r="M133" s="538" cm="1">
        <f t="array" ref="M133">IF(B133&gt;0,'Direct Costs 2026'!$C$23,"N/A")</f>
        <v>140000</v>
      </c>
      <c r="N133" s="538" cm="1">
        <f t="array" ref="N133">IF(B133&gt;0,'Direct Costs 2026'!$C$44*B133,"N/A")</f>
        <v>1540000</v>
      </c>
      <c r="O133" t="str" s="547" cm="1">
        <f t="array" ref="O133">IF(B133&gt;0,_xlfn.IFERROR(VLOOKUP(C117,'Boats Data Sheet 2026'!$C$3:$I$57,7,0)*'Direct Costs 2026'!$C$36,"N/A"),"N/A")</f>
        <v>N/A</v>
      </c>
      <c r="P133" t="str" s="547" cm="1">
        <f t="array" ref="P133">IF(B133&gt;0,IF(OR(VLOOKUP(C117,'Boats Data Sheet 2026'!$C$3:$F$57,4,0)="Own",VLOOKUP(C117,'Boats Data Sheet 2026'!$C$3:$F$57,4,0)="Management"),('Direct Costs 2026'!$C$37+'Direct Costs 2026'!$C$39),"N/A"),"N/A")</f>
        <v>N/A</v>
      </c>
      <c r="Q133" s="538" cm="1">
        <f t="array" ref="Q133">_xlfn.IFERROR(IF(B133&gt;5,IF(B133&gt;11,IF(B133&gt;15,4,3),2),IF(B133=0,"N/A",1))*SUM('Direct Costs 2026'!$C$67:$C$68),"N/A")</f>
        <v>1468800</v>
      </c>
      <c r="R133" s="538" cm="1">
        <f t="array" ref="R133">_xlfn.IFERROR('Direct Costs 2026'!$C$27*C133,"N/A")</f>
        <v>113500</v>
      </c>
      <c r="S133" s="538" cm="1">
        <f t="array" ref="S133">_xlfn.IFERROR(C133+SUM(E133:R133),"N/A")</f>
        <v>11877300</v>
      </c>
      <c r="T133" s="424"/>
      <c r="U133" s="538" cm="1">
        <f t="array" ref="U133">IF(B133&gt;0,'Allocation OH and Target 2026'!$E$27,"N/A")</f>
        <v>2134447.30345641</v>
      </c>
      <c r="V133" s="538" cm="1">
        <f t="array" ref="V133">IF(B133&gt;0,'Allocation OH and Target 2026'!$E$28,"N/A")</f>
        <v>200042.323056976</v>
      </c>
      <c r="W133" s="538" cm="1">
        <f t="array" ref="W133">IF(B133&gt;0,VLOOKUP(C117,'Allocation OH and Target 2026'!$C$3:$T$23,17,0),"N/A")</f>
        <v>0</v>
      </c>
      <c r="X133" s="538" cm="1">
        <f t="array" ref="X133">IF(B133&gt;0,VLOOKUP(C117,'Allocation OH and Target 2026'!$C$3:$T$23,18,0),"N/A")</f>
        <v>0</v>
      </c>
      <c r="Y133" s="538" cm="1">
        <f t="array" ref="Y133">_xlfn.IFERROR(B133*(V133+X133),"N/A")</f>
        <v>2800592.52279766</v>
      </c>
      <c r="Z133" s="424"/>
      <c r="AA133" s="538" cm="1">
        <f t="array" ref="AA133">_xlfn.IFERROR(Y133+S133,"N/A")</f>
        <v>14677892.5227977</v>
      </c>
      <c r="AB133" s="538" cm="1">
        <f t="array" ref="AB133">_xlfn.IFERROR(AA133*0.5%,"N/A")</f>
        <v>73389.462613988493</v>
      </c>
      <c r="AC133" s="538" cm="1">
        <f t="array" ref="AC133">_xlfn.IFERROR(AA133*25%,"N/A")</f>
        <v>3669473.13069943</v>
      </c>
      <c r="AD133" s="539" cm="1">
        <f t="array" ref="AD133">IF(B133&gt;0,SUM(AA133:AC133),"N/A")</f>
        <v>18420755.1161111</v>
      </c>
      <c r="AE133" s="538" cm="1">
        <f t="array" ref="AE133">_xlfn.IFERROR(AD133/B133,"N/A")</f>
        <v>1315768.22257936</v>
      </c>
      <c r="AF133" s="424"/>
      <c r="AG133" t="str" s="546" cm="1">
        <f t="array" ref="AG133">IF(B133/VLOOKUP(C117,'Boats Data Sheet 2026'!$C$3:$H$57,6,0)&gt;VLOOKUP(C117,'Allocation OH and Target 2026'!$C$3:$J$23,8,0),IF(SUM(AH119:AH132)=0,AE133,"N/A"),"N/A")</f>
        <v>N/A</v>
      </c>
      <c r="AH133" s="424" cm="1">
        <f t="array" ref="AH133">IF(AG133="N/A",0,1)</f>
        <v>0</v>
      </c>
      <c r="AI133" t="str" s="547" cm="1">
        <f t="array" ref="AI133">IF(B133/VLOOKUP(C117,'Boats Data Sheet 2026'!$C$3:$H$57,6,0)&gt;VLOOKUP(C117,'Allocation OH and Target 2026'!$C$3:$J$23,8,0),IF(SUM(AH119:AH132)=0,S133/B133,"N/A"),"N/A")</f>
        <v>N/A</v>
      </c>
      <c r="AJ133" s="424" cm="1">
        <f t="array" ref="AJ133">IF(AI133="N/A",0,1)</f>
        <v>0</v>
      </c>
      <c r="AK133" t="str" s="527" cm="1">
        <f t="array" ref="AK133">IF(SUM($AG$120:$AG$137)*B133&lt;SUM(AA133:AB133),"NO GO","GO")</f>
        <v>GO</v>
      </c>
      <c r="AL133" s="424"/>
      <c r="AM133" s="538"/>
      <c r="AN133" s="538"/>
      <c r="AO133" s="538"/>
      <c r="AP133" s="542"/>
      <c r="AQ133" s="543" cm="1">
        <f t="array" ref="AQ133">B133</f>
        <v>14</v>
      </c>
      <c r="AR133" s="18"/>
    </row>
    <row r="134" ht="16" customHeight="1">
      <c r="A134" s="12"/>
      <c r="B134" s="544" cm="1">
        <f t="array" ref="B134">IF(B133=0,0,IF(B133&lt;VLOOKUP(C117,'Boats Data Sheet 2026'!$C$3:$H$57,6,0),B133+1,0))</f>
        <v>0</v>
      </c>
      <c r="C134" t="str" s="547" cm="1">
        <f t="array" ref="C134">IF(B134&gt;0,IF(VLOOKUP(C117,'Boats Data Sheet 2026'!$C$3:$J$57,8,0)="N/A",0,VLOOKUP(C117,'Boats Data Sheet 2026'!$C$3:$J$57,8,0)),"N/A")</f>
        <v>N/A</v>
      </c>
      <c r="D134" t="str" s="547" cm="1">
        <f t="array" ref="D134">IF(B134&gt;7,2,IF(B134=0,"N/A",1))</f>
        <v>N/A</v>
      </c>
      <c r="E134" t="str" s="547" cm="1">
        <f t="array" ref="E134">_xlfn.IFERROR(SUM('Direct Costs 2026'!$C$4:$C$5)*D134,"N/A")</f>
        <v>N/A</v>
      </c>
      <c r="F134" s="538" cm="1">
        <f t="array" ref="F134">_xlfn.IFERROR('Direct Costs 2026'!$C$43*B134,"N/A")</f>
        <v>0</v>
      </c>
      <c r="G134" t="str" s="547" cm="1">
        <f t="array" ref="G134">IF(B134&gt;0,'Direct Costs 2026'!$C$25,"N/A")</f>
        <v>N/A</v>
      </c>
      <c r="H134" t="str" s="547" cm="1">
        <f t="array" ref="H134">IF(B134&gt;0,'Direct Costs 2026'!$C$19+'Direct Costs 2026'!$C$18*B134,"N/A")</f>
        <v>N/A</v>
      </c>
      <c r="I134" s="538">
        <v>0</v>
      </c>
      <c r="J134" t="str" s="547" cm="1">
        <f t="array" ref="J134">IF(B134&gt;0,'Direct Costs 2026'!$C$22,"N/A")</f>
        <v>N/A</v>
      </c>
      <c r="K134" t="str" s="547" cm="1">
        <f t="array" ref="K134">IF(B134&gt;0,'Direct Costs 2026'!$C$15+'Direct Costs 2026'!$C$14,"N/A")</f>
        <v>N/A</v>
      </c>
      <c r="L134" t="str" s="547" cm="1">
        <f t="array" ref="L134">IF(B134&gt;0,'Direct Costs 2026'!$C$26,"N/A")</f>
        <v>N/A</v>
      </c>
      <c r="M134" t="str" s="547" cm="1">
        <f t="array" ref="M134">IF(B134&gt;0,'Direct Costs 2026'!$C$23,"N/A")</f>
        <v>N/A</v>
      </c>
      <c r="N134" t="str" s="547" cm="1">
        <f t="array" ref="N134">IF(B134&gt;0,'Direct Costs 2026'!$C$44*B134,"N/A")</f>
        <v>N/A</v>
      </c>
      <c r="O134" t="str" s="547" cm="1">
        <f t="array" ref="O134">IF(B134&gt;0,_xlfn.IFERROR(VLOOKUP(C117,'Boats Data Sheet 2026'!$C$3:$I$57,7,0)*'Direct Costs 2026'!$C$36,"N/A"),"N/A")</f>
        <v>N/A</v>
      </c>
      <c r="P134" t="str" s="547" cm="1">
        <f t="array" ref="P134">IF(B134&gt;0,IF(OR(VLOOKUP(C117,'Boats Data Sheet 2026'!$C$3:$F$57,4,0)="Own",VLOOKUP(C117,'Boats Data Sheet 2026'!$C$3:$F$57,4,0)="Management"),('Direct Costs 2026'!$C$37+'Direct Costs 2026'!$C$39),"N/A"),"N/A")</f>
        <v>N/A</v>
      </c>
      <c r="Q134" t="str" s="547" cm="1">
        <f t="array" ref="Q134">_xlfn.IFERROR(IF(B134&gt;5,IF(B134&gt;11,IF(B134&gt;15,4,3),2),IF(B134=0,"N/A",1))*SUM('Direct Costs 2026'!$C$67:$C$68),"N/A")</f>
        <v>N/A</v>
      </c>
      <c r="R134" t="str" s="547" cm="1">
        <f t="array" ref="R134">_xlfn.IFERROR('Direct Costs 2026'!$C$27*C134,"N/A")</f>
        <v>N/A</v>
      </c>
      <c r="S134" t="str" s="547" cm="1">
        <f t="array" ref="S134">_xlfn.IFERROR(C134+SUM(E134:R134),"N/A")</f>
        <v>N/A</v>
      </c>
      <c r="T134" s="424"/>
      <c r="U134" t="str" s="547" cm="1">
        <f t="array" ref="U134">IF(B134&gt;0,'Allocation OH and Target 2026'!$E$27,"N/A")</f>
        <v>N/A</v>
      </c>
      <c r="V134" t="str" s="547" cm="1">
        <f t="array" ref="V134">IF(B134&gt;0,'Allocation OH and Target 2026'!$E$28,"N/A")</f>
        <v>N/A</v>
      </c>
      <c r="W134" t="str" s="547" cm="1">
        <f t="array" ref="W134">IF(B134&gt;0,VLOOKUP(C117,'Allocation OH and Target 2026'!$C$3:$T$23,17,0),"N/A")</f>
        <v>N/A</v>
      </c>
      <c r="X134" t="str" s="547" cm="1">
        <f t="array" ref="X134">IF(B134&gt;0,VLOOKUP(C117,'Allocation OH and Target 2026'!$C$3:$T$23,18,0),"N/A")</f>
        <v>N/A</v>
      </c>
      <c r="Y134" t="str" s="547" cm="1">
        <f t="array" ref="Y134">_xlfn.IFERROR(V134*B134+X134,"N/A")</f>
        <v>N/A</v>
      </c>
      <c r="Z134" s="424"/>
      <c r="AA134" t="str" s="547" cm="1">
        <f t="array" ref="AA134">_xlfn.IFERROR(Y134+S134,"N/A")</f>
        <v>N/A</v>
      </c>
      <c r="AB134" t="str" s="547" cm="1">
        <f t="array" ref="AB134">_xlfn.IFERROR(AA134*0.5%,"N/A")</f>
        <v>N/A</v>
      </c>
      <c r="AC134" t="str" s="547" cm="1">
        <f t="array" ref="AC134">_xlfn.IFERROR(AA134*25%,"N/A")</f>
        <v>N/A</v>
      </c>
      <c r="AD134" t="str" s="546" cm="1">
        <f t="array" ref="AD134">IF(B134&gt;0,SUM(AA134:AC134),"N/A")</f>
        <v>N/A</v>
      </c>
      <c r="AE134" t="str" s="547" cm="1">
        <f t="array" ref="AE134">_xlfn.IFERROR(AD134/B134,"N/A")</f>
        <v>N/A</v>
      </c>
      <c r="AF134" s="424"/>
      <c r="AG134" t="str" s="546" cm="1">
        <f t="array" ref="AG134">IF(B134/VLOOKUP(C117,'Boats Data Sheet 2026'!$C$3:$H$57,6,0)&gt;VLOOKUP(C117,'Allocation OH and Target 2026'!$C$3:$J$23,8,0),IF(SUM(AH119:AH133)=0,AE134,"N/A"),"N/A")</f>
        <v>N/A</v>
      </c>
      <c r="AH134" s="424" cm="1">
        <f t="array" ref="AH134">IF(AG134="N/A",0,1)</f>
        <v>0</v>
      </c>
      <c r="AI134" t="str" s="547" cm="1">
        <f t="array" ref="AI134">IF(B134/VLOOKUP(C117,'Boats Data Sheet 2026'!$C$3:$H$57,6,0)&gt;VLOOKUP(C117,'Allocation OH and Target 2026'!$C$3:$J$23,8,0),IF(SUM(AH119:AH133)=0,S134/B134,"N/A"),"N/A")</f>
        <v>N/A</v>
      </c>
      <c r="AJ134" s="424" cm="1">
        <f t="array" ref="AJ134">IF(AI134="N/A",0,1)</f>
        <v>0</v>
      </c>
      <c r="AK134" t="str" s="527" cm="1">
        <f t="array" ref="AK134">IF(SUM($AG$120:$AG$137)*B134&lt;SUM(AA134:AB134),"NO GO","GO")</f>
        <v>GO</v>
      </c>
      <c r="AL134" s="424"/>
      <c r="AM134" s="538"/>
      <c r="AN134" s="538"/>
      <c r="AO134" s="538"/>
      <c r="AP134" s="542"/>
      <c r="AQ134" s="543" cm="1">
        <f t="array" ref="AQ134">B134</f>
        <v>0</v>
      </c>
      <c r="AR134" s="18"/>
    </row>
    <row r="135" ht="16" customHeight="1">
      <c r="A135" s="12"/>
      <c r="B135" s="544" cm="1">
        <f t="array" ref="B135">IF(B134=0,0,IF(B134&lt;VLOOKUP(C117,'Boats Data Sheet 2026'!$C$3:$H$57,6,0),B134+1,0))</f>
        <v>0</v>
      </c>
      <c r="C135" t="str" s="547" cm="1">
        <f t="array" ref="C135">IF(B135&gt;0,IF(VLOOKUP(C117,'Boats Data Sheet 2026'!$C$3:$J$57,8,0)="N/A",0,VLOOKUP(C117,'Boats Data Sheet 2026'!$C$3:$J$57,8,0)),"N/A")</f>
        <v>N/A</v>
      </c>
      <c r="D135" t="str" s="547" cm="1">
        <f t="array" ref="D135">IF(B135&gt;7,2,IF(B135=0,"N/A",1))</f>
        <v>N/A</v>
      </c>
      <c r="E135" t="str" s="547" cm="1">
        <f t="array" ref="E135">_xlfn.IFERROR(SUM('Direct Costs 2026'!$C$4:$C$5)*D135,"N/A")</f>
        <v>N/A</v>
      </c>
      <c r="F135" s="538" cm="1">
        <f t="array" ref="F135">_xlfn.IFERROR('Direct Costs 2026'!$C$43*B135,"N/A")</f>
        <v>0</v>
      </c>
      <c r="G135" t="str" s="547" cm="1">
        <f t="array" ref="G135">IF(B135&gt;0,'Direct Costs 2026'!$C$25,"N/A")</f>
        <v>N/A</v>
      </c>
      <c r="H135" t="str" s="547" cm="1">
        <f t="array" ref="H135">IF(B135&gt;0,'Direct Costs 2026'!$C$19+'Direct Costs 2026'!$C$18*B135,"N/A")</f>
        <v>N/A</v>
      </c>
      <c r="I135" s="538">
        <v>0</v>
      </c>
      <c r="J135" t="str" s="547" cm="1">
        <f t="array" ref="J135">IF(B135&gt;0,'Direct Costs 2026'!$C$22,"N/A")</f>
        <v>N/A</v>
      </c>
      <c r="K135" t="str" s="547" cm="1">
        <f t="array" ref="K135">IF(B135&gt;0,'Direct Costs 2026'!$C$15+'Direct Costs 2026'!$C$14,"N/A")</f>
        <v>N/A</v>
      </c>
      <c r="L135" t="str" s="547" cm="1">
        <f t="array" ref="L135">IF(B135&gt;0,'Direct Costs 2026'!$C$26,"N/A")</f>
        <v>N/A</v>
      </c>
      <c r="M135" t="str" s="547" cm="1">
        <f t="array" ref="M135">IF(B135&gt;0,'Direct Costs 2026'!$C$23,"N/A")</f>
        <v>N/A</v>
      </c>
      <c r="N135" t="str" s="547" cm="1">
        <f t="array" ref="N135">IF(B135&gt;0,'Direct Costs 2026'!$C$44*B135,"N/A")</f>
        <v>N/A</v>
      </c>
      <c r="O135" t="str" s="547" cm="1">
        <f t="array" ref="O135">IF(B135&gt;0,_xlfn.IFERROR(VLOOKUP(C117,'Boats Data Sheet 2026'!$C$3:$I$57,7,0)*'Direct Costs 2026'!$C$36,"N/A"),"N/A")</f>
        <v>N/A</v>
      </c>
      <c r="P135" t="str" s="547" cm="1">
        <f t="array" ref="P135">IF(B135&gt;0,IF(OR(VLOOKUP(C117,'Boats Data Sheet 2026'!$C$3:$F$57,4,0)="Own",VLOOKUP(C117,'Boats Data Sheet 2026'!$C$3:$F$57,4,0)="Management"),('Direct Costs 2026'!$C$37+'Direct Costs 2026'!$C$39),"N/A"),"N/A")</f>
        <v>N/A</v>
      </c>
      <c r="Q135" t="str" s="547" cm="1">
        <f t="array" ref="Q135">_xlfn.IFERROR(IF(B135&gt;5,IF(B135&gt;11,IF(B135&gt;15,4,3),2),IF(B135=0,"N/A",1))*SUM('Direct Costs 2026'!$C$67:$C$68),"N/A")</f>
        <v>N/A</v>
      </c>
      <c r="R135" t="str" s="547" cm="1">
        <f t="array" ref="R135">_xlfn.IFERROR('Direct Costs 2026'!$C$27*C135,"N/A")</f>
        <v>N/A</v>
      </c>
      <c r="S135" t="str" s="547" cm="1">
        <f t="array" ref="S135">_xlfn.IFERROR(C135+SUM(E135:R135),"N/A")</f>
        <v>N/A</v>
      </c>
      <c r="T135" s="424"/>
      <c r="U135" t="str" s="547" cm="1">
        <f t="array" ref="U135">IF(B135&gt;0,'Allocation OH and Target 2026'!$E$27,"N/A")</f>
        <v>N/A</v>
      </c>
      <c r="V135" t="str" s="547" cm="1">
        <f t="array" ref="V135">IF(B135&gt;0,'Allocation OH and Target 2026'!$E$28,"N/A")</f>
        <v>N/A</v>
      </c>
      <c r="W135" t="str" s="547" cm="1">
        <f t="array" ref="W135">IF(B135&gt;0,VLOOKUP(C117,'Allocation OH and Target 2026'!$C$3:$T$23,17,0),"N/A")</f>
        <v>N/A</v>
      </c>
      <c r="X135" t="str" s="547" cm="1">
        <f t="array" ref="X135">IF(B135&gt;0,VLOOKUP(C117,'Allocation OH and Target 2026'!$C$3:$T$23,18,0),"N/A")</f>
        <v>N/A</v>
      </c>
      <c r="Y135" t="str" s="547" cm="1">
        <f t="array" ref="Y135">_xlfn.IFERROR(V135*B135+X135,"N/A")</f>
        <v>N/A</v>
      </c>
      <c r="Z135" s="424"/>
      <c r="AA135" t="str" s="547" cm="1">
        <f t="array" ref="AA135">_xlfn.IFERROR(Y135+S135,"N/A")</f>
        <v>N/A</v>
      </c>
      <c r="AB135" t="str" s="547" cm="1">
        <f t="array" ref="AB135">_xlfn.IFERROR(AA135*0.5%,"N/A")</f>
        <v>N/A</v>
      </c>
      <c r="AC135" t="str" s="547" cm="1">
        <f t="array" ref="AC135">_xlfn.IFERROR(AA135*25%,"N/A")</f>
        <v>N/A</v>
      </c>
      <c r="AD135" t="str" s="546" cm="1">
        <f t="array" ref="AD135">IF(B135&gt;0,SUM(AA135:AC135),"N/A")</f>
        <v>N/A</v>
      </c>
      <c r="AE135" t="str" s="547" cm="1">
        <f t="array" ref="AE135">_xlfn.IFERROR(AD135/B135,"N/A")</f>
        <v>N/A</v>
      </c>
      <c r="AF135" s="424"/>
      <c r="AG135" t="str" s="546" cm="1">
        <f t="array" ref="AG135">IF(B135/VLOOKUP(C117,'Boats Data Sheet 2026'!$C$3:$H$57,6,0)&gt;VLOOKUP(C117,'Allocation OH and Target 2026'!$C$3:$J$23,8,0),IF(SUM(AH119:AH134)=0,AE135,"N/A"),"N/A")</f>
        <v>N/A</v>
      </c>
      <c r="AH135" s="424" cm="1">
        <f t="array" ref="AH135">IF(AG135="N/A",0,1)</f>
        <v>0</v>
      </c>
      <c r="AI135" t="str" s="547" cm="1">
        <f t="array" ref="AI135">IF(B135/VLOOKUP(C117,'Boats Data Sheet 2026'!$C$3:$H$57,6,0)&gt;VLOOKUP(C117,'Allocation OH and Target 2026'!$C$3:$J$23,8,0),IF(SUM(AH119:AH134)=0,S135/B135,"N/A"),"N/A")</f>
        <v>N/A</v>
      </c>
      <c r="AJ135" s="424" cm="1">
        <f t="array" ref="AJ135">IF(AI135="N/A",0,1)</f>
        <v>0</v>
      </c>
      <c r="AK135" t="str" s="527" cm="1">
        <f t="array" ref="AK135">IF(SUM($AG$120:$AG$137)*B135&lt;SUM(AA135:AB135),"NO GO","GO")</f>
        <v>GO</v>
      </c>
      <c r="AL135" s="424"/>
      <c r="AM135" s="538"/>
      <c r="AN135" s="538"/>
      <c r="AO135" s="538"/>
      <c r="AP135" s="542"/>
      <c r="AQ135" s="543" cm="1">
        <f t="array" ref="AQ135">B135</f>
        <v>0</v>
      </c>
      <c r="AR135" s="18"/>
    </row>
    <row r="136" ht="16" customHeight="1">
      <c r="A136" s="12"/>
      <c r="B136" s="544" cm="1">
        <f t="array" ref="B136">IF(B135=0,0,IF(B135&lt;VLOOKUP(C117,'Boats Data Sheet 2026'!$C$3:$H$57,6,0),B135+1,0))</f>
        <v>0</v>
      </c>
      <c r="C136" t="str" s="547" cm="1">
        <f t="array" ref="C136">IF(B136&gt;0,IF(VLOOKUP(C117,'Boats Data Sheet 2026'!$C$3:$J$57,8,0)="N/A",0,VLOOKUP(C117,'Boats Data Sheet 2026'!$C$3:$J$57,8,0)),"N/A")</f>
        <v>N/A</v>
      </c>
      <c r="D136" t="str" s="547" cm="1">
        <f t="array" ref="D136">IF(B136&gt;7,2,IF(B136=0,"N/A",1))</f>
        <v>N/A</v>
      </c>
      <c r="E136" t="str" s="547" cm="1">
        <f t="array" ref="E136">_xlfn.IFERROR(SUM('Direct Costs 2026'!$C$4:$C$5)*D136,"N/A")</f>
        <v>N/A</v>
      </c>
      <c r="F136" s="538" cm="1">
        <f t="array" ref="F136">_xlfn.IFERROR('Direct Costs 2026'!$C$43*B136,"N/A")</f>
        <v>0</v>
      </c>
      <c r="G136" t="str" s="547" cm="1">
        <f t="array" ref="G136">IF(B136&gt;0,'Direct Costs 2026'!$C$25,"N/A")</f>
        <v>N/A</v>
      </c>
      <c r="H136" t="str" s="547" cm="1">
        <f t="array" ref="H136">IF(B136&gt;0,'Direct Costs 2026'!$C$19+'Direct Costs 2026'!$C$18*B136,"N/A")</f>
        <v>N/A</v>
      </c>
      <c r="I136" s="538">
        <v>0</v>
      </c>
      <c r="J136" t="str" s="547" cm="1">
        <f t="array" ref="J136">IF(B136&gt;0,'Direct Costs 2026'!$C$22,"N/A")</f>
        <v>N/A</v>
      </c>
      <c r="K136" t="str" s="547" cm="1">
        <f t="array" ref="K136">IF(B136&gt;0,'Direct Costs 2026'!$C$15+'Direct Costs 2026'!$C$14,"N/A")</f>
        <v>N/A</v>
      </c>
      <c r="L136" t="str" s="547" cm="1">
        <f t="array" ref="L136">IF(B136&gt;0,'Direct Costs 2026'!$C$26,"N/A")</f>
        <v>N/A</v>
      </c>
      <c r="M136" t="str" s="547" cm="1">
        <f t="array" ref="M136">IF(B136&gt;0,'Direct Costs 2026'!$C$23,"N/A")</f>
        <v>N/A</v>
      </c>
      <c r="N136" t="str" s="547" cm="1">
        <f t="array" ref="N136">IF(B136&gt;0,'Direct Costs 2026'!$C$44*B136,"N/A")</f>
        <v>N/A</v>
      </c>
      <c r="O136" t="str" s="547" cm="1">
        <f t="array" ref="O136">IF(B136&gt;0,_xlfn.IFERROR(VLOOKUP(C117,'Boats Data Sheet 2026'!$C$3:$I$57,7,0)*'Direct Costs 2026'!$C$36,"N/A"),"N/A")</f>
        <v>N/A</v>
      </c>
      <c r="P136" t="str" s="547" cm="1">
        <f t="array" ref="P136">IF(B136&gt;0,IF(OR(VLOOKUP(C117,'Boats Data Sheet 2026'!$C$3:$F$57,4,0)="Own",VLOOKUP(C117,'Boats Data Sheet 2026'!$C$3:$F$57,4,0)="Management"),('Direct Costs 2026'!$C$37+'Direct Costs 2026'!$C$39),"N/A"),"N/A")</f>
        <v>N/A</v>
      </c>
      <c r="Q136" t="str" s="547" cm="1">
        <f t="array" ref="Q136">_xlfn.IFERROR(IF(B136&gt;5,IF(B136&gt;11,IF(B136&gt;15,4,3),2),IF(B136=0,"N/A",1))*SUM('Direct Costs 2026'!$C$67:$C$68),"N/A")</f>
        <v>N/A</v>
      </c>
      <c r="R136" t="str" s="547" cm="1">
        <f t="array" ref="R136">_xlfn.IFERROR('Direct Costs 2026'!$C$27*C136,"N/A")</f>
        <v>N/A</v>
      </c>
      <c r="S136" t="str" s="547" cm="1">
        <f t="array" ref="S136">_xlfn.IFERROR(C136+SUM(E136:R136),"N/A")</f>
        <v>N/A</v>
      </c>
      <c r="T136" s="424"/>
      <c r="U136" t="str" s="547" cm="1">
        <f t="array" ref="U136">IF(B136&gt;0,'Allocation OH and Target 2026'!$E$27,"N/A")</f>
        <v>N/A</v>
      </c>
      <c r="V136" t="str" s="547" cm="1">
        <f t="array" ref="V136">IF(B136&gt;0,'Allocation OH and Target 2026'!$E$28,"N/A")</f>
        <v>N/A</v>
      </c>
      <c r="W136" t="str" s="547" cm="1">
        <f t="array" ref="W136">IF(B136&gt;0,VLOOKUP(C117,'Allocation OH and Target 2026'!$C$3:$T$23,17,0),"N/A")</f>
        <v>N/A</v>
      </c>
      <c r="X136" t="str" s="547" cm="1">
        <f t="array" ref="X136">IF(B136&gt;0,VLOOKUP(C117,'Allocation OH and Target 2026'!$C$3:$T$23,18,0),"N/A")</f>
        <v>N/A</v>
      </c>
      <c r="Y136" t="str" s="547" cm="1">
        <f t="array" ref="Y136">_xlfn.IFERROR(V136*B136+X136,"N/A")</f>
        <v>N/A</v>
      </c>
      <c r="Z136" s="424"/>
      <c r="AA136" t="str" s="547" cm="1">
        <f t="array" ref="AA136">_xlfn.IFERROR(Y136+S136,"N/A")</f>
        <v>N/A</v>
      </c>
      <c r="AB136" t="str" s="547" cm="1">
        <f t="array" ref="AB136">_xlfn.IFERROR(AA136*0.5%,"N/A")</f>
        <v>N/A</v>
      </c>
      <c r="AC136" t="str" s="547" cm="1">
        <f t="array" ref="AC136">_xlfn.IFERROR(AA136*25%,"N/A")</f>
        <v>N/A</v>
      </c>
      <c r="AD136" t="str" s="546" cm="1">
        <f t="array" ref="AD136">IF(B136&gt;0,SUM(AA136:AC136),"N/A")</f>
        <v>N/A</v>
      </c>
      <c r="AE136" t="str" s="547" cm="1">
        <f t="array" ref="AE136">_xlfn.IFERROR(AD136/B136,"N/A")</f>
        <v>N/A</v>
      </c>
      <c r="AF136" s="424"/>
      <c r="AG136" t="str" s="546" cm="1">
        <f t="array" ref="AG136">IF(B136/VLOOKUP(C117,'Boats Data Sheet 2026'!$C$3:$H$57,6,0)&gt;VLOOKUP(C117,'Allocation OH and Target 2026'!$C$3:$J$23,8,0),IF(SUM(AH119:AH135)=0,AE136,"N/A"),"N/A")</f>
        <v>N/A</v>
      </c>
      <c r="AH136" s="424" cm="1">
        <f t="array" ref="AH136">IF(AG136="N/A",0,1)</f>
        <v>0</v>
      </c>
      <c r="AI136" t="str" s="547" cm="1">
        <f t="array" ref="AI136">IF(B136/VLOOKUP(C117,'Boats Data Sheet 2026'!$C$3:$H$57,6,0)&gt;VLOOKUP(C117,'Allocation OH and Target 2026'!$C$3:$J$23,8,0),IF(SUM(AH119:AH135)=0,S136/B136,"N/A"),"N/A")</f>
        <v>N/A</v>
      </c>
      <c r="AJ136" s="424" cm="1">
        <f t="array" ref="AJ136">IF(AI136="N/A",0,1)</f>
        <v>0</v>
      </c>
      <c r="AK136" t="str" s="527" cm="1">
        <f t="array" ref="AK136">IF(SUM($AG$120:$AG$137)*B136&lt;SUM(AA136:AB136),"NO GO","GO")</f>
        <v>GO</v>
      </c>
      <c r="AL136" s="424"/>
      <c r="AM136" s="538"/>
      <c r="AN136" s="538"/>
      <c r="AO136" s="538"/>
      <c r="AP136" s="542"/>
      <c r="AQ136" s="543" cm="1">
        <f t="array" ref="AQ136">B136</f>
        <v>0</v>
      </c>
      <c r="AR136" s="18"/>
    </row>
    <row r="137" ht="15.5" customHeight="1">
      <c r="A137" s="12"/>
      <c r="B137" s="550" cm="1">
        <f t="array" ref="B137">IF(B136=0,0,IF(B136&lt;VLOOKUP(C117,'Boats Data Sheet 2026'!$C$3:$H$57,6,0),B136+1,0))</f>
        <v>0</v>
      </c>
      <c r="C137" t="str" s="551" cm="1">
        <f t="array" ref="C137">IF(B137&gt;0,IF(VLOOKUP(C117,'Boats Data Sheet 2026'!$C$3:$J$57,8,0)="N/A",0,VLOOKUP(C117,'Boats Data Sheet 2026'!$C$3:$J$57,8,0)),"N/A")</f>
        <v>N/A</v>
      </c>
      <c r="D137" t="str" s="551" cm="1">
        <f t="array" ref="D137">IF(B137&gt;7,2,IF(B137=0,"N/A",1))</f>
        <v>N/A</v>
      </c>
      <c r="E137" t="str" s="551" cm="1">
        <f t="array" ref="E137">_xlfn.IFERROR(SUM('Direct Costs 2026'!$C$4:$C$5)*D137,"N/A")</f>
        <v>N/A</v>
      </c>
      <c r="F137" s="552" cm="1">
        <f t="array" ref="F137">_xlfn.IFERROR('Direct Costs 2026'!$C$43*B137,"N/A")</f>
        <v>0</v>
      </c>
      <c r="G137" t="str" s="551" cm="1">
        <f t="array" ref="G137">IF(B137&gt;0,'Direct Costs 2026'!$C$25,"N/A")</f>
        <v>N/A</v>
      </c>
      <c r="H137" t="str" s="551" cm="1">
        <f t="array" ref="H137">IF(B137&gt;0,'Direct Costs 2026'!$C$19+'Direct Costs 2026'!$C$18*B137,"N/A")</f>
        <v>N/A</v>
      </c>
      <c r="I137" s="552">
        <v>0</v>
      </c>
      <c r="J137" t="str" s="551" cm="1">
        <f t="array" ref="J137">IF(B137&gt;0,'Direct Costs 2026'!$C$22,"N/A")</f>
        <v>N/A</v>
      </c>
      <c r="K137" t="str" s="551" cm="1">
        <f t="array" ref="K137">IF(B137&gt;0,'Direct Costs 2026'!$C$15+'Direct Costs 2026'!$C$14,"N/A")</f>
        <v>N/A</v>
      </c>
      <c r="L137" t="str" s="551" cm="1">
        <f t="array" ref="L137">IF(B137&gt;0,'Direct Costs 2026'!$C$26,"N/A")</f>
        <v>N/A</v>
      </c>
      <c r="M137" t="str" s="551" cm="1">
        <f t="array" ref="M137">IF(B137&gt;0,'Direct Costs 2026'!$C$23,"N/A")</f>
        <v>N/A</v>
      </c>
      <c r="N137" t="str" s="551" cm="1">
        <f t="array" ref="N137">IF(B137&gt;0,'Direct Costs 2026'!$C$44*B137,"N/A")</f>
        <v>N/A</v>
      </c>
      <c r="O137" t="str" s="551" cm="1">
        <f t="array" ref="O137">IF(B137&gt;0,_xlfn.IFERROR(VLOOKUP(C117,'Boats Data Sheet 2026'!$C$3:$I$57,7,0)*'Direct Costs 2026'!$C$36,"N/A"),"N/A")</f>
        <v>N/A</v>
      </c>
      <c r="P137" t="str" s="551" cm="1">
        <f t="array" ref="P137">IF(B137&gt;0,IF(OR(VLOOKUP(C117,'Boats Data Sheet 2026'!$C$3:$F$57,4,0)="Own",VLOOKUP(C117,'Boats Data Sheet 2026'!$C$3:$F$57,4,0)="Management"),('Direct Costs 2026'!$C$37+'Direct Costs 2026'!$C$39),"N/A"),"N/A")</f>
        <v>N/A</v>
      </c>
      <c r="Q137" t="str" s="551" cm="1">
        <f t="array" ref="Q137">_xlfn.IFERROR(IF(B137&gt;5,IF(B137&gt;11,IF(B137&gt;15,4,3),2),IF(B137=0,"N/A",1))*SUM('Direct Costs 2026'!$C$67:$C$68),"N/A")</f>
        <v>N/A</v>
      </c>
      <c r="R137" t="str" s="551" cm="1">
        <f t="array" ref="R137">_xlfn.IFERROR('Direct Costs 2026'!$C$27*C137,"N/A")</f>
        <v>N/A</v>
      </c>
      <c r="S137" t="str" s="551" cm="1">
        <f t="array" ref="S137">_xlfn.IFERROR(C137+SUM(E137:R137),"N/A")</f>
        <v>N/A</v>
      </c>
      <c r="T137" s="435"/>
      <c r="U137" t="str" s="551" cm="1">
        <f t="array" ref="U137">IF(B137&gt;0,'Allocation OH and Target 2026'!$E$27,"N/A")</f>
        <v>N/A</v>
      </c>
      <c r="V137" t="str" s="551" cm="1">
        <f t="array" ref="V137">IF(B137&gt;0,'Allocation OH and Target 2026'!$E$28,"N/A")</f>
        <v>N/A</v>
      </c>
      <c r="W137" t="str" s="551" cm="1">
        <f t="array" ref="W137">IF(B137&gt;0,VLOOKUP(C117,'Allocation OH and Target 2026'!$C$3:$T$23,17,0),"N/A")</f>
        <v>N/A</v>
      </c>
      <c r="X137" t="str" s="551" cm="1">
        <f t="array" ref="X137">IF(B137&gt;0,VLOOKUP(C117,'Allocation OH and Target 2026'!$C$3:$T$23,18,0),"N/A")</f>
        <v>N/A</v>
      </c>
      <c r="Y137" t="str" s="551" cm="1">
        <f t="array" ref="Y137">_xlfn.IFERROR(V137*B137+X137,"N/A")</f>
        <v>N/A</v>
      </c>
      <c r="Z137" s="435"/>
      <c r="AA137" t="str" s="551" cm="1">
        <f t="array" ref="AA137">_xlfn.IFERROR(Y137+S137,"N/A")</f>
        <v>N/A</v>
      </c>
      <c r="AB137" t="str" s="551" cm="1">
        <f t="array" ref="AB137">_xlfn.IFERROR(AA137*0.5%,"N/A")</f>
        <v>N/A</v>
      </c>
      <c r="AC137" t="str" s="551" cm="1">
        <f t="array" ref="AC137">_xlfn.IFERROR(AA137*25%,"N/A")</f>
        <v>N/A</v>
      </c>
      <c r="AD137" t="str" s="553" cm="1">
        <f t="array" ref="AD137">IF(B137&gt;0,SUM(AA137:AC137),"N/A")</f>
        <v>N/A</v>
      </c>
      <c r="AE137" t="str" s="551" cm="1">
        <f t="array" ref="AE137">_xlfn.IFERROR(AD137/B137,"N/A")</f>
        <v>N/A</v>
      </c>
      <c r="AF137" s="435"/>
      <c r="AG137" t="str" s="553" cm="1">
        <f t="array" ref="AG137">IF(B137/VLOOKUP(C117,'Boats Data Sheet 2026'!$C$3:$H$57,6,0)&gt;VLOOKUP(C117,'Allocation OH and Target 2026'!$C$3:$J$23,8,0),IF(SUM(AH119:AH136)=0,AE137,"N/A"),"N/A")</f>
        <v>N/A</v>
      </c>
      <c r="AH137" s="435" cm="1">
        <f t="array" ref="AH137">IF(AG137="N/A",0,1)</f>
        <v>0</v>
      </c>
      <c r="AI137" t="str" s="551" cm="1">
        <f t="array" ref="AI137">IF(B137/VLOOKUP(C117,'Boats Data Sheet 2026'!$C$3:$H$57,6,0)&gt;VLOOKUP(C117,'Allocation OH and Target 2026'!$C$3:$J$23,8,0),IF(SUM(AH119:AH136)=0,S137/B137,"N/A"),"N/A")</f>
        <v>N/A</v>
      </c>
      <c r="AJ137" s="435" cm="1">
        <f t="array" ref="AJ137">IF(AI137="N/A",0,1)</f>
        <v>0</v>
      </c>
      <c r="AK137" t="str" s="554" cm="1">
        <f t="array" ref="AK137">IF(SUM($AG$120:$AG$137)*B137&lt;SUM(AA137:AB137),"NO GO","GO")</f>
        <v>GO</v>
      </c>
      <c r="AL137" s="435"/>
      <c r="AM137" s="552"/>
      <c r="AN137" s="552"/>
      <c r="AO137" s="552"/>
      <c r="AP137" s="555"/>
      <c r="AQ137" s="543" cm="1">
        <f t="array" ref="AQ137">B137</f>
        <v>0</v>
      </c>
      <c r="AR137" s="18"/>
    </row>
    <row r="138" ht="15.5" customHeight="1">
      <c r="A138" s="32"/>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7"/>
      <c r="AR138" s="18"/>
    </row>
    <row r="139" ht="15.5" customHeight="1">
      <c r="A139" s="32"/>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17"/>
      <c r="AR139" s="18"/>
    </row>
    <row r="140" ht="15.5" customHeight="1">
      <c r="A140" s="395">
        <v>7</v>
      </c>
      <c r="B140" t="s" s="517">
        <v>506</v>
      </c>
      <c r="C140" t="s" s="518">
        <v>586</v>
      </c>
      <c r="D140" s="519"/>
      <c r="E140" s="519"/>
      <c r="F140" s="519"/>
      <c r="G140" s="519"/>
      <c r="H140" s="519"/>
      <c r="I140" s="519"/>
      <c r="J140" s="519"/>
      <c r="K140" s="519"/>
      <c r="L140" s="519"/>
      <c r="M140" s="519"/>
      <c r="N140" s="519"/>
      <c r="O140" s="519"/>
      <c r="P140" s="519"/>
      <c r="Q140" s="519"/>
      <c r="R140" s="519"/>
      <c r="S140" s="519"/>
      <c r="T140" s="399"/>
      <c r="U140" s="519"/>
      <c r="V140" s="519"/>
      <c r="W140" s="519"/>
      <c r="X140" s="519"/>
      <c r="Y140" s="519"/>
      <c r="Z140" s="399"/>
      <c r="AA140" s="519"/>
      <c r="AB140" s="519"/>
      <c r="AC140" s="519"/>
      <c r="AD140" s="519"/>
      <c r="AE140" s="519"/>
      <c r="AF140" s="399"/>
      <c r="AG140" s="521"/>
      <c r="AH140" s="399"/>
      <c r="AI140" s="519"/>
      <c r="AJ140" s="399"/>
      <c r="AK140" s="519"/>
      <c r="AL140" s="399"/>
      <c r="AM140" t="s" s="518">
        <v>508</v>
      </c>
      <c r="AN140" s="560" cm="1">
        <f t="array" ref="AN140">AVERAGE(S143:S148)</f>
        <v>7397600</v>
      </c>
      <c r="AO140" s="519"/>
      <c r="AP140" s="522"/>
      <c r="AQ140" s="16"/>
      <c r="AR140" s="18"/>
    </row>
    <row r="141" ht="16" customHeight="1">
      <c r="A141" s="12"/>
      <c r="B141" s="523"/>
      <c r="C141" t="s" s="524">
        <v>513</v>
      </c>
      <c r="D141" s="525"/>
      <c r="E141" s="525"/>
      <c r="F141" s="525"/>
      <c r="G141" s="525"/>
      <c r="H141" s="525"/>
      <c r="I141" s="525"/>
      <c r="J141" s="525"/>
      <c r="K141" s="525"/>
      <c r="L141" s="525"/>
      <c r="M141" s="525"/>
      <c r="N141" s="525"/>
      <c r="O141" s="525"/>
      <c r="P141" s="525"/>
      <c r="Q141" s="525"/>
      <c r="R141" s="525"/>
      <c r="S141" s="526"/>
      <c r="T141" s="407"/>
      <c r="U141" t="s" s="524">
        <v>514</v>
      </c>
      <c r="V141" s="525"/>
      <c r="W141" s="525"/>
      <c r="X141" s="525"/>
      <c r="Y141" s="526"/>
      <c r="Z141" s="407"/>
      <c r="AA141" t="s" s="524">
        <v>515</v>
      </c>
      <c r="AB141" s="525"/>
      <c r="AC141" s="525"/>
      <c r="AD141" s="525"/>
      <c r="AE141" s="526"/>
      <c r="AF141" s="410"/>
      <c r="AG141" s="527"/>
      <c r="AH141" s="410"/>
      <c r="AI141" s="528"/>
      <c r="AJ141" s="410"/>
      <c r="AK141" s="528"/>
      <c r="AL141" s="410"/>
      <c r="AM141" s="528"/>
      <c r="AN141" s="528"/>
      <c r="AO141" s="528"/>
      <c r="AP141" s="529"/>
      <c r="AQ141" s="16"/>
      <c r="AR141" s="18"/>
    </row>
    <row r="142" ht="48" customHeight="1">
      <c r="A142" s="12"/>
      <c r="B142" t="s" s="530">
        <v>517</v>
      </c>
      <c r="C142" t="s" s="531">
        <v>518</v>
      </c>
      <c r="D142" t="s" s="531">
        <v>519</v>
      </c>
      <c r="E142" t="s" s="531">
        <v>520</v>
      </c>
      <c r="F142" t="s" s="532">
        <v>521</v>
      </c>
      <c r="G142" t="s" s="532">
        <v>522</v>
      </c>
      <c r="H142" t="s" s="532">
        <v>524</v>
      </c>
      <c r="I142" t="s" s="532">
        <v>525</v>
      </c>
      <c r="J142" t="s" s="532">
        <v>556</v>
      </c>
      <c r="K142" t="s" s="532">
        <v>587</v>
      </c>
      <c r="L142" t="s" s="532">
        <v>526</v>
      </c>
      <c r="M142" t="s" s="532">
        <v>527</v>
      </c>
      <c r="N142" t="s" s="532">
        <v>528</v>
      </c>
      <c r="O142" t="s" s="532">
        <v>529</v>
      </c>
      <c r="P142" t="s" s="532">
        <v>530</v>
      </c>
      <c r="Q142" t="s" s="532">
        <v>572</v>
      </c>
      <c r="R142" t="s" s="532">
        <v>531</v>
      </c>
      <c r="S142" t="s" s="532">
        <v>532</v>
      </c>
      <c r="T142" s="556"/>
      <c r="U142" t="s" s="532">
        <v>533</v>
      </c>
      <c r="V142" t="s" s="532">
        <v>573</v>
      </c>
      <c r="W142" t="s" s="532">
        <v>534</v>
      </c>
      <c r="X142" t="s" s="532">
        <v>574</v>
      </c>
      <c r="Y142" t="s" s="532">
        <v>535</v>
      </c>
      <c r="Z142" s="556"/>
      <c r="AA142" t="s" s="532">
        <v>536</v>
      </c>
      <c r="AB142" t="s" s="532">
        <v>537</v>
      </c>
      <c r="AC142" t="s" s="532">
        <v>538</v>
      </c>
      <c r="AD142" t="s" s="532">
        <v>575</v>
      </c>
      <c r="AE142" t="s" s="532">
        <v>539</v>
      </c>
      <c r="AF142" s="557"/>
      <c r="AG142" t="s" s="532">
        <v>576</v>
      </c>
      <c r="AH142" s="557"/>
      <c r="AI142" t="s" s="532">
        <v>577</v>
      </c>
      <c r="AJ142" s="557"/>
      <c r="AK142" t="s" s="531">
        <v>578</v>
      </c>
      <c r="AL142" s="557"/>
      <c r="AM142" t="s" s="532">
        <v>588</v>
      </c>
      <c r="AN142" t="s" s="532">
        <v>544</v>
      </c>
      <c r="AO142" s="533"/>
      <c r="AP142" s="534"/>
      <c r="AQ142" s="16"/>
      <c r="AR142" s="18"/>
    </row>
    <row r="143" ht="16.5" customHeight="1">
      <c r="A143" s="12"/>
      <c r="B143" s="535">
        <v>1</v>
      </c>
      <c r="C143" s="536" cm="1">
        <f t="array" ref="C143">IF(B143&gt;0,IF(VLOOKUP(C140,'Boats Data Sheet 2026'!$C$3:$J$57,8,0)="N/A",0,VLOOKUP(C140,'Boats Data Sheet 2026'!$C$3:$J$57,8,0)),"N/A")</f>
        <v>0</v>
      </c>
      <c r="D143" s="537" cm="1">
        <f t="array" ref="D143">IF(B143&gt;7,2,IF(B143=0,"N/A",1))</f>
        <v>1</v>
      </c>
      <c r="E143" s="536" cm="1">
        <f t="array" ref="E143">_xlfn.IFERROR(SUM('Direct Costs 2026'!$C$4:$C$5)*D143,"N/A")</f>
        <v>875500</v>
      </c>
      <c r="F143" s="538" cm="1">
        <f t="array" ref="F143">_xlfn.IFERROR('Direct Costs 2026'!$C$43*B143,"N/A")</f>
        <v>6000</v>
      </c>
      <c r="G143" s="538" cm="1">
        <f t="array" ref="G143">IF(B143&gt;0,'Direct Costs 2026'!$C$25,"N/A")</f>
        <v>90000</v>
      </c>
      <c r="H143" s="538" cm="1">
        <f t="array" ref="H143">IF(B143&gt;0,'Direct Costs 2026'!$C$19+'Direct Costs 2026'!$C$18*B143,"N/A")</f>
        <v>110000</v>
      </c>
      <c r="I143" s="538" cm="1">
        <f t="array" ref="I143">IF(B143&gt;0,SUM('Direct Costs 2026'!$C$20:$C$21),"N/A")</f>
        <v>98333.3333333333</v>
      </c>
      <c r="J143" s="538">
        <v>0</v>
      </c>
      <c r="K143" s="538" cm="1">
        <f t="array" ref="K143">_xlfn.IFERROR((IF(B143&gt;0,'Direct Costs 2026'!$C$15+'Direct Costs 2026'!$C$14,"N/A")+IF(B143&gt;0,'Direct Costs 2026'!$C$17,"N/A")),"N/A")</f>
        <v>580000</v>
      </c>
      <c r="L143" s="538" cm="1">
        <f t="array" ref="L143">IF(B143&gt;0,'Direct Costs 2026'!$C$26,"N/A")</f>
        <v>20000</v>
      </c>
      <c r="M143" s="538" cm="1">
        <f t="array" ref="M143">IF(B143&gt;0,'Direct Costs 2026'!$C$23,"N/A")</f>
        <v>140000</v>
      </c>
      <c r="N143" s="538" cm="1">
        <f t="array" ref="N143">IF(B143&gt;0,'Direct Costs 2026'!$C$44*B143,"N/A")</f>
        <v>110000</v>
      </c>
      <c r="O143" s="538" cm="1">
        <f t="array" ref="O143">IF(B143&gt;0,_xlfn.IFERROR(VLOOKUP(C140,'Boats Data Sheet 2026'!$C$3:$I$57,7,0)*'Direct Costs 2026'!$C$36,"N/A"),"N/A")</f>
        <v>3325000</v>
      </c>
      <c r="P143" s="538" cm="1">
        <f t="array" ref="P143">IF(B143&gt;0,IF(OR(VLOOKUP(C140,'Boats Data Sheet 2026'!$C$3:$F$57,4,0)="Own",VLOOKUP(C140,'Boats Data Sheet 2026'!$C$3:$F$57,4,0)="Management"),('Direct Costs 2026'!$C$37+'Direct Costs 2026'!$C$39),"N/A"),"N/A")</f>
        <v>1112400</v>
      </c>
      <c r="Q143" s="538" cm="1">
        <f t="array" ref="Q143">_xlfn.IFERROR(IF(B143&gt;5,IF(B143&gt;11,IF(B143&gt;15,4,3),2),IF(B143=0,"N/A",1))*SUM('Direct Costs 2026'!$C$67:$C$68),"N/A")</f>
        <v>489600</v>
      </c>
      <c r="R143" s="538" cm="1">
        <f t="array" ref="R143">_xlfn.IFERROR('Direct Costs 2026'!$C$27*C143,"N/A")</f>
        <v>0</v>
      </c>
      <c r="S143" s="538" cm="1">
        <f t="array" ref="S143">_xlfn.IFERROR(C143+SUM(E143:R143),"N/A")</f>
        <v>6956833.33333333</v>
      </c>
      <c r="T143" s="424"/>
      <c r="U143" s="538" cm="1">
        <f t="array" ref="U143">IF(B143&gt;0,'Allocation OH and Target 2026'!$E$27,"N/A")</f>
        <v>2134447.30345641</v>
      </c>
      <c r="V143" s="538" cm="1">
        <f t="array" ref="V143">IF(B143&gt;0,'Allocation OH and Target 2026'!$E$28,"N/A")</f>
        <v>200042.323056976</v>
      </c>
      <c r="W143" s="538" cm="1">
        <f t="array" ref="W143">IF(B143&gt;0,VLOOKUP(C140,'Allocation OH and Target 2026'!$C$3:$T$23,17,0),"N/A")</f>
        <v>733661.308823529</v>
      </c>
      <c r="X143" s="538" cm="1">
        <f t="array" ref="X143">IF(B143&gt;0,VLOOKUP(C140,'Allocation OH and Target 2026'!$C$3:$T$23,18,0),"N/A")</f>
        <v>65514.0761654629</v>
      </c>
      <c r="Y143" s="538" cm="1">
        <f t="array" ref="Y143">_xlfn.IFERROR(B143*(V143+X143),"N/A")</f>
        <v>265556.399222439</v>
      </c>
      <c r="Z143" s="424"/>
      <c r="AA143" s="538" cm="1">
        <f t="array" ref="AA143">_xlfn.IFERROR(Y143+S143,"N/A")</f>
        <v>7222389.73255577</v>
      </c>
      <c r="AB143" s="538" cm="1">
        <f t="array" ref="AB143">_xlfn.IFERROR(AA143*0.5%,"N/A")</f>
        <v>36111.9486627789</v>
      </c>
      <c r="AC143" s="538" cm="1">
        <f t="array" ref="AC143">_xlfn.IFERROR(AA143*25%,"N/A")</f>
        <v>1805597.43313894</v>
      </c>
      <c r="AD143" s="539" cm="1">
        <f t="array" ref="AD143">IF(B143&gt;0,SUM(AA143:AC143),"N/A")</f>
        <v>9064099.11435749</v>
      </c>
      <c r="AE143" s="538" cm="1">
        <f t="array" ref="AE143">_xlfn.IFERROR(AD143/B143,"N/A")</f>
        <v>9064099.11435749</v>
      </c>
      <c r="AF143" s="424"/>
      <c r="AG143" t="s" s="540">
        <v>14</v>
      </c>
      <c r="AH143" s="424" cm="1">
        <f t="array" ref="AH143">IF(AG143="N/A",0,1)</f>
        <v>0</v>
      </c>
      <c r="AI143" t="s" s="541">
        <v>14</v>
      </c>
      <c r="AJ143" s="424" cm="1">
        <f t="array" ref="AJ143">IF(AI143="N/A",0,1)</f>
        <v>0</v>
      </c>
      <c r="AK143" t="str" s="558" cm="1">
        <f t="array" ref="AK143">IF(SUM($AG$120:$AG$137)*B143&lt;SUM(AA143:AB143),"NO GO","GO")</f>
        <v>NO GO</v>
      </c>
      <c r="AL143" s="424"/>
      <c r="AM143" t="s" s="541">
        <v>589</v>
      </c>
      <c r="AN143" s="561" cm="1">
        <f t="array" ref="AN143">'Allocation OH and Target 2026'!M11</f>
        <v>3046</v>
      </c>
      <c r="AO143" s="538"/>
      <c r="AP143" s="542"/>
      <c r="AQ143" s="543" cm="1">
        <f t="array" ref="AQ143">B143</f>
        <v>1</v>
      </c>
      <c r="AR143" s="18"/>
    </row>
    <row r="144" ht="16" customHeight="1">
      <c r="A144" s="12"/>
      <c r="B144" s="544" cm="1">
        <f t="array" ref="B144">IF(B143=0,0,IF(B143&lt;VLOOKUP(C140,'Boats Data Sheet 2026'!$C$3:$H$57,6,0),B143+1,0))</f>
        <v>2</v>
      </c>
      <c r="C144" s="538" cm="1">
        <f t="array" ref="C144">IF(B144&gt;0,IF(VLOOKUP(C140,'Boats Data Sheet 2026'!$C$3:$J$57,8,0)="N/A",0,VLOOKUP(C140,'Boats Data Sheet 2026'!$C$3:$J$57,8,0)),"N/A")</f>
        <v>0</v>
      </c>
      <c r="D144" s="545" cm="1">
        <f t="array" ref="D144">IF(B144&gt;7,2,IF(B144=0,"N/A",1))</f>
        <v>1</v>
      </c>
      <c r="E144" s="538" cm="1">
        <f t="array" ref="E144">_xlfn.IFERROR(SUM('Direct Costs 2026'!$C$4:$C$5)*D144,"N/A")</f>
        <v>875500</v>
      </c>
      <c r="F144" s="538" cm="1">
        <f t="array" ref="F144">_xlfn.IFERROR('Direct Costs 2026'!$C$43*B144,"N/A")</f>
        <v>12000</v>
      </c>
      <c r="G144" s="538" cm="1">
        <f t="array" ref="G144">IF(B144&gt;0,'Direct Costs 2026'!$C$25,"N/A")</f>
        <v>90000</v>
      </c>
      <c r="H144" s="538" cm="1">
        <f t="array" ref="H144">IF(B144&gt;0,'Direct Costs 2026'!$C$19+'Direct Costs 2026'!$C$18*B144,"N/A")</f>
        <v>145000</v>
      </c>
      <c r="I144" s="538" cm="1">
        <f t="array" ref="I144">IF(B144&gt;0,SUM('Direct Costs 2026'!$C$20:$C$21),"N/A")</f>
        <v>98333.3333333333</v>
      </c>
      <c r="J144" s="538">
        <v>0</v>
      </c>
      <c r="K144" s="538" cm="1">
        <f t="array" ref="K144">_xlfn.IFERROR((IF(B144&gt;0,'Direct Costs 2026'!$C$15+'Direct Costs 2026'!$C$14,"N/A")+IF(B144&gt;0,'Direct Costs 2026'!$C$17,"N/A")),"N/A")</f>
        <v>580000</v>
      </c>
      <c r="L144" s="538" cm="1">
        <f t="array" ref="L144">IF(B144&gt;0,'Direct Costs 2026'!$C$26,"N/A")</f>
        <v>20000</v>
      </c>
      <c r="M144" s="538" cm="1">
        <f t="array" ref="M144">IF(B144&gt;0,'Direct Costs 2026'!$C$23,"N/A")</f>
        <v>140000</v>
      </c>
      <c r="N144" s="538" cm="1">
        <f t="array" ref="N144">IF(B144&gt;0,'Direct Costs 2026'!$C$44*B144,"N/A")</f>
        <v>220000</v>
      </c>
      <c r="O144" s="538" cm="1">
        <f t="array" ref="O144">IF(B144&gt;0,_xlfn.IFERROR(VLOOKUP(C140,'Boats Data Sheet 2026'!$C$3:$I$57,7,0)*'Direct Costs 2026'!$C$36,"N/A"),"N/A")</f>
        <v>3325000</v>
      </c>
      <c r="P144" s="538" cm="1">
        <f t="array" ref="P144">IF(B144&gt;0,IF(OR(VLOOKUP(C140,'Boats Data Sheet 2026'!$C$3:$F$57,4,0)="Own",VLOOKUP(C140,'Boats Data Sheet 2026'!$C$3:$F$57,4,0)="Management"),('Direct Costs 2026'!$C$37+'Direct Costs 2026'!$C$39),"N/A"),"N/A")</f>
        <v>1112400</v>
      </c>
      <c r="Q144" s="538" cm="1">
        <f t="array" ref="Q144">_xlfn.IFERROR(IF(B144&gt;5,IF(B144&gt;11,IF(B144&gt;15,4,3),2),IF(B144=0,"N/A",1))*SUM('Direct Costs 2026'!$C$67:$C$68),"N/A")</f>
        <v>489600</v>
      </c>
      <c r="R144" s="538" cm="1">
        <f t="array" ref="R144">_xlfn.IFERROR('Direct Costs 2026'!$C$27*C144,"N/A")</f>
        <v>0</v>
      </c>
      <c r="S144" s="538" cm="1">
        <f t="array" ref="S144">_xlfn.IFERROR(C144+SUM(E144:R144),"N/A")</f>
        <v>7107833.33333333</v>
      </c>
      <c r="T144" s="424"/>
      <c r="U144" s="538" cm="1">
        <f t="array" ref="U144">IF(B144&gt;0,'Allocation OH and Target 2026'!$E$27,"N/A")</f>
        <v>2134447.30345641</v>
      </c>
      <c r="V144" s="538" cm="1">
        <f t="array" ref="V144">IF(B144&gt;0,'Allocation OH and Target 2026'!$E$28,"N/A")</f>
        <v>200042.323056976</v>
      </c>
      <c r="W144" s="538" cm="1">
        <f t="array" ref="W144">IF(B144&gt;0,VLOOKUP(C140,'Allocation OH and Target 2026'!$C$3:$T$23,17,0),"N/A")</f>
        <v>733661.308823529</v>
      </c>
      <c r="X144" s="538" cm="1">
        <f t="array" ref="X144">IF(B144&gt;0,VLOOKUP(C140,'Allocation OH and Target 2026'!$C$3:$T$23,18,0),"N/A")</f>
        <v>65514.0761654629</v>
      </c>
      <c r="Y144" s="538" cm="1">
        <f t="array" ref="Y144">_xlfn.IFERROR(B144*(V144+X144),"N/A")</f>
        <v>531112.798444878</v>
      </c>
      <c r="Z144" s="424"/>
      <c r="AA144" s="538" cm="1">
        <f t="array" ref="AA144">_xlfn.IFERROR(Y144+S144,"N/A")</f>
        <v>7638946.13177821</v>
      </c>
      <c r="AB144" s="538" cm="1">
        <f t="array" ref="AB144">_xlfn.IFERROR(AA144*0.5%,"N/A")</f>
        <v>38194.7306588911</v>
      </c>
      <c r="AC144" s="538" cm="1">
        <f t="array" ref="AC144">_xlfn.IFERROR(AA144*25%,"N/A")</f>
        <v>1909736.53294455</v>
      </c>
      <c r="AD144" s="539" cm="1">
        <f t="array" ref="AD144">IF(B144&gt;0,SUM(AA144:AC144),"N/A")</f>
        <v>9586877.39538165</v>
      </c>
      <c r="AE144" s="538" cm="1">
        <f t="array" ref="AE144">_xlfn.IFERROR(AD144/B144,"N/A")</f>
        <v>4793438.69769083</v>
      </c>
      <c r="AF144" s="424"/>
      <c r="AG144" t="str" s="546" cm="1">
        <f t="array" ref="AG144">IF(B144/VLOOKUP(C140,'Boats Data Sheet 2026'!$C$3:$H$57,6,0)&gt;VLOOKUP(C140,'Allocation OH and Target 2026'!$C$3:$J$23,8,0),IF(SUM(AH142:AH143)=0,AE144,"N/A"),"N/A")</f>
        <v>N/A</v>
      </c>
      <c r="AH144" s="424" cm="1">
        <f t="array" ref="AH144">IF(AG144="N/A",0,1)</f>
        <v>0</v>
      </c>
      <c r="AI144" t="str" s="547" cm="1">
        <f t="array" ref="AI144">IF(B144/VLOOKUP(C140,'Boats Data Sheet 2026'!$C$3:$H$57,6,0)&gt;VLOOKUP(C140,'Allocation OH and Target 2026'!$C$3:$J$23,8,0),IF(SUM(AH142:AH143)=0,S144/B144,"N/A"),"N/A")</f>
        <v>N/A</v>
      </c>
      <c r="AJ144" s="424" cm="1">
        <f t="array" ref="AJ144">IF(AI144="N/A",0,1)</f>
        <v>0</v>
      </c>
      <c r="AK144" t="str" s="527" cm="1">
        <f t="array" ref="AK144">IF(SUM($AG$120:$AG$137)*B144&lt;SUM(AA144:AB144),"NO GO","GO")</f>
        <v>NO GO</v>
      </c>
      <c r="AL144" s="424"/>
      <c r="AM144" t="s" s="562">
        <v>546</v>
      </c>
      <c r="AN144" s="538"/>
      <c r="AO144" s="538"/>
      <c r="AP144" s="542"/>
      <c r="AQ144" s="543" cm="1">
        <f t="array" ref="AQ144">B144</f>
        <v>2</v>
      </c>
      <c r="AR144" s="18"/>
    </row>
    <row r="145" ht="16" customHeight="1">
      <c r="A145" s="12"/>
      <c r="B145" s="544" cm="1">
        <f t="array" ref="B145">IF(B144=0,0,IF(B144&lt;VLOOKUP(C140,'Boats Data Sheet 2026'!$C$3:$H$57,6,0),B144+1,0))</f>
        <v>3</v>
      </c>
      <c r="C145" s="538" cm="1">
        <f t="array" ref="C145">IF(B145&gt;0,IF(VLOOKUP(C140,'Boats Data Sheet 2026'!$C$3:$J$57,8,0)="N/A",0,VLOOKUP(C140,'Boats Data Sheet 2026'!$C$3:$J$57,8,0)),"N/A")</f>
        <v>0</v>
      </c>
      <c r="D145" s="545" cm="1">
        <f t="array" ref="D145">IF(B145&gt;7,2,IF(B145=0,"N/A",1))</f>
        <v>1</v>
      </c>
      <c r="E145" s="538" cm="1">
        <f t="array" ref="E145">_xlfn.IFERROR(SUM('Direct Costs 2026'!$C$4:$C$5)*D145,"N/A")</f>
        <v>875500</v>
      </c>
      <c r="F145" s="538" cm="1">
        <f t="array" ref="F145">_xlfn.IFERROR('Direct Costs 2026'!$C$43*B145,"N/A")</f>
        <v>18000</v>
      </c>
      <c r="G145" s="538" cm="1">
        <f t="array" ref="G145">IF(B145&gt;0,'Direct Costs 2026'!$C$25,"N/A")</f>
        <v>90000</v>
      </c>
      <c r="H145" s="538" cm="1">
        <f t="array" ref="H145">IF(B145&gt;0,'Direct Costs 2026'!$C$19+'Direct Costs 2026'!$C$18*B145,"N/A")</f>
        <v>180000</v>
      </c>
      <c r="I145" s="538" cm="1">
        <f t="array" ref="I145">IF(B145&gt;0,SUM('Direct Costs 2026'!$C$20:$C$21),"N/A")</f>
        <v>98333.3333333333</v>
      </c>
      <c r="J145" s="538">
        <v>0</v>
      </c>
      <c r="K145" s="538" cm="1">
        <f t="array" ref="K145">_xlfn.IFERROR((IF(B145&gt;0,'Direct Costs 2026'!$C$15+'Direct Costs 2026'!$C$14,"N/A")+IF(B145&gt;0,'Direct Costs 2026'!$C$17,"N/A")),"N/A")</f>
        <v>580000</v>
      </c>
      <c r="L145" s="538" cm="1">
        <f t="array" ref="L145">IF(B145&gt;0,'Direct Costs 2026'!$C$26,"N/A")</f>
        <v>20000</v>
      </c>
      <c r="M145" s="538" cm="1">
        <f t="array" ref="M145">IF(B145&gt;0,'Direct Costs 2026'!$C$23,"N/A")</f>
        <v>140000</v>
      </c>
      <c r="N145" s="538" cm="1">
        <f t="array" ref="N145">IF(B144&gt;0,'Direct Costs 2026'!$C$44*B144,"N/A")</f>
        <v>220000</v>
      </c>
      <c r="O145" s="538" cm="1">
        <f t="array" ref="O145">IF(B145&gt;0,_xlfn.IFERROR(VLOOKUP(C140,'Boats Data Sheet 2026'!$C$3:$I$57,7,0)*'Direct Costs 2026'!$C$36,"N/A"),"N/A")</f>
        <v>3325000</v>
      </c>
      <c r="P145" s="538" cm="1">
        <f t="array" ref="P145">IF(B145&gt;0,IF(OR(VLOOKUP(C140,'Boats Data Sheet 2026'!$C$3:$F$57,4,0)="Own",VLOOKUP(C140,'Boats Data Sheet 2026'!$C$3:$F$57,4,0)="Management"),('Direct Costs 2026'!$C$37+'Direct Costs 2026'!$C$39),"N/A"),"N/A")</f>
        <v>1112400</v>
      </c>
      <c r="Q145" s="538" cm="1">
        <f t="array" ref="Q145">_xlfn.IFERROR(IF(B145&gt;5,IF(B145&gt;11,IF(B145&gt;15,4,3),2),IF(B145=0,"N/A",1))*SUM('Direct Costs 2026'!$C$67:$C$68),"N/A")</f>
        <v>489600</v>
      </c>
      <c r="R145" s="538" cm="1">
        <f t="array" ref="R145">_xlfn.IFERROR('Direct Costs 2026'!$C$27*C145,"N/A")</f>
        <v>0</v>
      </c>
      <c r="S145" s="538" cm="1">
        <f t="array" ref="S145">_xlfn.IFERROR(C145+SUM(E145:R145),"N/A")</f>
        <v>7148833.33333333</v>
      </c>
      <c r="T145" s="424"/>
      <c r="U145" s="538" cm="1">
        <f t="array" ref="U145">IF(B145&gt;0,'Allocation OH and Target 2026'!$E$27,"N/A")</f>
        <v>2134447.30345641</v>
      </c>
      <c r="V145" s="538" cm="1">
        <f t="array" ref="V145">IF(B145&gt;0,'Allocation OH and Target 2026'!$E$28,"N/A")</f>
        <v>200042.323056976</v>
      </c>
      <c r="W145" s="538" cm="1">
        <f t="array" ref="W145">IF(B145&gt;0,VLOOKUP(C140,'Allocation OH and Target 2026'!$C$3:$T$23,17,0),"N/A")</f>
        <v>733661.308823529</v>
      </c>
      <c r="X145" s="538" cm="1">
        <f t="array" ref="X145">IF(B145&gt;0,VLOOKUP(C140,'Allocation OH and Target 2026'!$C$3:$T$23,18,0),"N/A")</f>
        <v>65514.0761654629</v>
      </c>
      <c r="Y145" s="538" cm="1">
        <f t="array" ref="Y145">_xlfn.IFERROR(B145*(V145+X145),"N/A")</f>
        <v>796669.197667317</v>
      </c>
      <c r="Z145" s="424"/>
      <c r="AA145" s="538" cm="1">
        <f t="array" ref="AA145">_xlfn.IFERROR(Y145+S145,"N/A")</f>
        <v>7945502.53100065</v>
      </c>
      <c r="AB145" s="538" cm="1">
        <f t="array" ref="AB145">_xlfn.IFERROR(AA145*0.5%,"N/A")</f>
        <v>39727.5126550033</v>
      </c>
      <c r="AC145" s="538" cm="1">
        <f t="array" ref="AC145">_xlfn.IFERROR(AA145*25%,"N/A")</f>
        <v>1986375.63275016</v>
      </c>
      <c r="AD145" s="539" cm="1">
        <f t="array" ref="AD145">IF(B145&gt;0,SUM(AA145:AC145),"N/A")</f>
        <v>9971605.67640581</v>
      </c>
      <c r="AE145" s="538" cm="1">
        <f t="array" ref="AE145">_xlfn.IFERROR(AD145/B145,"N/A")</f>
        <v>3323868.55880194</v>
      </c>
      <c r="AF145" s="424"/>
      <c r="AG145" t="str" s="546" cm="1">
        <f t="array" ref="AG145">IF(B145/VLOOKUP(C140,'Boats Data Sheet 2026'!$C$3:$H$57,6,0)&gt;VLOOKUP(C140,'Allocation OH and Target 2026'!$C$3:$J$23,8,0),IF(SUM(AH142:AH144)=0,AE145,"N/A"),"N/A")</f>
        <v>N/A</v>
      </c>
      <c r="AH145" s="424" cm="1">
        <f t="array" ref="AH145">IF(AG145="N/A",0,1)</f>
        <v>0</v>
      </c>
      <c r="AI145" t="str" s="547" cm="1">
        <f t="array" ref="AI145">IF(B145/VLOOKUP(C140,'Boats Data Sheet 2026'!$C$3:$H$57,6,0)&gt;VLOOKUP(C140,'Allocation OH and Target 2026'!$C$3:$J$23,8,0),IF(SUM(AH142:AH144)=0,S145/B145,"N/A"),"N/A")</f>
        <v>N/A</v>
      </c>
      <c r="AJ145" s="424" cm="1">
        <f t="array" ref="AJ145">IF(AI145="N/A",0,1)</f>
        <v>0</v>
      </c>
      <c r="AK145" t="str" s="527" cm="1">
        <f t="array" ref="AK145">IF(SUM($AG$120:$AG$137)*B145&lt;SUM(AA145:AB145),"NO GO","GO")</f>
        <v>NO GO</v>
      </c>
      <c r="AL145" s="424"/>
      <c r="AM145" t="s" s="541">
        <v>547</v>
      </c>
      <c r="AN145" s="538" cm="1">
        <f t="array" ref="AN145">AN143*'RECOMMENDED PRICES'!$D$8</f>
        <v>4233940000</v>
      </c>
      <c r="AO145" s="538"/>
      <c r="AP145" s="542"/>
      <c r="AQ145" s="543" cm="1">
        <f t="array" ref="AQ145">B145</f>
        <v>3</v>
      </c>
      <c r="AR145" s="18"/>
    </row>
    <row r="146" ht="16" customHeight="1">
      <c r="A146" s="12"/>
      <c r="B146" s="544" cm="1">
        <f t="array" ref="B146">IF(B145=0,0,IF(B145&lt;VLOOKUP(C140,'Boats Data Sheet 2026'!$C$3:$H$57,6,0),B145+1,0))</f>
        <v>4</v>
      </c>
      <c r="C146" s="538" cm="1">
        <f t="array" ref="C146">IF(B146&gt;0,IF(VLOOKUP(C140,'Boats Data Sheet 2026'!$C$3:$J$57,8,0)="N/A",0,VLOOKUP(C140,'Boats Data Sheet 2026'!$C$3:$J$57,8,0)),"N/A")</f>
        <v>0</v>
      </c>
      <c r="D146" s="545" cm="1">
        <f t="array" ref="D146">IF(B146&gt;7,2,IF(B146=0,"N/A",1))</f>
        <v>1</v>
      </c>
      <c r="E146" s="538" cm="1">
        <f t="array" ref="E146">_xlfn.IFERROR(SUM('Direct Costs 2026'!$C$4:$C$5)*D146,"N/A")</f>
        <v>875500</v>
      </c>
      <c r="F146" s="538" cm="1">
        <f t="array" ref="F146">_xlfn.IFERROR('Direct Costs 2026'!$C$43*B146,"N/A")</f>
        <v>24000</v>
      </c>
      <c r="G146" s="538" cm="1">
        <f t="array" ref="G146">IF(B146&gt;0,'Direct Costs 2026'!$C$25,"N/A")</f>
        <v>90000</v>
      </c>
      <c r="H146" s="538" cm="1">
        <f t="array" ref="H146">IF(B146&gt;0,'Direct Costs 2026'!$C$19+'Direct Costs 2026'!$C$18*B146,"N/A")</f>
        <v>215000</v>
      </c>
      <c r="I146" s="538" cm="1">
        <f t="array" ref="I146">IF(B146&gt;0,SUM('Direct Costs 2026'!$C$20:$C$21),"N/A")</f>
        <v>98333.3333333333</v>
      </c>
      <c r="J146" s="538">
        <v>0</v>
      </c>
      <c r="K146" s="538" cm="1">
        <f t="array" ref="K146">_xlfn.IFERROR((IF(B146&gt;0,'Direct Costs 2026'!$C$15+'Direct Costs 2026'!$C$14,"N/A")+IF(B146&gt;0,'Direct Costs 2026'!$C$17,"N/A")),"N/A")</f>
        <v>580000</v>
      </c>
      <c r="L146" s="538" cm="1">
        <f t="array" ref="L146">IF(B146&gt;0,'Direct Costs 2026'!$C$26,"N/A")</f>
        <v>20000</v>
      </c>
      <c r="M146" s="538" cm="1">
        <f t="array" ref="M146">IF(B146&gt;0,'Direct Costs 2026'!$C$23,"N/A")</f>
        <v>140000</v>
      </c>
      <c r="N146" s="538" cm="1">
        <f t="array" ref="N146">IF(B146&gt;0,'Direct Costs 2026'!$C$44*B146,"N/A")</f>
        <v>440000</v>
      </c>
      <c r="O146" s="538" cm="1">
        <f t="array" ref="O146">IF(B146&gt;0,_xlfn.IFERROR(VLOOKUP(C140,'Boats Data Sheet 2026'!$C$3:$I$57,7,0)*'Direct Costs 2026'!$C$36,"N/A"),"N/A")</f>
        <v>3325000</v>
      </c>
      <c r="P146" s="538" cm="1">
        <f t="array" ref="P146">IF(B146&gt;0,IF(OR(VLOOKUP(C140,'Boats Data Sheet 2026'!$C$3:$F$57,4,0)="Own",VLOOKUP(C140,'Boats Data Sheet 2026'!$C$3:$F$57,4,0)="Management"),('Direct Costs 2026'!$C$37+'Direct Costs 2026'!$C$39),"N/A"),"N/A")</f>
        <v>1112400</v>
      </c>
      <c r="Q146" s="538" cm="1">
        <f t="array" ref="Q146">_xlfn.IFERROR(IF(B146&gt;5,IF(B146&gt;11,IF(B146&gt;15,4,3),2),IF(B146=0,"N/A",1))*SUM('Direct Costs 2026'!$C$67:$C$68),"N/A")</f>
        <v>489600</v>
      </c>
      <c r="R146" s="538" cm="1">
        <f t="array" ref="R146">_xlfn.IFERROR('Direct Costs 2026'!$C$27*C146,"N/A")</f>
        <v>0</v>
      </c>
      <c r="S146" s="538" cm="1">
        <f t="array" ref="S146">_xlfn.IFERROR(C146+SUM(E146:R146),"N/A")</f>
        <v>7409833.33333333</v>
      </c>
      <c r="T146" s="424"/>
      <c r="U146" s="538" cm="1">
        <f t="array" ref="U146">IF(B146&gt;0,'Allocation OH and Target 2026'!$E$27,"N/A")</f>
        <v>2134447.30345641</v>
      </c>
      <c r="V146" s="538" cm="1">
        <f t="array" ref="V146">IF(B146&gt;0,'Allocation OH and Target 2026'!$E$28,"N/A")</f>
        <v>200042.323056976</v>
      </c>
      <c r="W146" s="538" cm="1">
        <f t="array" ref="W146">IF(B146&gt;0,VLOOKUP(C140,'Allocation OH and Target 2026'!$C$3:$T$23,17,0),"N/A")</f>
        <v>733661.308823529</v>
      </c>
      <c r="X146" s="538" cm="1">
        <f t="array" ref="X146">IF(B146&gt;0,VLOOKUP(C140,'Allocation OH and Target 2026'!$C$3:$T$23,18,0),"N/A")</f>
        <v>65514.0761654629</v>
      </c>
      <c r="Y146" s="538" cm="1">
        <f t="array" ref="Y146">_xlfn.IFERROR(B146*(V146+X146),"N/A")</f>
        <v>1062225.59688976</v>
      </c>
      <c r="Z146" s="424"/>
      <c r="AA146" s="538" cm="1">
        <f t="array" ref="AA146">_xlfn.IFERROR(Y146+S146,"N/A")</f>
        <v>8472058.930223091</v>
      </c>
      <c r="AB146" s="538" cm="1">
        <f t="array" ref="AB146">_xlfn.IFERROR(AA146*0.5%,"N/A")</f>
        <v>42360.2946511155</v>
      </c>
      <c r="AC146" s="538" cm="1">
        <f t="array" ref="AC146">_xlfn.IFERROR(AA146*25%,"N/A")</f>
        <v>2118014.73255577</v>
      </c>
      <c r="AD146" s="539" cm="1">
        <f t="array" ref="AD146">IF(B146&gt;0,SUM(AA146:AC146),"N/A")</f>
        <v>10632433.95743</v>
      </c>
      <c r="AE146" s="538" cm="1">
        <f t="array" ref="AE146">_xlfn.IFERROR(AD146/B146,"N/A")</f>
        <v>2658108.4893575</v>
      </c>
      <c r="AF146" s="424"/>
      <c r="AG146" t="str" s="546" cm="1">
        <f t="array" ref="AG146">IF(B146/VLOOKUP(C140,'Boats Data Sheet 2026'!$C$3:$H$57,6,0)&gt;VLOOKUP(C140,'Allocation OH and Target 2026'!$C$3:$J$23,8,0),IF(SUM(AH142:AH145)=0,AE146,"N/A"),"N/A")</f>
        <v>N/A</v>
      </c>
      <c r="AH146" s="424" cm="1">
        <f t="array" ref="AH146">IF(AG146="N/A",0,1)</f>
        <v>0</v>
      </c>
      <c r="AI146" t="str" s="547" cm="1">
        <f t="array" ref="AI146">IF(B146/VLOOKUP(C140,'Boats Data Sheet 2026'!$C$3:$H$57,6,0)&gt;VLOOKUP(C140,'Allocation OH and Target 2026'!$C$3:$J$23,8,0),IF(SUM(AH142:AH145)=0,S146/B146,"N/A"),"N/A")</f>
        <v>N/A</v>
      </c>
      <c r="AJ146" s="424" cm="1">
        <f t="array" ref="AJ146">IF(AI146="N/A",0,1)</f>
        <v>0</v>
      </c>
      <c r="AK146" t="str" s="527" cm="1">
        <f t="array" ref="AK146">IF(SUM($AG$120:$AG$137)*B146&lt;SUM(AA146:AB146),"NO GO","GO")</f>
        <v>NO GO</v>
      </c>
      <c r="AL146" s="424"/>
      <c r="AM146" t="s" s="562">
        <v>550</v>
      </c>
      <c r="AN146" s="538"/>
      <c r="AO146" s="538"/>
      <c r="AP146" s="542"/>
      <c r="AQ146" s="543" cm="1">
        <f t="array" ref="AQ146">B146</f>
        <v>4</v>
      </c>
      <c r="AR146" s="18"/>
    </row>
    <row r="147" ht="16" customHeight="1">
      <c r="A147" s="12"/>
      <c r="B147" s="544" cm="1">
        <f t="array" ref="B147">IF(B146=0,0,IF(B146&lt;VLOOKUP(C140,'Boats Data Sheet 2026'!$C$3:$H$57,6,0),B146+1,0))</f>
        <v>5</v>
      </c>
      <c r="C147" s="538" cm="1">
        <f t="array" ref="C147">IF(B147&gt;0,IF(VLOOKUP(C140,'Boats Data Sheet 2026'!$C$3:$J$57,8,0)="N/A",0,VLOOKUP(C140,'Boats Data Sheet 2026'!$C$3:$J$57,8,0)),"N/A")</f>
        <v>0</v>
      </c>
      <c r="D147" s="545" cm="1">
        <f t="array" ref="D147">IF(B147&gt;7,2,IF(B147=0,"N/A",1))</f>
        <v>1</v>
      </c>
      <c r="E147" s="538" cm="1">
        <f t="array" ref="E147">_xlfn.IFERROR(SUM('Direct Costs 2026'!$C$4:$C$5)*D147,"N/A")</f>
        <v>875500</v>
      </c>
      <c r="F147" s="538" cm="1">
        <f t="array" ref="F147">_xlfn.IFERROR('Direct Costs 2026'!$C$43*B147,"N/A")</f>
        <v>30000</v>
      </c>
      <c r="G147" s="538" cm="1">
        <f t="array" ref="G147">IF(B147&gt;0,'Direct Costs 2026'!$C$25,"N/A")</f>
        <v>90000</v>
      </c>
      <c r="H147" s="538" cm="1">
        <f t="array" ref="H147">IF(B147&gt;0,'Direct Costs 2026'!$C$19+'Direct Costs 2026'!$C$18*B147,"N/A")</f>
        <v>250000</v>
      </c>
      <c r="I147" s="538" cm="1">
        <f t="array" ref="I147">IF(B147&gt;0,SUM('Direct Costs 2026'!$C$20:$C$21),"N/A")</f>
        <v>98333.3333333333</v>
      </c>
      <c r="J147" s="538">
        <v>0</v>
      </c>
      <c r="K147" s="538" cm="1">
        <f t="array" ref="K147">_xlfn.IFERROR((IF(B147&gt;0,'Direct Costs 2026'!$C$15+'Direct Costs 2026'!$C$14,"N/A")+IF(B147&gt;0,'Direct Costs 2026'!$C$17,"N/A")),"N/A")</f>
        <v>580000</v>
      </c>
      <c r="L147" s="538" cm="1">
        <f t="array" ref="L147">IF(B147&gt;0,'Direct Costs 2026'!$C$26,"N/A")</f>
        <v>20000</v>
      </c>
      <c r="M147" s="538" cm="1">
        <f t="array" ref="M147">IF(B147&gt;0,'Direct Costs 2026'!$C$23,"N/A")</f>
        <v>140000</v>
      </c>
      <c r="N147" s="538" cm="1">
        <f t="array" ref="N147">IF(B147&gt;0,'Direct Costs 2026'!$C$44*B147,"N/A")</f>
        <v>550000</v>
      </c>
      <c r="O147" s="538" cm="1">
        <f t="array" ref="O147">IF(B147&gt;0,_xlfn.IFERROR(VLOOKUP(C140,'Boats Data Sheet 2026'!$C$3:$I$57,7,0)*'Direct Costs 2026'!$C$36,"N/A"),"N/A")</f>
        <v>3325000</v>
      </c>
      <c r="P147" s="538" cm="1">
        <f t="array" ref="P147">IF(B147&gt;0,IF(OR(VLOOKUP(C140,'Boats Data Sheet 2026'!$C$3:$F$57,4,0)="Own",VLOOKUP(C140,'Boats Data Sheet 2026'!$C$3:$F$57,4,0)="Management"),('Direct Costs 2026'!$C$37+'Direct Costs 2026'!$C$39),"N/A"),"N/A")</f>
        <v>1112400</v>
      </c>
      <c r="Q147" s="538" cm="1">
        <f t="array" ref="Q147">_xlfn.IFERROR(IF(B147&gt;5,IF(B147&gt;11,IF(B147&gt;15,4,3),2),IF(B147=0,"N/A",1))*SUM('Direct Costs 2026'!$C$67:$C$68),"N/A")</f>
        <v>489600</v>
      </c>
      <c r="R147" s="538" cm="1">
        <f t="array" ref="R147">_xlfn.IFERROR('Direct Costs 2026'!$C$27*C147,"N/A")</f>
        <v>0</v>
      </c>
      <c r="S147" s="538" cm="1">
        <f t="array" ref="S147">_xlfn.IFERROR(C147+SUM(E147:R147),"N/A")</f>
        <v>7560833.33333333</v>
      </c>
      <c r="T147" s="424"/>
      <c r="U147" s="538" cm="1">
        <f t="array" ref="U147">IF(B147&gt;0,'Allocation OH and Target 2026'!$E$27,"N/A")</f>
        <v>2134447.30345641</v>
      </c>
      <c r="V147" s="538" cm="1">
        <f t="array" ref="V147">IF(B147&gt;0,'Allocation OH and Target 2026'!$E$28,"N/A")</f>
        <v>200042.323056976</v>
      </c>
      <c r="W147" s="538" cm="1">
        <f t="array" ref="W147">IF(B147&gt;0,VLOOKUP(C140,'Allocation OH and Target 2026'!$C$3:$T$23,17,0),"N/A")</f>
        <v>733661.308823529</v>
      </c>
      <c r="X147" s="538" cm="1">
        <f t="array" ref="X147">IF(B147&gt;0,VLOOKUP(C140,'Allocation OH and Target 2026'!$C$3:$T$23,18,0),"N/A")</f>
        <v>65514.0761654629</v>
      </c>
      <c r="Y147" s="538" cm="1">
        <f t="array" ref="Y147">_xlfn.IFERROR(B147*(V147+X147),"N/A")</f>
        <v>1327781.99611219</v>
      </c>
      <c r="Z147" s="424"/>
      <c r="AA147" s="538" cm="1">
        <f t="array" ref="AA147">_xlfn.IFERROR(Y147+S147,"N/A")</f>
        <v>8888615.32944552</v>
      </c>
      <c r="AB147" s="538" cm="1">
        <f t="array" ref="AB147">_xlfn.IFERROR(AA147*0.5%,"N/A")</f>
        <v>44443.0766472276</v>
      </c>
      <c r="AC147" s="538" cm="1">
        <f t="array" ref="AC147">_xlfn.IFERROR(AA147*25%,"N/A")</f>
        <v>2222153.83236138</v>
      </c>
      <c r="AD147" s="539" cm="1">
        <f t="array" ref="AD147">IF(B147&gt;0,SUM(AA147:AC147),"N/A")</f>
        <v>11155212.2384541</v>
      </c>
      <c r="AE147" s="538" cm="1">
        <f t="array" ref="AE147">_xlfn.IFERROR(AD147/B147,"N/A")</f>
        <v>2231042.44769082</v>
      </c>
      <c r="AF147" s="424"/>
      <c r="AG147" t="str" s="546" cm="1">
        <f t="array" ref="AG147">IF(B147/VLOOKUP(C140,'Boats Data Sheet 2026'!$C$3:$H$57,6,0)&gt;VLOOKUP(C140,'Allocation OH and Target 2026'!$C$3:$J$23,8,0),IF(SUM(AH142:AH146)=0,AE147,"N/A"),"N/A")</f>
        <v>N/A</v>
      </c>
      <c r="AH147" s="424" cm="1">
        <f t="array" ref="AH147">IF(AG147="N/A",0,1)</f>
        <v>0</v>
      </c>
      <c r="AI147" t="str" s="547" cm="1">
        <f t="array" ref="AI147">IF(B147/VLOOKUP(C140,'Boats Data Sheet 2026'!$C$3:$H$57,6,0)&gt;VLOOKUP(C140,'Allocation OH and Target 2026'!$C$3:$J$23,8,0),IF(SUM(AH142:AH146)=0,S147/B147,"N/A"),"N/A")</f>
        <v>N/A</v>
      </c>
      <c r="AJ147" s="424" cm="1">
        <f t="array" ref="AJ147">IF(AI147="N/A",0,1)</f>
        <v>0</v>
      </c>
      <c r="AK147" t="str" s="527" cm="1">
        <f t="array" ref="AK147">IF(SUM($AG$120:$AG$137)*B147&lt;SUM(AA147:AB147),"NO GO","GO")</f>
        <v>NO GO</v>
      </c>
      <c r="AL147" s="424"/>
      <c r="AM147" t="s" s="541">
        <v>551</v>
      </c>
      <c r="AN147" s="563" cm="1">
        <f t="array" ref="AN147">(AA154/B154)*AN143</f>
        <v>3467162836.47599</v>
      </c>
      <c r="AO147" s="538"/>
      <c r="AP147" s="542"/>
      <c r="AQ147" s="543" cm="1">
        <f t="array" ref="AQ147">B147</f>
        <v>5</v>
      </c>
      <c r="AR147" s="18"/>
    </row>
    <row r="148" ht="16" customHeight="1">
      <c r="A148" s="12"/>
      <c r="B148" s="544" cm="1">
        <f t="array" ref="B148">IF(B147=0,0,IF(B147&lt;VLOOKUP(C140,'Boats Data Sheet 2026'!$C$3:$H$57,6,0),B147+1,0))</f>
        <v>6</v>
      </c>
      <c r="C148" s="538" cm="1">
        <f t="array" ref="C148">IF(B148&gt;0,IF(VLOOKUP(C140,'Boats Data Sheet 2026'!$C$3:$J$57,8,0)="N/A",0,VLOOKUP(C140,'Boats Data Sheet 2026'!$C$3:$J$57,8,0)),"N/A")</f>
        <v>0</v>
      </c>
      <c r="D148" s="545" cm="1">
        <f t="array" ref="D148">IF(B148&gt;7,2,IF(B148=0,"N/A",1))</f>
        <v>1</v>
      </c>
      <c r="E148" s="538" cm="1">
        <f t="array" ref="E148">_xlfn.IFERROR(SUM('Direct Costs 2026'!$C$4:$C$5)*D148,"N/A")</f>
        <v>875500</v>
      </c>
      <c r="F148" s="538" cm="1">
        <f t="array" ref="F148">_xlfn.IFERROR('Direct Costs 2026'!$C$43*B148,"N/A")</f>
        <v>36000</v>
      </c>
      <c r="G148" s="538" cm="1">
        <f t="array" ref="G148">IF(B148&gt;0,'Direct Costs 2026'!$C$25,"N/A")</f>
        <v>90000</v>
      </c>
      <c r="H148" s="538" cm="1">
        <f t="array" ref="H148">IF(B148&gt;0,'Direct Costs 2026'!$C$19+'Direct Costs 2026'!$C$18*B148,"N/A")</f>
        <v>285000</v>
      </c>
      <c r="I148" s="538" cm="1">
        <f t="array" ref="I148">IF(B148&gt;0,SUM('Direct Costs 2026'!$C$20:$C$21),"N/A")</f>
        <v>98333.3333333333</v>
      </c>
      <c r="J148" s="538">
        <v>0</v>
      </c>
      <c r="K148" s="538" cm="1">
        <f t="array" ref="K148">_xlfn.IFERROR((IF(B148&gt;0,'Direct Costs 2026'!$C$15+'Direct Costs 2026'!$C$14,"N/A")+IF(B148&gt;0,'Direct Costs 2026'!$C$17,"N/A")),"N/A")</f>
        <v>580000</v>
      </c>
      <c r="L148" s="538" cm="1">
        <f t="array" ref="L148">IF(B148&gt;0,'Direct Costs 2026'!$C$26,"N/A")</f>
        <v>20000</v>
      </c>
      <c r="M148" s="538" cm="1">
        <f t="array" ref="M148">IF(B148&gt;0,'Direct Costs 2026'!$C$23,"N/A")</f>
        <v>140000</v>
      </c>
      <c r="N148" s="538" cm="1">
        <f t="array" ref="N148">IF(B148&gt;0,'Direct Costs 2026'!$C$44*B148,"N/A")</f>
        <v>660000</v>
      </c>
      <c r="O148" s="538" cm="1">
        <f t="array" ref="O148">IF(B148&gt;0,_xlfn.IFERROR(VLOOKUP(C140,'Boats Data Sheet 2026'!$C$3:$I$57,7,0)*'Direct Costs 2026'!$C$36,"N/A"),"N/A")</f>
        <v>3325000</v>
      </c>
      <c r="P148" s="538" cm="1">
        <f t="array" ref="P148">IF(B148&gt;0,IF(OR(VLOOKUP(C140,'Boats Data Sheet 2026'!$C$3:$F$57,4,0)="Own",VLOOKUP(C140,'Boats Data Sheet 2026'!$C$3:$F$57,4,0)="Management"),('Direct Costs 2026'!$C$37+'Direct Costs 2026'!$C$39),"N/A"),"N/A")</f>
        <v>1112400</v>
      </c>
      <c r="Q148" s="538" cm="1">
        <f t="array" ref="Q148">_xlfn.IFERROR(IF(B148&gt;5,IF(B148&gt;11,IF(B148&gt;15,4,3),2),IF(B148=0,"N/A",1))*SUM('Direct Costs 2026'!$C$67:$C$68),"N/A")</f>
        <v>979200</v>
      </c>
      <c r="R148" s="538" cm="1">
        <f t="array" ref="R148">_xlfn.IFERROR('Direct Costs 2026'!$C$27*C148,"N/A")</f>
        <v>0</v>
      </c>
      <c r="S148" s="538" cm="1">
        <f t="array" ref="S148">_xlfn.IFERROR(C148+SUM(E148:R148),"N/A")</f>
        <v>8201433.33333333</v>
      </c>
      <c r="T148" s="424"/>
      <c r="U148" s="538" cm="1">
        <f t="array" ref="U148">IF(B148&gt;0,'Allocation OH and Target 2026'!$E$27,"N/A")</f>
        <v>2134447.30345641</v>
      </c>
      <c r="V148" s="538" cm="1">
        <f t="array" ref="V148">IF(B148&gt;0,'Allocation OH and Target 2026'!$E$28,"N/A")</f>
        <v>200042.323056976</v>
      </c>
      <c r="W148" s="538" cm="1">
        <f t="array" ref="W148">IF(B148&gt;0,VLOOKUP(C140,'Allocation OH and Target 2026'!$C$3:$T$23,17,0),"N/A")</f>
        <v>733661.308823529</v>
      </c>
      <c r="X148" s="538" cm="1">
        <f t="array" ref="X148">IF(B148&gt;0,VLOOKUP(C140,'Allocation OH and Target 2026'!$C$3:$T$23,18,0),"N/A")</f>
        <v>65514.0761654629</v>
      </c>
      <c r="Y148" s="538" cm="1">
        <f t="array" ref="Y148">_xlfn.IFERROR(B148*(V148+X148),"N/A")</f>
        <v>1593338.39533463</v>
      </c>
      <c r="Z148" s="424"/>
      <c r="AA148" s="538" cm="1">
        <f t="array" ref="AA148">_xlfn.IFERROR(Y148+S148,"N/A")</f>
        <v>9794771.72866796</v>
      </c>
      <c r="AB148" s="538" cm="1">
        <f t="array" ref="AB148">_xlfn.IFERROR(AA148*0.5%,"N/A")</f>
        <v>48973.8586433398</v>
      </c>
      <c r="AC148" s="538" cm="1">
        <f t="array" ref="AC148">_xlfn.IFERROR(AA148*25%,"N/A")</f>
        <v>2448692.93216699</v>
      </c>
      <c r="AD148" s="539" cm="1">
        <f t="array" ref="AD148">IF(B148&gt;0,SUM(AA148:AC148),"N/A")</f>
        <v>12292438.5194783</v>
      </c>
      <c r="AE148" s="538" cm="1">
        <f t="array" ref="AE148">_xlfn.IFERROR(AD148/B148,"N/A")</f>
        <v>2048739.75324638</v>
      </c>
      <c r="AF148" s="424"/>
      <c r="AG148" t="str" s="546" cm="1">
        <f t="array" ref="AG148">IF(B148/VLOOKUP(C140,'Boats Data Sheet 2026'!$C$3:$H$57,6,0)&gt;VLOOKUP(C140,'Allocation OH and Target 2026'!$C$3:$J$23,8,0),IF(SUM(AH142:AH147)=0,AE148,"N/A"),"N/A")</f>
        <v>N/A</v>
      </c>
      <c r="AH148" s="424" cm="1">
        <f t="array" ref="AH148">IF(AG148="N/A",0,1)</f>
        <v>0</v>
      </c>
      <c r="AI148" t="str" s="547" cm="1">
        <f t="array" ref="AI148">IF(B148/VLOOKUP(C140,'Boats Data Sheet 2026'!$C$3:$H$57,6,0)&gt;VLOOKUP(C140,'Allocation OH and Target 2026'!$C$3:$J$23,8,0),IF(SUM(AH142:AH147)=0,S148/B148,"N/A"),"N/A")</f>
        <v>N/A</v>
      </c>
      <c r="AJ148" s="424" cm="1">
        <f t="array" ref="AJ148">IF(AI148="N/A",0,1)</f>
        <v>0</v>
      </c>
      <c r="AK148" t="str" s="527" cm="1">
        <f t="array" ref="AK148">IF(SUM($AG$120:$AG$137)*B148&lt;SUM(AA148:AB148),"NO GO","GO")</f>
        <v>NO GO</v>
      </c>
      <c r="AL148" s="424"/>
      <c r="AM148" t="s" s="562">
        <v>394</v>
      </c>
      <c r="AN148" s="564" cm="1">
        <f t="array" ref="AN148">AN145-AN147</f>
        <v>766777163.5240099</v>
      </c>
      <c r="AO148" s="538"/>
      <c r="AP148" s="542"/>
      <c r="AQ148" s="543" cm="1">
        <f t="array" ref="AQ148">B148</f>
        <v>6</v>
      </c>
      <c r="AR148" s="18"/>
    </row>
    <row r="149" ht="16" customHeight="1">
      <c r="A149" s="12"/>
      <c r="B149" s="544" cm="1">
        <f t="array" ref="B149">IF(B148=0,0,IF(B148&lt;VLOOKUP(C140,'Boats Data Sheet 2026'!$C$3:$H$57,6,0),B148+1,0))</f>
        <v>7</v>
      </c>
      <c r="C149" s="538" cm="1">
        <f t="array" ref="C149">IF(B149&gt;0,IF(VLOOKUP(C140,'Boats Data Sheet 2026'!$C$3:$J$57,8,0)="N/A",0,VLOOKUP(C140,'Boats Data Sheet 2026'!$C$3:$J$57,8,0)),"N/A")</f>
        <v>0</v>
      </c>
      <c r="D149" s="545" cm="1">
        <f t="array" ref="D149">IF(B149&gt;7,2,IF(B149=0,"N/A",1))</f>
        <v>1</v>
      </c>
      <c r="E149" s="538" cm="1">
        <f t="array" ref="E149">_xlfn.IFERROR(SUM('Direct Costs 2026'!$C$4:$C$5)*D149,"N/A")</f>
        <v>875500</v>
      </c>
      <c r="F149" s="538" cm="1">
        <f t="array" ref="F149">_xlfn.IFERROR('Direct Costs 2026'!$C$43*B149,"N/A")</f>
        <v>42000</v>
      </c>
      <c r="G149" s="538" cm="1">
        <f t="array" ref="G149">IF(B149&gt;0,'Direct Costs 2026'!$C$25,"N/A")</f>
        <v>90000</v>
      </c>
      <c r="H149" s="538" cm="1">
        <f t="array" ref="H149">IF(B149&gt;0,'Direct Costs 2026'!$C$19+'Direct Costs 2026'!$C$18*B149,"N/A")</f>
        <v>320000</v>
      </c>
      <c r="I149" s="538" cm="1">
        <f t="array" ref="I149">IF(B149&gt;0,SUM('Direct Costs 2026'!$C$20:$C$21),"N/A")</f>
        <v>98333.3333333333</v>
      </c>
      <c r="J149" s="538">
        <v>0</v>
      </c>
      <c r="K149" s="538" cm="1">
        <f t="array" ref="K149">_xlfn.IFERROR((IF(B149&gt;0,'Direct Costs 2026'!$C$15+'Direct Costs 2026'!$C$14,"N/A")+IF(B149&gt;0,'Direct Costs 2026'!$C$17,"N/A")),"N/A")</f>
        <v>580000</v>
      </c>
      <c r="L149" s="538" cm="1">
        <f t="array" ref="L149">IF(B149&gt;0,'Direct Costs 2026'!$C$26,"N/A")</f>
        <v>20000</v>
      </c>
      <c r="M149" s="538" cm="1">
        <f t="array" ref="M149">IF(B149&gt;0,'Direct Costs 2026'!$C$23,"N/A")</f>
        <v>140000</v>
      </c>
      <c r="N149" s="538" cm="1">
        <f t="array" ref="N149">IF(B149&gt;0,'Direct Costs 2026'!$C$44*B149,"N/A")</f>
        <v>770000</v>
      </c>
      <c r="O149" s="538" cm="1">
        <f t="array" ref="O149">IF(B149&gt;0,_xlfn.IFERROR(VLOOKUP(C140,'Boats Data Sheet 2026'!$C$3:$I$57,7,0)*'Direct Costs 2026'!$C$36,"N/A"),"N/A")</f>
        <v>3325000</v>
      </c>
      <c r="P149" s="538" cm="1">
        <f t="array" ref="P149">IF(B149&gt;0,IF(OR(VLOOKUP(C140,'Boats Data Sheet 2026'!$C$3:$F$57,4,0)="Own",VLOOKUP(C140,'Boats Data Sheet 2026'!$C$3:$F$57,4,0)="Management"),('Direct Costs 2026'!$C$37+'Direct Costs 2026'!$C$39),"N/A"),"N/A")</f>
        <v>1112400</v>
      </c>
      <c r="Q149" s="538" cm="1">
        <f t="array" ref="Q149">_xlfn.IFERROR(IF(B149&gt;5,IF(B149&gt;11,IF(B149&gt;15,4,3),2),IF(B149=0,"N/A",1))*SUM('Direct Costs 2026'!$C$67:$C$68),"N/A")</f>
        <v>979200</v>
      </c>
      <c r="R149" s="538" cm="1">
        <f t="array" ref="R149">_xlfn.IFERROR('Direct Costs 2026'!$C$27*C149,"N/A")</f>
        <v>0</v>
      </c>
      <c r="S149" s="538" cm="1">
        <f t="array" ref="S149">_xlfn.IFERROR(C149+SUM(E149:R149),"N/A")</f>
        <v>8352433.33333333</v>
      </c>
      <c r="T149" s="424"/>
      <c r="U149" s="538" cm="1">
        <f t="array" ref="U149">IF(B149&gt;0,'Allocation OH and Target 2026'!$E$27,"N/A")</f>
        <v>2134447.30345641</v>
      </c>
      <c r="V149" s="538" cm="1">
        <f t="array" ref="V149">IF(B149&gt;0,'Allocation OH and Target 2026'!$E$28,"N/A")</f>
        <v>200042.323056976</v>
      </c>
      <c r="W149" s="538" cm="1">
        <f t="array" ref="W149">IF(B149&gt;0,VLOOKUP(C140,'Allocation OH and Target 2026'!$C$3:$T$23,17,0),"N/A")</f>
        <v>733661.308823529</v>
      </c>
      <c r="X149" s="538" cm="1">
        <f t="array" ref="X149">IF(B149&gt;0,VLOOKUP(C140,'Allocation OH and Target 2026'!$C$3:$T$23,18,0),"N/A")</f>
        <v>65514.0761654629</v>
      </c>
      <c r="Y149" s="538" cm="1">
        <f t="array" ref="Y149">_xlfn.IFERROR(B149*(V149+X149),"N/A")</f>
        <v>1858894.79455707</v>
      </c>
      <c r="Z149" s="424"/>
      <c r="AA149" s="538" cm="1">
        <f t="array" ref="AA149">_xlfn.IFERROR(Y149+S149,"N/A")</f>
        <v>10211328.1278904</v>
      </c>
      <c r="AB149" s="538" cm="1">
        <f t="array" ref="AB149">_xlfn.IFERROR(AA149*0.5%,"N/A")</f>
        <v>51056.640639452</v>
      </c>
      <c r="AC149" s="538" cm="1">
        <f t="array" ref="AC149">_xlfn.IFERROR(AA149*25%,"N/A")</f>
        <v>2552832.0319726</v>
      </c>
      <c r="AD149" s="539" cm="1">
        <f t="array" ref="AD149">IF(B149&gt;0,SUM(AA149:AC149),"N/A")</f>
        <v>12815216.8005025</v>
      </c>
      <c r="AE149" s="538" cm="1">
        <f t="array" ref="AE149">_xlfn.IFERROR(AD149/B149,"N/A")</f>
        <v>1830745.25721464</v>
      </c>
      <c r="AF149" s="424"/>
      <c r="AG149" t="str" s="546" cm="1">
        <f t="array" ref="AG149">IF(B149/VLOOKUP(C140,'Boats Data Sheet 2026'!$C$3:$H$57,6,0)&gt;VLOOKUP(C140,'Allocation OH and Target 2026'!$C$3:$J$23,8,0),IF(SUM(AH142:AH148)=0,AE149,"N/A"),"N/A")</f>
        <v>N/A</v>
      </c>
      <c r="AH149" s="424" cm="1">
        <f t="array" ref="AH149">IF(AG149="N/A",0,1)</f>
        <v>0</v>
      </c>
      <c r="AI149" t="str" s="547" cm="1">
        <f t="array" ref="AI149">IF(B149/VLOOKUP(C140,'Boats Data Sheet 2026'!$C$3:$H$57,6,0)&gt;VLOOKUP(C140,'Allocation OH and Target 2026'!$C$3:$J$23,8,0),IF(SUM(AH142:AH148)=0,S149/B149,"N/A"),"N/A")</f>
        <v>N/A</v>
      </c>
      <c r="AJ149" s="424" cm="1">
        <f t="array" ref="AJ149">IF(AI149="N/A",0,1)</f>
        <v>0</v>
      </c>
      <c r="AK149" t="str" s="527" cm="1">
        <f t="array" ref="AK149">IF(SUM($AG$120:$AG$137)*B149&lt;SUM(AA149:AB149),"NO GO","GO")</f>
        <v>NO GO</v>
      </c>
      <c r="AL149" s="424"/>
      <c r="AM149" t="s" s="565">
        <v>590</v>
      </c>
      <c r="AN149" s="566" cm="1">
        <f t="array" ref="AN149">AN148*36%</f>
        <v>276039778.868644</v>
      </c>
      <c r="AO149" s="538"/>
      <c r="AP149" s="542"/>
      <c r="AQ149" s="543" cm="1">
        <f t="array" ref="AQ149">B149</f>
        <v>7</v>
      </c>
      <c r="AR149" s="18"/>
    </row>
    <row r="150" ht="16" customHeight="1">
      <c r="A150" s="12"/>
      <c r="B150" s="544" cm="1">
        <f t="array" ref="B150">IF(B149=0,0,IF(B149&lt;VLOOKUP(C140,'Boats Data Sheet 2026'!$C$3:$H$57,6,0),B149+1,0))</f>
        <v>8</v>
      </c>
      <c r="C150" s="538" cm="1">
        <f t="array" ref="C150">IF(B150&gt;0,IF(VLOOKUP(C140,'Boats Data Sheet 2026'!$C$3:$J$57,8,0)="N/A",0,VLOOKUP(C140,'Boats Data Sheet 2026'!$C$3:$J$57,8,0)),"N/A")</f>
        <v>0</v>
      </c>
      <c r="D150" s="545" cm="1">
        <f t="array" ref="D150">IF(B150&gt;7,2,IF(B150=0,"N/A",1))</f>
        <v>2</v>
      </c>
      <c r="E150" s="538" cm="1">
        <f t="array" ref="E150">_xlfn.IFERROR(SUM('Direct Costs 2026'!$C$4:$C$5)*D150,"N/A")</f>
        <v>1751000</v>
      </c>
      <c r="F150" s="538" cm="1">
        <f t="array" ref="F150">_xlfn.IFERROR('Direct Costs 2026'!$C$43*B150,"N/A")</f>
        <v>48000</v>
      </c>
      <c r="G150" s="538" cm="1">
        <f t="array" ref="G150">IF(B150&gt;0,'Direct Costs 2026'!$C$25,"N/A")</f>
        <v>90000</v>
      </c>
      <c r="H150" s="538" cm="1">
        <f t="array" ref="H150">IF(B150&gt;0,'Direct Costs 2026'!$C$19+'Direct Costs 2026'!$C$18*B150,"N/A")</f>
        <v>355000</v>
      </c>
      <c r="I150" s="538" cm="1">
        <f t="array" ref="I150">IF(B150&gt;0,SUM('Direct Costs 2026'!$C$20:$C$21),"N/A")</f>
        <v>98333.3333333333</v>
      </c>
      <c r="J150" s="538">
        <v>0</v>
      </c>
      <c r="K150" s="538" cm="1">
        <f t="array" ref="K150">_xlfn.IFERROR((IF(B150&gt;0,'Direct Costs 2026'!$C$15+'Direct Costs 2026'!$C$14,"N/A")+IF(B150&gt;0,'Direct Costs 2026'!$C$17,"N/A")),"N/A")</f>
        <v>580000</v>
      </c>
      <c r="L150" s="538" cm="1">
        <f t="array" ref="L150">IF(B150&gt;0,'Direct Costs 2026'!$C$26,"N/A")</f>
        <v>20000</v>
      </c>
      <c r="M150" s="538" cm="1">
        <f t="array" ref="M150">IF(B150&gt;0,'Direct Costs 2026'!$C$23,"N/A")</f>
        <v>140000</v>
      </c>
      <c r="N150" s="538" cm="1">
        <f t="array" ref="N150">IF(B150&gt;0,'Direct Costs 2026'!$C$44*B150,"N/A")</f>
        <v>880000</v>
      </c>
      <c r="O150" s="538" cm="1">
        <f t="array" ref="O150">IF(B150&gt;0,_xlfn.IFERROR(VLOOKUP(C140,'Boats Data Sheet 2026'!$C$3:$I$57,7,0)*'Direct Costs 2026'!$C$36,"N/A"),"N/A")</f>
        <v>3325000</v>
      </c>
      <c r="P150" s="538" cm="1">
        <f t="array" ref="P150">IF(B150&gt;0,IF(OR(VLOOKUP(C140,'Boats Data Sheet 2026'!$C$3:$F$57,4,0)="Own",VLOOKUP(C140,'Boats Data Sheet 2026'!$C$3:$F$57,4,0)="Management"),('Direct Costs 2026'!$C$37+'Direct Costs 2026'!$C$39),"N/A"),"N/A")</f>
        <v>1112400</v>
      </c>
      <c r="Q150" s="538" cm="1">
        <f t="array" ref="Q150">_xlfn.IFERROR(IF(B150&gt;5,IF(B150&gt;11,IF(B150&gt;15,4,3),2),IF(B150=0,"N/A",1))*SUM('Direct Costs 2026'!$C$67:$C$68),"N/A")</f>
        <v>979200</v>
      </c>
      <c r="R150" s="538" cm="1">
        <f t="array" ref="R150">_xlfn.IFERROR('Direct Costs 2026'!$C$27*C150,"N/A")</f>
        <v>0</v>
      </c>
      <c r="S150" s="538" cm="1">
        <f t="array" ref="S150">_xlfn.IFERROR(C150+SUM(E150:R150),"N/A")</f>
        <v>9378933.33333333</v>
      </c>
      <c r="T150" s="424"/>
      <c r="U150" s="538" cm="1">
        <f t="array" ref="U150">IF(B150&gt;0,'Allocation OH and Target 2026'!$E$27,"N/A")</f>
        <v>2134447.30345641</v>
      </c>
      <c r="V150" s="538" cm="1">
        <f t="array" ref="V150">IF(B150&gt;0,'Allocation OH and Target 2026'!$E$28,"N/A")</f>
        <v>200042.323056976</v>
      </c>
      <c r="W150" s="538" cm="1">
        <f t="array" ref="W150">IF(B150&gt;0,VLOOKUP(C140,'Allocation OH and Target 2026'!$C$3:$T$23,17,0),"N/A")</f>
        <v>733661.308823529</v>
      </c>
      <c r="X150" s="538" cm="1">
        <f t="array" ref="X150">IF(B150&gt;0,VLOOKUP(C140,'Allocation OH and Target 2026'!$C$3:$T$23,18,0),"N/A")</f>
        <v>65514.0761654629</v>
      </c>
      <c r="Y150" s="538" cm="1">
        <f t="array" ref="Y150">_xlfn.IFERROR(B150*(V150+X150),"N/A")</f>
        <v>2124451.19377951</v>
      </c>
      <c r="Z150" s="424"/>
      <c r="AA150" s="538" cm="1">
        <f t="array" ref="AA150">_xlfn.IFERROR(Y150+S150,"N/A")</f>
        <v>11503384.5271128</v>
      </c>
      <c r="AB150" s="538" cm="1">
        <f t="array" ref="AB150">_xlfn.IFERROR(AA150*0.5%,"N/A")</f>
        <v>57516.922635564</v>
      </c>
      <c r="AC150" s="538" cm="1">
        <f t="array" ref="AC150">_xlfn.IFERROR(AA150*25%,"N/A")</f>
        <v>2875846.1317782</v>
      </c>
      <c r="AD150" s="539" cm="1">
        <f t="array" ref="AD150">IF(B150&gt;0,SUM(AA150:AC150),"N/A")</f>
        <v>14436747.5815266</v>
      </c>
      <c r="AE150" s="538" cm="1">
        <f t="array" ref="AE150">_xlfn.IFERROR(AD150/B150,"N/A")</f>
        <v>1804593.44769083</v>
      </c>
      <c r="AF150" s="424"/>
      <c r="AG150" t="str" s="546" cm="1">
        <f t="array" ref="AG150">IF(B150/VLOOKUP(C140,'Boats Data Sheet 2026'!$C$3:$H$57,6,0)&gt;VLOOKUP(C140,'Allocation OH and Target 2026'!$C$3:$J$23,8,0),IF(SUM(AH142:AH149)=0,AE150,"N/A"),"N/A")</f>
        <v>N/A</v>
      </c>
      <c r="AH150" s="424" cm="1">
        <f t="array" ref="AH150">IF(AG150="N/A",0,1)</f>
        <v>0</v>
      </c>
      <c r="AI150" t="str" s="547" cm="1">
        <f t="array" ref="AI150">IF(B150/VLOOKUP(C140,'Boats Data Sheet 2026'!$C$3:$H$57,6,0)&gt;VLOOKUP(C140,'Allocation OH and Target 2026'!$C$3:$J$23,8,0),IF(SUM(AH142:AH149)=0,S150/B150,"N/A"),"N/A")</f>
        <v>N/A</v>
      </c>
      <c r="AJ150" s="424" cm="1">
        <f t="array" ref="AJ150">IF(AI150="N/A",0,1)</f>
        <v>0</v>
      </c>
      <c r="AK150" t="str" s="527" cm="1">
        <f t="array" ref="AK150">IF(SUM($AG$120:$AG$137)*B150&lt;SUM(AA150:AB150),"NO GO","GO")</f>
        <v>GO</v>
      </c>
      <c r="AL150" s="424"/>
      <c r="AM150" s="538"/>
      <c r="AN150" s="538"/>
      <c r="AO150" s="538"/>
      <c r="AP150" s="542"/>
      <c r="AQ150" s="543" cm="1">
        <f t="array" ref="AQ150">B150</f>
        <v>8</v>
      </c>
      <c r="AR150" s="18"/>
    </row>
    <row r="151" ht="16" customHeight="1">
      <c r="A151" s="12"/>
      <c r="B151" s="544" cm="1">
        <f t="array" ref="B151">IF(B150=0,0,IF(B150&lt;VLOOKUP(C140,'Boats Data Sheet 2026'!$C$3:$H$57,6,0),B150+1,0))</f>
        <v>9</v>
      </c>
      <c r="C151" s="538" cm="1">
        <f t="array" ref="C151">IF(B151&gt;0,IF(VLOOKUP(C140,'Boats Data Sheet 2026'!$C$3:$J$57,8,0)="N/A",0,VLOOKUP(C140,'Boats Data Sheet 2026'!$C$3:$J$57,8,0)),"N/A")</f>
        <v>0</v>
      </c>
      <c r="D151" s="545" cm="1">
        <f t="array" ref="D151">IF(B151&gt;7,2,IF(B151=0,"N/A",1))</f>
        <v>2</v>
      </c>
      <c r="E151" s="538" cm="1">
        <f t="array" ref="E151">_xlfn.IFERROR(SUM('Direct Costs 2026'!$C$4:$C$5)*D151,"N/A")</f>
        <v>1751000</v>
      </c>
      <c r="F151" s="538" cm="1">
        <f t="array" ref="F151">_xlfn.IFERROR('Direct Costs 2026'!$C$43*B151,"N/A")</f>
        <v>54000</v>
      </c>
      <c r="G151" s="538" cm="1">
        <f t="array" ref="G151">IF(B151&gt;0,'Direct Costs 2026'!$C$25,"N/A")</f>
        <v>90000</v>
      </c>
      <c r="H151" s="538" cm="1">
        <f t="array" ref="H151">IF(B151&gt;0,'Direct Costs 2026'!$C$19+'Direct Costs 2026'!$C$18*B151,"N/A")</f>
        <v>390000</v>
      </c>
      <c r="I151" s="538" cm="1">
        <f t="array" ref="I151">IF(B151&gt;0,SUM('Direct Costs 2026'!$C$20:$C$21),"N/A")</f>
        <v>98333.3333333333</v>
      </c>
      <c r="J151" s="538">
        <v>0</v>
      </c>
      <c r="K151" s="538" cm="1">
        <f t="array" ref="K151">_xlfn.IFERROR((IF(B151&gt;0,'Direct Costs 2026'!$C$15+'Direct Costs 2026'!$C$14,"N/A")+IF(B151&gt;0,'Direct Costs 2026'!$C$17,"N/A")),"N/A")</f>
        <v>580000</v>
      </c>
      <c r="L151" s="538" cm="1">
        <f t="array" ref="L151">IF(B151&gt;0,'Direct Costs 2026'!$C$26,"N/A")</f>
        <v>20000</v>
      </c>
      <c r="M151" s="538" cm="1">
        <f t="array" ref="M151">IF(B151&gt;0,'Direct Costs 2026'!$C$23,"N/A")</f>
        <v>140000</v>
      </c>
      <c r="N151" s="538" cm="1">
        <f t="array" ref="N151">IF(B151&gt;0,'Direct Costs 2026'!$C$44*B151,"N/A")</f>
        <v>990000</v>
      </c>
      <c r="O151" s="538" cm="1">
        <f t="array" ref="O151">IF(B151&gt;0,_xlfn.IFERROR(VLOOKUP(C140,'Boats Data Sheet 2026'!$C$3:$I$57,7,0)*'Direct Costs 2026'!$C$36,"N/A"),"N/A")</f>
        <v>3325000</v>
      </c>
      <c r="P151" s="538" cm="1">
        <f t="array" ref="P151">IF(B151&gt;0,IF(OR(VLOOKUP(C140,'Boats Data Sheet 2026'!$C$3:$F$57,4,0)="Own",VLOOKUP(C140,'Boats Data Sheet 2026'!$C$3:$F$57,4,0)="Management"),('Direct Costs 2026'!$C$37+'Direct Costs 2026'!$C$39),"N/A"),"N/A")</f>
        <v>1112400</v>
      </c>
      <c r="Q151" s="538" cm="1">
        <f t="array" ref="Q151">_xlfn.IFERROR(IF(B151&gt;5,IF(B151&gt;11,IF(B151&gt;15,4,3),2),IF(B151=0,"N/A",1))*SUM('Direct Costs 2026'!$C$67:$C$68),"N/A")</f>
        <v>979200</v>
      </c>
      <c r="R151" s="538" cm="1">
        <f t="array" ref="R151">_xlfn.IFERROR('Direct Costs 2026'!$C$27*C151,"N/A")</f>
        <v>0</v>
      </c>
      <c r="S151" s="538" cm="1">
        <f t="array" ref="S151">_xlfn.IFERROR(C151+SUM(E151:R151),"N/A")</f>
        <v>9529933.33333333</v>
      </c>
      <c r="T151" s="424"/>
      <c r="U151" s="538" cm="1">
        <f t="array" ref="U151">IF(B151&gt;0,'Allocation OH and Target 2026'!$E$27,"N/A")</f>
        <v>2134447.30345641</v>
      </c>
      <c r="V151" s="538" cm="1">
        <f t="array" ref="V151">IF(B151&gt;0,'Allocation OH and Target 2026'!$E$28,"N/A")</f>
        <v>200042.323056976</v>
      </c>
      <c r="W151" s="538" cm="1">
        <f t="array" ref="W151">IF(B151&gt;0,VLOOKUP(C140,'Allocation OH and Target 2026'!$C$3:$T$23,17,0),"N/A")</f>
        <v>733661.308823529</v>
      </c>
      <c r="X151" s="538" cm="1">
        <f t="array" ref="X151">IF(B151&gt;0,VLOOKUP(C140,'Allocation OH and Target 2026'!$C$3:$T$23,18,0),"N/A")</f>
        <v>65514.0761654629</v>
      </c>
      <c r="Y151" s="538" cm="1">
        <f t="array" ref="Y151">_xlfn.IFERROR(B151*(V151+X151),"N/A")</f>
        <v>2390007.59300195</v>
      </c>
      <c r="Z151" s="424"/>
      <c r="AA151" s="538" cm="1">
        <f t="array" ref="AA151">_xlfn.IFERROR(Y151+S151,"N/A")</f>
        <v>11919940.9263353</v>
      </c>
      <c r="AB151" s="538" cm="1">
        <f t="array" ref="AB151">_xlfn.IFERROR(AA151*0.5%,"N/A")</f>
        <v>59599.7046316765</v>
      </c>
      <c r="AC151" s="538" cm="1">
        <f t="array" ref="AC151">_xlfn.IFERROR(AA151*25%,"N/A")</f>
        <v>2979985.23158383</v>
      </c>
      <c r="AD151" s="539" cm="1">
        <f t="array" ref="AD151">IF(B151&gt;0,SUM(AA151:AC151),"N/A")</f>
        <v>14959525.8625508</v>
      </c>
      <c r="AE151" s="538" cm="1">
        <f t="array" ref="AE151">_xlfn.IFERROR(AD151/B151,"N/A")</f>
        <v>1662169.54028342</v>
      </c>
      <c r="AF151" s="424"/>
      <c r="AG151" t="str" s="546" cm="1">
        <f t="array" ref="AG151">IF(B151/VLOOKUP(C140,'Boats Data Sheet 2026'!$C$3:$H$57,6,0)&gt;VLOOKUP(C140,'Allocation OH and Target 2026'!$C$3:$J$23,8,0),IF(SUM(AH142:AH150)=0,AE151,"N/A"),"N/A")</f>
        <v>N/A</v>
      </c>
      <c r="AH151" s="424" cm="1">
        <f t="array" ref="AH151">IF(AG151="N/A",0,1)</f>
        <v>0</v>
      </c>
      <c r="AI151" t="str" s="547" cm="1">
        <f t="array" ref="AI151">IF(B151/VLOOKUP(C140,'Boats Data Sheet 2026'!$C$3:$H$57,6,0)&gt;VLOOKUP(C140,'Allocation OH and Target 2026'!$C$3:$J$23,8,0),IF(SUM(AH142:AH150)=0,S151/B151,"N/A"),"N/A")</f>
        <v>N/A</v>
      </c>
      <c r="AJ151" s="424" cm="1">
        <f t="array" ref="AJ151">IF(AI151="N/A",0,1)</f>
        <v>0</v>
      </c>
      <c r="AK151" t="str" s="527" cm="1">
        <f t="array" ref="AK151">IF(SUM($AG$120:$AG$137)*B151&lt;SUM(AA151:AB151),"NO GO","GO")</f>
        <v>GO</v>
      </c>
      <c r="AL151" s="424"/>
      <c r="AM151" s="538"/>
      <c r="AN151" s="538"/>
      <c r="AO151" s="538"/>
      <c r="AP151" s="542"/>
      <c r="AQ151" s="543" cm="1">
        <f t="array" ref="AQ151">B151</f>
        <v>9</v>
      </c>
      <c r="AR151" s="18"/>
    </row>
    <row r="152" ht="16" customHeight="1">
      <c r="A152" s="12"/>
      <c r="B152" s="544" cm="1">
        <f t="array" ref="B152">IF(B151=0,0,IF(B151&lt;VLOOKUP(C140,'Boats Data Sheet 2026'!$C$3:$H$57,6,0),B151+1,0))</f>
        <v>10</v>
      </c>
      <c r="C152" s="538" cm="1">
        <f t="array" ref="C152">IF(B152&gt;0,IF(VLOOKUP(C140,'Boats Data Sheet 2026'!$C$3:$J$57,8,0)="N/A",0,VLOOKUP(C140,'Boats Data Sheet 2026'!$C$3:$J$57,8,0)),"N/A")</f>
        <v>0</v>
      </c>
      <c r="D152" s="545" cm="1">
        <f t="array" ref="D152">IF(B152&gt;7,2,IF(B152=0,"N/A",1))</f>
        <v>2</v>
      </c>
      <c r="E152" s="538" cm="1">
        <f t="array" ref="E152">_xlfn.IFERROR(SUM('Direct Costs 2026'!$C$4:$C$5)*D152,"N/A")</f>
        <v>1751000</v>
      </c>
      <c r="F152" s="538" cm="1">
        <f t="array" ref="F152">_xlfn.IFERROR('Direct Costs 2026'!$C$43*B152,"N/A")</f>
        <v>60000</v>
      </c>
      <c r="G152" s="538" cm="1">
        <f t="array" ref="G152">IF(B152&gt;0,'Direct Costs 2026'!$C$25,"N/A")</f>
        <v>90000</v>
      </c>
      <c r="H152" s="538" cm="1">
        <f t="array" ref="H152">IF(B152&gt;0,'Direct Costs 2026'!$C$19+'Direct Costs 2026'!$C$18*B152,"N/A")</f>
        <v>425000</v>
      </c>
      <c r="I152" s="538" cm="1">
        <f t="array" ref="I152">IF(B152&gt;0,SUM('Direct Costs 2026'!$C$20:$C$21),"N/A")</f>
        <v>98333.3333333333</v>
      </c>
      <c r="J152" s="538">
        <v>0</v>
      </c>
      <c r="K152" s="538" cm="1">
        <f t="array" ref="K152">_xlfn.IFERROR((IF(B152&gt;0,'Direct Costs 2026'!$C$15+'Direct Costs 2026'!$C$14,"N/A")+IF(B152&gt;0,'Direct Costs 2026'!$C$17,"N/A")),"N/A")</f>
        <v>580000</v>
      </c>
      <c r="L152" s="538" cm="1">
        <f t="array" ref="L152">IF(B152&gt;0,'Direct Costs 2026'!$C$26,"N/A")</f>
        <v>20000</v>
      </c>
      <c r="M152" s="538" cm="1">
        <f t="array" ref="M152">IF(B152&gt;0,'Direct Costs 2026'!$C$23,"N/A")</f>
        <v>140000</v>
      </c>
      <c r="N152" s="538" cm="1">
        <f t="array" ref="N152">IF(B152&gt;0,'Direct Costs 2026'!$C$44*B152,"N/A")</f>
        <v>1100000</v>
      </c>
      <c r="O152" s="538" cm="1">
        <f t="array" ref="O152">IF(B152&gt;0,_xlfn.IFERROR(VLOOKUP(C140,'Boats Data Sheet 2026'!$C$3:$I$57,7,0)*'Direct Costs 2026'!$C$36,"N/A"),"N/A")</f>
        <v>3325000</v>
      </c>
      <c r="P152" s="538" cm="1">
        <f t="array" ref="P152">IF(B152&gt;0,IF(OR(VLOOKUP(C140,'Boats Data Sheet 2026'!$C$3:$F$57,4,0)="Own",VLOOKUP(C140,'Boats Data Sheet 2026'!$C$3:$F$57,4,0)="Management"),('Direct Costs 2026'!$C$37+'Direct Costs 2026'!$C$39),"N/A"),"N/A")</f>
        <v>1112400</v>
      </c>
      <c r="Q152" s="538" cm="1">
        <f t="array" ref="Q152">_xlfn.IFERROR(IF(B152&gt;5,IF(B152&gt;11,IF(B152&gt;15,4,3),2),IF(B152=0,"N/A",1))*SUM('Direct Costs 2026'!$C$67:$C$68),"N/A")</f>
        <v>979200</v>
      </c>
      <c r="R152" s="538" cm="1">
        <f t="array" ref="R152">_xlfn.IFERROR('Direct Costs 2026'!$C$27*C152,"N/A")</f>
        <v>0</v>
      </c>
      <c r="S152" s="538" cm="1">
        <f t="array" ref="S152">_xlfn.IFERROR(C152+SUM(E152:R152),"N/A")</f>
        <v>9680933.33333333</v>
      </c>
      <c r="T152" s="424"/>
      <c r="U152" s="538" cm="1">
        <f t="array" ref="U152">IF(B152&gt;0,'Allocation OH and Target 2026'!$E$27,"N/A")</f>
        <v>2134447.30345641</v>
      </c>
      <c r="V152" s="538" cm="1">
        <f t="array" ref="V152">IF(B152&gt;0,'Allocation OH and Target 2026'!$E$28,"N/A")</f>
        <v>200042.323056976</v>
      </c>
      <c r="W152" s="538" cm="1">
        <f t="array" ref="W152">IF(B152&gt;0,VLOOKUP(C140,'Allocation OH and Target 2026'!$C$3:$T$23,17,0),"N/A")</f>
        <v>733661.308823529</v>
      </c>
      <c r="X152" s="538" cm="1">
        <f t="array" ref="X152">IF(B152&gt;0,VLOOKUP(C140,'Allocation OH and Target 2026'!$C$3:$T$23,18,0),"N/A")</f>
        <v>65514.0761654629</v>
      </c>
      <c r="Y152" s="538" cm="1">
        <f t="array" ref="Y152">_xlfn.IFERROR(B152*(V152+X152),"N/A")</f>
        <v>2655563.99222439</v>
      </c>
      <c r="Z152" s="424"/>
      <c r="AA152" s="538" cm="1">
        <f t="array" ref="AA152">_xlfn.IFERROR(Y152+S152,"N/A")</f>
        <v>12336497.3255577</v>
      </c>
      <c r="AB152" s="538" cm="1">
        <f t="array" ref="AB152">_xlfn.IFERROR(AA152*0.5%,"N/A")</f>
        <v>61682.4866277885</v>
      </c>
      <c r="AC152" s="538" cm="1">
        <f t="array" ref="AC152">_xlfn.IFERROR(AA152*25%,"N/A")</f>
        <v>3084124.33138943</v>
      </c>
      <c r="AD152" s="539" cm="1">
        <f t="array" ref="AD152">IF(B152&gt;0,SUM(AA152:AC152),"N/A")</f>
        <v>15482304.1435749</v>
      </c>
      <c r="AE152" s="538" cm="1">
        <f t="array" ref="AE152">_xlfn.IFERROR(AD152/B152,"N/A")</f>
        <v>1548230.41435749</v>
      </c>
      <c r="AF152" s="424"/>
      <c r="AG152" t="str" s="546" cm="1">
        <f t="array" ref="AG152">IF(B152/VLOOKUP(C140,'Boats Data Sheet 2026'!$C$3:$H$57,6,0)&gt;VLOOKUP(C140,'Allocation OH and Target 2026'!$C$3:$J$23,8,0),IF(SUM(AH142:AH151)=0,AE152,"N/A"),"N/A")</f>
        <v>N/A</v>
      </c>
      <c r="AH152" s="424" cm="1">
        <f t="array" ref="AH152">IF(AG152="N/A",0,1)</f>
        <v>0</v>
      </c>
      <c r="AI152" t="str" s="547" cm="1">
        <f t="array" ref="AI152">IF(B152/VLOOKUP(C140,'Boats Data Sheet 2026'!$C$3:$H$57,6,0)&gt;VLOOKUP(C140,'Allocation OH and Target 2026'!$C$3:$J$23,8,0),IF(SUM(AH142:AH151)=0,S152/B152,"N/A"),"N/A")</f>
        <v>N/A</v>
      </c>
      <c r="AJ152" s="424" cm="1">
        <f t="array" ref="AJ152">IF(AI152="N/A",0,1)</f>
        <v>0</v>
      </c>
      <c r="AK152" t="str" s="527" cm="1">
        <f t="array" ref="AK152">IF(SUM($AG$120:$AG$137)*B152&lt;SUM(AA152:AB152),"NO GO","GO")</f>
        <v>GO</v>
      </c>
      <c r="AL152" s="424"/>
      <c r="AM152" s="538"/>
      <c r="AN152" s="538"/>
      <c r="AO152" s="538"/>
      <c r="AP152" s="542"/>
      <c r="AQ152" s="543" cm="1">
        <f t="array" ref="AQ152">B152</f>
        <v>10</v>
      </c>
      <c r="AR152" s="18"/>
    </row>
    <row r="153" ht="16" customHeight="1">
      <c r="A153" s="12"/>
      <c r="B153" s="544" cm="1">
        <f t="array" ref="B153">IF(B152=0,0,IF(B152&lt;VLOOKUP(C140,'Boats Data Sheet 2026'!$C$3:$H$57,6,0),B152+1,0))</f>
        <v>11</v>
      </c>
      <c r="C153" s="538" cm="1">
        <f t="array" ref="C153">IF(B153&gt;0,IF(VLOOKUP(C140,'Boats Data Sheet 2026'!$C$3:$J$57,8,0)="N/A",0,VLOOKUP(C140,'Boats Data Sheet 2026'!$C$3:$J$57,8,0)),"N/A")</f>
        <v>0</v>
      </c>
      <c r="D153" s="545" cm="1">
        <f t="array" ref="D153">IF(B153&gt;7,2,IF(B153=0,"N/A",1))</f>
        <v>2</v>
      </c>
      <c r="E153" s="538" cm="1">
        <f t="array" ref="E153">_xlfn.IFERROR(SUM('Direct Costs 2026'!$C$4:$C$5)*D153,"N/A")</f>
        <v>1751000</v>
      </c>
      <c r="F153" s="538" cm="1">
        <f t="array" ref="F153">_xlfn.IFERROR('Direct Costs 2026'!$C$43*B153,"N/A")</f>
        <v>66000</v>
      </c>
      <c r="G153" s="538" cm="1">
        <f t="array" ref="G153">IF(B153&gt;0,'Direct Costs 2026'!$C$25,"N/A")</f>
        <v>90000</v>
      </c>
      <c r="H153" s="538" cm="1">
        <f t="array" ref="H153">IF(B153&gt;0,'Direct Costs 2026'!$C$19+'Direct Costs 2026'!$C$18*B153,"N/A")</f>
        <v>460000</v>
      </c>
      <c r="I153" s="538" cm="1">
        <f t="array" ref="I153">IF(B153&gt;0,SUM('Direct Costs 2026'!$C$20:$C$21),"N/A")</f>
        <v>98333.3333333333</v>
      </c>
      <c r="J153" s="538">
        <v>0</v>
      </c>
      <c r="K153" s="538" cm="1">
        <f t="array" ref="K153">_xlfn.IFERROR((IF(B153&gt;0,'Direct Costs 2026'!$C$15+'Direct Costs 2026'!$C$14,"N/A")+IF(B153&gt;0,'Direct Costs 2026'!$C$17,"N/A")),"N/A")</f>
        <v>580000</v>
      </c>
      <c r="L153" s="538" cm="1">
        <f t="array" ref="L153">IF(B153&gt;0,'Direct Costs 2026'!$C$26,"N/A")</f>
        <v>20000</v>
      </c>
      <c r="M153" s="538" cm="1">
        <f t="array" ref="M153">IF(B153&gt;0,'Direct Costs 2026'!$C$23,"N/A")</f>
        <v>140000</v>
      </c>
      <c r="N153" s="538" cm="1">
        <f t="array" ref="N153">IF(B153&gt;0,'Direct Costs 2026'!$C$44*B153,"N/A")</f>
        <v>1210000</v>
      </c>
      <c r="O153" s="538" cm="1">
        <f t="array" ref="O153">IF(B153&gt;0,_xlfn.IFERROR(VLOOKUP(C140,'Boats Data Sheet 2026'!$C$3:$I$57,7,0)*'Direct Costs 2026'!$C$36,"N/A"),"N/A")</f>
        <v>3325000</v>
      </c>
      <c r="P153" s="538" cm="1">
        <f t="array" ref="P153">IF(B153&gt;0,IF(OR(VLOOKUP(C140,'Boats Data Sheet 2026'!$C$3:$F$57,4,0)="Own",VLOOKUP(C140,'Boats Data Sheet 2026'!$C$3:$F$57,4,0)="Management"),('Direct Costs 2026'!$C$37+'Direct Costs 2026'!$C$39),"N/A"),"N/A")</f>
        <v>1112400</v>
      </c>
      <c r="Q153" s="538" cm="1">
        <f t="array" ref="Q153">_xlfn.IFERROR(IF(B153&gt;5,IF(B153&gt;11,IF(B153&gt;15,4,3),2),IF(B153=0,"N/A",1))*SUM('Direct Costs 2026'!$C$67:$C$68),"N/A")</f>
        <v>979200</v>
      </c>
      <c r="R153" s="538" cm="1">
        <f t="array" ref="R153">_xlfn.IFERROR('Direct Costs 2026'!$C$27*C153,"N/A")</f>
        <v>0</v>
      </c>
      <c r="S153" s="538" cm="1">
        <f t="array" ref="S153">_xlfn.IFERROR(C153+SUM(E153:R153),"N/A")</f>
        <v>9831933.33333333</v>
      </c>
      <c r="T153" s="424"/>
      <c r="U153" s="538" cm="1">
        <f t="array" ref="U153">IF(B153&gt;0,'Allocation OH and Target 2026'!$E$27,"N/A")</f>
        <v>2134447.30345641</v>
      </c>
      <c r="V153" s="538" cm="1">
        <f t="array" ref="V153">IF(B153&gt;0,'Allocation OH and Target 2026'!$E$28,"N/A")</f>
        <v>200042.323056976</v>
      </c>
      <c r="W153" s="538" cm="1">
        <f t="array" ref="W153">IF(B153&gt;0,VLOOKUP(C140,'Allocation OH and Target 2026'!$C$3:$T$23,17,0),"N/A")</f>
        <v>733661.308823529</v>
      </c>
      <c r="X153" s="538" cm="1">
        <f t="array" ref="X153">IF(B153&gt;0,VLOOKUP(C140,'Allocation OH and Target 2026'!$C$3:$T$23,18,0),"N/A")</f>
        <v>65514.0761654629</v>
      </c>
      <c r="Y153" s="538" cm="1">
        <f t="array" ref="Y153">_xlfn.IFERROR(B153*(V153+X153),"N/A")</f>
        <v>2921120.39144683</v>
      </c>
      <c r="Z153" s="424"/>
      <c r="AA153" s="538" cm="1">
        <f t="array" ref="AA153">_xlfn.IFERROR(Y153+S153,"N/A")</f>
        <v>12753053.7247802</v>
      </c>
      <c r="AB153" s="538" cm="1">
        <f t="array" ref="AB153">_xlfn.IFERROR(AA153*0.5%,"N/A")</f>
        <v>63765.268623901</v>
      </c>
      <c r="AC153" s="538" cm="1">
        <f t="array" ref="AC153">_xlfn.IFERROR(AA153*25%,"N/A")</f>
        <v>3188263.43119505</v>
      </c>
      <c r="AD153" s="539" cm="1">
        <f t="array" ref="AD153">IF(B153&gt;0,SUM(AA153:AC153),"N/A")</f>
        <v>16005082.4245992</v>
      </c>
      <c r="AE153" s="538" cm="1">
        <f t="array" ref="AE153">_xlfn.IFERROR(AD153/B153,"N/A")</f>
        <v>1455007.49314538</v>
      </c>
      <c r="AF153" s="424"/>
      <c r="AG153" t="str" s="546" cm="1">
        <f t="array" ref="AG153">IF(B153/VLOOKUP(C140,'Boats Data Sheet 2026'!$C$3:$H$57,6,0)&gt;VLOOKUP(C140,'Allocation OH and Target 2026'!$C$3:$J$23,8,0),IF(SUM(AH142:AH152)=0,AE153,"N/A"),"N/A")</f>
        <v>N/A</v>
      </c>
      <c r="AH153" s="424" cm="1">
        <f t="array" ref="AH153">IF(AG153="N/A",0,1)</f>
        <v>0</v>
      </c>
      <c r="AI153" t="str" s="547" cm="1">
        <f t="array" ref="AI153">IF(B153/VLOOKUP(C140,'Boats Data Sheet 2026'!$C$3:$H$57,6,0)&gt;VLOOKUP(C140,'Allocation OH and Target 2026'!$C$3:$J$23,8,0),IF(SUM(AH142:AH152)=0,S153/B153,"N/A"),"N/A")</f>
        <v>N/A</v>
      </c>
      <c r="AJ153" s="424" cm="1">
        <f t="array" ref="AJ153">IF(AI153="N/A",0,1)</f>
        <v>0</v>
      </c>
      <c r="AK153" t="str" s="527" cm="1">
        <f t="array" ref="AK153">IF(SUM($AG$120:$AG$137)*B153&lt;SUM(AA153:AB153),"NO GO","GO")</f>
        <v>GO</v>
      </c>
      <c r="AL153" s="424"/>
      <c r="AM153" s="538"/>
      <c r="AN153" s="538"/>
      <c r="AO153" s="538"/>
      <c r="AP153" s="542"/>
      <c r="AQ153" s="543" cm="1">
        <f t="array" ref="AQ153">B153</f>
        <v>11</v>
      </c>
      <c r="AR153" s="18"/>
    </row>
    <row r="154" ht="16" customHeight="1">
      <c r="A154" s="12"/>
      <c r="B154" s="544" cm="1">
        <f t="array" ref="B154">IF(B153=0,0,IF(B153&lt;VLOOKUP(C140,'Boats Data Sheet 2026'!$C$3:$H$57,6,0),B153+1,0))</f>
        <v>12</v>
      </c>
      <c r="C154" s="538" cm="1">
        <f t="array" ref="C154">IF(B154&gt;0,IF(VLOOKUP(C140,'Boats Data Sheet 2026'!$C$3:$J$57,8,0)="N/A",0,VLOOKUP(C140,'Boats Data Sheet 2026'!$C$3:$J$57,8,0)),"N/A")</f>
        <v>0</v>
      </c>
      <c r="D154" s="545" cm="1">
        <f t="array" ref="D154">IF(B154&gt;7,2,IF(B154=0,"N/A",1))</f>
        <v>2</v>
      </c>
      <c r="E154" s="538" cm="1">
        <f t="array" ref="E154">_xlfn.IFERROR(SUM('Direct Costs 2026'!$C$4:$C$5)*D154,"N/A")</f>
        <v>1751000</v>
      </c>
      <c r="F154" s="538" cm="1">
        <f t="array" ref="F154">_xlfn.IFERROR('Direct Costs 2026'!$C$43*B154,"N/A")</f>
        <v>72000</v>
      </c>
      <c r="G154" s="538" cm="1">
        <f t="array" ref="G154">IF(B154&gt;0,'Direct Costs 2026'!$C$25,"N/A")</f>
        <v>90000</v>
      </c>
      <c r="H154" s="538" cm="1">
        <f t="array" ref="H154">IF(B154&gt;0,'Direct Costs 2026'!$C$19+'Direct Costs 2026'!$C$18*B154,"N/A")</f>
        <v>495000</v>
      </c>
      <c r="I154" s="538" cm="1">
        <f t="array" ref="I154">IF(B154&gt;0,SUM('Direct Costs 2026'!$C$20:$C$21),"N/A")</f>
        <v>98333.3333333333</v>
      </c>
      <c r="J154" s="538">
        <v>0</v>
      </c>
      <c r="K154" s="538" cm="1">
        <f t="array" ref="K154">_xlfn.IFERROR((IF(B154&gt;0,'Direct Costs 2026'!$C$15+'Direct Costs 2026'!$C$14,"N/A")+IF(B154&gt;0,'Direct Costs 2026'!$C$17,"N/A")),"N/A")</f>
        <v>580000</v>
      </c>
      <c r="L154" s="538" cm="1">
        <f t="array" ref="L154">IF(B154&gt;0,'Direct Costs 2026'!$C$26,"N/A")</f>
        <v>20000</v>
      </c>
      <c r="M154" s="538" cm="1">
        <f t="array" ref="M154">IF(B154&gt;0,'Direct Costs 2026'!$C$23,"N/A")</f>
        <v>140000</v>
      </c>
      <c r="N154" s="538" cm="1">
        <f t="array" ref="N154">IF(B154&gt;0,'Direct Costs 2026'!$C$44*B154,"N/A")</f>
        <v>1320000</v>
      </c>
      <c r="O154" s="538" cm="1">
        <f t="array" ref="O154">IF(B154&gt;0,_xlfn.IFERROR(VLOOKUP(C140,'Boats Data Sheet 2026'!$C$3:$I$57,7,0)*'Direct Costs 2026'!$C$36,"N/A"),"N/A")</f>
        <v>3325000</v>
      </c>
      <c r="P154" s="538" cm="1">
        <f t="array" ref="P154">IF(B154&gt;0,IF(OR(VLOOKUP(C140,'Boats Data Sheet 2026'!$C$3:$F$57,4,0)="Own",VLOOKUP(C140,'Boats Data Sheet 2026'!$C$3:$F$57,4,0)="Management"),('Direct Costs 2026'!$C$37+'Direct Costs 2026'!$C$39),"N/A"),"N/A")</f>
        <v>1112400</v>
      </c>
      <c r="Q154" s="538" cm="1">
        <f t="array" ref="Q154">_xlfn.IFERROR(IF(B154&gt;5,IF(B154&gt;11,IF(B154&gt;15,4,3),2),IF(B154=0,"N/A",1))*SUM('Direct Costs 2026'!$C$67:$C$68),"N/A")</f>
        <v>1468800</v>
      </c>
      <c r="R154" s="538" cm="1">
        <f t="array" ref="R154">_xlfn.IFERROR('Direct Costs 2026'!$C$27*C154,"N/A")</f>
        <v>0</v>
      </c>
      <c r="S154" s="538" cm="1">
        <f t="array" ref="S154">_xlfn.IFERROR(C154+SUM(E154:R154),"N/A")</f>
        <v>10472533.3333333</v>
      </c>
      <c r="T154" s="424"/>
      <c r="U154" s="538" cm="1">
        <f t="array" ref="U154">IF(B154&gt;0,'Allocation OH and Target 2026'!$E$27,"N/A")</f>
        <v>2134447.30345641</v>
      </c>
      <c r="V154" s="538" cm="1">
        <f t="array" ref="V154">IF(B154&gt;0,'Allocation OH and Target 2026'!$E$28,"N/A")</f>
        <v>200042.323056976</v>
      </c>
      <c r="W154" s="538" cm="1">
        <f t="array" ref="W154">IF(B154&gt;0,VLOOKUP(C140,'Allocation OH and Target 2026'!$C$3:$T$23,17,0),"N/A")</f>
        <v>733661.308823529</v>
      </c>
      <c r="X154" s="538" cm="1">
        <f t="array" ref="X154">IF(B154&gt;0,VLOOKUP(C140,'Allocation OH and Target 2026'!$C$3:$T$23,18,0),"N/A")</f>
        <v>65514.0761654629</v>
      </c>
      <c r="Y154" s="538" cm="1">
        <f t="array" ref="Y154">_xlfn.IFERROR(B154*(V154+X154),"N/A")</f>
        <v>3186676.79066927</v>
      </c>
      <c r="Z154" s="424"/>
      <c r="AA154" s="538" cm="1">
        <f t="array" ref="AA154">_xlfn.IFERROR(Y154+S154,"N/A")</f>
        <v>13659210.1240026</v>
      </c>
      <c r="AB154" s="538" cm="1">
        <f t="array" ref="AB154">_xlfn.IFERROR(AA154*0.5%,"N/A")</f>
        <v>68296.050620013</v>
      </c>
      <c r="AC154" s="538" cm="1">
        <f t="array" ref="AC154">_xlfn.IFERROR(AA154*25%,"N/A")</f>
        <v>3414802.53100065</v>
      </c>
      <c r="AD154" s="539" cm="1">
        <f t="array" ref="AD154">IF(B154&gt;0,SUM(AA154:AC154),"N/A")</f>
        <v>17142308.7056233</v>
      </c>
      <c r="AE154" s="538" cm="1">
        <f t="array" ref="AE154">_xlfn.IFERROR(AD154/B154,"N/A")</f>
        <v>1428525.72546861</v>
      </c>
      <c r="AF154" s="424"/>
      <c r="AG154" s="539" cm="1">
        <f t="array" ref="AG154">IF(B154/VLOOKUP(C140,'Boats Data Sheet 2026'!$C$3:$H$57,6,0)&gt;VLOOKUP(C140,'Allocation OH and Target 2026'!$C$3:$J$23,8,0),IF(SUM(AH142:AH153)=0,AE154,"N/A"),"N/A")</f>
        <v>1428525.72546861</v>
      </c>
      <c r="AH154" s="424" cm="1">
        <f t="array" ref="AH154">IF(AG154="N/A",0,1)</f>
        <v>1</v>
      </c>
      <c r="AI154" s="538" cm="1">
        <f t="array" ref="AI154">IF(B154/VLOOKUP(C140,'Boats Data Sheet 2026'!$C$3:$H$57,6,0)&gt;VLOOKUP(C140,'Allocation OH and Target 2026'!$C$3:$J$23,8,0),IF(SUM(AH142:AH153)=0,S154/B154,"N/A"),"N/A")</f>
        <v>872711.111111108</v>
      </c>
      <c r="AJ154" s="424" cm="1">
        <f t="array" ref="AJ154">IF(AI154="N/A",0,1)</f>
        <v>1</v>
      </c>
      <c r="AK154" t="str" s="527" cm="1">
        <f t="array" ref="AK154">IF(SUM($AG$120:$AG$137)*B154&lt;SUM(AA154:AB154),"NO GO","GO")</f>
        <v>GO</v>
      </c>
      <c r="AL154" s="424"/>
      <c r="AM154" s="538"/>
      <c r="AN154" s="538"/>
      <c r="AO154" s="538"/>
      <c r="AP154" s="542"/>
      <c r="AQ154" s="543" cm="1">
        <f t="array" ref="AQ154">B154</f>
        <v>12</v>
      </c>
      <c r="AR154" s="18"/>
    </row>
    <row r="155" ht="16" customHeight="1">
      <c r="A155" s="12"/>
      <c r="B155" s="544" cm="1">
        <f t="array" ref="B155">IF(B154=0,0,IF(B154&lt;VLOOKUP(C140,'Boats Data Sheet 2026'!$C$3:$H$57,6,0),B154+1,0))</f>
        <v>13</v>
      </c>
      <c r="C155" s="538" cm="1">
        <f t="array" ref="C155">IF(B155&gt;0,IF(VLOOKUP(C140,'Boats Data Sheet 2026'!$C$3:$J$57,8,0)="N/A",0,VLOOKUP(C140,'Boats Data Sheet 2026'!$C$3:$J$57,8,0)),"N/A")</f>
        <v>0</v>
      </c>
      <c r="D155" s="545" cm="1">
        <f t="array" ref="D155">IF(B155&gt;7,2,IF(B155=0,"N/A",1))</f>
        <v>2</v>
      </c>
      <c r="E155" s="538" cm="1">
        <f t="array" ref="E155">_xlfn.IFERROR(SUM('Direct Costs 2026'!$C$4:$C$5)*D155,"N/A")</f>
        <v>1751000</v>
      </c>
      <c r="F155" s="538" cm="1">
        <f t="array" ref="F155">_xlfn.IFERROR('Direct Costs 2026'!$C$43*B155,"N/A")</f>
        <v>78000</v>
      </c>
      <c r="G155" s="538" cm="1">
        <f t="array" ref="G155">IF(B155&gt;0,'Direct Costs 2026'!$C$25,"N/A")</f>
        <v>90000</v>
      </c>
      <c r="H155" s="538" cm="1">
        <f t="array" ref="H155">IF(B155&gt;0,'Direct Costs 2026'!$C$19+'Direct Costs 2026'!$C$18*B155,"N/A")</f>
        <v>530000</v>
      </c>
      <c r="I155" s="538" cm="1">
        <f t="array" ref="I155">IF(B155&gt;0,SUM('Direct Costs 2026'!$C$20:$C$21),"N/A")</f>
        <v>98333.3333333333</v>
      </c>
      <c r="J155" s="538">
        <v>0</v>
      </c>
      <c r="K155" s="538" cm="1">
        <f t="array" ref="K155">_xlfn.IFERROR((IF(B155&gt;0,'Direct Costs 2026'!$C$15+'Direct Costs 2026'!$C$14,"N/A")+IF(B155&gt;0,'Direct Costs 2026'!$C$17,"N/A")),"N/A")</f>
        <v>580000</v>
      </c>
      <c r="L155" s="538" cm="1">
        <f t="array" ref="L155">IF(B155&gt;0,'Direct Costs 2026'!$C$26,"N/A")</f>
        <v>20000</v>
      </c>
      <c r="M155" s="538" cm="1">
        <f t="array" ref="M155">IF(B155&gt;0,'Direct Costs 2026'!$C$23,"N/A")</f>
        <v>140000</v>
      </c>
      <c r="N155" s="538" cm="1">
        <f t="array" ref="N155">IF(B155&gt;0,'Direct Costs 2026'!$C$44*B155,"N/A")</f>
        <v>1430000</v>
      </c>
      <c r="O155" s="538" cm="1">
        <f t="array" ref="O155">IF(B155&gt;0,_xlfn.IFERROR(VLOOKUP(C140,'Boats Data Sheet 2026'!$C$3:$I$57,7,0)*'Direct Costs 2026'!$C$36,"N/A"),"N/A")</f>
        <v>3325000</v>
      </c>
      <c r="P155" s="538" cm="1">
        <f t="array" ref="P155">IF(B155&gt;0,IF(OR(VLOOKUP(C140,'Boats Data Sheet 2026'!$C$3:$F$57,4,0)="Own",VLOOKUP(C140,'Boats Data Sheet 2026'!$C$3:$F$57,4,0)="Management"),('Direct Costs 2026'!$C$37+'Direct Costs 2026'!$C$39),"N/A"),"N/A")</f>
        <v>1112400</v>
      </c>
      <c r="Q155" s="538" cm="1">
        <f t="array" ref="Q155">_xlfn.IFERROR(IF(B155&gt;5,IF(B155&gt;11,IF(B155&gt;15,4,3),2),IF(B155=0,"N/A",1))*SUM('Direct Costs 2026'!$C$67:$C$68),"N/A")</f>
        <v>1468800</v>
      </c>
      <c r="R155" s="538" cm="1">
        <f t="array" ref="R155">_xlfn.IFERROR('Direct Costs 2026'!$C$27*C155,"N/A")</f>
        <v>0</v>
      </c>
      <c r="S155" s="538" cm="1">
        <f t="array" ref="S155">_xlfn.IFERROR(C155+SUM(E155:R155),"N/A")</f>
        <v>10623533.3333333</v>
      </c>
      <c r="T155" s="424"/>
      <c r="U155" s="538" cm="1">
        <f t="array" ref="U155">IF(B155&gt;0,'Allocation OH and Target 2026'!$E$27,"N/A")</f>
        <v>2134447.30345641</v>
      </c>
      <c r="V155" s="538" cm="1">
        <f t="array" ref="V155">IF(B155&gt;0,'Allocation OH and Target 2026'!$E$28,"N/A")</f>
        <v>200042.323056976</v>
      </c>
      <c r="W155" s="538" cm="1">
        <f t="array" ref="W155">IF(B155&gt;0,VLOOKUP(C140,'Allocation OH and Target 2026'!$C$3:$T$23,17,0),"N/A")</f>
        <v>733661.308823529</v>
      </c>
      <c r="X155" s="538" cm="1">
        <f t="array" ref="X155">IF(B155&gt;0,VLOOKUP(C140,'Allocation OH and Target 2026'!$C$3:$T$23,18,0),"N/A")</f>
        <v>65514.0761654629</v>
      </c>
      <c r="Y155" s="538" cm="1">
        <f t="array" ref="Y155">_xlfn.IFERROR(B155*(V155+X155),"N/A")</f>
        <v>3452233.18989171</v>
      </c>
      <c r="Z155" s="424"/>
      <c r="AA155" s="538" cm="1">
        <f t="array" ref="AA155">_xlfn.IFERROR(Y155+S155,"N/A")</f>
        <v>14075766.523225</v>
      </c>
      <c r="AB155" s="538" cm="1">
        <f t="array" ref="AB155">_xlfn.IFERROR(AA155*0.5%,"N/A")</f>
        <v>70378.832616125</v>
      </c>
      <c r="AC155" s="538" cm="1">
        <f t="array" ref="AC155">_xlfn.IFERROR(AA155*25%,"N/A")</f>
        <v>3518941.63080625</v>
      </c>
      <c r="AD155" s="539" cm="1">
        <f t="array" ref="AD155">IF(B155&gt;0,SUM(AA155:AC155),"N/A")</f>
        <v>17665086.9866474</v>
      </c>
      <c r="AE155" s="538" cm="1">
        <f t="array" ref="AE155">_xlfn.IFERROR(AD155/B155,"N/A")</f>
        <v>1358852.84512672</v>
      </c>
      <c r="AF155" s="424"/>
      <c r="AG155" t="str" s="546" cm="1">
        <f t="array" ref="AG155">IF(B155/VLOOKUP(C140,'Boats Data Sheet 2026'!$C$3:$H$57,6,0)&gt;VLOOKUP(C140,'Allocation OH and Target 2026'!$C$3:$J$23,8,0),IF(SUM(AH142:AH154)=0,AE155,"N/A"),"N/A")</f>
        <v>N/A</v>
      </c>
      <c r="AH155" s="424" cm="1">
        <f t="array" ref="AH155">IF(AG155="N/A",0,1)</f>
        <v>0</v>
      </c>
      <c r="AI155" t="str" s="547" cm="1">
        <f t="array" ref="AI155">IF(B155/VLOOKUP(C140,'Boats Data Sheet 2026'!$C$3:$H$57,6,0)&gt;VLOOKUP(C140,'Allocation OH and Target 2026'!$C$3:$J$23,8,0),IF(SUM(AH142:AH154)=0,S155/B155,"N/A"),"N/A")</f>
        <v>N/A</v>
      </c>
      <c r="AJ155" s="424" cm="1">
        <f t="array" ref="AJ155">IF(AI155="N/A",0,1)</f>
        <v>0</v>
      </c>
      <c r="AK155" t="str" s="527" cm="1">
        <f t="array" ref="AK155">IF(SUM($AG$120:$AG$137)*B155&lt;SUM(AA155:AB155),"NO GO","GO")</f>
        <v>GO</v>
      </c>
      <c r="AL155" s="424"/>
      <c r="AM155" s="538"/>
      <c r="AN155" s="538"/>
      <c r="AO155" s="538"/>
      <c r="AP155" s="542"/>
      <c r="AQ155" s="543" cm="1">
        <f t="array" ref="AQ155">B155</f>
        <v>13</v>
      </c>
      <c r="AR155" s="18"/>
    </row>
    <row r="156" ht="16" customHeight="1">
      <c r="A156" s="12"/>
      <c r="B156" s="544" cm="1">
        <f t="array" ref="B156">IF(B155=0,0,IF(B155&lt;VLOOKUP(C140,'Boats Data Sheet 2026'!$C$3:$H$57,6,0),B155+1,0))</f>
        <v>14</v>
      </c>
      <c r="C156" s="538" cm="1">
        <f t="array" ref="C156">IF(B156&gt;0,IF(VLOOKUP(C140,'Boats Data Sheet 2026'!$C$3:$J$57,8,0)="N/A",0,VLOOKUP(C140,'Boats Data Sheet 2026'!$C$3:$J$57,8,0)),"N/A")</f>
        <v>0</v>
      </c>
      <c r="D156" s="549" cm="1">
        <f t="array" ref="D156">IF(B156&gt;7,2,IF(B156=0,"N/A",1))</f>
        <v>2</v>
      </c>
      <c r="E156" s="538" cm="1">
        <f t="array" ref="E156">_xlfn.IFERROR(SUM('Direct Costs 2026'!$C$4:$C$5)*D156,"N/A")</f>
        <v>1751000</v>
      </c>
      <c r="F156" s="538" cm="1">
        <f t="array" ref="F156">_xlfn.IFERROR('Direct Costs 2026'!$C$43*B156,"N/A")</f>
        <v>84000</v>
      </c>
      <c r="G156" s="538" cm="1">
        <f t="array" ref="G156">IF(B156&gt;0,'Direct Costs 2026'!$C$25,"N/A")</f>
        <v>90000</v>
      </c>
      <c r="H156" s="538" cm="1">
        <f t="array" ref="H156">IF(B156&gt;0,'Direct Costs 2026'!$C$19+'Direct Costs 2026'!$C$18*B156,"N/A")</f>
        <v>565000</v>
      </c>
      <c r="I156" s="538" cm="1">
        <f t="array" ref="I156">IF(B156&gt;0,SUM('Direct Costs 2026'!$C$20:$C$21),"N/A")</f>
        <v>98333.3333333333</v>
      </c>
      <c r="J156" s="538">
        <v>0</v>
      </c>
      <c r="K156" s="538" cm="1">
        <f t="array" ref="K156">_xlfn.IFERROR((IF(B156&gt;0,'Direct Costs 2026'!$C$15+'Direct Costs 2026'!$C$14,"N/A")+IF(B156&gt;0,'Direct Costs 2026'!$C$17,"N/A")),"N/A")</f>
        <v>580000</v>
      </c>
      <c r="L156" s="538" cm="1">
        <f t="array" ref="L156">IF(B156&gt;0,'Direct Costs 2026'!$C$26,"N/A")</f>
        <v>20000</v>
      </c>
      <c r="M156" s="538" cm="1">
        <f t="array" ref="M156">IF(B156&gt;0,'Direct Costs 2026'!$C$23,"N/A")</f>
        <v>140000</v>
      </c>
      <c r="N156" s="538" cm="1">
        <f t="array" ref="N156">IF(B156&gt;0,'Direct Costs 2026'!$C$44*B156,"N/A")</f>
        <v>1540000</v>
      </c>
      <c r="O156" s="538" cm="1">
        <f t="array" ref="O156">IF(B156&gt;0,_xlfn.IFERROR(VLOOKUP(C140,'Boats Data Sheet 2026'!$C$3:$I$57,7,0)*'Direct Costs 2026'!$C$36,"N/A"),"N/A")</f>
        <v>3325000</v>
      </c>
      <c r="P156" s="538" cm="1">
        <f t="array" ref="P156">IF(B156&gt;0,IF(OR(VLOOKUP(C140,'Boats Data Sheet 2026'!$C$3:$F$57,4,0)="Own",VLOOKUP(C140,'Boats Data Sheet 2026'!$C$3:$F$57,4,0)="Management"),('Direct Costs 2026'!$C$37+'Direct Costs 2026'!$C$39),"N/A"),"N/A")</f>
        <v>1112400</v>
      </c>
      <c r="Q156" s="538" cm="1">
        <f t="array" ref="Q156">_xlfn.IFERROR(IF(B156&gt;5,IF(B156&gt;11,IF(B156&gt;15,4,3),2),IF(B156=0,"N/A",1))*SUM('Direct Costs 2026'!$C$67:$C$68),"N/A")</f>
        <v>1468800</v>
      </c>
      <c r="R156" s="538" cm="1">
        <f t="array" ref="R156">_xlfn.IFERROR('Direct Costs 2026'!$C$27*C156,"N/A")</f>
        <v>0</v>
      </c>
      <c r="S156" s="538" cm="1">
        <f t="array" ref="S156">_xlfn.IFERROR(C156+SUM(E156:R156),"N/A")</f>
        <v>10774533.3333333</v>
      </c>
      <c r="T156" s="424"/>
      <c r="U156" s="538" cm="1">
        <f t="array" ref="U156">IF(B156&gt;0,'Allocation OH and Target 2026'!$E$27,"N/A")</f>
        <v>2134447.30345641</v>
      </c>
      <c r="V156" s="538" cm="1">
        <f t="array" ref="V156">IF(B156&gt;0,'Allocation OH and Target 2026'!$E$28,"N/A")</f>
        <v>200042.323056976</v>
      </c>
      <c r="W156" s="538" cm="1">
        <f t="array" ref="W156">IF(B156&gt;0,VLOOKUP(C140,'Allocation OH and Target 2026'!$C$3:$T$23,17,0),"N/A")</f>
        <v>733661.308823529</v>
      </c>
      <c r="X156" s="538" cm="1">
        <f t="array" ref="X156">IF(B156&gt;0,VLOOKUP(C140,'Allocation OH and Target 2026'!$C$3:$T$23,18,0),"N/A")</f>
        <v>65514.0761654629</v>
      </c>
      <c r="Y156" s="538" cm="1">
        <f t="array" ref="Y156">_xlfn.IFERROR(B156*(V156+X156),"N/A")</f>
        <v>3717789.58911414</v>
      </c>
      <c r="Z156" s="424"/>
      <c r="AA156" s="538" cm="1">
        <f t="array" ref="AA156">_xlfn.IFERROR(Y156+S156,"N/A")</f>
        <v>14492322.9224474</v>
      </c>
      <c r="AB156" s="538" cm="1">
        <f t="array" ref="AB156">_xlfn.IFERROR(AA156*0.5%,"N/A")</f>
        <v>72461.614612237</v>
      </c>
      <c r="AC156" s="538" cm="1">
        <f t="array" ref="AC156">_xlfn.IFERROR(AA156*25%,"N/A")</f>
        <v>3623080.73061185</v>
      </c>
      <c r="AD156" s="539" cm="1">
        <f t="array" ref="AD156">IF(B156&gt;0,SUM(AA156:AC156),"N/A")</f>
        <v>18187865.2676715</v>
      </c>
      <c r="AE156" s="538" cm="1">
        <f t="array" ref="AE156">_xlfn.IFERROR(AD156/B156,"N/A")</f>
        <v>1299133.23340511</v>
      </c>
      <c r="AF156" s="424"/>
      <c r="AG156" t="str" s="546" cm="1">
        <f t="array" ref="AG156">IF(B156/VLOOKUP(C140,'Boats Data Sheet 2026'!$C$3:$H$57,6,0)&gt;VLOOKUP(C140,'Allocation OH and Target 2026'!$C$3:$J$23,8,0),IF(SUM(AH142:AH155)=0,AE156,"N/A"),"N/A")</f>
        <v>N/A</v>
      </c>
      <c r="AH156" s="424" cm="1">
        <f t="array" ref="AH156">IF(AG156="N/A",0,1)</f>
        <v>0</v>
      </c>
      <c r="AI156" t="str" s="547" cm="1">
        <f t="array" ref="AI156">IF(B156/VLOOKUP(C140,'Boats Data Sheet 2026'!$C$3:$H$57,6,0)&gt;VLOOKUP(C140,'Allocation OH and Target 2026'!$C$3:$J$23,8,0),IF(SUM(AH142:AH155)=0,S156/B156,"N/A"),"N/A")</f>
        <v>N/A</v>
      </c>
      <c r="AJ156" s="424" cm="1">
        <f t="array" ref="AJ156">IF(AI156="N/A",0,1)</f>
        <v>0</v>
      </c>
      <c r="AK156" t="str" s="527" cm="1">
        <f t="array" ref="AK156">IF(SUM($AG$120:$AG$137)*B156&lt;SUM(AA156:AB156),"NO GO","GO")</f>
        <v>GO</v>
      </c>
      <c r="AL156" s="424"/>
      <c r="AM156" s="538"/>
      <c r="AN156" s="538"/>
      <c r="AO156" s="538"/>
      <c r="AP156" s="542"/>
      <c r="AQ156" s="543" cm="1">
        <f t="array" ref="AQ156">B156</f>
        <v>14</v>
      </c>
      <c r="AR156" s="18"/>
    </row>
    <row r="157" ht="16" customHeight="1">
      <c r="A157" s="12"/>
      <c r="B157" s="544" cm="1">
        <f t="array" ref="B157">IF(B156=0,0,IF(B156&lt;VLOOKUP(C140,'Boats Data Sheet 2026'!$C$3:$H$57,6,0),B156+1,0))</f>
        <v>0</v>
      </c>
      <c r="C157" t="str" s="547" cm="1">
        <f t="array" ref="C157">IF(B157&gt;0,IF(VLOOKUP(C140,'Boats Data Sheet 2026'!$C$3:$J$57,8,0)="N/A",0,VLOOKUP(C140,'Boats Data Sheet 2026'!$C$3:$J$57,8,0)),"N/A")</f>
        <v>N/A</v>
      </c>
      <c r="D157" t="str" s="547" cm="1">
        <f t="array" ref="D157">IF(B157&gt;7,2,IF(B157=0,"N/A",1))</f>
        <v>N/A</v>
      </c>
      <c r="E157" t="str" s="547" cm="1">
        <f t="array" ref="E157">_xlfn.IFERROR(SUM('Direct Costs 2026'!$C$4:$C$5)*D157,"N/A")</f>
        <v>N/A</v>
      </c>
      <c r="F157" s="538" cm="1">
        <f t="array" ref="F157">_xlfn.IFERROR('Direct Costs 2026'!$C$43*B157,"N/A")</f>
        <v>0</v>
      </c>
      <c r="G157" t="str" s="547" cm="1">
        <f t="array" ref="G157">IF(B157&gt;0,'Direct Costs 2026'!$C$25,"N/A")</f>
        <v>N/A</v>
      </c>
      <c r="H157" t="str" s="547" cm="1">
        <f t="array" ref="H157">IF(B157&gt;0,'Direct Costs 2026'!$C$19+'Direct Costs 2026'!$C$18*B157,"N/A")</f>
        <v>N/A</v>
      </c>
      <c r="I157" t="str" s="547" cm="1">
        <f t="array" ref="I157">IF(B157&gt;0,SUM('Direct Costs 2026'!$C$20:$C$21),"N/A")</f>
        <v>N/A</v>
      </c>
      <c r="J157" s="538">
        <v>0</v>
      </c>
      <c r="K157" t="str" s="547" cm="1">
        <f t="array" ref="K157">_xlfn.IFERROR((IF(B157&gt;0,'Direct Costs 2026'!$C$15+'Direct Costs 2026'!$C$14,"N/A")+IF(B157&gt;0,'Direct Costs 2026'!$C$17,"N/A")),"N/A")</f>
        <v>N/A</v>
      </c>
      <c r="L157" t="str" s="547" cm="1">
        <f t="array" ref="L157">IF(B157&gt;0,'Direct Costs 2026'!$C$26,"N/A")</f>
        <v>N/A</v>
      </c>
      <c r="M157" t="str" s="547" cm="1">
        <f t="array" ref="M157">IF(B157&gt;0,'Direct Costs 2026'!$C$23,"N/A")</f>
        <v>N/A</v>
      </c>
      <c r="N157" t="str" s="547" cm="1">
        <f t="array" ref="N157">IF(B157&gt;0,'Direct Costs 2026'!$C$44*B157,"N/A")</f>
        <v>N/A</v>
      </c>
      <c r="O157" t="str" s="547" cm="1">
        <f t="array" ref="O157">IF(B157&gt;0,_xlfn.IFERROR(VLOOKUP(C140,'Boats Data Sheet 2026'!$C$3:$I$57,7,0)*'Direct Costs 2026'!$C$36,"N/A"),"N/A")</f>
        <v>N/A</v>
      </c>
      <c r="P157" t="str" s="547" cm="1">
        <f t="array" ref="P157">IF(B157&gt;0,IF(OR(VLOOKUP(C140,'Boats Data Sheet 2026'!$C$3:$F$57,4,0)="Own",VLOOKUP(C140,'Boats Data Sheet 2026'!$C$3:$F$57,4,0)="Management"),('Direct Costs 2026'!$C$37+'Direct Costs 2026'!$C$39),"N/A"),"N/A")</f>
        <v>N/A</v>
      </c>
      <c r="Q157" t="str" s="547" cm="1">
        <f t="array" ref="Q157">_xlfn.IFERROR(IF(B157&gt;5,IF(B157&gt;11,IF(B157&gt;15,4,3),2),IF(B157=0,"N/A",1))*SUM('Direct Costs 2026'!$C$67:$C$68),"N/A")</f>
        <v>N/A</v>
      </c>
      <c r="R157" t="str" s="547" cm="1">
        <f t="array" ref="R157">_xlfn.IFERROR('Direct Costs 2026'!$C$27*C157,"N/A")</f>
        <v>N/A</v>
      </c>
      <c r="S157" t="str" s="547" cm="1">
        <f t="array" ref="S157">_xlfn.IFERROR(C157+SUM(E157:R157),"N/A")</f>
        <v>N/A</v>
      </c>
      <c r="T157" s="424"/>
      <c r="U157" t="str" s="547" cm="1">
        <f t="array" ref="U157">IF(B157&gt;0,'Allocation OH and Target 2026'!$E$27,"N/A")</f>
        <v>N/A</v>
      </c>
      <c r="V157" t="str" s="547" cm="1">
        <f t="array" ref="V157">IF(B157&gt;0,'Allocation OH and Target 2026'!$E$28,"N/A")</f>
        <v>N/A</v>
      </c>
      <c r="W157" t="str" s="547" cm="1">
        <f t="array" ref="W157">IF(B157&gt;0,VLOOKUP(C140,'Allocation OH and Target 2026'!$C$3:$T$23,17,0),"N/A")</f>
        <v>N/A</v>
      </c>
      <c r="X157" t="str" s="547" cm="1">
        <f t="array" ref="X157">IF(B157&gt;0,VLOOKUP(C140,'Allocation OH and Target 2026'!$C$3:$T$23,18,0),"N/A")</f>
        <v>N/A</v>
      </c>
      <c r="Y157" t="str" s="547" cm="1">
        <f t="array" ref="Y157">_xlfn.IFERROR(V157*B157+X157,"N/A")</f>
        <v>N/A</v>
      </c>
      <c r="Z157" s="424"/>
      <c r="AA157" t="str" s="547" cm="1">
        <f t="array" ref="AA157">_xlfn.IFERROR(Y157+S157,"N/A")</f>
        <v>N/A</v>
      </c>
      <c r="AB157" t="str" s="547" cm="1">
        <f t="array" ref="AB157">_xlfn.IFERROR(AA157*0.5%,"N/A")</f>
        <v>N/A</v>
      </c>
      <c r="AC157" t="str" s="547" cm="1">
        <f t="array" ref="AC157">_xlfn.IFERROR(AA157*25%,"N/A")</f>
        <v>N/A</v>
      </c>
      <c r="AD157" t="str" s="546" cm="1">
        <f t="array" ref="AD157">IF(B157&gt;0,SUM(AA157:AC157),"N/A")</f>
        <v>N/A</v>
      </c>
      <c r="AE157" t="str" s="547" cm="1">
        <f t="array" ref="AE157">_xlfn.IFERROR(AD157/B157,"N/A")</f>
        <v>N/A</v>
      </c>
      <c r="AF157" s="424"/>
      <c r="AG157" t="str" s="546" cm="1">
        <f t="array" ref="AG157">IF(B157/VLOOKUP(C140,'Boats Data Sheet 2026'!$C$3:$H$57,6,0)&gt;VLOOKUP(C140,'Allocation OH and Target 2026'!$C$3:$J$23,8,0),IF(SUM(AH142:AH156)=0,AE157,"N/A"),"N/A")</f>
        <v>N/A</v>
      </c>
      <c r="AH157" s="424" cm="1">
        <f t="array" ref="AH157">IF(AG157="N/A",0,1)</f>
        <v>0</v>
      </c>
      <c r="AI157" t="str" s="547" cm="1">
        <f t="array" ref="AI157">IF(B157/VLOOKUP(C140,'Boats Data Sheet 2026'!$C$3:$H$57,6,0)&gt;VLOOKUP(C140,'Allocation OH and Target 2026'!$C$3:$J$23,8,0),IF(SUM(AH142:AH156)=0,S157/B157,"N/A"),"N/A")</f>
        <v>N/A</v>
      </c>
      <c r="AJ157" s="424" cm="1">
        <f t="array" ref="AJ157">IF(AI157="N/A",0,1)</f>
        <v>0</v>
      </c>
      <c r="AK157" t="str" s="527" cm="1">
        <f t="array" ref="AK157">IF(SUM($AG$120:$AG$137)*B157&lt;SUM(AA157:AB157),"NO GO","GO")</f>
        <v>GO</v>
      </c>
      <c r="AL157" s="424"/>
      <c r="AM157" s="538"/>
      <c r="AN157" s="538"/>
      <c r="AO157" s="538"/>
      <c r="AP157" s="542"/>
      <c r="AQ157" s="543" cm="1">
        <f t="array" ref="AQ157">B157</f>
        <v>0</v>
      </c>
      <c r="AR157" s="18"/>
    </row>
    <row r="158" ht="16" customHeight="1">
      <c r="A158" s="12"/>
      <c r="B158" s="544" cm="1">
        <f t="array" ref="B158">IF(B157=0,0,IF(B157&lt;VLOOKUP(C140,'Boats Data Sheet 2026'!$C$3:$H$57,6,0),B157+1,0))</f>
        <v>0</v>
      </c>
      <c r="C158" t="str" s="547" cm="1">
        <f t="array" ref="C158">IF(B158&gt;0,IF(VLOOKUP(C140,'Boats Data Sheet 2026'!$C$3:$J$57,8,0)="N/A",0,VLOOKUP(C140,'Boats Data Sheet 2026'!$C$3:$J$57,8,0)),"N/A")</f>
        <v>N/A</v>
      </c>
      <c r="D158" t="str" s="547" cm="1">
        <f t="array" ref="D158">IF(B158&gt;7,2,IF(B158=0,"N/A",1))</f>
        <v>N/A</v>
      </c>
      <c r="E158" t="str" s="547" cm="1">
        <f t="array" ref="E158">_xlfn.IFERROR(SUM('Direct Costs 2026'!$C$4:$C$5)*D158,"N/A")</f>
        <v>N/A</v>
      </c>
      <c r="F158" s="538" cm="1">
        <f t="array" ref="F158">_xlfn.IFERROR('Direct Costs 2026'!$C$43*B158,"N/A")</f>
        <v>0</v>
      </c>
      <c r="G158" t="str" s="547" cm="1">
        <f t="array" ref="G158">IF(B158&gt;0,'Direct Costs 2026'!$C$25,"N/A")</f>
        <v>N/A</v>
      </c>
      <c r="H158" t="str" s="547" cm="1">
        <f t="array" ref="H158">IF(B158&gt;0,'Direct Costs 2026'!$C$19+'Direct Costs 2026'!$C$18*B158,"N/A")</f>
        <v>N/A</v>
      </c>
      <c r="I158" t="str" s="547" cm="1">
        <f t="array" ref="I158">IF(B158&gt;0,SUM('Direct Costs 2026'!$C$20:$C$21),"N/A")</f>
        <v>N/A</v>
      </c>
      <c r="J158" s="538">
        <v>0</v>
      </c>
      <c r="K158" t="str" s="547" cm="1">
        <f t="array" ref="K158">_xlfn.IFERROR((IF(B158&gt;0,'Direct Costs 2026'!$C$15+'Direct Costs 2026'!$C$14,"N/A")+IF(B158&gt;0,'Direct Costs 2026'!$C$17,"N/A")),"N/A")</f>
        <v>N/A</v>
      </c>
      <c r="L158" t="str" s="547" cm="1">
        <f t="array" ref="L158">IF(B158&gt;0,'Direct Costs 2026'!$C$26,"N/A")</f>
        <v>N/A</v>
      </c>
      <c r="M158" t="str" s="547" cm="1">
        <f t="array" ref="M158">IF(B158&gt;0,'Direct Costs 2026'!$C$23,"N/A")</f>
        <v>N/A</v>
      </c>
      <c r="N158" t="str" s="547" cm="1">
        <f t="array" ref="N158">IF(B158&gt;0,'Direct Costs 2026'!$C$44*B158,"N/A")</f>
        <v>N/A</v>
      </c>
      <c r="O158" t="str" s="547" cm="1">
        <f t="array" ref="O158">IF(B158&gt;0,_xlfn.IFERROR(VLOOKUP(C140,'Boats Data Sheet 2026'!$C$3:$I$57,7,0)*'Direct Costs 2026'!$C$36,"N/A"),"N/A")</f>
        <v>N/A</v>
      </c>
      <c r="P158" t="str" s="547" cm="1">
        <f t="array" ref="P158">IF(B158&gt;0,IF(OR(VLOOKUP(C140,'Boats Data Sheet 2026'!$C$3:$F$57,4,0)="Own",VLOOKUP(C140,'Boats Data Sheet 2026'!$C$3:$F$57,4,0)="Management"),('Direct Costs 2026'!$C$37+'Direct Costs 2026'!$C$39),"N/A"),"N/A")</f>
        <v>N/A</v>
      </c>
      <c r="Q158" t="str" s="547" cm="1">
        <f t="array" ref="Q158">_xlfn.IFERROR(IF(B158&gt;5,IF(B158&gt;11,IF(B158&gt;15,4,3),2),IF(B158=0,"N/A",1))*SUM('Direct Costs 2026'!$C$67:$C$68),"N/A")</f>
        <v>N/A</v>
      </c>
      <c r="R158" t="str" s="547" cm="1">
        <f t="array" ref="R158">_xlfn.IFERROR('Direct Costs 2026'!$C$27*C158,"N/A")</f>
        <v>N/A</v>
      </c>
      <c r="S158" t="str" s="547" cm="1">
        <f t="array" ref="S158">_xlfn.IFERROR(C158+SUM(E158:R158),"N/A")</f>
        <v>N/A</v>
      </c>
      <c r="T158" s="424"/>
      <c r="U158" t="str" s="547" cm="1">
        <f t="array" ref="U158">IF(B158&gt;0,'Allocation OH and Target 2026'!$E$27,"N/A")</f>
        <v>N/A</v>
      </c>
      <c r="V158" t="str" s="547" cm="1">
        <f t="array" ref="V158">IF(B158&gt;0,'Allocation OH and Target 2026'!$E$28,"N/A")</f>
        <v>N/A</v>
      </c>
      <c r="W158" t="str" s="547" cm="1">
        <f t="array" ref="W158">IF(B158&gt;0,VLOOKUP(C140,'Allocation OH and Target 2026'!$C$3:$T$23,17,0),"N/A")</f>
        <v>N/A</v>
      </c>
      <c r="X158" t="str" s="547" cm="1">
        <f t="array" ref="X158">IF(B158&gt;0,VLOOKUP(C140,'Allocation OH and Target 2026'!$C$3:$T$23,18,0),"N/A")</f>
        <v>N/A</v>
      </c>
      <c r="Y158" t="str" s="547" cm="1">
        <f t="array" ref="Y158">_xlfn.IFERROR(V158*B158+X158,"N/A")</f>
        <v>N/A</v>
      </c>
      <c r="Z158" s="424"/>
      <c r="AA158" t="str" s="547" cm="1">
        <f t="array" ref="AA158">_xlfn.IFERROR(Y158+S158,"N/A")</f>
        <v>N/A</v>
      </c>
      <c r="AB158" t="str" s="547" cm="1">
        <f t="array" ref="AB158">_xlfn.IFERROR(AA158*0.5%,"N/A")</f>
        <v>N/A</v>
      </c>
      <c r="AC158" t="str" s="547" cm="1">
        <f t="array" ref="AC158">_xlfn.IFERROR(AA158*25%,"N/A")</f>
        <v>N/A</v>
      </c>
      <c r="AD158" t="str" s="546" cm="1">
        <f t="array" ref="AD158">IF(B158&gt;0,SUM(AA158:AC158),"N/A")</f>
        <v>N/A</v>
      </c>
      <c r="AE158" t="str" s="547" cm="1">
        <f t="array" ref="AE158">_xlfn.IFERROR(AD158/B158,"N/A")</f>
        <v>N/A</v>
      </c>
      <c r="AF158" s="424"/>
      <c r="AG158" t="str" s="546" cm="1">
        <f t="array" ref="AG158">IF(B158/VLOOKUP(C140,'Boats Data Sheet 2026'!$C$3:$H$57,6,0)&gt;VLOOKUP(C140,'Allocation OH and Target 2026'!$C$3:$J$23,8,0),IF(SUM(AH142:AH157)=0,AE158,"N/A"),"N/A")</f>
        <v>N/A</v>
      </c>
      <c r="AH158" s="424" cm="1">
        <f t="array" ref="AH158">IF(AG158="N/A",0,1)</f>
        <v>0</v>
      </c>
      <c r="AI158" t="str" s="547" cm="1">
        <f t="array" ref="AI158">IF(B158/VLOOKUP(C140,'Boats Data Sheet 2026'!$C$3:$H$57,6,0)&gt;VLOOKUP(C140,'Allocation OH and Target 2026'!$C$3:$J$23,8,0),IF(SUM(AH142:AH157)=0,S158/B158,"N/A"),"N/A")</f>
        <v>N/A</v>
      </c>
      <c r="AJ158" s="424" cm="1">
        <f t="array" ref="AJ158">IF(AI158="N/A",0,1)</f>
        <v>0</v>
      </c>
      <c r="AK158" t="str" s="527" cm="1">
        <f t="array" ref="AK158">IF(SUM($AG$120:$AG$137)*B158&lt;SUM(AA158:AB158),"NO GO","GO")</f>
        <v>GO</v>
      </c>
      <c r="AL158" s="424"/>
      <c r="AM158" s="538"/>
      <c r="AN158" s="538"/>
      <c r="AO158" s="538"/>
      <c r="AP158" s="542"/>
      <c r="AQ158" s="543" cm="1">
        <f t="array" ref="AQ158">B158</f>
        <v>0</v>
      </c>
      <c r="AR158" s="18"/>
    </row>
    <row r="159" ht="16" customHeight="1">
      <c r="A159" s="12"/>
      <c r="B159" s="544" cm="1">
        <f t="array" ref="B159">IF(B158=0,0,IF(B158&lt;VLOOKUP(C140,'Boats Data Sheet 2026'!$C$3:$H$57,6,0),B158+1,0))</f>
        <v>0</v>
      </c>
      <c r="C159" t="str" s="547" cm="1">
        <f t="array" ref="C159">IF(B159&gt;0,IF(VLOOKUP(C140,'Boats Data Sheet 2026'!$C$3:$J$57,8,0)="N/A",0,VLOOKUP(C140,'Boats Data Sheet 2026'!$C$3:$J$57,8,0)),"N/A")</f>
        <v>N/A</v>
      </c>
      <c r="D159" t="str" s="547" cm="1">
        <f t="array" ref="D159">IF(B159&gt;7,2,IF(B159=0,"N/A",1))</f>
        <v>N/A</v>
      </c>
      <c r="E159" t="str" s="547" cm="1">
        <f t="array" ref="E159">_xlfn.IFERROR(SUM('Direct Costs 2026'!$C$4:$C$5)*D159,"N/A")</f>
        <v>N/A</v>
      </c>
      <c r="F159" s="538" cm="1">
        <f t="array" ref="F159">_xlfn.IFERROR('Direct Costs 2026'!$C$43*B159,"N/A")</f>
        <v>0</v>
      </c>
      <c r="G159" t="str" s="547" cm="1">
        <f t="array" ref="G159">IF(B159&gt;0,'Direct Costs 2026'!$C$25,"N/A")</f>
        <v>N/A</v>
      </c>
      <c r="H159" t="str" s="547" cm="1">
        <f t="array" ref="H159">IF(B159&gt;0,'Direct Costs 2026'!$C$19+'Direct Costs 2026'!$C$18*B159,"N/A")</f>
        <v>N/A</v>
      </c>
      <c r="I159" t="str" s="547" cm="1">
        <f t="array" ref="I159">IF(B159&gt;0,SUM('Direct Costs 2026'!$C$20:$C$21),"N/A")</f>
        <v>N/A</v>
      </c>
      <c r="J159" s="538">
        <v>0</v>
      </c>
      <c r="K159" t="str" s="547" cm="1">
        <f t="array" ref="K159">_xlfn.IFERROR((IF(B159&gt;0,'Direct Costs 2026'!$C$15+'Direct Costs 2026'!$C$14,"N/A")+IF(B159&gt;0,'Direct Costs 2026'!$C$17,"N/A")),"N/A")</f>
        <v>N/A</v>
      </c>
      <c r="L159" t="str" s="547" cm="1">
        <f t="array" ref="L159">IF(B159&gt;0,'Direct Costs 2026'!$C$26,"N/A")</f>
        <v>N/A</v>
      </c>
      <c r="M159" t="str" s="547" cm="1">
        <f t="array" ref="M159">IF(B159&gt;0,'Direct Costs 2026'!$C$23,"N/A")</f>
        <v>N/A</v>
      </c>
      <c r="N159" t="str" s="547" cm="1">
        <f t="array" ref="N159">IF(B159&gt;0,'Direct Costs 2026'!$C$44*B159,"N/A")</f>
        <v>N/A</v>
      </c>
      <c r="O159" t="str" s="547" cm="1">
        <f t="array" ref="O159">IF(B159&gt;0,_xlfn.IFERROR(VLOOKUP(C140,'Boats Data Sheet 2026'!$C$3:$I$57,7,0)*'Direct Costs 2026'!$C$36,"N/A"),"N/A")</f>
        <v>N/A</v>
      </c>
      <c r="P159" t="str" s="547" cm="1">
        <f t="array" ref="P159">IF(B159&gt;0,IF(OR(VLOOKUP(C140,'Boats Data Sheet 2026'!$C$3:$F$57,4,0)="Own",VLOOKUP(C140,'Boats Data Sheet 2026'!$C$3:$F$57,4,0)="Management"),('Direct Costs 2026'!$C$37+'Direct Costs 2026'!$C$39),"N/A"),"N/A")</f>
        <v>N/A</v>
      </c>
      <c r="Q159" t="str" s="547" cm="1">
        <f t="array" ref="Q159">_xlfn.IFERROR(IF(B159&gt;5,IF(B159&gt;11,IF(B159&gt;15,4,3),2),IF(B159=0,"N/A",1))*SUM('Direct Costs 2026'!$C$67:$C$68),"N/A")</f>
        <v>N/A</v>
      </c>
      <c r="R159" t="str" s="547" cm="1">
        <f t="array" ref="R159">_xlfn.IFERROR('Direct Costs 2026'!$C$27*C159,"N/A")</f>
        <v>N/A</v>
      </c>
      <c r="S159" t="str" s="547" cm="1">
        <f t="array" ref="S159">_xlfn.IFERROR(C159+SUM(E159:R159),"N/A")</f>
        <v>N/A</v>
      </c>
      <c r="T159" s="424"/>
      <c r="U159" t="str" s="547" cm="1">
        <f t="array" ref="U159">IF(B159&gt;0,'Allocation OH and Target 2026'!$E$27,"N/A")</f>
        <v>N/A</v>
      </c>
      <c r="V159" t="str" s="547" cm="1">
        <f t="array" ref="V159">IF(B159&gt;0,'Allocation OH and Target 2026'!$E$28,"N/A")</f>
        <v>N/A</v>
      </c>
      <c r="W159" t="str" s="547" cm="1">
        <f t="array" ref="W159">IF(B159&gt;0,VLOOKUP(C140,'Allocation OH and Target 2026'!$C$3:$T$23,17,0),"N/A")</f>
        <v>N/A</v>
      </c>
      <c r="X159" t="str" s="547" cm="1">
        <f t="array" ref="X159">IF(B159&gt;0,VLOOKUP(C140,'Allocation OH and Target 2026'!$C$3:$T$23,18,0),"N/A")</f>
        <v>N/A</v>
      </c>
      <c r="Y159" t="str" s="547" cm="1">
        <f t="array" ref="Y159">_xlfn.IFERROR(V159*B159+X159,"N/A")</f>
        <v>N/A</v>
      </c>
      <c r="Z159" s="424"/>
      <c r="AA159" t="str" s="547" cm="1">
        <f t="array" ref="AA159">_xlfn.IFERROR(Y159+S159,"N/A")</f>
        <v>N/A</v>
      </c>
      <c r="AB159" t="str" s="547" cm="1">
        <f t="array" ref="AB159">_xlfn.IFERROR(AA159*0.5%,"N/A")</f>
        <v>N/A</v>
      </c>
      <c r="AC159" t="str" s="547" cm="1">
        <f t="array" ref="AC159">_xlfn.IFERROR(AA159*25%,"N/A")</f>
        <v>N/A</v>
      </c>
      <c r="AD159" t="str" s="546" cm="1">
        <f t="array" ref="AD159">IF(B159&gt;0,SUM(AA159:AC159),"N/A")</f>
        <v>N/A</v>
      </c>
      <c r="AE159" t="str" s="547" cm="1">
        <f t="array" ref="AE159">_xlfn.IFERROR(AD159/B159,"N/A")</f>
        <v>N/A</v>
      </c>
      <c r="AF159" s="424"/>
      <c r="AG159" t="str" s="546" cm="1">
        <f t="array" ref="AG159">IF(B159/VLOOKUP(C140,'Boats Data Sheet 2026'!$C$3:$H$57,6,0)&gt;VLOOKUP(C140,'Allocation OH and Target 2026'!$C$3:$J$23,8,0),IF(SUM(AH142:AH158)=0,AE159,"N/A"),"N/A")</f>
        <v>N/A</v>
      </c>
      <c r="AH159" s="424" cm="1">
        <f t="array" ref="AH159">IF(AG159="N/A",0,1)</f>
        <v>0</v>
      </c>
      <c r="AI159" t="str" s="547" cm="1">
        <f t="array" ref="AI159">IF(B159/VLOOKUP(C140,'Boats Data Sheet 2026'!$C$3:$H$57,6,0)&gt;VLOOKUP(C140,'Allocation OH and Target 2026'!$C$3:$J$23,8,0),IF(SUM(AH142:AH158)=0,S159/B159,"N/A"),"N/A")</f>
        <v>N/A</v>
      </c>
      <c r="AJ159" s="424" cm="1">
        <f t="array" ref="AJ159">IF(AI159="N/A",0,1)</f>
        <v>0</v>
      </c>
      <c r="AK159" t="str" s="527" cm="1">
        <f t="array" ref="AK159">IF(SUM($AG$120:$AG$137)*B159&lt;SUM(AA159:AB159),"NO GO","GO")</f>
        <v>GO</v>
      </c>
      <c r="AL159" s="424"/>
      <c r="AM159" s="538"/>
      <c r="AN159" s="538"/>
      <c r="AO159" s="538"/>
      <c r="AP159" s="542"/>
      <c r="AQ159" s="543" cm="1">
        <f t="array" ref="AQ159">B159</f>
        <v>0</v>
      </c>
      <c r="AR159" s="18"/>
    </row>
    <row r="160" ht="15.5" customHeight="1">
      <c r="A160" s="12"/>
      <c r="B160" s="550" cm="1">
        <f t="array" ref="B160">IF(B159=0,0,IF(B159&lt;VLOOKUP(C140,'Boats Data Sheet 2026'!$C$3:$H$57,6,0),B159+1,0))</f>
        <v>0</v>
      </c>
      <c r="C160" t="str" s="551" cm="1">
        <f t="array" ref="C160">IF(B160&gt;0,IF(VLOOKUP(C140,'Boats Data Sheet 2026'!$C$3:$J$57,8,0)="N/A",0,VLOOKUP(C140,'Boats Data Sheet 2026'!$C$3:$J$57,8,0)),"N/A")</f>
        <v>N/A</v>
      </c>
      <c r="D160" t="str" s="551" cm="1">
        <f t="array" ref="D160">IF(B160&gt;7,2,IF(B160=0,"N/A",1))</f>
        <v>N/A</v>
      </c>
      <c r="E160" t="str" s="551" cm="1">
        <f t="array" ref="E160">_xlfn.IFERROR(SUM('Direct Costs 2026'!$C$4:$C$5)*D160,"N/A")</f>
        <v>N/A</v>
      </c>
      <c r="F160" s="552" cm="1">
        <f t="array" ref="F160">_xlfn.IFERROR('Direct Costs 2026'!$C$43*B160,"N/A")</f>
        <v>0</v>
      </c>
      <c r="G160" t="str" s="551" cm="1">
        <f t="array" ref="G160">IF(B160&gt;0,'Direct Costs 2026'!$C$25,"N/A")</f>
        <v>N/A</v>
      </c>
      <c r="H160" t="str" s="551" cm="1">
        <f t="array" ref="H160">IF(B160&gt;0,'Direct Costs 2026'!$C$19+'Direct Costs 2026'!$C$18*B160,"N/A")</f>
        <v>N/A</v>
      </c>
      <c r="I160" t="str" s="551" cm="1">
        <f t="array" ref="I160">IF(B160&gt;0,SUM('Direct Costs 2026'!$C$20:$C$21),"N/A")</f>
        <v>N/A</v>
      </c>
      <c r="J160" s="552">
        <v>0</v>
      </c>
      <c r="K160" t="str" s="551" cm="1">
        <f t="array" ref="K160">_xlfn.IFERROR((IF(B160&gt;0,'Direct Costs 2026'!$C$15+'Direct Costs 2026'!$C$14,"N/A")+IF(B160&gt;0,'Direct Costs 2026'!$C$17,"N/A")),"N/A")</f>
        <v>N/A</v>
      </c>
      <c r="L160" t="str" s="551" cm="1">
        <f t="array" ref="L160">IF(B160&gt;0,'Direct Costs 2026'!$C$26,"N/A")</f>
        <v>N/A</v>
      </c>
      <c r="M160" t="str" s="551" cm="1">
        <f t="array" ref="M160">IF(B160&gt;0,'Direct Costs 2026'!$C$23,"N/A")</f>
        <v>N/A</v>
      </c>
      <c r="N160" t="str" s="551" cm="1">
        <f t="array" ref="N160">IF(B160&gt;0,'Direct Costs 2026'!$C$44*B160,"N/A")</f>
        <v>N/A</v>
      </c>
      <c r="O160" t="str" s="551" cm="1">
        <f t="array" ref="O160">IF(B160&gt;0,_xlfn.IFERROR(VLOOKUP(C140,'Boats Data Sheet 2026'!$C$3:$I$57,7,0)*'Direct Costs 2026'!$C$36,"N/A"),"N/A")</f>
        <v>N/A</v>
      </c>
      <c r="P160" t="str" s="551" cm="1">
        <f t="array" ref="P160">IF(B160&gt;0,IF(OR(VLOOKUP(C140,'Boats Data Sheet 2026'!$C$3:$F$57,4,0)="Own",VLOOKUP(C140,'Boats Data Sheet 2026'!$C$3:$F$57,4,0)="Management"),('Direct Costs 2026'!$C$37+'Direct Costs 2026'!$C$39),"N/A"),"N/A")</f>
        <v>N/A</v>
      </c>
      <c r="Q160" t="str" s="551" cm="1">
        <f t="array" ref="Q160">_xlfn.IFERROR(IF(B160&gt;5,IF(B160&gt;11,IF(B160&gt;15,4,3),2),IF(B160=0,"N/A",1))*SUM('Direct Costs 2026'!$C$67:$C$68),"N/A")</f>
        <v>N/A</v>
      </c>
      <c r="R160" t="str" s="551" cm="1">
        <f t="array" ref="R160">_xlfn.IFERROR('Direct Costs 2026'!$C$27*C160,"N/A")</f>
        <v>N/A</v>
      </c>
      <c r="S160" t="str" s="551" cm="1">
        <f t="array" ref="S160">_xlfn.IFERROR(C160+SUM(E160:R160),"N/A")</f>
        <v>N/A</v>
      </c>
      <c r="T160" s="435"/>
      <c r="U160" t="str" s="551" cm="1">
        <f t="array" ref="U160">IF(B160&gt;0,'Allocation OH and Target 2026'!$E$27,"N/A")</f>
        <v>N/A</v>
      </c>
      <c r="V160" t="str" s="551" cm="1">
        <f t="array" ref="V160">IF(B160&gt;0,'Allocation OH and Target 2026'!$E$28,"N/A")</f>
        <v>N/A</v>
      </c>
      <c r="W160" s="552"/>
      <c r="X160" t="str" s="551" cm="1">
        <f t="array" ref="X160">IF(B160&gt;0,VLOOKUP(C140,'Allocation OH and Target 2026'!$C$3:$T$23,18,0),"N/A")</f>
        <v>N/A</v>
      </c>
      <c r="Y160" t="str" s="551" cm="1">
        <f t="array" ref="Y160">_xlfn.IFERROR(V160*B160+X160,"N/A")</f>
        <v>N/A</v>
      </c>
      <c r="Z160" s="435"/>
      <c r="AA160" t="str" s="551" cm="1">
        <f t="array" ref="AA160">_xlfn.IFERROR(Y160+S160,"N/A")</f>
        <v>N/A</v>
      </c>
      <c r="AB160" t="str" s="551" cm="1">
        <f t="array" ref="AB160">_xlfn.IFERROR(AA160*0.5%,"N/A")</f>
        <v>N/A</v>
      </c>
      <c r="AC160" t="str" s="551" cm="1">
        <f t="array" ref="AC160">_xlfn.IFERROR(AA160*25%,"N/A")</f>
        <v>N/A</v>
      </c>
      <c r="AD160" t="str" s="553" cm="1">
        <f t="array" ref="AD160">IF(B160&gt;0,SUM(AA160:AC160),"N/A")</f>
        <v>N/A</v>
      </c>
      <c r="AE160" t="str" s="551" cm="1">
        <f t="array" ref="AE160">_xlfn.IFERROR(AD160/B160,"N/A")</f>
        <v>N/A</v>
      </c>
      <c r="AF160" s="435"/>
      <c r="AG160" t="str" s="553" cm="1">
        <f t="array" ref="AG160">IF(B160/VLOOKUP(C140,'Boats Data Sheet 2026'!$C$3:$H$57,6,0)&gt;VLOOKUP(C140,'Allocation OH and Target 2026'!$C$3:$J$23,8,0),IF(SUM(AH142:AH159)=0,AE160,"N/A"),"N/A")</f>
        <v>N/A</v>
      </c>
      <c r="AH160" s="435" cm="1">
        <f t="array" ref="AH160">IF(AG160="N/A",0,1)</f>
        <v>0</v>
      </c>
      <c r="AI160" t="str" s="551" cm="1">
        <f t="array" ref="AI160">IF(B160/VLOOKUP(C140,'Boats Data Sheet 2026'!$C$3:$H$57,6,0)&gt;VLOOKUP(C140,'Allocation OH and Target 2026'!$C$3:$J$23,8,0),IF(SUM(AH142:AH159)=0,S160/B160,"N/A"),"N/A")</f>
        <v>N/A</v>
      </c>
      <c r="AJ160" s="435" cm="1">
        <f t="array" ref="AJ160">IF(AI160="N/A",0,1)</f>
        <v>0</v>
      </c>
      <c r="AK160" t="str" s="554" cm="1">
        <f t="array" ref="AK160">IF(SUM($AG$120:$AG$137)*B160&lt;SUM(AA160:AB160),"NO GO","GO")</f>
        <v>GO</v>
      </c>
      <c r="AL160" s="435"/>
      <c r="AM160" s="552"/>
      <c r="AN160" s="552"/>
      <c r="AO160" s="552"/>
      <c r="AP160" s="555"/>
      <c r="AQ160" s="543" cm="1">
        <f t="array" ref="AQ160">B160</f>
        <v>0</v>
      </c>
      <c r="AR160" s="18"/>
    </row>
    <row r="161" ht="15.5" customHeight="1">
      <c r="A161" s="32"/>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7"/>
      <c r="AR161" s="18"/>
    </row>
    <row r="162" ht="15.5" customHeight="1">
      <c r="A162" s="32"/>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17"/>
      <c r="AR162" s="18"/>
    </row>
    <row r="163" ht="15.5" customHeight="1">
      <c r="A163" s="395">
        <v>8</v>
      </c>
      <c r="B163" t="s" s="517">
        <v>506</v>
      </c>
      <c r="C163" t="s" s="518">
        <v>591</v>
      </c>
      <c r="D163" s="519"/>
      <c r="E163" s="519"/>
      <c r="F163" s="519"/>
      <c r="G163" s="519"/>
      <c r="H163" s="519"/>
      <c r="I163" s="519"/>
      <c r="J163" s="519"/>
      <c r="K163" s="519"/>
      <c r="L163" s="519"/>
      <c r="M163" s="519"/>
      <c r="N163" s="519"/>
      <c r="O163" s="519"/>
      <c r="P163" s="519"/>
      <c r="Q163" s="519"/>
      <c r="R163" s="519"/>
      <c r="S163" s="519"/>
      <c r="T163" s="399"/>
      <c r="U163" s="519"/>
      <c r="V163" s="519"/>
      <c r="W163" s="519"/>
      <c r="X163" s="519"/>
      <c r="Y163" s="519"/>
      <c r="Z163" s="399"/>
      <c r="AA163" s="519"/>
      <c r="AB163" s="519"/>
      <c r="AC163" s="519"/>
      <c r="AD163" s="519"/>
      <c r="AE163" s="519"/>
      <c r="AF163" s="399"/>
      <c r="AG163" s="521"/>
      <c r="AH163" s="399"/>
      <c r="AI163" s="519"/>
      <c r="AJ163" s="399"/>
      <c r="AK163" s="519"/>
      <c r="AL163" s="399"/>
      <c r="AM163" t="s" s="518">
        <v>508</v>
      </c>
      <c r="AN163" s="560" cm="1">
        <f t="array" ref="AN163">AVERAGE(S166:S171)</f>
        <v>6947600</v>
      </c>
      <c r="AO163" s="519"/>
      <c r="AP163" s="522"/>
      <c r="AQ163" s="16"/>
      <c r="AR163" s="18"/>
    </row>
    <row r="164" ht="16" customHeight="1">
      <c r="A164" s="12"/>
      <c r="B164" s="523"/>
      <c r="C164" t="s" s="524">
        <v>513</v>
      </c>
      <c r="D164" s="525"/>
      <c r="E164" s="525"/>
      <c r="F164" s="525"/>
      <c r="G164" s="525"/>
      <c r="H164" s="525"/>
      <c r="I164" s="525"/>
      <c r="J164" s="525"/>
      <c r="K164" s="525"/>
      <c r="L164" s="525"/>
      <c r="M164" s="525"/>
      <c r="N164" s="525"/>
      <c r="O164" s="525"/>
      <c r="P164" s="525"/>
      <c r="Q164" s="525"/>
      <c r="R164" s="525"/>
      <c r="S164" s="526"/>
      <c r="T164" s="407"/>
      <c r="U164" t="s" s="524">
        <v>514</v>
      </c>
      <c r="V164" s="525"/>
      <c r="W164" s="525"/>
      <c r="X164" s="525"/>
      <c r="Y164" s="526"/>
      <c r="Z164" s="407"/>
      <c r="AA164" t="s" s="524">
        <v>515</v>
      </c>
      <c r="AB164" s="525"/>
      <c r="AC164" s="525"/>
      <c r="AD164" s="525"/>
      <c r="AE164" s="526"/>
      <c r="AF164" s="410"/>
      <c r="AG164" s="527"/>
      <c r="AH164" s="410"/>
      <c r="AI164" s="528"/>
      <c r="AJ164" s="410"/>
      <c r="AK164" s="528"/>
      <c r="AL164" s="410"/>
      <c r="AM164" s="528"/>
      <c r="AN164" s="528"/>
      <c r="AO164" s="528"/>
      <c r="AP164" s="529"/>
      <c r="AQ164" s="16"/>
      <c r="AR164" s="18"/>
    </row>
    <row r="165" ht="48" customHeight="1">
      <c r="A165" s="12"/>
      <c r="B165" t="s" s="530">
        <v>517</v>
      </c>
      <c r="C165" t="s" s="531">
        <v>518</v>
      </c>
      <c r="D165" t="s" s="531">
        <v>519</v>
      </c>
      <c r="E165" t="s" s="531">
        <v>520</v>
      </c>
      <c r="F165" t="s" s="532">
        <v>521</v>
      </c>
      <c r="G165" t="s" s="532">
        <v>522</v>
      </c>
      <c r="H165" t="s" s="532">
        <v>524</v>
      </c>
      <c r="I165" t="s" s="532">
        <v>525</v>
      </c>
      <c r="J165" t="s" s="532">
        <v>556</v>
      </c>
      <c r="K165" t="s" s="532">
        <v>587</v>
      </c>
      <c r="L165" t="s" s="532">
        <v>526</v>
      </c>
      <c r="M165" t="s" s="532">
        <v>527</v>
      </c>
      <c r="N165" t="s" s="532">
        <v>528</v>
      </c>
      <c r="O165" t="s" s="532">
        <v>529</v>
      </c>
      <c r="P165" t="s" s="532">
        <v>530</v>
      </c>
      <c r="Q165" t="s" s="532">
        <v>572</v>
      </c>
      <c r="R165" t="s" s="532">
        <v>531</v>
      </c>
      <c r="S165" t="s" s="532">
        <v>532</v>
      </c>
      <c r="T165" s="556"/>
      <c r="U165" t="s" s="532">
        <v>533</v>
      </c>
      <c r="V165" t="s" s="532">
        <v>573</v>
      </c>
      <c r="W165" t="s" s="532">
        <v>534</v>
      </c>
      <c r="X165" t="s" s="532">
        <v>574</v>
      </c>
      <c r="Y165" t="s" s="532">
        <v>535</v>
      </c>
      <c r="Z165" s="556"/>
      <c r="AA165" t="s" s="532">
        <v>536</v>
      </c>
      <c r="AB165" t="s" s="532">
        <v>537</v>
      </c>
      <c r="AC165" t="s" s="532">
        <v>538</v>
      </c>
      <c r="AD165" t="s" s="532">
        <v>575</v>
      </c>
      <c r="AE165" t="s" s="532">
        <v>539</v>
      </c>
      <c r="AF165" s="557"/>
      <c r="AG165" t="s" s="532">
        <v>576</v>
      </c>
      <c r="AH165" s="557"/>
      <c r="AI165" t="s" s="532">
        <v>577</v>
      </c>
      <c r="AJ165" s="557"/>
      <c r="AK165" t="s" s="531">
        <v>578</v>
      </c>
      <c r="AL165" s="557"/>
      <c r="AM165" t="s" s="532">
        <v>560</v>
      </c>
      <c r="AN165" t="s" s="532">
        <v>544</v>
      </c>
      <c r="AO165" s="533"/>
      <c r="AP165" s="534"/>
      <c r="AQ165" s="16"/>
      <c r="AR165" s="18"/>
    </row>
    <row r="166" ht="16.5" customHeight="1">
      <c r="A166" s="12"/>
      <c r="B166" s="535">
        <v>1</v>
      </c>
      <c r="C166" s="536" cm="1">
        <f t="array" ref="C166">IF(B166&gt;0,IF(VLOOKUP(C163,'Boats Data Sheet 2026'!$C$3:$J$57,8,0)="N/A",0,VLOOKUP(C163,'Boats Data Sheet 2026'!$C$3:$J$57,8,0)),"N/A")</f>
        <v>0</v>
      </c>
      <c r="D166" s="537" cm="1">
        <f t="array" ref="D166">IF(B166&gt;7,2,IF(B166=0,"N/A",1))</f>
        <v>1</v>
      </c>
      <c r="E166" s="536" cm="1">
        <f t="array" ref="E166">_xlfn.IFERROR(SUM('Direct Costs 2026'!$C$4:$C$5)*D166,"N/A")</f>
        <v>875500</v>
      </c>
      <c r="F166" s="538" cm="1">
        <f t="array" ref="F166">_xlfn.IFERROR('Direct Costs 2026'!$C$43*B166,"N/A")</f>
        <v>6000</v>
      </c>
      <c r="G166" s="538" cm="1">
        <f t="array" ref="G166">IF(B166&gt;0,'Direct Costs 2026'!$C$25,"N/A")</f>
        <v>90000</v>
      </c>
      <c r="H166" s="538" cm="1">
        <f t="array" ref="H166">IF(B166&gt;0,'Direct Costs 2026'!$C$19+'Direct Costs 2026'!$C$18*B166,"N/A")</f>
        <v>110000</v>
      </c>
      <c r="I166" s="538">
        <v>0</v>
      </c>
      <c r="J166" s="538">
        <v>0</v>
      </c>
      <c r="K166" s="538" cm="1">
        <f t="array" ref="K166">_xlfn.IFERROR((IF(B166&gt;0,'Direct Costs 2026'!$C$15+'Direct Costs 2026'!$C$14,"N/A")),"N/A")</f>
        <v>230000</v>
      </c>
      <c r="L166" s="538">
        <v>0</v>
      </c>
      <c r="M166" s="538" cm="1">
        <f t="array" ref="M166">IF(B166&gt;0,'Direct Costs 2026'!$C$23,"N/A")</f>
        <v>140000</v>
      </c>
      <c r="N166" s="538" cm="1">
        <f t="array" ref="N166">IF(B166&gt;0,'Direct Costs 2026'!$C$44*B166,"N/A")</f>
        <v>110000</v>
      </c>
      <c r="O166" s="538" cm="1">
        <f t="array" ref="O166">IF(B166&gt;0,_xlfn.IFERROR(VLOOKUP(C163,'Boats Data Sheet 2026'!$C$3:$I$57,7,0)*'Direct Costs 2026'!$C$36,"N/A"),"N/A")</f>
        <v>3325000</v>
      </c>
      <c r="P166" s="538" cm="1">
        <f t="array" ref="P166">IF(B166&gt;0,IF(OR(VLOOKUP(C163,'Boats Data Sheet 2026'!$C$3:$F$57,4,0)="Own",VLOOKUP(C163,'Boats Data Sheet 2026'!$C$3:$F$57,4,0)="Management"),('Direct Costs 2026'!$C$37+'Direct Costs 2026'!$C$39),"N/A"),"N/A")</f>
        <v>1112400</v>
      </c>
      <c r="Q166" s="538" cm="1">
        <f t="array" ref="Q166">_xlfn.IFERROR(IF(B166&gt;5,IF(B166&gt;11,IF(B166&gt;15,4,3),2),IF(B166=0,"N/A",1))*SUM('Direct Costs 2026'!$C$67:$C$68),"N/A")</f>
        <v>489600</v>
      </c>
      <c r="R166" s="538" cm="1">
        <f t="array" ref="R166">_xlfn.IFERROR('Direct Costs 2026'!$C$27*C166,"N/A")</f>
        <v>0</v>
      </c>
      <c r="S166" s="538" cm="1">
        <f t="array" ref="S166">_xlfn.IFERROR(C166+SUM(E166:R166),"N/A")</f>
        <v>6488500</v>
      </c>
      <c r="T166" s="424"/>
      <c r="U166" s="538" cm="1">
        <f t="array" ref="U166">IF(B166&gt;0,'Allocation OH and Target 2026'!$E$27,"N/A")</f>
        <v>2134447.30345641</v>
      </c>
      <c r="V166" s="538" cm="1">
        <f t="array" ref="V166">IF(B166&gt;0,'Allocation OH and Target 2026'!$E$28,"N/A")</f>
        <v>200042.323056976</v>
      </c>
      <c r="W166" s="538" cm="1">
        <f t="array" ref="W166">IF(B166&gt;0,VLOOKUP(C163,'Allocation OH and Target 2026'!$C$3:$T$23,17,0),"N/A")</f>
        <v>0</v>
      </c>
      <c r="X166" s="538" cm="1">
        <f t="array" ref="X166">IF(B166&gt;0,VLOOKUP(C163,'Allocation OH and Target 2026'!$C$3:$T$23,18,0),"N/A")</f>
        <v>0</v>
      </c>
      <c r="Y166" s="538" cm="1">
        <f t="array" ref="Y166">_xlfn.IFERROR(B166*(V166+X166),"N/A")</f>
        <v>200042.323056976</v>
      </c>
      <c r="Z166" s="424"/>
      <c r="AA166" s="538" cm="1">
        <f t="array" ref="AA166">_xlfn.IFERROR(Y166+S166,"N/A")</f>
        <v>6688542.32305698</v>
      </c>
      <c r="AB166" s="538" cm="1">
        <f t="array" ref="AB166">_xlfn.IFERROR(AA166*0.5%,"N/A")</f>
        <v>33442.7116152849</v>
      </c>
      <c r="AC166" s="538" cm="1">
        <f t="array" ref="AC166">_xlfn.IFERROR(AA166*25%,"N/A")</f>
        <v>1672135.58076425</v>
      </c>
      <c r="AD166" s="539" cm="1">
        <f t="array" ref="AD166">IF(B166&gt;0,SUM(AA166:AC166),"N/A")</f>
        <v>8394120.615436509</v>
      </c>
      <c r="AE166" s="538" cm="1">
        <f t="array" ref="AE166">_xlfn.IFERROR(AD166/B166,"N/A")</f>
        <v>8394120.615436509</v>
      </c>
      <c r="AF166" s="424"/>
      <c r="AG166" t="s" s="540">
        <v>14</v>
      </c>
      <c r="AH166" s="424" cm="1">
        <f t="array" ref="AH166">IF(AG166="N/A",0,1)</f>
        <v>0</v>
      </c>
      <c r="AI166" t="s" s="541">
        <v>14</v>
      </c>
      <c r="AJ166" s="424" cm="1">
        <f t="array" ref="AJ166">IF(AI166="N/A",0,1)</f>
        <v>0</v>
      </c>
      <c r="AK166" t="str" s="558" cm="1">
        <f t="array" ref="AK166">IF(SUM($AG$120:$AG$137)*B166&lt;SUM(AA166:AB166),"NO GO","GO")</f>
        <v>NO GO</v>
      </c>
      <c r="AL166" s="424"/>
      <c r="AM166" t="s" s="541">
        <v>589</v>
      </c>
      <c r="AN166" s="561" cm="1">
        <f t="array" ref="AN166">'Allocation OH and Target 2026'!M23</f>
        <v>0</v>
      </c>
      <c r="AO166" s="538"/>
      <c r="AP166" s="542"/>
      <c r="AQ166" s="543" cm="1">
        <f t="array" ref="AQ166">B166</f>
        <v>1</v>
      </c>
      <c r="AR166" s="18"/>
    </row>
    <row r="167" ht="16" customHeight="1">
      <c r="A167" s="12"/>
      <c r="B167" s="544" cm="1">
        <f t="array" ref="B167">IF(B166=0,0,IF(B166&lt;VLOOKUP(C163,'Boats Data Sheet 2026'!$C$3:$H$57,6,0),B166+1,0))</f>
        <v>2</v>
      </c>
      <c r="C167" s="538" cm="1">
        <f t="array" ref="C167">IF(B167&gt;0,IF(VLOOKUP(C163,'Boats Data Sheet 2026'!$C$3:$J$57,8,0)="N/A",0,VLOOKUP(C163,'Boats Data Sheet 2026'!$C$3:$J$57,8,0)),"N/A")</f>
        <v>0</v>
      </c>
      <c r="D167" s="545" cm="1">
        <f t="array" ref="D167">IF(B167&gt;7,2,IF(B167=0,"N/A",1))</f>
        <v>1</v>
      </c>
      <c r="E167" s="538" cm="1">
        <f t="array" ref="E167">_xlfn.IFERROR(SUM('Direct Costs 2026'!$C$4:$C$5)*D167,"N/A")</f>
        <v>875500</v>
      </c>
      <c r="F167" s="538" cm="1">
        <f t="array" ref="F167">_xlfn.IFERROR('Direct Costs 2026'!$C$43*B167,"N/A")</f>
        <v>12000</v>
      </c>
      <c r="G167" s="538" cm="1">
        <f t="array" ref="G167">IF(B167&gt;0,'Direct Costs 2026'!$C$25,"N/A")</f>
        <v>90000</v>
      </c>
      <c r="H167" s="538" cm="1">
        <f t="array" ref="H167">IF(B167&gt;0,'Direct Costs 2026'!$C$19+'Direct Costs 2026'!$C$18*B167,"N/A")</f>
        <v>145000</v>
      </c>
      <c r="I167" s="538">
        <v>0</v>
      </c>
      <c r="J167" s="538">
        <v>0</v>
      </c>
      <c r="K167" s="538" cm="1">
        <f t="array" ref="K167">_xlfn.IFERROR((IF(B167&gt;0,'Direct Costs 2026'!$C$15+'Direct Costs 2026'!$C$14,"N/A")),"N/A")</f>
        <v>230000</v>
      </c>
      <c r="L167" s="538">
        <v>0</v>
      </c>
      <c r="M167" s="538" cm="1">
        <f t="array" ref="M167">IF(B167&gt;0,'Direct Costs 2026'!$C$23,"N/A")</f>
        <v>140000</v>
      </c>
      <c r="N167" s="538" cm="1">
        <f t="array" ref="N167">IF(B167&gt;0,'Direct Costs 2026'!$C$44*B167,"N/A")</f>
        <v>220000</v>
      </c>
      <c r="O167" s="538" cm="1">
        <f t="array" ref="O167">IF(B167&gt;0,_xlfn.IFERROR(VLOOKUP(C163,'Boats Data Sheet 2026'!$C$3:$I$57,7,0)*'Direct Costs 2026'!$C$36,"N/A"),"N/A")</f>
        <v>3325000</v>
      </c>
      <c r="P167" s="538" cm="1">
        <f t="array" ref="P167">IF(B167&gt;0,IF(OR(VLOOKUP(C163,'Boats Data Sheet 2026'!$C$3:$F$57,4,0)="Own",VLOOKUP(C163,'Boats Data Sheet 2026'!$C$3:$F$57,4,0)="Management"),('Direct Costs 2026'!$C$37+'Direct Costs 2026'!$C$39),"N/A"),"N/A")</f>
        <v>1112400</v>
      </c>
      <c r="Q167" s="538" cm="1">
        <f t="array" ref="Q167">_xlfn.IFERROR(IF(B167&gt;5,IF(B167&gt;11,IF(B167&gt;15,4,3),2),IF(B167=0,"N/A",1))*SUM('Direct Costs 2026'!$C$67:$C$68),"N/A")</f>
        <v>489600</v>
      </c>
      <c r="R167" s="538" cm="1">
        <f t="array" ref="R167">_xlfn.IFERROR('Direct Costs 2026'!$C$27*C167,"N/A")</f>
        <v>0</v>
      </c>
      <c r="S167" s="538" cm="1">
        <f t="array" ref="S167">_xlfn.IFERROR(C167+SUM(E167:R167),"N/A")</f>
        <v>6639500</v>
      </c>
      <c r="T167" s="424"/>
      <c r="U167" s="538" cm="1">
        <f t="array" ref="U167">IF(B167&gt;0,'Allocation OH and Target 2026'!$E$27,"N/A")</f>
        <v>2134447.30345641</v>
      </c>
      <c r="V167" s="538" cm="1">
        <f t="array" ref="V167">IF(B167&gt;0,'Allocation OH and Target 2026'!$E$28,"N/A")</f>
        <v>200042.323056976</v>
      </c>
      <c r="W167" s="538" cm="1">
        <f t="array" ref="W167">IF(B167&gt;0,VLOOKUP(C163,'Allocation OH and Target 2026'!$C$3:$T$23,17,0),"N/A")</f>
        <v>0</v>
      </c>
      <c r="X167" s="538" cm="1">
        <f t="array" ref="X167">IF(B167&gt;0,VLOOKUP(C163,'Allocation OH and Target 2026'!$C$3:$T$23,18,0),"N/A")</f>
        <v>0</v>
      </c>
      <c r="Y167" s="538" cm="1">
        <f t="array" ref="Y167">_xlfn.IFERROR(B167*(V167+X167),"N/A")</f>
        <v>400084.646113952</v>
      </c>
      <c r="Z167" s="424"/>
      <c r="AA167" s="538" cm="1">
        <f t="array" ref="AA167">_xlfn.IFERROR(Y167+S167,"N/A")</f>
        <v>7039584.64611395</v>
      </c>
      <c r="AB167" s="538" cm="1">
        <f t="array" ref="AB167">_xlfn.IFERROR(AA167*0.5%,"N/A")</f>
        <v>35197.9232305698</v>
      </c>
      <c r="AC167" s="538" cm="1">
        <f t="array" ref="AC167">_xlfn.IFERROR(AA167*25%,"N/A")</f>
        <v>1759896.16152849</v>
      </c>
      <c r="AD167" s="539" cm="1">
        <f t="array" ref="AD167">IF(B167&gt;0,SUM(AA167:AC167),"N/A")</f>
        <v>8834678.730873009</v>
      </c>
      <c r="AE167" s="538" cm="1">
        <f t="array" ref="AE167">_xlfn.IFERROR(AD167/B167,"N/A")</f>
        <v>4417339.36543651</v>
      </c>
      <c r="AF167" s="424"/>
      <c r="AG167" t="str" s="546" cm="1">
        <f t="array" ref="AG167">IF(B167/VLOOKUP(C163,'Boats Data Sheet 2026'!$C$3:$H$57,6,0)&gt;VLOOKUP(C163,'Allocation OH and Target 2026'!$C$3:$J$23,8,0),IF(SUM(AH165:AH166)=0,AE167,"N/A"),"N/A")</f>
        <v>N/A</v>
      </c>
      <c r="AH167" s="424" cm="1">
        <f t="array" ref="AH167">IF(AG167="N/A",0,1)</f>
        <v>0</v>
      </c>
      <c r="AI167" t="str" s="547" cm="1">
        <f t="array" ref="AI167">IF(B167/VLOOKUP(C163,'Boats Data Sheet 2026'!$C$3:$H$57,6,0)&gt;VLOOKUP(C163,'Allocation OH and Target 2026'!$C$3:$J$23,8,0),IF(SUM(AH165:AH166)=0,S167/B167,"N/A"),"N/A")</f>
        <v>N/A</v>
      </c>
      <c r="AJ167" s="424" cm="1">
        <f t="array" ref="AJ167">IF(AI167="N/A",0,1)</f>
        <v>0</v>
      </c>
      <c r="AK167" t="str" s="527" cm="1">
        <f t="array" ref="AK167">IF(SUM($AG$120:$AG$137)*B167&lt;SUM(AA167:AB167),"NO GO","GO")</f>
        <v>NO GO</v>
      </c>
      <c r="AL167" s="424"/>
      <c r="AM167" t="s" s="562">
        <v>546</v>
      </c>
      <c r="AN167" s="538"/>
      <c r="AO167" s="538"/>
      <c r="AP167" s="542"/>
      <c r="AQ167" s="543" cm="1">
        <f t="array" ref="AQ167">B167</f>
        <v>2</v>
      </c>
      <c r="AR167" s="18"/>
    </row>
    <row r="168" ht="16" customHeight="1">
      <c r="A168" s="12"/>
      <c r="B168" s="544" cm="1">
        <f t="array" ref="B168">IF(B167=0,0,IF(B167&lt;VLOOKUP(C163,'Boats Data Sheet 2026'!$C$3:$H$57,6,0),B167+1,0))</f>
        <v>3</v>
      </c>
      <c r="C168" s="538" cm="1">
        <f t="array" ref="C168">IF(B168&gt;0,IF(VLOOKUP(C163,'Boats Data Sheet 2026'!$C$3:$J$57,8,0)="N/A",0,VLOOKUP(C163,'Boats Data Sheet 2026'!$C$3:$J$57,8,0)),"N/A")</f>
        <v>0</v>
      </c>
      <c r="D168" s="545" cm="1">
        <f t="array" ref="D168">IF(B168&gt;7,2,IF(B168=0,"N/A",1))</f>
        <v>1</v>
      </c>
      <c r="E168" s="538" cm="1">
        <f t="array" ref="E168">_xlfn.IFERROR(SUM('Direct Costs 2026'!$C$4:$C$5)*D168,"N/A")</f>
        <v>875500</v>
      </c>
      <c r="F168" s="538" cm="1">
        <f t="array" ref="F168">_xlfn.IFERROR('Direct Costs 2026'!$C$43*B168,"N/A")</f>
        <v>18000</v>
      </c>
      <c r="G168" s="538" cm="1">
        <f t="array" ref="G168">IF(B168&gt;0,'Direct Costs 2026'!$C$25,"N/A")</f>
        <v>90000</v>
      </c>
      <c r="H168" s="538" cm="1">
        <f t="array" ref="H168">IF(B168&gt;0,'Direct Costs 2026'!$C$19+'Direct Costs 2026'!$C$18*B168,"N/A")</f>
        <v>180000</v>
      </c>
      <c r="I168" s="538">
        <v>0</v>
      </c>
      <c r="J168" s="538">
        <v>0</v>
      </c>
      <c r="K168" s="538" cm="1">
        <f t="array" ref="K168">_xlfn.IFERROR((IF(B168&gt;0,'Direct Costs 2026'!$C$15+'Direct Costs 2026'!$C$14,"N/A")),"N/A")</f>
        <v>230000</v>
      </c>
      <c r="L168" s="538">
        <v>0</v>
      </c>
      <c r="M168" s="538" cm="1">
        <f t="array" ref="M168">IF(B168&gt;0,'Direct Costs 2026'!$C$23,"N/A")</f>
        <v>140000</v>
      </c>
      <c r="N168" s="538" cm="1">
        <f t="array" ref="N168">IF(B168&gt;0,'Direct Costs 2026'!$C$44*B168,"N/A")</f>
        <v>330000</v>
      </c>
      <c r="O168" s="538" cm="1">
        <f t="array" ref="O168">IF(B168&gt;0,_xlfn.IFERROR(VLOOKUP(C163,'Boats Data Sheet 2026'!$C$3:$I$57,7,0)*'Direct Costs 2026'!$C$36,"N/A"),"N/A")</f>
        <v>3325000</v>
      </c>
      <c r="P168" s="538" cm="1">
        <f t="array" ref="P168">IF(B168&gt;0,IF(OR(VLOOKUP(C163,'Boats Data Sheet 2026'!$C$3:$F$57,4,0)="Own",VLOOKUP(C163,'Boats Data Sheet 2026'!$C$3:$F$57,4,0)="Management"),('Direct Costs 2026'!$C$37+'Direct Costs 2026'!$C$39),"N/A"),"N/A")</f>
        <v>1112400</v>
      </c>
      <c r="Q168" s="538" cm="1">
        <f t="array" ref="Q168">_xlfn.IFERROR(IF(B168&gt;5,IF(B168&gt;11,IF(B168&gt;15,4,3),2),IF(B168=0,"N/A",1))*SUM('Direct Costs 2026'!$C$67:$C$68),"N/A")</f>
        <v>489600</v>
      </c>
      <c r="R168" s="538" cm="1">
        <f t="array" ref="R168">_xlfn.IFERROR('Direct Costs 2026'!$C$27*C168,"N/A")</f>
        <v>0</v>
      </c>
      <c r="S168" s="538" cm="1">
        <f t="array" ref="S168">_xlfn.IFERROR(C168+SUM(E168:R168),"N/A")</f>
        <v>6790500</v>
      </c>
      <c r="T168" s="424"/>
      <c r="U168" s="538" cm="1">
        <f t="array" ref="U168">IF(B168&gt;0,'Allocation OH and Target 2026'!$E$27,"N/A")</f>
        <v>2134447.30345641</v>
      </c>
      <c r="V168" s="538" cm="1">
        <f t="array" ref="V168">IF(B168&gt;0,'Allocation OH and Target 2026'!$E$28,"N/A")</f>
        <v>200042.323056976</v>
      </c>
      <c r="W168" s="538" cm="1">
        <f t="array" ref="W168">IF(B168&gt;0,VLOOKUP(C163,'Allocation OH and Target 2026'!$C$3:$T$23,17,0),"N/A")</f>
        <v>0</v>
      </c>
      <c r="X168" s="538" cm="1">
        <f t="array" ref="X168">IF(B168&gt;0,VLOOKUP(C163,'Allocation OH and Target 2026'!$C$3:$T$23,18,0),"N/A")</f>
        <v>0</v>
      </c>
      <c r="Y168" s="538" cm="1">
        <f t="array" ref="Y168">_xlfn.IFERROR(B168*(V168+X168),"N/A")</f>
        <v>600126.969170928</v>
      </c>
      <c r="Z168" s="424"/>
      <c r="AA168" s="538" cm="1">
        <f t="array" ref="AA168">_xlfn.IFERROR(Y168+S168,"N/A")</f>
        <v>7390626.96917093</v>
      </c>
      <c r="AB168" s="538" cm="1">
        <f t="array" ref="AB168">_xlfn.IFERROR(AA168*0.5%,"N/A")</f>
        <v>36953.1348458547</v>
      </c>
      <c r="AC168" s="538" cm="1">
        <f t="array" ref="AC168">_xlfn.IFERROR(AA168*25%,"N/A")</f>
        <v>1847656.74229273</v>
      </c>
      <c r="AD168" s="539" cm="1">
        <f t="array" ref="AD168">IF(B168&gt;0,SUM(AA168:AC168),"N/A")</f>
        <v>9275236.846309509</v>
      </c>
      <c r="AE168" s="538" cm="1">
        <f t="array" ref="AE168">_xlfn.IFERROR(AD168/B168,"N/A")</f>
        <v>3091745.6154365</v>
      </c>
      <c r="AF168" s="424"/>
      <c r="AG168" t="str" s="546" cm="1">
        <f t="array" ref="AG168">IF(B168/VLOOKUP(C163,'Boats Data Sheet 2026'!$C$3:$H$57,6,0)&gt;VLOOKUP(C163,'Allocation OH and Target 2026'!$C$3:$J$23,8,0),IF(SUM(AH165:AH167)=0,AE168,"N/A"),"N/A")</f>
        <v>N/A</v>
      </c>
      <c r="AH168" s="424" cm="1">
        <f t="array" ref="AH168">IF(AG168="N/A",0,1)</f>
        <v>0</v>
      </c>
      <c r="AI168" t="str" s="547" cm="1">
        <f t="array" ref="AI168">IF(B168/VLOOKUP(C163,'Boats Data Sheet 2026'!$C$3:$H$57,6,0)&gt;VLOOKUP(C163,'Allocation OH and Target 2026'!$C$3:$J$23,8,0),IF(SUM(AH165:AH167)=0,S168/B168,"N/A"),"N/A")</f>
        <v>N/A</v>
      </c>
      <c r="AJ168" s="424" cm="1">
        <f t="array" ref="AJ168">IF(AI168="N/A",0,1)</f>
        <v>0</v>
      </c>
      <c r="AK168" t="str" s="527" cm="1">
        <f t="array" ref="AK168">IF(SUM($AG$120:$AG$137)*B168&lt;SUM(AA168:AB168),"NO GO","GO")</f>
        <v>NO GO</v>
      </c>
      <c r="AL168" s="424"/>
      <c r="AM168" t="s" s="541">
        <v>547</v>
      </c>
      <c r="AN168" s="538" cm="1">
        <f t="array" ref="AN168">AN166*'RECOMMENDED PRICES'!$D$8</f>
        <v>0</v>
      </c>
      <c r="AO168" s="538"/>
      <c r="AP168" s="542"/>
      <c r="AQ168" s="543" cm="1">
        <f t="array" ref="AQ168">B168</f>
        <v>3</v>
      </c>
      <c r="AR168" s="18"/>
    </row>
    <row r="169" ht="16" customHeight="1">
      <c r="A169" s="12"/>
      <c r="B169" s="544" cm="1">
        <f t="array" ref="B169">IF(B168=0,0,IF(B168&lt;VLOOKUP(C163,'Boats Data Sheet 2026'!$C$3:$H$57,6,0),B168+1,0))</f>
        <v>4</v>
      </c>
      <c r="C169" s="538" cm="1">
        <f t="array" ref="C169">IF(B169&gt;0,IF(VLOOKUP(C163,'Boats Data Sheet 2026'!$C$3:$J$57,8,0)="N/A",0,VLOOKUP(C163,'Boats Data Sheet 2026'!$C$3:$J$57,8,0)),"N/A")</f>
        <v>0</v>
      </c>
      <c r="D169" s="545" cm="1">
        <f t="array" ref="D169">IF(B169&gt;7,2,IF(B169=0,"N/A",1))</f>
        <v>1</v>
      </c>
      <c r="E169" s="538" cm="1">
        <f t="array" ref="E169">_xlfn.IFERROR(SUM('Direct Costs 2026'!$C$4:$C$5)*D169,"N/A")</f>
        <v>875500</v>
      </c>
      <c r="F169" s="538" cm="1">
        <f t="array" ref="F169">_xlfn.IFERROR('Direct Costs 2026'!$C$43*B169,"N/A")</f>
        <v>24000</v>
      </c>
      <c r="G169" s="538" cm="1">
        <f t="array" ref="G169">IF(B169&gt;0,'Direct Costs 2026'!$C$25,"N/A")</f>
        <v>90000</v>
      </c>
      <c r="H169" s="538" cm="1">
        <f t="array" ref="H169">IF(B169&gt;0,'Direct Costs 2026'!$C$19+'Direct Costs 2026'!$C$18*B169,"N/A")</f>
        <v>215000</v>
      </c>
      <c r="I169" s="538">
        <v>0</v>
      </c>
      <c r="J169" s="538">
        <v>0</v>
      </c>
      <c r="K169" s="538" cm="1">
        <f t="array" ref="K169">_xlfn.IFERROR((IF(B169&gt;0,'Direct Costs 2026'!$C$15+'Direct Costs 2026'!$C$14,"N/A")),"N/A")</f>
        <v>230000</v>
      </c>
      <c r="L169" s="538">
        <v>0</v>
      </c>
      <c r="M169" s="538" cm="1">
        <f t="array" ref="M169">IF(B169&gt;0,'Direct Costs 2026'!$C$23,"N/A")</f>
        <v>140000</v>
      </c>
      <c r="N169" s="538" cm="1">
        <f t="array" ref="N169">IF(B169&gt;0,'Direct Costs 2026'!$C$44*B169,"N/A")</f>
        <v>440000</v>
      </c>
      <c r="O169" s="538" cm="1">
        <f t="array" ref="O169">IF(B169&gt;0,_xlfn.IFERROR(VLOOKUP(C163,'Boats Data Sheet 2026'!$C$3:$I$57,7,0)*'Direct Costs 2026'!$C$36,"N/A"),"N/A")</f>
        <v>3325000</v>
      </c>
      <c r="P169" s="538" cm="1">
        <f t="array" ref="P169">IF(B169&gt;0,IF(OR(VLOOKUP(C163,'Boats Data Sheet 2026'!$C$3:$F$57,4,0)="Own",VLOOKUP(C163,'Boats Data Sheet 2026'!$C$3:$F$57,4,0)="Management"),('Direct Costs 2026'!$C$37+'Direct Costs 2026'!$C$39),"N/A"),"N/A")</f>
        <v>1112400</v>
      </c>
      <c r="Q169" s="538" cm="1">
        <f t="array" ref="Q169">_xlfn.IFERROR(IF(B169&gt;5,IF(B169&gt;11,IF(B169&gt;15,4,3),2),IF(B169=0,"N/A",1))*SUM('Direct Costs 2026'!$C$67:$C$68),"N/A")</f>
        <v>489600</v>
      </c>
      <c r="R169" s="538" cm="1">
        <f t="array" ref="R169">_xlfn.IFERROR('Direct Costs 2026'!$C$27*C169,"N/A")</f>
        <v>0</v>
      </c>
      <c r="S169" s="538" cm="1">
        <f t="array" ref="S169">_xlfn.IFERROR(C169+SUM(E169:R169),"N/A")</f>
        <v>6941500</v>
      </c>
      <c r="T169" s="424"/>
      <c r="U169" s="538" cm="1">
        <f t="array" ref="U169">IF(B169&gt;0,'Allocation OH and Target 2026'!$E$27,"N/A")</f>
        <v>2134447.30345641</v>
      </c>
      <c r="V169" s="538" cm="1">
        <f t="array" ref="V169">IF(B169&gt;0,'Allocation OH and Target 2026'!$E$28,"N/A")</f>
        <v>200042.323056976</v>
      </c>
      <c r="W169" s="538" cm="1">
        <f t="array" ref="W169">IF(B169&gt;0,VLOOKUP(C163,'Allocation OH and Target 2026'!$C$3:$T$23,17,0),"N/A")</f>
        <v>0</v>
      </c>
      <c r="X169" s="538" cm="1">
        <f t="array" ref="X169">IF(B169&gt;0,VLOOKUP(C163,'Allocation OH and Target 2026'!$C$3:$T$23,18,0),"N/A")</f>
        <v>0</v>
      </c>
      <c r="Y169" s="538" cm="1">
        <f t="array" ref="Y169">_xlfn.IFERROR(B169*(V169+X169),"N/A")</f>
        <v>800169.292227904</v>
      </c>
      <c r="Z169" s="424"/>
      <c r="AA169" s="538" cm="1">
        <f t="array" ref="AA169">_xlfn.IFERROR(Y169+S169,"N/A")</f>
        <v>7741669.2922279</v>
      </c>
      <c r="AB169" s="538" cm="1">
        <f t="array" ref="AB169">_xlfn.IFERROR(AA169*0.5%,"N/A")</f>
        <v>38708.3464611395</v>
      </c>
      <c r="AC169" s="538" cm="1">
        <f t="array" ref="AC169">_xlfn.IFERROR(AA169*25%,"N/A")</f>
        <v>1935417.32305698</v>
      </c>
      <c r="AD169" s="539" cm="1">
        <f t="array" ref="AD169">IF(B169&gt;0,SUM(AA169:AC169),"N/A")</f>
        <v>9715794.96174602</v>
      </c>
      <c r="AE169" s="538" cm="1">
        <f t="array" ref="AE169">_xlfn.IFERROR(AD169/B169,"N/A")</f>
        <v>2428948.74043651</v>
      </c>
      <c r="AF169" s="424"/>
      <c r="AG169" t="str" s="546" cm="1">
        <f t="array" ref="AG169">IF(B169/VLOOKUP(C163,'Boats Data Sheet 2026'!$C$3:$H$57,6,0)&gt;VLOOKUP(C163,'Allocation OH and Target 2026'!$C$3:$J$23,8,0),IF(SUM(AH165:AH168)=0,AE169,"N/A"),"N/A")</f>
        <v>N/A</v>
      </c>
      <c r="AH169" s="424" cm="1">
        <f t="array" ref="AH169">IF(AG169="N/A",0,1)</f>
        <v>0</v>
      </c>
      <c r="AI169" t="str" s="547" cm="1">
        <f t="array" ref="AI169">IF(B169/VLOOKUP(C163,'Boats Data Sheet 2026'!$C$3:$H$57,6,0)&gt;VLOOKUP(C163,'Allocation OH and Target 2026'!$C$3:$J$23,8,0),IF(SUM(AH165:AH168)=0,S169/B169,"N/A"),"N/A")</f>
        <v>N/A</v>
      </c>
      <c r="AJ169" s="424" cm="1">
        <f t="array" ref="AJ169">IF(AI169="N/A",0,1)</f>
        <v>0</v>
      </c>
      <c r="AK169" t="str" s="527" cm="1">
        <f t="array" ref="AK169">IF(SUM($AG$120:$AG$137)*B169&lt;SUM(AA169:AB169),"NO GO","GO")</f>
        <v>NO GO</v>
      </c>
      <c r="AL169" s="424"/>
      <c r="AM169" t="s" s="562">
        <v>550</v>
      </c>
      <c r="AN169" s="538"/>
      <c r="AO169" s="538"/>
      <c r="AP169" s="542"/>
      <c r="AQ169" s="543" cm="1">
        <f t="array" ref="AQ169">B169</f>
        <v>4</v>
      </c>
      <c r="AR169" s="18"/>
    </row>
    <row r="170" ht="16" customHeight="1">
      <c r="A170" s="12"/>
      <c r="B170" s="544" cm="1">
        <f t="array" ref="B170">IF(B169=0,0,IF(B169&lt;VLOOKUP(C163,'Boats Data Sheet 2026'!$C$3:$H$57,6,0),B169+1,0))</f>
        <v>5</v>
      </c>
      <c r="C170" s="538" cm="1">
        <f t="array" ref="C170">IF(B170&gt;0,IF(VLOOKUP(C163,'Boats Data Sheet 2026'!$C$3:$J$57,8,0)="N/A",0,VLOOKUP(C163,'Boats Data Sheet 2026'!$C$3:$J$57,8,0)),"N/A")</f>
        <v>0</v>
      </c>
      <c r="D170" s="545" cm="1">
        <f t="array" ref="D170">IF(B170&gt;7,2,IF(B170=0,"N/A",1))</f>
        <v>1</v>
      </c>
      <c r="E170" s="538" cm="1">
        <f t="array" ref="E170">_xlfn.IFERROR(SUM('Direct Costs 2026'!$C$4:$C$5)*D170,"N/A")</f>
        <v>875500</v>
      </c>
      <c r="F170" s="538" cm="1">
        <f t="array" ref="F170">_xlfn.IFERROR('Direct Costs 2026'!$C$43*B170,"N/A")</f>
        <v>30000</v>
      </c>
      <c r="G170" s="538" cm="1">
        <f t="array" ref="G170">IF(B170&gt;0,'Direct Costs 2026'!$C$25,"N/A")</f>
        <v>90000</v>
      </c>
      <c r="H170" s="538" cm="1">
        <f t="array" ref="H170">IF(B170&gt;0,'Direct Costs 2026'!$C$19+'Direct Costs 2026'!$C$18*B170,"N/A")</f>
        <v>250000</v>
      </c>
      <c r="I170" s="538">
        <v>0</v>
      </c>
      <c r="J170" s="538">
        <v>0</v>
      </c>
      <c r="K170" s="538" cm="1">
        <f t="array" ref="K170">_xlfn.IFERROR((IF(B170&gt;0,'Direct Costs 2026'!$C$15+'Direct Costs 2026'!$C$14,"N/A")),"N/A")</f>
        <v>230000</v>
      </c>
      <c r="L170" s="538">
        <v>0</v>
      </c>
      <c r="M170" s="538" cm="1">
        <f t="array" ref="M170">IF(B170&gt;0,'Direct Costs 2026'!$C$23,"N/A")</f>
        <v>140000</v>
      </c>
      <c r="N170" s="538" cm="1">
        <f t="array" ref="N170">IF(B170&gt;0,'Direct Costs 2026'!$C$44*B170,"N/A")</f>
        <v>550000</v>
      </c>
      <c r="O170" s="538" cm="1">
        <f t="array" ref="O170">IF(B170&gt;0,_xlfn.IFERROR(VLOOKUP(C163,'Boats Data Sheet 2026'!$C$3:$I$57,7,0)*'Direct Costs 2026'!$C$36,"N/A"),"N/A")</f>
        <v>3325000</v>
      </c>
      <c r="P170" s="538" cm="1">
        <f t="array" ref="P170">IF(B170&gt;0,IF(OR(VLOOKUP(C163,'Boats Data Sheet 2026'!$C$3:$F$57,4,0)="Own",VLOOKUP(C163,'Boats Data Sheet 2026'!$C$3:$F$57,4,0)="Management"),('Direct Costs 2026'!$C$37+'Direct Costs 2026'!$C$39),"N/A"),"N/A")</f>
        <v>1112400</v>
      </c>
      <c r="Q170" s="538" cm="1">
        <f t="array" ref="Q170">_xlfn.IFERROR(IF(B170&gt;5,IF(B170&gt;11,IF(B170&gt;15,4,3),2),IF(B170=0,"N/A",1))*SUM('Direct Costs 2026'!$C$67:$C$68),"N/A")</f>
        <v>489600</v>
      </c>
      <c r="R170" s="538" cm="1">
        <f t="array" ref="R170">_xlfn.IFERROR('Direct Costs 2026'!$C$27*C170,"N/A")</f>
        <v>0</v>
      </c>
      <c r="S170" s="538" cm="1">
        <f t="array" ref="S170">_xlfn.IFERROR(C170+SUM(E170:R170),"N/A")</f>
        <v>7092500</v>
      </c>
      <c r="T170" s="424"/>
      <c r="U170" s="538" cm="1">
        <f t="array" ref="U170">IF(B170&gt;0,'Allocation OH and Target 2026'!$E$27,"N/A")</f>
        <v>2134447.30345641</v>
      </c>
      <c r="V170" s="538" cm="1">
        <f t="array" ref="V170">IF(B170&gt;0,'Allocation OH and Target 2026'!$E$28,"N/A")</f>
        <v>200042.323056976</v>
      </c>
      <c r="W170" s="538" cm="1">
        <f t="array" ref="W170">IF(B170&gt;0,VLOOKUP(C163,'Allocation OH and Target 2026'!$C$3:$T$23,17,0),"N/A")</f>
        <v>0</v>
      </c>
      <c r="X170" s="538" cm="1">
        <f t="array" ref="X170">IF(B170&gt;0,VLOOKUP(C163,'Allocation OH and Target 2026'!$C$3:$T$23,18,0),"N/A")</f>
        <v>0</v>
      </c>
      <c r="Y170" s="538" cm="1">
        <f t="array" ref="Y170">_xlfn.IFERROR(B170*(V170+X170),"N/A")</f>
        <v>1000211.61528488</v>
      </c>
      <c r="Z170" s="424"/>
      <c r="AA170" s="538" cm="1">
        <f t="array" ref="AA170">_xlfn.IFERROR(Y170+S170,"N/A")</f>
        <v>8092711.61528488</v>
      </c>
      <c r="AB170" s="538" cm="1">
        <f t="array" ref="AB170">_xlfn.IFERROR(AA170*0.5%,"N/A")</f>
        <v>40463.5580764244</v>
      </c>
      <c r="AC170" s="538" cm="1">
        <f t="array" ref="AC170">_xlfn.IFERROR(AA170*25%,"N/A")</f>
        <v>2023177.90382122</v>
      </c>
      <c r="AD170" s="539" cm="1">
        <f t="array" ref="AD170">IF(B170&gt;0,SUM(AA170:AC170),"N/A")</f>
        <v>10156353.0771825</v>
      </c>
      <c r="AE170" s="538" cm="1">
        <f t="array" ref="AE170">_xlfn.IFERROR(AD170/B170,"N/A")</f>
        <v>2031270.6154365</v>
      </c>
      <c r="AF170" s="424"/>
      <c r="AG170" t="str" s="546" cm="1">
        <f t="array" ref="AG170">IF(B170/VLOOKUP(C163,'Boats Data Sheet 2026'!$C$3:$H$57,6,0)&gt;VLOOKUP(C163,'Allocation OH and Target 2026'!$C$3:$J$23,8,0),IF(SUM(AH165:AH169)=0,AE170,"N/A"),"N/A")</f>
        <v>N/A</v>
      </c>
      <c r="AH170" s="424" cm="1">
        <f t="array" ref="AH170">IF(AG170="N/A",0,1)</f>
        <v>0</v>
      </c>
      <c r="AI170" t="str" s="547" cm="1">
        <f t="array" ref="AI170">IF(B170/VLOOKUP(C163,'Boats Data Sheet 2026'!$C$3:$H$57,6,0)&gt;VLOOKUP(C163,'Allocation OH and Target 2026'!$C$3:$J$23,8,0),IF(SUM(AH165:AH169)=0,S170/B170,"N/A"),"N/A")</f>
        <v>N/A</v>
      </c>
      <c r="AJ170" s="424" cm="1">
        <f t="array" ref="AJ170">IF(AI170="N/A",0,1)</f>
        <v>0</v>
      </c>
      <c r="AK170" t="str" s="527" cm="1">
        <f t="array" ref="AK170">IF(SUM($AG$120:$AG$137)*B170&lt;SUM(AA170:AB170),"NO GO","GO")</f>
        <v>NO GO</v>
      </c>
      <c r="AL170" s="424"/>
      <c r="AM170" t="s" s="541">
        <v>551</v>
      </c>
      <c r="AN170" s="563" cm="1">
        <f t="array" ref="AN170">(S175/B175)*AN166</f>
        <v>0</v>
      </c>
      <c r="AO170" s="538"/>
      <c r="AP170" s="542"/>
      <c r="AQ170" s="543" cm="1">
        <f t="array" ref="AQ170">B170</f>
        <v>5</v>
      </c>
      <c r="AR170" s="18"/>
    </row>
    <row r="171" ht="16" customHeight="1">
      <c r="A171" s="12"/>
      <c r="B171" s="544" cm="1">
        <f t="array" ref="B171">IF(B170=0,0,IF(B170&lt;VLOOKUP(C163,'Boats Data Sheet 2026'!$C$3:$H$57,6,0),B170+1,0))</f>
        <v>6</v>
      </c>
      <c r="C171" s="538" cm="1">
        <f t="array" ref="C171">IF(B171&gt;0,IF(VLOOKUP(C163,'Boats Data Sheet 2026'!$C$3:$J$57,8,0)="N/A",0,VLOOKUP(C163,'Boats Data Sheet 2026'!$C$3:$J$57,8,0)),"N/A")</f>
        <v>0</v>
      </c>
      <c r="D171" s="545" cm="1">
        <f t="array" ref="D171">IF(B171&gt;7,2,IF(B171=0,"N/A",1))</f>
        <v>1</v>
      </c>
      <c r="E171" s="538" cm="1">
        <f t="array" ref="E171">_xlfn.IFERROR(SUM('Direct Costs 2026'!$C$4:$C$5)*D171,"N/A")</f>
        <v>875500</v>
      </c>
      <c r="F171" s="538" cm="1">
        <f t="array" ref="F171">_xlfn.IFERROR('Direct Costs 2026'!$C$43*B171,"N/A")</f>
        <v>36000</v>
      </c>
      <c r="G171" s="538" cm="1">
        <f t="array" ref="G171">IF(B171&gt;0,'Direct Costs 2026'!$C$25,"N/A")</f>
        <v>90000</v>
      </c>
      <c r="H171" s="538" cm="1">
        <f t="array" ref="H171">IF(B171&gt;0,'Direct Costs 2026'!$C$19+'Direct Costs 2026'!$C$18*B171,"N/A")</f>
        <v>285000</v>
      </c>
      <c r="I171" s="538">
        <v>0</v>
      </c>
      <c r="J171" s="538">
        <v>0</v>
      </c>
      <c r="K171" s="538" cm="1">
        <f t="array" ref="K171">_xlfn.IFERROR((IF(B171&gt;0,'Direct Costs 2026'!$C$15+'Direct Costs 2026'!$C$14,"N/A")),"N/A")</f>
        <v>230000</v>
      </c>
      <c r="L171" s="538">
        <v>0</v>
      </c>
      <c r="M171" s="538" cm="1">
        <f t="array" ref="M171">IF(B171&gt;0,'Direct Costs 2026'!$C$23,"N/A")</f>
        <v>140000</v>
      </c>
      <c r="N171" s="538" cm="1">
        <f t="array" ref="N171">IF(B171&gt;0,'Direct Costs 2026'!$C$44*B171,"N/A")</f>
        <v>660000</v>
      </c>
      <c r="O171" s="538" cm="1">
        <f t="array" ref="O171">IF(B171&gt;0,_xlfn.IFERROR(VLOOKUP(C163,'Boats Data Sheet 2026'!$C$3:$I$57,7,0)*'Direct Costs 2026'!$C$36,"N/A"),"N/A")</f>
        <v>3325000</v>
      </c>
      <c r="P171" s="538" cm="1">
        <f t="array" ref="P171">IF(B171&gt;0,IF(OR(VLOOKUP(C163,'Boats Data Sheet 2026'!$C$3:$F$57,4,0)="Own",VLOOKUP(C163,'Boats Data Sheet 2026'!$C$3:$F$57,4,0)="Management"),('Direct Costs 2026'!$C$37+'Direct Costs 2026'!$C$39),"N/A"),"N/A")</f>
        <v>1112400</v>
      </c>
      <c r="Q171" s="538" cm="1">
        <f t="array" ref="Q171">_xlfn.IFERROR(IF(B171&gt;5,IF(B171&gt;11,IF(B171&gt;15,4,3),2),IF(B171=0,"N/A",1))*SUM('Direct Costs 2026'!$C$67:$C$68),"N/A")</f>
        <v>979200</v>
      </c>
      <c r="R171" s="538" cm="1">
        <f t="array" ref="R171">_xlfn.IFERROR('Direct Costs 2026'!$C$27*C171,"N/A")</f>
        <v>0</v>
      </c>
      <c r="S171" s="538" cm="1">
        <f t="array" ref="S171">_xlfn.IFERROR(C171+SUM(E171:R171),"N/A")</f>
        <v>7733100</v>
      </c>
      <c r="T171" s="424"/>
      <c r="U171" s="538" cm="1">
        <f t="array" ref="U171">IF(B171&gt;0,'Allocation OH and Target 2026'!$E$27,"N/A")</f>
        <v>2134447.30345641</v>
      </c>
      <c r="V171" s="538" cm="1">
        <f t="array" ref="V171">IF(B171&gt;0,'Allocation OH and Target 2026'!$E$28,"N/A")</f>
        <v>200042.323056976</v>
      </c>
      <c r="W171" s="538" cm="1">
        <f t="array" ref="W171">IF(B171&gt;0,VLOOKUP(C163,'Allocation OH and Target 2026'!$C$3:$T$23,17,0),"N/A")</f>
        <v>0</v>
      </c>
      <c r="X171" s="538" cm="1">
        <f t="array" ref="X171">IF(B171&gt;0,VLOOKUP(C163,'Allocation OH and Target 2026'!$C$3:$T$23,18,0),"N/A")</f>
        <v>0</v>
      </c>
      <c r="Y171" s="538" cm="1">
        <f t="array" ref="Y171">_xlfn.IFERROR(B171*(V171+X171),"N/A")</f>
        <v>1200253.93834186</v>
      </c>
      <c r="Z171" s="424"/>
      <c r="AA171" s="538" cm="1">
        <f t="array" ref="AA171">_xlfn.IFERROR(Y171+S171,"N/A")</f>
        <v>8933353.93834186</v>
      </c>
      <c r="AB171" s="538" cm="1">
        <f t="array" ref="AB171">_xlfn.IFERROR(AA171*0.5%,"N/A")</f>
        <v>44666.7696917093</v>
      </c>
      <c r="AC171" s="538" cm="1">
        <f t="array" ref="AC171">_xlfn.IFERROR(AA171*25%,"N/A")</f>
        <v>2233338.48458547</v>
      </c>
      <c r="AD171" s="539" cm="1">
        <f t="array" ref="AD171">IF(B171&gt;0,SUM(AA171:AC171),"N/A")</f>
        <v>11211359.192619</v>
      </c>
      <c r="AE171" s="538" cm="1">
        <f t="array" ref="AE171">_xlfn.IFERROR(AD171/B171,"N/A")</f>
        <v>1868559.8654365</v>
      </c>
      <c r="AF171" s="424"/>
      <c r="AG171" t="str" s="546" cm="1">
        <f t="array" ref="AG171">IF(B171/VLOOKUP(C163,'Boats Data Sheet 2026'!$C$3:$H$57,6,0)&gt;VLOOKUP(C163,'Allocation OH and Target 2026'!$C$3:$J$23,8,0),IF(SUM(AH165:AH170)=0,AE171,"N/A"),"N/A")</f>
        <v>N/A</v>
      </c>
      <c r="AH171" s="424" cm="1">
        <f t="array" ref="AH171">IF(AG171="N/A",0,1)</f>
        <v>0</v>
      </c>
      <c r="AI171" t="str" s="547" cm="1">
        <f t="array" ref="AI171">IF(B171/VLOOKUP(C163,'Boats Data Sheet 2026'!$C$3:$H$57,6,0)&gt;VLOOKUP(C163,'Allocation OH and Target 2026'!$C$3:$J$23,8,0),IF(SUM(AH165:AH170)=0,S171/B171,"N/A"),"N/A")</f>
        <v>N/A</v>
      </c>
      <c r="AJ171" s="424" cm="1">
        <f t="array" ref="AJ171">IF(AI171="N/A",0,1)</f>
        <v>0</v>
      </c>
      <c r="AK171" t="str" s="527" cm="1">
        <f t="array" ref="AK171">IF(SUM($AG$120:$AG$137)*B171&lt;SUM(AA171:AB171),"NO GO","GO")</f>
        <v>NO GO</v>
      </c>
      <c r="AL171" s="424"/>
      <c r="AM171" t="s" s="562">
        <v>394</v>
      </c>
      <c r="AN171" s="564" cm="1">
        <f t="array" ref="AN171">AN168-AN170</f>
        <v>0</v>
      </c>
      <c r="AO171" s="538"/>
      <c r="AP171" s="542"/>
      <c r="AQ171" s="543" cm="1">
        <f t="array" ref="AQ171">B171</f>
        <v>6</v>
      </c>
      <c r="AR171" s="18"/>
    </row>
    <row r="172" ht="16" customHeight="1">
      <c r="A172" s="12"/>
      <c r="B172" s="544" cm="1">
        <f t="array" ref="B172">IF(B171=0,0,IF(B171&lt;VLOOKUP(C163,'Boats Data Sheet 2026'!$C$3:$H$57,6,0),B171+1,0))</f>
        <v>7</v>
      </c>
      <c r="C172" s="538" cm="1">
        <f t="array" ref="C172">IF(B172&gt;0,IF(VLOOKUP(C163,'Boats Data Sheet 2026'!$C$3:$J$57,8,0)="N/A",0,VLOOKUP(C163,'Boats Data Sheet 2026'!$C$3:$J$57,8,0)),"N/A")</f>
        <v>0</v>
      </c>
      <c r="D172" s="545" cm="1">
        <f t="array" ref="D172">IF(B172&gt;7,2,IF(B172=0,"N/A",1))</f>
        <v>1</v>
      </c>
      <c r="E172" s="538" cm="1">
        <f t="array" ref="E172">_xlfn.IFERROR(SUM('Direct Costs 2026'!$C$4:$C$5)*D172,"N/A")</f>
        <v>875500</v>
      </c>
      <c r="F172" s="538" cm="1">
        <f t="array" ref="F172">_xlfn.IFERROR('Direct Costs 2026'!$C$43*B172,"N/A")</f>
        <v>42000</v>
      </c>
      <c r="G172" s="538" cm="1">
        <f t="array" ref="G172">IF(B172&gt;0,'Direct Costs 2026'!$C$25,"N/A")</f>
        <v>90000</v>
      </c>
      <c r="H172" s="538" cm="1">
        <f t="array" ref="H172">IF(B172&gt;0,'Direct Costs 2026'!$C$19+'Direct Costs 2026'!$C$18*B172,"N/A")</f>
        <v>320000</v>
      </c>
      <c r="I172" s="538">
        <v>0</v>
      </c>
      <c r="J172" s="538">
        <v>0</v>
      </c>
      <c r="K172" s="538" cm="1">
        <f t="array" ref="K172">_xlfn.IFERROR((IF(B172&gt;0,'Direct Costs 2026'!$C$15+'Direct Costs 2026'!$C$14,"N/A")),"N/A")</f>
        <v>230000</v>
      </c>
      <c r="L172" s="538">
        <v>0</v>
      </c>
      <c r="M172" s="538" cm="1">
        <f t="array" ref="M172">IF(B172&gt;0,'Direct Costs 2026'!$C$23,"N/A")</f>
        <v>140000</v>
      </c>
      <c r="N172" s="538" cm="1">
        <f t="array" ref="N172">IF(B172&gt;0,'Direct Costs 2026'!$C$44*B172,"N/A")</f>
        <v>770000</v>
      </c>
      <c r="O172" s="538" cm="1">
        <f t="array" ref="O172">IF(B172&gt;0,_xlfn.IFERROR(VLOOKUP(C163,'Boats Data Sheet 2026'!$C$3:$I$57,7,0)*'Direct Costs 2026'!$C$36,"N/A"),"N/A")</f>
        <v>3325000</v>
      </c>
      <c r="P172" s="538" cm="1">
        <f t="array" ref="P172">IF(B172&gt;0,IF(OR(VLOOKUP(C163,'Boats Data Sheet 2026'!$C$3:$F$57,4,0)="Own",VLOOKUP(C163,'Boats Data Sheet 2026'!$C$3:$F$57,4,0)="Management"),('Direct Costs 2026'!$C$37+'Direct Costs 2026'!$C$39),"N/A"),"N/A")</f>
        <v>1112400</v>
      </c>
      <c r="Q172" s="538" cm="1">
        <f t="array" ref="Q172">_xlfn.IFERROR(IF(B172&gt;5,IF(B172&gt;11,IF(B172&gt;15,4,3),2),IF(B172=0,"N/A",1))*SUM('Direct Costs 2026'!$C$67:$C$68),"N/A")</f>
        <v>979200</v>
      </c>
      <c r="R172" s="538" cm="1">
        <f t="array" ref="R172">_xlfn.IFERROR('Direct Costs 2026'!$C$27*C172,"N/A")</f>
        <v>0</v>
      </c>
      <c r="S172" s="538" cm="1">
        <f t="array" ref="S172">_xlfn.IFERROR(C172+SUM(E172:R172),"N/A")</f>
        <v>7884100</v>
      </c>
      <c r="T172" s="424"/>
      <c r="U172" s="538" cm="1">
        <f t="array" ref="U172">IF(B172&gt;0,'Allocation OH and Target 2026'!$E$27,"N/A")</f>
        <v>2134447.30345641</v>
      </c>
      <c r="V172" s="538" cm="1">
        <f t="array" ref="V172">IF(B172&gt;0,'Allocation OH and Target 2026'!$E$28,"N/A")</f>
        <v>200042.323056976</v>
      </c>
      <c r="W172" s="538" cm="1">
        <f t="array" ref="W172">IF(B172&gt;0,VLOOKUP(C163,'Allocation OH and Target 2026'!$C$3:$T$23,17,0),"N/A")</f>
        <v>0</v>
      </c>
      <c r="X172" s="538" cm="1">
        <f t="array" ref="X172">IF(B172&gt;0,VLOOKUP(C163,'Allocation OH and Target 2026'!$C$3:$T$23,18,0),"N/A")</f>
        <v>0</v>
      </c>
      <c r="Y172" s="538" cm="1">
        <f t="array" ref="Y172">_xlfn.IFERROR(B172*(V172+X172),"N/A")</f>
        <v>1400296.26139883</v>
      </c>
      <c r="Z172" s="424"/>
      <c r="AA172" s="538" cm="1">
        <f t="array" ref="AA172">_xlfn.IFERROR(Y172+S172,"N/A")</f>
        <v>9284396.26139883</v>
      </c>
      <c r="AB172" s="538" cm="1">
        <f t="array" ref="AB172">_xlfn.IFERROR(AA172*0.5%,"N/A")</f>
        <v>46421.9813069942</v>
      </c>
      <c r="AC172" s="538" cm="1">
        <f t="array" ref="AC172">_xlfn.IFERROR(AA172*25%,"N/A")</f>
        <v>2321099.06534971</v>
      </c>
      <c r="AD172" s="539" cm="1">
        <f t="array" ref="AD172">IF(B172&gt;0,SUM(AA172:AC172),"N/A")</f>
        <v>11651917.3080555</v>
      </c>
      <c r="AE172" s="538" cm="1">
        <f t="array" ref="AE172">_xlfn.IFERROR(AD172/B172,"N/A")</f>
        <v>1664559.6154365</v>
      </c>
      <c r="AF172" s="424"/>
      <c r="AG172" t="str" s="546" cm="1">
        <f t="array" ref="AG172">IF(B172/VLOOKUP(C163,'Boats Data Sheet 2026'!$C$3:$H$57,6,0)&gt;VLOOKUP(C163,'Allocation OH and Target 2026'!$C$3:$J$23,8,0),IF(SUM(AH165:AH171)=0,AE172,"N/A"),"N/A")</f>
        <v>N/A</v>
      </c>
      <c r="AH172" s="424" cm="1">
        <f t="array" ref="AH172">IF(AG172="N/A",0,1)</f>
        <v>0</v>
      </c>
      <c r="AI172" t="str" s="547" cm="1">
        <f t="array" ref="AI172">IF(B172/VLOOKUP(C163,'Boats Data Sheet 2026'!$C$3:$H$57,6,0)&gt;VLOOKUP(C163,'Allocation OH and Target 2026'!$C$3:$J$23,8,0),IF(SUM(AH165:AH171)=0,S172/B172,"N/A"),"N/A")</f>
        <v>N/A</v>
      </c>
      <c r="AJ172" s="424" cm="1">
        <f t="array" ref="AJ172">IF(AI172="N/A",0,1)</f>
        <v>0</v>
      </c>
      <c r="AK172" t="str" s="527" cm="1">
        <f t="array" ref="AK172">IF(SUM($AG$120:$AG$137)*B172&lt;SUM(AA172:AB172),"NO GO","GO")</f>
        <v>GO</v>
      </c>
      <c r="AL172" s="424"/>
      <c r="AM172" t="s" s="565">
        <v>560</v>
      </c>
      <c r="AN172" s="566" cm="1">
        <f t="array" ref="AN172">AN171*50%</f>
        <v>0</v>
      </c>
      <c r="AO172" s="538"/>
      <c r="AP172" s="542"/>
      <c r="AQ172" s="543" cm="1">
        <f t="array" ref="AQ172">B172</f>
        <v>7</v>
      </c>
      <c r="AR172" s="18"/>
    </row>
    <row r="173" ht="16" customHeight="1">
      <c r="A173" s="12"/>
      <c r="B173" s="544" cm="1">
        <f t="array" ref="B173">IF(B172=0,0,IF(B172&lt;VLOOKUP(C163,'Boats Data Sheet 2026'!$C$3:$H$57,6,0),B172+1,0))</f>
        <v>8</v>
      </c>
      <c r="C173" s="538" cm="1">
        <f t="array" ref="C173">IF(B173&gt;0,IF(VLOOKUP(C163,'Boats Data Sheet 2026'!$C$3:$J$57,8,0)="N/A",0,VLOOKUP(C163,'Boats Data Sheet 2026'!$C$3:$J$57,8,0)),"N/A")</f>
        <v>0</v>
      </c>
      <c r="D173" s="545" cm="1">
        <f t="array" ref="D173">IF(B173&gt;7,2,IF(B173=0,"N/A",1))</f>
        <v>2</v>
      </c>
      <c r="E173" s="538" cm="1">
        <f t="array" ref="E173">_xlfn.IFERROR(SUM('Direct Costs 2026'!$C$4:$C$5)*D173,"N/A")</f>
        <v>1751000</v>
      </c>
      <c r="F173" s="538" cm="1">
        <f t="array" ref="F173">_xlfn.IFERROR('Direct Costs 2026'!$C$43*B173,"N/A")</f>
        <v>48000</v>
      </c>
      <c r="G173" s="538" cm="1">
        <f t="array" ref="G173">IF(B173&gt;0,'Direct Costs 2026'!$C$25,"N/A")</f>
        <v>90000</v>
      </c>
      <c r="H173" s="538" cm="1">
        <f t="array" ref="H173">IF(B173&gt;0,'Direct Costs 2026'!$C$19+'Direct Costs 2026'!$C$18*B173,"N/A")</f>
        <v>355000</v>
      </c>
      <c r="I173" s="538">
        <v>0</v>
      </c>
      <c r="J173" s="538">
        <v>0</v>
      </c>
      <c r="K173" s="538" cm="1">
        <f t="array" ref="K173">_xlfn.IFERROR((IF(B173&gt;0,'Direct Costs 2026'!$C$15+'Direct Costs 2026'!$C$14,"N/A")),"N/A")</f>
        <v>230000</v>
      </c>
      <c r="L173" s="538">
        <v>0</v>
      </c>
      <c r="M173" s="538" cm="1">
        <f t="array" ref="M173">IF(B173&gt;0,'Direct Costs 2026'!$C$23,"N/A")</f>
        <v>140000</v>
      </c>
      <c r="N173" s="538" cm="1">
        <f t="array" ref="N173">IF(B173&gt;0,'Direct Costs 2026'!$C$44*B173,"N/A")</f>
        <v>880000</v>
      </c>
      <c r="O173" s="538" cm="1">
        <f t="array" ref="O173">IF(B173&gt;0,_xlfn.IFERROR(VLOOKUP(C163,'Boats Data Sheet 2026'!$C$3:$I$57,7,0)*'Direct Costs 2026'!$C$36,"N/A"),"N/A")</f>
        <v>3325000</v>
      </c>
      <c r="P173" s="538" cm="1">
        <f t="array" ref="P173">IF(B173&gt;0,IF(OR(VLOOKUP(C163,'Boats Data Sheet 2026'!$C$3:$F$57,4,0)="Own",VLOOKUP(C163,'Boats Data Sheet 2026'!$C$3:$F$57,4,0)="Management"),('Direct Costs 2026'!$C$37+'Direct Costs 2026'!$C$39),"N/A"),"N/A")</f>
        <v>1112400</v>
      </c>
      <c r="Q173" s="538" cm="1">
        <f t="array" ref="Q173">_xlfn.IFERROR(IF(B173&gt;5,IF(B173&gt;11,IF(B173&gt;15,4,3),2),IF(B173=0,"N/A",1))*SUM('Direct Costs 2026'!$C$67:$C$68),"N/A")</f>
        <v>979200</v>
      </c>
      <c r="R173" s="538" cm="1">
        <f t="array" ref="R173">_xlfn.IFERROR('Direct Costs 2026'!$C$27*C173,"N/A")</f>
        <v>0</v>
      </c>
      <c r="S173" s="538" cm="1">
        <f t="array" ref="S173">_xlfn.IFERROR(C173+SUM(E173:R173),"N/A")</f>
        <v>8910600</v>
      </c>
      <c r="T173" s="424"/>
      <c r="U173" s="538" cm="1">
        <f t="array" ref="U173">IF(B173&gt;0,'Allocation OH and Target 2026'!$E$27,"N/A")</f>
        <v>2134447.30345641</v>
      </c>
      <c r="V173" s="538" cm="1">
        <f t="array" ref="V173">IF(B173&gt;0,'Allocation OH and Target 2026'!$E$28,"N/A")</f>
        <v>200042.323056976</v>
      </c>
      <c r="W173" s="538" cm="1">
        <f t="array" ref="W173">IF(B173&gt;0,VLOOKUP(C163,'Allocation OH and Target 2026'!$C$3:$T$23,17,0),"N/A")</f>
        <v>0</v>
      </c>
      <c r="X173" s="538" cm="1">
        <f t="array" ref="X173">IF(B173&gt;0,VLOOKUP(C163,'Allocation OH and Target 2026'!$C$3:$T$23,18,0),"N/A")</f>
        <v>0</v>
      </c>
      <c r="Y173" s="538" cm="1">
        <f t="array" ref="Y173">_xlfn.IFERROR(B173*(V173+X173),"N/A")</f>
        <v>1600338.58445581</v>
      </c>
      <c r="Z173" s="424"/>
      <c r="AA173" s="538" cm="1">
        <f t="array" ref="AA173">_xlfn.IFERROR(Y173+S173,"N/A")</f>
        <v>10510938.5844558</v>
      </c>
      <c r="AB173" s="538" cm="1">
        <f t="array" ref="AB173">_xlfn.IFERROR(AA173*0.5%,"N/A")</f>
        <v>52554.692922279</v>
      </c>
      <c r="AC173" s="538" cm="1">
        <f t="array" ref="AC173">_xlfn.IFERROR(AA173*25%,"N/A")</f>
        <v>2627734.64611395</v>
      </c>
      <c r="AD173" s="539" cm="1">
        <f t="array" ref="AD173">IF(B173&gt;0,SUM(AA173:AC173),"N/A")</f>
        <v>13191227.923492</v>
      </c>
      <c r="AE173" s="538" cm="1">
        <f t="array" ref="AE173">_xlfn.IFERROR(AD173/B173,"N/A")</f>
        <v>1648903.4904365</v>
      </c>
      <c r="AF173" s="424"/>
      <c r="AG173" t="str" s="546" cm="1">
        <f t="array" ref="AG173">IF(B173/VLOOKUP(C163,'Boats Data Sheet 2026'!$C$3:$H$57,6,0)&gt;VLOOKUP(C163,'Allocation OH and Target 2026'!$C$3:$J$23,8,0),IF(SUM(AH165:AH172)=0,AE173,"N/A"),"N/A")</f>
        <v>N/A</v>
      </c>
      <c r="AH173" s="424" cm="1">
        <f t="array" ref="AH173">IF(AG173="N/A",0,1)</f>
        <v>0</v>
      </c>
      <c r="AI173" t="str" s="547" cm="1">
        <f t="array" ref="AI173">IF(B173/VLOOKUP(C163,'Boats Data Sheet 2026'!$C$3:$H$57,6,0)&gt;VLOOKUP(C163,'Allocation OH and Target 2026'!$C$3:$J$23,8,0),IF(SUM(AH165:AH172)=0,S173/B173,"N/A"),"N/A")</f>
        <v>N/A</v>
      </c>
      <c r="AJ173" s="424" cm="1">
        <f t="array" ref="AJ173">IF(AI173="N/A",0,1)</f>
        <v>0</v>
      </c>
      <c r="AK173" t="str" s="527" cm="1">
        <f t="array" ref="AK173">IF(SUM($AG$120:$AG$137)*B173&lt;SUM(AA173:AB173),"NO GO","GO")</f>
        <v>GO</v>
      </c>
      <c r="AL173" s="424"/>
      <c r="AM173" s="538"/>
      <c r="AN173" s="538"/>
      <c r="AO173" s="538"/>
      <c r="AP173" s="542"/>
      <c r="AQ173" s="543" cm="1">
        <f t="array" ref="AQ173">B173</f>
        <v>8</v>
      </c>
      <c r="AR173" s="18"/>
    </row>
    <row r="174" ht="16" customHeight="1">
      <c r="A174" s="12"/>
      <c r="B174" s="544" cm="1">
        <f t="array" ref="B174">IF(B173=0,0,IF(B173&lt;VLOOKUP(C163,'Boats Data Sheet 2026'!$C$3:$H$57,6,0),B173+1,0))</f>
        <v>9</v>
      </c>
      <c r="C174" s="538" cm="1">
        <f t="array" ref="C174">IF(B174&gt;0,IF(VLOOKUP(C163,'Boats Data Sheet 2026'!$C$3:$J$57,8,0)="N/A",0,VLOOKUP(C163,'Boats Data Sheet 2026'!$C$3:$J$57,8,0)),"N/A")</f>
        <v>0</v>
      </c>
      <c r="D174" s="545" cm="1">
        <f t="array" ref="D174">IF(B174&gt;7,2,IF(B174=0,"N/A",1))</f>
        <v>2</v>
      </c>
      <c r="E174" s="538" cm="1">
        <f t="array" ref="E174">_xlfn.IFERROR(SUM('Direct Costs 2026'!$C$4:$C$5)*D174,"N/A")</f>
        <v>1751000</v>
      </c>
      <c r="F174" s="538" cm="1">
        <f t="array" ref="F174">_xlfn.IFERROR('Direct Costs 2026'!$C$43*B174,"N/A")</f>
        <v>54000</v>
      </c>
      <c r="G174" s="538" cm="1">
        <f t="array" ref="G174">IF(B174&gt;0,'Direct Costs 2026'!$C$25,"N/A")</f>
        <v>90000</v>
      </c>
      <c r="H174" s="538" cm="1">
        <f t="array" ref="H174">IF(B174&gt;0,'Direct Costs 2026'!$C$19+'Direct Costs 2026'!$C$18*B174,"N/A")</f>
        <v>390000</v>
      </c>
      <c r="I174" s="538">
        <v>0</v>
      </c>
      <c r="J174" s="538">
        <v>0</v>
      </c>
      <c r="K174" s="538" cm="1">
        <f t="array" ref="K174">_xlfn.IFERROR((IF(B174&gt;0,'Direct Costs 2026'!$C$15+'Direct Costs 2026'!$C$14,"N/A")),"N/A")</f>
        <v>230000</v>
      </c>
      <c r="L174" s="538">
        <v>0</v>
      </c>
      <c r="M174" s="538" cm="1">
        <f t="array" ref="M174">IF(B174&gt;0,'Direct Costs 2026'!$C$23,"N/A")</f>
        <v>140000</v>
      </c>
      <c r="N174" s="538" cm="1">
        <f t="array" ref="N174">IF(B174&gt;0,'Direct Costs 2026'!$C$44*B174,"N/A")</f>
        <v>990000</v>
      </c>
      <c r="O174" s="538" cm="1">
        <f t="array" ref="O174">IF(B174&gt;0,_xlfn.IFERROR(VLOOKUP(C163,'Boats Data Sheet 2026'!$C$3:$I$57,7,0)*'Direct Costs 2026'!$C$36,"N/A"),"N/A")</f>
        <v>3325000</v>
      </c>
      <c r="P174" s="538" cm="1">
        <f t="array" ref="P174">IF(B174&gt;0,IF(OR(VLOOKUP(C163,'Boats Data Sheet 2026'!$C$3:$F$57,4,0)="Own",VLOOKUP(C163,'Boats Data Sheet 2026'!$C$3:$F$57,4,0)="Management"),('Direct Costs 2026'!$C$37+'Direct Costs 2026'!$C$39),"N/A"),"N/A")</f>
        <v>1112400</v>
      </c>
      <c r="Q174" s="538" cm="1">
        <f t="array" ref="Q174">_xlfn.IFERROR(IF(B174&gt;5,IF(B174&gt;11,IF(B174&gt;15,4,3),2),IF(B174=0,"N/A",1))*SUM('Direct Costs 2026'!$C$67:$C$68),"N/A")</f>
        <v>979200</v>
      </c>
      <c r="R174" s="538" cm="1">
        <f t="array" ref="R174">_xlfn.IFERROR('Direct Costs 2026'!$C$27*C174,"N/A")</f>
        <v>0</v>
      </c>
      <c r="S174" s="538" cm="1">
        <f t="array" ref="S174">_xlfn.IFERROR(C174+SUM(E174:R174),"N/A")</f>
        <v>9061600</v>
      </c>
      <c r="T174" s="424"/>
      <c r="U174" s="538" cm="1">
        <f t="array" ref="U174">IF(B174&gt;0,'Allocation OH and Target 2026'!$E$27,"N/A")</f>
        <v>2134447.30345641</v>
      </c>
      <c r="V174" s="538" cm="1">
        <f t="array" ref="V174">IF(B174&gt;0,'Allocation OH and Target 2026'!$E$28,"N/A")</f>
        <v>200042.323056976</v>
      </c>
      <c r="W174" s="538" cm="1">
        <f t="array" ref="W174">IF(B174&gt;0,VLOOKUP(C163,'Allocation OH and Target 2026'!$C$3:$T$23,17,0),"N/A")</f>
        <v>0</v>
      </c>
      <c r="X174" s="538" cm="1">
        <f t="array" ref="X174">IF(B174&gt;0,VLOOKUP(C163,'Allocation OH and Target 2026'!$C$3:$T$23,18,0),"N/A")</f>
        <v>0</v>
      </c>
      <c r="Y174" s="538" cm="1">
        <f t="array" ref="Y174">_xlfn.IFERROR(B174*(V174+X174),"N/A")</f>
        <v>1800380.90751278</v>
      </c>
      <c r="Z174" s="424"/>
      <c r="AA174" s="538" cm="1">
        <f t="array" ref="AA174">_xlfn.IFERROR(Y174+S174,"N/A")</f>
        <v>10861980.9075128</v>
      </c>
      <c r="AB174" s="538" cm="1">
        <f t="array" ref="AB174">_xlfn.IFERROR(AA174*0.5%,"N/A")</f>
        <v>54309.904537564</v>
      </c>
      <c r="AC174" s="538" cm="1">
        <f t="array" ref="AC174">_xlfn.IFERROR(AA174*25%,"N/A")</f>
        <v>2715495.2268782</v>
      </c>
      <c r="AD174" s="539" cm="1">
        <f t="array" ref="AD174">IF(B174&gt;0,SUM(AA174:AC174),"N/A")</f>
        <v>13631786.0389286</v>
      </c>
      <c r="AE174" s="538" cm="1">
        <f t="array" ref="AE174">_xlfn.IFERROR(AD174/B174,"N/A")</f>
        <v>1514642.89321429</v>
      </c>
      <c r="AF174" s="424"/>
      <c r="AG174" t="str" s="546" cm="1">
        <f t="array" ref="AG174">IF(B174/VLOOKUP(C163,'Boats Data Sheet 2026'!$C$3:$H$57,6,0)&gt;VLOOKUP(C163,'Allocation OH and Target 2026'!$C$3:$J$23,8,0),IF(SUM(AH165:AH173)=0,AE174,"N/A"),"N/A")</f>
        <v>N/A</v>
      </c>
      <c r="AH174" s="424" cm="1">
        <f t="array" ref="AH174">IF(AG174="N/A",0,1)</f>
        <v>0</v>
      </c>
      <c r="AI174" t="str" s="547" cm="1">
        <f t="array" ref="AI174">IF(B174/VLOOKUP(C163,'Boats Data Sheet 2026'!$C$3:$H$57,6,0)&gt;VLOOKUP(C163,'Allocation OH and Target 2026'!$C$3:$J$23,8,0),IF(SUM(AH165:AH173)=0,S174/B174,"N/A"),"N/A")</f>
        <v>N/A</v>
      </c>
      <c r="AJ174" s="424" cm="1">
        <f t="array" ref="AJ174">IF(AI174="N/A",0,1)</f>
        <v>0</v>
      </c>
      <c r="AK174" t="str" s="527" cm="1">
        <f t="array" ref="AK174">IF(SUM($AG$120:$AG$137)*B174&lt;SUM(AA174:AB174),"NO GO","GO")</f>
        <v>GO</v>
      </c>
      <c r="AL174" s="424"/>
      <c r="AM174" s="538"/>
      <c r="AN174" s="538"/>
      <c r="AO174" s="538"/>
      <c r="AP174" s="542"/>
      <c r="AQ174" s="543" cm="1">
        <f t="array" ref="AQ174">B174</f>
        <v>9</v>
      </c>
      <c r="AR174" s="18"/>
    </row>
    <row r="175" ht="16" customHeight="1">
      <c r="A175" s="12"/>
      <c r="B175" s="544" cm="1">
        <f t="array" ref="B175">IF(B174=0,0,IF(B174&lt;VLOOKUP(C163,'Boats Data Sheet 2026'!$C$3:$H$57,6,0),B174+1,0))</f>
        <v>10</v>
      </c>
      <c r="C175" s="538" cm="1">
        <f t="array" ref="C175">IF(B175&gt;0,IF(VLOOKUP(C163,'Boats Data Sheet 2026'!$C$3:$J$57,8,0)="N/A",0,VLOOKUP(C163,'Boats Data Sheet 2026'!$C$3:$J$57,8,0)),"N/A")</f>
        <v>0</v>
      </c>
      <c r="D175" s="545" cm="1">
        <f t="array" ref="D175">IF(B175&gt;7,2,IF(B175=0,"N/A",1))</f>
        <v>2</v>
      </c>
      <c r="E175" s="538" cm="1">
        <f t="array" ref="E175">_xlfn.IFERROR(SUM('Direct Costs 2026'!$C$4:$C$5)*D175,"N/A")</f>
        <v>1751000</v>
      </c>
      <c r="F175" s="538" cm="1">
        <f t="array" ref="F175">_xlfn.IFERROR('Direct Costs 2026'!$C$43*B175,"N/A")</f>
        <v>60000</v>
      </c>
      <c r="G175" s="538" cm="1">
        <f t="array" ref="G175">IF(B175&gt;0,'Direct Costs 2026'!$C$25,"N/A")</f>
        <v>90000</v>
      </c>
      <c r="H175" s="538" cm="1">
        <f t="array" ref="H175">IF(B175&gt;0,'Direct Costs 2026'!$C$19+'Direct Costs 2026'!$C$18*B175,"N/A")</f>
        <v>425000</v>
      </c>
      <c r="I175" s="538">
        <v>0</v>
      </c>
      <c r="J175" s="538">
        <v>0</v>
      </c>
      <c r="K175" s="538" cm="1">
        <f t="array" ref="K175">_xlfn.IFERROR((IF(B175&gt;0,'Direct Costs 2026'!$C$15+'Direct Costs 2026'!$C$14,"N/A")),"N/A")</f>
        <v>230000</v>
      </c>
      <c r="L175" s="538">
        <v>0</v>
      </c>
      <c r="M175" s="538" cm="1">
        <f t="array" ref="M175">IF(B175&gt;0,'Direct Costs 2026'!$C$23,"N/A")</f>
        <v>140000</v>
      </c>
      <c r="N175" s="538" cm="1">
        <f t="array" ref="N175">IF(B175&gt;0,'Direct Costs 2026'!$C$44*B175,"N/A")</f>
        <v>1100000</v>
      </c>
      <c r="O175" s="538" cm="1">
        <f t="array" ref="O175">IF(B175&gt;0,_xlfn.IFERROR(VLOOKUP(C163,'Boats Data Sheet 2026'!$C$3:$I$57,7,0)*'Direct Costs 2026'!$C$36,"N/A"),"N/A")</f>
        <v>3325000</v>
      </c>
      <c r="P175" s="538" cm="1">
        <f t="array" ref="P175">IF(B175&gt;0,IF(OR(VLOOKUP(C163,'Boats Data Sheet 2026'!$C$3:$F$57,4,0)="Own",VLOOKUP(C163,'Boats Data Sheet 2026'!$C$3:$F$57,4,0)="Management"),('Direct Costs 2026'!$C$37+'Direct Costs 2026'!$C$39),"N/A"),"N/A")</f>
        <v>1112400</v>
      </c>
      <c r="Q175" s="538" cm="1">
        <f t="array" ref="Q175">_xlfn.IFERROR(IF(B175&gt;5,IF(B175&gt;11,IF(B175&gt;15,4,3),2),IF(B175=0,"N/A",1))*SUM('Direct Costs 2026'!$C$67:$C$68),"N/A")</f>
        <v>979200</v>
      </c>
      <c r="R175" s="538" cm="1">
        <f t="array" ref="R175">_xlfn.IFERROR('Direct Costs 2026'!$C$27*C175,"N/A")</f>
        <v>0</v>
      </c>
      <c r="S175" s="538" cm="1">
        <f t="array" ref="S175">_xlfn.IFERROR(C175+SUM(E175:R175),"N/A")</f>
        <v>9212600</v>
      </c>
      <c r="T175" s="424"/>
      <c r="U175" s="538" cm="1">
        <f t="array" ref="U175">IF(B175&gt;0,'Allocation OH and Target 2026'!$E$27,"N/A")</f>
        <v>2134447.30345641</v>
      </c>
      <c r="V175" s="538" cm="1">
        <f t="array" ref="V175">IF(B175&gt;0,'Allocation OH and Target 2026'!$E$28,"N/A")</f>
        <v>200042.323056976</v>
      </c>
      <c r="W175" s="538" cm="1">
        <f t="array" ref="W175">IF(B175&gt;0,VLOOKUP(C163,'Allocation OH and Target 2026'!$C$3:$T$23,17,0),"N/A")</f>
        <v>0</v>
      </c>
      <c r="X175" s="538" cm="1">
        <f t="array" ref="X175">IF(B175&gt;0,VLOOKUP(C163,'Allocation OH and Target 2026'!$C$3:$T$23,18,0),"N/A")</f>
        <v>0</v>
      </c>
      <c r="Y175" s="538" cm="1">
        <f t="array" ref="Y175">_xlfn.IFERROR(B175*(V175+X175),"N/A")</f>
        <v>2000423.23056976</v>
      </c>
      <c r="Z175" s="424"/>
      <c r="AA175" s="538" cm="1">
        <f t="array" ref="AA175">_xlfn.IFERROR(Y175+S175,"N/A")</f>
        <v>11213023.2305698</v>
      </c>
      <c r="AB175" s="538" cm="1">
        <f t="array" ref="AB175">_xlfn.IFERROR(AA175*0.5%,"N/A")</f>
        <v>56065.116152849</v>
      </c>
      <c r="AC175" s="538" cm="1">
        <f t="array" ref="AC175">_xlfn.IFERROR(AA175*25%,"N/A")</f>
        <v>2803255.80764245</v>
      </c>
      <c r="AD175" s="539" cm="1">
        <f t="array" ref="AD175">IF(B175&gt;0,SUM(AA175:AC175),"N/A")</f>
        <v>14072344.1543651</v>
      </c>
      <c r="AE175" s="538" cm="1">
        <f t="array" ref="AE175">_xlfn.IFERROR(AD175/B175,"N/A")</f>
        <v>1407234.41543651</v>
      </c>
      <c r="AF175" s="424"/>
      <c r="AG175" s="539" cm="1">
        <f t="array" ref="AG175">IF(B175/VLOOKUP(C163,'Boats Data Sheet 2026'!$C$3:$H$57,6,0)&gt;VLOOKUP(C163,'Allocation OH and Target 2026'!$C$3:$J$23,8,0),IF(SUM(AH165:AH174)=0,AE175,"N/A"),"N/A")</f>
        <v>1407234.41543651</v>
      </c>
      <c r="AH175" s="424" cm="1">
        <f t="array" ref="AH175">IF(AG175="N/A",0,1)</f>
        <v>1</v>
      </c>
      <c r="AI175" s="538" cm="1">
        <f t="array" ref="AI175">IF(B175/VLOOKUP(C163,'Boats Data Sheet 2026'!$C$3:$H$57,6,0)&gt;VLOOKUP(C163,'Allocation OH and Target 2026'!$C$3:$J$23,8,0),IF(SUM(AH165:AH174)=0,S175/B175,"N/A"),"N/A")</f>
        <v>921260</v>
      </c>
      <c r="AJ175" s="424" cm="1">
        <f t="array" ref="AJ175">IF(AI175="N/A",0,1)</f>
        <v>1</v>
      </c>
      <c r="AK175" t="str" s="527" cm="1">
        <f t="array" ref="AK175">IF(SUM($AG$120:$AG$137)*B175&lt;SUM(AA175:AB175),"NO GO","GO")</f>
        <v>GO</v>
      </c>
      <c r="AL175" s="424"/>
      <c r="AM175" s="538"/>
      <c r="AN175" s="538"/>
      <c r="AO175" s="538"/>
      <c r="AP175" s="542"/>
      <c r="AQ175" s="543" cm="1">
        <f t="array" ref="AQ175">B175</f>
        <v>10</v>
      </c>
      <c r="AR175" s="18"/>
    </row>
    <row r="176" ht="16" customHeight="1">
      <c r="A176" s="12"/>
      <c r="B176" s="544" cm="1">
        <f t="array" ref="B176">IF(B175=0,0,IF(B175&lt;VLOOKUP(C163,'Boats Data Sheet 2026'!$C$3:$H$57,6,0),B175+1,0))</f>
        <v>0</v>
      </c>
      <c r="C176" t="str" s="547" cm="1">
        <f t="array" ref="C176">IF(B176&gt;0,IF(VLOOKUP(C163,'Boats Data Sheet 2026'!$C$3:$J$57,8,0)="N/A",0,VLOOKUP(C163,'Boats Data Sheet 2026'!$C$3:$J$57,8,0)),"N/A")</f>
        <v>N/A</v>
      </c>
      <c r="D176" t="str" s="567" cm="1">
        <f t="array" ref="D176">IF(B176&gt;7,2,IF(B176=0,"N/A",1))</f>
        <v>N/A</v>
      </c>
      <c r="E176" t="str" s="547" cm="1">
        <f t="array" ref="E176">_xlfn.IFERROR(SUM('Direct Costs 2026'!$C$4:$C$5)*D176,"N/A")</f>
        <v>N/A</v>
      </c>
      <c r="F176" s="538" cm="1">
        <f t="array" ref="F176">_xlfn.IFERROR('Direct Costs 2026'!$C$43*B176,"N/A")</f>
        <v>0</v>
      </c>
      <c r="G176" t="str" s="547" cm="1">
        <f t="array" ref="G176">IF(B176&gt;0,'Direct Costs 2026'!$C$25,"N/A")</f>
        <v>N/A</v>
      </c>
      <c r="H176" t="str" s="547" cm="1">
        <f t="array" ref="H176">IF(B176&gt;0,'Direct Costs 2026'!$C$19+'Direct Costs 2026'!$C$18*B176,"N/A")</f>
        <v>N/A</v>
      </c>
      <c r="I176" s="538">
        <v>0</v>
      </c>
      <c r="J176" s="538">
        <v>0</v>
      </c>
      <c r="K176" t="str" s="547" cm="1">
        <f t="array" ref="K176">_xlfn.IFERROR((IF(B176&gt;0,'Direct Costs 2026'!$C$15+'Direct Costs 2026'!$C$14,"N/A")),"N/A")</f>
        <v>N/A</v>
      </c>
      <c r="L176" s="538">
        <v>0</v>
      </c>
      <c r="M176" t="str" s="547" cm="1">
        <f t="array" ref="M176">IF(B176&gt;0,'Direct Costs 2026'!$C$23,"N/A")</f>
        <v>N/A</v>
      </c>
      <c r="N176" t="str" s="547" cm="1">
        <f t="array" ref="N176">IF(B176&gt;0,'Direct Costs 2026'!$C$44*B176,"N/A")</f>
        <v>N/A</v>
      </c>
      <c r="O176" t="str" s="547" cm="1">
        <f t="array" ref="O176">IF(B176&gt;0,_xlfn.IFERROR(VLOOKUP(C163,'Boats Data Sheet 2026'!$C$3:$I$57,7,0)*'Direct Costs 2026'!$C$36,"N/A"),"N/A")</f>
        <v>N/A</v>
      </c>
      <c r="P176" t="str" s="547" cm="1">
        <f t="array" ref="P176">IF(B176&gt;0,IF(OR(VLOOKUP(C164,'Boats Data Sheet 2026'!$C$3:$F$57,4,0)="Own",VLOOKUP(C164,'Boats Data Sheet 2026'!$C$3:$F$57,4,0)="Management"),('Direct Costs 2026'!$C$37+'Direct Costs 2026'!$C$39),"N/A"),"N/A")</f>
        <v>N/A</v>
      </c>
      <c r="Q176" t="str" s="547" cm="1">
        <f t="array" ref="Q176">_xlfn.IFERROR(IF(B176&gt;5,IF(B176&gt;11,IF(B176&gt;15,4,3),2),IF(B176=0,"N/A",1))*SUM('Direct Costs 2026'!$C$67:$C$68),"N/A")</f>
        <v>N/A</v>
      </c>
      <c r="R176" t="str" s="547" cm="1">
        <f t="array" ref="R176">_xlfn.IFERROR('Direct Costs 2026'!$C$27*C176,"N/A")</f>
        <v>N/A</v>
      </c>
      <c r="S176" t="str" s="547" cm="1">
        <f t="array" ref="S176">_xlfn.IFERROR(C176+SUM(E176:R176),"N/A")</f>
        <v>N/A</v>
      </c>
      <c r="T176" s="424"/>
      <c r="U176" t="str" s="547" cm="1">
        <f t="array" ref="U176">IF(B176&gt;0,'Allocation OH and Target 2026'!$E$27,"N/A")</f>
        <v>N/A</v>
      </c>
      <c r="V176" t="str" s="547" cm="1">
        <f t="array" ref="V176">IF(B176&gt;0,'Allocation OH and Target 2026'!$E$28,"N/A")</f>
        <v>N/A</v>
      </c>
      <c r="W176" t="str" s="547" cm="1">
        <f t="array" ref="W176">IF(B176&gt;0,VLOOKUP(C163,'Allocation OH and Target 2026'!$C$3:$T$23,17,0),"N/A")</f>
        <v>N/A</v>
      </c>
      <c r="X176" t="str" s="547" cm="1">
        <f t="array" ref="X176">IF(B176&gt;0,VLOOKUP(C163,'Allocation OH and Target 2026'!$C$3:$T$23,18,0),"N/A")</f>
        <v>N/A</v>
      </c>
      <c r="Y176" t="str" s="547" cm="1">
        <f t="array" ref="Y176">_xlfn.IFERROR(B176*(V176+X176),"N/A")</f>
        <v>N/A</v>
      </c>
      <c r="Z176" s="424"/>
      <c r="AA176" t="str" s="547" cm="1">
        <f t="array" ref="AA176">_xlfn.IFERROR(Y176+S176,"N/A")</f>
        <v>N/A</v>
      </c>
      <c r="AB176" t="str" s="547" cm="1">
        <f t="array" ref="AB176">_xlfn.IFERROR(AA176*0.5%,"N/A")</f>
        <v>N/A</v>
      </c>
      <c r="AC176" t="str" s="547" cm="1">
        <f t="array" ref="AC176">_xlfn.IFERROR(AA176*25%,"N/A")</f>
        <v>N/A</v>
      </c>
      <c r="AD176" t="str" s="546" cm="1">
        <f t="array" ref="AD176">IF(B176&gt;0,SUM(AA176:AC176),"N/A")</f>
        <v>N/A</v>
      </c>
      <c r="AE176" t="str" s="547" cm="1">
        <f t="array" ref="AE176">_xlfn.IFERROR(AD176/B176,"N/A")</f>
        <v>N/A</v>
      </c>
      <c r="AF176" s="424"/>
      <c r="AG176" t="str" s="546" cm="1">
        <f t="array" ref="AG176">IF(B176/VLOOKUP(C163,'Boats Data Sheet 2026'!$C$3:$H$57,6,0)&gt;VLOOKUP(C163,'Allocation OH and Target 2026'!$C$3:$J$23,8,0),IF(SUM(AH165:AH175)=0,AE176,"N/A"),"N/A")</f>
        <v>N/A</v>
      </c>
      <c r="AH176" s="424" cm="1">
        <f t="array" ref="AH176">IF(AG176="N/A",0,1)</f>
        <v>0</v>
      </c>
      <c r="AI176" t="str" s="547" cm="1">
        <f t="array" ref="AI176">IF(B176/VLOOKUP(C163,'Boats Data Sheet 2026'!$C$3:$H$57,6,0)&gt;VLOOKUP(C163,'Allocation OH and Target 2026'!$C$3:$J$23,8,0),IF(SUM(AH165:AH175)=0,S176/B176,"N/A"),"N/A")</f>
        <v>N/A</v>
      </c>
      <c r="AJ176" s="424" cm="1">
        <f t="array" ref="AJ176">IF(AI176="N/A",0,1)</f>
        <v>0</v>
      </c>
      <c r="AK176" t="str" s="527" cm="1">
        <f t="array" ref="AK176">IF(SUM($AG$120:$AG$137)*B176&lt;SUM(AA176:AB176),"NO GO","GO")</f>
        <v>GO</v>
      </c>
      <c r="AL176" s="424"/>
      <c r="AM176" s="538"/>
      <c r="AN176" s="538"/>
      <c r="AO176" s="538"/>
      <c r="AP176" s="542"/>
      <c r="AQ176" s="543" cm="1">
        <f t="array" ref="AQ176">B176</f>
        <v>0</v>
      </c>
      <c r="AR176" s="18"/>
    </row>
    <row r="177" ht="16" customHeight="1">
      <c r="A177" s="12"/>
      <c r="B177" s="544" cm="1">
        <f t="array" ref="B177">IF(B176=0,0,IF(B176&lt;VLOOKUP(C163,'Boats Data Sheet 2026'!$C$3:$H$57,6,0),B176+1,0))</f>
        <v>0</v>
      </c>
      <c r="C177" t="str" s="547" cm="1">
        <f t="array" ref="C177">IF(B177&gt;0,IF(VLOOKUP(C163,'Boats Data Sheet 2026'!$C$3:$J$57,8,0)="N/A",0,VLOOKUP(C163,'Boats Data Sheet 2026'!$C$3:$J$57,8,0)),"N/A")</f>
        <v>N/A</v>
      </c>
      <c r="D177" t="str" s="567" cm="1">
        <f t="array" ref="D177">IF(B177&gt;7,2,IF(B177=0,"N/A",1))</f>
        <v>N/A</v>
      </c>
      <c r="E177" t="str" s="547" cm="1">
        <f t="array" ref="E177">_xlfn.IFERROR(SUM('Direct Costs 2026'!$C$4:$C$5)*D177,"N/A")</f>
        <v>N/A</v>
      </c>
      <c r="F177" s="538" cm="1">
        <f t="array" ref="F177">_xlfn.IFERROR('Direct Costs 2026'!$C$43*B177,"N/A")</f>
        <v>0</v>
      </c>
      <c r="G177" t="str" s="547" cm="1">
        <f t="array" ref="G177">IF(B177&gt;0,'Direct Costs 2026'!$C$25,"N/A")</f>
        <v>N/A</v>
      </c>
      <c r="H177" t="str" s="547" cm="1">
        <f t="array" ref="H177">IF(B177&gt;0,'Direct Costs 2026'!$C$19+'Direct Costs 2026'!$C$18*B177,"N/A")</f>
        <v>N/A</v>
      </c>
      <c r="I177" s="538">
        <v>0</v>
      </c>
      <c r="J177" s="538">
        <v>0</v>
      </c>
      <c r="K177" t="str" s="547" cm="1">
        <f t="array" ref="K177">_xlfn.IFERROR((IF(B177&gt;0,'Direct Costs 2026'!$C$15+'Direct Costs 2026'!$C$14,"N/A")),"N/A")</f>
        <v>N/A</v>
      </c>
      <c r="L177" s="538">
        <v>0</v>
      </c>
      <c r="M177" t="str" s="547" cm="1">
        <f t="array" ref="M177">IF(B177&gt;0,'Direct Costs 2026'!$C$23,"N/A")</f>
        <v>N/A</v>
      </c>
      <c r="N177" t="str" s="547" cm="1">
        <f t="array" ref="N177">IF(B177&gt;0,'Direct Costs 2026'!$C$44*B177,"N/A")</f>
        <v>N/A</v>
      </c>
      <c r="O177" t="str" s="547" cm="1">
        <f t="array" ref="O177">IF(B177&gt;0,_xlfn.IFERROR(VLOOKUP(C163,'Boats Data Sheet 2026'!$C$3:$I$57,7,0)*'Direct Costs 2026'!$C$36,"N/A"),"N/A")</f>
        <v>N/A</v>
      </c>
      <c r="P177" t="str" s="547" cm="1">
        <f t="array" ref="P177">IF(B177&gt;0,IF(OR(VLOOKUP(C165,'Boats Data Sheet 2026'!$C$3:$F$57,4,0)="Own",VLOOKUP(C165,'Boats Data Sheet 2026'!$C$3:$F$57,4,0)="Management"),('Direct Costs 2026'!$C$37+'Direct Costs 2026'!$C$39),"N/A"),"N/A")</f>
        <v>N/A</v>
      </c>
      <c r="Q177" t="str" s="547" cm="1">
        <f t="array" ref="Q177">_xlfn.IFERROR(IF(B177&gt;5,IF(B177&gt;11,IF(B177&gt;15,4,3),2),IF(B177=0,"N/A",1))*SUM('Direct Costs 2026'!$C$67:$C$68),"N/A")</f>
        <v>N/A</v>
      </c>
      <c r="R177" t="str" s="547" cm="1">
        <f t="array" ref="R177">_xlfn.IFERROR('Direct Costs 2026'!$C$27*C177,"N/A")</f>
        <v>N/A</v>
      </c>
      <c r="S177" t="str" s="547" cm="1">
        <f t="array" ref="S177">_xlfn.IFERROR(C177+SUM(E177:R177),"N/A")</f>
        <v>N/A</v>
      </c>
      <c r="T177" s="424"/>
      <c r="U177" t="str" s="547" cm="1">
        <f t="array" ref="U177">IF(B177&gt;0,'Allocation OH and Target 2026'!$E$27,"N/A")</f>
        <v>N/A</v>
      </c>
      <c r="V177" t="str" s="547" cm="1">
        <f t="array" ref="V177">IF(B177&gt;0,'Allocation OH and Target 2026'!$E$28,"N/A")</f>
        <v>N/A</v>
      </c>
      <c r="W177" t="str" s="547" cm="1">
        <f t="array" ref="W177">IF(B177&gt;0,VLOOKUP(C163,'Allocation OH and Target 2026'!$C$3:$T$23,17,0),"N/A")</f>
        <v>N/A</v>
      </c>
      <c r="X177" t="str" s="547" cm="1">
        <f t="array" ref="X177">IF(B177&gt;0,VLOOKUP(C163,'Allocation OH and Target 2026'!$C$3:$T$23,18,0),"N/A")</f>
        <v>N/A</v>
      </c>
      <c r="Y177" t="str" s="547" cm="1">
        <f t="array" ref="Y177">_xlfn.IFERROR(B177*(V177+X177),"N/A")</f>
        <v>N/A</v>
      </c>
      <c r="Z177" s="424"/>
      <c r="AA177" t="str" s="547" cm="1">
        <f t="array" ref="AA177">_xlfn.IFERROR(Y177+S177,"N/A")</f>
        <v>N/A</v>
      </c>
      <c r="AB177" t="str" s="547" cm="1">
        <f t="array" ref="AB177">_xlfn.IFERROR(AA177*0.5%,"N/A")</f>
        <v>N/A</v>
      </c>
      <c r="AC177" t="str" s="547" cm="1">
        <f t="array" ref="AC177">_xlfn.IFERROR(AA177*25%,"N/A")</f>
        <v>N/A</v>
      </c>
      <c r="AD177" t="str" s="546" cm="1">
        <f t="array" ref="AD177">IF(B177&gt;0,SUM(AA177:AC177),"N/A")</f>
        <v>N/A</v>
      </c>
      <c r="AE177" t="str" s="547" cm="1">
        <f t="array" ref="AE177">_xlfn.IFERROR(AD177/B177,"N/A")</f>
        <v>N/A</v>
      </c>
      <c r="AF177" s="424"/>
      <c r="AG177" t="str" s="546" cm="1">
        <f t="array" ref="AG177">IF(B177/VLOOKUP(C163,'Boats Data Sheet 2026'!$C$3:$H$57,6,0)&gt;VLOOKUP(C163,'Allocation OH and Target 2026'!$C$3:$J$23,8,0),IF(SUM(AH165:AH176)=0,AE177,"N/A"),"N/A")</f>
        <v>N/A</v>
      </c>
      <c r="AH177" s="424" cm="1">
        <f t="array" ref="AH177">IF(AG177="N/A",0,1)</f>
        <v>0</v>
      </c>
      <c r="AI177" t="str" s="547" cm="1">
        <f t="array" ref="AI177">IF(B177/VLOOKUP(C163,'Boats Data Sheet 2026'!$C$3:$H$57,6,0)&gt;VLOOKUP(C163,'Allocation OH and Target 2026'!$C$3:$J$23,8,0),IF(SUM(AH165:AH176)=0,S177/B177,"N/A"),"N/A")</f>
        <v>N/A</v>
      </c>
      <c r="AJ177" s="424" cm="1">
        <f t="array" ref="AJ177">IF(AI177="N/A",0,1)</f>
        <v>0</v>
      </c>
      <c r="AK177" t="str" s="527" cm="1">
        <f t="array" ref="AK177">IF(SUM($AG$120:$AG$137)*B177&lt;SUM(AA177:AB177),"NO GO","GO")</f>
        <v>GO</v>
      </c>
      <c r="AL177" s="424"/>
      <c r="AM177" s="538"/>
      <c r="AN177" s="538"/>
      <c r="AO177" s="538"/>
      <c r="AP177" s="542"/>
      <c r="AQ177" s="543" cm="1">
        <f t="array" ref="AQ177">B177</f>
        <v>0</v>
      </c>
      <c r="AR177" s="18"/>
    </row>
    <row r="178" ht="16" customHeight="1">
      <c r="A178" s="12"/>
      <c r="B178" s="544" cm="1">
        <f t="array" ref="B178">IF(B177=0,0,IF(B177&lt;VLOOKUP(C163,'Boats Data Sheet 2026'!$C$3:$H$57,6,0),B177+1,0))</f>
        <v>0</v>
      </c>
      <c r="C178" t="str" s="547" cm="1">
        <f t="array" ref="C178">IF(B178&gt;0,IF(VLOOKUP(C163,'Boats Data Sheet 2026'!$C$3:$J$57,8,0)="N/A",0,VLOOKUP(C163,'Boats Data Sheet 2026'!$C$3:$J$57,8,0)),"N/A")</f>
        <v>N/A</v>
      </c>
      <c r="D178" t="str" s="567" cm="1">
        <f t="array" ref="D178">IF(B178&gt;7,2,IF(B178=0,"N/A",1))</f>
        <v>N/A</v>
      </c>
      <c r="E178" t="str" s="547" cm="1">
        <f t="array" ref="E178">_xlfn.IFERROR(SUM('Direct Costs 2026'!$C$4:$C$5)*D178,"N/A")</f>
        <v>N/A</v>
      </c>
      <c r="F178" s="538" cm="1">
        <f t="array" ref="F178">_xlfn.IFERROR('Direct Costs 2026'!$C$43*B178,"N/A")</f>
        <v>0</v>
      </c>
      <c r="G178" t="str" s="547" cm="1">
        <f t="array" ref="G178">IF(B178&gt;0,'Direct Costs 2026'!$C$25,"N/A")</f>
        <v>N/A</v>
      </c>
      <c r="H178" t="str" s="547" cm="1">
        <f t="array" ref="H178">IF(B178&gt;0,'Direct Costs 2026'!$C$19+'Direct Costs 2026'!$C$18*B178,"N/A")</f>
        <v>N/A</v>
      </c>
      <c r="I178" s="538">
        <v>0</v>
      </c>
      <c r="J178" s="538">
        <v>0</v>
      </c>
      <c r="K178" t="str" s="547" cm="1">
        <f t="array" ref="K178">_xlfn.IFERROR((IF(B178&gt;0,'Direct Costs 2026'!$C$15+'Direct Costs 2026'!$C$14,"N/A")),"N/A")</f>
        <v>N/A</v>
      </c>
      <c r="L178" s="538">
        <v>0</v>
      </c>
      <c r="M178" t="str" s="547" cm="1">
        <f t="array" ref="M178">IF(B178&gt;0,'Direct Costs 2026'!$C$23,"N/A")</f>
        <v>N/A</v>
      </c>
      <c r="N178" t="str" s="547" cm="1">
        <f t="array" ref="N178">IF(B178&gt;0,'Direct Costs 2026'!$C$44*B178,"N/A")</f>
        <v>N/A</v>
      </c>
      <c r="O178" t="str" s="547" cm="1">
        <f t="array" ref="O178">IF(B178&gt;0,_xlfn.IFERROR(VLOOKUP(C163,'Boats Data Sheet 2026'!$C$3:$I$57,7,0)*'Direct Costs 2026'!$C$36,"N/A"),"N/A")</f>
        <v>N/A</v>
      </c>
      <c r="P178" t="str" s="547" cm="1">
        <f t="array" ref="P178">IF(B178&gt;0,IF(OR(VLOOKUP(C166,'Boats Data Sheet 2026'!$C$3:$F$57,4,0)="Own",VLOOKUP(C166,'Boats Data Sheet 2026'!$C$3:$F$57,4,0)="Management"),('Direct Costs 2026'!$C$37+'Direct Costs 2026'!$C$39),"N/A"),"N/A")</f>
        <v>N/A</v>
      </c>
      <c r="Q178" t="str" s="547" cm="1">
        <f t="array" ref="Q178">_xlfn.IFERROR(IF(B178&gt;5,IF(B178&gt;11,IF(B178&gt;15,4,3),2),IF(B178=0,"N/A",1))*SUM('Direct Costs 2026'!$C$67:$C$68),"N/A")</f>
        <v>N/A</v>
      </c>
      <c r="R178" t="str" s="547" cm="1">
        <f t="array" ref="R178">_xlfn.IFERROR('Direct Costs 2026'!$C$27*C178,"N/A")</f>
        <v>N/A</v>
      </c>
      <c r="S178" t="str" s="547" cm="1">
        <f t="array" ref="S178">_xlfn.IFERROR(C178+SUM(E178:R178),"N/A")</f>
        <v>N/A</v>
      </c>
      <c r="T178" s="424"/>
      <c r="U178" t="str" s="547" cm="1">
        <f t="array" ref="U178">IF(B178&gt;0,'Allocation OH and Target 2026'!$E$27,"N/A")</f>
        <v>N/A</v>
      </c>
      <c r="V178" t="str" s="547" cm="1">
        <f t="array" ref="V178">IF(B178&gt;0,'Allocation OH and Target 2026'!$E$28,"N/A")</f>
        <v>N/A</v>
      </c>
      <c r="W178" t="str" s="547" cm="1">
        <f t="array" ref="W178">IF(B178&gt;0,VLOOKUP(C163,'Allocation OH and Target 2026'!$C$3:$T$23,17,0),"N/A")</f>
        <v>N/A</v>
      </c>
      <c r="X178" t="str" s="547" cm="1">
        <f t="array" ref="X178">IF(B178&gt;0,VLOOKUP(C163,'Allocation OH and Target 2026'!$C$3:$T$23,18,0),"N/A")</f>
        <v>N/A</v>
      </c>
      <c r="Y178" t="str" s="547" cm="1">
        <f t="array" ref="Y178">_xlfn.IFERROR(B178*(V178+X178),"N/A")</f>
        <v>N/A</v>
      </c>
      <c r="Z178" s="424"/>
      <c r="AA178" t="str" s="547" cm="1">
        <f t="array" ref="AA178">_xlfn.IFERROR(Y178+S178,"N/A")</f>
        <v>N/A</v>
      </c>
      <c r="AB178" t="str" s="547" cm="1">
        <f t="array" ref="AB178">_xlfn.IFERROR(AA178*0.5%,"N/A")</f>
        <v>N/A</v>
      </c>
      <c r="AC178" t="str" s="547" cm="1">
        <f t="array" ref="AC178">_xlfn.IFERROR(AA178*25%,"N/A")</f>
        <v>N/A</v>
      </c>
      <c r="AD178" t="str" s="546" cm="1">
        <f t="array" ref="AD178">IF(B178&gt;0,SUM(AA178:AC178),"N/A")</f>
        <v>N/A</v>
      </c>
      <c r="AE178" t="str" s="547" cm="1">
        <f t="array" ref="AE178">_xlfn.IFERROR(AD178/B178,"N/A")</f>
        <v>N/A</v>
      </c>
      <c r="AF178" s="424"/>
      <c r="AG178" t="str" s="546" cm="1">
        <f t="array" ref="AG178">IF(B178/VLOOKUP(C163,'Boats Data Sheet 2026'!$C$3:$H$57,6,0)&gt;VLOOKUP(C163,'Allocation OH and Target 2026'!$C$3:$J$23,8,0),IF(SUM(AH165:AH177)=0,AE178,"N/A"),"N/A")</f>
        <v>N/A</v>
      </c>
      <c r="AH178" s="424" cm="1">
        <f t="array" ref="AH178">IF(AG178="N/A",0,1)</f>
        <v>0</v>
      </c>
      <c r="AI178" t="str" s="547" cm="1">
        <f t="array" ref="AI178">IF(B178/VLOOKUP(C163,'Boats Data Sheet 2026'!$C$3:$H$57,6,0)&gt;VLOOKUP(C163,'Allocation OH and Target 2026'!$C$3:$J$23,8,0),IF(SUM(AH165:AH177)=0,S178/B178,"N/A"),"N/A")</f>
        <v>N/A</v>
      </c>
      <c r="AJ178" s="424" cm="1">
        <f t="array" ref="AJ178">IF(AI178="N/A",0,1)</f>
        <v>0</v>
      </c>
      <c r="AK178" t="str" s="527" cm="1">
        <f t="array" ref="AK178">IF(SUM($AG$120:$AG$137)*B178&lt;SUM(AA178:AB178),"NO GO","GO")</f>
        <v>GO</v>
      </c>
      <c r="AL178" s="424"/>
      <c r="AM178" s="538"/>
      <c r="AN178" s="538"/>
      <c r="AO178" s="538"/>
      <c r="AP178" s="542"/>
      <c r="AQ178" s="543" cm="1">
        <f t="array" ref="AQ178">B178</f>
        <v>0</v>
      </c>
      <c r="AR178" s="18"/>
    </row>
    <row r="179" ht="16" customHeight="1">
      <c r="A179" s="12"/>
      <c r="B179" s="544" cm="1">
        <f t="array" ref="B179">IF(B178=0,0,IF(B178&lt;VLOOKUP(C163,'Boats Data Sheet 2026'!$C$3:$H$57,6,0),B178+1,0))</f>
        <v>0</v>
      </c>
      <c r="C179" t="str" s="547" cm="1">
        <f t="array" ref="C179">IF(B179&gt;0,IF(VLOOKUP(C163,'Boats Data Sheet 2026'!$C$3:$J$57,8,0)="N/A",0,VLOOKUP(C163,'Boats Data Sheet 2026'!$C$3:$J$57,8,0)),"N/A")</f>
        <v>N/A</v>
      </c>
      <c r="D179" t="str" s="547" cm="1">
        <f t="array" ref="D179">IF(B179&gt;7,2,IF(B179=0,"N/A",1))</f>
        <v>N/A</v>
      </c>
      <c r="E179" t="str" s="547" cm="1">
        <f t="array" ref="E179">_xlfn.IFERROR(SUM('Direct Costs 2026'!$C$4:$C$5)*D179,"N/A")</f>
        <v>N/A</v>
      </c>
      <c r="F179" s="538" cm="1">
        <f t="array" ref="F179">_xlfn.IFERROR('Direct Costs 2026'!$C$43*B179,"N/A")</f>
        <v>0</v>
      </c>
      <c r="G179" t="str" s="547" cm="1">
        <f t="array" ref="G179">IF(B179&gt;0,'Direct Costs 2026'!$C$25,"N/A")</f>
        <v>N/A</v>
      </c>
      <c r="H179" t="str" s="547" cm="1">
        <f t="array" ref="H179">IF(B179&gt;0,'Direct Costs 2026'!$C$19+'Direct Costs 2026'!$C$18*B179,"N/A")</f>
        <v>N/A</v>
      </c>
      <c r="I179" s="538">
        <v>0</v>
      </c>
      <c r="J179" s="538">
        <v>0</v>
      </c>
      <c r="K179" t="str" s="547" cm="1">
        <f t="array" ref="K179">_xlfn.IFERROR((IF(B179&gt;0,'Direct Costs 2026'!$C$15+'Direct Costs 2026'!$C$14,"N/A")),"N/A")</f>
        <v>N/A</v>
      </c>
      <c r="L179" s="538">
        <v>0</v>
      </c>
      <c r="M179" t="str" s="547" cm="1">
        <f t="array" ref="M179">IF(B179&gt;0,'Direct Costs 2026'!$C$23,"N/A")</f>
        <v>N/A</v>
      </c>
      <c r="N179" t="str" s="547" cm="1">
        <f t="array" ref="N179">IF(B179&gt;0,'Direct Costs 2026'!$C$44*B179,"N/A")</f>
        <v>N/A</v>
      </c>
      <c r="O179" t="str" s="547" cm="1">
        <f t="array" ref="O179">IF(B179&gt;0,_xlfn.IFERROR(VLOOKUP(C163,'Boats Data Sheet 2026'!$C$3:$I$57,7,0)*'Direct Costs 2026'!$C$36,"N/A"),"N/A")</f>
        <v>N/A</v>
      </c>
      <c r="P179" t="str" s="547" cm="1">
        <f t="array" ref="P179">IF(B179&gt;0,IF(OR(VLOOKUP(C167,'Boats Data Sheet 2026'!$C$3:$F$57,4,0)="Own",VLOOKUP(C167,'Boats Data Sheet 2026'!$C$3:$F$57,4,0)="Management"),('Direct Costs 2026'!$C$37+'Direct Costs 2026'!$C$39),"N/A"),"N/A")</f>
        <v>N/A</v>
      </c>
      <c r="Q179" t="str" s="547" cm="1">
        <f t="array" ref="Q179">_xlfn.IFERROR(IF(B179&gt;5,IF(B179&gt;11,IF(B179&gt;15,4,3),2),IF(B179=0,"N/A",1))*SUM('Direct Costs 2026'!$C$67:$C$68),"N/A")</f>
        <v>N/A</v>
      </c>
      <c r="R179" t="str" s="547" cm="1">
        <f t="array" ref="R179">_xlfn.IFERROR('Direct Costs 2026'!$C$27*C179,"N/A")</f>
        <v>N/A</v>
      </c>
      <c r="S179" t="str" s="547" cm="1">
        <f t="array" ref="S179">_xlfn.IFERROR(C179+SUM(E179:R179),"N/A")</f>
        <v>N/A</v>
      </c>
      <c r="T179" s="424"/>
      <c r="U179" t="str" s="547" cm="1">
        <f t="array" ref="U179">IF(B179&gt;0,'Allocation OH and Target 2026'!$E$27,"N/A")</f>
        <v>N/A</v>
      </c>
      <c r="V179" t="str" s="547" cm="1">
        <f t="array" ref="V179">IF(B179&gt;0,'Allocation OH and Target 2026'!$E$28,"N/A")</f>
        <v>N/A</v>
      </c>
      <c r="W179" t="str" s="547" cm="1">
        <f t="array" ref="W179">IF(B179&gt;0,VLOOKUP(C163,'Allocation OH and Target 2026'!$C$3:$T$23,17,0),"N/A")</f>
        <v>N/A</v>
      </c>
      <c r="X179" t="str" s="547" cm="1">
        <f t="array" ref="X179">IF(B179&gt;0,VLOOKUP(C163,'Allocation OH and Target 2026'!$C$3:$T$23,18,0),"N/A")</f>
        <v>N/A</v>
      </c>
      <c r="Y179" t="str" s="547" cm="1">
        <f t="array" ref="Y179">_xlfn.IFERROR(B179*(V179+X179),"N/A")</f>
        <v>N/A</v>
      </c>
      <c r="Z179" s="424"/>
      <c r="AA179" t="str" s="547" cm="1">
        <f t="array" ref="AA179">_xlfn.IFERROR(Y179+S179,"N/A")</f>
        <v>N/A</v>
      </c>
      <c r="AB179" t="str" s="547" cm="1">
        <f t="array" ref="AB179">_xlfn.IFERROR(AA179*0.5%,"N/A")</f>
        <v>N/A</v>
      </c>
      <c r="AC179" t="str" s="547" cm="1">
        <f t="array" ref="AC179">_xlfn.IFERROR(AA179*25%,"N/A")</f>
        <v>N/A</v>
      </c>
      <c r="AD179" t="str" s="546" cm="1">
        <f t="array" ref="AD179">IF(B179&gt;0,SUM(AA179:AC179),"N/A")</f>
        <v>N/A</v>
      </c>
      <c r="AE179" t="str" s="547" cm="1">
        <f t="array" ref="AE179">_xlfn.IFERROR(AD179/B179,"N/A")</f>
        <v>N/A</v>
      </c>
      <c r="AF179" s="424"/>
      <c r="AG179" t="str" s="546" cm="1">
        <f t="array" ref="AG179">IF(B179/VLOOKUP(C163,'Boats Data Sheet 2026'!$C$3:$H$57,6,0)&gt;VLOOKUP(C163,'Allocation OH and Target 2026'!$C$3:$J$23,8,0),IF(SUM(AH165:AH178)=0,AE179,"N/A"),"N/A")</f>
        <v>N/A</v>
      </c>
      <c r="AH179" s="424" cm="1">
        <f t="array" ref="AH179">IF(AG179="N/A",0,1)</f>
        <v>0</v>
      </c>
      <c r="AI179" t="str" s="547" cm="1">
        <f t="array" ref="AI179">IF(B179/VLOOKUP(C163,'Boats Data Sheet 2026'!$C$3:$H$57,6,0)&gt;VLOOKUP(C163,'Allocation OH and Target 2026'!$C$3:$J$23,8,0),IF(SUM(AH165:AH178)=0,S179/B179,"N/A"),"N/A")</f>
        <v>N/A</v>
      </c>
      <c r="AJ179" s="424" cm="1">
        <f t="array" ref="AJ179">IF(AI179="N/A",0,1)</f>
        <v>0</v>
      </c>
      <c r="AK179" t="str" s="527" cm="1">
        <f t="array" ref="AK179">IF(SUM($AG$120:$AG$137)*B179&lt;SUM(AA179:AB179),"NO GO","GO")</f>
        <v>GO</v>
      </c>
      <c r="AL179" s="424"/>
      <c r="AM179" s="538"/>
      <c r="AN179" s="538"/>
      <c r="AO179" s="538"/>
      <c r="AP179" s="542"/>
      <c r="AQ179" s="543" cm="1">
        <f t="array" ref="AQ179">B179</f>
        <v>0</v>
      </c>
      <c r="AR179" s="18"/>
    </row>
    <row r="180" ht="16" customHeight="1">
      <c r="A180" s="12"/>
      <c r="B180" s="544" cm="1">
        <f t="array" ref="B180">IF(B179=0,0,IF(B179&lt;VLOOKUP(C163,'Boats Data Sheet 2026'!$C$3:$H$57,6,0),B179+1,0))</f>
        <v>0</v>
      </c>
      <c r="C180" t="str" s="547" cm="1">
        <f t="array" ref="C180">IF(B180&gt;0,IF(VLOOKUP(C163,'Boats Data Sheet 2026'!$C$3:$J$57,8,0)="N/A",0,VLOOKUP(C163,'Boats Data Sheet 2026'!$C$3:$J$57,8,0)),"N/A")</f>
        <v>N/A</v>
      </c>
      <c r="D180" t="str" s="547" cm="1">
        <f t="array" ref="D180">IF(B180&gt;7,2,IF(B180=0,"N/A",1))</f>
        <v>N/A</v>
      </c>
      <c r="E180" t="str" s="547" cm="1">
        <f t="array" ref="E180">_xlfn.IFERROR(SUM('Direct Costs 2026'!$C$4:$C$5)*D180,"N/A")</f>
        <v>N/A</v>
      </c>
      <c r="F180" s="538" cm="1">
        <f t="array" ref="F180">_xlfn.IFERROR('Direct Costs 2026'!$C$43*B180,"N/A")</f>
        <v>0</v>
      </c>
      <c r="G180" t="str" s="547" cm="1">
        <f t="array" ref="G180">IF(B180&gt;0,'Direct Costs 2026'!$C$25,"N/A")</f>
        <v>N/A</v>
      </c>
      <c r="H180" t="str" s="547" cm="1">
        <f t="array" ref="H180">IF(B180&gt;0,'Direct Costs 2026'!$C$19+'Direct Costs 2026'!$C$18*B180,"N/A")</f>
        <v>N/A</v>
      </c>
      <c r="I180" s="538">
        <v>0</v>
      </c>
      <c r="J180" s="538">
        <v>0</v>
      </c>
      <c r="K180" t="str" s="547" cm="1">
        <f t="array" ref="K180">_xlfn.IFERROR((IF(B180&gt;0,'Direct Costs 2026'!$C$15+'Direct Costs 2026'!$C$14,"N/A")),"N/A")</f>
        <v>N/A</v>
      </c>
      <c r="L180" s="538">
        <v>0</v>
      </c>
      <c r="M180" t="str" s="547" cm="1">
        <f t="array" ref="M180">IF(B180&gt;0,'Direct Costs 2026'!$C$23,"N/A")</f>
        <v>N/A</v>
      </c>
      <c r="N180" t="str" s="547" cm="1">
        <f t="array" ref="N180">IF(B180&gt;0,'Direct Costs 2026'!$C$44*B180,"N/A")</f>
        <v>N/A</v>
      </c>
      <c r="O180" t="str" s="547" cm="1">
        <f t="array" ref="O180">IF(B180&gt;0,_xlfn.IFERROR(VLOOKUP(C163,'Boats Data Sheet 2026'!$C$3:$I$57,7,0)*'Direct Costs 2026'!$C$36,"N/A"),"N/A")</f>
        <v>N/A</v>
      </c>
      <c r="P180" t="str" s="547" cm="1">
        <f t="array" ref="P180">IF(B180&gt;0,IF(OR(VLOOKUP(C168,'Boats Data Sheet 2026'!$C$3:$F$57,4,0)="Own",VLOOKUP(C168,'Boats Data Sheet 2026'!$C$3:$F$57,4,0)="Management"),('Direct Costs 2026'!$C$37+'Direct Costs 2026'!$C$39),"N/A"),"N/A")</f>
        <v>N/A</v>
      </c>
      <c r="Q180" t="str" s="547" cm="1">
        <f t="array" ref="Q180">_xlfn.IFERROR(IF(B180&gt;5,IF(B180&gt;11,IF(B180&gt;15,4,3),2),IF(B180=0,"N/A",1))*SUM('Direct Costs 2026'!$C$67:$C$68),"N/A")</f>
        <v>N/A</v>
      </c>
      <c r="R180" t="str" s="547" cm="1">
        <f t="array" ref="R180">_xlfn.IFERROR('Direct Costs 2026'!$C$27*C180,"N/A")</f>
        <v>N/A</v>
      </c>
      <c r="S180" t="str" s="547" cm="1">
        <f t="array" ref="S180">_xlfn.IFERROR(C180+SUM(E180:R180),"N/A")</f>
        <v>N/A</v>
      </c>
      <c r="T180" s="424"/>
      <c r="U180" t="str" s="547" cm="1">
        <f t="array" ref="U180">IF(B180&gt;0,'Allocation OH and Target 2026'!$E$27,"N/A")</f>
        <v>N/A</v>
      </c>
      <c r="V180" t="str" s="547" cm="1">
        <f t="array" ref="V180">IF(B180&gt;0,'Allocation OH and Target 2026'!$E$28,"N/A")</f>
        <v>N/A</v>
      </c>
      <c r="W180" t="str" s="547" cm="1">
        <f t="array" ref="W180">IF(B180&gt;0,VLOOKUP(C163,'Allocation OH and Target 2026'!$C$3:$T$23,17,0),"N/A")</f>
        <v>N/A</v>
      </c>
      <c r="X180" t="str" s="547" cm="1">
        <f t="array" ref="X180">IF(B180&gt;0,VLOOKUP(C163,'Allocation OH and Target 2026'!$C$3:$T$23,18,0),"N/A")</f>
        <v>N/A</v>
      </c>
      <c r="Y180" t="str" s="547" cm="1">
        <f t="array" ref="Y180">_xlfn.IFERROR(V180*B180+X180,"N/A")</f>
        <v>N/A</v>
      </c>
      <c r="Z180" s="424"/>
      <c r="AA180" t="str" s="547" cm="1">
        <f t="array" ref="AA180">_xlfn.IFERROR(Y180+S180,"N/A")</f>
        <v>N/A</v>
      </c>
      <c r="AB180" t="str" s="547" cm="1">
        <f t="array" ref="AB180">_xlfn.IFERROR(AA180*0.5%,"N/A")</f>
        <v>N/A</v>
      </c>
      <c r="AC180" t="str" s="547" cm="1">
        <f t="array" ref="AC180">_xlfn.IFERROR(AA180*25%,"N/A")</f>
        <v>N/A</v>
      </c>
      <c r="AD180" t="str" s="546" cm="1">
        <f t="array" ref="AD180">IF(B180&gt;0,SUM(AA180:AC180),"N/A")</f>
        <v>N/A</v>
      </c>
      <c r="AE180" t="str" s="547" cm="1">
        <f t="array" ref="AE180">_xlfn.IFERROR(AD180/B180,"N/A")</f>
        <v>N/A</v>
      </c>
      <c r="AF180" s="424"/>
      <c r="AG180" t="str" s="546" cm="1">
        <f t="array" ref="AG180">IF(B180/VLOOKUP(C163,'Boats Data Sheet 2026'!$C$3:$H$57,6,0)&gt;VLOOKUP(C163,'Allocation OH and Target 2026'!$C$3:$J$23,8,0),IF(SUM(AH165:AH179)=0,AE180,"N/A"),"N/A")</f>
        <v>N/A</v>
      </c>
      <c r="AH180" s="424" cm="1">
        <f t="array" ref="AH180">IF(AG180="N/A",0,1)</f>
        <v>0</v>
      </c>
      <c r="AI180" t="str" s="547" cm="1">
        <f t="array" ref="AI180">IF(B180/VLOOKUP(C163,'Boats Data Sheet 2026'!$C$3:$H$57,6,0)&gt;VLOOKUP(C163,'Allocation OH and Target 2026'!$C$3:$J$23,8,0),IF(SUM(AH165:AH179)=0,S180/B180,"N/A"),"N/A")</f>
        <v>N/A</v>
      </c>
      <c r="AJ180" s="424" cm="1">
        <f t="array" ref="AJ180">IF(AI180="N/A",0,1)</f>
        <v>0</v>
      </c>
      <c r="AK180" t="str" s="527" cm="1">
        <f t="array" ref="AK180">IF(SUM($AG$120:$AG$137)*B180&lt;SUM(AA180:AB180),"NO GO","GO")</f>
        <v>GO</v>
      </c>
      <c r="AL180" s="424"/>
      <c r="AM180" s="538"/>
      <c r="AN180" s="538"/>
      <c r="AO180" s="538"/>
      <c r="AP180" s="542"/>
      <c r="AQ180" s="543" cm="1">
        <f t="array" ref="AQ180">B180</f>
        <v>0</v>
      </c>
      <c r="AR180" s="18"/>
    </row>
    <row r="181" ht="16" customHeight="1">
      <c r="A181" s="12"/>
      <c r="B181" s="544" cm="1">
        <f t="array" ref="B181">IF(B180=0,0,IF(B180&lt;VLOOKUP(C163,'Boats Data Sheet 2026'!$C$3:$H$57,6,0),B180+1,0))</f>
        <v>0</v>
      </c>
      <c r="C181" t="str" s="547" cm="1">
        <f t="array" ref="C181">IF(B181&gt;0,IF(VLOOKUP(C163,'Boats Data Sheet 2026'!$C$3:$J$57,8,0)="N/A",0,VLOOKUP(C163,'Boats Data Sheet 2026'!$C$3:$J$57,8,0)),"N/A")</f>
        <v>N/A</v>
      </c>
      <c r="D181" t="str" s="547" cm="1">
        <f t="array" ref="D181">IF(B181&gt;7,2,IF(B181=0,"N/A",1))</f>
        <v>N/A</v>
      </c>
      <c r="E181" t="str" s="547" cm="1">
        <f t="array" ref="E181">_xlfn.IFERROR(SUM('Direct Costs 2026'!$C$4:$C$5)*D181,"N/A")</f>
        <v>N/A</v>
      </c>
      <c r="F181" s="538" cm="1">
        <f t="array" ref="F181">_xlfn.IFERROR('Direct Costs 2026'!$C$43*B181,"N/A")</f>
        <v>0</v>
      </c>
      <c r="G181" t="str" s="547" cm="1">
        <f t="array" ref="G181">IF(B181&gt;0,'Direct Costs 2026'!$C$25,"N/A")</f>
        <v>N/A</v>
      </c>
      <c r="H181" t="str" s="547" cm="1">
        <f t="array" ref="H181">IF(B181&gt;0,'Direct Costs 2026'!$C$19+'Direct Costs 2026'!$C$18*B181,"N/A")</f>
        <v>N/A</v>
      </c>
      <c r="I181" s="538">
        <v>0</v>
      </c>
      <c r="J181" s="538">
        <v>0</v>
      </c>
      <c r="K181" t="str" s="547" cm="1">
        <f t="array" ref="K181">_xlfn.IFERROR((IF(B181&gt;0,'Direct Costs 2026'!$C$15+'Direct Costs 2026'!$C$14,"N/A")),"N/A")</f>
        <v>N/A</v>
      </c>
      <c r="L181" s="538">
        <v>0</v>
      </c>
      <c r="M181" t="str" s="547" cm="1">
        <f t="array" ref="M181">IF(B181&gt;0,'Direct Costs 2026'!$C$23,"N/A")</f>
        <v>N/A</v>
      </c>
      <c r="N181" t="str" s="547" cm="1">
        <f t="array" ref="N181">IF(B181&gt;0,'Direct Costs 2026'!$C$44*B181,"N/A")</f>
        <v>N/A</v>
      </c>
      <c r="O181" t="str" s="547" cm="1">
        <f t="array" ref="O181">IF(B181&gt;0,_xlfn.IFERROR(VLOOKUP(C163,'Boats Data Sheet 2026'!$C$3:$I$57,7,0)*'Direct Costs 2026'!$C$36,"N/A"),"N/A")</f>
        <v>N/A</v>
      </c>
      <c r="P181" t="str" s="547" cm="1">
        <f t="array" ref="P181">IF(B181&gt;0,IF(OR(VLOOKUP(C169,'Boats Data Sheet 2026'!$C$3:$F$57,4,0)="Own",VLOOKUP(C169,'Boats Data Sheet 2026'!$C$3:$F$57,4,0)="Management"),('Direct Costs 2026'!$C$37+'Direct Costs 2026'!$C$39),"N/A"),"N/A")</f>
        <v>N/A</v>
      </c>
      <c r="Q181" t="str" s="547" cm="1">
        <f t="array" ref="Q181">_xlfn.IFERROR(IF(B181&gt;5,IF(B181&gt;11,IF(B181&gt;15,4,3),2),IF(B181=0,"N/A",1))*SUM('Direct Costs 2026'!$C$67:$C$68),"N/A")</f>
        <v>N/A</v>
      </c>
      <c r="R181" t="str" s="547" cm="1">
        <f t="array" ref="R181">_xlfn.IFERROR('Direct Costs 2026'!$C$27*C181,"N/A")</f>
        <v>N/A</v>
      </c>
      <c r="S181" t="str" s="547" cm="1">
        <f t="array" ref="S181">_xlfn.IFERROR(C181+SUM(E181:R181),"N/A")</f>
        <v>N/A</v>
      </c>
      <c r="T181" s="424"/>
      <c r="U181" t="str" s="547" cm="1">
        <f t="array" ref="U181">IF(B181&gt;0,'Allocation OH and Target 2026'!$E$27,"N/A")</f>
        <v>N/A</v>
      </c>
      <c r="V181" t="str" s="547" cm="1">
        <f t="array" ref="V181">IF(B181&gt;0,'Allocation OH and Target 2026'!$E$28,"N/A")</f>
        <v>N/A</v>
      </c>
      <c r="W181" t="str" s="547" cm="1">
        <f t="array" ref="W181">IF(B181&gt;0,VLOOKUP(C163,'Allocation OH and Target 2026'!$C$3:$T$23,17,0),"N/A")</f>
        <v>N/A</v>
      </c>
      <c r="X181" t="str" s="547" cm="1">
        <f t="array" ref="X181">IF(B181&gt;0,VLOOKUP(C163,'Allocation OH and Target 2026'!$C$3:$T$23,18,0),"N/A")</f>
        <v>N/A</v>
      </c>
      <c r="Y181" t="str" s="547" cm="1">
        <f t="array" ref="Y181">_xlfn.IFERROR(V181*B181+X181,"N/A")</f>
        <v>N/A</v>
      </c>
      <c r="Z181" s="424"/>
      <c r="AA181" t="str" s="547" cm="1">
        <f t="array" ref="AA181">_xlfn.IFERROR(Y181+S181,"N/A")</f>
        <v>N/A</v>
      </c>
      <c r="AB181" t="str" s="547" cm="1">
        <f t="array" ref="AB181">_xlfn.IFERROR(AA181*0.5%,"N/A")</f>
        <v>N/A</v>
      </c>
      <c r="AC181" t="str" s="547" cm="1">
        <f t="array" ref="AC181">_xlfn.IFERROR(AA181*25%,"N/A")</f>
        <v>N/A</v>
      </c>
      <c r="AD181" t="str" s="546" cm="1">
        <f t="array" ref="AD181">IF(B181&gt;0,SUM(AA181:AC181),"N/A")</f>
        <v>N/A</v>
      </c>
      <c r="AE181" t="str" s="547" cm="1">
        <f t="array" ref="AE181">_xlfn.IFERROR(AD181/B181,"N/A")</f>
        <v>N/A</v>
      </c>
      <c r="AF181" s="424"/>
      <c r="AG181" t="str" s="546" cm="1">
        <f t="array" ref="AG181">IF(B181/VLOOKUP(C163,'Boats Data Sheet 2026'!$C$3:$H$57,6,0)&gt;VLOOKUP(C163,'Allocation OH and Target 2026'!$C$3:$J$23,8,0),IF(SUM(AH165:AH180)=0,AE181,"N/A"),"N/A")</f>
        <v>N/A</v>
      </c>
      <c r="AH181" s="424" cm="1">
        <f t="array" ref="AH181">IF(AG181="N/A",0,1)</f>
        <v>0</v>
      </c>
      <c r="AI181" t="str" s="547" cm="1">
        <f t="array" ref="AI181">IF(B181/VLOOKUP(C163,'Boats Data Sheet 2026'!$C$3:$H$57,6,0)&gt;VLOOKUP(C163,'Allocation OH and Target 2026'!$C$3:$J$23,8,0),IF(SUM(AH165:AH180)=0,S181/B181,"N/A"),"N/A")</f>
        <v>N/A</v>
      </c>
      <c r="AJ181" s="424" cm="1">
        <f t="array" ref="AJ181">IF(AI181="N/A",0,1)</f>
        <v>0</v>
      </c>
      <c r="AK181" t="str" s="527" cm="1">
        <f t="array" ref="AK181">IF(SUM($AG$120:$AG$137)*B181&lt;SUM(AA181:AB181),"NO GO","GO")</f>
        <v>GO</v>
      </c>
      <c r="AL181" s="424"/>
      <c r="AM181" s="538"/>
      <c r="AN181" s="538"/>
      <c r="AO181" s="538"/>
      <c r="AP181" s="542"/>
      <c r="AQ181" s="543" cm="1">
        <f t="array" ref="AQ181">B181</f>
        <v>0</v>
      </c>
      <c r="AR181" s="18"/>
    </row>
    <row r="182" ht="16" customHeight="1">
      <c r="A182" s="12"/>
      <c r="B182" s="544" cm="1">
        <f t="array" ref="B182">IF(B181=0,0,IF(B181&lt;VLOOKUP(C163,'Boats Data Sheet 2026'!$C$3:$H$57,6,0),B181+1,0))</f>
        <v>0</v>
      </c>
      <c r="C182" t="str" s="547" cm="1">
        <f t="array" ref="C182">IF(B182&gt;0,IF(VLOOKUP(C163,'Boats Data Sheet 2026'!$C$3:$J$57,8,0)="N/A",0,VLOOKUP(C163,'Boats Data Sheet 2026'!$C$3:$J$57,8,0)),"N/A")</f>
        <v>N/A</v>
      </c>
      <c r="D182" t="str" s="547" cm="1">
        <f t="array" ref="D182">IF(B182&gt;7,2,IF(B182=0,"N/A",1))</f>
        <v>N/A</v>
      </c>
      <c r="E182" t="str" s="547" cm="1">
        <f t="array" ref="E182">_xlfn.IFERROR(SUM('Direct Costs 2026'!$C$4:$C$5)*D182,"N/A")</f>
        <v>N/A</v>
      </c>
      <c r="F182" s="538" cm="1">
        <f t="array" ref="F182">_xlfn.IFERROR('Direct Costs 2026'!$C$43*B182,"N/A")</f>
        <v>0</v>
      </c>
      <c r="G182" t="str" s="547" cm="1">
        <f t="array" ref="G182">IF(B182&gt;0,'Direct Costs 2026'!$C$25,"N/A")</f>
        <v>N/A</v>
      </c>
      <c r="H182" t="str" s="547" cm="1">
        <f t="array" ref="H182">IF(B182&gt;0,'Direct Costs 2026'!$C$19+'Direct Costs 2026'!$C$18*B182,"N/A")</f>
        <v>N/A</v>
      </c>
      <c r="I182" s="538">
        <v>0</v>
      </c>
      <c r="J182" s="538">
        <v>0</v>
      </c>
      <c r="K182" t="str" s="547" cm="1">
        <f t="array" ref="K182">_xlfn.IFERROR((IF(B182&gt;0,'Direct Costs 2026'!$C$15+'Direct Costs 2026'!$C$14,"N/A")),"N/A")</f>
        <v>N/A</v>
      </c>
      <c r="L182" s="538">
        <v>0</v>
      </c>
      <c r="M182" t="str" s="547" cm="1">
        <f t="array" ref="M182">IF(B182&gt;0,'Direct Costs 2026'!$C$23,"N/A")</f>
        <v>N/A</v>
      </c>
      <c r="N182" t="str" s="547" cm="1">
        <f t="array" ref="N182">IF(B182&gt;0,'Direct Costs 2026'!$C$44*B182,"N/A")</f>
        <v>N/A</v>
      </c>
      <c r="O182" t="str" s="547" cm="1">
        <f t="array" ref="O182">IF(B182&gt;0,_xlfn.IFERROR(VLOOKUP(C163,'Boats Data Sheet 2026'!$C$3:$I$57,7,0)*'Direct Costs 2026'!$C$36,"N/A"),"N/A")</f>
        <v>N/A</v>
      </c>
      <c r="P182" t="str" s="547" cm="1">
        <f t="array" ref="P182">IF(B182&gt;0,IF(OR(VLOOKUP(C170,'Boats Data Sheet 2026'!$C$3:$F$57,4,0)="Own",VLOOKUP(C170,'Boats Data Sheet 2026'!$C$3:$F$57,4,0)="Management"),('Direct Costs 2026'!$C$37+'Direct Costs 2026'!$C$39),"N/A"),"N/A")</f>
        <v>N/A</v>
      </c>
      <c r="Q182" t="str" s="547" cm="1">
        <f t="array" ref="Q182">_xlfn.IFERROR(IF(B182&gt;5,IF(B182&gt;11,IF(B182&gt;15,4,3),2),IF(B182=0,"N/A",1))*SUM('Direct Costs 2026'!$C$67:$C$68),"N/A")</f>
        <v>N/A</v>
      </c>
      <c r="R182" t="str" s="547" cm="1">
        <f t="array" ref="R182">_xlfn.IFERROR('Direct Costs 2026'!$C$27*C182,"N/A")</f>
        <v>N/A</v>
      </c>
      <c r="S182" t="str" s="547" cm="1">
        <f t="array" ref="S182">_xlfn.IFERROR(C182+SUM(E182:R182),"N/A")</f>
        <v>N/A</v>
      </c>
      <c r="T182" s="424"/>
      <c r="U182" t="str" s="547" cm="1">
        <f t="array" ref="U182">IF(B182&gt;0,'Allocation OH and Target 2026'!$E$27,"N/A")</f>
        <v>N/A</v>
      </c>
      <c r="V182" t="str" s="547" cm="1">
        <f t="array" ref="V182">IF(B182&gt;0,'Allocation OH and Target 2026'!$E$28,"N/A")</f>
        <v>N/A</v>
      </c>
      <c r="W182" t="str" s="547" cm="1">
        <f t="array" ref="W182">IF(B182&gt;0,VLOOKUP(C163,'Allocation OH and Target 2026'!$C$3:$T$23,17,0),"N/A")</f>
        <v>N/A</v>
      </c>
      <c r="X182" t="str" s="547" cm="1">
        <f t="array" ref="X182">IF(B182&gt;0,VLOOKUP(C163,'Allocation OH and Target 2026'!$C$3:$T$23,18,0),"N/A")</f>
        <v>N/A</v>
      </c>
      <c r="Y182" t="str" s="547" cm="1">
        <f t="array" ref="Y182">_xlfn.IFERROR(V182*B182+X182,"N/A")</f>
        <v>N/A</v>
      </c>
      <c r="Z182" s="424"/>
      <c r="AA182" t="str" s="547" cm="1">
        <f t="array" ref="AA182">_xlfn.IFERROR(Y182+S182,"N/A")</f>
        <v>N/A</v>
      </c>
      <c r="AB182" t="str" s="547" cm="1">
        <f t="array" ref="AB182">_xlfn.IFERROR(AA182*0.5%,"N/A")</f>
        <v>N/A</v>
      </c>
      <c r="AC182" t="str" s="547" cm="1">
        <f t="array" ref="AC182">_xlfn.IFERROR(AA182*25%,"N/A")</f>
        <v>N/A</v>
      </c>
      <c r="AD182" t="str" s="546" cm="1">
        <f t="array" ref="AD182">IF(B182&gt;0,SUM(AA182:AC182),"N/A")</f>
        <v>N/A</v>
      </c>
      <c r="AE182" t="str" s="547" cm="1">
        <f t="array" ref="AE182">_xlfn.IFERROR(AD182/B182,"N/A")</f>
        <v>N/A</v>
      </c>
      <c r="AF182" s="424"/>
      <c r="AG182" t="str" s="546" cm="1">
        <f t="array" ref="AG182">IF(B182/VLOOKUP(C163,'Boats Data Sheet 2026'!$C$3:$H$57,6,0)&gt;VLOOKUP(C163,'Allocation OH and Target 2026'!$C$3:$J$23,8,0),IF(SUM(AH165:AH181)=0,AE182,"N/A"),"N/A")</f>
        <v>N/A</v>
      </c>
      <c r="AH182" s="424" cm="1">
        <f t="array" ref="AH182">IF(AG182="N/A",0,1)</f>
        <v>0</v>
      </c>
      <c r="AI182" t="str" s="547" cm="1">
        <f t="array" ref="AI182">IF(B182/VLOOKUP(C163,'Boats Data Sheet 2026'!$C$3:$H$57,6,0)&gt;VLOOKUP(C163,'Allocation OH and Target 2026'!$C$3:$J$23,8,0),IF(SUM(AH165:AH181)=0,S182/B182,"N/A"),"N/A")</f>
        <v>N/A</v>
      </c>
      <c r="AJ182" s="424" cm="1">
        <f t="array" ref="AJ182">IF(AI182="N/A",0,1)</f>
        <v>0</v>
      </c>
      <c r="AK182" t="str" s="527" cm="1">
        <f t="array" ref="AK182">IF(SUM($AG$120:$AG$137)*B182&lt;SUM(AA182:AB182),"NO GO","GO")</f>
        <v>GO</v>
      </c>
      <c r="AL182" s="424"/>
      <c r="AM182" s="538"/>
      <c r="AN182" s="538"/>
      <c r="AO182" s="538"/>
      <c r="AP182" s="542"/>
      <c r="AQ182" s="543" cm="1">
        <f t="array" ref="AQ182">B182</f>
        <v>0</v>
      </c>
      <c r="AR182" s="18"/>
    </row>
    <row r="183" ht="15.5" customHeight="1">
      <c r="A183" s="12"/>
      <c r="B183" s="550" cm="1">
        <f t="array" ref="B183">IF(B182=0,0,IF(B182&lt;VLOOKUP(C163,'Boats Data Sheet 2026'!$C$3:$H$57,6,0),B182+1,0))</f>
        <v>0</v>
      </c>
      <c r="C183" t="str" s="551" cm="1">
        <f t="array" ref="C183">IF(B183&gt;0,IF(VLOOKUP(C163,'Boats Data Sheet 2026'!$C$3:$J$57,8,0)="N/A",0,VLOOKUP(C163,'Boats Data Sheet 2026'!$C$3:$J$57,8,0)),"N/A")</f>
        <v>N/A</v>
      </c>
      <c r="D183" t="str" s="551" cm="1">
        <f t="array" ref="D183">IF(B183&gt;7,2,IF(B183=0,"N/A",1))</f>
        <v>N/A</v>
      </c>
      <c r="E183" t="str" s="551" cm="1">
        <f t="array" ref="E183">_xlfn.IFERROR(SUM('Direct Costs 2026'!$C$4:$C$5)*D183,"N/A")</f>
        <v>N/A</v>
      </c>
      <c r="F183" s="552" cm="1">
        <f t="array" ref="F183">_xlfn.IFERROR('Direct Costs 2026'!$C$43*B183,"N/A")</f>
        <v>0</v>
      </c>
      <c r="G183" t="str" s="551" cm="1">
        <f t="array" ref="G183">IF(B183&gt;0,'Direct Costs 2026'!$C$25,"N/A")</f>
        <v>N/A</v>
      </c>
      <c r="H183" t="str" s="551" cm="1">
        <f t="array" ref="H183">IF(B183&gt;0,'Direct Costs 2026'!$C$19+'Direct Costs 2026'!$C$18*B183,"N/A")</f>
        <v>N/A</v>
      </c>
      <c r="I183" s="552">
        <v>0</v>
      </c>
      <c r="J183" s="552">
        <v>0</v>
      </c>
      <c r="K183" t="str" s="551" cm="1">
        <f t="array" ref="K183">_xlfn.IFERROR((IF(B183&gt;0,'Direct Costs 2026'!$C$15+'Direct Costs 2026'!$C$14,"N/A")),"N/A")</f>
        <v>N/A</v>
      </c>
      <c r="L183" s="552">
        <v>0</v>
      </c>
      <c r="M183" t="str" s="551" cm="1">
        <f t="array" ref="M183">IF(B183&gt;0,'Direct Costs 2026'!$C$23,"N/A")</f>
        <v>N/A</v>
      </c>
      <c r="N183" t="str" s="551" cm="1">
        <f t="array" ref="N183">IF(B183&gt;0,'Direct Costs 2026'!$C$44*B183,"N/A")</f>
        <v>N/A</v>
      </c>
      <c r="O183" t="str" s="551" cm="1">
        <f t="array" ref="O183">IF(B183&gt;0,_xlfn.IFERROR(VLOOKUP(C163,'Boats Data Sheet 2026'!$C$3:$I$57,7,0)*'Direct Costs 2026'!$C$36,"N/A"),"N/A")</f>
        <v>N/A</v>
      </c>
      <c r="P183" t="str" s="551" cm="1">
        <f t="array" ref="P183">IF(B183&gt;0,IF(OR(VLOOKUP(C171,'Boats Data Sheet 2026'!$C$3:$F$57,4,0)="Own",VLOOKUP(C171,'Boats Data Sheet 2026'!$C$3:$F$57,4,0)="Management"),('Direct Costs 2026'!$C$37+'Direct Costs 2026'!$C$39),"N/A"),"N/A")</f>
        <v>N/A</v>
      </c>
      <c r="Q183" t="str" s="551" cm="1">
        <f t="array" ref="Q183">_xlfn.IFERROR(IF(B183&gt;5,IF(B183&gt;11,IF(B183&gt;15,4,3),2),IF(B183=0,"N/A",1))*SUM('Direct Costs 2026'!$C$67:$C$68),"N/A")</f>
        <v>N/A</v>
      </c>
      <c r="R183" t="str" s="551" cm="1">
        <f t="array" ref="R183">_xlfn.IFERROR('Direct Costs 2026'!$C$27*C183,"N/A")</f>
        <v>N/A</v>
      </c>
      <c r="S183" t="str" s="551" cm="1">
        <f t="array" ref="S183">_xlfn.IFERROR(C183+SUM(E183:R183),"N/A")</f>
        <v>N/A</v>
      </c>
      <c r="T183" s="435"/>
      <c r="U183" t="str" s="551" cm="1">
        <f t="array" ref="U183">IF(B183&gt;0,'Allocation OH and Target 2026'!$E$27,"N/A")</f>
        <v>N/A</v>
      </c>
      <c r="V183" t="str" s="551" cm="1">
        <f t="array" ref="V183">IF(B183&gt;0,'Allocation OH and Target 2026'!$E$28,"N/A")</f>
        <v>N/A</v>
      </c>
      <c r="W183" t="str" s="551" cm="1">
        <f t="array" ref="W183">IF(B183&gt;0,VLOOKUP(C163,'Allocation OH and Target 2026'!$C$3:$T$23,17,0),"N/A")</f>
        <v>N/A</v>
      </c>
      <c r="X183" t="str" s="551" cm="1">
        <f t="array" ref="X183">IF(B183&gt;0,VLOOKUP(C163,'Allocation OH and Target 2026'!$C$3:$T$23,18,0),"N/A")</f>
        <v>N/A</v>
      </c>
      <c r="Y183" t="str" s="551" cm="1">
        <f t="array" ref="Y183">_xlfn.IFERROR(V183*B183+X183,"N/A")</f>
        <v>N/A</v>
      </c>
      <c r="Z183" s="435"/>
      <c r="AA183" t="str" s="551" cm="1">
        <f t="array" ref="AA183">_xlfn.IFERROR(Y183+S183,"N/A")</f>
        <v>N/A</v>
      </c>
      <c r="AB183" t="str" s="551" cm="1">
        <f t="array" ref="AB183">_xlfn.IFERROR(AA183*0.5%,"N/A")</f>
        <v>N/A</v>
      </c>
      <c r="AC183" t="str" s="551" cm="1">
        <f t="array" ref="AC183">_xlfn.IFERROR(AA183*25%,"N/A")</f>
        <v>N/A</v>
      </c>
      <c r="AD183" t="str" s="553" cm="1">
        <f t="array" ref="AD183">IF(B183&gt;0,SUM(AA183:AC183),"N/A")</f>
        <v>N/A</v>
      </c>
      <c r="AE183" t="str" s="551" cm="1">
        <f t="array" ref="AE183">_xlfn.IFERROR(AD183/B183,"N/A")</f>
        <v>N/A</v>
      </c>
      <c r="AF183" s="435"/>
      <c r="AG183" t="str" s="553" cm="1">
        <f t="array" ref="AG183">IF(B183/VLOOKUP(C163,'Boats Data Sheet 2026'!$C$3:$H$57,6,0)&gt;VLOOKUP(C163,'Allocation OH and Target 2026'!$C$3:$J$23,8,0),IF(SUM(AH165:AH182)=0,AE183,"N/A"),"N/A")</f>
        <v>N/A</v>
      </c>
      <c r="AH183" s="435" cm="1">
        <f t="array" ref="AH183">IF(AG183="N/A",0,1)</f>
        <v>0</v>
      </c>
      <c r="AI183" t="str" s="551" cm="1">
        <f t="array" ref="AI183">IF(B183/VLOOKUP(C163,'Boats Data Sheet 2026'!$C$3:$H$57,6,0)&gt;VLOOKUP(C163,'Allocation OH and Target 2026'!$C$3:$J$23,8,0),IF(SUM(AH165:AH182)=0,S183/B183,"N/A"),"N/A")</f>
        <v>N/A</v>
      </c>
      <c r="AJ183" s="435" cm="1">
        <f t="array" ref="AJ183">IF(AI183="N/A",0,1)</f>
        <v>0</v>
      </c>
      <c r="AK183" t="str" s="554" cm="1">
        <f t="array" ref="AK183">IF(SUM($AG$120:$AG$137)*B183&lt;SUM(AA183:AB183),"NO GO","GO")</f>
        <v>GO</v>
      </c>
      <c r="AL183" s="435"/>
      <c r="AM183" s="552"/>
      <c r="AN183" s="552"/>
      <c r="AO183" s="552"/>
      <c r="AP183" s="555"/>
      <c r="AQ183" s="543" cm="1">
        <f t="array" ref="AQ183">B183</f>
        <v>0</v>
      </c>
      <c r="AR183" s="18"/>
    </row>
    <row r="184" ht="15.5" customHeight="1">
      <c r="A184" s="32"/>
      <c r="B184" s="124"/>
      <c r="C184" s="124"/>
      <c r="D184" s="124"/>
      <c r="E184" s="124"/>
      <c r="F184" s="124"/>
      <c r="G184" s="124"/>
      <c r="H184" s="124"/>
      <c r="I184" s="124"/>
      <c r="J184" s="124"/>
      <c r="K184" s="124"/>
      <c r="L184" s="124"/>
      <c r="M184" s="124"/>
      <c r="N184" s="124"/>
      <c r="O184" s="124"/>
      <c r="P184" s="124"/>
      <c r="Q184" s="124"/>
      <c r="R184" s="124"/>
      <c r="S184" s="503"/>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7"/>
      <c r="AR184" s="18"/>
    </row>
    <row r="185" ht="15.5" customHeight="1">
      <c r="A185" s="32"/>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17"/>
      <c r="AR185" s="18"/>
    </row>
    <row r="186" ht="15.5" customHeight="1">
      <c r="A186" s="395">
        <v>9</v>
      </c>
      <c r="B186" t="s" s="517">
        <v>506</v>
      </c>
      <c r="C186" t="s" s="518">
        <v>592</v>
      </c>
      <c r="D186" t="s" s="518">
        <v>593</v>
      </c>
      <c r="E186" s="519"/>
      <c r="F186" s="519"/>
      <c r="G186" s="519"/>
      <c r="H186" s="519"/>
      <c r="I186" s="519"/>
      <c r="J186" s="519"/>
      <c r="K186" s="519"/>
      <c r="L186" s="519"/>
      <c r="M186" s="519"/>
      <c r="N186" s="519"/>
      <c r="O186" s="519"/>
      <c r="P186" s="519"/>
      <c r="Q186" s="519"/>
      <c r="R186" s="519"/>
      <c r="S186" s="519"/>
      <c r="T186" s="399"/>
      <c r="U186" s="519"/>
      <c r="V186" s="519"/>
      <c r="W186" s="519"/>
      <c r="X186" s="519"/>
      <c r="Y186" s="519"/>
      <c r="Z186" s="399"/>
      <c r="AA186" s="519"/>
      <c r="AB186" s="519"/>
      <c r="AC186" s="519"/>
      <c r="AD186" s="519"/>
      <c r="AE186" s="519"/>
      <c r="AF186" s="399"/>
      <c r="AG186" s="521"/>
      <c r="AH186" s="399"/>
      <c r="AI186" s="519"/>
      <c r="AJ186" s="399"/>
      <c r="AK186" s="519"/>
      <c r="AL186" s="399"/>
      <c r="AM186" s="519"/>
      <c r="AN186" s="519"/>
      <c r="AO186" s="519"/>
      <c r="AP186" s="522"/>
      <c r="AQ186" s="16"/>
      <c r="AR186" s="18"/>
    </row>
    <row r="187" ht="16" customHeight="1">
      <c r="A187" s="12"/>
      <c r="B187" s="523"/>
      <c r="C187" t="s" s="524">
        <v>513</v>
      </c>
      <c r="D187" s="525"/>
      <c r="E187" s="525"/>
      <c r="F187" s="525"/>
      <c r="G187" s="525"/>
      <c r="H187" s="525"/>
      <c r="I187" s="525"/>
      <c r="J187" s="525"/>
      <c r="K187" s="525"/>
      <c r="L187" s="525"/>
      <c r="M187" s="525"/>
      <c r="N187" s="525"/>
      <c r="O187" s="525"/>
      <c r="P187" s="525"/>
      <c r="Q187" s="525"/>
      <c r="R187" s="525"/>
      <c r="S187" s="526"/>
      <c r="T187" s="407"/>
      <c r="U187" t="s" s="524">
        <v>514</v>
      </c>
      <c r="V187" s="525"/>
      <c r="W187" s="525"/>
      <c r="X187" s="525"/>
      <c r="Y187" s="526"/>
      <c r="Z187" s="407"/>
      <c r="AA187" t="s" s="524">
        <v>515</v>
      </c>
      <c r="AB187" s="525"/>
      <c r="AC187" s="525"/>
      <c r="AD187" s="525"/>
      <c r="AE187" s="526"/>
      <c r="AF187" s="410"/>
      <c r="AG187" s="527"/>
      <c r="AH187" s="410"/>
      <c r="AI187" s="528"/>
      <c r="AJ187" s="410"/>
      <c r="AK187" s="528"/>
      <c r="AL187" s="410"/>
      <c r="AM187" s="528"/>
      <c r="AN187" s="528"/>
      <c r="AO187" s="528"/>
      <c r="AP187" s="529"/>
      <c r="AQ187" s="16"/>
      <c r="AR187" s="18"/>
    </row>
    <row r="188" ht="48" customHeight="1">
      <c r="A188" s="12"/>
      <c r="B188" t="s" s="530">
        <v>517</v>
      </c>
      <c r="C188" t="s" s="531">
        <v>518</v>
      </c>
      <c r="D188" t="s" s="531">
        <v>519</v>
      </c>
      <c r="E188" t="s" s="531">
        <v>520</v>
      </c>
      <c r="F188" t="s" s="532">
        <v>521</v>
      </c>
      <c r="G188" t="s" s="532">
        <v>522</v>
      </c>
      <c r="H188" t="s" s="532">
        <v>524</v>
      </c>
      <c r="I188" t="s" s="532">
        <v>525</v>
      </c>
      <c r="J188" t="s" s="532">
        <v>556</v>
      </c>
      <c r="K188" t="s" s="532">
        <v>553</v>
      </c>
      <c r="L188" t="s" s="532">
        <v>526</v>
      </c>
      <c r="M188" t="s" s="532">
        <v>527</v>
      </c>
      <c r="N188" t="s" s="532">
        <v>528</v>
      </c>
      <c r="O188" t="s" s="532">
        <v>529</v>
      </c>
      <c r="P188" t="s" s="532">
        <v>530</v>
      </c>
      <c r="Q188" t="s" s="532">
        <v>572</v>
      </c>
      <c r="R188" t="s" s="532">
        <v>531</v>
      </c>
      <c r="S188" t="s" s="532">
        <v>532</v>
      </c>
      <c r="T188" s="556"/>
      <c r="U188" t="s" s="532">
        <v>533</v>
      </c>
      <c r="V188" t="s" s="532">
        <v>573</v>
      </c>
      <c r="W188" t="s" s="532">
        <v>534</v>
      </c>
      <c r="X188" t="s" s="532">
        <v>574</v>
      </c>
      <c r="Y188" t="s" s="532">
        <v>535</v>
      </c>
      <c r="Z188" s="556"/>
      <c r="AA188" t="s" s="532">
        <v>536</v>
      </c>
      <c r="AB188" t="s" s="532">
        <v>537</v>
      </c>
      <c r="AC188" t="s" s="532">
        <v>538</v>
      </c>
      <c r="AD188" t="s" s="532">
        <v>575</v>
      </c>
      <c r="AE188" t="s" s="532">
        <v>539</v>
      </c>
      <c r="AF188" s="557"/>
      <c r="AG188" t="s" s="532">
        <v>576</v>
      </c>
      <c r="AH188" s="557"/>
      <c r="AI188" t="s" s="532">
        <v>577</v>
      </c>
      <c r="AJ188" s="557"/>
      <c r="AK188" t="s" s="531">
        <v>578</v>
      </c>
      <c r="AL188" s="557"/>
      <c r="AM188" s="533"/>
      <c r="AN188" s="533"/>
      <c r="AO188" s="533"/>
      <c r="AP188" s="534"/>
      <c r="AQ188" s="16"/>
      <c r="AR188" s="18"/>
    </row>
    <row r="189" ht="16.5" customHeight="1">
      <c r="A189" s="12"/>
      <c r="B189" s="535">
        <v>1</v>
      </c>
      <c r="C189" s="536" cm="1">
        <f t="array" ref="C189">IF(B189&gt;0,IF(VLOOKUP(C186,'Boats Data Sheet 2026'!$C$3:$J$57,8,0)="N/A",0,VLOOKUP(C186,'Boats Data Sheet 2026'!$C$3:$J$57,8,0)),"N/A")</f>
        <v>7500000</v>
      </c>
      <c r="D189" s="537" cm="1">
        <f t="array" ref="D189">IF(B189&gt;7,2,IF(B189=0,"N/A",1))</f>
        <v>1</v>
      </c>
      <c r="E189" s="536" cm="1">
        <f t="array" ref="E189">_xlfn.IFERROR(SUM('Direct Costs 2026'!$C$4:$C$5)*D189,"N/A")</f>
        <v>875500</v>
      </c>
      <c r="F189" s="538" cm="1">
        <f t="array" ref="F189">_xlfn.IFERROR('Direct Costs 2026'!$C$43*B189,"N/A")</f>
        <v>6000</v>
      </c>
      <c r="G189" s="538" cm="1">
        <f t="array" ref="G189">IF(B189&gt;0,'Direct Costs 2026'!$C$25,"N/A")</f>
        <v>90000</v>
      </c>
      <c r="H189" s="538" cm="1">
        <f t="array" ref="H189">IF(B189&gt;0,'Direct Costs 2026'!$C$19+'Direct Costs 2026'!$C$18*B189,"N/A")</f>
        <v>110000</v>
      </c>
      <c r="I189" s="538" cm="1">
        <f t="array" ref="I189">IF(B189&gt;0,SUM('Direct Costs 2026'!$C$20:$C$21),"N/A")</f>
        <v>98333.3333333333</v>
      </c>
      <c r="J189" s="538">
        <v>0</v>
      </c>
      <c r="K189" s="538" cm="1">
        <f t="array" ref="K189">IF(B189&gt;0,'Direct Costs 2026'!$C$15+'Direct Costs 2026'!$C$14,"N/A")</f>
        <v>230000</v>
      </c>
      <c r="L189" s="538" cm="1">
        <f t="array" ref="L189">IF(B189&gt;0,'Direct Costs 2026'!$C$26,"N/A")</f>
        <v>20000</v>
      </c>
      <c r="M189" s="538" cm="1">
        <f t="array" ref="M189">IF(B189&gt;0,'Direct Costs 2026'!$C$23,"N/A")</f>
        <v>140000</v>
      </c>
      <c r="N189" s="538" cm="1">
        <f t="array" ref="N189">IF(B189&gt;0,'Direct Costs 2026'!$C$44*B189,"N/A")</f>
        <v>110000</v>
      </c>
      <c r="O189" t="str" s="547" cm="1">
        <f t="array" ref="O189">IF(B189&gt;0,_xlfn.IFERROR(VLOOKUP(C186,'Boats Data Sheet 2026'!$C$3:$I$57,7,0)*'Direct Costs 2026'!$C$36,"N/A"),"N/A")</f>
        <v>N/A</v>
      </c>
      <c r="P189" t="str" s="547" cm="1">
        <f t="array" ref="P189">IF(B189&gt;0,IF(OR(VLOOKUP(C186,'Boats Data Sheet 2026'!$C$3:$F$57,4,0)="Own",VLOOKUP(C186,'Boats Data Sheet 2026'!$C$3:$F$57,4,0)="Management"),('Direct Costs 2026'!$C$37+'Direct Costs 2026'!$C$39),"N/A"),"N/A")</f>
        <v>N/A</v>
      </c>
      <c r="Q189" s="538" cm="1">
        <f t="array" ref="Q189">_xlfn.IFERROR(IF(B189&gt;5,IF(B189&gt;11,IF(B189&gt;15,4,3),2),IF(B189=0,"N/A",1))*SUM('Direct Costs 2026'!$C$67:$C$68),"N/A")</f>
        <v>489600</v>
      </c>
      <c r="R189" s="538" cm="1">
        <f t="array" ref="R189">_xlfn.IFERROR('Direct Costs 2026'!$C$27*C189,"N/A")</f>
        <v>150000</v>
      </c>
      <c r="S189" s="538" cm="1">
        <f t="array" ref="S189">_xlfn.IFERROR(C189+SUM(E189:R189),"N/A")</f>
        <v>9819433.33333333</v>
      </c>
      <c r="T189" s="424"/>
      <c r="U189" s="538" cm="1">
        <f t="array" ref="U189">IF(B189&gt;0,'Allocation OH and Target 2026'!$E$27,"N/A")</f>
        <v>2134447.30345641</v>
      </c>
      <c r="V189" s="538" cm="1">
        <f t="array" ref="V189">IF(B189&gt;0,'Allocation OH and Target 2026'!$E$28,"N/A")</f>
        <v>200042.323056976</v>
      </c>
      <c r="W189" s="538" cm="1">
        <f t="array" ref="W189">IF(B189&gt;0,VLOOKUP(C186,'Allocation OH and Target 2026'!$C$3:$T$23,17,0),"N/A")</f>
        <v>0</v>
      </c>
      <c r="X189" s="538" cm="1">
        <f t="array" ref="X189">IF(B189&gt;0,VLOOKUP(C186,'Allocation OH and Target 2026'!$C$3:$T$23,18,0),"N/A")</f>
        <v>0</v>
      </c>
      <c r="Y189" s="538" cm="1">
        <f t="array" ref="Y189">_xlfn.IFERROR(B189*(V189+X189),"N/A")</f>
        <v>200042.323056976</v>
      </c>
      <c r="Z189" s="424"/>
      <c r="AA189" s="538" cm="1">
        <f t="array" ref="AA189">_xlfn.IFERROR(Y189+S189,"N/A")</f>
        <v>10019475.6563903</v>
      </c>
      <c r="AB189" s="538" cm="1">
        <f t="array" ref="AB189">_xlfn.IFERROR(AA189*0.5%,"N/A")</f>
        <v>50097.3782819515</v>
      </c>
      <c r="AC189" s="538" cm="1">
        <f t="array" ref="AC189">_xlfn.IFERROR(AA189*25%,"N/A")</f>
        <v>2504868.91409758</v>
      </c>
      <c r="AD189" s="539" cm="1">
        <f t="array" ref="AD189">IF(B189&gt;0,SUM(AA189:AC189),"N/A")</f>
        <v>12574441.9487698</v>
      </c>
      <c r="AE189" s="538" cm="1">
        <f t="array" ref="AE189">_xlfn.IFERROR(AD189/B189,"N/A")</f>
        <v>12574441.9487698</v>
      </c>
      <c r="AF189" s="424"/>
      <c r="AG189" t="s" s="540">
        <v>14</v>
      </c>
      <c r="AH189" s="424" cm="1">
        <f t="array" ref="AH189">IF(AG189="N/A",0,1)</f>
        <v>0</v>
      </c>
      <c r="AI189" t="s" s="541">
        <v>14</v>
      </c>
      <c r="AJ189" s="424" cm="1">
        <f t="array" ref="AJ189">IF(AI189="N/A",0,1)</f>
        <v>0</v>
      </c>
      <c r="AK189" t="str" s="558" cm="1">
        <f t="array" ref="AK189">IF(SUM($AG$51:$AG$68)*B189&lt;SUM(AA189:AB189),"NO GO","GO")</f>
        <v>NO GO</v>
      </c>
      <c r="AL189" s="424"/>
      <c r="AM189" s="538"/>
      <c r="AN189" s="538"/>
      <c r="AO189" s="538"/>
      <c r="AP189" s="542"/>
      <c r="AQ189" s="543" cm="1">
        <f t="array" ref="AQ189">B189</f>
        <v>1</v>
      </c>
      <c r="AR189" s="18"/>
    </row>
    <row r="190" ht="16" customHeight="1">
      <c r="A190" s="12"/>
      <c r="B190" s="544" cm="1">
        <f t="array" ref="B190">IF(B189=0,0,IF(B189&lt;VLOOKUP(C186,'Boats Data Sheet 2026'!$C$3:$H$57,6,0),B189+1,0))</f>
        <v>2</v>
      </c>
      <c r="C190" s="538" cm="1">
        <f t="array" ref="C190">IF(B190&gt;0,IF(VLOOKUP(C186,'Boats Data Sheet 2026'!$C$3:$J$57,8,0)="N/A",0,VLOOKUP(C186,'Boats Data Sheet 2026'!$C$3:$J$57,8,0)),"N/A")</f>
        <v>7500000</v>
      </c>
      <c r="D190" s="545" cm="1">
        <f t="array" ref="D190">IF(B190&gt;7,2,IF(B190=0,"N/A",1))</f>
        <v>1</v>
      </c>
      <c r="E190" s="538" cm="1">
        <f t="array" ref="E190">_xlfn.IFERROR(SUM('Direct Costs 2026'!$C$4:$C$5)*D190,"N/A")</f>
        <v>875500</v>
      </c>
      <c r="F190" s="538" cm="1">
        <f t="array" ref="F190">_xlfn.IFERROR('Direct Costs 2026'!$C$43*B190,"N/A")</f>
        <v>12000</v>
      </c>
      <c r="G190" s="538" cm="1">
        <f t="array" ref="G190">IF(B190&gt;0,'Direct Costs 2026'!$C$25,"N/A")</f>
        <v>90000</v>
      </c>
      <c r="H190" s="538" cm="1">
        <f t="array" ref="H190">IF(B190&gt;0,'Direct Costs 2026'!$C$19+'Direct Costs 2026'!$C$18*B190,"N/A")</f>
        <v>145000</v>
      </c>
      <c r="I190" s="538" cm="1">
        <f t="array" ref="I190">IF(B190&gt;0,SUM('Direct Costs 2026'!$C$20:$C$21),"N/A")</f>
        <v>98333.3333333333</v>
      </c>
      <c r="J190" s="538">
        <v>0</v>
      </c>
      <c r="K190" s="538" cm="1">
        <f t="array" ref="K190">IF(B190&gt;0,'Direct Costs 2026'!$C$15+'Direct Costs 2026'!$C$14,"N/A")</f>
        <v>230000</v>
      </c>
      <c r="L190" s="538" cm="1">
        <f t="array" ref="L190">IF(B190&gt;0,'Direct Costs 2026'!$C$26,"N/A")</f>
        <v>20000</v>
      </c>
      <c r="M190" s="538" cm="1">
        <f t="array" ref="M190">IF(B190&gt;0,'Direct Costs 2026'!$C$23,"N/A")</f>
        <v>140000</v>
      </c>
      <c r="N190" s="538" cm="1">
        <f t="array" ref="N190">IF(B190&gt;0,'Direct Costs 2026'!$C$44*B190,"N/A")</f>
        <v>220000</v>
      </c>
      <c r="O190" t="str" s="547" cm="1">
        <f t="array" ref="O190">IF(B190&gt;0,_xlfn.IFERROR(VLOOKUP(C186,'Boats Data Sheet 2026'!$C$3:$I$57,7,0)*'Direct Costs 2026'!$C$36,"N/A"),"N/A")</f>
        <v>N/A</v>
      </c>
      <c r="P190" t="str" s="547" cm="1">
        <f t="array" ref="P190">IF(B190&gt;0,IF(OR(VLOOKUP(C186,'Boats Data Sheet 2026'!$C$3:$F$57,4,0)="Own",VLOOKUP(C186,'Boats Data Sheet 2026'!$C$3:$F$57,4,0)="Management"),('Direct Costs 2026'!$C$37+'Direct Costs 2026'!$C$39),"N/A"),"N/A")</f>
        <v>N/A</v>
      </c>
      <c r="Q190" s="538" cm="1">
        <f t="array" ref="Q190">_xlfn.IFERROR(IF(B190&gt;5,IF(B190&gt;11,IF(B190&gt;15,4,3),2),IF(B190=0,"N/A",1))*SUM('Direct Costs 2026'!$C$67:$C$68),"N/A")</f>
        <v>489600</v>
      </c>
      <c r="R190" s="538" cm="1">
        <f t="array" ref="R190">_xlfn.IFERROR('Direct Costs 2026'!$C$27*C190,"N/A")</f>
        <v>150000</v>
      </c>
      <c r="S190" s="538" cm="1">
        <f t="array" ref="S190">_xlfn.IFERROR(C190+SUM(E190:R190),"N/A")</f>
        <v>9970433.33333333</v>
      </c>
      <c r="T190" s="424"/>
      <c r="U190" s="538" cm="1">
        <f t="array" ref="U190">IF(B190&gt;0,'Allocation OH and Target 2026'!$E$27,"N/A")</f>
        <v>2134447.30345641</v>
      </c>
      <c r="V190" s="538" cm="1">
        <f t="array" ref="V190">IF(B190&gt;0,'Allocation OH and Target 2026'!$E$28,"N/A")</f>
        <v>200042.323056976</v>
      </c>
      <c r="W190" s="538" cm="1">
        <f t="array" ref="W190">IF(B190&gt;0,VLOOKUP(C186,'Allocation OH and Target 2026'!$C$3:$T$23,17,0),"N/A")</f>
        <v>0</v>
      </c>
      <c r="X190" s="538" cm="1">
        <f t="array" ref="X190">IF(B190&gt;0,VLOOKUP(C186,'Allocation OH and Target 2026'!$C$3:$T$23,18,0),"N/A")</f>
        <v>0</v>
      </c>
      <c r="Y190" s="538" cm="1">
        <f t="array" ref="Y190">_xlfn.IFERROR(B190*(V190+X190),"N/A")</f>
        <v>400084.646113952</v>
      </c>
      <c r="Z190" s="424"/>
      <c r="AA190" s="538" cm="1">
        <f t="array" ref="AA190">_xlfn.IFERROR(Y190+S190,"N/A")</f>
        <v>10370517.9794473</v>
      </c>
      <c r="AB190" s="538" cm="1">
        <f t="array" ref="AB190">_xlfn.IFERROR(AA190*0.5%,"N/A")</f>
        <v>51852.5898972365</v>
      </c>
      <c r="AC190" s="538" cm="1">
        <f t="array" ref="AC190">_xlfn.IFERROR(AA190*25%,"N/A")</f>
        <v>2592629.49486183</v>
      </c>
      <c r="AD190" s="539" cm="1">
        <f t="array" ref="AD190">IF(B190&gt;0,SUM(AA190:AC190),"N/A")</f>
        <v>13015000.0642064</v>
      </c>
      <c r="AE190" s="538" cm="1">
        <f t="array" ref="AE190">_xlfn.IFERROR(AD190/B190,"N/A")</f>
        <v>6507500.0321032</v>
      </c>
      <c r="AF190" s="424"/>
      <c r="AG190" t="str" s="546" cm="1">
        <f t="array" ref="AG190">IF(B190/VLOOKUP(C186,'Boats Data Sheet 2026'!$C$3:$H$57,6,0)&gt;VLOOKUP(C186,'Allocation OH and Target 2026'!$C$3:$J$23,8,0),IF(SUM(AH188:AH189)=0,AE190,"N/A"),"N/A")</f>
        <v>N/A</v>
      </c>
      <c r="AH190" s="424" cm="1">
        <f t="array" ref="AH190">IF(AG190="N/A",0,1)</f>
        <v>0</v>
      </c>
      <c r="AI190" t="str" s="547" cm="1">
        <f t="array" ref="AI190">IF(B190/VLOOKUP(C186,'Boats Data Sheet 2026'!$C$3:$H$57,6,0)&gt;VLOOKUP(C186,'Allocation OH and Target 2026'!$C$3:$J$23,8,0),IF(SUM(AH188:AH189)=0,S190/B190,"N/A"),"N/A")</f>
        <v>N/A</v>
      </c>
      <c r="AJ190" s="424" cm="1">
        <f t="array" ref="AJ190">IF(AI190="N/A",0,1)</f>
        <v>0</v>
      </c>
      <c r="AK190" t="str" s="527" cm="1">
        <f t="array" ref="AK190">IF(SUM($AG$51:$AG$68)*B190&lt;SUM(AA190:AB190),"NO GO","GO")</f>
        <v>NO GO</v>
      </c>
      <c r="AL190" s="424"/>
      <c r="AM190" s="538"/>
      <c r="AN190" s="538"/>
      <c r="AO190" s="538"/>
      <c r="AP190" s="542"/>
      <c r="AQ190" s="543" cm="1">
        <f t="array" ref="AQ190">B190</f>
        <v>2</v>
      </c>
      <c r="AR190" s="18"/>
    </row>
    <row r="191" ht="16" customHeight="1">
      <c r="A191" s="12"/>
      <c r="B191" s="544" cm="1">
        <f t="array" ref="B191">IF(B190=0,0,IF(B190&lt;VLOOKUP(C186,'Boats Data Sheet 2026'!$C$3:$H$57,6,0),B190+1,0))</f>
        <v>3</v>
      </c>
      <c r="C191" s="538" cm="1">
        <f t="array" ref="C191">IF(B191&gt;0,IF(VLOOKUP(C186,'Boats Data Sheet 2026'!$C$3:$J$57,8,0)="N/A",0,VLOOKUP(C186,'Boats Data Sheet 2026'!$C$3:$J$57,8,0)),"N/A")</f>
        <v>7500000</v>
      </c>
      <c r="D191" s="545" cm="1">
        <f t="array" ref="D191">IF(B191&gt;7,2,IF(B191=0,"N/A",1))</f>
        <v>1</v>
      </c>
      <c r="E191" s="538" cm="1">
        <f t="array" ref="E191">_xlfn.IFERROR(SUM('Direct Costs 2026'!$C$4:$C$5)*D191,"N/A")</f>
        <v>875500</v>
      </c>
      <c r="F191" s="538" cm="1">
        <f t="array" ref="F191">_xlfn.IFERROR('Direct Costs 2026'!$C$43*B191,"N/A")</f>
        <v>18000</v>
      </c>
      <c r="G191" s="538" cm="1">
        <f t="array" ref="G191">IF(B191&gt;0,'Direct Costs 2026'!$C$25,"N/A")</f>
        <v>90000</v>
      </c>
      <c r="H191" s="538" cm="1">
        <f t="array" ref="H191">IF(B191&gt;0,'Direct Costs 2026'!$C$19+'Direct Costs 2026'!$C$18*B191,"N/A")</f>
        <v>180000</v>
      </c>
      <c r="I191" s="538" cm="1">
        <f t="array" ref="I191">IF(B191&gt;0,SUM('Direct Costs 2026'!$C$20:$C$21),"N/A")</f>
        <v>98333.3333333333</v>
      </c>
      <c r="J191" s="538">
        <v>0</v>
      </c>
      <c r="K191" s="538" cm="1">
        <f t="array" ref="K191">IF(B191&gt;0,'Direct Costs 2026'!$C$15+'Direct Costs 2026'!$C$14,"N/A")</f>
        <v>230000</v>
      </c>
      <c r="L191" s="538" cm="1">
        <f t="array" ref="L191">IF(B191&gt;0,'Direct Costs 2026'!$C$26,"N/A")</f>
        <v>20000</v>
      </c>
      <c r="M191" s="538" cm="1">
        <f t="array" ref="M191">IF(B191&gt;0,'Direct Costs 2026'!$C$23,"N/A")</f>
        <v>140000</v>
      </c>
      <c r="N191" s="538" cm="1">
        <f t="array" ref="N191">IF(B191&gt;0,'Direct Costs 2026'!$C$44*B191,"N/A")</f>
        <v>330000</v>
      </c>
      <c r="O191" t="str" s="547" cm="1">
        <f t="array" ref="O191">IF(B191&gt;0,_xlfn.IFERROR(VLOOKUP(C186,'Boats Data Sheet 2026'!$C$3:$I$57,7,0)*'Direct Costs 2026'!$C$36,"N/A"),"N/A")</f>
        <v>N/A</v>
      </c>
      <c r="P191" t="str" s="547" cm="1">
        <f t="array" ref="P191">IF(B191&gt;0,IF(OR(VLOOKUP(C186,'Boats Data Sheet 2026'!$C$3:$F$57,4,0)="Own",VLOOKUP(C186,'Boats Data Sheet 2026'!$C$3:$F$57,4,0)="Management"),('Direct Costs 2026'!$C$37+'Direct Costs 2026'!$C$39),"N/A"),"N/A")</f>
        <v>N/A</v>
      </c>
      <c r="Q191" s="538" cm="1">
        <f t="array" ref="Q191">_xlfn.IFERROR(IF(B191&gt;5,IF(B191&gt;11,IF(B191&gt;15,4,3),2),IF(B191=0,"N/A",1))*SUM('Direct Costs 2026'!$C$67:$C$68),"N/A")</f>
        <v>489600</v>
      </c>
      <c r="R191" s="538" cm="1">
        <f t="array" ref="R191">_xlfn.IFERROR('Direct Costs 2026'!$C$27*C191,"N/A")</f>
        <v>150000</v>
      </c>
      <c r="S191" s="538" cm="1">
        <f t="array" ref="S191">_xlfn.IFERROR(C191+SUM(E191:R191),"N/A")</f>
        <v>10121433.3333333</v>
      </c>
      <c r="T191" s="424"/>
      <c r="U191" s="538" cm="1">
        <f t="array" ref="U191">IF(B191&gt;0,'Allocation OH and Target 2026'!$E$27,"N/A")</f>
        <v>2134447.30345641</v>
      </c>
      <c r="V191" s="538" cm="1">
        <f t="array" ref="V191">IF(B191&gt;0,'Allocation OH and Target 2026'!$E$28,"N/A")</f>
        <v>200042.323056976</v>
      </c>
      <c r="W191" s="538" cm="1">
        <f t="array" ref="W191">IF(B191&gt;0,VLOOKUP(C186,'Allocation OH and Target 2026'!$C$3:$T$23,17,0),"N/A")</f>
        <v>0</v>
      </c>
      <c r="X191" s="538" cm="1">
        <f t="array" ref="X191">IF(B191&gt;0,VLOOKUP(C186,'Allocation OH and Target 2026'!$C$3:$T$23,18,0),"N/A")</f>
        <v>0</v>
      </c>
      <c r="Y191" s="538" cm="1">
        <f t="array" ref="Y191">_xlfn.IFERROR(B191*(V191+X191),"N/A")</f>
        <v>600126.969170928</v>
      </c>
      <c r="Z191" s="424"/>
      <c r="AA191" s="538" cm="1">
        <f t="array" ref="AA191">_xlfn.IFERROR(Y191+S191,"N/A")</f>
        <v>10721560.3025042</v>
      </c>
      <c r="AB191" s="538" cm="1">
        <f t="array" ref="AB191">_xlfn.IFERROR(AA191*0.5%,"N/A")</f>
        <v>53607.801512521</v>
      </c>
      <c r="AC191" s="538" cm="1">
        <f t="array" ref="AC191">_xlfn.IFERROR(AA191*25%,"N/A")</f>
        <v>2680390.07562605</v>
      </c>
      <c r="AD191" s="539" cm="1">
        <f t="array" ref="AD191">IF(B191&gt;0,SUM(AA191:AC191),"N/A")</f>
        <v>13455558.1796428</v>
      </c>
      <c r="AE191" s="538" cm="1">
        <f t="array" ref="AE191">_xlfn.IFERROR(AD191/B191,"N/A")</f>
        <v>4485186.05988093</v>
      </c>
      <c r="AF191" s="424"/>
      <c r="AG191" t="str" s="546" cm="1">
        <f t="array" ref="AG191">IF(B191/VLOOKUP(C186,'Boats Data Sheet 2026'!$C$3:$H$57,6,0)&gt;VLOOKUP(C186,'Allocation OH and Target 2026'!$C$3:$J$23,8,0),IF(SUM(AH188:AH190)=0,AE191,"N/A"),"N/A")</f>
        <v>N/A</v>
      </c>
      <c r="AH191" s="424" cm="1">
        <f t="array" ref="AH191">IF(AG191="N/A",0,1)</f>
        <v>0</v>
      </c>
      <c r="AI191" t="str" s="547" cm="1">
        <f t="array" ref="AI191">IF(B191/VLOOKUP(C186,'Boats Data Sheet 2026'!$C$3:$H$57,6,0)&gt;VLOOKUP(C186,'Allocation OH and Target 2026'!$C$3:$J$23,8,0),IF(SUM(AH188:AH190)=0,S191/B191,"N/A"),"N/A")</f>
        <v>N/A</v>
      </c>
      <c r="AJ191" s="424" cm="1">
        <f t="array" ref="AJ191">IF(AI191="N/A",0,1)</f>
        <v>0</v>
      </c>
      <c r="AK191" t="str" s="527" cm="1">
        <f t="array" ref="AK191">IF(SUM($AG$51:$AG$68)*B191&lt;SUM(AA191:AB191),"NO GO","GO")</f>
        <v>NO GO</v>
      </c>
      <c r="AL191" s="424"/>
      <c r="AM191" s="538"/>
      <c r="AN191" s="538"/>
      <c r="AO191" s="538"/>
      <c r="AP191" s="542"/>
      <c r="AQ191" s="543" cm="1">
        <f t="array" ref="AQ191">B191</f>
        <v>3</v>
      </c>
      <c r="AR191" s="18"/>
    </row>
    <row r="192" ht="16" customHeight="1">
      <c r="A192" s="12"/>
      <c r="B192" s="544" cm="1">
        <f t="array" ref="B192">IF(B191=0,0,IF(B191&lt;VLOOKUP(C186,'Boats Data Sheet 2026'!$C$3:$H$57,6,0),B191+1,0))</f>
        <v>4</v>
      </c>
      <c r="C192" s="538" cm="1">
        <f t="array" ref="C192">IF(B192&gt;0,IF(VLOOKUP(C186,'Boats Data Sheet 2026'!$C$3:$J$57,8,0)="N/A",0,VLOOKUP(C186,'Boats Data Sheet 2026'!$C$3:$J$57,8,0)),"N/A")</f>
        <v>7500000</v>
      </c>
      <c r="D192" s="545" cm="1">
        <f t="array" ref="D192">IF(B192&gt;7,2,IF(B192=0,"N/A",1))</f>
        <v>1</v>
      </c>
      <c r="E192" s="538" cm="1">
        <f t="array" ref="E192">_xlfn.IFERROR(SUM('Direct Costs 2026'!$C$4:$C$5)*D192,"N/A")</f>
        <v>875500</v>
      </c>
      <c r="F192" s="538" cm="1">
        <f t="array" ref="F192">_xlfn.IFERROR('Direct Costs 2026'!$C$43*B192,"N/A")</f>
        <v>24000</v>
      </c>
      <c r="G192" s="538" cm="1">
        <f t="array" ref="G192">IF(B192&gt;0,'Direct Costs 2026'!$C$25,"N/A")</f>
        <v>90000</v>
      </c>
      <c r="H192" s="538" cm="1">
        <f t="array" ref="H192">IF(B192&gt;0,'Direct Costs 2026'!$C$19+'Direct Costs 2026'!$C$18*B192,"N/A")</f>
        <v>215000</v>
      </c>
      <c r="I192" s="538" cm="1">
        <f t="array" ref="I192">IF(B192&gt;0,SUM('Direct Costs 2026'!$C$20:$C$21),"N/A")</f>
        <v>98333.3333333333</v>
      </c>
      <c r="J192" s="538">
        <v>0</v>
      </c>
      <c r="K192" s="538" cm="1">
        <f t="array" ref="K192">IF(B192&gt;0,'Direct Costs 2026'!$C$15+'Direct Costs 2026'!$C$14,"N/A")</f>
        <v>230000</v>
      </c>
      <c r="L192" s="538" cm="1">
        <f t="array" ref="L192">IF(B192&gt;0,'Direct Costs 2026'!$C$26,"N/A")</f>
        <v>20000</v>
      </c>
      <c r="M192" s="538" cm="1">
        <f t="array" ref="M192">IF(B192&gt;0,'Direct Costs 2026'!$C$23,"N/A")</f>
        <v>140000</v>
      </c>
      <c r="N192" s="538" cm="1">
        <f t="array" ref="N192">IF(B192&gt;0,'Direct Costs 2026'!$C$44*B192,"N/A")</f>
        <v>440000</v>
      </c>
      <c r="O192" t="str" s="547" cm="1">
        <f t="array" ref="O192">IF(B192&gt;0,_xlfn.IFERROR(VLOOKUP(C186,'Boats Data Sheet 2026'!$C$3:$I$57,7,0)*'Direct Costs 2026'!$C$36,"N/A"),"N/A")</f>
        <v>N/A</v>
      </c>
      <c r="P192" t="str" s="547" cm="1">
        <f t="array" ref="P192">IF(B192&gt;0,IF(OR(VLOOKUP(C186,'Boats Data Sheet 2026'!$C$3:$F$57,4,0)="Own",VLOOKUP(C186,'Boats Data Sheet 2026'!$C$3:$F$57,4,0)="Management"),('Direct Costs 2026'!$C$37+'Direct Costs 2026'!$C$39),"N/A"),"N/A")</f>
        <v>N/A</v>
      </c>
      <c r="Q192" s="538" cm="1">
        <f t="array" ref="Q192">_xlfn.IFERROR(IF(B192&gt;5,IF(B192&gt;11,IF(B192&gt;15,4,3),2),IF(B192=0,"N/A",1))*SUM('Direct Costs 2026'!$C$67:$C$68),"N/A")</f>
        <v>489600</v>
      </c>
      <c r="R192" s="538" cm="1">
        <f t="array" ref="R192">_xlfn.IFERROR('Direct Costs 2026'!$C$27*C192,"N/A")</f>
        <v>150000</v>
      </c>
      <c r="S192" s="538" cm="1">
        <f t="array" ref="S192">_xlfn.IFERROR(C192+SUM(E192:R192),"N/A")</f>
        <v>10272433.3333333</v>
      </c>
      <c r="T192" s="424"/>
      <c r="U192" s="538" cm="1">
        <f t="array" ref="U192">IF(B192&gt;0,'Allocation OH and Target 2026'!$E$27,"N/A")</f>
        <v>2134447.30345641</v>
      </c>
      <c r="V192" s="538" cm="1">
        <f t="array" ref="V192">IF(B192&gt;0,'Allocation OH and Target 2026'!$E$28,"N/A")</f>
        <v>200042.323056976</v>
      </c>
      <c r="W192" s="538" cm="1">
        <f t="array" ref="W192">IF(B192&gt;0,VLOOKUP(C186,'Allocation OH and Target 2026'!$C$3:$T$23,17,0),"N/A")</f>
        <v>0</v>
      </c>
      <c r="X192" s="538" cm="1">
        <f t="array" ref="X192">IF(B192&gt;0,VLOOKUP(C186,'Allocation OH and Target 2026'!$C$3:$T$23,18,0),"N/A")</f>
        <v>0</v>
      </c>
      <c r="Y192" s="538" cm="1">
        <f t="array" ref="Y192">_xlfn.IFERROR(B192*(V192+X192),"N/A")</f>
        <v>800169.292227904</v>
      </c>
      <c r="Z192" s="424"/>
      <c r="AA192" s="538" cm="1">
        <f t="array" ref="AA192">_xlfn.IFERROR(Y192+S192,"N/A")</f>
        <v>11072602.6255612</v>
      </c>
      <c r="AB192" s="538" cm="1">
        <f t="array" ref="AB192">_xlfn.IFERROR(AA192*0.5%,"N/A")</f>
        <v>55363.013127806</v>
      </c>
      <c r="AC192" s="538" cm="1">
        <f t="array" ref="AC192">_xlfn.IFERROR(AA192*25%,"N/A")</f>
        <v>2768150.6563903</v>
      </c>
      <c r="AD192" s="539" cm="1">
        <f t="array" ref="AD192">IF(B192&gt;0,SUM(AA192:AC192),"N/A")</f>
        <v>13896116.2950793</v>
      </c>
      <c r="AE192" s="538" cm="1">
        <f t="array" ref="AE192">_xlfn.IFERROR(AD192/B192,"N/A")</f>
        <v>3474029.07376983</v>
      </c>
      <c r="AF192" s="424"/>
      <c r="AG192" t="str" s="546" cm="1">
        <f t="array" ref="AG192">IF(B192/VLOOKUP(C186,'Boats Data Sheet 2026'!$C$3:$H$57,6,0)&gt;VLOOKUP(C186,'Allocation OH and Target 2026'!$C$3:$J$23,8,0),IF(SUM(AH188:AH191)=0,AE192,"N/A"),"N/A")</f>
        <v>N/A</v>
      </c>
      <c r="AH192" s="424" cm="1">
        <f t="array" ref="AH192">IF(AG192="N/A",0,1)</f>
        <v>0</v>
      </c>
      <c r="AI192" t="str" s="547" cm="1">
        <f t="array" ref="AI192">IF(B192/VLOOKUP(C186,'Boats Data Sheet 2026'!$C$3:$H$57,6,0)&gt;VLOOKUP(C186,'Allocation OH and Target 2026'!$C$3:$J$23,8,0),IF(SUM(AH188:AH191)=0,S192/B192,"N/A"),"N/A")</f>
        <v>N/A</v>
      </c>
      <c r="AJ192" s="424" cm="1">
        <f t="array" ref="AJ192">IF(AI192="N/A",0,1)</f>
        <v>0</v>
      </c>
      <c r="AK192" t="str" s="527" cm="1">
        <f t="array" ref="AK192">IF(SUM($AG$51:$AG$68)*B192&lt;SUM(AA192:AB192),"NO GO","GO")</f>
        <v>NO GO</v>
      </c>
      <c r="AL192" s="424"/>
      <c r="AM192" s="538"/>
      <c r="AN192" s="538"/>
      <c r="AO192" s="538"/>
      <c r="AP192" s="542"/>
      <c r="AQ192" s="543" cm="1">
        <f t="array" ref="AQ192">B192</f>
        <v>4</v>
      </c>
      <c r="AR192" s="18"/>
    </row>
    <row r="193" ht="16" customHeight="1">
      <c r="A193" s="12"/>
      <c r="B193" s="544" cm="1">
        <f t="array" ref="B193">IF(B192=0,0,IF(B192&lt;VLOOKUP(C186,'Boats Data Sheet 2026'!$C$3:$H$57,6,0),B192+1,0))</f>
        <v>5</v>
      </c>
      <c r="C193" s="538" cm="1">
        <f t="array" ref="C193">IF(B193&gt;0,IF(VLOOKUP(C186,'Boats Data Sheet 2026'!$C$3:$J$57,8,0)="N/A",0,VLOOKUP(C186,'Boats Data Sheet 2026'!$C$3:$J$57,8,0)),"N/A")</f>
        <v>7500000</v>
      </c>
      <c r="D193" s="545" cm="1">
        <f t="array" ref="D193">IF(B193&gt;7,2,IF(B193=0,"N/A",1))</f>
        <v>1</v>
      </c>
      <c r="E193" s="538" cm="1">
        <f t="array" ref="E193">_xlfn.IFERROR(SUM('Direct Costs 2026'!$C$4:$C$5)*D193,"N/A")</f>
        <v>875500</v>
      </c>
      <c r="F193" s="538" cm="1">
        <f t="array" ref="F193">_xlfn.IFERROR('Direct Costs 2026'!$C$43*B193,"N/A")</f>
        <v>30000</v>
      </c>
      <c r="G193" s="538" cm="1">
        <f t="array" ref="G193">IF(B193&gt;0,'Direct Costs 2026'!$C$25,"N/A")</f>
        <v>90000</v>
      </c>
      <c r="H193" s="538" cm="1">
        <f t="array" ref="H193">IF(B193&gt;0,'Direct Costs 2026'!$C$19+'Direct Costs 2026'!$C$18*B193,"N/A")</f>
        <v>250000</v>
      </c>
      <c r="I193" s="538" cm="1">
        <f t="array" ref="I193">IF(B193&gt;0,SUM('Direct Costs 2026'!$C$20:$C$21),"N/A")</f>
        <v>98333.3333333333</v>
      </c>
      <c r="J193" s="538">
        <v>0</v>
      </c>
      <c r="K193" s="538" cm="1">
        <f t="array" ref="K193">IF(B193&gt;0,'Direct Costs 2026'!$C$15+'Direct Costs 2026'!$C$14,"N/A")</f>
        <v>230000</v>
      </c>
      <c r="L193" s="538" cm="1">
        <f t="array" ref="L193">IF(B193&gt;0,'Direct Costs 2026'!$C$26,"N/A")</f>
        <v>20000</v>
      </c>
      <c r="M193" s="538" cm="1">
        <f t="array" ref="M193">IF(B193&gt;0,'Direct Costs 2026'!$C$23,"N/A")</f>
        <v>140000</v>
      </c>
      <c r="N193" s="538" cm="1">
        <f t="array" ref="N193">IF(B193&gt;0,'Direct Costs 2026'!$C$44*B193,"N/A")</f>
        <v>550000</v>
      </c>
      <c r="O193" t="str" s="547" cm="1">
        <f t="array" ref="O193">IF(B193&gt;0,_xlfn.IFERROR(VLOOKUP(C186,'Boats Data Sheet 2026'!$C$3:$I$57,7,0)*'Direct Costs 2026'!$C$36,"N/A"),"N/A")</f>
        <v>N/A</v>
      </c>
      <c r="P193" t="str" s="547" cm="1">
        <f t="array" ref="P193">IF(B193&gt;0,IF(OR(VLOOKUP(C186,'Boats Data Sheet 2026'!$C$3:$F$57,4,0)="Own",VLOOKUP(C186,'Boats Data Sheet 2026'!$C$3:$F$57,4,0)="Management"),('Direct Costs 2026'!$C$37+'Direct Costs 2026'!$C$39),"N/A"),"N/A")</f>
        <v>N/A</v>
      </c>
      <c r="Q193" s="538" cm="1">
        <f t="array" ref="Q193">_xlfn.IFERROR(IF(B193&gt;5,IF(B193&gt;11,IF(B193&gt;15,4,3),2),IF(B193=0,"N/A",1))*SUM('Direct Costs 2026'!$C$67:$C$68),"N/A")</f>
        <v>489600</v>
      </c>
      <c r="R193" s="538" cm="1">
        <f t="array" ref="R193">_xlfn.IFERROR('Direct Costs 2026'!$C$27*C193,"N/A")</f>
        <v>150000</v>
      </c>
      <c r="S193" s="538" cm="1">
        <f t="array" ref="S193">_xlfn.IFERROR(C193+SUM(E193:R193),"N/A")</f>
        <v>10423433.3333333</v>
      </c>
      <c r="T193" s="424"/>
      <c r="U193" s="538" cm="1">
        <f t="array" ref="U193">IF(B193&gt;0,'Allocation OH and Target 2026'!$E$27,"N/A")</f>
        <v>2134447.30345641</v>
      </c>
      <c r="V193" s="538" cm="1">
        <f t="array" ref="V193">IF(B193&gt;0,'Allocation OH and Target 2026'!$E$28,"N/A")</f>
        <v>200042.323056976</v>
      </c>
      <c r="W193" s="538" cm="1">
        <f t="array" ref="W193">IF(B194&gt;0,VLOOKUP(C186,'Allocation OH and Target 2026'!$C$3:$T$23,17,0),"N/A")</f>
        <v>0</v>
      </c>
      <c r="X193" s="538" cm="1">
        <f t="array" ref="X193">IF(B193&gt;0,VLOOKUP(C186,'Allocation OH and Target 2026'!$C$3:$T$23,18,0),"N/A")</f>
        <v>0</v>
      </c>
      <c r="Y193" s="538" cm="1">
        <f t="array" ref="Y193">_xlfn.IFERROR(B193*(V193+X193),"N/A")</f>
        <v>1000211.61528488</v>
      </c>
      <c r="Z193" s="424"/>
      <c r="AA193" s="538" cm="1">
        <f t="array" ref="AA193">_xlfn.IFERROR(Y193+S193,"N/A")</f>
        <v>11423644.9486182</v>
      </c>
      <c r="AB193" s="538" cm="1">
        <f t="array" ref="AB193">_xlfn.IFERROR(AA193*0.5%,"N/A")</f>
        <v>57118.224743091</v>
      </c>
      <c r="AC193" s="538" cm="1">
        <f t="array" ref="AC193">_xlfn.IFERROR(AA193*25%,"N/A")</f>
        <v>2855911.23715455</v>
      </c>
      <c r="AD193" s="539" cm="1">
        <f t="array" ref="AD193">IF(B193&gt;0,SUM(AA193:AC193),"N/A")</f>
        <v>14336674.4105158</v>
      </c>
      <c r="AE193" s="538" cm="1">
        <f t="array" ref="AE193">_xlfn.IFERROR(AD193/B193,"N/A")</f>
        <v>2867334.88210316</v>
      </c>
      <c r="AF193" s="424"/>
      <c r="AG193" t="str" s="546" cm="1">
        <f t="array" ref="AG193">IF(B193/VLOOKUP(C186,'Boats Data Sheet 2026'!$C$3:$H$57,6,0)&gt;VLOOKUP(C186,'Allocation OH and Target 2026'!$C$3:$J$23,8,0),IF(SUM(AH188:AH192)=0,AE193,"N/A"),"N/A")</f>
        <v>N/A</v>
      </c>
      <c r="AH193" s="424" cm="1">
        <f t="array" ref="AH193">IF(AG193="N/A",0,1)</f>
        <v>0</v>
      </c>
      <c r="AI193" t="str" s="547" cm="1">
        <f t="array" ref="AI193">IF(B193/VLOOKUP(C186,'Boats Data Sheet 2026'!$C$3:$H$57,6,0)&gt;VLOOKUP(C186,'Allocation OH and Target 2026'!$C$3:$J$23,8,0),IF(SUM(AH188:AH192)=0,S193/B193,"N/A"),"N/A")</f>
        <v>N/A</v>
      </c>
      <c r="AJ193" s="424" cm="1">
        <f t="array" ref="AJ193">IF(AI193="N/A",0,1)</f>
        <v>0</v>
      </c>
      <c r="AK193" t="str" s="527" cm="1">
        <f t="array" ref="AK193">IF(SUM($AG$51:$AG$68)*B193&lt;SUM(AA193:AB193),"NO GO","GO")</f>
        <v>NO GO</v>
      </c>
      <c r="AL193" s="424"/>
      <c r="AM193" s="538"/>
      <c r="AN193" s="538"/>
      <c r="AO193" s="538"/>
      <c r="AP193" s="542"/>
      <c r="AQ193" s="543" cm="1">
        <f t="array" ref="AQ193">B193</f>
        <v>5</v>
      </c>
      <c r="AR193" s="18"/>
    </row>
    <row r="194" ht="16" customHeight="1">
      <c r="A194" s="12"/>
      <c r="B194" s="544" cm="1">
        <f t="array" ref="B194">IF(B193=0,0,IF(B193&lt;VLOOKUP(C186,'Boats Data Sheet 2026'!$C$3:$H$57,6,0),B193+1,0))</f>
        <v>6</v>
      </c>
      <c r="C194" s="538" cm="1">
        <f t="array" ref="C194">IF(B194&gt;0,IF(VLOOKUP(C186,'Boats Data Sheet 2026'!$C$3:$J$57,8,0)="N/A",0,VLOOKUP(C186,'Boats Data Sheet 2026'!$C$3:$J$57,8,0)),"N/A")</f>
        <v>7500000</v>
      </c>
      <c r="D194" s="545" cm="1">
        <f t="array" ref="D194">IF(B194&gt;7,2,IF(B194=0,"N/A",1))</f>
        <v>1</v>
      </c>
      <c r="E194" s="538" cm="1">
        <f t="array" ref="E194">_xlfn.IFERROR(SUM('Direct Costs 2026'!$C$4:$C$5)*D194,"N/A")</f>
        <v>875500</v>
      </c>
      <c r="F194" s="538" cm="1">
        <f t="array" ref="F194">_xlfn.IFERROR('Direct Costs 2026'!$C$43*B194,"N/A")</f>
        <v>36000</v>
      </c>
      <c r="G194" s="538" cm="1">
        <f t="array" ref="G194">IF(B194&gt;0,'Direct Costs 2026'!$C$25,"N/A")</f>
        <v>90000</v>
      </c>
      <c r="H194" s="538" cm="1">
        <f t="array" ref="H194">IF(B194&gt;0,'Direct Costs 2026'!$C$19+'Direct Costs 2026'!$C$18*B194,"N/A")</f>
        <v>285000</v>
      </c>
      <c r="I194" s="538" cm="1">
        <f t="array" ref="I194">IF(B194&gt;0,SUM('Direct Costs 2026'!$C$20:$C$21),"N/A")</f>
        <v>98333.3333333333</v>
      </c>
      <c r="J194" s="538">
        <v>0</v>
      </c>
      <c r="K194" s="538" cm="1">
        <f t="array" ref="K194">IF(B194&gt;0,'Direct Costs 2026'!$C$15+'Direct Costs 2026'!$C$14,"N/A")</f>
        <v>230000</v>
      </c>
      <c r="L194" s="538" cm="1">
        <f t="array" ref="L194">IF(B194&gt;0,'Direct Costs 2026'!$C$26,"N/A")</f>
        <v>20000</v>
      </c>
      <c r="M194" s="538" cm="1">
        <f t="array" ref="M194">IF(B194&gt;0,'Direct Costs 2026'!$C$23,"N/A")</f>
        <v>140000</v>
      </c>
      <c r="N194" s="538" cm="1">
        <f t="array" ref="N194">IF(B194&gt;0,'Direct Costs 2026'!$C$44*B194,"N/A")</f>
        <v>660000</v>
      </c>
      <c r="O194" t="str" s="547" cm="1">
        <f t="array" ref="O194">IF(B194&gt;0,_xlfn.IFERROR(VLOOKUP(C186,'Boats Data Sheet 2026'!$C$3:$I$57,7,0)*'Direct Costs 2026'!$C$36,"N/A"),"N/A")</f>
        <v>N/A</v>
      </c>
      <c r="P194" t="str" s="547" cm="1">
        <f t="array" ref="P194">IF(B194&gt;0,IF(OR(VLOOKUP(C186,'Boats Data Sheet 2026'!$C$3:$F$57,4,0)="Own",VLOOKUP(C186,'Boats Data Sheet 2026'!$C$3:$F$57,4,0)="Management"),('Direct Costs 2026'!$C$37+'Direct Costs 2026'!$C$39),"N/A"),"N/A")</f>
        <v>N/A</v>
      </c>
      <c r="Q194" s="538" cm="1">
        <f t="array" ref="Q194">_xlfn.IFERROR(IF(B194&gt;5,IF(B194&gt;11,IF(B194&gt;15,4,3),2),IF(B194=0,"N/A",1))*SUM('Direct Costs 2026'!$C$67:$C$68),"N/A")</f>
        <v>979200</v>
      </c>
      <c r="R194" s="538" cm="1">
        <f t="array" ref="R194">_xlfn.IFERROR('Direct Costs 2026'!$C$27*C194,"N/A")</f>
        <v>150000</v>
      </c>
      <c r="S194" s="538" cm="1">
        <f t="array" ref="S194">_xlfn.IFERROR(C194+SUM(E194:R194),"N/A")</f>
        <v>11064033.3333333</v>
      </c>
      <c r="T194" s="424"/>
      <c r="U194" s="538" cm="1">
        <f t="array" ref="U194">IF(B194&gt;0,'Allocation OH and Target 2026'!$E$27,"N/A")</f>
        <v>2134447.30345641</v>
      </c>
      <c r="V194" s="538" cm="1">
        <f t="array" ref="V194">IF(B194&gt;0,'Allocation OH and Target 2026'!$E$28,"N/A")</f>
        <v>200042.323056976</v>
      </c>
      <c r="W194" s="538" cm="1">
        <f t="array" ref="W194">IF(B194&gt;0,VLOOKUP(C186,'Allocation OH and Target 2026'!$C$3:$T$23,17,0),"N/A")</f>
        <v>0</v>
      </c>
      <c r="X194" s="538" cm="1">
        <f t="array" ref="X194">IF(B195&gt;0,VLOOKUP(C186,'Allocation OH and Target 2026'!$C$3:$T$23,18,0),"N/A")</f>
        <v>0</v>
      </c>
      <c r="Y194" s="538" cm="1">
        <f t="array" ref="Y194">_xlfn.IFERROR(B194*(V194+X194),"N/A")</f>
        <v>1200253.93834186</v>
      </c>
      <c r="Z194" s="424"/>
      <c r="AA194" s="538" cm="1">
        <f t="array" ref="AA194">_xlfn.IFERROR(Y194+S194,"N/A")</f>
        <v>12264287.2716752</v>
      </c>
      <c r="AB194" s="538" cm="1">
        <f t="array" ref="AB194">_xlfn.IFERROR(AA194*0.5%,"N/A")</f>
        <v>61321.436358376</v>
      </c>
      <c r="AC194" s="538" cm="1">
        <f t="array" ref="AC194">_xlfn.IFERROR(AA194*25%,"N/A")</f>
        <v>3066071.8179188</v>
      </c>
      <c r="AD194" s="539" cm="1">
        <f t="array" ref="AD194">IF(B194&gt;0,SUM(AA194:AC194),"N/A")</f>
        <v>15391680.5259524</v>
      </c>
      <c r="AE194" s="538" cm="1">
        <f t="array" ref="AE194">_xlfn.IFERROR(AD194/B194,"N/A")</f>
        <v>2565280.08765873</v>
      </c>
      <c r="AF194" s="424"/>
      <c r="AG194" t="str" s="546" cm="1">
        <f t="array" ref="AG194">IF(B194/VLOOKUP(C186,'Boats Data Sheet 2026'!$C$3:$H$57,6,0)&gt;VLOOKUP(C186,'Allocation OH and Target 2026'!$C$3:$J$23,8,0),IF(SUM(AH188:AH193)=0,AE194,"N/A"),"N/A")</f>
        <v>N/A</v>
      </c>
      <c r="AH194" s="424" cm="1">
        <f t="array" ref="AH194">IF(AG194="N/A",0,1)</f>
        <v>0</v>
      </c>
      <c r="AI194" t="str" s="547" cm="1">
        <f t="array" ref="AI194">IF(B194/VLOOKUP(C186,'Boats Data Sheet 2026'!$C$3:$H$57,6,0)&gt;VLOOKUP(C186,'Allocation OH and Target 2026'!$C$3:$J$23,8,0),IF(SUM(AH188:AH193)=0,S194/B194,"N/A"),"N/A")</f>
        <v>N/A</v>
      </c>
      <c r="AJ194" s="424" cm="1">
        <f t="array" ref="AJ194">IF(AI194="N/A",0,1)</f>
        <v>0</v>
      </c>
      <c r="AK194" t="str" s="527" cm="1">
        <f t="array" ref="AK194">IF(SUM($AG$51:$AG$68)*B194&lt;SUM(AA194:AB194),"NO GO","GO")</f>
        <v>NO GO</v>
      </c>
      <c r="AL194" s="424"/>
      <c r="AM194" s="538"/>
      <c r="AN194" s="538"/>
      <c r="AO194" s="538"/>
      <c r="AP194" s="542"/>
      <c r="AQ194" s="543" cm="1">
        <f t="array" ref="AQ194">B194</f>
        <v>6</v>
      </c>
      <c r="AR194" s="18"/>
    </row>
    <row r="195" ht="16" customHeight="1">
      <c r="A195" s="12"/>
      <c r="B195" s="544" cm="1">
        <f t="array" ref="B195">IF(B194=0,0,IF(B194&lt;VLOOKUP(C186,'Boats Data Sheet 2026'!$C$3:$H$57,6,0),B194+1,0))</f>
        <v>7</v>
      </c>
      <c r="C195" s="538" cm="1">
        <f t="array" ref="C195">IF(B195&gt;0,IF(VLOOKUP(C186,'Boats Data Sheet 2026'!$C$3:$J$57,8,0)="N/A",0,VLOOKUP(C186,'Boats Data Sheet 2026'!$C$3:$J$57,8,0)),"N/A")</f>
        <v>7500000</v>
      </c>
      <c r="D195" s="545" cm="1">
        <f t="array" ref="D195">IF(B195&gt;7,2,IF(B195=0,"N/A",1))</f>
        <v>1</v>
      </c>
      <c r="E195" s="538" cm="1">
        <f t="array" ref="E195">_xlfn.IFERROR(SUM('Direct Costs 2026'!$C$4:$C$5)*D195,"N/A")</f>
        <v>875500</v>
      </c>
      <c r="F195" s="538" cm="1">
        <f t="array" ref="F195">_xlfn.IFERROR('Direct Costs 2026'!$C$43*B195,"N/A")</f>
        <v>42000</v>
      </c>
      <c r="G195" s="538" cm="1">
        <f t="array" ref="G195">IF(B195&gt;0,'Direct Costs 2026'!$C$25,"N/A")</f>
        <v>90000</v>
      </c>
      <c r="H195" s="538" cm="1">
        <f t="array" ref="H195">IF(B195&gt;0,'Direct Costs 2026'!$C$19+'Direct Costs 2026'!$C$18*B195,"N/A")</f>
        <v>320000</v>
      </c>
      <c r="I195" s="538" cm="1">
        <f t="array" ref="I195">IF(B195&gt;0,SUM('Direct Costs 2026'!$C$20:$C$21),"N/A")</f>
        <v>98333.3333333333</v>
      </c>
      <c r="J195" s="538">
        <v>0</v>
      </c>
      <c r="K195" s="538" cm="1">
        <f t="array" ref="K195">IF(B195&gt;0,'Direct Costs 2026'!$C$15+'Direct Costs 2026'!$C$14,"N/A")</f>
        <v>230000</v>
      </c>
      <c r="L195" s="538" cm="1">
        <f t="array" ref="L195">IF(B195&gt;0,'Direct Costs 2026'!$C$26,"N/A")</f>
        <v>20000</v>
      </c>
      <c r="M195" s="538" cm="1">
        <f t="array" ref="M195">IF(B195&gt;0,'Direct Costs 2026'!$C$23,"N/A")</f>
        <v>140000</v>
      </c>
      <c r="N195" s="538" cm="1">
        <f t="array" ref="N195">IF(B195&gt;0,'Direct Costs 2026'!$C$44*B195,"N/A")</f>
        <v>770000</v>
      </c>
      <c r="O195" t="str" s="547" cm="1">
        <f t="array" ref="O195">IF(B195&gt;0,_xlfn.IFERROR(VLOOKUP(C186,'Boats Data Sheet 2026'!$C$3:$I$57,7,0)*'Direct Costs 2026'!$C$36,"N/A"),"N/A")</f>
        <v>N/A</v>
      </c>
      <c r="P195" t="str" s="547" cm="1">
        <f t="array" ref="P195">IF(B195&gt;0,IF(OR(VLOOKUP(C186,'Boats Data Sheet 2026'!$C$3:$F$57,4,0)="Own",VLOOKUP(C186,'Boats Data Sheet 2026'!$C$3:$F$57,4,0)="Management"),('Direct Costs 2026'!$C$37+'Direct Costs 2026'!$C$39),"N/A"),"N/A")</f>
        <v>N/A</v>
      </c>
      <c r="Q195" s="538" cm="1">
        <f t="array" ref="Q195">_xlfn.IFERROR(IF(B195&gt;5,IF(B195&gt;11,IF(B195&gt;15,4,3),2),IF(B195=0,"N/A",1))*SUM('Direct Costs 2026'!$C$67:$C$68),"N/A")</f>
        <v>979200</v>
      </c>
      <c r="R195" s="538" cm="1">
        <f t="array" ref="R195">_xlfn.IFERROR('Direct Costs 2026'!$C$27*C195,"N/A")</f>
        <v>150000</v>
      </c>
      <c r="S195" s="538" cm="1">
        <f t="array" ref="S195">_xlfn.IFERROR(C195+SUM(E195:R195),"N/A")</f>
        <v>11215033.3333333</v>
      </c>
      <c r="T195" s="424"/>
      <c r="U195" s="538" cm="1">
        <f t="array" ref="U195">IF(B195&gt;0,'Allocation OH and Target 2026'!$E$27,"N/A")</f>
        <v>2134447.30345641</v>
      </c>
      <c r="V195" s="538" cm="1">
        <f t="array" ref="V195">IF(B195&gt;0,'Allocation OH and Target 2026'!$E$28,"N/A")</f>
        <v>200042.323056976</v>
      </c>
      <c r="W195" s="538" cm="1">
        <f t="array" ref="W195">IF(B195&gt;0,VLOOKUP(C186,'Allocation OH and Target 2026'!$C$3:$T$23,17,0),"N/A")</f>
        <v>0</v>
      </c>
      <c r="X195" s="538" cm="1">
        <f t="array" ref="X195">IF(B195&gt;0,VLOOKUP(C186,'Allocation OH and Target 2026'!$C$3:$T$23,18,0),"N/A")</f>
        <v>0</v>
      </c>
      <c r="Y195" s="538" cm="1">
        <f t="array" ref="Y195">_xlfn.IFERROR(B195*(V195+X195),"N/A")</f>
        <v>1400296.26139883</v>
      </c>
      <c r="Z195" s="424"/>
      <c r="AA195" s="538" cm="1">
        <f t="array" ref="AA195">_xlfn.IFERROR(Y195+S195,"N/A")</f>
        <v>12615329.5947321</v>
      </c>
      <c r="AB195" s="538" cm="1">
        <f t="array" ref="AB195">_xlfn.IFERROR(AA195*0.5%,"N/A")</f>
        <v>63076.6479736605</v>
      </c>
      <c r="AC195" s="538" cm="1">
        <f t="array" ref="AC195">_xlfn.IFERROR(AA195*25%,"N/A")</f>
        <v>3153832.39868303</v>
      </c>
      <c r="AD195" s="539" cm="1">
        <f t="array" ref="AD195">IF(B195&gt;0,SUM(AA195:AC195),"N/A")</f>
        <v>15832238.6413888</v>
      </c>
      <c r="AE195" s="538" cm="1">
        <f t="array" ref="AE195">_xlfn.IFERROR(AD195/B195,"N/A")</f>
        <v>2261748.37734126</v>
      </c>
      <c r="AF195" s="424"/>
      <c r="AG195" t="str" s="546" cm="1">
        <f t="array" ref="AG195">IF(B195/VLOOKUP(C186,'Boats Data Sheet 2026'!$C$3:$H$57,6,0)&gt;VLOOKUP(C186,'Allocation OH and Target 2026'!$C$3:$J$23,8,0),IF(SUM(AH188:AH194)=0,AE195,"N/A"),"N/A")</f>
        <v>N/A</v>
      </c>
      <c r="AH195" s="424" cm="1">
        <f t="array" ref="AH195">IF(AG195="N/A",0,1)</f>
        <v>0</v>
      </c>
      <c r="AI195" t="str" s="547" cm="1">
        <f t="array" ref="AI195">IF(B195/VLOOKUP(C186,'Boats Data Sheet 2026'!$C$3:$H$57,6,0)&gt;VLOOKUP(C186,'Allocation OH and Target 2026'!$C$3:$J$23,8,0),IF(SUM(AH188:AH194)=0,S195/B195,"N/A"),"N/A")</f>
        <v>N/A</v>
      </c>
      <c r="AJ195" s="424" cm="1">
        <f t="array" ref="AJ195">IF(AI195="N/A",0,1)</f>
        <v>0</v>
      </c>
      <c r="AK195" t="str" s="527" cm="1">
        <f t="array" ref="AK195">IF(SUM($AG$51:$AG$68)*B195&lt;SUM(AA195:AB195),"NO GO","GO")</f>
        <v>NO GO</v>
      </c>
      <c r="AL195" s="424"/>
      <c r="AM195" s="538"/>
      <c r="AN195" s="538"/>
      <c r="AO195" s="538"/>
      <c r="AP195" s="542"/>
      <c r="AQ195" s="543" cm="1">
        <f t="array" ref="AQ195">B195</f>
        <v>7</v>
      </c>
      <c r="AR195" s="18"/>
    </row>
    <row r="196" ht="16" customHeight="1">
      <c r="A196" s="12"/>
      <c r="B196" s="544" cm="1">
        <f t="array" ref="B196">IF(B195=0,0,IF(B195&lt;VLOOKUP(C186,'Boats Data Sheet 2026'!$C$3:$H$57,6,0),B195+1,0))</f>
        <v>8</v>
      </c>
      <c r="C196" s="538" cm="1">
        <f t="array" ref="C196">IF(B196&gt;0,IF(VLOOKUP(C186,'Boats Data Sheet 2026'!$C$3:$J$57,8,0)="N/A",0,VLOOKUP(C186,'Boats Data Sheet 2026'!$C$3:$J$57,8,0)),"N/A")</f>
        <v>7500000</v>
      </c>
      <c r="D196" s="545" cm="1">
        <f t="array" ref="D196">IF(B196&gt;7,2,IF(B196=0,"N/A",1))</f>
        <v>2</v>
      </c>
      <c r="E196" s="538" cm="1">
        <f t="array" ref="E196">_xlfn.IFERROR(SUM('Direct Costs 2026'!$C$4:$C$5)*D196,"N/A")</f>
        <v>1751000</v>
      </c>
      <c r="F196" s="538" cm="1">
        <f t="array" ref="F196">_xlfn.IFERROR('Direct Costs 2026'!$C$43*B196,"N/A")</f>
        <v>48000</v>
      </c>
      <c r="G196" s="538" cm="1">
        <f t="array" ref="G196">IF(B196&gt;0,'Direct Costs 2026'!$C$25,"N/A")</f>
        <v>90000</v>
      </c>
      <c r="H196" s="538" cm="1">
        <f t="array" ref="H196">IF(B196&gt;0,'Direct Costs 2026'!$C$19+'Direct Costs 2026'!$C$18*B196,"N/A")</f>
        <v>355000</v>
      </c>
      <c r="I196" s="538" cm="1">
        <f t="array" ref="I196">IF(B196&gt;0,SUM('Direct Costs 2026'!$C$20:$C$21),"N/A")</f>
        <v>98333.3333333333</v>
      </c>
      <c r="J196" s="538">
        <v>0</v>
      </c>
      <c r="K196" s="538" cm="1">
        <f t="array" ref="K196">IF(B196&gt;0,'Direct Costs 2026'!$C$15+'Direct Costs 2026'!$C$14,"N/A")</f>
        <v>230000</v>
      </c>
      <c r="L196" s="538" cm="1">
        <f t="array" ref="L196">IF(B196&gt;0,'Direct Costs 2026'!$C$26,"N/A")</f>
        <v>20000</v>
      </c>
      <c r="M196" s="538" cm="1">
        <f t="array" ref="M196">IF(B196&gt;0,'Direct Costs 2026'!$C$23,"N/A")</f>
        <v>140000</v>
      </c>
      <c r="N196" s="538" cm="1">
        <f t="array" ref="N196">IF(B196&gt;0,'Direct Costs 2026'!$C$44*B196,"N/A")</f>
        <v>880000</v>
      </c>
      <c r="O196" t="str" s="547" cm="1">
        <f t="array" ref="O196">IF(B196&gt;0,_xlfn.IFERROR(VLOOKUP(C186,'Boats Data Sheet 2026'!$C$3:$I$57,7,0)*'Direct Costs 2026'!$C$36,"N/A"),"N/A")</f>
        <v>N/A</v>
      </c>
      <c r="P196" t="str" s="547" cm="1">
        <f t="array" ref="P196">IF(B196&gt;0,IF(OR(VLOOKUP(C186,'Boats Data Sheet 2026'!$C$3:$F$57,4,0)="Own",VLOOKUP(C186,'Boats Data Sheet 2026'!$C$3:$F$57,4,0)="Management"),('Direct Costs 2026'!$C$37+'Direct Costs 2026'!$C$39),"N/A"),"N/A")</f>
        <v>N/A</v>
      </c>
      <c r="Q196" s="538" cm="1">
        <f t="array" ref="Q196">_xlfn.IFERROR(IF(B196&gt;5,IF(B196&gt;11,IF(B196&gt;15,4,3),2),IF(B196=0,"N/A",1))*SUM('Direct Costs 2026'!$C$67:$C$68),"N/A")</f>
        <v>979200</v>
      </c>
      <c r="R196" s="538" cm="1">
        <f t="array" ref="R196">_xlfn.IFERROR('Direct Costs 2026'!$C$27*C196,"N/A")</f>
        <v>150000</v>
      </c>
      <c r="S196" s="538" cm="1">
        <f t="array" ref="S196">_xlfn.IFERROR(C196+SUM(E196:R196),"N/A")</f>
        <v>12241533.3333333</v>
      </c>
      <c r="T196" s="424"/>
      <c r="U196" s="538" cm="1">
        <f t="array" ref="U196">IF(B196&gt;0,'Allocation OH and Target 2026'!$E$27,"N/A")</f>
        <v>2134447.30345641</v>
      </c>
      <c r="V196" s="538" cm="1">
        <f t="array" ref="V196">IF(B196&gt;0,'Allocation OH and Target 2026'!$E$28,"N/A")</f>
        <v>200042.323056976</v>
      </c>
      <c r="W196" s="538" cm="1">
        <f t="array" ref="W196">IF(B196&gt;0,VLOOKUP(C186,'Allocation OH and Target 2026'!$C$3:$T$23,17,0),"N/A")</f>
        <v>0</v>
      </c>
      <c r="X196" s="538" cm="1">
        <f t="array" ref="X196">IF(B196&gt;0,VLOOKUP(C186,'Allocation OH and Target 2026'!$C$3:$T$23,18,0),"N/A")</f>
        <v>0</v>
      </c>
      <c r="Y196" s="538" cm="1">
        <f t="array" ref="Y196">_xlfn.IFERROR(B196*(V196+X196),"N/A")</f>
        <v>1600338.58445581</v>
      </c>
      <c r="Z196" s="424"/>
      <c r="AA196" s="538" cm="1">
        <f t="array" ref="AA196">_xlfn.IFERROR(Y196+S196,"N/A")</f>
        <v>13841871.9177891</v>
      </c>
      <c r="AB196" s="538" cm="1">
        <f t="array" ref="AB196">_xlfn.IFERROR(AA196*0.5%,"N/A")</f>
        <v>69209.3595889455</v>
      </c>
      <c r="AC196" s="538" cm="1">
        <f t="array" ref="AC196">_xlfn.IFERROR(AA196*25%,"N/A")</f>
        <v>3460467.97944728</v>
      </c>
      <c r="AD196" s="539" cm="1">
        <f t="array" ref="AD196">IF(B196&gt;0,SUM(AA196:AC196),"N/A")</f>
        <v>17371549.2568253</v>
      </c>
      <c r="AE196" s="538" cm="1">
        <f t="array" ref="AE196">_xlfn.IFERROR(AD196/B196,"N/A")</f>
        <v>2171443.65710316</v>
      </c>
      <c r="AF196" s="424"/>
      <c r="AG196" t="str" s="546" cm="1">
        <f t="array" ref="AG196">IF(B196/VLOOKUP(C186,'Boats Data Sheet 2026'!$C$3:$H$57,6,0)&gt;VLOOKUP(C186,'Allocation OH and Target 2026'!$C$3:$J$23,8,0),IF(SUM(AH188:AH195)=0,AE196,"N/A"),"N/A")</f>
        <v>N/A</v>
      </c>
      <c r="AH196" s="424" cm="1">
        <f t="array" ref="AH196">IF(AG196="N/A",0,1)</f>
        <v>0</v>
      </c>
      <c r="AI196" t="str" s="547" cm="1">
        <f t="array" ref="AI196">IF(B196/VLOOKUP(C186,'Boats Data Sheet 2026'!$C$3:$H$57,6,0)&gt;VLOOKUP(C186,'Allocation OH and Target 2026'!$C$3:$J$23,8,0),IF(SUM(AH188:AH195)=0,S196/B196,"N/A"),"N/A")</f>
        <v>N/A</v>
      </c>
      <c r="AJ196" s="424" cm="1">
        <f t="array" ref="AJ196">IF(AI196="N/A",0,1)</f>
        <v>0</v>
      </c>
      <c r="AK196" t="str" s="527" cm="1">
        <f t="array" ref="AK196">IF(SUM($AG$51:$AG$68)*B196&lt;SUM(AA196:AB196),"NO GO","GO")</f>
        <v>NO GO</v>
      </c>
      <c r="AL196" s="424"/>
      <c r="AM196" s="538"/>
      <c r="AN196" s="538"/>
      <c r="AO196" s="538"/>
      <c r="AP196" s="542"/>
      <c r="AQ196" s="543" cm="1">
        <f t="array" ref="AQ196">B196</f>
        <v>8</v>
      </c>
      <c r="AR196" s="18"/>
    </row>
    <row r="197" ht="16" customHeight="1">
      <c r="A197" s="12"/>
      <c r="B197" s="544" cm="1">
        <f t="array" ref="B197">IF(B196=0,0,IF(B196&lt;VLOOKUP(C186,'Boats Data Sheet 2026'!$C$3:$H$57,6,0),B196+1,0))</f>
        <v>9</v>
      </c>
      <c r="C197" s="538" cm="1">
        <f t="array" ref="C197">IF(B197&gt;0,IF(VLOOKUP(C186,'Boats Data Sheet 2026'!$C$3:$J$57,8,0)="N/A",0,VLOOKUP(C186,'Boats Data Sheet 2026'!$C$3:$J$57,8,0)),"N/A")</f>
        <v>7500000</v>
      </c>
      <c r="D197" s="545" cm="1">
        <f t="array" ref="D197">IF(B197&gt;7,2,IF(B197=0,"N/A",1))</f>
        <v>2</v>
      </c>
      <c r="E197" s="538" cm="1">
        <f t="array" ref="E197">_xlfn.IFERROR(SUM('Direct Costs 2026'!$C$4:$C$5)*D197,"N/A")</f>
        <v>1751000</v>
      </c>
      <c r="F197" s="538" cm="1">
        <f t="array" ref="F197">_xlfn.IFERROR('Direct Costs 2026'!$C$43*B197,"N/A")</f>
        <v>54000</v>
      </c>
      <c r="G197" s="538" cm="1">
        <f t="array" ref="G197">IF(B197&gt;0,'Direct Costs 2026'!$C$25,"N/A")</f>
        <v>90000</v>
      </c>
      <c r="H197" s="538" cm="1">
        <f t="array" ref="H197">IF(B197&gt;0,'Direct Costs 2026'!$C$19+'Direct Costs 2026'!$C$18*B197,"N/A")</f>
        <v>390000</v>
      </c>
      <c r="I197" s="538" cm="1">
        <f t="array" ref="I197">IF(B197&gt;0,SUM('Direct Costs 2026'!$C$20:$C$21),"N/A")</f>
        <v>98333.3333333333</v>
      </c>
      <c r="J197" s="538">
        <v>0</v>
      </c>
      <c r="K197" s="538" cm="1">
        <f t="array" ref="K197">IF(B197&gt;0,'Direct Costs 2026'!$C$15+'Direct Costs 2026'!$C$14,"N/A")</f>
        <v>230000</v>
      </c>
      <c r="L197" s="538" cm="1">
        <f t="array" ref="L197">IF(B197&gt;0,'Direct Costs 2026'!$C$26,"N/A")</f>
        <v>20000</v>
      </c>
      <c r="M197" s="538" cm="1">
        <f t="array" ref="M197">IF(B197&gt;0,'Direct Costs 2026'!$C$23,"N/A")</f>
        <v>140000</v>
      </c>
      <c r="N197" s="538" cm="1">
        <f t="array" ref="N197">IF(B197&gt;0,'Direct Costs 2026'!$C$44*B197,"N/A")</f>
        <v>990000</v>
      </c>
      <c r="O197" t="str" s="547" cm="1">
        <f t="array" ref="O197">IF(B197&gt;0,_xlfn.IFERROR(VLOOKUP(C186,'Boats Data Sheet 2026'!$C$3:$I$57,7,0)*'Direct Costs 2026'!$C$36,"N/A"),"N/A")</f>
        <v>N/A</v>
      </c>
      <c r="P197" t="str" s="547" cm="1">
        <f t="array" ref="P197">IF(B197&gt;0,IF(OR(VLOOKUP(C186,'Boats Data Sheet 2026'!$C$3:$F$57,4,0)="Own",VLOOKUP(C186,'Boats Data Sheet 2026'!$C$3:$F$57,4,0)="Management"),('Direct Costs 2026'!$C$37+'Direct Costs 2026'!$C$39),"N/A"),"N/A")</f>
        <v>N/A</v>
      </c>
      <c r="Q197" s="538" cm="1">
        <f t="array" ref="Q197">_xlfn.IFERROR(IF(B197&gt;5,IF(B197&gt;11,IF(B197&gt;15,4,3),2),IF(B197=0,"N/A",1))*SUM('Direct Costs 2026'!$C$67:$C$68),"N/A")</f>
        <v>979200</v>
      </c>
      <c r="R197" s="538" cm="1">
        <f t="array" ref="R197">_xlfn.IFERROR('Direct Costs 2026'!$C$27*C197,"N/A")</f>
        <v>150000</v>
      </c>
      <c r="S197" s="538" cm="1">
        <f t="array" ref="S197">_xlfn.IFERROR(C197+SUM(E197:R197),"N/A")</f>
        <v>12392533.3333333</v>
      </c>
      <c r="T197" s="424"/>
      <c r="U197" s="538" cm="1">
        <f t="array" ref="U197">IF(B197&gt;0,'Allocation OH and Target 2026'!$E$27,"N/A")</f>
        <v>2134447.30345641</v>
      </c>
      <c r="V197" s="538" cm="1">
        <f t="array" ref="V197">IF(B197&gt;0,'Allocation OH and Target 2026'!$E$28,"N/A")</f>
        <v>200042.323056976</v>
      </c>
      <c r="W197" s="538" cm="1">
        <f t="array" ref="W197">IF(B197&gt;0,VLOOKUP(C186,'Allocation OH and Target 2026'!$C$3:$T$23,17,0),"N/A")</f>
        <v>0</v>
      </c>
      <c r="X197" s="538" cm="1">
        <f t="array" ref="X197">IF(B197&gt;0,VLOOKUP(C186,'Allocation OH and Target 2026'!$C$3:$T$23,18,0),"N/A")</f>
        <v>0</v>
      </c>
      <c r="Y197" s="538" cm="1">
        <f t="array" ref="Y197">_xlfn.IFERROR(B197*(V197+X197),"N/A")</f>
        <v>1800380.90751278</v>
      </c>
      <c r="Z197" s="424"/>
      <c r="AA197" s="538" cm="1">
        <f t="array" ref="AA197">_xlfn.IFERROR(Y197+S197,"N/A")</f>
        <v>14192914.2408461</v>
      </c>
      <c r="AB197" s="538" cm="1">
        <f t="array" ref="AB197">_xlfn.IFERROR(AA197*0.5%,"N/A")</f>
        <v>70964.571204230495</v>
      </c>
      <c r="AC197" s="538" cm="1">
        <f t="array" ref="AC197">_xlfn.IFERROR(AA197*25%,"N/A")</f>
        <v>3548228.56021153</v>
      </c>
      <c r="AD197" s="539" cm="1">
        <f t="array" ref="AD197">IF(B197&gt;0,SUM(AA197:AC197),"N/A")</f>
        <v>17812107.3722619</v>
      </c>
      <c r="AE197" s="538" cm="1">
        <f t="array" ref="AE197">_xlfn.IFERROR(AD197/B197,"N/A")</f>
        <v>1979123.04136243</v>
      </c>
      <c r="AF197" s="424"/>
      <c r="AG197" t="str" s="546" cm="1">
        <f t="array" ref="AG197">IF(B197/VLOOKUP(C186,'Boats Data Sheet 2026'!$C$3:$H$57,6,0)&gt;VLOOKUP(C186,'Allocation OH and Target 2026'!$C$3:$J$23,8,0),IF(SUM(AH188:AH196)=0,AE197,"N/A"),"N/A")</f>
        <v>N/A</v>
      </c>
      <c r="AH197" s="424" cm="1">
        <f t="array" ref="AH197">IF(AG197="N/A",0,1)</f>
        <v>0</v>
      </c>
      <c r="AI197" t="str" s="547" cm="1">
        <f t="array" ref="AI197">IF(B197/VLOOKUP(C186,'Boats Data Sheet 2026'!$C$3:$H$57,6,0)&gt;VLOOKUP(C186,'Allocation OH and Target 2026'!$C$3:$J$23,8,0),IF(SUM(AH188:AH196)=0,S197/B197,"N/A"),"N/A")</f>
        <v>N/A</v>
      </c>
      <c r="AJ197" s="424" cm="1">
        <f t="array" ref="AJ197">IF(AI197="N/A",0,1)</f>
        <v>0</v>
      </c>
      <c r="AK197" t="str" s="527" cm="1">
        <f t="array" ref="AK197">IF(SUM($AG$51:$AG$68)*B197&lt;SUM(AA197:AB197),"NO GO","GO")</f>
        <v>NO GO</v>
      </c>
      <c r="AL197" s="424"/>
      <c r="AM197" s="538"/>
      <c r="AN197" s="538"/>
      <c r="AO197" s="538"/>
      <c r="AP197" s="542"/>
      <c r="AQ197" s="543" cm="1">
        <f t="array" ref="AQ197">B197</f>
        <v>9</v>
      </c>
      <c r="AR197" s="18"/>
    </row>
    <row r="198" ht="16" customHeight="1">
      <c r="A198" s="12"/>
      <c r="B198" s="544" cm="1">
        <f t="array" ref="B198">IF(B197=0,0,IF(B197&lt;VLOOKUP(C186,'Boats Data Sheet 2026'!$C$3:$H$57,6,0),B197+1,0))</f>
        <v>10</v>
      </c>
      <c r="C198" s="538" cm="1">
        <f t="array" ref="C198">IF(B198&gt;0,IF(VLOOKUP(C186,'Boats Data Sheet 2026'!$C$3:$J$57,8,0)="N/A",0,VLOOKUP(C186,'Boats Data Sheet 2026'!$C$3:$J$57,8,0)),"N/A")</f>
        <v>7500000</v>
      </c>
      <c r="D198" s="545" cm="1">
        <f t="array" ref="D198">IF(B198&gt;7,2,IF(B198=0,"N/A",1))</f>
        <v>2</v>
      </c>
      <c r="E198" s="538" cm="1">
        <f t="array" ref="E198">_xlfn.IFERROR(SUM('Direct Costs 2026'!$C$4:$C$5)*D198,"N/A")</f>
        <v>1751000</v>
      </c>
      <c r="F198" s="538" cm="1">
        <f t="array" ref="F198">_xlfn.IFERROR('Direct Costs 2026'!$C$43*B198,"N/A")</f>
        <v>60000</v>
      </c>
      <c r="G198" s="538" cm="1">
        <f t="array" ref="G198">IF(B198&gt;0,'Direct Costs 2026'!$C$25,"N/A")</f>
        <v>90000</v>
      </c>
      <c r="H198" s="538" cm="1">
        <f t="array" ref="H198">IF(B198&gt;0,'Direct Costs 2026'!$C$19+'Direct Costs 2026'!$C$18*B198,"N/A")</f>
        <v>425000</v>
      </c>
      <c r="I198" s="538" cm="1">
        <f t="array" ref="I198">IF(B198&gt;0,SUM('Direct Costs 2026'!$C$20:$C$21),"N/A")</f>
        <v>98333.3333333333</v>
      </c>
      <c r="J198" s="538">
        <v>0</v>
      </c>
      <c r="K198" s="538" cm="1">
        <f t="array" ref="K198">IF(B198&gt;0,'Direct Costs 2026'!$C$15+'Direct Costs 2026'!$C$14,"N/A")</f>
        <v>230000</v>
      </c>
      <c r="L198" s="538" cm="1">
        <f t="array" ref="L198">IF(B198&gt;0,'Direct Costs 2026'!$C$26,"N/A")</f>
        <v>20000</v>
      </c>
      <c r="M198" s="538" cm="1">
        <f t="array" ref="M198">IF(B198&gt;0,'Direct Costs 2026'!$C$23,"N/A")</f>
        <v>140000</v>
      </c>
      <c r="N198" s="538" cm="1">
        <f t="array" ref="N198">IF(B198&gt;0,'Direct Costs 2026'!$C$44*B198,"N/A")</f>
        <v>1100000</v>
      </c>
      <c r="O198" t="str" s="547" cm="1">
        <f t="array" ref="O198">IF(B198&gt;0,_xlfn.IFERROR(VLOOKUP(C186,'Boats Data Sheet 2026'!$C$3:$I$57,7,0)*'Direct Costs 2026'!$C$36,"N/A"),"N/A")</f>
        <v>N/A</v>
      </c>
      <c r="P198" t="str" s="547" cm="1">
        <f t="array" ref="P198">IF(B198&gt;0,IF(OR(VLOOKUP(C186,'Boats Data Sheet 2026'!$C$3:$F$57,4,0)="Own",VLOOKUP(C186,'Boats Data Sheet 2026'!$C$3:$F$57,4,0)="Management"),('Direct Costs 2026'!$C$37+'Direct Costs 2026'!$C$39),"N/A"),"N/A")</f>
        <v>N/A</v>
      </c>
      <c r="Q198" s="538" cm="1">
        <f t="array" ref="Q198">_xlfn.IFERROR(IF(B198&gt;5,IF(B198&gt;11,IF(B198&gt;15,4,3),2),IF(B198=0,"N/A",1))*SUM('Direct Costs 2026'!$C$67:$C$68),"N/A")</f>
        <v>979200</v>
      </c>
      <c r="R198" s="538" cm="1">
        <f t="array" ref="R198">_xlfn.IFERROR('Direct Costs 2026'!$C$27*C198,"N/A")</f>
        <v>150000</v>
      </c>
      <c r="S198" s="538" cm="1">
        <f t="array" ref="S198">_xlfn.IFERROR(C198+SUM(E198:R198),"N/A")</f>
        <v>12543533.3333333</v>
      </c>
      <c r="T198" s="424"/>
      <c r="U198" s="538" cm="1">
        <f t="array" ref="U198">IF(B198&gt;0,'Allocation OH and Target 2026'!$E$27,"N/A")</f>
        <v>2134447.30345641</v>
      </c>
      <c r="V198" s="538" cm="1">
        <f t="array" ref="V198">IF(B198&gt;0,'Allocation OH and Target 2026'!$E$28,"N/A")</f>
        <v>200042.323056976</v>
      </c>
      <c r="W198" s="538" cm="1">
        <f t="array" ref="W198">IF(B198&gt;0,VLOOKUP(C186,'Allocation OH and Target 2026'!$C$3:$T$23,17,0),"N/A")</f>
        <v>0</v>
      </c>
      <c r="X198" s="538" cm="1">
        <f t="array" ref="X198">IF(B198&gt;0,VLOOKUP(C186,'Allocation OH and Target 2026'!$C$3:$T$23,18,0),"N/A")</f>
        <v>0</v>
      </c>
      <c r="Y198" s="538" cm="1">
        <f t="array" ref="Y198">_xlfn.IFERROR(B198*(V198+X198),"N/A")</f>
        <v>2000423.23056976</v>
      </c>
      <c r="Z198" s="424"/>
      <c r="AA198" s="538" cm="1">
        <f t="array" ref="AA198">_xlfn.IFERROR(Y198+S198,"N/A")</f>
        <v>14543956.5639031</v>
      </c>
      <c r="AB198" s="538" cm="1">
        <f t="array" ref="AB198">_xlfn.IFERROR(AA198*0.5%,"N/A")</f>
        <v>72719.7828195155</v>
      </c>
      <c r="AC198" s="538" cm="1">
        <f t="array" ref="AC198">_xlfn.IFERROR(AA198*25%,"N/A")</f>
        <v>3635989.14097578</v>
      </c>
      <c r="AD198" s="539" cm="1">
        <f t="array" ref="AD198">IF(B198&gt;0,SUM(AA198:AC198),"N/A")</f>
        <v>18252665.4876984</v>
      </c>
      <c r="AE198" s="538" cm="1">
        <f t="array" ref="AE198">_xlfn.IFERROR(AD198/B198,"N/A")</f>
        <v>1825266.54876984</v>
      </c>
      <c r="AF198" s="424"/>
      <c r="AG198" t="str" s="546" cm="1">
        <f t="array" ref="AG198">IF(B198/VLOOKUP(C186,'Boats Data Sheet 2026'!$C$3:$H$57,6,0)&gt;VLOOKUP(C186,'Allocation OH and Target 2026'!$C$3:$J$23,8,0),IF(SUM(AH188:AH197)=0,AE198,"N/A"),"N/A")</f>
        <v>N/A</v>
      </c>
      <c r="AH198" s="424" cm="1">
        <f t="array" ref="AH198">IF(AG198="N/A",0,1)</f>
        <v>0</v>
      </c>
      <c r="AI198" t="str" s="547" cm="1">
        <f t="array" ref="AI198">IF(B198/VLOOKUP(C186,'Boats Data Sheet 2026'!$C$3:$H$57,6,0)&gt;VLOOKUP(C186,'Allocation OH and Target 2026'!$C$3:$J$23,8,0),IF(SUM(AH188:AH197)=0,S198/B198,"N/A"),"N/A")</f>
        <v>N/A</v>
      </c>
      <c r="AJ198" s="424" cm="1">
        <f t="array" ref="AJ198">IF(AI198="N/A",0,1)</f>
        <v>0</v>
      </c>
      <c r="AK198" t="str" s="527" cm="1">
        <f t="array" ref="AK198">IF(SUM($AG$51:$AG$68)*B198&lt;SUM(AA198:AB198),"NO GO","GO")</f>
        <v>GO</v>
      </c>
      <c r="AL198" s="424"/>
      <c r="AM198" s="538"/>
      <c r="AN198" s="538"/>
      <c r="AO198" s="538"/>
      <c r="AP198" s="542"/>
      <c r="AQ198" s="543" cm="1">
        <f t="array" ref="AQ198">B198</f>
        <v>10</v>
      </c>
      <c r="AR198" s="18"/>
    </row>
    <row r="199" ht="16" customHeight="1">
      <c r="A199" s="12"/>
      <c r="B199" s="544" cm="1">
        <f t="array" ref="B199">IF(B198=0,0,IF(B198&lt;VLOOKUP(C186,'Boats Data Sheet 2026'!$C$3:$H$57,6,0),B198+1,0))</f>
        <v>11</v>
      </c>
      <c r="C199" s="538" cm="1">
        <f t="array" ref="C199">IF(B199&gt;0,IF(VLOOKUP(C186,'Boats Data Sheet 2026'!$C$3:$J$57,8,0)="N/A",0,VLOOKUP(C186,'Boats Data Sheet 2026'!$C$3:$J$57,8,0)),"N/A")</f>
        <v>7500000</v>
      </c>
      <c r="D199" s="545" cm="1">
        <f t="array" ref="D199">IF(B199&gt;7,2,IF(B199=0,"N/A",1))</f>
        <v>2</v>
      </c>
      <c r="E199" s="538" cm="1">
        <f t="array" ref="E199">_xlfn.IFERROR(SUM('Direct Costs 2026'!$C$4:$C$5)*D199,"N/A")</f>
        <v>1751000</v>
      </c>
      <c r="F199" s="538" cm="1">
        <f t="array" ref="F199">_xlfn.IFERROR('Direct Costs 2026'!$C$43*B199,"N/A")</f>
        <v>66000</v>
      </c>
      <c r="G199" s="538" cm="1">
        <f t="array" ref="G199">IF(B199&gt;0,'Direct Costs 2026'!$C$25,"N/A")</f>
        <v>90000</v>
      </c>
      <c r="H199" s="538" cm="1">
        <f t="array" ref="H199">IF(B199&gt;0,'Direct Costs 2026'!$C$19+'Direct Costs 2026'!$C$18*B199,"N/A")</f>
        <v>460000</v>
      </c>
      <c r="I199" s="538" cm="1">
        <f t="array" ref="I199">IF(B199&gt;0,SUM('Direct Costs 2026'!$C$20:$C$21),"N/A")</f>
        <v>98333.3333333333</v>
      </c>
      <c r="J199" s="538">
        <v>0</v>
      </c>
      <c r="K199" s="538" cm="1">
        <f t="array" ref="K199">IF(B199&gt;0,'Direct Costs 2026'!$C$15+'Direct Costs 2026'!$C$14,"N/A")</f>
        <v>230000</v>
      </c>
      <c r="L199" s="538" cm="1">
        <f t="array" ref="L199">IF(B199&gt;0,'Direct Costs 2026'!$C$26,"N/A")</f>
        <v>20000</v>
      </c>
      <c r="M199" s="538" cm="1">
        <f t="array" ref="M199">IF(B199&gt;0,'Direct Costs 2026'!$C$23,"N/A")</f>
        <v>140000</v>
      </c>
      <c r="N199" s="538" cm="1">
        <f t="array" ref="N199">IF(B199&gt;0,'Direct Costs 2026'!$C$44*B199,"N/A")</f>
        <v>1210000</v>
      </c>
      <c r="O199" t="str" s="547" cm="1">
        <f t="array" ref="O199">IF(B199&gt;0,_xlfn.IFERROR(VLOOKUP(C186,'Boats Data Sheet 2026'!$C$3:$I$57,7,0)*'Direct Costs 2026'!$C$36,"N/A"),"N/A")</f>
        <v>N/A</v>
      </c>
      <c r="P199" t="str" s="547" cm="1">
        <f t="array" ref="P199">IF(B199&gt;0,IF(OR(VLOOKUP(C186,'Boats Data Sheet 2026'!$C$3:$F$57,4,0)="Own",VLOOKUP(C186,'Boats Data Sheet 2026'!$C$3:$F$57,4,0)="Management"),('Direct Costs 2026'!$C$37+'Direct Costs 2026'!$C$39),"N/A"),"N/A")</f>
        <v>N/A</v>
      </c>
      <c r="Q199" s="538" cm="1">
        <f t="array" ref="Q199">_xlfn.IFERROR(IF(B199&gt;5,IF(B199&gt;11,IF(B199&gt;15,4,3),2),IF(B199=0,"N/A",1))*SUM('Direct Costs 2026'!$C$67:$C$68),"N/A")</f>
        <v>979200</v>
      </c>
      <c r="R199" s="538" cm="1">
        <f t="array" ref="R199">_xlfn.IFERROR('Direct Costs 2026'!$C$27*C199,"N/A")</f>
        <v>150000</v>
      </c>
      <c r="S199" s="538" cm="1">
        <f t="array" ref="S199">_xlfn.IFERROR(C199+SUM(E199:R199),"N/A")</f>
        <v>12694533.3333333</v>
      </c>
      <c r="T199" s="424"/>
      <c r="U199" s="538" cm="1">
        <f t="array" ref="U199">IF(B199&gt;0,'Allocation OH and Target 2026'!$E$27,"N/A")</f>
        <v>2134447.30345641</v>
      </c>
      <c r="V199" s="538" cm="1">
        <f t="array" ref="V199">IF(B199&gt;0,'Allocation OH and Target 2026'!$E$28,"N/A")</f>
        <v>200042.323056976</v>
      </c>
      <c r="W199" s="538" cm="1">
        <f t="array" ref="W199">IF(B199&gt;0,VLOOKUP(C186,'Allocation OH and Target 2026'!$C$3:$T$23,17,0),"N/A")</f>
        <v>0</v>
      </c>
      <c r="X199" s="538" cm="1">
        <f t="array" ref="X199">IF(B199&gt;0,VLOOKUP(C186,'Allocation OH and Target 2026'!$C$3:$T$23,18,0),"N/A")</f>
        <v>0</v>
      </c>
      <c r="Y199" s="538" cm="1">
        <f t="array" ref="Y199">_xlfn.IFERROR(B199*(V199+X199),"N/A")</f>
        <v>2200465.55362674</v>
      </c>
      <c r="Z199" s="424"/>
      <c r="AA199" s="538" cm="1">
        <f t="array" ref="AA199">_xlfn.IFERROR(Y199+S199,"N/A")</f>
        <v>14894998.88696</v>
      </c>
      <c r="AB199" s="538" cm="1">
        <f t="array" ref="AB199">_xlfn.IFERROR(AA199*0.5%,"N/A")</f>
        <v>74474.9944348</v>
      </c>
      <c r="AC199" s="538" cm="1">
        <f t="array" ref="AC199">_xlfn.IFERROR(AA199*25%,"N/A")</f>
        <v>3723749.72174</v>
      </c>
      <c r="AD199" s="539" cm="1">
        <f t="array" ref="AD199">IF(B199&gt;0,SUM(AA199:AC199),"N/A")</f>
        <v>18693223.6031348</v>
      </c>
      <c r="AE199" s="538" cm="1">
        <f t="array" ref="AE199">_xlfn.IFERROR(AD199/B199,"N/A")</f>
        <v>1699383.96392135</v>
      </c>
      <c r="AF199" s="424"/>
      <c r="AG199" s="539" cm="1">
        <f t="array" ref="AG199">IF(B199/VLOOKUP(C186,'Boats Data Sheet 2026'!$C$3:$H$57,6,0)&gt;VLOOKUP(C186,'Allocation OH and Target 2026'!$C$3:$J$23,8,0),IF(SUM(AH188:AH198)=0,AE199,"N/A"),"N/A")</f>
        <v>1699383.96392135</v>
      </c>
      <c r="AH199" s="424" cm="1">
        <f t="array" ref="AH199">IF(AG199="N/A",0,1)</f>
        <v>1</v>
      </c>
      <c r="AI199" s="538" cm="1">
        <f t="array" ref="AI199">IF(B199/VLOOKUP(C186,'Boats Data Sheet 2026'!$C$3:$H$57,6,0)&gt;VLOOKUP(C186,'Allocation OH and Target 2026'!$C$3:$J$23,8,0),IF(SUM(AH188:AH198)=0,S199/B199,"N/A"),"N/A")</f>
        <v>1154048.48484848</v>
      </c>
      <c r="AJ199" s="424" cm="1">
        <f t="array" ref="AJ199">IF(AI199="N/A",0,1)</f>
        <v>1</v>
      </c>
      <c r="AK199" t="str" s="527" cm="1">
        <f t="array" ref="AK199">IF(SUM($AG$51:$AG$68)*B199&lt;SUM(AA199:AB199),"NO GO","GO")</f>
        <v>GO</v>
      </c>
      <c r="AL199" s="424"/>
      <c r="AM199" s="538"/>
      <c r="AN199" s="538"/>
      <c r="AO199" s="538"/>
      <c r="AP199" s="542"/>
      <c r="AQ199" s="543" cm="1">
        <f t="array" ref="AQ199">B199</f>
        <v>11</v>
      </c>
      <c r="AR199" s="18"/>
    </row>
    <row r="200" ht="16" customHeight="1">
      <c r="A200" s="12"/>
      <c r="B200" s="544" cm="1">
        <f t="array" ref="B200">IF(B199=0,0,IF(B199&lt;VLOOKUP(C186,'Boats Data Sheet 2026'!$C$3:$H$57,6,0),B199+1,0))</f>
        <v>12</v>
      </c>
      <c r="C200" s="538" cm="1">
        <f t="array" ref="C200">IF(B200&gt;0,IF(VLOOKUP(C186,'Boats Data Sheet 2026'!$C$3:$J$57,8,0)="N/A",0,VLOOKUP(C186,'Boats Data Sheet 2026'!$C$3:$J$57,8,0)),"N/A")</f>
        <v>7500000</v>
      </c>
      <c r="D200" s="545" cm="1">
        <f t="array" ref="D200">IF(B200&gt;7,2,IF(B200=0,"N/A",1))</f>
        <v>2</v>
      </c>
      <c r="E200" s="538" cm="1">
        <f t="array" ref="E200">_xlfn.IFERROR(SUM('Direct Costs 2026'!$C$4:$C$5)*D200,"N/A")</f>
        <v>1751000</v>
      </c>
      <c r="F200" s="538" cm="1">
        <f t="array" ref="F200">_xlfn.IFERROR('Direct Costs 2026'!$C$43*B200,"N/A")</f>
        <v>72000</v>
      </c>
      <c r="G200" s="538" cm="1">
        <f t="array" ref="G200">IF(B200&gt;0,'Direct Costs 2026'!$C$25,"N/A")</f>
        <v>90000</v>
      </c>
      <c r="H200" s="538" cm="1">
        <f t="array" ref="H200">IF(B200&gt;0,'Direct Costs 2026'!$C$19+'Direct Costs 2026'!$C$18*B200,"N/A")</f>
        <v>495000</v>
      </c>
      <c r="I200" s="538" cm="1">
        <f t="array" ref="I200">IF(B200&gt;0,SUM('Direct Costs 2026'!$C$20:$C$21),"N/A")</f>
        <v>98333.3333333333</v>
      </c>
      <c r="J200" s="538">
        <v>0</v>
      </c>
      <c r="K200" s="538" cm="1">
        <f t="array" ref="K200">IF(B200&gt;0,'Direct Costs 2026'!$C$15+'Direct Costs 2026'!$C$14,"N/A")</f>
        <v>230000</v>
      </c>
      <c r="L200" s="538" cm="1">
        <f t="array" ref="L200">IF(B200&gt;0,'Direct Costs 2026'!$C$26,"N/A")</f>
        <v>20000</v>
      </c>
      <c r="M200" s="538" cm="1">
        <f t="array" ref="M200">IF(B200&gt;0,'Direct Costs 2026'!$C$23,"N/A")</f>
        <v>140000</v>
      </c>
      <c r="N200" s="538" cm="1">
        <f t="array" ref="N200">IF(B200&gt;0,'Direct Costs 2026'!$C$44*B200,"N/A")</f>
        <v>1320000</v>
      </c>
      <c r="O200" t="str" s="547" cm="1">
        <f t="array" ref="O200">IF(B200&gt;0,_xlfn.IFERROR(VLOOKUP(C186,'Boats Data Sheet 2026'!$C$3:$I$57,7,0)*'Direct Costs 2026'!$C$36,"N/A"),"N/A")</f>
        <v>N/A</v>
      </c>
      <c r="P200" t="str" s="547" cm="1">
        <f t="array" ref="P200">IF(B200&gt;0,IF(OR(VLOOKUP(C186,'Boats Data Sheet 2026'!$C$3:$F$57,4,0)="Own",VLOOKUP(C186,'Boats Data Sheet 2026'!$C$3:$F$57,4,0)="Management"),('Direct Costs 2026'!$C$37+'Direct Costs 2026'!$C$39),"N/A"),"N/A")</f>
        <v>N/A</v>
      </c>
      <c r="Q200" s="538" cm="1">
        <f t="array" ref="Q200">_xlfn.IFERROR(IF(B200&gt;5,IF(B200&gt;11,IF(B200&gt;15,4,3),2),IF(B200=0,"N/A",1))*SUM('Direct Costs 2026'!$C$67:$C$68),"N/A")</f>
        <v>1468800</v>
      </c>
      <c r="R200" s="538" cm="1">
        <f t="array" ref="R200">_xlfn.IFERROR('Direct Costs 2026'!$C$27*C200,"N/A")</f>
        <v>150000</v>
      </c>
      <c r="S200" s="538" cm="1">
        <f t="array" ref="S200">_xlfn.IFERROR(C200+SUM(E200:R200),"N/A")</f>
        <v>13335133.3333333</v>
      </c>
      <c r="T200" s="424"/>
      <c r="U200" s="538" cm="1">
        <f t="array" ref="U200">IF(B200&gt;0,'Allocation OH and Target 2026'!$E$27,"N/A")</f>
        <v>2134447.30345641</v>
      </c>
      <c r="V200" s="538" cm="1">
        <f t="array" ref="V200">IF(B200&gt;0,'Allocation OH and Target 2026'!$E$28,"N/A")</f>
        <v>200042.323056976</v>
      </c>
      <c r="W200" s="538" cm="1">
        <f t="array" ref="W200">IF(B200&gt;0,VLOOKUP(C186,'Allocation OH and Target 2026'!$C$3:$T$23,17,0),"N/A")</f>
        <v>0</v>
      </c>
      <c r="X200" s="538" cm="1">
        <f t="array" ref="X200">IF(B200&gt;0,VLOOKUP(C186,'Allocation OH and Target 2026'!$C$3:$T$23,18,0),"N/A")</f>
        <v>0</v>
      </c>
      <c r="Y200" s="538" cm="1">
        <f t="array" ref="Y200">_xlfn.IFERROR(B200*(V200+X200),"N/A")</f>
        <v>2400507.87668371</v>
      </c>
      <c r="Z200" s="424"/>
      <c r="AA200" s="538" cm="1">
        <f t="array" ref="AA200">_xlfn.IFERROR(Y200+S200,"N/A")</f>
        <v>15735641.210017</v>
      </c>
      <c r="AB200" s="538" cm="1">
        <f t="array" ref="AB200">_xlfn.IFERROR(AA200*0.5%,"N/A")</f>
        <v>78678.206050085006</v>
      </c>
      <c r="AC200" s="538" cm="1">
        <f t="array" ref="AC200">_xlfn.IFERROR(AA200*25%,"N/A")</f>
        <v>3933910.30250425</v>
      </c>
      <c r="AD200" s="539" cm="1">
        <f t="array" ref="AD200">IF(B200&gt;0,SUM(AA200:AC200),"N/A")</f>
        <v>19748229.7185713</v>
      </c>
      <c r="AE200" s="538" cm="1">
        <f t="array" ref="AE200">_xlfn.IFERROR(AD200/B200,"N/A")</f>
        <v>1645685.80988094</v>
      </c>
      <c r="AF200" s="424"/>
      <c r="AG200" t="str" s="546" cm="1">
        <f t="array" ref="AG200">IF(B200/VLOOKUP(C186,'Boats Data Sheet 2026'!$C$3:$H$57,6,0)&gt;VLOOKUP(C186,'Allocation OH and Target 2026'!$C$3:$J$23,8,0),IF(SUM(AH188:AH199)=0,AE200,"N/A"),"N/A")</f>
        <v>N/A</v>
      </c>
      <c r="AH200" s="424" cm="1">
        <f t="array" ref="AH200">IF(AG200="N/A",0,1)</f>
        <v>0</v>
      </c>
      <c r="AI200" t="str" s="547" cm="1">
        <f t="array" ref="AI200">IF(B200/VLOOKUP(C186,'Boats Data Sheet 2026'!$C$3:$H$57,6,0)&gt;VLOOKUP(C186,'Allocation OH and Target 2026'!$C$3:$J$23,8,0),IF(SUM(AH188:AH199)=0,S200/B200,"N/A"),"N/A")</f>
        <v>N/A</v>
      </c>
      <c r="AJ200" s="424" cm="1">
        <f t="array" ref="AJ200">IF(AI200="N/A",0,1)</f>
        <v>0</v>
      </c>
      <c r="AK200" t="str" s="527" cm="1">
        <f t="array" ref="AK200">IF(SUM($AG$51:$AG$68)*B200&lt;SUM(AA200:AB200),"NO GO","GO")</f>
        <v>GO</v>
      </c>
      <c r="AL200" s="424"/>
      <c r="AM200" s="538"/>
      <c r="AN200" s="538"/>
      <c r="AO200" s="538"/>
      <c r="AP200" s="542"/>
      <c r="AQ200" s="543" cm="1">
        <f t="array" ref="AQ200">B200</f>
        <v>12</v>
      </c>
      <c r="AR200" s="18"/>
    </row>
    <row r="201" ht="16" customHeight="1">
      <c r="A201" s="12"/>
      <c r="B201" s="544" cm="1">
        <f t="array" ref="B201">IF(B200=0,0,IF(B200&lt;VLOOKUP(C186,'Boats Data Sheet 2026'!$C$3:$H$57,6,0),B200+1,0))</f>
        <v>13</v>
      </c>
      <c r="C201" s="538" cm="1">
        <f t="array" ref="C201">IF(B201&gt;0,IF(VLOOKUP(C186,'Boats Data Sheet 2026'!$C$3:$J$57,8,0)="N/A",0,VLOOKUP(C186,'Boats Data Sheet 2026'!$C$3:$J$57,8,0)),"N/A")</f>
        <v>7500000</v>
      </c>
      <c r="D201" s="545" cm="1">
        <f t="array" ref="D201">IF(B201&gt;7,2,IF(B201=0,"N/A",1))</f>
        <v>2</v>
      </c>
      <c r="E201" s="538" cm="1">
        <f t="array" ref="E201">_xlfn.IFERROR(SUM('Direct Costs 2026'!$C$4:$C$5)*D201,"N/A")</f>
        <v>1751000</v>
      </c>
      <c r="F201" s="538" cm="1">
        <f t="array" ref="F201">_xlfn.IFERROR('Direct Costs 2026'!$C$43*B201,"N/A")</f>
        <v>78000</v>
      </c>
      <c r="G201" s="538" cm="1">
        <f t="array" ref="G201">IF(B201&gt;0,'Direct Costs 2026'!$C$25,"N/A")</f>
        <v>90000</v>
      </c>
      <c r="H201" s="538" cm="1">
        <f t="array" ref="H201">IF(B201&gt;0,'Direct Costs 2026'!$C$19+'Direct Costs 2026'!$C$18*B201,"N/A")</f>
        <v>530000</v>
      </c>
      <c r="I201" s="538" cm="1">
        <f t="array" ref="I201">IF(B201&gt;0,SUM('Direct Costs 2026'!$C$20:$C$21),"N/A")</f>
        <v>98333.3333333333</v>
      </c>
      <c r="J201" s="538">
        <v>0</v>
      </c>
      <c r="K201" s="538" cm="1">
        <f t="array" ref="K201">IF(B201&gt;0,'Direct Costs 2026'!$C$15+'Direct Costs 2026'!$C$14,"N/A")</f>
        <v>230000</v>
      </c>
      <c r="L201" s="538" cm="1">
        <f t="array" ref="L201">IF(B201&gt;0,'Direct Costs 2026'!$C$26,"N/A")</f>
        <v>20000</v>
      </c>
      <c r="M201" s="538" cm="1">
        <f t="array" ref="M201">IF(B201&gt;0,'Direct Costs 2026'!$C$23,"N/A")</f>
        <v>140000</v>
      </c>
      <c r="N201" s="538" cm="1">
        <f t="array" ref="N201">IF(B201&gt;0,'Direct Costs 2026'!$C$44*B201,"N/A")</f>
        <v>1430000</v>
      </c>
      <c r="O201" t="str" s="547" cm="1">
        <f t="array" ref="O201">IF(B201&gt;0,_xlfn.IFERROR(VLOOKUP(C186,'Boats Data Sheet 2026'!$C$3:$I$57,7,0)*'Direct Costs 2026'!$C$36,"N/A"),"N/A")</f>
        <v>N/A</v>
      </c>
      <c r="P201" t="str" s="547" cm="1">
        <f t="array" ref="P201">IF(B201&gt;0,IF(OR(VLOOKUP(C186,'Boats Data Sheet 2026'!$C$3:$F$57,4,0)="Own",VLOOKUP(C186,'Boats Data Sheet 2026'!$C$3:$F$57,4,0)="Management"),('Direct Costs 2026'!$C$37+'Direct Costs 2026'!$C$39),"N/A"),"N/A")</f>
        <v>N/A</v>
      </c>
      <c r="Q201" s="538" cm="1">
        <f t="array" ref="Q201">_xlfn.IFERROR(IF(B201&gt;5,IF(B201&gt;11,IF(B201&gt;15,4,3),2),IF(B201=0,"N/A",1))*SUM('Direct Costs 2026'!$C$67:$C$68),"N/A")</f>
        <v>1468800</v>
      </c>
      <c r="R201" s="538" cm="1">
        <f t="array" ref="R201">_xlfn.IFERROR('Direct Costs 2026'!$C$27*C201,"N/A")</f>
        <v>150000</v>
      </c>
      <c r="S201" s="538" cm="1">
        <f t="array" ref="S201">_xlfn.IFERROR(C201+SUM(E201:R201),"N/A")</f>
        <v>13486133.3333333</v>
      </c>
      <c r="T201" s="424"/>
      <c r="U201" s="538" cm="1">
        <f t="array" ref="U201">IF(B201&gt;0,'Allocation OH and Target 2026'!$E$27,"N/A")</f>
        <v>2134447.30345641</v>
      </c>
      <c r="V201" s="538" cm="1">
        <f t="array" ref="V201">IF(B201&gt;0,'Allocation OH and Target 2026'!$E$28,"N/A")</f>
        <v>200042.323056976</v>
      </c>
      <c r="W201" s="538" cm="1">
        <f t="array" ref="W201">IF(B201&gt;0,VLOOKUP(C186,'Allocation OH and Target 2026'!$C$3:$T$23,17,0),"N/A")</f>
        <v>0</v>
      </c>
      <c r="X201" s="538" cm="1">
        <f t="array" ref="X201">IF(B201&gt;0,VLOOKUP(C186,'Allocation OH and Target 2026'!$C$3:$T$23,18,0),"N/A")</f>
        <v>0</v>
      </c>
      <c r="Y201" s="538" cm="1">
        <f t="array" ref="Y201">_xlfn.IFERROR(B201*(V201+X201),"N/A")</f>
        <v>2600550.19974069</v>
      </c>
      <c r="Z201" s="424"/>
      <c r="AA201" s="538" cm="1">
        <f t="array" ref="AA201">_xlfn.IFERROR(Y201+S201,"N/A")</f>
        <v>16086683.533074</v>
      </c>
      <c r="AB201" s="538" cm="1">
        <f t="array" ref="AB201">_xlfn.IFERROR(AA201*0.5%,"N/A")</f>
        <v>80433.41766537</v>
      </c>
      <c r="AC201" s="538" cm="1">
        <f t="array" ref="AC201">_xlfn.IFERROR(AA201*25%,"N/A")</f>
        <v>4021670.8832685</v>
      </c>
      <c r="AD201" s="539" cm="1">
        <f t="array" ref="AD201">IF(B201&gt;0,SUM(AA201:AC201),"N/A")</f>
        <v>20188787.8340079</v>
      </c>
      <c r="AE201" s="538" cm="1">
        <f t="array" ref="AE201">_xlfn.IFERROR(AD201/B201,"N/A")</f>
        <v>1552983.67953907</v>
      </c>
      <c r="AF201" s="424"/>
      <c r="AG201" t="str" s="546" cm="1">
        <f t="array" ref="AG201">IF(B201/VLOOKUP(C186,'Boats Data Sheet 2026'!$C$3:$H$57,6,0)&gt;VLOOKUP(C186,'Allocation OH and Target 2026'!$C$3:$J$23,8,0),IF(SUM(AH188:AH200)=0,AE201,"N/A"),"N/A")</f>
        <v>N/A</v>
      </c>
      <c r="AH201" s="424" cm="1">
        <f t="array" ref="AH201">IF(AG201="N/A",0,1)</f>
        <v>0</v>
      </c>
      <c r="AI201" t="str" s="547" cm="1">
        <f t="array" ref="AI201">IF(B201/VLOOKUP(C186,'Boats Data Sheet 2026'!$C$3:$H$57,6,0)&gt;VLOOKUP(C186,'Allocation OH and Target 2026'!$C$3:$J$23,8,0),IF(SUM(AH188:AH200)=0,S201/B201,"N/A"),"N/A")</f>
        <v>N/A</v>
      </c>
      <c r="AJ201" s="424" cm="1">
        <f t="array" ref="AJ201">IF(AI201="N/A",0,1)</f>
        <v>0</v>
      </c>
      <c r="AK201" t="str" s="527" cm="1">
        <f t="array" ref="AK201">IF(SUM($AG$51:$AG$68)*B201&lt;SUM(AA201:AB201),"NO GO","GO")</f>
        <v>GO</v>
      </c>
      <c r="AL201" s="424"/>
      <c r="AM201" s="538"/>
      <c r="AN201" s="538"/>
      <c r="AO201" s="538"/>
      <c r="AP201" s="542"/>
      <c r="AQ201" s="543" cm="1">
        <f t="array" ref="AQ201">B201</f>
        <v>13</v>
      </c>
      <c r="AR201" s="18"/>
    </row>
    <row r="202" ht="16" customHeight="1">
      <c r="A202" s="12"/>
      <c r="B202" s="544" cm="1">
        <f t="array" ref="B202">IF(B201=0,0,IF(B201&lt;VLOOKUP(C186,'Boats Data Sheet 2026'!$C$3:$H$57,6,0),B201+1,0))</f>
        <v>0</v>
      </c>
      <c r="C202" t="str" s="547" cm="1">
        <f t="array" ref="C202">IF(B202&gt;0,IF(VLOOKUP(C186,'Boats Data Sheet 2026'!$C$3:$J$57,8,0)="N/A",0,VLOOKUP(C186,'Boats Data Sheet 2026'!$C$3:$J$57,8,0)),"N/A")</f>
        <v>N/A</v>
      </c>
      <c r="D202" t="str" s="547" cm="1">
        <f t="array" ref="D202">IF(B202&gt;7,2,IF(B202=0,"N/A",1))</f>
        <v>N/A</v>
      </c>
      <c r="E202" t="str" s="547" cm="1">
        <f t="array" ref="E202">_xlfn.IFERROR(SUM('Direct Costs 2026'!$C$4:$C$5)*D202,"N/A")</f>
        <v>N/A</v>
      </c>
      <c r="F202" s="538" cm="1">
        <f t="array" ref="F202">_xlfn.IFERROR('Direct Costs 2026'!$C$43*B202,"N/A")</f>
        <v>0</v>
      </c>
      <c r="G202" t="str" s="547" cm="1">
        <f t="array" ref="G202">IF(B202&gt;0,'Direct Costs 2026'!$C$25,"N/A")</f>
        <v>N/A</v>
      </c>
      <c r="H202" t="str" s="547" cm="1">
        <f t="array" ref="H202">IF(B202&gt;0,'Direct Costs 2026'!$C$19+'Direct Costs 2026'!$C$18*B202,"N/A")</f>
        <v>N/A</v>
      </c>
      <c r="I202" t="str" s="547" cm="1">
        <f t="array" ref="I202">IF(B202&gt;0,SUM('Direct Costs 2026'!$C$20:$C$21),"N/A")</f>
        <v>N/A</v>
      </c>
      <c r="J202" s="538">
        <v>0</v>
      </c>
      <c r="K202" t="str" s="547" cm="1">
        <f t="array" ref="K202">IF(B202&gt;0,'Direct Costs 2026'!$C$15+'Direct Costs 2026'!$C$14,"N/A")</f>
        <v>N/A</v>
      </c>
      <c r="L202" t="str" s="547" cm="1">
        <f t="array" ref="L202">IF(B202&gt;0,'Direct Costs 2026'!$C$26,"N/A")</f>
        <v>N/A</v>
      </c>
      <c r="M202" t="str" s="547" cm="1">
        <f t="array" ref="M202">IF(B202&gt;0,'Direct Costs 2026'!$C$23,"N/A")</f>
        <v>N/A</v>
      </c>
      <c r="N202" t="str" s="547" cm="1">
        <f t="array" ref="N202">IF(B202&gt;0,'Direct Costs 2026'!$C$44*B202,"N/A")</f>
        <v>N/A</v>
      </c>
      <c r="O202" t="str" s="547" cm="1">
        <f t="array" ref="O202">IF(B202&gt;0,_xlfn.IFERROR(VLOOKUP(C186,'Boats Data Sheet 2026'!$C$3:$I$57,7,0)*'Direct Costs 2026'!$C$36,"N/A"),"N/A")</f>
        <v>N/A</v>
      </c>
      <c r="P202" t="str" s="547" cm="1">
        <f t="array" ref="P202">IF(B202&gt;0,IF(OR(VLOOKUP(C186,'Boats Data Sheet 2026'!$C$3:$F$57,4,0)="Own",VLOOKUP(C186,'Boats Data Sheet 2026'!$C$3:$F$57,4,0)="Management"),('Direct Costs 2026'!$C$37+'Direct Costs 2026'!$C$39),"N/A"),"N/A")</f>
        <v>N/A</v>
      </c>
      <c r="Q202" t="str" s="547" cm="1">
        <f t="array" ref="Q202">_xlfn.IFERROR(IF(B202&gt;5,IF(B202&gt;11,IF(B202&gt;15,4,3),2),IF(B202=0,"N/A",1))*SUM('Direct Costs 2026'!$C$67:$C$68),"N/A")</f>
        <v>N/A</v>
      </c>
      <c r="R202" t="str" s="547" cm="1">
        <f t="array" ref="R202">_xlfn.IFERROR('Direct Costs 2026'!$C$27*C202,"N/A")</f>
        <v>N/A</v>
      </c>
      <c r="S202" t="str" s="547" cm="1">
        <f t="array" ref="S202">_xlfn.IFERROR(C202+SUM(E202:R202),"N/A")</f>
        <v>N/A</v>
      </c>
      <c r="T202" s="424"/>
      <c r="U202" t="str" s="547" cm="1">
        <f t="array" ref="U202">IF(B202&gt;0,'Allocation OH and Target 2026'!$E$27,"N/A")</f>
        <v>N/A</v>
      </c>
      <c r="V202" t="str" s="547" cm="1">
        <f t="array" ref="V202">IF(B202&gt;0,'Allocation OH and Target 2026'!$E$28,"N/A")</f>
        <v>N/A</v>
      </c>
      <c r="W202" t="str" s="547" cm="1">
        <f t="array" ref="W202">IF(B202&gt;0,VLOOKUP(C186,'Allocation OH and Target 2026'!$C$3:$T$23,17,0),"N/A")</f>
        <v>N/A</v>
      </c>
      <c r="X202" t="str" s="547" cm="1">
        <f t="array" ref="X202">IF(B202&gt;0,VLOOKUP(C186,'Allocation OH and Target 2026'!$C$3:$T$23,18,0),"N/A")</f>
        <v>N/A</v>
      </c>
      <c r="Y202" t="str" s="547" cm="1">
        <f t="array" ref="Y202">_xlfn.IFERROR(B202*(V202+X202),"N/A")</f>
        <v>N/A</v>
      </c>
      <c r="Z202" s="424"/>
      <c r="AA202" t="str" s="547" cm="1">
        <f t="array" ref="AA202">_xlfn.IFERROR(Y202+S202,"N/A")</f>
        <v>N/A</v>
      </c>
      <c r="AB202" t="str" s="547" cm="1">
        <f t="array" ref="AB202">_xlfn.IFERROR(AA202*0.5%,"N/A")</f>
        <v>N/A</v>
      </c>
      <c r="AC202" t="str" s="547" cm="1">
        <f t="array" ref="AC202">_xlfn.IFERROR(AA202*25%,"N/A")</f>
        <v>N/A</v>
      </c>
      <c r="AD202" t="str" s="546" cm="1">
        <f t="array" ref="AD202">IF(B202&gt;0,SUM(AA202:AC202),"N/A")</f>
        <v>N/A</v>
      </c>
      <c r="AE202" t="str" s="547" cm="1">
        <f t="array" ref="AE202">_xlfn.IFERROR(AD202/B202,"N/A")</f>
        <v>N/A</v>
      </c>
      <c r="AF202" s="424"/>
      <c r="AG202" t="str" s="546" cm="1">
        <f t="array" ref="AG202">IF(B202/VLOOKUP(C186,'Boats Data Sheet 2026'!$C$3:$H$57,6,0)&gt;VLOOKUP(C186,'Allocation OH and Target 2026'!$C$3:$J$23,8,0),IF(SUM(AH188:AH201)=0,AE202,"N/A"),"N/A")</f>
        <v>N/A</v>
      </c>
      <c r="AH202" s="424" cm="1">
        <f t="array" ref="AH202">IF(AG202="N/A",0,1)</f>
        <v>0</v>
      </c>
      <c r="AI202" t="str" s="547" cm="1">
        <f t="array" ref="AI202">IF(B202/VLOOKUP(C186,'Boats Data Sheet 2026'!$C$3:$H$57,6,0)&gt;VLOOKUP(C186,'Allocation OH and Target 2026'!$C$3:$J$23,8,0),IF(SUM(AH188:AH201)=0,S202/B202,"N/A"),"N/A")</f>
        <v>N/A</v>
      </c>
      <c r="AJ202" s="424" cm="1">
        <f t="array" ref="AJ202">IF(AI202="N/A",0,1)</f>
        <v>0</v>
      </c>
      <c r="AK202" t="str" s="527" cm="1">
        <f t="array" ref="AK202">IF(SUM($AG$51:$AG$68)*B202&lt;SUM(AA202:AB202),"NO GO","GO")</f>
        <v>GO</v>
      </c>
      <c r="AL202" s="424"/>
      <c r="AM202" s="538"/>
      <c r="AN202" s="538"/>
      <c r="AO202" s="538"/>
      <c r="AP202" s="542"/>
      <c r="AQ202" s="543" cm="1">
        <f t="array" ref="AQ202">B202</f>
        <v>0</v>
      </c>
      <c r="AR202" s="18"/>
    </row>
    <row r="203" ht="16" customHeight="1">
      <c r="A203" s="12"/>
      <c r="B203" s="544" cm="1">
        <f t="array" ref="B203">IF(B202=0,0,IF(B202&lt;VLOOKUP(C186,'Boats Data Sheet 2026'!$C$3:$H$57,6,0),B202+1,0))</f>
        <v>0</v>
      </c>
      <c r="C203" t="str" s="547" cm="1">
        <f t="array" ref="C203">IF(B203&gt;0,IF(VLOOKUP(C186,'Boats Data Sheet 2026'!$C$3:$J$57,8,0)="N/A",0,VLOOKUP(C186,'Boats Data Sheet 2026'!$C$3:$J$57,8,0)),"N/A")</f>
        <v>N/A</v>
      </c>
      <c r="D203" t="str" s="547" cm="1">
        <f t="array" ref="D203">IF(B203&gt;7,2,IF(B203=0,"N/A",1))</f>
        <v>N/A</v>
      </c>
      <c r="E203" t="str" s="547" cm="1">
        <f t="array" ref="E203">_xlfn.IFERROR(SUM('Direct Costs 2026'!$C$4:$C$5)*D203,"N/A")</f>
        <v>N/A</v>
      </c>
      <c r="F203" s="538" cm="1">
        <f t="array" ref="F203">_xlfn.IFERROR('Direct Costs 2026'!$C$43*B203,"N/A")</f>
        <v>0</v>
      </c>
      <c r="G203" t="str" s="547" cm="1">
        <f t="array" ref="G203">IF(B203&gt;0,'Direct Costs 2026'!$C$25,"N/A")</f>
        <v>N/A</v>
      </c>
      <c r="H203" t="str" s="547" cm="1">
        <f t="array" ref="H203">IF(B203&gt;0,'Direct Costs 2026'!$C$19+'Direct Costs 2026'!$C$18*B203,"N/A")</f>
        <v>N/A</v>
      </c>
      <c r="I203" t="str" s="547" cm="1">
        <f t="array" ref="I203">IF(B203&gt;0,SUM('Direct Costs 2026'!$C$20:$C$21),"N/A")</f>
        <v>N/A</v>
      </c>
      <c r="J203" s="538">
        <v>0</v>
      </c>
      <c r="K203" t="str" s="547" cm="1">
        <f t="array" ref="K203">IF(B203&gt;0,'Direct Costs 2026'!$C$15+'Direct Costs 2026'!$C$14,"N/A")</f>
        <v>N/A</v>
      </c>
      <c r="L203" t="str" s="547" cm="1">
        <f t="array" ref="L203">IF(B203&gt;0,'Direct Costs 2026'!$C$26,"N/A")</f>
        <v>N/A</v>
      </c>
      <c r="M203" t="str" s="547" cm="1">
        <f t="array" ref="M203">IF(B203&gt;0,'Direct Costs 2026'!$C$23,"N/A")</f>
        <v>N/A</v>
      </c>
      <c r="N203" t="str" s="547" cm="1">
        <f t="array" ref="N203">IF(B203&gt;0,'Direct Costs 2026'!$C$44*B203,"N/A")</f>
        <v>N/A</v>
      </c>
      <c r="O203" t="str" s="547" cm="1">
        <f t="array" ref="O203">IF(B203&gt;0,_xlfn.IFERROR(VLOOKUP(C186,'Boats Data Sheet 2026'!$C$3:$I$57,7,0)*'Direct Costs 2026'!$C$36,"N/A"),"N/A")</f>
        <v>N/A</v>
      </c>
      <c r="P203" t="str" s="547" cm="1">
        <f t="array" ref="P203">IF(B203&gt;0,IF(OR(VLOOKUP(C186,'Boats Data Sheet 2026'!$C$3:$F$57,4,0)="Own",VLOOKUP(C186,'Boats Data Sheet 2026'!$C$3:$F$57,4,0)="Management"),('Direct Costs 2026'!$C$37+'Direct Costs 2026'!$C$39),"N/A"),"N/A")</f>
        <v>N/A</v>
      </c>
      <c r="Q203" t="str" s="547" cm="1">
        <f t="array" ref="Q203">_xlfn.IFERROR(IF(B203&gt;5,IF(B203&gt;11,IF(B203&gt;15,4,3),2),IF(B203=0,"N/A",1))*SUM('Direct Costs 2026'!$C$67:$C$68),"N/A")</f>
        <v>N/A</v>
      </c>
      <c r="R203" t="str" s="547" cm="1">
        <f t="array" ref="R203">_xlfn.IFERROR('Direct Costs 2026'!$C$27*C203,"N/A")</f>
        <v>N/A</v>
      </c>
      <c r="S203" t="str" s="547" cm="1">
        <f t="array" ref="S203">_xlfn.IFERROR(C203+SUM(E203:R203),"N/A")</f>
        <v>N/A</v>
      </c>
      <c r="T203" s="424"/>
      <c r="U203" t="str" s="547" cm="1">
        <f t="array" ref="U203">IF(B203&gt;0,'Allocation OH and Target 2026'!$E$27,"N/A")</f>
        <v>N/A</v>
      </c>
      <c r="V203" t="str" s="547" cm="1">
        <f t="array" ref="V203">IF(B203&gt;0,'Allocation OH and Target 2026'!$E$28,"N/A")</f>
        <v>N/A</v>
      </c>
      <c r="W203" t="str" s="547" cm="1">
        <f t="array" ref="W203">IF(B203&gt;0,VLOOKUP(C186,'Allocation OH and Target 2026'!$C$3:$T$23,17,0),"N/A")</f>
        <v>N/A</v>
      </c>
      <c r="X203" t="str" s="547" cm="1">
        <f t="array" ref="X203">IF(B203&gt;0,VLOOKUP(C186,'Allocation OH and Target 2026'!$C$3:$T$23,18,0),"N/A")</f>
        <v>N/A</v>
      </c>
      <c r="Y203" t="str" s="547" cm="1">
        <f t="array" ref="Y203">_xlfn.IFERROR(V203*B203+X203,"N/A")</f>
        <v>N/A</v>
      </c>
      <c r="Z203" s="424"/>
      <c r="AA203" t="str" s="547" cm="1">
        <f t="array" ref="AA203">_xlfn.IFERROR(Y203+S203,"N/A")</f>
        <v>N/A</v>
      </c>
      <c r="AB203" t="str" s="547" cm="1">
        <f t="array" ref="AB203">_xlfn.IFERROR(AA203*0.5%,"N/A")</f>
        <v>N/A</v>
      </c>
      <c r="AC203" t="str" s="547" cm="1">
        <f t="array" ref="AC203">_xlfn.IFERROR(AA203*25%,"N/A")</f>
        <v>N/A</v>
      </c>
      <c r="AD203" t="str" s="546" cm="1">
        <f t="array" ref="AD203">IF(B203&gt;0,SUM(AA203:AC203),"N/A")</f>
        <v>N/A</v>
      </c>
      <c r="AE203" t="str" s="547" cm="1">
        <f t="array" ref="AE203">_xlfn.IFERROR(AD203/B203,"N/A")</f>
        <v>N/A</v>
      </c>
      <c r="AF203" s="424"/>
      <c r="AG203" t="str" s="546" cm="1">
        <f t="array" ref="AG203">IF(B203/VLOOKUP(C186,'Boats Data Sheet 2026'!$C$3:$H$57,6,0)&gt;VLOOKUP(C186,'Allocation OH and Target 2026'!$C$3:$J$23,8,0),IF(SUM(AH188:AH202)=0,AE203,"N/A"),"N/A")</f>
        <v>N/A</v>
      </c>
      <c r="AH203" s="424" cm="1">
        <f t="array" ref="AH203">IF(AG203="N/A",0,1)</f>
        <v>0</v>
      </c>
      <c r="AI203" t="str" s="547" cm="1">
        <f t="array" ref="AI203">IF(B203/VLOOKUP(C186,'Boats Data Sheet 2026'!$C$3:$H$57,6,0)&gt;VLOOKUP(C186,'Allocation OH and Target 2026'!$C$3:$J$23,8,0),IF(SUM(AH188:AH202)=0,S203/B203,"N/A"),"N/A")</f>
        <v>N/A</v>
      </c>
      <c r="AJ203" s="424" cm="1">
        <f t="array" ref="AJ203">IF(AI203="N/A",0,1)</f>
        <v>0</v>
      </c>
      <c r="AK203" t="str" s="527" cm="1">
        <f t="array" ref="AK203">IF(SUM($AG$51:$AG$68)*B203&lt;SUM(AA203:AB203),"NO GO","GO")</f>
        <v>GO</v>
      </c>
      <c r="AL203" s="424"/>
      <c r="AM203" s="538"/>
      <c r="AN203" s="538"/>
      <c r="AO203" s="538"/>
      <c r="AP203" s="542"/>
      <c r="AQ203" s="543" cm="1">
        <f t="array" ref="AQ203">B203</f>
        <v>0</v>
      </c>
      <c r="AR203" s="18"/>
    </row>
    <row r="204" ht="16" customHeight="1">
      <c r="A204" s="12"/>
      <c r="B204" s="544" cm="1">
        <f t="array" ref="B204">IF(B203=0,0,IF(B203&lt;VLOOKUP(C186,'Boats Data Sheet 2026'!$C$3:$H$57,6,0),B203+1,0))</f>
        <v>0</v>
      </c>
      <c r="C204" t="str" s="547" cm="1">
        <f t="array" ref="C204">IF(B204&gt;0,IF(VLOOKUP(C186,'Boats Data Sheet 2026'!$C$3:$J$57,8,0)="N/A",0,VLOOKUP(C186,'Boats Data Sheet 2026'!$C$3:$J$57,8,0)),"N/A")</f>
        <v>N/A</v>
      </c>
      <c r="D204" t="str" s="547" cm="1">
        <f t="array" ref="D204">IF(B204&gt;7,2,IF(B204=0,"N/A",1))</f>
        <v>N/A</v>
      </c>
      <c r="E204" t="str" s="547" cm="1">
        <f t="array" ref="E204">_xlfn.IFERROR(SUM('Direct Costs 2026'!$C$4:$C$5)*D204,"N/A")</f>
        <v>N/A</v>
      </c>
      <c r="F204" s="538" cm="1">
        <f t="array" ref="F204">_xlfn.IFERROR('Direct Costs 2026'!$C$43*B204,"N/A")</f>
        <v>0</v>
      </c>
      <c r="G204" t="str" s="547" cm="1">
        <f t="array" ref="G204">IF(B204&gt;0,'Direct Costs 2026'!$C$25,"N/A")</f>
        <v>N/A</v>
      </c>
      <c r="H204" t="str" s="547" cm="1">
        <f t="array" ref="H204">IF(B204&gt;0,'Direct Costs 2026'!$C$19+'Direct Costs 2026'!$C$18*B204,"N/A")</f>
        <v>N/A</v>
      </c>
      <c r="I204" t="str" s="547" cm="1">
        <f t="array" ref="I204">IF(B204&gt;0,SUM('Direct Costs 2026'!$C$20:$C$21),"N/A")</f>
        <v>N/A</v>
      </c>
      <c r="J204" s="538">
        <v>0</v>
      </c>
      <c r="K204" t="str" s="547" cm="1">
        <f t="array" ref="K204">IF(B204&gt;0,'Direct Costs 2026'!$C$15+'Direct Costs 2026'!$C$14,"N/A")</f>
        <v>N/A</v>
      </c>
      <c r="L204" t="str" s="547" cm="1">
        <f t="array" ref="L204">IF(B204&gt;0,'Direct Costs 2026'!$C$26,"N/A")</f>
        <v>N/A</v>
      </c>
      <c r="M204" t="str" s="547" cm="1">
        <f t="array" ref="M204">IF(B204&gt;0,'Direct Costs 2026'!$C$23,"N/A")</f>
        <v>N/A</v>
      </c>
      <c r="N204" t="str" s="547" cm="1">
        <f t="array" ref="N204">IF(B204&gt;0,'Direct Costs 2026'!$C$44*B204,"N/A")</f>
        <v>N/A</v>
      </c>
      <c r="O204" t="str" s="547" cm="1">
        <f t="array" ref="O204">IF(B204&gt;0,_xlfn.IFERROR(VLOOKUP(C186,'Boats Data Sheet 2026'!$C$3:$I$57,7,0)*'Direct Costs 2026'!$C$36,"N/A"),"N/A")</f>
        <v>N/A</v>
      </c>
      <c r="P204" t="str" s="547" cm="1">
        <f t="array" ref="P204">IF(B204&gt;0,IF(OR(VLOOKUP(C186,'Boats Data Sheet 2026'!$C$3:$F$57,4,0)="Own",VLOOKUP(C186,'Boats Data Sheet 2026'!$C$3:$F$57,4,0)="Management"),('Direct Costs 2026'!$C$37+'Direct Costs 2026'!$C$39),"N/A"),"N/A")</f>
        <v>N/A</v>
      </c>
      <c r="Q204" t="str" s="547" cm="1">
        <f t="array" ref="Q204">_xlfn.IFERROR(IF(B204&gt;5,IF(B204&gt;11,IF(B204&gt;15,4,3),2),IF(B204=0,"N/A",1))*SUM('Direct Costs 2026'!$C$67:$C$68),"N/A")</f>
        <v>N/A</v>
      </c>
      <c r="R204" t="str" s="547" cm="1">
        <f t="array" ref="R204">_xlfn.IFERROR('Direct Costs 2026'!$C$27*C204,"N/A")</f>
        <v>N/A</v>
      </c>
      <c r="S204" t="str" s="547" cm="1">
        <f t="array" ref="S204">_xlfn.IFERROR(C204+SUM(E204:R204),"N/A")</f>
        <v>N/A</v>
      </c>
      <c r="T204" s="424"/>
      <c r="U204" t="str" s="547" cm="1">
        <f t="array" ref="U204">IF(B204&gt;0,'Allocation OH and Target 2026'!$E$27,"N/A")</f>
        <v>N/A</v>
      </c>
      <c r="V204" t="str" s="547" cm="1">
        <f t="array" ref="V204">IF(B204&gt;0,'Allocation OH and Target 2026'!$E$28,"N/A")</f>
        <v>N/A</v>
      </c>
      <c r="W204" t="str" s="547" cm="1">
        <f t="array" ref="W204">IF(B204&gt;0,VLOOKUP(C186,'Allocation OH and Target 2026'!$C$3:$T$23,17,0),"N/A")</f>
        <v>N/A</v>
      </c>
      <c r="X204" t="str" s="547" cm="1">
        <f t="array" ref="X204">IF(B204&gt;0,VLOOKUP(C186,'Allocation OH and Target 2026'!$C$3:$T$23,18,0),"N/A")</f>
        <v>N/A</v>
      </c>
      <c r="Y204" t="str" s="547" cm="1">
        <f t="array" ref="Y204">_xlfn.IFERROR(V204*B204+X204,"N/A")</f>
        <v>N/A</v>
      </c>
      <c r="Z204" s="424"/>
      <c r="AA204" t="str" s="547" cm="1">
        <f t="array" ref="AA204">_xlfn.IFERROR(Y204+S204,"N/A")</f>
        <v>N/A</v>
      </c>
      <c r="AB204" t="str" s="547" cm="1">
        <f t="array" ref="AB204">_xlfn.IFERROR(AA204*0.5%,"N/A")</f>
        <v>N/A</v>
      </c>
      <c r="AC204" t="str" s="547" cm="1">
        <f t="array" ref="AC204">_xlfn.IFERROR(AA204*25%,"N/A")</f>
        <v>N/A</v>
      </c>
      <c r="AD204" t="str" s="546" cm="1">
        <f t="array" ref="AD204">IF(B204&gt;0,SUM(AA204:AC204),"N/A")</f>
        <v>N/A</v>
      </c>
      <c r="AE204" t="str" s="547" cm="1">
        <f t="array" ref="AE204">_xlfn.IFERROR(AD204/B204,"N/A")</f>
        <v>N/A</v>
      </c>
      <c r="AF204" s="424"/>
      <c r="AG204" t="str" s="546" cm="1">
        <f t="array" ref="AG204">IF(B204/VLOOKUP(C186,'Boats Data Sheet 2026'!$C$3:$H$57,6,0)&gt;VLOOKUP(C186,'Allocation OH and Target 2026'!$C$3:$J$23,8,0),IF(SUM(AH188:AH203)=0,AE204,"N/A"),"N/A")</f>
        <v>N/A</v>
      </c>
      <c r="AH204" s="424" cm="1">
        <f t="array" ref="AH204">IF(AG204="N/A",0,1)</f>
        <v>0</v>
      </c>
      <c r="AI204" t="str" s="547" cm="1">
        <f t="array" ref="AI204">IF(B204/VLOOKUP(C186,'Boats Data Sheet 2026'!$C$3:$H$57,6,0)&gt;VLOOKUP(C186,'Allocation OH and Target 2026'!$C$3:$J$23,8,0),IF(SUM(AH188:AH203)=0,S204/B204,"N/A"),"N/A")</f>
        <v>N/A</v>
      </c>
      <c r="AJ204" s="424" cm="1">
        <f t="array" ref="AJ204">IF(AI204="N/A",0,1)</f>
        <v>0</v>
      </c>
      <c r="AK204" t="str" s="527" cm="1">
        <f t="array" ref="AK204">IF(SUM($AG$51:$AG$68)*B204&lt;SUM(AA204:AB204),"NO GO","GO")</f>
        <v>GO</v>
      </c>
      <c r="AL204" s="424"/>
      <c r="AM204" s="538"/>
      <c r="AN204" s="538"/>
      <c r="AO204" s="538"/>
      <c r="AP204" s="542"/>
      <c r="AQ204" s="543" cm="1">
        <f t="array" ref="AQ204">B204</f>
        <v>0</v>
      </c>
      <c r="AR204" s="18"/>
    </row>
    <row r="205" ht="16" customHeight="1">
      <c r="A205" s="12"/>
      <c r="B205" s="544" cm="1">
        <f t="array" ref="B205">IF(B204=0,0,IF(B204&lt;VLOOKUP(C186,'Boats Data Sheet 2026'!$C$3:$H$57,6,0),B204+1,0))</f>
        <v>0</v>
      </c>
      <c r="C205" t="str" s="547" cm="1">
        <f t="array" ref="C205">IF(B205&gt;0,IF(VLOOKUP(C186,'Boats Data Sheet 2026'!$C$3:$J$57,8,0)="N/A",0,VLOOKUP(C186,'Boats Data Sheet 2026'!$C$3:$J$57,8,0)),"N/A")</f>
        <v>N/A</v>
      </c>
      <c r="D205" t="str" s="547" cm="1">
        <f t="array" ref="D205">IF(B205&gt;7,2,IF(B205=0,"N/A",1))</f>
        <v>N/A</v>
      </c>
      <c r="E205" t="str" s="547" cm="1">
        <f t="array" ref="E205">_xlfn.IFERROR(SUM('Direct Costs 2026'!$C$4:$C$5)*D205,"N/A")</f>
        <v>N/A</v>
      </c>
      <c r="F205" s="538" cm="1">
        <f t="array" ref="F205">_xlfn.IFERROR('Direct Costs 2026'!$C$43*B205,"N/A")</f>
        <v>0</v>
      </c>
      <c r="G205" t="str" s="547" cm="1">
        <f t="array" ref="G205">IF(B205&gt;0,'Direct Costs 2026'!$C$25,"N/A")</f>
        <v>N/A</v>
      </c>
      <c r="H205" t="str" s="547" cm="1">
        <f t="array" ref="H205">IF(B205&gt;0,'Direct Costs 2026'!$C$19+'Direct Costs 2026'!$C$18*B205,"N/A")</f>
        <v>N/A</v>
      </c>
      <c r="I205" t="str" s="547" cm="1">
        <f t="array" ref="I205">IF(B205&gt;0,SUM('Direct Costs 2026'!$C$20:$C$21),"N/A")</f>
        <v>N/A</v>
      </c>
      <c r="J205" s="538">
        <v>0</v>
      </c>
      <c r="K205" t="str" s="547" cm="1">
        <f t="array" ref="K205">IF(B205&gt;0,'Direct Costs 2026'!$C$15+'Direct Costs 2026'!$C$14,"N/A")</f>
        <v>N/A</v>
      </c>
      <c r="L205" t="str" s="547" cm="1">
        <f t="array" ref="L205">IF(B205&gt;0,'Direct Costs 2026'!$C$26,"N/A")</f>
        <v>N/A</v>
      </c>
      <c r="M205" t="str" s="547" cm="1">
        <f t="array" ref="M205">IF(B205&gt;0,'Direct Costs 2026'!$C$23,"N/A")</f>
        <v>N/A</v>
      </c>
      <c r="N205" t="str" s="547" cm="1">
        <f t="array" ref="N205">IF(B205&gt;0,'Direct Costs 2026'!$C$44*B205,"N/A")</f>
        <v>N/A</v>
      </c>
      <c r="O205" t="str" s="547" cm="1">
        <f t="array" ref="O205">IF(B205&gt;0,_xlfn.IFERROR(VLOOKUP(C186,'Boats Data Sheet 2026'!$C$3:$I$57,7,0)*'Direct Costs 2026'!$C$36,"N/A"),"N/A")</f>
        <v>N/A</v>
      </c>
      <c r="P205" t="str" s="547" cm="1">
        <f t="array" ref="P205">IF(B205&gt;0,IF(OR(VLOOKUP(C186,'Boats Data Sheet 2026'!$C$3:$F$57,4,0)="Own",VLOOKUP(C186,'Boats Data Sheet 2026'!$C$3:$F$57,4,0)="Management"),('Direct Costs 2026'!$C$37+'Direct Costs 2026'!$C$39),"N/A"),"N/A")</f>
        <v>N/A</v>
      </c>
      <c r="Q205" t="str" s="547" cm="1">
        <f t="array" ref="Q205">_xlfn.IFERROR(IF(B205&gt;5,IF(B205&gt;11,IF(B205&gt;15,4,3),2),IF(B205=0,"N/A",1))*SUM('Direct Costs 2026'!$C$67:$C$68),"N/A")</f>
        <v>N/A</v>
      </c>
      <c r="R205" t="str" s="547" cm="1">
        <f t="array" ref="R205">_xlfn.IFERROR('Direct Costs 2026'!$C$27*C205,"N/A")</f>
        <v>N/A</v>
      </c>
      <c r="S205" t="str" s="547" cm="1">
        <f t="array" ref="S205">_xlfn.IFERROR(C205+SUM(E205:R205),"N/A")</f>
        <v>N/A</v>
      </c>
      <c r="T205" s="424"/>
      <c r="U205" t="str" s="547" cm="1">
        <f t="array" ref="U205">IF(B205&gt;0,'Allocation OH and Target 2026'!$E$27,"N/A")</f>
        <v>N/A</v>
      </c>
      <c r="V205" t="str" s="547" cm="1">
        <f t="array" ref="V205">IF(B205&gt;0,'Allocation OH and Target 2026'!$E$28,"N/A")</f>
        <v>N/A</v>
      </c>
      <c r="W205" t="str" s="547" cm="1">
        <f t="array" ref="W205">IF(B205&gt;0,VLOOKUP(C186,'Allocation OH and Target 2026'!$C$3:$T$23,17,0),"N/A")</f>
        <v>N/A</v>
      </c>
      <c r="X205" t="str" s="547" cm="1">
        <f t="array" ref="X205">IF(B205&gt;0,VLOOKUP(C186,'Allocation OH and Target 2026'!$C$3:$T$23,18,0),"N/A")</f>
        <v>N/A</v>
      </c>
      <c r="Y205" t="str" s="547" cm="1">
        <f t="array" ref="Y205">_xlfn.IFERROR(V205*B205+X205,"N/A")</f>
        <v>N/A</v>
      </c>
      <c r="Z205" s="424"/>
      <c r="AA205" t="str" s="547" cm="1">
        <f t="array" ref="AA205">_xlfn.IFERROR(Y205+S205,"N/A")</f>
        <v>N/A</v>
      </c>
      <c r="AB205" t="str" s="547" cm="1">
        <f t="array" ref="AB205">_xlfn.IFERROR(AA205*0.5%,"N/A")</f>
        <v>N/A</v>
      </c>
      <c r="AC205" t="str" s="547" cm="1">
        <f t="array" ref="AC205">_xlfn.IFERROR(AA205*25%,"N/A")</f>
        <v>N/A</v>
      </c>
      <c r="AD205" t="str" s="546" cm="1">
        <f t="array" ref="AD205">IF(B205&gt;0,SUM(AA205:AC205),"N/A")</f>
        <v>N/A</v>
      </c>
      <c r="AE205" t="str" s="547" cm="1">
        <f t="array" ref="AE205">_xlfn.IFERROR(AD205/B205,"N/A")</f>
        <v>N/A</v>
      </c>
      <c r="AF205" s="424"/>
      <c r="AG205" t="str" s="546" cm="1">
        <f t="array" ref="AG205">IF(B205/VLOOKUP(C186,'Boats Data Sheet 2026'!$C$3:$H$57,6,0)&gt;VLOOKUP(C186,'Allocation OH and Target 2026'!$C$3:$J$23,8,0),IF(SUM(AH188:AH204)=0,AE205,"N/A"),"N/A")</f>
        <v>N/A</v>
      </c>
      <c r="AH205" s="424" cm="1">
        <f t="array" ref="AH205">IF(AG205="N/A",0,1)</f>
        <v>0</v>
      </c>
      <c r="AI205" t="str" s="547" cm="1">
        <f t="array" ref="AI205">IF(B205/VLOOKUP(C186,'Boats Data Sheet 2026'!$C$3:$H$57,6,0)&gt;VLOOKUP(C186,'Allocation OH and Target 2026'!$C$3:$J$23,8,0),IF(SUM(AH188:AH204)=0,S205/B205,"N/A"),"N/A")</f>
        <v>N/A</v>
      </c>
      <c r="AJ205" s="424" cm="1">
        <f t="array" ref="AJ205">IF(AI205="N/A",0,1)</f>
        <v>0</v>
      </c>
      <c r="AK205" t="str" s="527" cm="1">
        <f t="array" ref="AK205">IF(SUM($AG$51:$AG$68)*B205&lt;SUM(AA205:AB205),"NO GO","GO")</f>
        <v>GO</v>
      </c>
      <c r="AL205" s="424"/>
      <c r="AM205" s="538"/>
      <c r="AN205" s="538"/>
      <c r="AO205" s="538"/>
      <c r="AP205" s="542"/>
      <c r="AQ205" s="543" cm="1">
        <f t="array" ref="AQ205">B205</f>
        <v>0</v>
      </c>
      <c r="AR205" s="18"/>
    </row>
    <row r="206" ht="15.5" customHeight="1">
      <c r="A206" s="12"/>
      <c r="B206" s="550" cm="1">
        <f t="array" ref="B206">IF(B205=0,0,IF(B205&lt;VLOOKUP(C186,'Boats Data Sheet 2026'!$C$3:$H$57,6,0),B205+1,0))</f>
        <v>0</v>
      </c>
      <c r="C206" t="str" s="551" cm="1">
        <f t="array" ref="C206">IF(B206&gt;0,IF(VLOOKUP(C186,'Boats Data Sheet 2026'!$C$3:$J$57,8,0)="N/A",0,VLOOKUP(C186,'Boats Data Sheet 2026'!$C$3:$J$57,8,0)),"N/A")</f>
        <v>N/A</v>
      </c>
      <c r="D206" t="str" s="551" cm="1">
        <f t="array" ref="D206">IF(B206&gt;7,2,IF(B206=0,"N/A",1))</f>
        <v>N/A</v>
      </c>
      <c r="E206" t="str" s="551" cm="1">
        <f t="array" ref="E206">_xlfn.IFERROR(SUM('Direct Costs 2026'!$C$4:$C$5)*D206,"N/A")</f>
        <v>N/A</v>
      </c>
      <c r="F206" s="552" cm="1">
        <f t="array" ref="F206">_xlfn.IFERROR('Direct Costs 2026'!$C$43*B206,"N/A")</f>
        <v>0</v>
      </c>
      <c r="G206" t="str" s="551" cm="1">
        <f t="array" ref="G206">IF(B206&gt;0,'Direct Costs 2026'!$C$25,"N/A")</f>
        <v>N/A</v>
      </c>
      <c r="H206" t="str" s="551" cm="1">
        <f t="array" ref="H206">IF(B206&gt;0,'Direct Costs 2026'!$C$19+'Direct Costs 2026'!$C$18*B206,"N/A")</f>
        <v>N/A</v>
      </c>
      <c r="I206" t="str" s="551" cm="1">
        <f t="array" ref="I206">IF(B206&gt;0,SUM('Direct Costs 2026'!$C$20:$C$21),"N/A")</f>
        <v>N/A</v>
      </c>
      <c r="J206" s="552">
        <v>0</v>
      </c>
      <c r="K206" t="str" s="551" cm="1">
        <f t="array" ref="K206">IF(B206&gt;0,'Direct Costs 2026'!$C$15+'Direct Costs 2026'!$C$14,"N/A")</f>
        <v>N/A</v>
      </c>
      <c r="L206" t="str" s="551" cm="1">
        <f t="array" ref="L206">IF(B206&gt;0,'Direct Costs 2026'!$C$26,"N/A")</f>
        <v>N/A</v>
      </c>
      <c r="M206" t="str" s="551" cm="1">
        <f t="array" ref="M206">IF(B206&gt;0,'Direct Costs 2026'!$C$23,"N/A")</f>
        <v>N/A</v>
      </c>
      <c r="N206" t="str" s="551" cm="1">
        <f t="array" ref="N206">IF(B206&gt;0,'Direct Costs 2026'!$C$44*B206,"N/A")</f>
        <v>N/A</v>
      </c>
      <c r="O206" t="str" s="551" cm="1">
        <f t="array" ref="O206">IF(B206&gt;0,_xlfn.IFERROR(VLOOKUP(C186,'Boats Data Sheet 2026'!$C$3:$I$57,7,0)*'Direct Costs 2026'!$C$36,"N/A"),"N/A")</f>
        <v>N/A</v>
      </c>
      <c r="P206" t="str" s="551" cm="1">
        <f t="array" ref="P206">IF(B206&gt;0,IF(OR(VLOOKUP(C186,'Boats Data Sheet 2026'!$C$3:$F$57,4,0)="Own",VLOOKUP(C186,'Boats Data Sheet 2026'!$C$3:$F$57,4,0)="Management"),('Direct Costs 2026'!$C$37+'Direct Costs 2026'!$C$39),"N/A"),"N/A")</f>
        <v>N/A</v>
      </c>
      <c r="Q206" t="str" s="551" cm="1">
        <f t="array" ref="Q206">_xlfn.IFERROR(IF(B206&gt;5,IF(B206&gt;11,IF(B206&gt;15,4,3),2),IF(B206=0,"N/A",1))*SUM('Direct Costs 2026'!$C$67:$C$68),"N/A")</f>
        <v>N/A</v>
      </c>
      <c r="R206" t="str" s="551" cm="1">
        <f t="array" ref="R206">_xlfn.IFERROR('Direct Costs 2026'!$C$27*C206,"N/A")</f>
        <v>N/A</v>
      </c>
      <c r="S206" t="str" s="551" cm="1">
        <f t="array" ref="S206">_xlfn.IFERROR(C206+SUM(E206:R206),"N/A")</f>
        <v>N/A</v>
      </c>
      <c r="T206" s="435"/>
      <c r="U206" t="str" s="551" cm="1">
        <f t="array" ref="U206">IF(B206&gt;0,'Allocation OH and Target 2026'!$E$27,"N/A")</f>
        <v>N/A</v>
      </c>
      <c r="V206" t="str" s="551" cm="1">
        <f t="array" ref="V206">IF(B206&gt;0,'Allocation OH and Target 2026'!$E$28,"N/A")</f>
        <v>N/A</v>
      </c>
      <c r="W206" t="str" s="551" cm="1">
        <f t="array" ref="W206">IF(B206&gt;0,VLOOKUP(C186,'Allocation OH and Target 2026'!$C$3:$T$23,17,0),"N/A")</f>
        <v>N/A</v>
      </c>
      <c r="X206" t="str" s="551" cm="1">
        <f t="array" ref="X206">IF(B206&gt;0,VLOOKUP(C186,'Allocation OH and Target 2026'!$C$3:$T$23,18,0),"N/A")</f>
        <v>N/A</v>
      </c>
      <c r="Y206" t="str" s="551" cm="1">
        <f t="array" ref="Y206">_xlfn.IFERROR(V206*B206+X206,"N/A")</f>
        <v>N/A</v>
      </c>
      <c r="Z206" s="435"/>
      <c r="AA206" t="str" s="551" cm="1">
        <f t="array" ref="AA206">_xlfn.IFERROR(Y206+S206,"N/A")</f>
        <v>N/A</v>
      </c>
      <c r="AB206" t="str" s="551" cm="1">
        <f t="array" ref="AB206">_xlfn.IFERROR(AA206*0.5%,"N/A")</f>
        <v>N/A</v>
      </c>
      <c r="AC206" t="str" s="551" cm="1">
        <f t="array" ref="AC206">_xlfn.IFERROR(AA206*25%,"N/A")</f>
        <v>N/A</v>
      </c>
      <c r="AD206" t="str" s="553" cm="1">
        <f t="array" ref="AD206">IF(B206&gt;0,SUM(AA206:AC206),"N/A")</f>
        <v>N/A</v>
      </c>
      <c r="AE206" t="str" s="551" cm="1">
        <f t="array" ref="AE206">_xlfn.IFERROR(AD206/B206,"N/A")</f>
        <v>N/A</v>
      </c>
      <c r="AF206" s="435"/>
      <c r="AG206" t="str" s="553" cm="1">
        <f t="array" ref="AG206">IF(B206/VLOOKUP(C186,'Boats Data Sheet 2026'!$C$3:$H$57,6,0)&gt;VLOOKUP(C186,'Allocation OH and Target 2026'!$C$3:$J$23,8,0),IF(SUM(AH188:AH205)=0,AE206,"N/A"),"N/A")</f>
        <v>N/A</v>
      </c>
      <c r="AH206" s="435" cm="1">
        <f t="array" ref="AH206">IF(AG206="N/A",0,1)</f>
        <v>0</v>
      </c>
      <c r="AI206" t="str" s="551" cm="1">
        <f t="array" ref="AI206">IF(B206/VLOOKUP(C186,'Boats Data Sheet 2026'!$C$3:$H$57,6,0)&gt;VLOOKUP(C186,'Allocation OH and Target 2026'!$C$3:$J$23,8,0),IF(SUM(AH188:AH205)=0,S206/B206,"N/A"),"N/A")</f>
        <v>N/A</v>
      </c>
      <c r="AJ206" s="435" cm="1">
        <f t="array" ref="AJ206">IF(AI206="N/A",0,1)</f>
        <v>0</v>
      </c>
      <c r="AK206" t="str" s="554" cm="1">
        <f t="array" ref="AK206">IF(SUM($AG$51:$AG$68)*B206&lt;SUM(AA206:AB206),"NO GO","GO")</f>
        <v>GO</v>
      </c>
      <c r="AL206" s="435"/>
      <c r="AM206" s="552"/>
      <c r="AN206" s="552"/>
      <c r="AO206" s="552"/>
      <c r="AP206" s="555"/>
      <c r="AQ206" s="543" cm="1">
        <f t="array" ref="AQ206">B206</f>
        <v>0</v>
      </c>
      <c r="AR206" s="18"/>
    </row>
    <row r="207" ht="15.5" customHeight="1">
      <c r="A207" s="32"/>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c r="AL207" s="124"/>
      <c r="AM207" s="124"/>
      <c r="AN207" s="124"/>
      <c r="AO207" s="124"/>
      <c r="AP207" s="124"/>
      <c r="AQ207" s="17"/>
      <c r="AR207" s="18"/>
    </row>
    <row r="208" ht="15.5" customHeight="1">
      <c r="A208" s="32"/>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17"/>
      <c r="AR208" s="18"/>
    </row>
    <row r="209" ht="15.5" customHeight="1">
      <c r="A209" s="395">
        <v>10</v>
      </c>
      <c r="B209" t="s" s="517">
        <v>506</v>
      </c>
      <c r="C209" t="s" s="518">
        <v>50</v>
      </c>
      <c r="D209" s="519"/>
      <c r="E209" s="519"/>
      <c r="F209" s="519"/>
      <c r="G209" s="519"/>
      <c r="H209" s="519"/>
      <c r="I209" s="519"/>
      <c r="J209" s="519"/>
      <c r="K209" s="519"/>
      <c r="L209" s="519"/>
      <c r="M209" s="519"/>
      <c r="N209" s="519"/>
      <c r="O209" s="519"/>
      <c r="P209" s="519"/>
      <c r="Q209" s="519"/>
      <c r="R209" s="519"/>
      <c r="S209" s="519"/>
      <c r="T209" s="399"/>
      <c r="U209" s="519"/>
      <c r="V209" s="519"/>
      <c r="W209" s="519"/>
      <c r="X209" s="519"/>
      <c r="Y209" s="519"/>
      <c r="Z209" s="399"/>
      <c r="AA209" s="519"/>
      <c r="AB209" s="519"/>
      <c r="AC209" s="519"/>
      <c r="AD209" s="519"/>
      <c r="AE209" s="519"/>
      <c r="AF209" s="399"/>
      <c r="AG209" s="521"/>
      <c r="AH209" s="399"/>
      <c r="AI209" s="519"/>
      <c r="AJ209" s="399"/>
      <c r="AK209" s="519"/>
      <c r="AL209" s="399"/>
      <c r="AM209" t="s" s="518">
        <v>508</v>
      </c>
      <c r="AN209" s="560" cm="1">
        <f t="array" ref="AN209">AVERAGE(S212:S217)</f>
        <v>7065933.33333333</v>
      </c>
      <c r="AO209" s="519"/>
      <c r="AP209" s="522"/>
      <c r="AQ209" s="16"/>
      <c r="AR209" s="18"/>
    </row>
    <row r="210" ht="16" customHeight="1">
      <c r="A210" s="12"/>
      <c r="B210" s="523"/>
      <c r="C210" t="s" s="524">
        <v>513</v>
      </c>
      <c r="D210" s="525"/>
      <c r="E210" s="525"/>
      <c r="F210" s="525"/>
      <c r="G210" s="525"/>
      <c r="H210" s="525"/>
      <c r="I210" s="525"/>
      <c r="J210" s="525"/>
      <c r="K210" s="525"/>
      <c r="L210" s="525"/>
      <c r="M210" s="525"/>
      <c r="N210" s="525"/>
      <c r="O210" s="525"/>
      <c r="P210" s="525"/>
      <c r="Q210" s="525"/>
      <c r="R210" s="525"/>
      <c r="S210" s="526"/>
      <c r="T210" s="407"/>
      <c r="U210" t="s" s="524">
        <v>514</v>
      </c>
      <c r="V210" s="525"/>
      <c r="W210" s="525"/>
      <c r="X210" s="525"/>
      <c r="Y210" s="526"/>
      <c r="Z210" s="407"/>
      <c r="AA210" t="s" s="524">
        <v>515</v>
      </c>
      <c r="AB210" s="525"/>
      <c r="AC210" s="525"/>
      <c r="AD210" s="525"/>
      <c r="AE210" s="526"/>
      <c r="AF210" s="410"/>
      <c r="AG210" s="527"/>
      <c r="AH210" s="410"/>
      <c r="AI210" s="528"/>
      <c r="AJ210" s="410"/>
      <c r="AK210" s="528"/>
      <c r="AL210" s="410"/>
      <c r="AM210" s="528"/>
      <c r="AN210" s="528"/>
      <c r="AO210" s="528"/>
      <c r="AP210" s="529"/>
      <c r="AQ210" s="16"/>
      <c r="AR210" s="18"/>
    </row>
    <row r="211" ht="48" customHeight="1">
      <c r="A211" s="12"/>
      <c r="B211" t="s" s="530">
        <v>517</v>
      </c>
      <c r="C211" t="s" s="531">
        <v>518</v>
      </c>
      <c r="D211" t="s" s="531">
        <v>519</v>
      </c>
      <c r="E211" t="s" s="531">
        <v>520</v>
      </c>
      <c r="F211" t="s" s="532">
        <v>521</v>
      </c>
      <c r="G211" t="s" s="532">
        <v>522</v>
      </c>
      <c r="H211" t="s" s="532">
        <v>524</v>
      </c>
      <c r="I211" t="s" s="532">
        <v>525</v>
      </c>
      <c r="J211" t="s" s="532">
        <v>556</v>
      </c>
      <c r="K211" t="s" s="532">
        <v>587</v>
      </c>
      <c r="L211" t="s" s="532">
        <v>526</v>
      </c>
      <c r="M211" t="s" s="532">
        <v>527</v>
      </c>
      <c r="N211" t="s" s="532">
        <v>528</v>
      </c>
      <c r="O211" t="s" s="532">
        <v>529</v>
      </c>
      <c r="P211" t="s" s="532">
        <v>530</v>
      </c>
      <c r="Q211" t="s" s="532">
        <v>572</v>
      </c>
      <c r="R211" t="s" s="532">
        <v>531</v>
      </c>
      <c r="S211" t="s" s="532">
        <v>532</v>
      </c>
      <c r="T211" s="556"/>
      <c r="U211" t="s" s="532">
        <v>533</v>
      </c>
      <c r="V211" t="s" s="532">
        <v>573</v>
      </c>
      <c r="W211" t="s" s="532">
        <v>534</v>
      </c>
      <c r="X211" t="s" s="532">
        <v>574</v>
      </c>
      <c r="Y211" t="s" s="532">
        <v>535</v>
      </c>
      <c r="Z211" s="556"/>
      <c r="AA211" t="s" s="532">
        <v>536</v>
      </c>
      <c r="AB211" t="s" s="532">
        <v>537</v>
      </c>
      <c r="AC211" t="s" s="532">
        <v>538</v>
      </c>
      <c r="AD211" t="s" s="532">
        <v>575</v>
      </c>
      <c r="AE211" t="s" s="532">
        <v>539</v>
      </c>
      <c r="AF211" s="557"/>
      <c r="AG211" t="s" s="532">
        <v>576</v>
      </c>
      <c r="AH211" s="557"/>
      <c r="AI211" t="s" s="532">
        <v>577</v>
      </c>
      <c r="AJ211" s="557"/>
      <c r="AK211" t="s" s="531">
        <v>578</v>
      </c>
      <c r="AL211" s="557"/>
      <c r="AM211" t="s" s="532">
        <v>594</v>
      </c>
      <c r="AN211" t="s" s="532">
        <v>544</v>
      </c>
      <c r="AO211" s="533"/>
      <c r="AP211" s="534"/>
      <c r="AQ211" s="16"/>
      <c r="AR211" s="18"/>
    </row>
    <row r="212" ht="16.5" customHeight="1">
      <c r="A212" s="12"/>
      <c r="B212" s="535">
        <v>1</v>
      </c>
      <c r="C212" s="536" cm="1">
        <f t="array" ref="C212">IF(B212&gt;0,IF(VLOOKUP(C209,'Boats Data Sheet 2026'!$C$3:$J$57,8,0)="N/A",0,VLOOKUP(C209,'Boats Data Sheet 2026'!$C$3:$J$57,8,0)),"N/A")</f>
        <v>0</v>
      </c>
      <c r="D212" s="537" cm="1">
        <f t="array" ref="D212">IF(B212&gt;7,2,IF(B212=0,"N/A",1))</f>
        <v>1</v>
      </c>
      <c r="E212" s="536" cm="1">
        <f t="array" ref="E212">_xlfn.IFERROR(SUM('Direct Costs 2026'!$C$4:$C$5)*D212,"N/A")</f>
        <v>875500</v>
      </c>
      <c r="F212" s="538" cm="1">
        <f t="array" ref="F212">_xlfn.IFERROR('Direct Costs 2026'!$C$43*B212,"N/A")</f>
        <v>6000</v>
      </c>
      <c r="G212" s="538" cm="1">
        <f t="array" ref="G212">IF(B212&gt;0,'Direct Costs 2026'!$C$25,"N/A")</f>
        <v>90000</v>
      </c>
      <c r="H212" s="538" cm="1">
        <f t="array" ref="H212">IF(B212&gt;0,'Direct Costs 2026'!$C$19+'Direct Costs 2026'!$C$18*B212,"N/A")</f>
        <v>110000</v>
      </c>
      <c r="I212" s="538" cm="1">
        <f t="array" ref="I212">IF(B212&gt;0,SUM('Direct Costs 2026'!$C$20:$C$21),"N/A")</f>
        <v>98333.3333333333</v>
      </c>
      <c r="J212" s="538">
        <v>0</v>
      </c>
      <c r="K212" s="538" cm="1">
        <f t="array" ref="K212">_xlfn.IFERROR((IF(B212&gt;0,'Direct Costs 2026'!$C$15+'Direct Costs 2026'!$C$14,"N/A")),"N/A")</f>
        <v>230000</v>
      </c>
      <c r="L212" s="538" cm="1">
        <f t="array" ref="L212">IF(B212&gt;0,'Direct Costs 2026'!$C$26,"N/A")</f>
        <v>20000</v>
      </c>
      <c r="M212" s="538" cm="1">
        <f t="array" ref="M212">IF(B212&gt;0,'Direct Costs 2026'!$C$23,"N/A")</f>
        <v>140000</v>
      </c>
      <c r="N212" s="538" cm="1">
        <f t="array" ref="N212">IF(B212&gt;0,'Direct Costs 2026'!$C$44*B212,"N/A")</f>
        <v>110000</v>
      </c>
      <c r="O212" s="538" cm="1">
        <f t="array" ref="O212">IF(B212&gt;0,_xlfn.IFERROR(VLOOKUP(C209,'Boats Data Sheet 2026'!$C$3:$I$57,7,0)*'Direct Costs 2026'!$C$36,"N/A"),"N/A")</f>
        <v>3325000</v>
      </c>
      <c r="P212" s="538" cm="1">
        <f t="array" ref="P212">IF(B212&gt;0,IF(OR(VLOOKUP(C209,'Boats Data Sheet 2026'!$C$3:$F$57,4,0)="Own",VLOOKUP(C209,'Boats Data Sheet 2026'!$C$3:$F$57,4,0)="Management"),('Direct Costs 2026'!$C$37+'Direct Costs 2026'!$C$39),"N/A"),"N/A")</f>
        <v>1112400</v>
      </c>
      <c r="Q212" s="538" cm="1">
        <f t="array" ref="Q212">_xlfn.IFERROR(IF(B212&gt;5,IF(B212&gt;11,IF(B212&gt;15,4,3),2),IF(B212=0,"N/A",1))*SUM('Direct Costs 2026'!$C$67:$C$68),"N/A")</f>
        <v>489600</v>
      </c>
      <c r="R212" s="538" cm="1">
        <f t="array" ref="R212">_xlfn.IFERROR('Direct Costs 2026'!$C$27*C212,"N/A")</f>
        <v>0</v>
      </c>
      <c r="S212" s="538" cm="1">
        <f t="array" ref="S212">_xlfn.IFERROR(C212+SUM(E212:R212),"N/A")</f>
        <v>6606833.33333333</v>
      </c>
      <c r="T212" s="424"/>
      <c r="U212" s="538" cm="1">
        <f t="array" ref="U212">IF(B212&gt;0,'Allocation OH and Target 2026'!$E$27,"N/A")</f>
        <v>2134447.30345641</v>
      </c>
      <c r="V212" s="538" cm="1">
        <f t="array" ref="V212">IF(B212&gt;0,'Allocation OH and Target 2026'!$E$28,"N/A")</f>
        <v>200042.323056976</v>
      </c>
      <c r="W212" s="538" cm="1">
        <f t="array" ref="W212">IF(B212&gt;0,VLOOKUP(C209,'Allocation OH and Target 2026'!$C$3:$T$23,17,0),"N/A")</f>
        <v>1045367.28479263</v>
      </c>
      <c r="X212" s="538" cm="1">
        <f t="array" ref="X212">IF(B212&gt;0,VLOOKUP(C209,'Allocation OH and Target 2026'!$C$3:$T$23,18,0),"N/A")</f>
        <v>100551.729078014</v>
      </c>
      <c r="Y212" s="538" cm="1">
        <f t="array" ref="Y212">_xlfn.IFERROR(B212*(V212+X212),"N/A")</f>
        <v>300594.05213499</v>
      </c>
      <c r="Z212" s="424"/>
      <c r="AA212" s="538" cm="1">
        <f t="array" ref="AA212">_xlfn.IFERROR(Y212+S212,"N/A")</f>
        <v>6907427.38546832</v>
      </c>
      <c r="AB212" s="538" cm="1">
        <f t="array" ref="AB212">_xlfn.IFERROR(AA212*0.5%,"N/A")</f>
        <v>34537.1369273416</v>
      </c>
      <c r="AC212" s="538" cm="1">
        <f t="array" ref="AC212">_xlfn.IFERROR(AA212*25%,"N/A")</f>
        <v>1726856.84636708</v>
      </c>
      <c r="AD212" s="539" cm="1">
        <f t="array" ref="AD212">IF(B212&gt;0,SUM(AA212:AC212),"N/A")</f>
        <v>8668821.368762741</v>
      </c>
      <c r="AE212" s="538" cm="1">
        <f t="array" ref="AE212">_xlfn.IFERROR(AD212/B212,"N/A")</f>
        <v>8668821.368762741</v>
      </c>
      <c r="AF212" s="424"/>
      <c r="AG212" t="s" s="540">
        <v>14</v>
      </c>
      <c r="AH212" s="424" cm="1">
        <f t="array" ref="AH212">IF(AG212="N/A",0,1)</f>
        <v>0</v>
      </c>
      <c r="AI212" t="s" s="541">
        <v>14</v>
      </c>
      <c r="AJ212" s="424" cm="1">
        <f t="array" ref="AJ212">IF(AI212="N/A",0,1)</f>
        <v>0</v>
      </c>
      <c r="AK212" t="str" s="558" cm="1">
        <f t="array" ref="AK212">IF(SUM($AG$120:$AG$137)*B212&lt;SUM(AA212:AB212),"NO GO","GO")</f>
        <v>NO GO</v>
      </c>
      <c r="AL212" s="424"/>
      <c r="AM212" t="s" s="541">
        <v>589</v>
      </c>
      <c r="AN212" s="561" cm="1">
        <f t="array" ref="AN212">'Allocation OH and Target 2026'!M13</f>
        <v>2256</v>
      </c>
      <c r="AO212" s="538"/>
      <c r="AP212" s="542"/>
      <c r="AQ212" s="543" cm="1">
        <f t="array" ref="AQ212">B212</f>
        <v>1</v>
      </c>
      <c r="AR212" s="18"/>
    </row>
    <row r="213" ht="16" customHeight="1">
      <c r="A213" s="12"/>
      <c r="B213" s="544" cm="1">
        <f t="array" ref="B213">IF(B212=0,0,IF(B212&lt;VLOOKUP(C209,'Boats Data Sheet 2026'!$C$3:$H$57,6,0),B212+1,0))</f>
        <v>2</v>
      </c>
      <c r="C213" s="538" cm="1">
        <f t="array" ref="C213">IF(B213&gt;0,IF(VLOOKUP(C209,'Boats Data Sheet 2026'!$C$3:$J$57,8,0)="N/A",0,VLOOKUP(C209,'Boats Data Sheet 2026'!$C$3:$J$57,8,0)),"N/A")</f>
        <v>0</v>
      </c>
      <c r="D213" s="545" cm="1">
        <f t="array" ref="D213">IF(B213&gt;7,2,IF(B213=0,"N/A",1))</f>
        <v>1</v>
      </c>
      <c r="E213" s="538" cm="1">
        <f t="array" ref="E213">_xlfn.IFERROR(SUM('Direct Costs 2026'!$C$4:$C$5)*D213,"N/A")</f>
        <v>875500</v>
      </c>
      <c r="F213" s="538" cm="1">
        <f t="array" ref="F213">_xlfn.IFERROR('Direct Costs 2026'!$C$43*B213,"N/A")</f>
        <v>12000</v>
      </c>
      <c r="G213" s="538" cm="1">
        <f t="array" ref="G213">IF(B213&gt;0,'Direct Costs 2026'!$C$25,"N/A")</f>
        <v>90000</v>
      </c>
      <c r="H213" s="538" cm="1">
        <f t="array" ref="H213">IF(B213&gt;0,'Direct Costs 2026'!$C$19+'Direct Costs 2026'!$C$18*B213,"N/A")</f>
        <v>145000</v>
      </c>
      <c r="I213" s="538" cm="1">
        <f t="array" ref="I213">IF(B213&gt;0,SUM('Direct Costs 2026'!$C$20:$C$21),"N/A")</f>
        <v>98333.3333333333</v>
      </c>
      <c r="J213" s="538">
        <v>0</v>
      </c>
      <c r="K213" s="538" cm="1">
        <f t="array" ref="K213">_xlfn.IFERROR((IF(B213&gt;0,'Direct Costs 2026'!$C$15+'Direct Costs 2026'!$C$14,"N/A")),"N/A")</f>
        <v>230000</v>
      </c>
      <c r="L213" s="538" cm="1">
        <f t="array" ref="L213">IF(B213&gt;0,'Direct Costs 2026'!$C$26,"N/A")</f>
        <v>20000</v>
      </c>
      <c r="M213" s="538" cm="1">
        <f t="array" ref="M213">IF(B213&gt;0,'Direct Costs 2026'!$C$23,"N/A")</f>
        <v>140000</v>
      </c>
      <c r="N213" s="538" cm="1">
        <f t="array" ref="N213">IF(B213&gt;0,'Direct Costs 2026'!$C$44*B213,"N/A")</f>
        <v>220000</v>
      </c>
      <c r="O213" s="538" cm="1">
        <f t="array" ref="O213">IF(B213&gt;0,_xlfn.IFERROR(VLOOKUP(C209,'Boats Data Sheet 2026'!$C$3:$I$57,7,0)*'Direct Costs 2026'!$C$36,"N/A"),"N/A")</f>
        <v>3325000</v>
      </c>
      <c r="P213" s="538" cm="1">
        <f t="array" ref="P213">IF(B213&gt;0,IF(OR(VLOOKUP(C209,'Boats Data Sheet 2026'!$C$3:$F$57,4,0)="Own",VLOOKUP(C209,'Boats Data Sheet 2026'!$C$3:$F$57,4,0)="Management"),('Direct Costs 2026'!$C$37+'Direct Costs 2026'!$C$39),"N/A"),"N/A")</f>
        <v>1112400</v>
      </c>
      <c r="Q213" s="538" cm="1">
        <f t="array" ref="Q213">_xlfn.IFERROR(IF(B213&gt;5,IF(B213&gt;11,IF(B213&gt;15,4,3),2),IF(B213=0,"N/A",1))*SUM('Direct Costs 2026'!$C$67:$C$68),"N/A")</f>
        <v>489600</v>
      </c>
      <c r="R213" s="538" cm="1">
        <f t="array" ref="R213">_xlfn.IFERROR('Direct Costs 2026'!$C$27*C213,"N/A")</f>
        <v>0</v>
      </c>
      <c r="S213" s="538" cm="1">
        <f t="array" ref="S213">_xlfn.IFERROR(C213+SUM(E213:R213),"N/A")</f>
        <v>6757833.33333333</v>
      </c>
      <c r="T213" s="424"/>
      <c r="U213" s="538" cm="1">
        <f t="array" ref="U213">IF(B213&gt;0,'Allocation OH and Target 2026'!$E$27,"N/A")</f>
        <v>2134447.30345641</v>
      </c>
      <c r="V213" s="538" cm="1">
        <f t="array" ref="V213">IF(B213&gt;0,'Allocation OH and Target 2026'!$E$28,"N/A")</f>
        <v>200042.323056976</v>
      </c>
      <c r="W213" s="538" cm="1">
        <f t="array" ref="W213">IF(B213&gt;0,VLOOKUP(C209,'Allocation OH and Target 2026'!$C$3:$T$23,17,0),"N/A")</f>
        <v>1045367.28479263</v>
      </c>
      <c r="X213" s="538" cm="1">
        <f t="array" ref="X213">IF(B213&gt;0,VLOOKUP(C209,'Allocation OH and Target 2026'!$C$3:$T$23,18,0),"N/A")</f>
        <v>100551.729078014</v>
      </c>
      <c r="Y213" s="538" cm="1">
        <f t="array" ref="Y213">_xlfn.IFERROR(B213*(V213+X213),"N/A")</f>
        <v>601188.10426998</v>
      </c>
      <c r="Z213" s="424"/>
      <c r="AA213" s="538" cm="1">
        <f t="array" ref="AA213">_xlfn.IFERROR(Y213+S213,"N/A")</f>
        <v>7359021.43760331</v>
      </c>
      <c r="AB213" s="538" cm="1">
        <f t="array" ref="AB213">_xlfn.IFERROR(AA213*0.5%,"N/A")</f>
        <v>36795.1071880166</v>
      </c>
      <c r="AC213" s="538" cm="1">
        <f t="array" ref="AC213">_xlfn.IFERROR(AA213*25%,"N/A")</f>
        <v>1839755.35940083</v>
      </c>
      <c r="AD213" s="539" cm="1">
        <f t="array" ref="AD213">IF(B213&gt;0,SUM(AA213:AC213),"N/A")</f>
        <v>9235571.904192161</v>
      </c>
      <c r="AE213" s="538" cm="1">
        <f t="array" ref="AE213">_xlfn.IFERROR(AD213/B213,"N/A")</f>
        <v>4617785.95209608</v>
      </c>
      <c r="AF213" s="424"/>
      <c r="AG213" t="str" s="546" cm="1">
        <f t="array" ref="AG213">IF(B213/VLOOKUP(C209,'Boats Data Sheet 2026'!$C$3:$H$57,6,0)&gt;VLOOKUP(C209,'Allocation OH and Target 2026'!$C$3:$J$23,8,0),IF(SUM(AH211:AH212)=0,AE213,"N/A"),"N/A")</f>
        <v>N/A</v>
      </c>
      <c r="AH213" s="424" cm="1">
        <f t="array" ref="AH213">IF(AG213="N/A",0,1)</f>
        <v>0</v>
      </c>
      <c r="AI213" t="str" s="547" cm="1">
        <f t="array" ref="AI213">IF(B213/VLOOKUP(C209,'Boats Data Sheet 2026'!$C$3:$H$57,6,0)&gt;VLOOKUP(C209,'Allocation OH and Target 2026'!$C$3:$J$23,8,0),IF(SUM(AH211:AH212)=0,S213/B213,"N/A"),"N/A")</f>
        <v>N/A</v>
      </c>
      <c r="AJ213" s="424" cm="1">
        <f t="array" ref="AJ213">IF(AI213="N/A",0,1)</f>
        <v>0</v>
      </c>
      <c r="AK213" t="str" s="527" cm="1">
        <f t="array" ref="AK213">IF(SUM($AG$120:$AG$137)*B213&lt;SUM(AA213:AB213),"NO GO","GO")</f>
        <v>NO GO</v>
      </c>
      <c r="AL213" s="424"/>
      <c r="AM213" t="s" s="562">
        <v>546</v>
      </c>
      <c r="AN213" s="538"/>
      <c r="AO213" s="538"/>
      <c r="AP213" s="542"/>
      <c r="AQ213" s="543" cm="1">
        <f t="array" ref="AQ213">B213</f>
        <v>2</v>
      </c>
      <c r="AR213" s="18"/>
    </row>
    <row r="214" ht="16" customHeight="1">
      <c r="A214" s="12"/>
      <c r="B214" s="544" cm="1">
        <f t="array" ref="B214">IF(B213=0,0,IF(B213&lt;VLOOKUP(C209,'Boats Data Sheet 2026'!$C$3:$H$57,6,0),B213+1,0))</f>
        <v>3</v>
      </c>
      <c r="C214" s="538" cm="1">
        <f t="array" ref="C214">IF(B214&gt;0,IF(VLOOKUP(C209,'Boats Data Sheet 2026'!$C$3:$J$57,8,0)="N/A",0,VLOOKUP(C209,'Boats Data Sheet 2026'!$C$3:$J$57,8,0)),"N/A")</f>
        <v>0</v>
      </c>
      <c r="D214" s="545" cm="1">
        <f t="array" ref="D214">IF(B214&gt;7,2,IF(B214=0,"N/A",1))</f>
        <v>1</v>
      </c>
      <c r="E214" s="538" cm="1">
        <f t="array" ref="E214">_xlfn.IFERROR(SUM('Direct Costs 2026'!$C$4:$C$5)*D214,"N/A")</f>
        <v>875500</v>
      </c>
      <c r="F214" s="538" cm="1">
        <f t="array" ref="F214">_xlfn.IFERROR('Direct Costs 2026'!$C$43*B214,"N/A")</f>
        <v>18000</v>
      </c>
      <c r="G214" s="538" cm="1">
        <f t="array" ref="G214">IF(B214&gt;0,'Direct Costs 2026'!$C$25,"N/A")</f>
        <v>90000</v>
      </c>
      <c r="H214" s="538" cm="1">
        <f t="array" ref="H214">IF(B214&gt;0,'Direct Costs 2026'!$C$19+'Direct Costs 2026'!$C$18*B214,"N/A")</f>
        <v>180000</v>
      </c>
      <c r="I214" s="538" cm="1">
        <f t="array" ref="I214">IF(B214&gt;0,SUM('Direct Costs 2026'!$C$20:$C$21),"N/A")</f>
        <v>98333.3333333333</v>
      </c>
      <c r="J214" s="538">
        <v>0</v>
      </c>
      <c r="K214" s="538" cm="1">
        <f t="array" ref="K214">_xlfn.IFERROR((IF(B214&gt;0,'Direct Costs 2026'!$C$15+'Direct Costs 2026'!$C$14,"N/A")),"N/A")</f>
        <v>230000</v>
      </c>
      <c r="L214" s="538" cm="1">
        <f t="array" ref="L214">IF(B214&gt;0,'Direct Costs 2026'!$C$26,"N/A")</f>
        <v>20000</v>
      </c>
      <c r="M214" s="538" cm="1">
        <f t="array" ref="M214">IF(B214&gt;0,'Direct Costs 2026'!$C$23,"N/A")</f>
        <v>140000</v>
      </c>
      <c r="N214" s="538" cm="1">
        <f t="array" ref="N214">IF(B214&gt;0,'Direct Costs 2026'!$C$44*B214,"N/A")</f>
        <v>330000</v>
      </c>
      <c r="O214" s="538" cm="1">
        <f t="array" ref="O214">IF(B214&gt;0,_xlfn.IFERROR(VLOOKUP(C209,'Boats Data Sheet 2026'!$C$3:$I$57,7,0)*'Direct Costs 2026'!$C$36,"N/A"),"N/A")</f>
        <v>3325000</v>
      </c>
      <c r="P214" s="538" cm="1">
        <f t="array" ref="P214">IF(B214&gt;0,IF(OR(VLOOKUP(C209,'Boats Data Sheet 2026'!$C$3:$F$57,4,0)="Own",VLOOKUP(C209,'Boats Data Sheet 2026'!$C$3:$F$57,4,0)="Management"),('Direct Costs 2026'!$C$37+'Direct Costs 2026'!$C$39),"N/A"),"N/A")</f>
        <v>1112400</v>
      </c>
      <c r="Q214" s="538" cm="1">
        <f t="array" ref="Q214">_xlfn.IFERROR(IF(B214&gt;5,IF(B214&gt;11,IF(B214&gt;15,4,3),2),IF(B214=0,"N/A",1))*SUM('Direct Costs 2026'!$C$67:$C$68),"N/A")</f>
        <v>489600</v>
      </c>
      <c r="R214" s="538" cm="1">
        <f t="array" ref="R214">_xlfn.IFERROR('Direct Costs 2026'!$C$27*C214,"N/A")</f>
        <v>0</v>
      </c>
      <c r="S214" s="538" cm="1">
        <f t="array" ref="S214">_xlfn.IFERROR(C214+SUM(E214:R214),"N/A")</f>
        <v>6908833.33333333</v>
      </c>
      <c r="T214" s="424"/>
      <c r="U214" s="538" cm="1">
        <f t="array" ref="U214">IF(B214&gt;0,'Allocation OH and Target 2026'!$E$27,"N/A")</f>
        <v>2134447.30345641</v>
      </c>
      <c r="V214" s="538" cm="1">
        <f t="array" ref="V214">IF(B214&gt;0,'Allocation OH and Target 2026'!$E$28,"N/A")</f>
        <v>200042.323056976</v>
      </c>
      <c r="W214" s="538" cm="1">
        <f t="array" ref="W214">IF(B214&gt;0,VLOOKUP(C209,'Allocation OH and Target 2026'!$C$3:$T$23,17,0),"N/A")</f>
        <v>1045367.28479263</v>
      </c>
      <c r="X214" s="538" cm="1">
        <f t="array" ref="X214">IF(B214&gt;0,VLOOKUP(C209,'Allocation OH and Target 2026'!$C$3:$T$23,18,0),"N/A")</f>
        <v>100551.729078014</v>
      </c>
      <c r="Y214" s="538" cm="1">
        <f t="array" ref="Y214">_xlfn.IFERROR(B214*(V214+X214),"N/A")</f>
        <v>901782.15640497</v>
      </c>
      <c r="Z214" s="424"/>
      <c r="AA214" s="538" cm="1">
        <f t="array" ref="AA214">_xlfn.IFERROR(Y214+S214,"N/A")</f>
        <v>7810615.4897383</v>
      </c>
      <c r="AB214" s="538" cm="1">
        <f t="array" ref="AB214">_xlfn.IFERROR(AA214*0.5%,"N/A")</f>
        <v>39053.0774486915</v>
      </c>
      <c r="AC214" s="538" cm="1">
        <f t="array" ref="AC214">_xlfn.IFERROR(AA214*25%,"N/A")</f>
        <v>1952653.87243458</v>
      </c>
      <c r="AD214" s="539" cm="1">
        <f t="array" ref="AD214">IF(B214&gt;0,SUM(AA214:AC214),"N/A")</f>
        <v>9802322.43962157</v>
      </c>
      <c r="AE214" s="538" cm="1">
        <f t="array" ref="AE214">_xlfn.IFERROR(AD214/B214,"N/A")</f>
        <v>3267440.81320719</v>
      </c>
      <c r="AF214" s="424"/>
      <c r="AG214" t="str" s="546" cm="1">
        <f t="array" ref="AG214">IF(B214/VLOOKUP(C209,'Boats Data Sheet 2026'!$C$3:$H$57,6,0)&gt;VLOOKUP(C209,'Allocation OH and Target 2026'!$C$3:$J$23,8,0),IF(SUM(AH211:AH213)=0,AE214,"N/A"),"N/A")</f>
        <v>N/A</v>
      </c>
      <c r="AH214" s="424" cm="1">
        <f t="array" ref="AH214">IF(AG214="N/A",0,1)</f>
        <v>0</v>
      </c>
      <c r="AI214" t="str" s="547" cm="1">
        <f t="array" ref="AI214">IF(B214/VLOOKUP(C209,'Boats Data Sheet 2026'!$C$3:$H$57,6,0)&gt;VLOOKUP(C209,'Allocation OH and Target 2026'!$C$3:$J$23,8,0),IF(SUM(AH211:AH213)=0,S214/B214,"N/A"),"N/A")</f>
        <v>N/A</v>
      </c>
      <c r="AJ214" s="424" cm="1">
        <f t="array" ref="AJ214">IF(AI214="N/A",0,1)</f>
        <v>0</v>
      </c>
      <c r="AK214" t="str" s="527" cm="1">
        <f t="array" ref="AK214">IF(SUM($AG$120:$AG$137)*B214&lt;SUM(AA214:AB214),"NO GO","GO")</f>
        <v>NO GO</v>
      </c>
      <c r="AL214" s="424"/>
      <c r="AM214" t="s" s="541">
        <v>547</v>
      </c>
      <c r="AN214" s="538" cm="1">
        <f t="array" ref="AN214">AN212*'RECOMMENDED PRICES'!$D$8</f>
        <v>3135840000</v>
      </c>
      <c r="AO214" s="538"/>
      <c r="AP214" s="542"/>
      <c r="AQ214" s="543" cm="1">
        <f t="array" ref="AQ214">B214</f>
        <v>3</v>
      </c>
      <c r="AR214" s="18"/>
    </row>
    <row r="215" ht="16" customHeight="1">
      <c r="A215" s="12"/>
      <c r="B215" s="544" cm="1">
        <f t="array" ref="B215">IF(B214=0,0,IF(B214&lt;VLOOKUP(C209,'Boats Data Sheet 2026'!$C$3:$H$57,6,0),B214+1,0))</f>
        <v>4</v>
      </c>
      <c r="C215" s="538" cm="1">
        <f t="array" ref="C215">IF(B215&gt;0,IF(VLOOKUP(C209,'Boats Data Sheet 2026'!$C$3:$J$57,8,0)="N/A",0,VLOOKUP(C209,'Boats Data Sheet 2026'!$C$3:$J$57,8,0)),"N/A")</f>
        <v>0</v>
      </c>
      <c r="D215" s="545" cm="1">
        <f t="array" ref="D215">IF(B215&gt;7,2,IF(B215=0,"N/A",1))</f>
        <v>1</v>
      </c>
      <c r="E215" s="538" cm="1">
        <f t="array" ref="E215">_xlfn.IFERROR(SUM('Direct Costs 2026'!$C$4:$C$5)*D215,"N/A")</f>
        <v>875500</v>
      </c>
      <c r="F215" s="538" cm="1">
        <f t="array" ref="F215">_xlfn.IFERROR('Direct Costs 2026'!$C$43*B215,"N/A")</f>
        <v>24000</v>
      </c>
      <c r="G215" s="538" cm="1">
        <f t="array" ref="G215">IF(B215&gt;0,'Direct Costs 2026'!$C$25,"N/A")</f>
        <v>90000</v>
      </c>
      <c r="H215" s="538" cm="1">
        <f t="array" ref="H215">IF(B215&gt;0,'Direct Costs 2026'!$C$19+'Direct Costs 2026'!$C$18*B215,"N/A")</f>
        <v>215000</v>
      </c>
      <c r="I215" s="538" cm="1">
        <f t="array" ref="I215">IF(B215&gt;0,SUM('Direct Costs 2026'!$C$20:$C$21),"N/A")</f>
        <v>98333.3333333333</v>
      </c>
      <c r="J215" s="538">
        <v>0</v>
      </c>
      <c r="K215" s="538" cm="1">
        <f t="array" ref="K215">_xlfn.IFERROR((IF(B215&gt;0,'Direct Costs 2026'!$C$15+'Direct Costs 2026'!$C$14,"N/A")),"N/A")</f>
        <v>230000</v>
      </c>
      <c r="L215" s="538" cm="1">
        <f t="array" ref="L215">IF(B215&gt;0,'Direct Costs 2026'!$C$26,"N/A")</f>
        <v>20000</v>
      </c>
      <c r="M215" s="538" cm="1">
        <f t="array" ref="M215">IF(B215&gt;0,'Direct Costs 2026'!$C$23,"N/A")</f>
        <v>140000</v>
      </c>
      <c r="N215" s="538" cm="1">
        <f t="array" ref="N215">IF(B215&gt;0,'Direct Costs 2026'!$C$44*B215,"N/A")</f>
        <v>440000</v>
      </c>
      <c r="O215" s="538" cm="1">
        <f t="array" ref="O215">IF(B215&gt;0,_xlfn.IFERROR(VLOOKUP(C209,'Boats Data Sheet 2026'!$C$3:$I$57,7,0)*'Direct Costs 2026'!$C$36,"N/A"),"N/A")</f>
        <v>3325000</v>
      </c>
      <c r="P215" s="538" cm="1">
        <f t="array" ref="P215">IF(B215&gt;0,IF(OR(VLOOKUP(C209,'Boats Data Sheet 2026'!$C$3:$F$57,4,0)="Own",VLOOKUP(C209,'Boats Data Sheet 2026'!$C$3:$F$57,4,0)="Management"),('Direct Costs 2026'!$C$37+'Direct Costs 2026'!$C$39),"N/A"),"N/A")</f>
        <v>1112400</v>
      </c>
      <c r="Q215" s="538" cm="1">
        <f t="array" ref="Q215">_xlfn.IFERROR(IF(B215&gt;5,IF(B215&gt;11,IF(B215&gt;15,4,3),2),IF(B215=0,"N/A",1))*SUM('Direct Costs 2026'!$C$67:$C$68),"N/A")</f>
        <v>489600</v>
      </c>
      <c r="R215" s="538" cm="1">
        <f t="array" ref="R215">_xlfn.IFERROR('Direct Costs 2026'!$C$27*C215,"N/A")</f>
        <v>0</v>
      </c>
      <c r="S215" s="538" cm="1">
        <f t="array" ref="S215">_xlfn.IFERROR(C215+SUM(E215:R215),"N/A")</f>
        <v>7059833.33333333</v>
      </c>
      <c r="T215" s="424"/>
      <c r="U215" s="538" cm="1">
        <f t="array" ref="U215">IF(B215&gt;0,'Allocation OH and Target 2026'!$E$27,"N/A")</f>
        <v>2134447.30345641</v>
      </c>
      <c r="V215" s="538" cm="1">
        <f t="array" ref="V215">IF(B215&gt;0,'Allocation OH and Target 2026'!$E$28,"N/A")</f>
        <v>200042.323056976</v>
      </c>
      <c r="W215" s="538" cm="1">
        <f t="array" ref="W215">IF(B215&gt;0,VLOOKUP(C209,'Allocation OH and Target 2026'!$C$3:$T$23,17,0),"N/A")</f>
        <v>1045367.28479263</v>
      </c>
      <c r="X215" s="538" cm="1">
        <f t="array" ref="X215">IF(B215&gt;0,VLOOKUP(C209,'Allocation OH and Target 2026'!$C$3:$T$23,18,0),"N/A")</f>
        <v>100551.729078014</v>
      </c>
      <c r="Y215" s="538" cm="1">
        <f t="array" ref="Y215">_xlfn.IFERROR(B215*(V215+X215),"N/A")</f>
        <v>1202376.20853996</v>
      </c>
      <c r="Z215" s="424"/>
      <c r="AA215" s="538" cm="1">
        <f t="array" ref="AA215">_xlfn.IFERROR(Y215+S215,"N/A")</f>
        <v>8262209.54187329</v>
      </c>
      <c r="AB215" s="538" cm="1">
        <f t="array" ref="AB215">_xlfn.IFERROR(AA215*0.5%,"N/A")</f>
        <v>41311.0477093665</v>
      </c>
      <c r="AC215" s="538" cm="1">
        <f t="array" ref="AC215">_xlfn.IFERROR(AA215*25%,"N/A")</f>
        <v>2065552.38546832</v>
      </c>
      <c r="AD215" s="539" cm="1">
        <f t="array" ref="AD215">IF(B215&gt;0,SUM(AA215:AC215),"N/A")</f>
        <v>10369072.975051</v>
      </c>
      <c r="AE215" s="538" cm="1">
        <f t="array" ref="AE215">_xlfn.IFERROR(AD215/B215,"N/A")</f>
        <v>2592268.24376275</v>
      </c>
      <c r="AF215" s="424"/>
      <c r="AG215" t="str" s="546" cm="1">
        <f t="array" ref="AG215">IF(B215/VLOOKUP(C209,'Boats Data Sheet 2026'!$C$3:$H$57,6,0)&gt;VLOOKUP(C209,'Allocation OH and Target 2026'!$C$3:$J$23,8,0),IF(SUM(AH211:AH214)=0,AE215,"N/A"),"N/A")</f>
        <v>N/A</v>
      </c>
      <c r="AH215" s="424" cm="1">
        <f t="array" ref="AH215">IF(AG215="N/A",0,1)</f>
        <v>0</v>
      </c>
      <c r="AI215" t="str" s="547" cm="1">
        <f t="array" ref="AI215">IF(B215/VLOOKUP(C209,'Boats Data Sheet 2026'!$C$3:$H$57,6,0)&gt;VLOOKUP(C209,'Allocation OH and Target 2026'!$C$3:$J$23,8,0),IF(SUM(AH211:AH214)=0,S215/B215,"N/A"),"N/A")</f>
        <v>N/A</v>
      </c>
      <c r="AJ215" s="424" cm="1">
        <f t="array" ref="AJ215">IF(AI215="N/A",0,1)</f>
        <v>0</v>
      </c>
      <c r="AK215" t="str" s="527" cm="1">
        <f t="array" ref="AK215">IF(SUM($AG$120:$AG$137)*B215&lt;SUM(AA215:AB215),"NO GO","GO")</f>
        <v>NO GO</v>
      </c>
      <c r="AL215" s="424"/>
      <c r="AM215" t="s" s="562">
        <v>550</v>
      </c>
      <c r="AN215" s="538"/>
      <c r="AO215" s="538"/>
      <c r="AP215" s="542"/>
      <c r="AQ215" s="543" cm="1">
        <f t="array" ref="AQ215">B215</f>
        <v>4</v>
      </c>
      <c r="AR215" s="18"/>
    </row>
    <row r="216" ht="16" customHeight="1">
      <c r="A216" s="12"/>
      <c r="B216" s="544" cm="1">
        <f t="array" ref="B216">IF(B215=0,0,IF(B215&lt;VLOOKUP(C209,'Boats Data Sheet 2026'!$C$3:$H$57,6,0),B215+1,0))</f>
        <v>5</v>
      </c>
      <c r="C216" s="538" cm="1">
        <f t="array" ref="C216">IF(B216&gt;0,IF(VLOOKUP(C209,'Boats Data Sheet 2026'!$C$3:$J$57,8,0)="N/A",0,VLOOKUP(C209,'Boats Data Sheet 2026'!$C$3:$J$57,8,0)),"N/A")</f>
        <v>0</v>
      </c>
      <c r="D216" s="545" cm="1">
        <f t="array" ref="D216">IF(B216&gt;7,2,IF(B216=0,"N/A",1))</f>
        <v>1</v>
      </c>
      <c r="E216" s="538" cm="1">
        <f t="array" ref="E216">_xlfn.IFERROR(SUM('Direct Costs 2026'!$C$4:$C$5)*D216,"N/A")</f>
        <v>875500</v>
      </c>
      <c r="F216" s="538" cm="1">
        <f t="array" ref="F216">_xlfn.IFERROR('Direct Costs 2026'!$C$43*B216,"N/A")</f>
        <v>30000</v>
      </c>
      <c r="G216" s="538" cm="1">
        <f t="array" ref="G216">IF(B216&gt;0,'Direct Costs 2026'!$C$25,"N/A")</f>
        <v>90000</v>
      </c>
      <c r="H216" s="538" cm="1">
        <f t="array" ref="H216">IF(B216&gt;0,'Direct Costs 2026'!$C$19+'Direct Costs 2026'!$C$18*B216,"N/A")</f>
        <v>250000</v>
      </c>
      <c r="I216" s="538" cm="1">
        <f t="array" ref="I216">IF(B216&gt;0,SUM('Direct Costs 2026'!$C$20:$C$21),"N/A")</f>
        <v>98333.3333333333</v>
      </c>
      <c r="J216" s="538">
        <v>0</v>
      </c>
      <c r="K216" s="538" cm="1">
        <f t="array" ref="K216">_xlfn.IFERROR((IF(B216&gt;0,'Direct Costs 2026'!$C$15+'Direct Costs 2026'!$C$14,"N/A")),"N/A")</f>
        <v>230000</v>
      </c>
      <c r="L216" s="538" cm="1">
        <f t="array" ref="L216">IF(B216&gt;0,'Direct Costs 2026'!$C$26,"N/A")</f>
        <v>20000</v>
      </c>
      <c r="M216" s="538" cm="1">
        <f t="array" ref="M216">IF(B216&gt;0,'Direct Costs 2026'!$C$23,"N/A")</f>
        <v>140000</v>
      </c>
      <c r="N216" s="538" cm="1">
        <f t="array" ref="N216">IF(B216&gt;0,'Direct Costs 2026'!$C$44*B216,"N/A")</f>
        <v>550000</v>
      </c>
      <c r="O216" s="538" cm="1">
        <f t="array" ref="O216">IF(B216&gt;0,_xlfn.IFERROR(VLOOKUP(C209,'Boats Data Sheet 2026'!$C$3:$I$57,7,0)*'Direct Costs 2026'!$C$36,"N/A"),"N/A")</f>
        <v>3325000</v>
      </c>
      <c r="P216" s="538" cm="1">
        <f t="array" ref="P216">IF(B216&gt;0,IF(OR(VLOOKUP(C209,'Boats Data Sheet 2026'!$C$3:$F$57,4,0)="Own",VLOOKUP(C209,'Boats Data Sheet 2026'!$C$3:$F$57,4,0)="Management"),('Direct Costs 2026'!$C$37+'Direct Costs 2026'!$C$39),"N/A"),"N/A")</f>
        <v>1112400</v>
      </c>
      <c r="Q216" s="538" cm="1">
        <f t="array" ref="Q216">_xlfn.IFERROR(IF(B216&gt;5,IF(B216&gt;11,IF(B216&gt;15,4,3),2),IF(B216=0,"N/A",1))*SUM('Direct Costs 2026'!$C$67:$C$68),"N/A")</f>
        <v>489600</v>
      </c>
      <c r="R216" s="538" cm="1">
        <f t="array" ref="R216">_xlfn.IFERROR('Direct Costs 2026'!$C$27*C216,"N/A")</f>
        <v>0</v>
      </c>
      <c r="S216" s="538" cm="1">
        <f t="array" ref="S216">_xlfn.IFERROR(C216+SUM(E216:R216),"N/A")</f>
        <v>7210833.33333333</v>
      </c>
      <c r="T216" s="424"/>
      <c r="U216" s="538" cm="1">
        <f t="array" ref="U216">IF(B216&gt;0,'Allocation OH and Target 2026'!$E$27,"N/A")</f>
        <v>2134447.30345641</v>
      </c>
      <c r="V216" s="538" cm="1">
        <f t="array" ref="V216">IF(B216&gt;0,'Allocation OH and Target 2026'!$E$28,"N/A")</f>
        <v>200042.323056976</v>
      </c>
      <c r="W216" s="538" cm="1">
        <f t="array" ref="W216">IF(B216&gt;0,VLOOKUP(C209,'Allocation OH and Target 2026'!$C$3:$T$23,17,0),"N/A")</f>
        <v>1045367.28479263</v>
      </c>
      <c r="X216" s="538" cm="1">
        <f t="array" ref="X216">IF(B216&gt;0,VLOOKUP(C209,'Allocation OH and Target 2026'!$C$3:$T$23,18,0),"N/A")</f>
        <v>100551.729078014</v>
      </c>
      <c r="Y216" s="538" cm="1">
        <f t="array" ref="Y216">_xlfn.IFERROR(B216*(V216+X216),"N/A")</f>
        <v>1502970.26067495</v>
      </c>
      <c r="Z216" s="424"/>
      <c r="AA216" s="538" cm="1">
        <f t="array" ref="AA216">_xlfn.IFERROR(Y216+S216,"N/A")</f>
        <v>8713803.59400828</v>
      </c>
      <c r="AB216" s="538" cm="1">
        <f t="array" ref="AB216">_xlfn.IFERROR(AA216*0.5%,"N/A")</f>
        <v>43569.0179700414</v>
      </c>
      <c r="AC216" s="538" cm="1">
        <f t="array" ref="AC216">_xlfn.IFERROR(AA216*25%,"N/A")</f>
        <v>2178450.89850207</v>
      </c>
      <c r="AD216" s="539" cm="1">
        <f t="array" ref="AD216">IF(B216&gt;0,SUM(AA216:AC216),"N/A")</f>
        <v>10935823.5104804</v>
      </c>
      <c r="AE216" s="538" cm="1">
        <f t="array" ref="AE216">_xlfn.IFERROR(AD216/B216,"N/A")</f>
        <v>2187164.70209608</v>
      </c>
      <c r="AF216" s="424"/>
      <c r="AG216" t="str" s="546" cm="1">
        <f t="array" ref="AG216">IF(B216/VLOOKUP(C209,'Boats Data Sheet 2026'!$C$3:$H$57,6,0)&gt;VLOOKUP(C209,'Allocation OH and Target 2026'!$C$3:$J$23,8,0),IF(SUM(AH211:AH215)=0,AE216,"N/A"),"N/A")</f>
        <v>N/A</v>
      </c>
      <c r="AH216" s="424" cm="1">
        <f t="array" ref="AH216">IF(AG216="N/A",0,1)</f>
        <v>0</v>
      </c>
      <c r="AI216" t="str" s="547" cm="1">
        <f t="array" ref="AI216">IF(B216/VLOOKUP(C209,'Boats Data Sheet 2026'!$C$3:$H$57,6,0)&gt;VLOOKUP(C209,'Allocation OH and Target 2026'!$C$3:$J$23,8,0),IF(SUM(AH211:AH215)=0,S216/B216,"N/A"),"N/A")</f>
        <v>N/A</v>
      </c>
      <c r="AJ216" s="424" cm="1">
        <f t="array" ref="AJ216">IF(AI216="N/A",0,1)</f>
        <v>0</v>
      </c>
      <c r="AK216" t="str" s="527" cm="1">
        <f t="array" ref="AK216">IF(SUM($AG$120:$AG$137)*B216&lt;SUM(AA216:AB216),"NO GO","GO")</f>
        <v>NO GO</v>
      </c>
      <c r="AL216" s="424"/>
      <c r="AM216" t="s" s="541">
        <v>551</v>
      </c>
      <c r="AN216" s="563" cm="1">
        <f t="array" ref="AN216">(AA223/B223)*AN212</f>
        <v>2581176448.2832</v>
      </c>
      <c r="AO216" s="538"/>
      <c r="AP216" s="542"/>
      <c r="AQ216" s="543" cm="1">
        <f t="array" ref="AQ216">B216</f>
        <v>5</v>
      </c>
      <c r="AR216" s="18"/>
    </row>
    <row r="217" ht="16" customHeight="1">
      <c r="A217" s="12"/>
      <c r="B217" s="544" cm="1">
        <f t="array" ref="B217">IF(B216=0,0,IF(B216&lt;VLOOKUP(C209,'Boats Data Sheet 2026'!$C$3:$H$57,6,0),B216+1,0))</f>
        <v>6</v>
      </c>
      <c r="C217" s="538" cm="1">
        <f t="array" ref="C217">IF(B217&gt;0,IF(VLOOKUP(C209,'Boats Data Sheet 2026'!$C$3:$J$57,8,0)="N/A",0,VLOOKUP(C209,'Boats Data Sheet 2026'!$C$3:$J$57,8,0)),"N/A")</f>
        <v>0</v>
      </c>
      <c r="D217" s="545" cm="1">
        <f t="array" ref="D217">IF(B217&gt;7,2,IF(B217=0,"N/A",1))</f>
        <v>1</v>
      </c>
      <c r="E217" s="538" cm="1">
        <f t="array" ref="E217">_xlfn.IFERROR(SUM('Direct Costs 2026'!$C$4:$C$5)*D217,"N/A")</f>
        <v>875500</v>
      </c>
      <c r="F217" s="538" cm="1">
        <f t="array" ref="F217">_xlfn.IFERROR('Direct Costs 2026'!$C$43*B217,"N/A")</f>
        <v>36000</v>
      </c>
      <c r="G217" s="538" cm="1">
        <f t="array" ref="G217">IF(B217&gt;0,'Direct Costs 2026'!$C$25,"N/A")</f>
        <v>90000</v>
      </c>
      <c r="H217" s="538" cm="1">
        <f t="array" ref="H217">IF(B217&gt;0,'Direct Costs 2026'!$C$19+'Direct Costs 2026'!$C$18*B217,"N/A")</f>
        <v>285000</v>
      </c>
      <c r="I217" s="538" cm="1">
        <f t="array" ref="I217">IF(B217&gt;0,SUM('Direct Costs 2026'!$C$20:$C$21),"N/A")</f>
        <v>98333.3333333333</v>
      </c>
      <c r="J217" s="538">
        <v>0</v>
      </c>
      <c r="K217" s="538" cm="1">
        <f t="array" ref="K217">_xlfn.IFERROR((IF(B217&gt;0,'Direct Costs 2026'!$C$15+'Direct Costs 2026'!$C$14,"N/A")),"N/A")</f>
        <v>230000</v>
      </c>
      <c r="L217" s="538" cm="1">
        <f t="array" ref="L217">IF(B217&gt;0,'Direct Costs 2026'!$C$26,"N/A")</f>
        <v>20000</v>
      </c>
      <c r="M217" s="538" cm="1">
        <f t="array" ref="M217">IF(B217&gt;0,'Direct Costs 2026'!$C$23,"N/A")</f>
        <v>140000</v>
      </c>
      <c r="N217" s="538" cm="1">
        <f t="array" ref="N217">IF(B217&gt;0,'Direct Costs 2026'!$C$44*B217,"N/A")</f>
        <v>660000</v>
      </c>
      <c r="O217" s="538" cm="1">
        <f t="array" ref="O217">IF(B217&gt;0,_xlfn.IFERROR(VLOOKUP(C209,'Boats Data Sheet 2026'!$C$3:$I$57,7,0)*'Direct Costs 2026'!$C$36,"N/A"),"N/A")</f>
        <v>3325000</v>
      </c>
      <c r="P217" s="538" cm="1">
        <f t="array" ref="P217">IF(B217&gt;0,IF(OR(VLOOKUP(C209,'Boats Data Sheet 2026'!$C$3:$F$57,4,0)="Own",VLOOKUP(C209,'Boats Data Sheet 2026'!$C$3:$F$57,4,0)="Management"),('Direct Costs 2026'!$C$37+'Direct Costs 2026'!$C$39),"N/A"),"N/A")</f>
        <v>1112400</v>
      </c>
      <c r="Q217" s="538" cm="1">
        <f t="array" ref="Q217">_xlfn.IFERROR(IF(B217&gt;5,IF(B217&gt;11,IF(B217&gt;15,4,3),2),IF(B217=0,"N/A",1))*SUM('Direct Costs 2026'!$C$67:$C$68),"N/A")</f>
        <v>979200</v>
      </c>
      <c r="R217" s="538" cm="1">
        <f t="array" ref="R217">_xlfn.IFERROR('Direct Costs 2026'!$C$27*C217,"N/A")</f>
        <v>0</v>
      </c>
      <c r="S217" s="538" cm="1">
        <f t="array" ref="S217">_xlfn.IFERROR(C217+SUM(E217:R217),"N/A")</f>
        <v>7851433.33333333</v>
      </c>
      <c r="T217" s="424"/>
      <c r="U217" s="538" cm="1">
        <f t="array" ref="U217">IF(B217&gt;0,'Allocation OH and Target 2026'!$E$27,"N/A")</f>
        <v>2134447.30345641</v>
      </c>
      <c r="V217" s="538" cm="1">
        <f t="array" ref="V217">IF(B217&gt;0,'Allocation OH and Target 2026'!$E$28,"N/A")</f>
        <v>200042.323056976</v>
      </c>
      <c r="W217" s="538" cm="1">
        <f t="array" ref="W217">IF(B217&gt;0,VLOOKUP(C209,'Allocation OH and Target 2026'!$C$3:$T$23,17,0),"N/A")</f>
        <v>1045367.28479263</v>
      </c>
      <c r="X217" s="538" cm="1">
        <f t="array" ref="X217">IF(B217&gt;0,VLOOKUP(C209,'Allocation OH and Target 2026'!$C$3:$T$23,18,0),"N/A")</f>
        <v>100551.729078014</v>
      </c>
      <c r="Y217" s="538" cm="1">
        <f t="array" ref="Y217">_xlfn.IFERROR(B217*(V217+X217),"N/A")</f>
        <v>1803564.31280994</v>
      </c>
      <c r="Z217" s="424"/>
      <c r="AA217" s="538" cm="1">
        <f t="array" ref="AA217">_xlfn.IFERROR(Y217+S217,"N/A")</f>
        <v>9654997.646143271</v>
      </c>
      <c r="AB217" s="538" cm="1">
        <f t="array" ref="AB217">_xlfn.IFERROR(AA217*0.5%,"N/A")</f>
        <v>48274.9882307164</v>
      </c>
      <c r="AC217" s="538" cm="1">
        <f t="array" ref="AC217">_xlfn.IFERROR(AA217*25%,"N/A")</f>
        <v>2413749.41153582</v>
      </c>
      <c r="AD217" s="539" cm="1">
        <f t="array" ref="AD217">IF(B217&gt;0,SUM(AA217:AC217),"N/A")</f>
        <v>12117022.0459098</v>
      </c>
      <c r="AE217" s="538" cm="1">
        <f t="array" ref="AE217">_xlfn.IFERROR(AD217/B217,"N/A")</f>
        <v>2019503.6743183</v>
      </c>
      <c r="AF217" s="424"/>
      <c r="AG217" t="str" s="546" cm="1">
        <f t="array" ref="AG217">IF(B217/VLOOKUP(C209,'Boats Data Sheet 2026'!$C$3:$H$57,6,0)&gt;VLOOKUP(C209,'Allocation OH and Target 2026'!$C$3:$J$23,8,0),IF(SUM(AH211:AH216)=0,AE217,"N/A"),"N/A")</f>
        <v>N/A</v>
      </c>
      <c r="AH217" s="424" cm="1">
        <f t="array" ref="AH217">IF(AG217="N/A",0,1)</f>
        <v>0</v>
      </c>
      <c r="AI217" t="str" s="547" cm="1">
        <f t="array" ref="AI217">IF(B217/VLOOKUP(C209,'Boats Data Sheet 2026'!$C$3:$H$57,6,0)&gt;VLOOKUP(C209,'Allocation OH and Target 2026'!$C$3:$J$23,8,0),IF(SUM(AH211:AH216)=0,S217/B217,"N/A"),"N/A")</f>
        <v>N/A</v>
      </c>
      <c r="AJ217" s="424" cm="1">
        <f t="array" ref="AJ217">IF(AI217="N/A",0,1)</f>
        <v>0</v>
      </c>
      <c r="AK217" t="str" s="527" cm="1">
        <f t="array" ref="AK217">IF(SUM($AG$120:$AG$137)*B217&lt;SUM(AA217:AB217),"NO GO","GO")</f>
        <v>NO GO</v>
      </c>
      <c r="AL217" s="424"/>
      <c r="AM217" t="s" s="562">
        <v>394</v>
      </c>
      <c r="AN217" s="564" cm="1">
        <f t="array" ref="AN217">AN214-AN216</f>
        <v>554663551.7168</v>
      </c>
      <c r="AO217" s="538"/>
      <c r="AP217" s="542"/>
      <c r="AQ217" s="543" cm="1">
        <f t="array" ref="AQ217">B217</f>
        <v>6</v>
      </c>
      <c r="AR217" s="18"/>
    </row>
    <row r="218" ht="16" customHeight="1">
      <c r="A218" s="12"/>
      <c r="B218" s="544" cm="1">
        <f t="array" ref="B218">IF(B217=0,0,IF(B217&lt;VLOOKUP(C209,'Boats Data Sheet 2026'!$C$3:$H$57,6,0),B217+1,0))</f>
        <v>7</v>
      </c>
      <c r="C218" s="538" cm="1">
        <f t="array" ref="C218">IF(B218&gt;0,IF(VLOOKUP(C209,'Boats Data Sheet 2026'!$C$3:$J$57,8,0)="N/A",0,VLOOKUP(C209,'Boats Data Sheet 2026'!$C$3:$J$57,8,0)),"N/A")</f>
        <v>0</v>
      </c>
      <c r="D218" s="545" cm="1">
        <f t="array" ref="D218">IF(B218&gt;7,2,IF(B218=0,"N/A",1))</f>
        <v>1</v>
      </c>
      <c r="E218" s="538" cm="1">
        <f t="array" ref="E218">_xlfn.IFERROR(SUM('Direct Costs 2026'!$C$4:$C$5)*D218,"N/A")</f>
        <v>875500</v>
      </c>
      <c r="F218" s="538" cm="1">
        <f t="array" ref="F218">_xlfn.IFERROR('Direct Costs 2026'!$C$43*B218,"N/A")</f>
        <v>42000</v>
      </c>
      <c r="G218" s="538" cm="1">
        <f t="array" ref="G218">IF(B218&gt;0,'Direct Costs 2026'!$C$25,"N/A")</f>
        <v>90000</v>
      </c>
      <c r="H218" s="538" cm="1">
        <f t="array" ref="H218">IF(B218&gt;0,'Direct Costs 2026'!$C$19+'Direct Costs 2026'!$C$18*B218,"N/A")</f>
        <v>320000</v>
      </c>
      <c r="I218" s="538" cm="1">
        <f t="array" ref="I218">IF(B218&gt;0,SUM('Direct Costs 2026'!$C$20:$C$21),"N/A")</f>
        <v>98333.3333333333</v>
      </c>
      <c r="J218" s="538">
        <v>0</v>
      </c>
      <c r="K218" s="538" cm="1">
        <f t="array" ref="K218">_xlfn.IFERROR((IF(B218&gt;0,'Direct Costs 2026'!$C$15+'Direct Costs 2026'!$C$14,"N/A")),"N/A")</f>
        <v>230000</v>
      </c>
      <c r="L218" s="538" cm="1">
        <f t="array" ref="L218">IF(B218&gt;0,'Direct Costs 2026'!$C$26,"N/A")</f>
        <v>20000</v>
      </c>
      <c r="M218" s="538" cm="1">
        <f t="array" ref="M218">IF(B218&gt;0,'Direct Costs 2026'!$C$23,"N/A")</f>
        <v>140000</v>
      </c>
      <c r="N218" s="538" cm="1">
        <f t="array" ref="N218">IF(B218&gt;0,'Direct Costs 2026'!$C$44*B218,"N/A")</f>
        <v>770000</v>
      </c>
      <c r="O218" s="538" cm="1">
        <f t="array" ref="O218">IF(B218&gt;0,_xlfn.IFERROR(VLOOKUP(C209,'Boats Data Sheet 2026'!$C$3:$I$57,7,0)*'Direct Costs 2026'!$C$36,"N/A"),"N/A")</f>
        <v>3325000</v>
      </c>
      <c r="P218" s="538" cm="1">
        <f t="array" ref="P218">IF(B218&gt;0,IF(OR(VLOOKUP(C209,'Boats Data Sheet 2026'!$C$3:$F$57,4,0)="Own",VLOOKUP(C209,'Boats Data Sheet 2026'!$C$3:$F$57,4,0)="Management"),('Direct Costs 2026'!$C$37+'Direct Costs 2026'!$C$39),"N/A"),"N/A")</f>
        <v>1112400</v>
      </c>
      <c r="Q218" s="538" cm="1">
        <f t="array" ref="Q218">_xlfn.IFERROR(IF(B218&gt;5,IF(B218&gt;11,IF(B218&gt;15,4,3),2),IF(B218=0,"N/A",1))*SUM('Direct Costs 2026'!$C$67:$C$68),"N/A")</f>
        <v>979200</v>
      </c>
      <c r="R218" s="538" cm="1">
        <f t="array" ref="R218">_xlfn.IFERROR('Direct Costs 2026'!$C$27*C218,"N/A")</f>
        <v>0</v>
      </c>
      <c r="S218" s="538" cm="1">
        <f t="array" ref="S218">_xlfn.IFERROR(C218+SUM(E218:R218),"N/A")</f>
        <v>8002433.33333333</v>
      </c>
      <c r="T218" s="424"/>
      <c r="U218" s="538" cm="1">
        <f t="array" ref="U218">IF(B218&gt;0,'Allocation OH and Target 2026'!$E$27,"N/A")</f>
        <v>2134447.30345641</v>
      </c>
      <c r="V218" s="538" cm="1">
        <f t="array" ref="V218">IF(B218&gt;0,'Allocation OH and Target 2026'!$E$28,"N/A")</f>
        <v>200042.323056976</v>
      </c>
      <c r="W218" s="538" cm="1">
        <f t="array" ref="W218">IF(B218&gt;0,VLOOKUP(C209,'Allocation OH and Target 2026'!$C$3:$T$23,17,0),"N/A")</f>
        <v>1045367.28479263</v>
      </c>
      <c r="X218" s="538" cm="1">
        <f t="array" ref="X218">IF(B218&gt;0,VLOOKUP(C209,'Allocation OH and Target 2026'!$C$3:$T$23,18,0),"N/A")</f>
        <v>100551.729078014</v>
      </c>
      <c r="Y218" s="538" cm="1">
        <f t="array" ref="Y218">_xlfn.IFERROR(B218*(V218+X218),"N/A")</f>
        <v>2104158.36494493</v>
      </c>
      <c r="Z218" s="424"/>
      <c r="AA218" s="538" cm="1">
        <f t="array" ref="AA218">_xlfn.IFERROR(Y218+S218,"N/A")</f>
        <v>10106591.6982783</v>
      </c>
      <c r="AB218" s="538" cm="1">
        <f t="array" ref="AB218">_xlfn.IFERROR(AA218*0.5%,"N/A")</f>
        <v>50532.9584913915</v>
      </c>
      <c r="AC218" s="538" cm="1">
        <f t="array" ref="AC218">_xlfn.IFERROR(AA218*25%,"N/A")</f>
        <v>2526647.92456958</v>
      </c>
      <c r="AD218" s="539" cm="1">
        <f t="array" ref="AD218">IF(B218&gt;0,SUM(AA218:AC218),"N/A")</f>
        <v>12683772.5813393</v>
      </c>
      <c r="AE218" s="538" cm="1">
        <f t="array" ref="AE218">_xlfn.IFERROR(AD218/B218,"N/A")</f>
        <v>1811967.5116199</v>
      </c>
      <c r="AF218" s="424"/>
      <c r="AG218" t="str" s="546" cm="1">
        <f t="array" ref="AG218">IF(B218/VLOOKUP(C209,'Boats Data Sheet 2026'!$C$3:$H$57,6,0)&gt;VLOOKUP(C209,'Allocation OH and Target 2026'!$C$3:$J$23,8,0),IF(SUM(AH211:AH217)=0,AE218,"N/A"),"N/A")</f>
        <v>N/A</v>
      </c>
      <c r="AH218" s="424" cm="1">
        <f t="array" ref="AH218">IF(AG218="N/A",0,1)</f>
        <v>0</v>
      </c>
      <c r="AI218" t="str" s="547" cm="1">
        <f t="array" ref="AI218">IF(B218/VLOOKUP(C209,'Boats Data Sheet 2026'!$C$3:$H$57,6,0)&gt;VLOOKUP(C209,'Allocation OH and Target 2026'!$C$3:$J$23,8,0),IF(SUM(AH211:AH217)=0,S218/B218,"N/A"),"N/A")</f>
        <v>N/A</v>
      </c>
      <c r="AJ218" s="424" cm="1">
        <f t="array" ref="AJ218">IF(AI218="N/A",0,1)</f>
        <v>0</v>
      </c>
      <c r="AK218" t="str" s="527" cm="1">
        <f t="array" ref="AK218">IF(SUM($AG$120:$AG$137)*B218&lt;SUM(AA218:AB218),"NO GO","GO")</f>
        <v>GO</v>
      </c>
      <c r="AL218" s="424"/>
      <c r="AM218" t="s" s="565">
        <v>595</v>
      </c>
      <c r="AN218" s="566" cm="1">
        <f t="array" ref="AN218">AN217*37%</f>
        <v>205225514.135216</v>
      </c>
      <c r="AO218" s="538"/>
      <c r="AP218" s="542"/>
      <c r="AQ218" s="543" cm="1">
        <f t="array" ref="AQ218">B218</f>
        <v>7</v>
      </c>
      <c r="AR218" s="18"/>
    </row>
    <row r="219" ht="16" customHeight="1">
      <c r="A219" s="12"/>
      <c r="B219" s="544" cm="1">
        <f t="array" ref="B219">IF(B218=0,0,IF(B218&lt;VLOOKUP(C209,'Boats Data Sheet 2026'!$C$3:$H$57,6,0),B218+1,0))</f>
        <v>8</v>
      </c>
      <c r="C219" s="538" cm="1">
        <f t="array" ref="C219">IF(B219&gt;0,IF(VLOOKUP(C209,'Boats Data Sheet 2026'!$C$3:$J$57,8,0)="N/A",0,VLOOKUP(C209,'Boats Data Sheet 2026'!$C$3:$J$57,8,0)),"N/A")</f>
        <v>0</v>
      </c>
      <c r="D219" s="545" cm="1">
        <f t="array" ref="D219">IF(B219&gt;7,2,IF(B219=0,"N/A",1))</f>
        <v>2</v>
      </c>
      <c r="E219" s="538" cm="1">
        <f t="array" ref="E219">_xlfn.IFERROR(SUM('Direct Costs 2026'!$C$4:$C$5)*D219,"N/A")</f>
        <v>1751000</v>
      </c>
      <c r="F219" s="538" cm="1">
        <f t="array" ref="F219">_xlfn.IFERROR('Direct Costs 2026'!$C$43*B219,"N/A")</f>
        <v>48000</v>
      </c>
      <c r="G219" s="538" cm="1">
        <f t="array" ref="G219">IF(B219&gt;0,'Direct Costs 2026'!$C$25,"N/A")</f>
        <v>90000</v>
      </c>
      <c r="H219" s="538" cm="1">
        <f t="array" ref="H219">IF(B219&gt;0,'Direct Costs 2026'!$C$19+'Direct Costs 2026'!$C$18*B219,"N/A")</f>
        <v>355000</v>
      </c>
      <c r="I219" s="538" cm="1">
        <f t="array" ref="I219">IF(B219&gt;0,SUM('Direct Costs 2026'!$C$20:$C$21),"N/A")</f>
        <v>98333.3333333333</v>
      </c>
      <c r="J219" s="538">
        <v>0</v>
      </c>
      <c r="K219" s="538" cm="1">
        <f t="array" ref="K219">_xlfn.IFERROR((IF(B219&gt;0,'Direct Costs 2026'!$C$15+'Direct Costs 2026'!$C$14,"N/A")),"N/A")</f>
        <v>230000</v>
      </c>
      <c r="L219" s="538" cm="1">
        <f t="array" ref="L219">IF(B219&gt;0,'Direct Costs 2026'!$C$26,"N/A")</f>
        <v>20000</v>
      </c>
      <c r="M219" s="538" cm="1">
        <f t="array" ref="M219">IF(B219&gt;0,'Direct Costs 2026'!$C$23,"N/A")</f>
        <v>140000</v>
      </c>
      <c r="N219" s="538" cm="1">
        <f t="array" ref="N219">IF(B219&gt;0,'Direct Costs 2026'!$C$44*B219,"N/A")</f>
        <v>880000</v>
      </c>
      <c r="O219" s="538" cm="1">
        <f t="array" ref="O219">IF(B219&gt;0,_xlfn.IFERROR(VLOOKUP(C209,'Boats Data Sheet 2026'!$C$3:$I$57,7,0)*'Direct Costs 2026'!$C$36,"N/A"),"N/A")</f>
        <v>3325000</v>
      </c>
      <c r="P219" s="538" cm="1">
        <f t="array" ref="P219">IF(B219&gt;0,IF(OR(VLOOKUP(C209,'Boats Data Sheet 2026'!$C$3:$F$57,4,0)="Own",VLOOKUP(C209,'Boats Data Sheet 2026'!$C$3:$F$57,4,0)="Management"),('Direct Costs 2026'!$C$37+'Direct Costs 2026'!$C$39),"N/A"),"N/A")</f>
        <v>1112400</v>
      </c>
      <c r="Q219" s="538" cm="1">
        <f t="array" ref="Q219">_xlfn.IFERROR(IF(B219&gt;5,IF(B219&gt;11,IF(B219&gt;15,4,3),2),IF(B219=0,"N/A",1))*SUM('Direct Costs 2026'!$C$67:$C$68),"N/A")</f>
        <v>979200</v>
      </c>
      <c r="R219" s="538" cm="1">
        <f t="array" ref="R219">_xlfn.IFERROR('Direct Costs 2026'!$C$27*C219,"N/A")</f>
        <v>0</v>
      </c>
      <c r="S219" s="538" cm="1">
        <f t="array" ref="S219">_xlfn.IFERROR(C219+SUM(E219:R219),"N/A")</f>
        <v>9028933.33333333</v>
      </c>
      <c r="T219" s="424"/>
      <c r="U219" s="538" cm="1">
        <f t="array" ref="U219">IF(B219&gt;0,'Allocation OH and Target 2026'!$E$27,"N/A")</f>
        <v>2134447.30345641</v>
      </c>
      <c r="V219" s="538" cm="1">
        <f t="array" ref="V219">IF(B219&gt;0,'Allocation OH and Target 2026'!$E$28,"N/A")</f>
        <v>200042.323056976</v>
      </c>
      <c r="W219" s="538" cm="1">
        <f t="array" ref="W219">IF(B219&gt;0,VLOOKUP(C209,'Allocation OH and Target 2026'!$C$3:$T$23,17,0),"N/A")</f>
        <v>1045367.28479263</v>
      </c>
      <c r="X219" s="538" cm="1">
        <f t="array" ref="X219">IF(B219&gt;0,VLOOKUP(C209,'Allocation OH and Target 2026'!$C$3:$T$23,18,0),"N/A")</f>
        <v>100551.729078014</v>
      </c>
      <c r="Y219" s="538" cm="1">
        <f t="array" ref="Y219">_xlfn.IFERROR(B219*(V219+X219),"N/A")</f>
        <v>2404752.41707992</v>
      </c>
      <c r="Z219" s="424"/>
      <c r="AA219" s="538" cm="1">
        <f t="array" ref="AA219">_xlfn.IFERROR(Y219+S219,"N/A")</f>
        <v>11433685.7504133</v>
      </c>
      <c r="AB219" s="538" cm="1">
        <f t="array" ref="AB219">_xlfn.IFERROR(AA219*0.5%,"N/A")</f>
        <v>57168.4287520665</v>
      </c>
      <c r="AC219" s="538" cm="1">
        <f t="array" ref="AC219">_xlfn.IFERROR(AA219*25%,"N/A")</f>
        <v>2858421.43760333</v>
      </c>
      <c r="AD219" s="539" cm="1">
        <f t="array" ref="AD219">IF(B219&gt;0,SUM(AA219:AC219),"N/A")</f>
        <v>14349275.6167687</v>
      </c>
      <c r="AE219" s="538" cm="1">
        <f t="array" ref="AE219">_xlfn.IFERROR(AD219/B219,"N/A")</f>
        <v>1793659.45209609</v>
      </c>
      <c r="AF219" s="424"/>
      <c r="AG219" t="str" s="546" cm="1">
        <f t="array" ref="AG219">IF(B219/VLOOKUP(C209,'Boats Data Sheet 2026'!$C$3:$H$57,6,0)&gt;VLOOKUP(C209,'Allocation OH and Target 2026'!$C$3:$J$23,8,0),IF(SUM(AH211:AH218)=0,AE219,"N/A"),"N/A")</f>
        <v>N/A</v>
      </c>
      <c r="AH219" s="424" cm="1">
        <f t="array" ref="AH219">IF(AG219="N/A",0,1)</f>
        <v>0</v>
      </c>
      <c r="AI219" t="str" s="547" cm="1">
        <f t="array" ref="AI219">IF(B219/VLOOKUP(C209,'Boats Data Sheet 2026'!$C$3:$H$57,6,0)&gt;VLOOKUP(C209,'Allocation OH and Target 2026'!$C$3:$J$23,8,0),IF(SUM(AH211:AH218)=0,S219/B219,"N/A"),"N/A")</f>
        <v>N/A</v>
      </c>
      <c r="AJ219" s="424" cm="1">
        <f t="array" ref="AJ219">IF(AI219="N/A",0,1)</f>
        <v>0</v>
      </c>
      <c r="AK219" t="str" s="527" cm="1">
        <f t="array" ref="AK219">IF(SUM($AG$120:$AG$137)*B219&lt;SUM(AA219:AB219),"NO GO","GO")</f>
        <v>GO</v>
      </c>
      <c r="AL219" s="424"/>
      <c r="AM219" s="538"/>
      <c r="AN219" s="538"/>
      <c r="AO219" s="538"/>
      <c r="AP219" s="542"/>
      <c r="AQ219" s="543" cm="1">
        <f t="array" ref="AQ219">B219</f>
        <v>8</v>
      </c>
      <c r="AR219" s="18"/>
    </row>
    <row r="220" ht="16" customHeight="1">
      <c r="A220" s="12"/>
      <c r="B220" s="544" cm="1">
        <f t="array" ref="B220">IF(B219=0,0,IF(B219&lt;VLOOKUP(C209,'Boats Data Sheet 2026'!$C$3:$H$57,6,0),B219+1,0))</f>
        <v>9</v>
      </c>
      <c r="C220" s="538" cm="1">
        <f t="array" ref="C220">IF(B220&gt;0,IF(VLOOKUP(C209,'Boats Data Sheet 2026'!$C$3:$J$57,8,0)="N/A",0,VLOOKUP(C209,'Boats Data Sheet 2026'!$C$3:$J$57,8,0)),"N/A")</f>
        <v>0</v>
      </c>
      <c r="D220" s="545" cm="1">
        <f t="array" ref="D220">IF(B220&gt;7,2,IF(B220=0,"N/A",1))</f>
        <v>2</v>
      </c>
      <c r="E220" s="538" cm="1">
        <f t="array" ref="E220">_xlfn.IFERROR(SUM('Direct Costs 2026'!$C$4:$C$5)*D220,"N/A")</f>
        <v>1751000</v>
      </c>
      <c r="F220" s="538" cm="1">
        <f t="array" ref="F220">_xlfn.IFERROR('Direct Costs 2026'!$C$43*B220,"N/A")</f>
        <v>54000</v>
      </c>
      <c r="G220" s="538" cm="1">
        <f t="array" ref="G220">IF(B220&gt;0,'Direct Costs 2026'!$C$25,"N/A")</f>
        <v>90000</v>
      </c>
      <c r="H220" s="538" cm="1">
        <f t="array" ref="H220">IF(B220&gt;0,'Direct Costs 2026'!$C$19+'Direct Costs 2026'!$C$18*B220,"N/A")</f>
        <v>390000</v>
      </c>
      <c r="I220" s="538" cm="1">
        <f t="array" ref="I220">IF(B220&gt;0,SUM('Direct Costs 2026'!$C$20:$C$21),"N/A")</f>
        <v>98333.3333333333</v>
      </c>
      <c r="J220" s="538">
        <v>0</v>
      </c>
      <c r="K220" s="538" cm="1">
        <f t="array" ref="K220">_xlfn.IFERROR((IF(B220&gt;0,'Direct Costs 2026'!$C$15+'Direct Costs 2026'!$C$14,"N/A")),"N/A")</f>
        <v>230000</v>
      </c>
      <c r="L220" s="538" cm="1">
        <f t="array" ref="L220">IF(B220&gt;0,'Direct Costs 2026'!$C$26,"N/A")</f>
        <v>20000</v>
      </c>
      <c r="M220" s="538" cm="1">
        <f t="array" ref="M220">IF(B220&gt;0,'Direct Costs 2026'!$C$23,"N/A")</f>
        <v>140000</v>
      </c>
      <c r="N220" s="538" cm="1">
        <f t="array" ref="N220">IF(B220&gt;0,'Direct Costs 2026'!$C$44*B220,"N/A")</f>
        <v>990000</v>
      </c>
      <c r="O220" s="538" cm="1">
        <f t="array" ref="O220">IF(B220&gt;0,_xlfn.IFERROR(VLOOKUP(C209,'Boats Data Sheet 2026'!$C$3:$I$57,7,0)*'Direct Costs 2026'!$C$36,"N/A"),"N/A")</f>
        <v>3325000</v>
      </c>
      <c r="P220" s="538" cm="1">
        <f t="array" ref="P220">IF(B220&gt;0,IF(OR(VLOOKUP(C209,'Boats Data Sheet 2026'!$C$3:$F$57,4,0)="Own",VLOOKUP(C209,'Boats Data Sheet 2026'!$C$3:$F$57,4,0)="Management"),('Direct Costs 2026'!$C$37+'Direct Costs 2026'!$C$39),"N/A"),"N/A")</f>
        <v>1112400</v>
      </c>
      <c r="Q220" s="538" cm="1">
        <f t="array" ref="Q220">_xlfn.IFERROR(IF(B220&gt;5,IF(B220&gt;11,IF(B220&gt;15,4,3),2),IF(B220=0,"N/A",1))*SUM('Direct Costs 2026'!$C$67:$C$68),"N/A")</f>
        <v>979200</v>
      </c>
      <c r="R220" s="538" cm="1">
        <f t="array" ref="R220">_xlfn.IFERROR('Direct Costs 2026'!$C$27*C220,"N/A")</f>
        <v>0</v>
      </c>
      <c r="S220" s="538" cm="1">
        <f t="array" ref="S220">_xlfn.IFERROR(C220+SUM(E220:R220),"N/A")</f>
        <v>9179933.33333333</v>
      </c>
      <c r="T220" s="424"/>
      <c r="U220" s="538" cm="1">
        <f t="array" ref="U220">IF(B220&gt;0,'Allocation OH and Target 2026'!$E$27,"N/A")</f>
        <v>2134447.30345641</v>
      </c>
      <c r="V220" s="538" cm="1">
        <f t="array" ref="V220">IF(B220&gt;0,'Allocation OH and Target 2026'!$E$28,"N/A")</f>
        <v>200042.323056976</v>
      </c>
      <c r="W220" s="538" cm="1">
        <f t="array" ref="W220">IF(B220&gt;0,VLOOKUP(C209,'Allocation OH and Target 2026'!$C$3:$T$23,17,0),"N/A")</f>
        <v>1045367.28479263</v>
      </c>
      <c r="X220" s="538" cm="1">
        <f t="array" ref="X220">IF(B220&gt;0,VLOOKUP(C209,'Allocation OH and Target 2026'!$C$3:$T$23,18,0),"N/A")</f>
        <v>100551.729078014</v>
      </c>
      <c r="Y220" s="538" cm="1">
        <f t="array" ref="Y220">_xlfn.IFERROR(B220*(V220+X220),"N/A")</f>
        <v>2705346.46921491</v>
      </c>
      <c r="Z220" s="424"/>
      <c r="AA220" s="538" cm="1">
        <f t="array" ref="AA220">_xlfn.IFERROR(Y220+S220,"N/A")</f>
        <v>11885279.8025482</v>
      </c>
      <c r="AB220" s="538" cm="1">
        <f t="array" ref="AB220">_xlfn.IFERROR(AA220*0.5%,"N/A")</f>
        <v>59426.399012741</v>
      </c>
      <c r="AC220" s="538" cm="1">
        <f t="array" ref="AC220">_xlfn.IFERROR(AA220*25%,"N/A")</f>
        <v>2971319.95063705</v>
      </c>
      <c r="AD220" s="539" cm="1">
        <f t="array" ref="AD220">IF(B220&gt;0,SUM(AA220:AC220),"N/A")</f>
        <v>14916026.152198</v>
      </c>
      <c r="AE220" s="538" cm="1">
        <f t="array" ref="AE220">_xlfn.IFERROR(AD220/B220,"N/A")</f>
        <v>1657336.23913311</v>
      </c>
      <c r="AF220" s="424"/>
      <c r="AG220" t="str" s="546" cm="1">
        <f t="array" ref="AG220">IF(B220/VLOOKUP(C209,'Boats Data Sheet 2026'!$C$3:$H$57,6,0)&gt;VLOOKUP(C209,'Allocation OH and Target 2026'!$C$3:$J$23,8,0),IF(SUM(AH211:AH219)=0,AE220,"N/A"),"N/A")</f>
        <v>N/A</v>
      </c>
      <c r="AH220" s="424" cm="1">
        <f t="array" ref="AH220">IF(AG220="N/A",0,1)</f>
        <v>0</v>
      </c>
      <c r="AI220" t="str" s="547" cm="1">
        <f t="array" ref="AI220">IF(B220/VLOOKUP(C209,'Boats Data Sheet 2026'!$C$3:$H$57,6,0)&gt;VLOOKUP(C209,'Allocation OH and Target 2026'!$C$3:$J$23,8,0),IF(SUM(AH211:AH219)=0,S220/B220,"N/A"),"N/A")</f>
        <v>N/A</v>
      </c>
      <c r="AJ220" s="424" cm="1">
        <f t="array" ref="AJ220">IF(AI220="N/A",0,1)</f>
        <v>0</v>
      </c>
      <c r="AK220" t="str" s="527" cm="1">
        <f t="array" ref="AK220">IF(SUM($AG$120:$AG$137)*B220&lt;SUM(AA220:AB220),"NO GO","GO")</f>
        <v>GO</v>
      </c>
      <c r="AL220" s="424"/>
      <c r="AM220" s="538"/>
      <c r="AN220" s="538"/>
      <c r="AO220" s="538"/>
      <c r="AP220" s="542"/>
      <c r="AQ220" s="543" cm="1">
        <f t="array" ref="AQ220">B220</f>
        <v>9</v>
      </c>
      <c r="AR220" s="18"/>
    </row>
    <row r="221" ht="16" customHeight="1">
      <c r="A221" s="12"/>
      <c r="B221" s="544" cm="1">
        <f t="array" ref="B221">IF(B220=0,0,IF(B220&lt;VLOOKUP(C209,'Boats Data Sheet 2026'!$C$3:$H$57,6,0),B220+1,0))</f>
        <v>10</v>
      </c>
      <c r="C221" s="538" cm="1">
        <f t="array" ref="C221">IF(B221&gt;0,IF(VLOOKUP(C209,'Boats Data Sheet 2026'!$C$3:$J$57,8,0)="N/A",0,VLOOKUP(C209,'Boats Data Sheet 2026'!$C$3:$J$57,8,0)),"N/A")</f>
        <v>0</v>
      </c>
      <c r="D221" s="545" cm="1">
        <f t="array" ref="D221">IF(B221&gt;7,2,IF(B221=0,"N/A",1))</f>
        <v>2</v>
      </c>
      <c r="E221" s="538" cm="1">
        <f t="array" ref="E221">_xlfn.IFERROR(SUM('Direct Costs 2026'!$C$4:$C$5)*D221,"N/A")</f>
        <v>1751000</v>
      </c>
      <c r="F221" s="538" cm="1">
        <f t="array" ref="F221">_xlfn.IFERROR('Direct Costs 2026'!$C$43*B221,"N/A")</f>
        <v>60000</v>
      </c>
      <c r="G221" s="538" cm="1">
        <f t="array" ref="G221">IF(B221&gt;0,'Direct Costs 2026'!$C$25,"N/A")</f>
        <v>90000</v>
      </c>
      <c r="H221" s="538" cm="1">
        <f t="array" ref="H221">IF(B221&gt;0,'Direct Costs 2026'!$C$19+'Direct Costs 2026'!$C$18*B221,"N/A")</f>
        <v>425000</v>
      </c>
      <c r="I221" s="538" cm="1">
        <f t="array" ref="I221">IF(B221&gt;0,SUM('Direct Costs 2026'!$C$20:$C$21),"N/A")</f>
        <v>98333.3333333333</v>
      </c>
      <c r="J221" s="538">
        <v>0</v>
      </c>
      <c r="K221" s="538" cm="1">
        <f t="array" ref="K221">_xlfn.IFERROR((IF(B221&gt;0,'Direct Costs 2026'!$C$15+'Direct Costs 2026'!$C$14,"N/A")),"N/A")</f>
        <v>230000</v>
      </c>
      <c r="L221" s="538" cm="1">
        <f t="array" ref="L221">IF(B221&gt;0,'Direct Costs 2026'!$C$26,"N/A")</f>
        <v>20000</v>
      </c>
      <c r="M221" s="538" cm="1">
        <f t="array" ref="M221">IF(B221&gt;0,'Direct Costs 2026'!$C$23,"N/A")</f>
        <v>140000</v>
      </c>
      <c r="N221" s="538" cm="1">
        <f t="array" ref="N221">IF(B221&gt;0,'Direct Costs 2026'!$C$44*B221,"N/A")</f>
        <v>1100000</v>
      </c>
      <c r="O221" s="538" cm="1">
        <f t="array" ref="O221">IF(B221&gt;0,_xlfn.IFERROR(VLOOKUP(C209,'Boats Data Sheet 2026'!$C$3:$I$57,7,0)*'Direct Costs 2026'!$C$36,"N/A"),"N/A")</f>
        <v>3325000</v>
      </c>
      <c r="P221" s="538" cm="1">
        <f t="array" ref="P221">IF(B221&gt;0,IF(OR(VLOOKUP(C209,'Boats Data Sheet 2026'!$C$3:$F$57,4,0)="Own",VLOOKUP(C209,'Boats Data Sheet 2026'!$C$3:$F$57,4,0)="Management"),('Direct Costs 2026'!$C$37+'Direct Costs 2026'!$C$39),"N/A"),"N/A")</f>
        <v>1112400</v>
      </c>
      <c r="Q221" s="538" cm="1">
        <f t="array" ref="Q221">_xlfn.IFERROR(IF(B221&gt;5,IF(B221&gt;11,IF(B221&gt;15,4,3),2),IF(B221=0,"N/A",1))*SUM('Direct Costs 2026'!$C$67:$C$68),"N/A")</f>
        <v>979200</v>
      </c>
      <c r="R221" s="538" cm="1">
        <f t="array" ref="R221">_xlfn.IFERROR('Direct Costs 2026'!$C$27*C221,"N/A")</f>
        <v>0</v>
      </c>
      <c r="S221" s="538" cm="1">
        <f t="array" ref="S221">_xlfn.IFERROR(C221+SUM(E221:R221),"N/A")</f>
        <v>9330933.33333333</v>
      </c>
      <c r="T221" s="424"/>
      <c r="U221" s="538" cm="1">
        <f t="array" ref="U221">IF(B221&gt;0,'Allocation OH and Target 2026'!$E$27,"N/A")</f>
        <v>2134447.30345641</v>
      </c>
      <c r="V221" s="538" cm="1">
        <f t="array" ref="V221">IF(B221&gt;0,'Allocation OH and Target 2026'!$E$28,"N/A")</f>
        <v>200042.323056976</v>
      </c>
      <c r="W221" s="538" cm="1">
        <f t="array" ref="W221">IF(B221&gt;0,VLOOKUP(C209,'Allocation OH and Target 2026'!$C$3:$T$23,17,0),"N/A")</f>
        <v>1045367.28479263</v>
      </c>
      <c r="X221" s="538" cm="1">
        <f t="array" ref="X221">IF(B221&gt;0,VLOOKUP(C209,'Allocation OH and Target 2026'!$C$3:$T$23,18,0),"N/A")</f>
        <v>100551.729078014</v>
      </c>
      <c r="Y221" s="538" cm="1">
        <f t="array" ref="Y221">_xlfn.IFERROR(B221*(V221+X221),"N/A")</f>
        <v>3005940.5213499</v>
      </c>
      <c r="Z221" s="424"/>
      <c r="AA221" s="538" cm="1">
        <f t="array" ref="AA221">_xlfn.IFERROR(Y221+S221,"N/A")</f>
        <v>12336873.8546832</v>
      </c>
      <c r="AB221" s="538" cm="1">
        <f t="array" ref="AB221">_xlfn.IFERROR(AA221*0.5%,"N/A")</f>
        <v>61684.369273416</v>
      </c>
      <c r="AC221" s="538" cm="1">
        <f t="array" ref="AC221">_xlfn.IFERROR(AA221*25%,"N/A")</f>
        <v>3084218.4636708</v>
      </c>
      <c r="AD221" s="539" cm="1">
        <f t="array" ref="AD221">IF(B221&gt;0,SUM(AA221:AC221),"N/A")</f>
        <v>15482776.6876274</v>
      </c>
      <c r="AE221" s="538" cm="1">
        <f t="array" ref="AE221">_xlfn.IFERROR(AD221/B221,"N/A")</f>
        <v>1548277.66876274</v>
      </c>
      <c r="AF221" s="424"/>
      <c r="AG221" t="str" s="546" cm="1">
        <f t="array" ref="AG221">IF(B221/VLOOKUP(C209,'Boats Data Sheet 2026'!$C$3:$H$57,6,0)&gt;VLOOKUP(C209,'Allocation OH and Target 2026'!$C$3:$J$23,8,0),IF(SUM(AH211:AH220)=0,AE221,"N/A"),"N/A")</f>
        <v>N/A</v>
      </c>
      <c r="AH221" s="424" cm="1">
        <f t="array" ref="AH221">IF(AG221="N/A",0,1)</f>
        <v>0</v>
      </c>
      <c r="AI221" t="str" s="547" cm="1">
        <f t="array" ref="AI221">IF(B221/VLOOKUP(C209,'Boats Data Sheet 2026'!$C$3:$H$57,6,0)&gt;VLOOKUP(C209,'Allocation OH and Target 2026'!$C$3:$J$23,8,0),IF(SUM(AH211:AH220)=0,S221/B221,"N/A"),"N/A")</f>
        <v>N/A</v>
      </c>
      <c r="AJ221" s="424" cm="1">
        <f t="array" ref="AJ221">IF(AI221="N/A",0,1)</f>
        <v>0</v>
      </c>
      <c r="AK221" t="str" s="527" cm="1">
        <f t="array" ref="AK221">IF(SUM($AG$120:$AG$137)*B221&lt;SUM(AA221:AB221),"NO GO","GO")</f>
        <v>GO</v>
      </c>
      <c r="AL221" s="424"/>
      <c r="AM221" s="538"/>
      <c r="AN221" s="538"/>
      <c r="AO221" s="538"/>
      <c r="AP221" s="542"/>
      <c r="AQ221" s="543" cm="1">
        <f t="array" ref="AQ221">B221</f>
        <v>10</v>
      </c>
      <c r="AR221" s="18"/>
    </row>
    <row r="222" ht="16" customHeight="1">
      <c r="A222" s="12"/>
      <c r="B222" s="544" cm="1">
        <f t="array" ref="B222">IF(B221=0,0,IF(B221&lt;VLOOKUP(C209,'Boats Data Sheet 2026'!$C$3:$H$57,6,0),B221+1,0))</f>
        <v>11</v>
      </c>
      <c r="C222" s="538" cm="1">
        <f t="array" ref="C222">IF(B222&gt;0,IF(VLOOKUP(C209,'Boats Data Sheet 2026'!$C$3:$J$57,8,0)="N/A",0,VLOOKUP(C209,'Boats Data Sheet 2026'!$C$3:$J$57,8,0)),"N/A")</f>
        <v>0</v>
      </c>
      <c r="D222" s="545" cm="1">
        <f t="array" ref="D222">IF(B222&gt;7,2,IF(B222=0,"N/A",1))</f>
        <v>2</v>
      </c>
      <c r="E222" s="538" cm="1">
        <f t="array" ref="E222">_xlfn.IFERROR(SUM('Direct Costs 2026'!$C$4:$C$5)*D222,"N/A")</f>
        <v>1751000</v>
      </c>
      <c r="F222" s="538" cm="1">
        <f t="array" ref="F222">_xlfn.IFERROR('Direct Costs 2026'!$C$43*B222,"N/A")</f>
        <v>66000</v>
      </c>
      <c r="G222" s="538" cm="1">
        <f t="array" ref="G222">IF(B222&gt;0,'Direct Costs 2026'!$C$25,"N/A")</f>
        <v>90000</v>
      </c>
      <c r="H222" s="538" cm="1">
        <f t="array" ref="H222">IF(B222&gt;0,'Direct Costs 2026'!$C$19+'Direct Costs 2026'!$C$18*B222,"N/A")</f>
        <v>460000</v>
      </c>
      <c r="I222" s="538" cm="1">
        <f t="array" ref="I222">IF(B222&gt;0,SUM('Direct Costs 2026'!$C$20:$C$21),"N/A")</f>
        <v>98333.3333333333</v>
      </c>
      <c r="J222" s="538">
        <v>0</v>
      </c>
      <c r="K222" s="538" cm="1">
        <f t="array" ref="K222">_xlfn.IFERROR((IF(B222&gt;0,'Direct Costs 2026'!$C$15+'Direct Costs 2026'!$C$14,"N/A")),"N/A")</f>
        <v>230000</v>
      </c>
      <c r="L222" s="538" cm="1">
        <f t="array" ref="L222">IF(B222&gt;0,'Direct Costs 2026'!$C$26,"N/A")</f>
        <v>20000</v>
      </c>
      <c r="M222" s="538" cm="1">
        <f t="array" ref="M222">IF(B222&gt;0,'Direct Costs 2026'!$C$23,"N/A")</f>
        <v>140000</v>
      </c>
      <c r="N222" s="538" cm="1">
        <f t="array" ref="N222">IF(B222&gt;0,'Direct Costs 2026'!$C$44*B222,"N/A")</f>
        <v>1210000</v>
      </c>
      <c r="O222" s="538" cm="1">
        <f t="array" ref="O222">IF(B222&gt;0,_xlfn.IFERROR(VLOOKUP(C209,'Boats Data Sheet 2026'!$C$3:$I$57,7,0)*'Direct Costs 2026'!$C$36,"N/A"),"N/A")</f>
        <v>3325000</v>
      </c>
      <c r="P222" s="538" cm="1">
        <f t="array" ref="P222">IF(B222&gt;0,IF(OR(VLOOKUP(C209,'Boats Data Sheet 2026'!$C$3:$F$57,4,0)="Own",VLOOKUP(C209,'Boats Data Sheet 2026'!$C$3:$F$57,4,0)="Management"),('Direct Costs 2026'!$C$37+'Direct Costs 2026'!$C$39),"N/A"),"N/A")</f>
        <v>1112400</v>
      </c>
      <c r="Q222" s="538" cm="1">
        <f t="array" ref="Q222">_xlfn.IFERROR(IF(B222&gt;5,IF(B222&gt;11,IF(B222&gt;15,4,3),2),IF(B222=0,"N/A",1))*SUM('Direct Costs 2026'!$C$67:$C$68),"N/A")</f>
        <v>979200</v>
      </c>
      <c r="R222" s="538" cm="1">
        <f t="array" ref="R222">_xlfn.IFERROR('Direct Costs 2026'!$C$27*C222,"N/A")</f>
        <v>0</v>
      </c>
      <c r="S222" s="538" cm="1">
        <f t="array" ref="S222">_xlfn.IFERROR(C222+SUM(E222:R222),"N/A")</f>
        <v>9481933.33333333</v>
      </c>
      <c r="T222" s="424"/>
      <c r="U222" s="538" cm="1">
        <f t="array" ref="U222">IF(B222&gt;0,'Allocation OH and Target 2026'!$E$27,"N/A")</f>
        <v>2134447.30345641</v>
      </c>
      <c r="V222" s="538" cm="1">
        <f t="array" ref="V222">IF(B222&gt;0,'Allocation OH and Target 2026'!$E$28,"N/A")</f>
        <v>200042.323056976</v>
      </c>
      <c r="W222" s="538" cm="1">
        <f t="array" ref="W222">IF(B222&gt;0,VLOOKUP(C209,'Allocation OH and Target 2026'!$C$3:$T$23,17,0),"N/A")</f>
        <v>1045367.28479263</v>
      </c>
      <c r="X222" s="538" cm="1">
        <f t="array" ref="X222">IF(B222&gt;0,VLOOKUP(C209,'Allocation OH and Target 2026'!$C$3:$T$23,18,0),"N/A")</f>
        <v>100551.729078014</v>
      </c>
      <c r="Y222" s="538" cm="1">
        <f t="array" ref="Y222">_xlfn.IFERROR(B222*(V222+X222),"N/A")</f>
        <v>3306534.57348489</v>
      </c>
      <c r="Z222" s="424"/>
      <c r="AA222" s="538" cm="1">
        <f t="array" ref="AA222">_xlfn.IFERROR(Y222+S222,"N/A")</f>
        <v>12788467.9068182</v>
      </c>
      <c r="AB222" s="538" cm="1">
        <f t="array" ref="AB222">_xlfn.IFERROR(AA222*0.5%,"N/A")</f>
        <v>63942.339534091</v>
      </c>
      <c r="AC222" s="538" cm="1">
        <f t="array" ref="AC222">_xlfn.IFERROR(AA222*25%,"N/A")</f>
        <v>3197116.97670455</v>
      </c>
      <c r="AD222" s="539" cm="1">
        <f t="array" ref="AD222">IF(B222&gt;0,SUM(AA222:AC222),"N/A")</f>
        <v>16049527.2230568</v>
      </c>
      <c r="AE222" s="538" cm="1">
        <f t="array" ref="AE222">_xlfn.IFERROR(AD222/B222,"N/A")</f>
        <v>1459047.9293688</v>
      </c>
      <c r="AF222" s="424"/>
      <c r="AG222" s="539" cm="1">
        <f t="array" ref="AG222">IF(B222/VLOOKUP(C209,'Boats Data Sheet 2026'!$C$3:$H$57,6,0)&gt;VLOOKUP(C209,'Allocation OH and Target 2026'!$C$3:$J$23,8,0),IF(SUM(AH211:AH221)=0,AE222,"N/A"),"N/A")</f>
        <v>1459047.9293688</v>
      </c>
      <c r="AH222" s="424" cm="1">
        <f t="array" ref="AH222">IF(AG222="N/A",0,1)</f>
        <v>1</v>
      </c>
      <c r="AI222" s="538" cm="1">
        <f t="array" ref="AI222">IF(B222/VLOOKUP(C209,'Boats Data Sheet 2026'!$C$3:$H$57,6,0)&gt;VLOOKUP(C209,'Allocation OH and Target 2026'!$C$3:$J$23,8,0),IF(SUM(AH211:AH221)=0,S222/B222,"N/A"),"N/A")</f>
        <v>861993.939393939</v>
      </c>
      <c r="AJ222" s="424" cm="1">
        <f t="array" ref="AJ222">IF(AI222="N/A",0,1)</f>
        <v>1</v>
      </c>
      <c r="AK222" t="str" s="527" cm="1">
        <f t="array" ref="AK222">IF(SUM($AG$120:$AG$137)*B222&lt;SUM(AA222:AB222),"NO GO","GO")</f>
        <v>GO</v>
      </c>
      <c r="AL222" s="424"/>
      <c r="AM222" s="538"/>
      <c r="AN222" s="538"/>
      <c r="AO222" s="538"/>
      <c r="AP222" s="542"/>
      <c r="AQ222" s="543" cm="1">
        <f t="array" ref="AQ222">B222</f>
        <v>11</v>
      </c>
      <c r="AR222" s="18"/>
    </row>
    <row r="223" ht="16" customHeight="1">
      <c r="A223" s="12"/>
      <c r="B223" s="544" cm="1">
        <f t="array" ref="B223">IF(B222=0,0,IF(B222&lt;VLOOKUP(C209,'Boats Data Sheet 2026'!$C$3:$H$57,6,0),B222+1,0))</f>
        <v>12</v>
      </c>
      <c r="C223" s="538" cm="1">
        <f t="array" ref="C223">IF(B223&gt;0,IF(VLOOKUP(C209,'Boats Data Sheet 2026'!$C$3:$J$57,8,0)="N/A",0,VLOOKUP(C209,'Boats Data Sheet 2026'!$C$3:$J$57,8,0)),"N/A")</f>
        <v>0</v>
      </c>
      <c r="D223" s="545" cm="1">
        <f t="array" ref="D223">IF(B223&gt;7,2,IF(B223=0,"N/A",1))</f>
        <v>2</v>
      </c>
      <c r="E223" s="538" cm="1">
        <f t="array" ref="E223">_xlfn.IFERROR(SUM('Direct Costs 2026'!$C$4:$C$5)*D223,"N/A")</f>
        <v>1751000</v>
      </c>
      <c r="F223" s="538" cm="1">
        <f t="array" ref="F223">_xlfn.IFERROR('Direct Costs 2026'!$C$43*B223,"N/A")</f>
        <v>72000</v>
      </c>
      <c r="G223" s="538" cm="1">
        <f t="array" ref="G223">IF(B223&gt;0,'Direct Costs 2026'!$C$25,"N/A")</f>
        <v>90000</v>
      </c>
      <c r="H223" s="538" cm="1">
        <f t="array" ref="H223">IF(B223&gt;0,'Direct Costs 2026'!$C$19+'Direct Costs 2026'!$C$18*B223,"N/A")</f>
        <v>495000</v>
      </c>
      <c r="I223" s="538" cm="1">
        <f t="array" ref="I223">IF(B223&gt;0,SUM('Direct Costs 2026'!$C$20:$C$21),"N/A")</f>
        <v>98333.3333333333</v>
      </c>
      <c r="J223" s="538">
        <v>0</v>
      </c>
      <c r="K223" s="538" cm="1">
        <f t="array" ref="K223">_xlfn.IFERROR((IF(B223&gt;0,'Direct Costs 2026'!$C$15+'Direct Costs 2026'!$C$14,"N/A")),"N/A")</f>
        <v>230000</v>
      </c>
      <c r="L223" s="538" cm="1">
        <f t="array" ref="L223">IF(B223&gt;0,'Direct Costs 2026'!$C$26,"N/A")</f>
        <v>20000</v>
      </c>
      <c r="M223" s="538" cm="1">
        <f t="array" ref="M223">IF(B223&gt;0,'Direct Costs 2026'!$C$23,"N/A")</f>
        <v>140000</v>
      </c>
      <c r="N223" s="538" cm="1">
        <f t="array" ref="N223">IF(B223&gt;0,'Direct Costs 2026'!$C$44*B223,"N/A")</f>
        <v>1320000</v>
      </c>
      <c r="O223" s="538" cm="1">
        <f t="array" ref="O223">IF(B223&gt;0,_xlfn.IFERROR(VLOOKUP(C209,'Boats Data Sheet 2026'!$C$3:$I$57,7,0)*'Direct Costs 2026'!$C$36,"N/A"),"N/A")</f>
        <v>3325000</v>
      </c>
      <c r="P223" s="538" cm="1">
        <f t="array" ref="P223">IF(B223&gt;0,IF(OR(VLOOKUP(C209,'Boats Data Sheet 2026'!$C$3:$F$57,4,0)="Own",VLOOKUP(C209,'Boats Data Sheet 2026'!$C$3:$F$57,4,0)="Management"),('Direct Costs 2026'!$C$37+'Direct Costs 2026'!$C$39),"N/A"),"N/A")</f>
        <v>1112400</v>
      </c>
      <c r="Q223" s="538" cm="1">
        <f t="array" ref="Q223">_xlfn.IFERROR(IF(B223&gt;5,IF(B223&gt;11,IF(B223&gt;15,4,3),2),IF(B223=0,"N/A",1))*SUM('Direct Costs 2026'!$C$67:$C$68),"N/A")</f>
        <v>1468800</v>
      </c>
      <c r="R223" s="538" cm="1">
        <f t="array" ref="R223">_xlfn.IFERROR('Direct Costs 2026'!$C$27*C223,"N/A")</f>
        <v>0</v>
      </c>
      <c r="S223" s="538" cm="1">
        <f t="array" ref="S223">_xlfn.IFERROR(C223+SUM(E223:R223),"N/A")</f>
        <v>10122533.3333333</v>
      </c>
      <c r="T223" s="424"/>
      <c r="U223" s="538" cm="1">
        <f t="array" ref="U223">IF(B223&gt;0,'Allocation OH and Target 2026'!$E$27,"N/A")</f>
        <v>2134447.30345641</v>
      </c>
      <c r="V223" s="538" cm="1">
        <f t="array" ref="V223">IF(B223&gt;0,'Allocation OH and Target 2026'!$E$28,"N/A")</f>
        <v>200042.323056976</v>
      </c>
      <c r="W223" s="538" cm="1">
        <f t="array" ref="W223">IF(B223&gt;0,VLOOKUP(C209,'Allocation OH and Target 2026'!$C$3:$T$23,17,0),"N/A")</f>
        <v>1045367.28479263</v>
      </c>
      <c r="X223" s="538" cm="1">
        <f t="array" ref="X223">IF(B223&gt;0,VLOOKUP(C209,'Allocation OH and Target 2026'!$C$3:$T$23,18,0),"N/A")</f>
        <v>100551.729078014</v>
      </c>
      <c r="Y223" s="538" cm="1">
        <f t="array" ref="Y223">_xlfn.IFERROR(B223*(V223+X223),"N/A")</f>
        <v>3607128.62561988</v>
      </c>
      <c r="Z223" s="424"/>
      <c r="AA223" s="538" cm="1">
        <f t="array" ref="AA223">_xlfn.IFERROR(Y223+S223,"N/A")</f>
        <v>13729661.9589532</v>
      </c>
      <c r="AB223" s="538" cm="1">
        <f t="array" ref="AB223">_xlfn.IFERROR(AA223*0.5%,"N/A")</f>
        <v>68648.309794766</v>
      </c>
      <c r="AC223" s="538" cm="1">
        <f t="array" ref="AC223">_xlfn.IFERROR(AA223*25%,"N/A")</f>
        <v>3432415.4897383</v>
      </c>
      <c r="AD223" s="539" cm="1">
        <f t="array" ref="AD223">IF(B223&gt;0,SUM(AA223:AC223),"N/A")</f>
        <v>17230725.7584863</v>
      </c>
      <c r="AE223" s="538" cm="1">
        <f t="array" ref="AE223">_xlfn.IFERROR(AD223/B223,"N/A")</f>
        <v>1435893.81320719</v>
      </c>
      <c r="AF223" s="424"/>
      <c r="AG223" t="str" s="546" cm="1">
        <f t="array" ref="AG223">IF(B223/VLOOKUP(C209,'Boats Data Sheet 2026'!$C$3:$H$57,6,0)&gt;VLOOKUP(C209,'Allocation OH and Target 2026'!$C$3:$J$23,8,0),IF(SUM(AH211:AH222)=0,AE223,"N/A"),"N/A")</f>
        <v>N/A</v>
      </c>
      <c r="AH223" s="424" cm="1">
        <f t="array" ref="AH223">IF(AG223="N/A",0,1)</f>
        <v>0</v>
      </c>
      <c r="AI223" t="str" s="547" cm="1">
        <f t="array" ref="AI223">IF(B223/VLOOKUP(C209,'Boats Data Sheet 2026'!$C$3:$H$57,6,0)&gt;VLOOKUP(C209,'Allocation OH and Target 2026'!$C$3:$J$23,8,0),IF(SUM(AH211:AH222)=0,S223/B223,"N/A"),"N/A")</f>
        <v>N/A</v>
      </c>
      <c r="AJ223" s="424" cm="1">
        <f t="array" ref="AJ223">IF(AI223="N/A",0,1)</f>
        <v>0</v>
      </c>
      <c r="AK223" t="str" s="527" cm="1">
        <f t="array" ref="AK223">IF(SUM($AG$120:$AG$137)*B223&lt;SUM(AA223:AB223),"NO GO","GO")</f>
        <v>GO</v>
      </c>
      <c r="AL223" s="424"/>
      <c r="AM223" s="538"/>
      <c r="AN223" s="538"/>
      <c r="AO223" s="538"/>
      <c r="AP223" s="542"/>
      <c r="AQ223" s="543" cm="1">
        <f t="array" ref="AQ223">B223</f>
        <v>12</v>
      </c>
      <c r="AR223" s="18"/>
    </row>
    <row r="224" ht="16" customHeight="1">
      <c r="A224" s="12"/>
      <c r="B224" s="544" cm="1">
        <f t="array" ref="B224">IF(B223=0,0,IF(B223&lt;VLOOKUP(C209,'Boats Data Sheet 2026'!$C$3:$H$57,6,0),B223+1,0))</f>
        <v>13</v>
      </c>
      <c r="C224" s="538" cm="1">
        <f t="array" ref="C224">IF(B224&gt;0,IF(VLOOKUP(C209,'Boats Data Sheet 2026'!$C$3:$J$57,8,0)="N/A",0,VLOOKUP(C209,'Boats Data Sheet 2026'!$C$3:$J$57,8,0)),"N/A")</f>
        <v>0</v>
      </c>
      <c r="D224" s="545" cm="1">
        <f t="array" ref="D224">IF(B224&gt;7,2,IF(B224=0,"N/A",1))</f>
        <v>2</v>
      </c>
      <c r="E224" s="538" cm="1">
        <f t="array" ref="E224">_xlfn.IFERROR(SUM('Direct Costs 2026'!$C$4:$C$5)*D224,"N/A")</f>
        <v>1751000</v>
      </c>
      <c r="F224" s="538" cm="1">
        <f t="array" ref="F224">_xlfn.IFERROR('Direct Costs 2026'!$C$43*B224,"N/A")</f>
        <v>78000</v>
      </c>
      <c r="G224" s="538" cm="1">
        <f t="array" ref="G224">IF(B224&gt;0,'Direct Costs 2026'!$C$25,"N/A")</f>
        <v>90000</v>
      </c>
      <c r="H224" s="538" cm="1">
        <f t="array" ref="H224">IF(B224&gt;0,'Direct Costs 2026'!$C$19+'Direct Costs 2026'!$C$18*B224,"N/A")</f>
        <v>530000</v>
      </c>
      <c r="I224" s="538" cm="1">
        <f t="array" ref="I224">IF(B224&gt;0,SUM('Direct Costs 2026'!$C$20:$C$21),"N/A")</f>
        <v>98333.3333333333</v>
      </c>
      <c r="J224" s="538">
        <v>0</v>
      </c>
      <c r="K224" s="538" cm="1">
        <f t="array" ref="K224">_xlfn.IFERROR((IF(B224&gt;0,'Direct Costs 2026'!$C$15+'Direct Costs 2026'!$C$14,"N/A")),"N/A")</f>
        <v>230000</v>
      </c>
      <c r="L224" s="538" cm="1">
        <f t="array" ref="L224">IF(B224&gt;0,'Direct Costs 2026'!$C$26,"N/A")</f>
        <v>20000</v>
      </c>
      <c r="M224" s="538" cm="1">
        <f t="array" ref="M224">IF(B224&gt;0,'Direct Costs 2026'!$C$23,"N/A")</f>
        <v>140000</v>
      </c>
      <c r="N224" s="538" cm="1">
        <f t="array" ref="N224">IF(B224&gt;0,'Direct Costs 2026'!$C$44*B224,"N/A")</f>
        <v>1430000</v>
      </c>
      <c r="O224" s="538" cm="1">
        <f t="array" ref="O224">IF(B224&gt;0,_xlfn.IFERROR(VLOOKUP(C209,'Boats Data Sheet 2026'!$C$3:$I$57,7,0)*'Direct Costs 2026'!$C$36,"N/A"),"N/A")</f>
        <v>3325000</v>
      </c>
      <c r="P224" s="538" cm="1">
        <f t="array" ref="P224">IF(B224&gt;0,IF(OR(VLOOKUP(C209,'Boats Data Sheet 2026'!$C$3:$F$57,4,0)="Own",VLOOKUP(C209,'Boats Data Sheet 2026'!$C$3:$F$57,4,0)="Management"),('Direct Costs 2026'!$C$37+'Direct Costs 2026'!$C$39),"N/A"),"N/A")</f>
        <v>1112400</v>
      </c>
      <c r="Q224" s="538" cm="1">
        <f t="array" ref="Q224">_xlfn.IFERROR(IF(B224&gt;5,IF(B224&gt;11,IF(B224&gt;15,4,3),2),IF(B224=0,"N/A",1))*SUM('Direct Costs 2026'!$C$67:$C$68),"N/A")</f>
        <v>1468800</v>
      </c>
      <c r="R224" s="538" cm="1">
        <f t="array" ref="R224">_xlfn.IFERROR('Direct Costs 2026'!$C$27*C224,"N/A")</f>
        <v>0</v>
      </c>
      <c r="S224" s="538" cm="1">
        <f t="array" ref="S224">_xlfn.IFERROR(C224+SUM(E224:R224),"N/A")</f>
        <v>10273533.3333333</v>
      </c>
      <c r="T224" s="424"/>
      <c r="U224" s="538" cm="1">
        <f t="array" ref="U224">IF(B224&gt;0,'Allocation OH and Target 2026'!$E$27,"N/A")</f>
        <v>2134447.30345641</v>
      </c>
      <c r="V224" s="538" cm="1">
        <f t="array" ref="V224">IF(B224&gt;0,'Allocation OH and Target 2026'!$E$28,"N/A")</f>
        <v>200042.323056976</v>
      </c>
      <c r="W224" s="538" cm="1">
        <f t="array" ref="W224">IF(B224&gt;0,VLOOKUP(C209,'Allocation OH and Target 2026'!$C$3:$T$23,17,0),"N/A")</f>
        <v>1045367.28479263</v>
      </c>
      <c r="X224" s="538" cm="1">
        <f t="array" ref="X224">IF(B224&gt;0,VLOOKUP(C209,'Allocation OH and Target 2026'!$C$3:$T$23,18,0),"N/A")</f>
        <v>100551.729078014</v>
      </c>
      <c r="Y224" s="538" cm="1">
        <f t="array" ref="Y224">_xlfn.IFERROR(B224*(V224+X224),"N/A")</f>
        <v>3907722.67775487</v>
      </c>
      <c r="Z224" s="424"/>
      <c r="AA224" s="538" cm="1">
        <f t="array" ref="AA224">_xlfn.IFERROR(Y224+S224,"N/A")</f>
        <v>14181256.0110882</v>
      </c>
      <c r="AB224" s="538" cm="1">
        <f t="array" ref="AB224">_xlfn.IFERROR(AA224*0.5%,"N/A")</f>
        <v>70906.280055441006</v>
      </c>
      <c r="AC224" s="538" cm="1">
        <f t="array" ref="AC224">_xlfn.IFERROR(AA224*25%,"N/A")</f>
        <v>3545314.00277205</v>
      </c>
      <c r="AD224" s="539" cm="1">
        <f t="array" ref="AD224">IF(B224&gt;0,SUM(AA224:AC224),"N/A")</f>
        <v>17797476.2939157</v>
      </c>
      <c r="AE224" s="538" cm="1">
        <f t="array" ref="AE224">_xlfn.IFERROR(AD224/B224,"N/A")</f>
        <v>1369036.63799352</v>
      </c>
      <c r="AF224" s="424"/>
      <c r="AG224" t="str" s="546" cm="1">
        <f t="array" ref="AG224">IF(B224/VLOOKUP(C209,'Boats Data Sheet 2026'!$C$3:$H$57,6,0)&gt;VLOOKUP(C209,'Allocation OH and Target 2026'!$C$3:$J$23,8,0),IF(SUM(AH211:AH223)=0,AE224,"N/A"),"N/A")</f>
        <v>N/A</v>
      </c>
      <c r="AH224" s="424" cm="1">
        <f t="array" ref="AH224">IF(AG224="N/A",0,1)</f>
        <v>0</v>
      </c>
      <c r="AI224" t="str" s="547" cm="1">
        <f t="array" ref="AI224">IF(B224/VLOOKUP(C209,'Boats Data Sheet 2026'!$C$3:$H$57,6,0)&gt;VLOOKUP(C209,'Allocation OH and Target 2026'!$C$3:$J$23,8,0),IF(SUM(AH211:AH223)=0,S224/B224,"N/A"),"N/A")</f>
        <v>N/A</v>
      </c>
      <c r="AJ224" s="424" cm="1">
        <f t="array" ref="AJ224">IF(AI224="N/A",0,1)</f>
        <v>0</v>
      </c>
      <c r="AK224" t="str" s="527" cm="1">
        <f t="array" ref="AK224">IF(SUM($AG$120:$AG$137)*B224&lt;SUM(AA224:AB224),"NO GO","GO")</f>
        <v>GO</v>
      </c>
      <c r="AL224" s="424"/>
      <c r="AM224" s="538"/>
      <c r="AN224" s="538"/>
      <c r="AO224" s="538"/>
      <c r="AP224" s="542"/>
      <c r="AQ224" s="543" cm="1">
        <f t="array" ref="AQ224">B224</f>
        <v>13</v>
      </c>
      <c r="AR224" s="18"/>
    </row>
    <row r="225" ht="16" customHeight="1">
      <c r="A225" s="12"/>
      <c r="B225" s="544" cm="1">
        <f t="array" ref="B225">IF(B224=0,0,IF(B224&lt;VLOOKUP(C209,'Boats Data Sheet 2026'!$C$3:$H$57,6,0),B224+1,0))</f>
        <v>0</v>
      </c>
      <c r="C225" t="str" s="547" cm="1">
        <f t="array" ref="C225">IF(B225&gt;0,IF(VLOOKUP(C209,'Boats Data Sheet 2026'!$C$3:$J$57,8,0)="N/A",0,VLOOKUP(C209,'Boats Data Sheet 2026'!$C$3:$J$57,8,0)),"N/A")</f>
        <v>N/A</v>
      </c>
      <c r="D225" t="str" s="547" cm="1">
        <f t="array" ref="D225">IF(B225&gt;7,2,IF(B225=0,"N/A",1))</f>
        <v>N/A</v>
      </c>
      <c r="E225" t="str" s="547" cm="1">
        <f t="array" ref="E225">_xlfn.IFERROR(SUM('Direct Costs 2026'!$C$4:$C$5)*D225,"N/A")</f>
        <v>N/A</v>
      </c>
      <c r="F225" s="538" cm="1">
        <f t="array" ref="F225">_xlfn.IFERROR('Direct Costs 2026'!$C$43*B225,"N/A")</f>
        <v>0</v>
      </c>
      <c r="G225" t="str" s="547" cm="1">
        <f t="array" ref="G225">IF(B225&gt;0,'Direct Costs 2026'!$C$25,"N/A")</f>
        <v>N/A</v>
      </c>
      <c r="H225" t="str" s="547" cm="1">
        <f t="array" ref="H225">IF(B225&gt;0,'Direct Costs 2026'!$C$19+'Direct Costs 2026'!$C$18*B225,"N/A")</f>
        <v>N/A</v>
      </c>
      <c r="I225" t="str" s="547" cm="1">
        <f t="array" ref="I225">IF(B225&gt;0,SUM('Direct Costs 2026'!$C$20:$C$21),"N/A")</f>
        <v>N/A</v>
      </c>
      <c r="J225" s="538">
        <v>0</v>
      </c>
      <c r="K225" t="str" s="547" cm="1">
        <f t="array" ref="K225">_xlfn.IFERROR((IF(B225&gt;0,'Direct Costs 2026'!$C$15+'Direct Costs 2026'!$C$14,"N/A")),"N/A")</f>
        <v>N/A</v>
      </c>
      <c r="L225" t="str" s="547" cm="1">
        <f t="array" ref="L225">IF(B225&gt;0,'Direct Costs 2026'!$C$26,"N/A")</f>
        <v>N/A</v>
      </c>
      <c r="M225" t="str" s="547" cm="1">
        <f t="array" ref="M225">IF(B225&gt;0,'Direct Costs 2026'!$C$23,"N/A")</f>
        <v>N/A</v>
      </c>
      <c r="N225" t="str" s="547" cm="1">
        <f t="array" ref="N225">IF(B225&gt;0,'Direct Costs 2026'!$C$44*B225,"N/A")</f>
        <v>N/A</v>
      </c>
      <c r="O225" t="str" s="547" cm="1">
        <f t="array" ref="O225">IF(B225&gt;0,_xlfn.IFERROR(VLOOKUP(C209,'Boats Data Sheet 2026'!$C$3:$I$57,7,0)*'Direct Costs 2026'!$C$36,"N/A"),"N/A")</f>
        <v>N/A</v>
      </c>
      <c r="P225" t="str" s="547" cm="1">
        <f t="array" ref="P225">IF(B225&gt;0,IF(OR(VLOOKUP(C209,'Boats Data Sheet 2026'!$C$3:$F$57,4,0)="Own",VLOOKUP(C209,'Boats Data Sheet 2026'!$C$3:$F$57,4,0)="Management"),('Direct Costs 2026'!$C$37+'Direct Costs 2026'!$C$39),"N/A"),"N/A")</f>
        <v>N/A</v>
      </c>
      <c r="Q225" t="str" s="547" cm="1">
        <f t="array" ref="Q225">_xlfn.IFERROR(IF(B225&gt;5,IF(B225&gt;11,IF(B225&gt;15,4,3),2),IF(B225=0,"N/A",1))*SUM('Direct Costs 2026'!$C$67:$C$68),"N/A")</f>
        <v>N/A</v>
      </c>
      <c r="R225" t="str" s="547" cm="1">
        <f t="array" ref="R225">_xlfn.IFERROR('Direct Costs 2026'!$C$27*C225,"N/A")</f>
        <v>N/A</v>
      </c>
      <c r="S225" t="str" s="547" cm="1">
        <f t="array" ref="S225">_xlfn.IFERROR(C225+SUM(E225:R225),"N/A")</f>
        <v>N/A</v>
      </c>
      <c r="T225" s="424"/>
      <c r="U225" t="str" s="547" cm="1">
        <f t="array" ref="U225">IF(B225&gt;0,'Allocation OH and Target 2026'!$E$27,"N/A")</f>
        <v>N/A</v>
      </c>
      <c r="V225" t="str" s="547" cm="1">
        <f t="array" ref="V225">IF(B225&gt;0,'Allocation OH and Target 2026'!$E$28,"N/A")</f>
        <v>N/A</v>
      </c>
      <c r="W225" t="str" s="547" cm="1">
        <f t="array" ref="W225">IF(B225&gt;0,VLOOKUP(C209,'Allocation OH and Target 2026'!$C$3:$T$23,17,0),"N/A")</f>
        <v>N/A</v>
      </c>
      <c r="X225" t="str" s="547" cm="1">
        <f t="array" ref="X225">IF(B225&gt;0,VLOOKUP(C209,'Allocation OH and Target 2026'!$C$3:$T$23,18,0),"N/A")</f>
        <v>N/A</v>
      </c>
      <c r="Y225" t="str" s="547" cm="1">
        <f t="array" ref="Y225">_xlfn.IFERROR(B225*(V225+X225),"N/A")</f>
        <v>N/A</v>
      </c>
      <c r="Z225" s="424"/>
      <c r="AA225" t="str" s="547" cm="1">
        <f t="array" ref="AA225">_xlfn.IFERROR(Y225+S225,"N/A")</f>
        <v>N/A</v>
      </c>
      <c r="AB225" t="str" s="547" cm="1">
        <f t="array" ref="AB225">_xlfn.IFERROR(AA225*0.5%,"N/A")</f>
        <v>N/A</v>
      </c>
      <c r="AC225" t="str" s="547" cm="1">
        <f t="array" ref="AC225">_xlfn.IFERROR(AA225*25%,"N/A")</f>
        <v>N/A</v>
      </c>
      <c r="AD225" t="str" s="546" cm="1">
        <f t="array" ref="AD225">IF(B225&gt;0,SUM(AA225:AC225),"N/A")</f>
        <v>N/A</v>
      </c>
      <c r="AE225" t="str" s="547" cm="1">
        <f t="array" ref="AE225">_xlfn.IFERROR(AD225/B225,"N/A")</f>
        <v>N/A</v>
      </c>
      <c r="AF225" s="424"/>
      <c r="AG225" t="str" s="546" cm="1">
        <f t="array" ref="AG225">IF(B225/VLOOKUP(C209,'Boats Data Sheet 2026'!$C$3:$H$57,6,0)&gt;VLOOKUP(C209,'Allocation OH and Target 2026'!$C$3:$J$23,8,0),IF(SUM(AH211:AH224)=0,AE225,"N/A"),"N/A")</f>
        <v>N/A</v>
      </c>
      <c r="AH225" s="424" cm="1">
        <f t="array" ref="AH225">IF(AG225="N/A",0,1)</f>
        <v>0</v>
      </c>
      <c r="AI225" t="str" s="547" cm="1">
        <f t="array" ref="AI225">IF(B225/VLOOKUP(C209,'Boats Data Sheet 2026'!$C$3:$H$57,6,0)&gt;VLOOKUP(C209,'Allocation OH and Target 2026'!$C$3:$J$23,8,0),IF(SUM(AH211:AH224)=0,S225/B225,"N/A"),"N/A")</f>
        <v>N/A</v>
      </c>
      <c r="AJ225" s="424" cm="1">
        <f t="array" ref="AJ225">IF(AI225="N/A",0,1)</f>
        <v>0</v>
      </c>
      <c r="AK225" t="str" s="527" cm="1">
        <f t="array" ref="AK225">IF(SUM($AG$120:$AG$137)*B225&lt;SUM(AA225:AB225),"NO GO","GO")</f>
        <v>GO</v>
      </c>
      <c r="AL225" s="424"/>
      <c r="AM225" s="538"/>
      <c r="AN225" s="538"/>
      <c r="AO225" s="538"/>
      <c r="AP225" s="542"/>
      <c r="AQ225" s="543" cm="1">
        <f t="array" ref="AQ225">B225</f>
        <v>0</v>
      </c>
      <c r="AR225" s="18"/>
    </row>
    <row r="226" ht="16" customHeight="1">
      <c r="A226" s="12"/>
      <c r="B226" s="544" cm="1">
        <f t="array" ref="B226">IF(B225=0,0,IF(B225&lt;VLOOKUP(C209,'Boats Data Sheet 2026'!$C$3:$H$57,6,0),B225+1,0))</f>
        <v>0</v>
      </c>
      <c r="C226" t="str" s="547" cm="1">
        <f t="array" ref="C226">IF(B226&gt;0,IF(VLOOKUP(C209,'Boats Data Sheet 2026'!$C$3:$J$57,8,0)="N/A",0,VLOOKUP(C209,'Boats Data Sheet 2026'!$C$3:$J$57,8,0)),"N/A")</f>
        <v>N/A</v>
      </c>
      <c r="D226" t="str" s="547" cm="1">
        <f t="array" ref="D226">IF(B226&gt;7,2,IF(B226=0,"N/A",1))</f>
        <v>N/A</v>
      </c>
      <c r="E226" t="str" s="547" cm="1">
        <f t="array" ref="E226">_xlfn.IFERROR(SUM('Direct Costs 2026'!$C$4:$C$5)*D226,"N/A")</f>
        <v>N/A</v>
      </c>
      <c r="F226" s="538" cm="1">
        <f t="array" ref="F226">_xlfn.IFERROR('Direct Costs 2026'!$C$43*B226,"N/A")</f>
        <v>0</v>
      </c>
      <c r="G226" t="str" s="547" cm="1">
        <f t="array" ref="G226">IF(B226&gt;0,'Direct Costs 2026'!$C$25,"N/A")</f>
        <v>N/A</v>
      </c>
      <c r="H226" t="str" s="547" cm="1">
        <f t="array" ref="H226">IF(B226&gt;0,'Direct Costs 2026'!$C$19+'Direct Costs 2026'!$C$18*B226,"N/A")</f>
        <v>N/A</v>
      </c>
      <c r="I226" t="str" s="547" cm="1">
        <f t="array" ref="I226">IF(B226&gt;0,SUM('Direct Costs 2026'!$C$20:$C$21),"N/A")</f>
        <v>N/A</v>
      </c>
      <c r="J226" s="538">
        <v>0</v>
      </c>
      <c r="K226" t="str" s="547" cm="1">
        <f t="array" ref="K226">_xlfn.IFERROR((IF(B226&gt;0,'Direct Costs 2026'!$C$15+'Direct Costs 2026'!$C$14,"N/A")),"N/A")</f>
        <v>N/A</v>
      </c>
      <c r="L226" t="str" s="547" cm="1">
        <f t="array" ref="L226">IF(B226&gt;0,'Direct Costs 2026'!$C$26,"N/A")</f>
        <v>N/A</v>
      </c>
      <c r="M226" t="str" s="547" cm="1">
        <f t="array" ref="M226">IF(B226&gt;0,'Direct Costs 2026'!$C$23,"N/A")</f>
        <v>N/A</v>
      </c>
      <c r="N226" t="str" s="547" cm="1">
        <f t="array" ref="N226">IF(B226&gt;0,'Direct Costs 2026'!$C$44*B226,"N/A")</f>
        <v>N/A</v>
      </c>
      <c r="O226" t="str" s="547" cm="1">
        <f t="array" ref="O226">IF(B226&gt;0,_xlfn.IFERROR(VLOOKUP(C209,'Boats Data Sheet 2026'!$C$3:$I$57,7,0)*'Direct Costs 2026'!$C$36,"N/A"),"N/A")</f>
        <v>N/A</v>
      </c>
      <c r="P226" t="str" s="547" cm="1">
        <f t="array" ref="P226">IF(B226&gt;0,IF(OR(VLOOKUP(C214,'Boats Data Sheet 2026'!$C$3:$F$57,4,0)="Own",VLOOKUP(C214,'Boats Data Sheet 2026'!$C$3:$F$57,4,0)="Management"),('Direct Costs 2026'!$C$37+'Direct Costs 2026'!$C$39),"N/A"),"N/A")</f>
        <v>N/A</v>
      </c>
      <c r="Q226" t="str" s="547" cm="1">
        <f t="array" ref="Q226">_xlfn.IFERROR(IF(B226&gt;5,IF(B226&gt;11,IF(B226&gt;15,4,3),2),IF(B226=0,"N/A",1))*SUM('Direct Costs 2026'!$C$67:$C$68),"N/A")</f>
        <v>N/A</v>
      </c>
      <c r="R226" t="str" s="547" cm="1">
        <f t="array" ref="R226">_xlfn.IFERROR('Direct Costs 2026'!$C$27*C226,"N/A")</f>
        <v>N/A</v>
      </c>
      <c r="S226" t="str" s="547" cm="1">
        <f t="array" ref="S226">_xlfn.IFERROR(C226+SUM(E226:R226),"N/A")</f>
        <v>N/A</v>
      </c>
      <c r="T226" s="424"/>
      <c r="U226" t="str" s="547" cm="1">
        <f t="array" ref="U226">IF(B226&gt;0,'Allocation OH and Target 2026'!$E$27,"N/A")</f>
        <v>N/A</v>
      </c>
      <c r="V226" t="str" s="547" cm="1">
        <f t="array" ref="V226">IF(B226&gt;0,'Allocation OH and Target 2026'!$E$28,"N/A")</f>
        <v>N/A</v>
      </c>
      <c r="W226" t="str" s="547" cm="1">
        <f t="array" ref="W226">IF(B226&gt;0,VLOOKUP(C209,'Allocation OH and Target 2026'!$C$3:$T$23,17,0),"N/A")</f>
        <v>N/A</v>
      </c>
      <c r="X226" t="str" s="547" cm="1">
        <f t="array" ref="X226">IF(B226&gt;0,VLOOKUP(C209,'Allocation OH and Target 2026'!$C$3:$T$23,18,0),"N/A")</f>
        <v>N/A</v>
      </c>
      <c r="Y226" t="str" s="547" cm="1">
        <f t="array" ref="Y226">_xlfn.IFERROR(V226*B226+X226,"N/A")</f>
        <v>N/A</v>
      </c>
      <c r="Z226" s="424"/>
      <c r="AA226" t="str" s="547" cm="1">
        <f t="array" ref="AA226">_xlfn.IFERROR(Y226+S226,"N/A")</f>
        <v>N/A</v>
      </c>
      <c r="AB226" t="str" s="547" cm="1">
        <f t="array" ref="AB226">_xlfn.IFERROR(AA226*0.5%,"N/A")</f>
        <v>N/A</v>
      </c>
      <c r="AC226" t="str" s="547" cm="1">
        <f t="array" ref="AC226">_xlfn.IFERROR(AA226*25%,"N/A")</f>
        <v>N/A</v>
      </c>
      <c r="AD226" t="str" s="546" cm="1">
        <f t="array" ref="AD226">IF(B226&gt;0,SUM(AA226:AC226),"N/A")</f>
        <v>N/A</v>
      </c>
      <c r="AE226" t="str" s="547" cm="1">
        <f t="array" ref="AE226">_xlfn.IFERROR(AD226/B226,"N/A")</f>
        <v>N/A</v>
      </c>
      <c r="AF226" s="424"/>
      <c r="AG226" t="str" s="546" cm="1">
        <f t="array" ref="AG226">IF(B226/VLOOKUP(C209,'Boats Data Sheet 2026'!$C$3:$H$57,6,0)&gt;VLOOKUP(C209,'Allocation OH and Target 2026'!$C$3:$J$23,8,0),IF(SUM(AH211:AH225)=0,AE226,"N/A"),"N/A")</f>
        <v>N/A</v>
      </c>
      <c r="AH226" s="424" cm="1">
        <f t="array" ref="AH226">IF(AG226="N/A",0,1)</f>
        <v>0</v>
      </c>
      <c r="AI226" t="str" s="547" cm="1">
        <f t="array" ref="AI226">IF(B226/VLOOKUP(C209,'Boats Data Sheet 2026'!$C$3:$H$57,6,0)&gt;VLOOKUP(C209,'Allocation OH and Target 2026'!$C$3:$J$23,8,0),IF(SUM(AH211:AH225)=0,S226/B226,"N/A"),"N/A")</f>
        <v>N/A</v>
      </c>
      <c r="AJ226" s="424" cm="1">
        <f t="array" ref="AJ226">IF(AI226="N/A",0,1)</f>
        <v>0</v>
      </c>
      <c r="AK226" t="str" s="527" cm="1">
        <f t="array" ref="AK226">IF(SUM($AG$120:$AG$137)*B226&lt;SUM(AA226:AB226),"NO GO","GO")</f>
        <v>GO</v>
      </c>
      <c r="AL226" s="424"/>
      <c r="AM226" s="538"/>
      <c r="AN226" s="538"/>
      <c r="AO226" s="538"/>
      <c r="AP226" s="542"/>
      <c r="AQ226" s="543" cm="1">
        <f t="array" ref="AQ226">B226</f>
        <v>0</v>
      </c>
      <c r="AR226" s="18"/>
    </row>
    <row r="227" ht="16" customHeight="1">
      <c r="A227" s="12"/>
      <c r="B227" s="544" cm="1">
        <f t="array" ref="B227">IF(B226=0,0,IF(B226&lt;VLOOKUP(C209,'Boats Data Sheet 2026'!$C$3:$H$57,6,0),B226+1,0))</f>
        <v>0</v>
      </c>
      <c r="C227" t="str" s="547" cm="1">
        <f t="array" ref="C227">IF(B227&gt;0,IF(VLOOKUP(C209,'Boats Data Sheet 2026'!$C$3:$J$57,8,0)="N/A",0,VLOOKUP(C209,'Boats Data Sheet 2026'!$C$3:$J$57,8,0)),"N/A")</f>
        <v>N/A</v>
      </c>
      <c r="D227" t="str" s="547" cm="1">
        <f t="array" ref="D227">IF(B227&gt;7,2,IF(B227=0,"N/A",1))</f>
        <v>N/A</v>
      </c>
      <c r="E227" t="str" s="547" cm="1">
        <f t="array" ref="E227">_xlfn.IFERROR(SUM('Direct Costs 2026'!$C$4:$C$5)*D227,"N/A")</f>
        <v>N/A</v>
      </c>
      <c r="F227" s="538" cm="1">
        <f t="array" ref="F227">_xlfn.IFERROR('Direct Costs 2026'!$C$43*B227,"N/A")</f>
        <v>0</v>
      </c>
      <c r="G227" t="str" s="547" cm="1">
        <f t="array" ref="G227">IF(B227&gt;0,'Direct Costs 2026'!$C$25,"N/A")</f>
        <v>N/A</v>
      </c>
      <c r="H227" t="str" s="547" cm="1">
        <f t="array" ref="H227">IF(B227&gt;0,'Direct Costs 2026'!$C$19+'Direct Costs 2026'!$C$18*B227,"N/A")</f>
        <v>N/A</v>
      </c>
      <c r="I227" t="str" s="547" cm="1">
        <f t="array" ref="I227">IF(B227&gt;0,SUM('Direct Costs 2026'!$C$20:$C$21),"N/A")</f>
        <v>N/A</v>
      </c>
      <c r="J227" s="538">
        <v>0</v>
      </c>
      <c r="K227" t="str" s="547" cm="1">
        <f t="array" ref="K227">_xlfn.IFERROR((IF(B227&gt;0,'Direct Costs 2026'!$C$15+'Direct Costs 2026'!$C$14,"N/A")),"N/A")</f>
        <v>N/A</v>
      </c>
      <c r="L227" t="str" s="547" cm="1">
        <f t="array" ref="L227">IF(B227&gt;0,'Direct Costs 2026'!$C$26,"N/A")</f>
        <v>N/A</v>
      </c>
      <c r="M227" t="str" s="547" cm="1">
        <f t="array" ref="M227">IF(B227&gt;0,'Direct Costs 2026'!$C$23,"N/A")</f>
        <v>N/A</v>
      </c>
      <c r="N227" t="str" s="547" cm="1">
        <f t="array" ref="N227">IF(B227&gt;0,'Direct Costs 2026'!$C$44*B227,"N/A")</f>
        <v>N/A</v>
      </c>
      <c r="O227" t="str" s="547" cm="1">
        <f t="array" ref="O227">IF(B227&gt;0,_xlfn.IFERROR(VLOOKUP(C209,'Boats Data Sheet 2026'!$C$3:$I$57,7,0)*'Direct Costs 2026'!$C$36,"N/A"),"N/A")</f>
        <v>N/A</v>
      </c>
      <c r="P227" t="str" s="547" cm="1">
        <f t="array" ref="P227">IF(B227&gt;0,IF(OR(VLOOKUP(C215,'Boats Data Sheet 2026'!$C$3:$F$57,4,0)="Own",VLOOKUP(C215,'Boats Data Sheet 2026'!$C$3:$F$57,4,0)="Management"),('Direct Costs 2026'!$C$37+'Direct Costs 2026'!$C$39),"N/A"),"N/A")</f>
        <v>N/A</v>
      </c>
      <c r="Q227" t="str" s="547" cm="1">
        <f t="array" ref="Q227">_xlfn.IFERROR(IF(B227&gt;5,IF(B227&gt;11,IF(B227&gt;15,4,3),2),IF(B227=0,"N/A",1))*SUM('Direct Costs 2026'!$C$67:$C$68),"N/A")</f>
        <v>N/A</v>
      </c>
      <c r="R227" t="str" s="547" cm="1">
        <f t="array" ref="R227">_xlfn.IFERROR('Direct Costs 2026'!$C$27*C227,"N/A")</f>
        <v>N/A</v>
      </c>
      <c r="S227" t="str" s="547" cm="1">
        <f t="array" ref="S227">_xlfn.IFERROR(C227+SUM(E227:R227),"N/A")</f>
        <v>N/A</v>
      </c>
      <c r="T227" s="424"/>
      <c r="U227" t="str" s="547" cm="1">
        <f t="array" ref="U227">IF(B227&gt;0,'Allocation OH and Target 2026'!$E$27,"N/A")</f>
        <v>N/A</v>
      </c>
      <c r="V227" t="str" s="547" cm="1">
        <f t="array" ref="V227">IF(B227&gt;0,'Allocation OH and Target 2026'!$E$28,"N/A")</f>
        <v>N/A</v>
      </c>
      <c r="W227" t="str" s="547" cm="1">
        <f t="array" ref="W227">IF(B227&gt;0,VLOOKUP(C209,'Allocation OH and Target 2026'!$C$3:$T$23,17,0),"N/A")</f>
        <v>N/A</v>
      </c>
      <c r="X227" t="str" s="547" cm="1">
        <f t="array" ref="X227">IF(B227&gt;0,VLOOKUP(C209,'Allocation OH and Target 2026'!$C$3:$T$23,18,0),"N/A")</f>
        <v>N/A</v>
      </c>
      <c r="Y227" t="str" s="547" cm="1">
        <f t="array" ref="Y227">_xlfn.IFERROR(V227*B227+X227,"N/A")</f>
        <v>N/A</v>
      </c>
      <c r="Z227" s="424"/>
      <c r="AA227" t="str" s="547" cm="1">
        <f t="array" ref="AA227">_xlfn.IFERROR(Y227+S227,"N/A")</f>
        <v>N/A</v>
      </c>
      <c r="AB227" t="str" s="547" cm="1">
        <f t="array" ref="AB227">_xlfn.IFERROR(AA227*0.5%,"N/A")</f>
        <v>N/A</v>
      </c>
      <c r="AC227" t="str" s="547" cm="1">
        <f t="array" ref="AC227">_xlfn.IFERROR(AA227*25%,"N/A")</f>
        <v>N/A</v>
      </c>
      <c r="AD227" t="str" s="546" cm="1">
        <f t="array" ref="AD227">IF(B227&gt;0,SUM(AA227:AC227),"N/A")</f>
        <v>N/A</v>
      </c>
      <c r="AE227" t="str" s="547" cm="1">
        <f t="array" ref="AE227">_xlfn.IFERROR(AD227/B227,"N/A")</f>
        <v>N/A</v>
      </c>
      <c r="AF227" s="424"/>
      <c r="AG227" t="str" s="546" cm="1">
        <f t="array" ref="AG227">IF(B227/VLOOKUP(C209,'Boats Data Sheet 2026'!$C$3:$H$57,6,0)&gt;VLOOKUP(C209,'Allocation OH and Target 2026'!$C$3:$J$23,8,0),IF(SUM(AH211:AH226)=0,AE227,"N/A"),"N/A")</f>
        <v>N/A</v>
      </c>
      <c r="AH227" s="424" cm="1">
        <f t="array" ref="AH227">IF(AG227="N/A",0,1)</f>
        <v>0</v>
      </c>
      <c r="AI227" t="str" s="547" cm="1">
        <f t="array" ref="AI227">IF(B227/VLOOKUP(C209,'Boats Data Sheet 2026'!$C$3:$H$57,6,0)&gt;VLOOKUP(C209,'Allocation OH and Target 2026'!$C$3:$J$23,8,0),IF(SUM(AH211:AH226)=0,S227/B227,"N/A"),"N/A")</f>
        <v>N/A</v>
      </c>
      <c r="AJ227" s="424" cm="1">
        <f t="array" ref="AJ227">IF(AI227="N/A",0,1)</f>
        <v>0</v>
      </c>
      <c r="AK227" t="str" s="527" cm="1">
        <f t="array" ref="AK227">IF(SUM($AG$120:$AG$137)*B227&lt;SUM(AA227:AB227),"NO GO","GO")</f>
        <v>GO</v>
      </c>
      <c r="AL227" s="424"/>
      <c r="AM227" s="538"/>
      <c r="AN227" s="538"/>
      <c r="AO227" s="538"/>
      <c r="AP227" s="542"/>
      <c r="AQ227" s="543" cm="1">
        <f t="array" ref="AQ227">B227</f>
        <v>0</v>
      </c>
      <c r="AR227" s="18"/>
    </row>
    <row r="228" ht="16" customHeight="1">
      <c r="A228" s="12"/>
      <c r="B228" s="544" cm="1">
        <f t="array" ref="B228">IF(B227=0,0,IF(B227&lt;VLOOKUP(C209,'Boats Data Sheet 2026'!$C$3:$H$57,6,0),B227+1,0))</f>
        <v>0</v>
      </c>
      <c r="C228" t="str" s="547" cm="1">
        <f t="array" ref="C228">IF(B228&gt;0,IF(VLOOKUP(C209,'Boats Data Sheet 2026'!$C$3:$J$57,8,0)="N/A",0,VLOOKUP(C209,'Boats Data Sheet 2026'!$C$3:$J$57,8,0)),"N/A")</f>
        <v>N/A</v>
      </c>
      <c r="D228" t="str" s="547" cm="1">
        <f t="array" ref="D228">IF(B228&gt;7,2,IF(B228=0,"N/A",1))</f>
        <v>N/A</v>
      </c>
      <c r="E228" t="str" s="547" cm="1">
        <f t="array" ref="E228">_xlfn.IFERROR(SUM('Direct Costs 2026'!$C$4:$C$5)*D228,"N/A")</f>
        <v>N/A</v>
      </c>
      <c r="F228" s="538" cm="1">
        <f t="array" ref="F228">_xlfn.IFERROR('Direct Costs 2026'!$C$43*B228,"N/A")</f>
        <v>0</v>
      </c>
      <c r="G228" t="str" s="547" cm="1">
        <f t="array" ref="G228">IF(B228&gt;0,'Direct Costs 2026'!$C$25,"N/A")</f>
        <v>N/A</v>
      </c>
      <c r="H228" t="str" s="547" cm="1">
        <f t="array" ref="H228">IF(B228&gt;0,'Direct Costs 2026'!$C$19+'Direct Costs 2026'!$C$18*B228,"N/A")</f>
        <v>N/A</v>
      </c>
      <c r="I228" t="str" s="547" cm="1">
        <f t="array" ref="I228">IF(B228&gt;0,SUM('Direct Costs 2026'!$C$20:$C$21),"N/A")</f>
        <v>N/A</v>
      </c>
      <c r="J228" s="538">
        <v>0</v>
      </c>
      <c r="K228" t="str" s="547" cm="1">
        <f t="array" ref="K228">_xlfn.IFERROR((IF(B228&gt;0,'Direct Costs 2026'!$C$15+'Direct Costs 2026'!$C$14,"N/A")),"N/A")</f>
        <v>N/A</v>
      </c>
      <c r="L228" t="str" s="547" cm="1">
        <f t="array" ref="L228">IF(B228&gt;0,'Direct Costs 2026'!$C$26,"N/A")</f>
        <v>N/A</v>
      </c>
      <c r="M228" t="str" s="547" cm="1">
        <f t="array" ref="M228">IF(B228&gt;0,'Direct Costs 2026'!$C$23,"N/A")</f>
        <v>N/A</v>
      </c>
      <c r="N228" t="str" s="547" cm="1">
        <f t="array" ref="N228">IF(B228&gt;0,'Direct Costs 2026'!$C$44*B228,"N/A")</f>
        <v>N/A</v>
      </c>
      <c r="O228" t="str" s="547" cm="1">
        <f t="array" ref="O228">IF(B228&gt;0,_xlfn.IFERROR(VLOOKUP(C209,'Boats Data Sheet 2026'!$C$3:$I$57,7,0)*'Direct Costs 2026'!$C$36,"N/A"),"N/A")</f>
        <v>N/A</v>
      </c>
      <c r="P228" t="str" s="547" cm="1">
        <f t="array" ref="P228">IF(B228&gt;0,IF(OR(VLOOKUP(C216,'Boats Data Sheet 2026'!$C$3:$F$57,4,0)="Own",VLOOKUP(C216,'Boats Data Sheet 2026'!$C$3:$F$57,4,0)="Management"),('Direct Costs 2026'!$C$37+'Direct Costs 2026'!$C$39),"N/A"),"N/A")</f>
        <v>N/A</v>
      </c>
      <c r="Q228" t="str" s="547" cm="1">
        <f t="array" ref="Q228">_xlfn.IFERROR(IF(B228&gt;5,IF(B228&gt;11,IF(B228&gt;15,4,3),2),IF(B228=0,"N/A",1))*SUM('Direct Costs 2026'!$C$67:$C$68),"N/A")</f>
        <v>N/A</v>
      </c>
      <c r="R228" t="str" s="547" cm="1">
        <f t="array" ref="R228">_xlfn.IFERROR('Direct Costs 2026'!$C$27*C228,"N/A")</f>
        <v>N/A</v>
      </c>
      <c r="S228" t="str" s="547" cm="1">
        <f t="array" ref="S228">_xlfn.IFERROR(C228+SUM(E228:R228),"N/A")</f>
        <v>N/A</v>
      </c>
      <c r="T228" s="424"/>
      <c r="U228" t="str" s="547" cm="1">
        <f t="array" ref="U228">IF(B228&gt;0,'Allocation OH and Target 2026'!$E$27,"N/A")</f>
        <v>N/A</v>
      </c>
      <c r="V228" t="str" s="547" cm="1">
        <f t="array" ref="V228">IF(B228&gt;0,'Allocation OH and Target 2026'!$E$28,"N/A")</f>
        <v>N/A</v>
      </c>
      <c r="W228" t="str" s="547" cm="1">
        <f t="array" ref="W228">IF(B228&gt;0,VLOOKUP(C209,'Allocation OH and Target 2026'!$C$3:$T$23,17,0),"N/A")</f>
        <v>N/A</v>
      </c>
      <c r="X228" t="str" s="547" cm="1">
        <f t="array" ref="X228">IF(B228&gt;0,VLOOKUP(C209,'Allocation OH and Target 2026'!$C$3:$T$23,18,0),"N/A")</f>
        <v>N/A</v>
      </c>
      <c r="Y228" t="str" s="547" cm="1">
        <f t="array" ref="Y228">_xlfn.IFERROR(V228*B228+X228,"N/A")</f>
        <v>N/A</v>
      </c>
      <c r="Z228" s="424"/>
      <c r="AA228" t="str" s="547" cm="1">
        <f t="array" ref="AA228">_xlfn.IFERROR(Y228+S228,"N/A")</f>
        <v>N/A</v>
      </c>
      <c r="AB228" t="str" s="547" cm="1">
        <f t="array" ref="AB228">_xlfn.IFERROR(AA228*0.5%,"N/A")</f>
        <v>N/A</v>
      </c>
      <c r="AC228" t="str" s="547" cm="1">
        <f t="array" ref="AC228">_xlfn.IFERROR(AA228*25%,"N/A")</f>
        <v>N/A</v>
      </c>
      <c r="AD228" t="str" s="546" cm="1">
        <f t="array" ref="AD228">IF(B228&gt;0,SUM(AA228:AC228),"N/A")</f>
        <v>N/A</v>
      </c>
      <c r="AE228" t="str" s="547" cm="1">
        <f t="array" ref="AE228">_xlfn.IFERROR(AD228/B228,"N/A")</f>
        <v>N/A</v>
      </c>
      <c r="AF228" s="424"/>
      <c r="AG228" t="str" s="546" cm="1">
        <f t="array" ref="AG228">IF(B228/VLOOKUP(C209,'Boats Data Sheet 2026'!$C$3:$H$57,6,0)&gt;VLOOKUP(C209,'Allocation OH and Target 2026'!$C$3:$J$23,8,0),IF(SUM(AH211:AH227)=0,AE228,"N/A"),"N/A")</f>
        <v>N/A</v>
      </c>
      <c r="AH228" s="424" cm="1">
        <f t="array" ref="AH228">IF(AG228="N/A",0,1)</f>
        <v>0</v>
      </c>
      <c r="AI228" t="str" s="547" cm="1">
        <f t="array" ref="AI228">IF(B228/VLOOKUP(C209,'Boats Data Sheet 2026'!$C$3:$H$57,6,0)&gt;VLOOKUP(C209,'Allocation OH and Target 2026'!$C$3:$J$23,8,0),IF(SUM(AH211:AH227)=0,S228/B228,"N/A"),"N/A")</f>
        <v>N/A</v>
      </c>
      <c r="AJ228" s="424" cm="1">
        <f t="array" ref="AJ228">IF(AI228="N/A",0,1)</f>
        <v>0</v>
      </c>
      <c r="AK228" t="str" s="527" cm="1">
        <f t="array" ref="AK228">IF(SUM($AG$120:$AG$137)*B228&lt;SUM(AA228:AB228),"NO GO","GO")</f>
        <v>GO</v>
      </c>
      <c r="AL228" s="424"/>
      <c r="AM228" s="538"/>
      <c r="AN228" s="538"/>
      <c r="AO228" s="538"/>
      <c r="AP228" s="542"/>
      <c r="AQ228" s="543" cm="1">
        <f t="array" ref="AQ228">B228</f>
        <v>0</v>
      </c>
      <c r="AR228" s="18"/>
    </row>
    <row r="229" ht="15.5" customHeight="1">
      <c r="A229" s="12"/>
      <c r="B229" s="550" cm="1">
        <f t="array" ref="B229">IF(B228=0,0,IF(B228&lt;VLOOKUP(C209,'Boats Data Sheet 2026'!$C$3:$H$57,6,0),B228+1,0))</f>
        <v>0</v>
      </c>
      <c r="C229" t="str" s="551" cm="1">
        <f t="array" ref="C229">IF(B229&gt;0,IF(VLOOKUP(C209,'Boats Data Sheet 2026'!$C$3:$J$57,8,0)="N/A",0,VLOOKUP(C209,'Boats Data Sheet 2026'!$C$3:$J$57,8,0)),"N/A")</f>
        <v>N/A</v>
      </c>
      <c r="D229" t="str" s="551" cm="1">
        <f t="array" ref="D229">IF(B229&gt;7,2,IF(B229=0,"N/A",1))</f>
        <v>N/A</v>
      </c>
      <c r="E229" t="str" s="551" cm="1">
        <f t="array" ref="E229">_xlfn.IFERROR(SUM('Direct Costs 2026'!$C$4:$C$5)*D229,"N/A")</f>
        <v>N/A</v>
      </c>
      <c r="F229" s="552" cm="1">
        <f t="array" ref="F229">_xlfn.IFERROR('Direct Costs 2026'!$C$43*B229,"N/A")</f>
        <v>0</v>
      </c>
      <c r="G229" t="str" s="551" cm="1">
        <f t="array" ref="G229">IF(B229&gt;0,'Direct Costs 2026'!$C$25,"N/A")</f>
        <v>N/A</v>
      </c>
      <c r="H229" t="str" s="551" cm="1">
        <f t="array" ref="H229">IF(B229&gt;0,'Direct Costs 2026'!$C$19+'Direct Costs 2026'!$C$18*B229,"N/A")</f>
        <v>N/A</v>
      </c>
      <c r="I229" t="str" s="551" cm="1">
        <f t="array" ref="I229">IF(B229&gt;0,SUM('Direct Costs 2026'!$C$20:$C$21),"N/A")</f>
        <v>N/A</v>
      </c>
      <c r="J229" s="552">
        <v>0</v>
      </c>
      <c r="K229" t="str" s="551" cm="1">
        <f t="array" ref="K229">_xlfn.IFERROR((IF(B229&gt;0,'Direct Costs 2026'!$C$15+'Direct Costs 2026'!$C$14,"N/A")),"N/A")</f>
        <v>N/A</v>
      </c>
      <c r="L229" t="str" s="551" cm="1">
        <f t="array" ref="L229">IF(B229&gt;0,'Direct Costs 2026'!$C$26,"N/A")</f>
        <v>N/A</v>
      </c>
      <c r="M229" t="str" s="551" cm="1">
        <f t="array" ref="M229">IF(B229&gt;0,'Direct Costs 2026'!$C$23,"N/A")</f>
        <v>N/A</v>
      </c>
      <c r="N229" t="str" s="551" cm="1">
        <f t="array" ref="N229">IF(B229&gt;0,'Direct Costs 2026'!$C$44*B229,"N/A")</f>
        <v>N/A</v>
      </c>
      <c r="O229" t="str" s="551" cm="1">
        <f t="array" ref="O229">IF(B229&gt;0,_xlfn.IFERROR(VLOOKUP(C209,'Boats Data Sheet 2026'!$C$3:$I$57,7,0)*'Direct Costs 2026'!$C$36,"N/A"),"N/A")</f>
        <v>N/A</v>
      </c>
      <c r="P229" t="str" s="551" cm="1">
        <f t="array" ref="P229">IF(B229&gt;0,IF(OR(VLOOKUP(C217,'Boats Data Sheet 2026'!$C$3:$F$57,4,0)="Own",VLOOKUP(C217,'Boats Data Sheet 2026'!$C$3:$F$57,4,0)="Management"),('Direct Costs 2026'!$C$37+'Direct Costs 2026'!$C$39),"N/A"),"N/A")</f>
        <v>N/A</v>
      </c>
      <c r="Q229" t="str" s="551" cm="1">
        <f t="array" ref="Q229">_xlfn.IFERROR(IF(B229&gt;5,IF(B229&gt;11,IF(B229&gt;15,4,3),2),IF(B229=0,"N/A",1))*SUM('Direct Costs 2026'!$C$67:$C$68),"N/A")</f>
        <v>N/A</v>
      </c>
      <c r="R229" t="str" s="551" cm="1">
        <f t="array" ref="R229">_xlfn.IFERROR('Direct Costs 2026'!$C$27*C229,"N/A")</f>
        <v>N/A</v>
      </c>
      <c r="S229" t="str" s="551" cm="1">
        <f t="array" ref="S229">_xlfn.IFERROR(C229+SUM(E229:R229),"N/A")</f>
        <v>N/A</v>
      </c>
      <c r="T229" s="435"/>
      <c r="U229" t="str" s="551" cm="1">
        <f t="array" ref="U229">IF(B229&gt;0,'Allocation OH and Target 2026'!$E$27,"N/A")</f>
        <v>N/A</v>
      </c>
      <c r="V229" t="str" s="551" cm="1">
        <f t="array" ref="V229">IF(B229&gt;0,'Allocation OH and Target 2026'!$E$28,"N/A")</f>
        <v>N/A</v>
      </c>
      <c r="W229" t="str" s="551" cm="1">
        <f t="array" ref="W229">IF(B229&gt;0,VLOOKUP(C209,'Allocation OH and Target 2026'!$C$3:$T$23,17,0),"N/A")</f>
        <v>N/A</v>
      </c>
      <c r="X229" t="str" s="551" cm="1">
        <f t="array" ref="X229">IF(B229&gt;0,VLOOKUP(C209,'Allocation OH and Target 2026'!$C$3:$T$23,18,0),"N/A")</f>
        <v>N/A</v>
      </c>
      <c r="Y229" t="str" s="551" cm="1">
        <f t="array" ref="Y229">_xlfn.IFERROR(V229*B229+X229,"N/A")</f>
        <v>N/A</v>
      </c>
      <c r="Z229" s="435"/>
      <c r="AA229" t="str" s="551" cm="1">
        <f t="array" ref="AA229">_xlfn.IFERROR(Y229+S229,"N/A")</f>
        <v>N/A</v>
      </c>
      <c r="AB229" t="str" s="551" cm="1">
        <f t="array" ref="AB229">_xlfn.IFERROR(AA229*0.5%,"N/A")</f>
        <v>N/A</v>
      </c>
      <c r="AC229" t="str" s="551" cm="1">
        <f t="array" ref="AC229">_xlfn.IFERROR(AA229*25%,"N/A")</f>
        <v>N/A</v>
      </c>
      <c r="AD229" t="str" s="553" cm="1">
        <f t="array" ref="AD229">IF(B229&gt;0,SUM(AA229:AC229),"N/A")</f>
        <v>N/A</v>
      </c>
      <c r="AE229" t="str" s="551" cm="1">
        <f t="array" ref="AE229">_xlfn.IFERROR(AD229/B229,"N/A")</f>
        <v>N/A</v>
      </c>
      <c r="AF229" s="435"/>
      <c r="AG229" t="str" s="553" cm="1">
        <f t="array" ref="AG229">IF(B229/VLOOKUP(C209,'Boats Data Sheet 2026'!$C$3:$H$57,6,0)&gt;VLOOKUP(C209,'Allocation OH and Target 2026'!$C$3:$J$23,8,0),IF(SUM(AH211:AH228)=0,AE229,"N/A"),"N/A")</f>
        <v>N/A</v>
      </c>
      <c r="AH229" s="435" cm="1">
        <f t="array" ref="AH229">IF(AG229="N/A",0,1)</f>
        <v>0</v>
      </c>
      <c r="AI229" t="str" s="551" cm="1">
        <f t="array" ref="AI229">IF(B229/VLOOKUP(C209,'Boats Data Sheet 2026'!$C$3:$H$57,6,0)&gt;VLOOKUP(C209,'Allocation OH and Target 2026'!$C$3:$J$23,8,0),IF(SUM(AH211:AH228)=0,S229/B229,"N/A"),"N/A")</f>
        <v>N/A</v>
      </c>
      <c r="AJ229" s="435" cm="1">
        <f t="array" ref="AJ229">IF(AI229="N/A",0,1)</f>
        <v>0</v>
      </c>
      <c r="AK229" t="str" s="554" cm="1">
        <f t="array" ref="AK229">IF(SUM($AG$120:$AG$137)*B229&lt;SUM(AA229:AB229),"NO GO","GO")</f>
        <v>GO</v>
      </c>
      <c r="AL229" s="435"/>
      <c r="AM229" s="552"/>
      <c r="AN229" s="552"/>
      <c r="AO229" s="552"/>
      <c r="AP229" s="555"/>
      <c r="AQ229" s="543" cm="1">
        <f t="array" ref="AQ229">B229</f>
        <v>0</v>
      </c>
      <c r="AR229" s="18"/>
    </row>
    <row r="230" ht="15.5" customHeight="1">
      <c r="A230" s="32"/>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124"/>
      <c r="AE230" s="124"/>
      <c r="AF230" s="124"/>
      <c r="AG230" s="124"/>
      <c r="AH230" s="124"/>
      <c r="AI230" s="124"/>
      <c r="AJ230" s="124"/>
      <c r="AK230" s="124"/>
      <c r="AL230" s="124"/>
      <c r="AM230" s="124"/>
      <c r="AN230" s="124"/>
      <c r="AO230" s="124"/>
      <c r="AP230" s="124"/>
      <c r="AQ230" s="17"/>
      <c r="AR230" s="18"/>
    </row>
    <row r="231" ht="15.5" customHeight="1">
      <c r="A231" s="32"/>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17"/>
      <c r="AR231" s="18"/>
    </row>
    <row r="232" ht="15.5" customHeight="1">
      <c r="A232" s="395">
        <v>10</v>
      </c>
      <c r="B232" t="s" s="517">
        <v>506</v>
      </c>
      <c r="C232" t="s" s="518">
        <v>51</v>
      </c>
      <c r="D232" s="519"/>
      <c r="E232" s="519"/>
      <c r="F232" s="519"/>
      <c r="G232" s="519"/>
      <c r="H232" s="519"/>
      <c r="I232" s="519"/>
      <c r="J232" s="519"/>
      <c r="K232" s="519"/>
      <c r="L232" s="519"/>
      <c r="M232" s="519"/>
      <c r="N232" s="519"/>
      <c r="O232" s="519"/>
      <c r="P232" s="519"/>
      <c r="Q232" s="519"/>
      <c r="R232" s="519"/>
      <c r="S232" s="519"/>
      <c r="T232" s="399"/>
      <c r="U232" s="519"/>
      <c r="V232" s="519"/>
      <c r="W232" s="519"/>
      <c r="X232" s="519"/>
      <c r="Y232" s="519"/>
      <c r="Z232" s="399"/>
      <c r="AA232" s="519"/>
      <c r="AB232" s="519"/>
      <c r="AC232" s="519"/>
      <c r="AD232" s="519"/>
      <c r="AE232" s="519"/>
      <c r="AF232" s="399"/>
      <c r="AG232" s="521"/>
      <c r="AH232" s="399"/>
      <c r="AI232" s="519"/>
      <c r="AJ232" s="399"/>
      <c r="AK232" s="519"/>
      <c r="AL232" s="399"/>
      <c r="AM232" t="s" s="518">
        <v>508</v>
      </c>
      <c r="AN232" s="560" cm="1">
        <f t="array" ref="AN232">AVERAGE(S235:S240)</f>
        <v>7065933.33333333</v>
      </c>
      <c r="AO232" s="519"/>
      <c r="AP232" s="522"/>
      <c r="AQ232" s="16"/>
      <c r="AR232" s="18"/>
    </row>
    <row r="233" ht="16" customHeight="1">
      <c r="A233" s="12"/>
      <c r="B233" s="523"/>
      <c r="C233" t="s" s="524">
        <v>513</v>
      </c>
      <c r="D233" s="525"/>
      <c r="E233" s="525"/>
      <c r="F233" s="525"/>
      <c r="G233" s="525"/>
      <c r="H233" s="525"/>
      <c r="I233" s="525"/>
      <c r="J233" s="525"/>
      <c r="K233" s="525"/>
      <c r="L233" s="525"/>
      <c r="M233" s="525"/>
      <c r="N233" s="525"/>
      <c r="O233" s="525"/>
      <c r="P233" s="525"/>
      <c r="Q233" s="525"/>
      <c r="R233" s="525"/>
      <c r="S233" s="526"/>
      <c r="T233" s="407"/>
      <c r="U233" t="s" s="524">
        <v>514</v>
      </c>
      <c r="V233" s="525"/>
      <c r="W233" s="525"/>
      <c r="X233" s="525"/>
      <c r="Y233" s="526"/>
      <c r="Z233" s="407"/>
      <c r="AA233" t="s" s="524">
        <v>515</v>
      </c>
      <c r="AB233" s="525"/>
      <c r="AC233" s="525"/>
      <c r="AD233" s="525"/>
      <c r="AE233" s="526"/>
      <c r="AF233" s="410"/>
      <c r="AG233" s="527"/>
      <c r="AH233" s="410"/>
      <c r="AI233" s="528"/>
      <c r="AJ233" s="410"/>
      <c r="AK233" s="528"/>
      <c r="AL233" s="410"/>
      <c r="AM233" s="528"/>
      <c r="AN233" s="528"/>
      <c r="AO233" s="528"/>
      <c r="AP233" s="529"/>
      <c r="AQ233" s="16"/>
      <c r="AR233" s="18"/>
    </row>
    <row r="234" ht="48" customHeight="1">
      <c r="A234" s="12"/>
      <c r="B234" t="s" s="530">
        <v>517</v>
      </c>
      <c r="C234" t="s" s="531">
        <v>518</v>
      </c>
      <c r="D234" t="s" s="531">
        <v>519</v>
      </c>
      <c r="E234" t="s" s="531">
        <v>520</v>
      </c>
      <c r="F234" t="s" s="532">
        <v>521</v>
      </c>
      <c r="G234" t="s" s="532">
        <v>522</v>
      </c>
      <c r="H234" t="s" s="532">
        <v>524</v>
      </c>
      <c r="I234" t="s" s="532">
        <v>525</v>
      </c>
      <c r="J234" t="s" s="532">
        <v>556</v>
      </c>
      <c r="K234" t="s" s="532">
        <v>587</v>
      </c>
      <c r="L234" t="s" s="532">
        <v>526</v>
      </c>
      <c r="M234" t="s" s="532">
        <v>527</v>
      </c>
      <c r="N234" t="s" s="532">
        <v>528</v>
      </c>
      <c r="O234" t="s" s="532">
        <v>529</v>
      </c>
      <c r="P234" t="s" s="532">
        <v>530</v>
      </c>
      <c r="Q234" t="s" s="532">
        <v>572</v>
      </c>
      <c r="R234" t="s" s="532">
        <v>531</v>
      </c>
      <c r="S234" t="s" s="532">
        <v>532</v>
      </c>
      <c r="T234" s="556"/>
      <c r="U234" t="s" s="532">
        <v>533</v>
      </c>
      <c r="V234" t="s" s="532">
        <v>573</v>
      </c>
      <c r="W234" t="s" s="532">
        <v>534</v>
      </c>
      <c r="X234" t="s" s="532">
        <v>574</v>
      </c>
      <c r="Y234" t="s" s="532">
        <v>535</v>
      </c>
      <c r="Z234" s="556"/>
      <c r="AA234" t="s" s="532">
        <v>536</v>
      </c>
      <c r="AB234" t="s" s="532">
        <v>537</v>
      </c>
      <c r="AC234" t="s" s="532">
        <v>538</v>
      </c>
      <c r="AD234" t="s" s="532">
        <v>575</v>
      </c>
      <c r="AE234" t="s" s="532">
        <v>539</v>
      </c>
      <c r="AF234" s="557"/>
      <c r="AG234" t="s" s="532">
        <v>576</v>
      </c>
      <c r="AH234" s="557"/>
      <c r="AI234" t="s" s="532">
        <v>577</v>
      </c>
      <c r="AJ234" s="557"/>
      <c r="AK234" t="s" s="531">
        <v>578</v>
      </c>
      <c r="AL234" s="557"/>
      <c r="AM234" t="s" s="532">
        <v>596</v>
      </c>
      <c r="AN234" t="s" s="532">
        <v>544</v>
      </c>
      <c r="AO234" s="533"/>
      <c r="AP234" s="534"/>
      <c r="AQ234" s="16"/>
      <c r="AR234" s="18"/>
    </row>
    <row r="235" ht="16.5" customHeight="1">
      <c r="A235" s="12"/>
      <c r="B235" s="535">
        <v>1</v>
      </c>
      <c r="C235" s="536" cm="1">
        <f t="array" ref="C235">IF(B235&gt;0,IF(VLOOKUP(C232,'Boats Data Sheet 2026'!$C$3:$J$57,8,0)="N/A",0,VLOOKUP(C232,'Boats Data Sheet 2026'!$C$3:$J$57,8,0)),"N/A")</f>
        <v>0</v>
      </c>
      <c r="D235" s="537" cm="1">
        <f t="array" ref="D235">IF(B235&gt;7,2,IF(B235=0,"N/A",1))</f>
        <v>1</v>
      </c>
      <c r="E235" s="536" cm="1">
        <f t="array" ref="E235">_xlfn.IFERROR(SUM('Direct Costs 2026'!$C$4:$C$5)*D235,"N/A")</f>
        <v>875500</v>
      </c>
      <c r="F235" s="538" cm="1">
        <f t="array" ref="F235">_xlfn.IFERROR('Direct Costs 2026'!$C$43*B235,"N/A")</f>
        <v>6000</v>
      </c>
      <c r="G235" s="538" cm="1">
        <f t="array" ref="G235">IF(B235&gt;0,'Direct Costs 2026'!$C$25,"N/A")</f>
        <v>90000</v>
      </c>
      <c r="H235" s="538" cm="1">
        <f t="array" ref="H235">IF(B235&gt;0,'Direct Costs 2026'!$C$19+'Direct Costs 2026'!$C$18*B235,"N/A")</f>
        <v>110000</v>
      </c>
      <c r="I235" s="538" cm="1">
        <f t="array" ref="I235">IF(B235&gt;0,SUM('Direct Costs 2026'!$C$20:$C$21),"N/A")</f>
        <v>98333.3333333333</v>
      </c>
      <c r="J235" s="538">
        <v>0</v>
      </c>
      <c r="K235" s="538" cm="1">
        <f t="array" ref="K235">_xlfn.IFERROR((IF(B235&gt;0,'Direct Costs 2026'!$C$15+'Direct Costs 2026'!$C$14,"N/A")),"N/A")</f>
        <v>230000</v>
      </c>
      <c r="L235" s="538" cm="1">
        <f t="array" ref="L235">IF(B235&gt;0,'Direct Costs 2026'!$C$26,"N/A")</f>
        <v>20000</v>
      </c>
      <c r="M235" s="538" cm="1">
        <f t="array" ref="M235">IF(B235&gt;0,'Direct Costs 2026'!$C$23,"N/A")</f>
        <v>140000</v>
      </c>
      <c r="N235" s="538" cm="1">
        <f t="array" ref="N235">IF(B235&gt;0,'Direct Costs 2026'!$C$44*B235,"N/A")</f>
        <v>110000</v>
      </c>
      <c r="O235" s="538" cm="1">
        <f t="array" ref="O235">IF(B235&gt;0,_xlfn.IFERROR(VLOOKUP(C232,'Boats Data Sheet 2026'!$C$3:$I$57,7,0)*'Direct Costs 2026'!$C$36,"N/A"),"N/A")</f>
        <v>3325000</v>
      </c>
      <c r="P235" s="538" cm="1">
        <f t="array" ref="P235">IF(B235&gt;0,IF(OR(VLOOKUP(C232,'Boats Data Sheet 2026'!$C$3:$F$57,4,0)="Own",VLOOKUP(C232,'Boats Data Sheet 2026'!$C$3:$F$57,4,0)="Management"),('Direct Costs 2026'!$C$37+'Direct Costs 2026'!$C$39),"N/A"),"N/A")</f>
        <v>1112400</v>
      </c>
      <c r="Q235" s="538" cm="1">
        <f t="array" ref="Q235">_xlfn.IFERROR(IF(B235&gt;5,IF(B235&gt;11,IF(B235&gt;15,4,3),2),IF(B235=0,"N/A",1))*SUM('Direct Costs 2026'!$C$67:$C$68),"N/A")</f>
        <v>489600</v>
      </c>
      <c r="R235" s="538" cm="1">
        <f t="array" ref="R235">_xlfn.IFERROR('Direct Costs 2026'!$C$27*C235,"N/A")</f>
        <v>0</v>
      </c>
      <c r="S235" s="538" cm="1">
        <f t="array" ref="S235">_xlfn.IFERROR(C235+SUM(E235:R235),"N/A")</f>
        <v>6606833.33333333</v>
      </c>
      <c r="T235" s="424"/>
      <c r="U235" s="538" cm="1">
        <f t="array" ref="U235">IF(B235&gt;0,'Allocation OH and Target 2026'!$E$27,"N/A")</f>
        <v>2134447.30345641</v>
      </c>
      <c r="V235" s="538" cm="1">
        <f t="array" ref="V235">IF(B235&gt;0,'Allocation OH and Target 2026'!$E$28,"N/A")</f>
        <v>200042.323056976</v>
      </c>
      <c r="W235" s="538" cm="1">
        <f t="array" ref="W235">IF(B235&gt;0,VLOOKUP(C232,'Allocation OH and Target 2026'!$C$3:$T$23,17,0),"N/A")</f>
        <v>1045367.28479263</v>
      </c>
      <c r="X235" s="538" cm="1">
        <f t="array" ref="X235">IF(B235&gt;0,VLOOKUP(C232,'Allocation OH and Target 2026'!$C$3:$T$23,18,0),"N/A")</f>
        <v>100551.729078014</v>
      </c>
      <c r="Y235" s="538" cm="1">
        <f t="array" ref="Y235">_xlfn.IFERROR(B235*(V235+X235),"N/A")</f>
        <v>300594.05213499</v>
      </c>
      <c r="Z235" s="424"/>
      <c r="AA235" s="538" cm="1">
        <f t="array" ref="AA235">_xlfn.IFERROR(Y235+S235,"N/A")</f>
        <v>6907427.38546832</v>
      </c>
      <c r="AB235" s="538" cm="1">
        <f t="array" ref="AB235">_xlfn.IFERROR(AA235*0.5%,"N/A")</f>
        <v>34537.1369273416</v>
      </c>
      <c r="AC235" s="538" cm="1">
        <f t="array" ref="AC235">_xlfn.IFERROR(AA235*25%,"N/A")</f>
        <v>1726856.84636708</v>
      </c>
      <c r="AD235" s="539" cm="1">
        <f t="array" ref="AD235">IF(B235&gt;0,SUM(AA235:AC235),"N/A")</f>
        <v>8668821.368762741</v>
      </c>
      <c r="AE235" s="538" cm="1">
        <f t="array" ref="AE235">_xlfn.IFERROR(AD235/B235,"N/A")</f>
        <v>8668821.368762741</v>
      </c>
      <c r="AF235" s="424"/>
      <c r="AG235" t="s" s="540">
        <v>14</v>
      </c>
      <c r="AH235" s="424" cm="1">
        <f t="array" ref="AH235">IF(AG235="N/A",0,1)</f>
        <v>0</v>
      </c>
      <c r="AI235" t="s" s="541">
        <v>14</v>
      </c>
      <c r="AJ235" s="424" cm="1">
        <f t="array" ref="AJ235">IF(AI235="N/A",0,1)</f>
        <v>0</v>
      </c>
      <c r="AK235" t="str" s="558" cm="1">
        <f t="array" ref="AK235">IF(SUM($AG$120:$AG$137)*B235&lt;SUM(AA235:AB235),"NO GO","GO")</f>
        <v>NO GO</v>
      </c>
      <c r="AL235" s="424"/>
      <c r="AM235" t="s" s="541">
        <v>589</v>
      </c>
      <c r="AN235" s="561" cm="1">
        <f t="array" ref="AN235">'Allocation OH and Target 2026'!M14</f>
        <v>2256</v>
      </c>
      <c r="AO235" s="538"/>
      <c r="AP235" s="542"/>
      <c r="AQ235" s="543" cm="1">
        <f t="array" ref="AQ235">B235</f>
        <v>1</v>
      </c>
      <c r="AR235" s="18"/>
    </row>
    <row r="236" ht="16" customHeight="1">
      <c r="A236" s="12"/>
      <c r="B236" s="544" cm="1">
        <f t="array" ref="B236">IF(B235=0,0,IF(B235&lt;VLOOKUP(C232,'Boats Data Sheet 2026'!$C$3:$H$57,6,0),B235+1,0))</f>
        <v>2</v>
      </c>
      <c r="C236" s="538" cm="1">
        <f t="array" ref="C236">IF(B236&gt;0,IF(VLOOKUP(C232,'Boats Data Sheet 2026'!$C$3:$J$57,8,0)="N/A",0,VLOOKUP(C232,'Boats Data Sheet 2026'!$C$3:$J$57,8,0)),"N/A")</f>
        <v>0</v>
      </c>
      <c r="D236" s="545" cm="1">
        <f t="array" ref="D236">IF(B236&gt;7,2,IF(B236=0,"N/A",1))</f>
        <v>1</v>
      </c>
      <c r="E236" s="538" cm="1">
        <f t="array" ref="E236">_xlfn.IFERROR(SUM('Direct Costs 2026'!$C$4:$C$5)*D236,"N/A")</f>
        <v>875500</v>
      </c>
      <c r="F236" s="538" cm="1">
        <f t="array" ref="F236">_xlfn.IFERROR('Direct Costs 2026'!$C$43*B236,"N/A")</f>
        <v>12000</v>
      </c>
      <c r="G236" s="538" cm="1">
        <f t="array" ref="G236">IF(B236&gt;0,'Direct Costs 2026'!$C$25,"N/A")</f>
        <v>90000</v>
      </c>
      <c r="H236" s="538" cm="1">
        <f t="array" ref="H236">IF(B236&gt;0,'Direct Costs 2026'!$C$19+'Direct Costs 2026'!$C$18*B236,"N/A")</f>
        <v>145000</v>
      </c>
      <c r="I236" s="538" cm="1">
        <f t="array" ref="I236">IF(B236&gt;0,SUM('Direct Costs 2026'!$C$20:$C$21),"N/A")</f>
        <v>98333.3333333333</v>
      </c>
      <c r="J236" s="538">
        <v>0</v>
      </c>
      <c r="K236" s="538" cm="1">
        <f t="array" ref="K236">_xlfn.IFERROR((IF(B236&gt;0,'Direct Costs 2026'!$C$15+'Direct Costs 2026'!$C$14,"N/A")),"N/A")</f>
        <v>230000</v>
      </c>
      <c r="L236" s="538" cm="1">
        <f t="array" ref="L236">IF(B236&gt;0,'Direct Costs 2026'!$C$26,"N/A")</f>
        <v>20000</v>
      </c>
      <c r="M236" s="538" cm="1">
        <f t="array" ref="M236">IF(B236&gt;0,'Direct Costs 2026'!$C$23,"N/A")</f>
        <v>140000</v>
      </c>
      <c r="N236" s="538" cm="1">
        <f t="array" ref="N236">IF(B236&gt;0,'Direct Costs 2026'!$C$44*B236,"N/A")</f>
        <v>220000</v>
      </c>
      <c r="O236" s="538" cm="1">
        <f t="array" ref="O236">IF(B236&gt;0,_xlfn.IFERROR(VLOOKUP(C232,'Boats Data Sheet 2026'!$C$3:$I$57,7,0)*'Direct Costs 2026'!$C$36,"N/A"),"N/A")</f>
        <v>3325000</v>
      </c>
      <c r="P236" s="538" cm="1">
        <f t="array" ref="P236">IF(B236&gt;0,IF(OR(VLOOKUP(C232,'Boats Data Sheet 2026'!$C$3:$F$57,4,0)="Own",VLOOKUP(C232,'Boats Data Sheet 2026'!$C$3:$F$57,4,0)="Management"),('Direct Costs 2026'!$C$37+'Direct Costs 2026'!$C$39),"N/A"),"N/A")</f>
        <v>1112400</v>
      </c>
      <c r="Q236" s="538" cm="1">
        <f t="array" ref="Q236">_xlfn.IFERROR(IF(B236&gt;5,IF(B236&gt;11,IF(B236&gt;15,4,3),2),IF(B236=0,"N/A",1))*SUM('Direct Costs 2026'!$C$67:$C$68),"N/A")</f>
        <v>489600</v>
      </c>
      <c r="R236" s="538" cm="1">
        <f t="array" ref="R236">_xlfn.IFERROR('Direct Costs 2026'!$C$27*C236,"N/A")</f>
        <v>0</v>
      </c>
      <c r="S236" s="538" cm="1">
        <f t="array" ref="S236">_xlfn.IFERROR(C236+SUM(E236:R236),"N/A")</f>
        <v>6757833.33333333</v>
      </c>
      <c r="T236" s="424"/>
      <c r="U236" s="538" cm="1">
        <f t="array" ref="U236">IF(B236&gt;0,'Allocation OH and Target 2026'!$E$27,"N/A")</f>
        <v>2134447.30345641</v>
      </c>
      <c r="V236" s="538" cm="1">
        <f t="array" ref="V236">IF(B236&gt;0,'Allocation OH and Target 2026'!$E$28,"N/A")</f>
        <v>200042.323056976</v>
      </c>
      <c r="W236" s="538" cm="1">
        <f t="array" ref="W236">IF(B236&gt;0,VLOOKUP(C232,'Allocation OH and Target 2026'!$C$3:$T$23,17,0),"N/A")</f>
        <v>1045367.28479263</v>
      </c>
      <c r="X236" s="538" cm="1">
        <f t="array" ref="X236">IF(B236&gt;0,VLOOKUP(C232,'Allocation OH and Target 2026'!$C$3:$T$23,18,0),"N/A")</f>
        <v>100551.729078014</v>
      </c>
      <c r="Y236" s="538" cm="1">
        <f t="array" ref="Y236">_xlfn.IFERROR(B236*(V236+X236),"N/A")</f>
        <v>601188.10426998</v>
      </c>
      <c r="Z236" s="424"/>
      <c r="AA236" s="538" cm="1">
        <f t="array" ref="AA236">_xlfn.IFERROR(Y236+S236,"N/A")</f>
        <v>7359021.43760331</v>
      </c>
      <c r="AB236" s="538" cm="1">
        <f t="array" ref="AB236">_xlfn.IFERROR(AA236*0.5%,"N/A")</f>
        <v>36795.1071880166</v>
      </c>
      <c r="AC236" s="538" cm="1">
        <f t="array" ref="AC236">_xlfn.IFERROR(AA236*25%,"N/A")</f>
        <v>1839755.35940083</v>
      </c>
      <c r="AD236" s="539" cm="1">
        <f t="array" ref="AD236">IF(B236&gt;0,SUM(AA236:AC236),"N/A")</f>
        <v>9235571.904192161</v>
      </c>
      <c r="AE236" s="538" cm="1">
        <f t="array" ref="AE236">_xlfn.IFERROR(AD236/B236,"N/A")</f>
        <v>4617785.95209608</v>
      </c>
      <c r="AF236" s="424"/>
      <c r="AG236" t="str" s="546" cm="1">
        <f t="array" ref="AG236">IF(B236/VLOOKUP(C232,'Boats Data Sheet 2026'!$C$3:$H$57,6,0)&gt;VLOOKUP(C232,'Allocation OH and Target 2026'!$C$3:$J$23,8,0),IF(SUM(AH234:AH235)=0,AE236,"N/A"),"N/A")</f>
        <v>N/A</v>
      </c>
      <c r="AH236" s="424" cm="1">
        <f t="array" ref="AH236">IF(AG236="N/A",0,1)</f>
        <v>0</v>
      </c>
      <c r="AI236" t="str" s="547" cm="1">
        <f t="array" ref="AI236">IF(B236/VLOOKUP(C232,'Boats Data Sheet 2026'!$C$3:$H$57,6,0)&gt;VLOOKUP(C232,'Allocation OH and Target 2026'!$C$3:$J$23,8,0),IF(SUM(AH234:AH235)=0,S236/B236,"N/A"),"N/A")</f>
        <v>N/A</v>
      </c>
      <c r="AJ236" s="424" cm="1">
        <f t="array" ref="AJ236">IF(AI236="N/A",0,1)</f>
        <v>0</v>
      </c>
      <c r="AK236" t="str" s="527" cm="1">
        <f t="array" ref="AK236">IF(SUM($AG$120:$AG$137)*B236&lt;SUM(AA236:AB236),"NO GO","GO")</f>
        <v>NO GO</v>
      </c>
      <c r="AL236" s="424"/>
      <c r="AM236" t="s" s="562">
        <v>546</v>
      </c>
      <c r="AN236" s="538"/>
      <c r="AO236" s="538"/>
      <c r="AP236" s="542"/>
      <c r="AQ236" s="543" cm="1">
        <f t="array" ref="AQ236">B236</f>
        <v>2</v>
      </c>
      <c r="AR236" s="18"/>
    </row>
    <row r="237" ht="16" customHeight="1">
      <c r="A237" s="12"/>
      <c r="B237" s="544" cm="1">
        <f t="array" ref="B237">IF(B236=0,0,IF(B236&lt;VLOOKUP(C232,'Boats Data Sheet 2026'!$C$3:$H$57,6,0),B236+1,0))</f>
        <v>3</v>
      </c>
      <c r="C237" s="538" cm="1">
        <f t="array" ref="C237">IF(B237&gt;0,IF(VLOOKUP(C232,'Boats Data Sheet 2026'!$C$3:$J$57,8,0)="N/A",0,VLOOKUP(C232,'Boats Data Sheet 2026'!$C$3:$J$57,8,0)),"N/A")</f>
        <v>0</v>
      </c>
      <c r="D237" s="545" cm="1">
        <f t="array" ref="D237">IF(B237&gt;7,2,IF(B237=0,"N/A",1))</f>
        <v>1</v>
      </c>
      <c r="E237" s="538" cm="1">
        <f t="array" ref="E237">_xlfn.IFERROR(SUM('Direct Costs 2026'!$C$4:$C$5)*D237,"N/A")</f>
        <v>875500</v>
      </c>
      <c r="F237" s="538" cm="1">
        <f t="array" ref="F237">_xlfn.IFERROR('Direct Costs 2026'!$C$43*B237,"N/A")</f>
        <v>18000</v>
      </c>
      <c r="G237" s="538" cm="1">
        <f t="array" ref="G237">IF(B237&gt;0,'Direct Costs 2026'!$C$25,"N/A")</f>
        <v>90000</v>
      </c>
      <c r="H237" s="538" cm="1">
        <f t="array" ref="H237">IF(B237&gt;0,'Direct Costs 2026'!$C$19+'Direct Costs 2026'!$C$18*B237,"N/A")</f>
        <v>180000</v>
      </c>
      <c r="I237" s="538" cm="1">
        <f t="array" ref="I237">IF(B237&gt;0,SUM('Direct Costs 2026'!$C$20:$C$21),"N/A")</f>
        <v>98333.3333333333</v>
      </c>
      <c r="J237" s="538">
        <v>0</v>
      </c>
      <c r="K237" s="538" cm="1">
        <f t="array" ref="K237">_xlfn.IFERROR((IF(B237&gt;0,'Direct Costs 2026'!$C$15+'Direct Costs 2026'!$C$14,"N/A")),"N/A")</f>
        <v>230000</v>
      </c>
      <c r="L237" s="538" cm="1">
        <f t="array" ref="L237">IF(B237&gt;0,'Direct Costs 2026'!$C$26,"N/A")</f>
        <v>20000</v>
      </c>
      <c r="M237" s="538" cm="1">
        <f t="array" ref="M237">IF(B237&gt;0,'Direct Costs 2026'!$C$23,"N/A")</f>
        <v>140000</v>
      </c>
      <c r="N237" s="538" cm="1">
        <f t="array" ref="N237">IF(B237&gt;0,'Direct Costs 2026'!$C$44*B237,"N/A")</f>
        <v>330000</v>
      </c>
      <c r="O237" s="538" cm="1">
        <f t="array" ref="O237">IF(B237&gt;0,_xlfn.IFERROR(VLOOKUP(C232,'Boats Data Sheet 2026'!$C$3:$I$57,7,0)*'Direct Costs 2026'!$C$36,"N/A"),"N/A")</f>
        <v>3325000</v>
      </c>
      <c r="P237" s="538" cm="1">
        <f t="array" ref="P237">IF(B237&gt;0,IF(OR(VLOOKUP(C232,'Boats Data Sheet 2026'!$C$3:$F$57,4,0)="Own",VLOOKUP(C232,'Boats Data Sheet 2026'!$C$3:$F$57,4,0)="Management"),('Direct Costs 2026'!$C$37+'Direct Costs 2026'!$C$39),"N/A"),"N/A")</f>
        <v>1112400</v>
      </c>
      <c r="Q237" s="538" cm="1">
        <f t="array" ref="Q237">_xlfn.IFERROR(IF(B237&gt;5,IF(B237&gt;11,IF(B237&gt;15,4,3),2),IF(B237=0,"N/A",1))*SUM('Direct Costs 2026'!$C$67:$C$68),"N/A")</f>
        <v>489600</v>
      </c>
      <c r="R237" s="538" cm="1">
        <f t="array" ref="R237">_xlfn.IFERROR('Direct Costs 2026'!$C$27*C237,"N/A")</f>
        <v>0</v>
      </c>
      <c r="S237" s="538" cm="1">
        <f t="array" ref="S237">_xlfn.IFERROR(C237+SUM(E237:R237),"N/A")</f>
        <v>6908833.33333333</v>
      </c>
      <c r="T237" s="424"/>
      <c r="U237" s="538" cm="1">
        <f t="array" ref="U237">IF(B237&gt;0,'Allocation OH and Target 2026'!$E$27,"N/A")</f>
        <v>2134447.30345641</v>
      </c>
      <c r="V237" s="538" cm="1">
        <f t="array" ref="V237">IF(B237&gt;0,'Allocation OH and Target 2026'!$E$28,"N/A")</f>
        <v>200042.323056976</v>
      </c>
      <c r="W237" s="538" cm="1">
        <f t="array" ref="W237">IF(B237&gt;0,VLOOKUP(C232,'Allocation OH and Target 2026'!$C$3:$T$23,17,0),"N/A")</f>
        <v>1045367.28479263</v>
      </c>
      <c r="X237" s="538" cm="1">
        <f t="array" ref="X237">IF(B237&gt;0,VLOOKUP(C232,'Allocation OH and Target 2026'!$C$3:$T$23,18,0),"N/A")</f>
        <v>100551.729078014</v>
      </c>
      <c r="Y237" s="538" cm="1">
        <f t="array" ref="Y237">_xlfn.IFERROR(B237*(V237+X237),"N/A")</f>
        <v>901782.15640497</v>
      </c>
      <c r="Z237" s="424"/>
      <c r="AA237" s="538" cm="1">
        <f t="array" ref="AA237">_xlfn.IFERROR(Y237+S237,"N/A")</f>
        <v>7810615.4897383</v>
      </c>
      <c r="AB237" s="538" cm="1">
        <f t="array" ref="AB237">_xlfn.IFERROR(AA237*0.5%,"N/A")</f>
        <v>39053.0774486915</v>
      </c>
      <c r="AC237" s="538" cm="1">
        <f t="array" ref="AC237">_xlfn.IFERROR(AA237*25%,"N/A")</f>
        <v>1952653.87243458</v>
      </c>
      <c r="AD237" s="539" cm="1">
        <f t="array" ref="AD237">IF(B237&gt;0,SUM(AA237:AC237),"N/A")</f>
        <v>9802322.43962157</v>
      </c>
      <c r="AE237" s="538" cm="1">
        <f t="array" ref="AE237">_xlfn.IFERROR(AD237/B237,"N/A")</f>
        <v>3267440.81320719</v>
      </c>
      <c r="AF237" s="424"/>
      <c r="AG237" t="str" s="546" cm="1">
        <f t="array" ref="AG237">IF(B237/VLOOKUP(C232,'Boats Data Sheet 2026'!$C$3:$H$57,6,0)&gt;VLOOKUP(C232,'Allocation OH and Target 2026'!$C$3:$J$23,8,0),IF(SUM(AH234:AH236)=0,AE237,"N/A"),"N/A")</f>
        <v>N/A</v>
      </c>
      <c r="AH237" s="424" cm="1">
        <f t="array" ref="AH237">IF(AG237="N/A",0,1)</f>
        <v>0</v>
      </c>
      <c r="AI237" t="str" s="547" cm="1">
        <f t="array" ref="AI237">IF(B237/VLOOKUP(C232,'Boats Data Sheet 2026'!$C$3:$H$57,6,0)&gt;VLOOKUP(C232,'Allocation OH and Target 2026'!$C$3:$J$23,8,0),IF(SUM(AH234:AH236)=0,S237/B237,"N/A"),"N/A")</f>
        <v>N/A</v>
      </c>
      <c r="AJ237" s="424" cm="1">
        <f t="array" ref="AJ237">IF(AI237="N/A",0,1)</f>
        <v>0</v>
      </c>
      <c r="AK237" t="str" s="527" cm="1">
        <f t="array" ref="AK237">IF(SUM($AG$120:$AG$137)*B237&lt;SUM(AA237:AB237),"NO GO","GO")</f>
        <v>NO GO</v>
      </c>
      <c r="AL237" s="424"/>
      <c r="AM237" t="s" s="541">
        <v>547</v>
      </c>
      <c r="AN237" s="538" cm="1">
        <f t="array" ref="AN237">AN235*'RECOMMENDED PRICES'!$D$8</f>
        <v>3135840000</v>
      </c>
      <c r="AO237" s="538"/>
      <c r="AP237" s="542"/>
      <c r="AQ237" s="543" cm="1">
        <f t="array" ref="AQ237">B237</f>
        <v>3</v>
      </c>
      <c r="AR237" s="18"/>
    </row>
    <row r="238" ht="16" customHeight="1">
      <c r="A238" s="12"/>
      <c r="B238" s="544" cm="1">
        <f t="array" ref="B238">IF(B237=0,0,IF(B237&lt;VLOOKUP(C232,'Boats Data Sheet 2026'!$C$3:$H$57,6,0),B237+1,0))</f>
        <v>4</v>
      </c>
      <c r="C238" s="538" cm="1">
        <f t="array" ref="C238">IF(B238&gt;0,IF(VLOOKUP(C232,'Boats Data Sheet 2026'!$C$3:$J$57,8,0)="N/A",0,VLOOKUP(C232,'Boats Data Sheet 2026'!$C$3:$J$57,8,0)),"N/A")</f>
        <v>0</v>
      </c>
      <c r="D238" s="545" cm="1">
        <f t="array" ref="D238">IF(B238&gt;7,2,IF(B238=0,"N/A",1))</f>
        <v>1</v>
      </c>
      <c r="E238" s="538" cm="1">
        <f t="array" ref="E238">_xlfn.IFERROR(SUM('Direct Costs 2026'!$C$4:$C$5)*D238,"N/A")</f>
        <v>875500</v>
      </c>
      <c r="F238" s="538" cm="1">
        <f t="array" ref="F238">_xlfn.IFERROR('Direct Costs 2026'!$C$43*B238,"N/A")</f>
        <v>24000</v>
      </c>
      <c r="G238" s="538" cm="1">
        <f t="array" ref="G238">IF(B238&gt;0,'Direct Costs 2026'!$C$25,"N/A")</f>
        <v>90000</v>
      </c>
      <c r="H238" s="538" cm="1">
        <f t="array" ref="H238">IF(B238&gt;0,'Direct Costs 2026'!$C$19+'Direct Costs 2026'!$C$18*B238,"N/A")</f>
        <v>215000</v>
      </c>
      <c r="I238" s="538" cm="1">
        <f t="array" ref="I238">IF(B238&gt;0,SUM('Direct Costs 2026'!$C$20:$C$21),"N/A")</f>
        <v>98333.3333333333</v>
      </c>
      <c r="J238" s="538">
        <v>0</v>
      </c>
      <c r="K238" s="538" cm="1">
        <f t="array" ref="K238">_xlfn.IFERROR((IF(B238&gt;0,'Direct Costs 2026'!$C$15+'Direct Costs 2026'!$C$14,"N/A")),"N/A")</f>
        <v>230000</v>
      </c>
      <c r="L238" s="538" cm="1">
        <f t="array" ref="L238">IF(B238&gt;0,'Direct Costs 2026'!$C$26,"N/A")</f>
        <v>20000</v>
      </c>
      <c r="M238" s="538" cm="1">
        <f t="array" ref="M238">IF(B238&gt;0,'Direct Costs 2026'!$C$23,"N/A")</f>
        <v>140000</v>
      </c>
      <c r="N238" s="538" cm="1">
        <f t="array" ref="N238">IF(B238&gt;0,'Direct Costs 2026'!$C$44*B238,"N/A")</f>
        <v>440000</v>
      </c>
      <c r="O238" s="538" cm="1">
        <f t="array" ref="O238">IF(B238&gt;0,_xlfn.IFERROR(VLOOKUP(C232,'Boats Data Sheet 2026'!$C$3:$I$57,7,0)*'Direct Costs 2026'!$C$36,"N/A"),"N/A")</f>
        <v>3325000</v>
      </c>
      <c r="P238" s="538" cm="1">
        <f t="array" ref="P238">IF(B238&gt;0,IF(OR(VLOOKUP(C232,'Boats Data Sheet 2026'!$C$3:$F$57,4,0)="Own",VLOOKUP(C232,'Boats Data Sheet 2026'!$C$3:$F$57,4,0)="Management"),('Direct Costs 2026'!$C$37+'Direct Costs 2026'!$C$39),"N/A"),"N/A")</f>
        <v>1112400</v>
      </c>
      <c r="Q238" s="538" cm="1">
        <f t="array" ref="Q238">_xlfn.IFERROR(IF(B238&gt;5,IF(B238&gt;11,IF(B238&gt;15,4,3),2),IF(B238=0,"N/A",1))*SUM('Direct Costs 2026'!$C$67:$C$68),"N/A")</f>
        <v>489600</v>
      </c>
      <c r="R238" s="538" cm="1">
        <f t="array" ref="R238">_xlfn.IFERROR('Direct Costs 2026'!$C$27*C238,"N/A")</f>
        <v>0</v>
      </c>
      <c r="S238" s="538" cm="1">
        <f t="array" ref="S238">_xlfn.IFERROR(C238+SUM(E238:R238),"N/A")</f>
        <v>7059833.33333333</v>
      </c>
      <c r="T238" s="424"/>
      <c r="U238" s="538" cm="1">
        <f t="array" ref="U238">IF(B238&gt;0,'Allocation OH and Target 2026'!$E$27,"N/A")</f>
        <v>2134447.30345641</v>
      </c>
      <c r="V238" s="538" cm="1">
        <f t="array" ref="V238">IF(B238&gt;0,'Allocation OH and Target 2026'!$E$28,"N/A")</f>
        <v>200042.323056976</v>
      </c>
      <c r="W238" s="538" cm="1">
        <f t="array" ref="W238">IF(B238&gt;0,VLOOKUP(C232,'Allocation OH and Target 2026'!$C$3:$T$23,17,0),"N/A")</f>
        <v>1045367.28479263</v>
      </c>
      <c r="X238" s="538" cm="1">
        <f t="array" ref="X238">IF(B238&gt;0,VLOOKUP(C232,'Allocation OH and Target 2026'!$C$3:$T$23,18,0),"N/A")</f>
        <v>100551.729078014</v>
      </c>
      <c r="Y238" s="538" cm="1">
        <f t="array" ref="Y238">_xlfn.IFERROR(B238*(V238+X238),"N/A")</f>
        <v>1202376.20853996</v>
      </c>
      <c r="Z238" s="424"/>
      <c r="AA238" s="538" cm="1">
        <f t="array" ref="AA238">_xlfn.IFERROR(Y238+S238,"N/A")</f>
        <v>8262209.54187329</v>
      </c>
      <c r="AB238" s="538" cm="1">
        <f t="array" ref="AB238">_xlfn.IFERROR(AA238*0.5%,"N/A")</f>
        <v>41311.0477093665</v>
      </c>
      <c r="AC238" s="538" cm="1">
        <f t="array" ref="AC238">_xlfn.IFERROR(AA238*25%,"N/A")</f>
        <v>2065552.38546832</v>
      </c>
      <c r="AD238" s="539" cm="1">
        <f t="array" ref="AD238">IF(B238&gt;0,SUM(AA238:AC238),"N/A")</f>
        <v>10369072.975051</v>
      </c>
      <c r="AE238" s="538" cm="1">
        <f t="array" ref="AE238">_xlfn.IFERROR(AD238/B238,"N/A")</f>
        <v>2592268.24376275</v>
      </c>
      <c r="AF238" s="424"/>
      <c r="AG238" t="str" s="546" cm="1">
        <f t="array" ref="AG238">IF(B238/VLOOKUP(C232,'Boats Data Sheet 2026'!$C$3:$H$57,6,0)&gt;VLOOKUP(C232,'Allocation OH and Target 2026'!$C$3:$J$23,8,0),IF(SUM(AH234:AH237)=0,AE238,"N/A"),"N/A")</f>
        <v>N/A</v>
      </c>
      <c r="AH238" s="424" cm="1">
        <f t="array" ref="AH238">IF(AG238="N/A",0,1)</f>
        <v>0</v>
      </c>
      <c r="AI238" t="str" s="547" cm="1">
        <f t="array" ref="AI238">IF(B238/VLOOKUP(C232,'Boats Data Sheet 2026'!$C$3:$H$57,6,0)&gt;VLOOKUP(C232,'Allocation OH and Target 2026'!$C$3:$J$23,8,0),IF(SUM(AH234:AH237)=0,S238/B238,"N/A"),"N/A")</f>
        <v>N/A</v>
      </c>
      <c r="AJ238" s="424" cm="1">
        <f t="array" ref="AJ238">IF(AI238="N/A",0,1)</f>
        <v>0</v>
      </c>
      <c r="AK238" t="str" s="527" cm="1">
        <f t="array" ref="AK238">IF(SUM($AG$120:$AG$137)*B238&lt;SUM(AA238:AB238),"NO GO","GO")</f>
        <v>NO GO</v>
      </c>
      <c r="AL238" s="424"/>
      <c r="AM238" t="s" s="562">
        <v>550</v>
      </c>
      <c r="AN238" s="538"/>
      <c r="AO238" s="538"/>
      <c r="AP238" s="542"/>
      <c r="AQ238" s="543" cm="1">
        <f t="array" ref="AQ238">B238</f>
        <v>4</v>
      </c>
      <c r="AR238" s="18"/>
    </row>
    <row r="239" ht="16" customHeight="1">
      <c r="A239" s="12"/>
      <c r="B239" s="544" cm="1">
        <f t="array" ref="B239">IF(B238=0,0,IF(B238&lt;VLOOKUP(C232,'Boats Data Sheet 2026'!$C$3:$H$57,6,0),B238+1,0))</f>
        <v>5</v>
      </c>
      <c r="C239" s="538" cm="1">
        <f t="array" ref="C239">IF(B239&gt;0,IF(VLOOKUP(C232,'Boats Data Sheet 2026'!$C$3:$J$57,8,0)="N/A",0,VLOOKUP(C232,'Boats Data Sheet 2026'!$C$3:$J$57,8,0)),"N/A")</f>
        <v>0</v>
      </c>
      <c r="D239" s="545" cm="1">
        <f t="array" ref="D239">IF(B239&gt;7,2,IF(B239=0,"N/A",1))</f>
        <v>1</v>
      </c>
      <c r="E239" s="538" cm="1">
        <f t="array" ref="E239">_xlfn.IFERROR(SUM('Direct Costs 2026'!$C$4:$C$5)*D239,"N/A")</f>
        <v>875500</v>
      </c>
      <c r="F239" s="538" cm="1">
        <f t="array" ref="F239">_xlfn.IFERROR('Direct Costs 2026'!$C$43*B239,"N/A")</f>
        <v>30000</v>
      </c>
      <c r="G239" s="538" cm="1">
        <f t="array" ref="G239">IF(B239&gt;0,'Direct Costs 2026'!$C$25,"N/A")</f>
        <v>90000</v>
      </c>
      <c r="H239" s="538" cm="1">
        <f t="array" ref="H239">IF(B239&gt;0,'Direct Costs 2026'!$C$19+'Direct Costs 2026'!$C$18*B239,"N/A")</f>
        <v>250000</v>
      </c>
      <c r="I239" s="538" cm="1">
        <f t="array" ref="I239">IF(B239&gt;0,SUM('Direct Costs 2026'!$C$20:$C$21),"N/A")</f>
        <v>98333.3333333333</v>
      </c>
      <c r="J239" s="538">
        <v>0</v>
      </c>
      <c r="K239" s="538" cm="1">
        <f t="array" ref="K239">_xlfn.IFERROR((IF(B239&gt;0,'Direct Costs 2026'!$C$15+'Direct Costs 2026'!$C$14,"N/A")),"N/A")</f>
        <v>230000</v>
      </c>
      <c r="L239" s="538" cm="1">
        <f t="array" ref="L239">IF(B239&gt;0,'Direct Costs 2026'!$C$26,"N/A")</f>
        <v>20000</v>
      </c>
      <c r="M239" s="538" cm="1">
        <f t="array" ref="M239">IF(B239&gt;0,'Direct Costs 2026'!$C$23,"N/A")</f>
        <v>140000</v>
      </c>
      <c r="N239" s="538" cm="1">
        <f t="array" ref="N239">IF(B239&gt;0,'Direct Costs 2026'!$C$44*B239,"N/A")</f>
        <v>550000</v>
      </c>
      <c r="O239" s="538" cm="1">
        <f t="array" ref="O239">IF(B239&gt;0,_xlfn.IFERROR(VLOOKUP(C232,'Boats Data Sheet 2026'!$C$3:$I$57,7,0)*'Direct Costs 2026'!$C$36,"N/A"),"N/A")</f>
        <v>3325000</v>
      </c>
      <c r="P239" s="538" cm="1">
        <f t="array" ref="P239">IF(B239&gt;0,IF(OR(VLOOKUP(C232,'Boats Data Sheet 2026'!$C$3:$F$57,4,0)="Own",VLOOKUP(C232,'Boats Data Sheet 2026'!$C$3:$F$57,4,0)="Management"),('Direct Costs 2026'!$C$37+'Direct Costs 2026'!$C$39),"N/A"),"N/A")</f>
        <v>1112400</v>
      </c>
      <c r="Q239" s="538" cm="1">
        <f t="array" ref="Q239">_xlfn.IFERROR(IF(B239&gt;5,IF(B239&gt;11,IF(B239&gt;15,4,3),2),IF(B239=0,"N/A",1))*SUM('Direct Costs 2026'!$C$67:$C$68),"N/A")</f>
        <v>489600</v>
      </c>
      <c r="R239" s="538" cm="1">
        <f t="array" ref="R239">_xlfn.IFERROR('Direct Costs 2026'!$C$27*C239,"N/A")</f>
        <v>0</v>
      </c>
      <c r="S239" s="538" cm="1">
        <f t="array" ref="S239">_xlfn.IFERROR(C239+SUM(E239:R239),"N/A")</f>
        <v>7210833.33333333</v>
      </c>
      <c r="T239" s="424"/>
      <c r="U239" s="538" cm="1">
        <f t="array" ref="U239">IF(B239&gt;0,'Allocation OH and Target 2026'!$E$27,"N/A")</f>
        <v>2134447.30345641</v>
      </c>
      <c r="V239" s="538" cm="1">
        <f t="array" ref="V239">IF(B239&gt;0,'Allocation OH and Target 2026'!$E$28,"N/A")</f>
        <v>200042.323056976</v>
      </c>
      <c r="W239" s="538" cm="1">
        <f t="array" ref="W239">IF(B239&gt;0,VLOOKUP(C232,'Allocation OH and Target 2026'!$C$3:$T$23,17,0),"N/A")</f>
        <v>1045367.28479263</v>
      </c>
      <c r="X239" s="538" cm="1">
        <f t="array" ref="X239">IF(B239&gt;0,VLOOKUP(C232,'Allocation OH and Target 2026'!$C$3:$T$23,18,0),"N/A")</f>
        <v>100551.729078014</v>
      </c>
      <c r="Y239" s="538" cm="1">
        <f t="array" ref="Y239">_xlfn.IFERROR(B239*(V239+X239),"N/A")</f>
        <v>1502970.26067495</v>
      </c>
      <c r="Z239" s="424"/>
      <c r="AA239" s="538" cm="1">
        <f t="array" ref="AA239">_xlfn.IFERROR(Y239+S239,"N/A")</f>
        <v>8713803.59400828</v>
      </c>
      <c r="AB239" s="538" cm="1">
        <f t="array" ref="AB239">_xlfn.IFERROR(AA239*0.5%,"N/A")</f>
        <v>43569.0179700414</v>
      </c>
      <c r="AC239" s="538" cm="1">
        <f t="array" ref="AC239">_xlfn.IFERROR(AA239*25%,"N/A")</f>
        <v>2178450.89850207</v>
      </c>
      <c r="AD239" s="539" cm="1">
        <f t="array" ref="AD239">IF(B239&gt;0,SUM(AA239:AC239),"N/A")</f>
        <v>10935823.5104804</v>
      </c>
      <c r="AE239" s="538" cm="1">
        <f t="array" ref="AE239">_xlfn.IFERROR(AD239/B239,"N/A")</f>
        <v>2187164.70209608</v>
      </c>
      <c r="AF239" s="424"/>
      <c r="AG239" t="str" s="546" cm="1">
        <f t="array" ref="AG239">IF(B239/VLOOKUP(C232,'Boats Data Sheet 2026'!$C$3:$H$57,6,0)&gt;VLOOKUP(C232,'Allocation OH and Target 2026'!$C$3:$J$23,8,0),IF(SUM(AH234:AH238)=0,AE239,"N/A"),"N/A")</f>
        <v>N/A</v>
      </c>
      <c r="AH239" s="424" cm="1">
        <f t="array" ref="AH239">IF(AG239="N/A",0,1)</f>
        <v>0</v>
      </c>
      <c r="AI239" t="str" s="547" cm="1">
        <f t="array" ref="AI239">IF(B239/VLOOKUP(C232,'Boats Data Sheet 2026'!$C$3:$H$57,6,0)&gt;VLOOKUP(C232,'Allocation OH and Target 2026'!$C$3:$J$23,8,0),IF(SUM(AH234:AH238)=0,S239/B239,"N/A"),"N/A")</f>
        <v>N/A</v>
      </c>
      <c r="AJ239" s="424" cm="1">
        <f t="array" ref="AJ239">IF(AI239="N/A",0,1)</f>
        <v>0</v>
      </c>
      <c r="AK239" t="str" s="527" cm="1">
        <f t="array" ref="AK239">IF(SUM($AG$120:$AG$137)*B239&lt;SUM(AA239:AB239),"NO GO","GO")</f>
        <v>NO GO</v>
      </c>
      <c r="AL239" s="424"/>
      <c r="AM239" t="s" s="541">
        <v>551</v>
      </c>
      <c r="AN239" s="563" cm="1">
        <f t="array" ref="AN239">(AA246/B246)*AN235</f>
        <v>2581176448.2832</v>
      </c>
      <c r="AO239" s="538"/>
      <c r="AP239" s="542"/>
      <c r="AQ239" s="543" cm="1">
        <f t="array" ref="AQ239">B239</f>
        <v>5</v>
      </c>
      <c r="AR239" s="18"/>
    </row>
    <row r="240" ht="16" customHeight="1">
      <c r="A240" s="12"/>
      <c r="B240" s="544" cm="1">
        <f t="array" ref="B240">IF(B239=0,0,IF(B239&lt;VLOOKUP(C232,'Boats Data Sheet 2026'!$C$3:$H$57,6,0),B239+1,0))</f>
        <v>6</v>
      </c>
      <c r="C240" s="538" cm="1">
        <f t="array" ref="C240">IF(B240&gt;0,IF(VLOOKUP(C232,'Boats Data Sheet 2026'!$C$3:$J$57,8,0)="N/A",0,VLOOKUP(C232,'Boats Data Sheet 2026'!$C$3:$J$57,8,0)),"N/A")</f>
        <v>0</v>
      </c>
      <c r="D240" s="545" cm="1">
        <f t="array" ref="D240">IF(B240&gt;7,2,IF(B240=0,"N/A",1))</f>
        <v>1</v>
      </c>
      <c r="E240" s="538" cm="1">
        <f t="array" ref="E240">_xlfn.IFERROR(SUM('Direct Costs 2026'!$C$4:$C$5)*D240,"N/A")</f>
        <v>875500</v>
      </c>
      <c r="F240" s="538" cm="1">
        <f t="array" ref="F240">_xlfn.IFERROR('Direct Costs 2026'!$C$43*B240,"N/A")</f>
        <v>36000</v>
      </c>
      <c r="G240" s="538" cm="1">
        <f t="array" ref="G240">IF(B240&gt;0,'Direct Costs 2026'!$C$25,"N/A")</f>
        <v>90000</v>
      </c>
      <c r="H240" s="538" cm="1">
        <f t="array" ref="H240">IF(B240&gt;0,'Direct Costs 2026'!$C$19+'Direct Costs 2026'!$C$18*B240,"N/A")</f>
        <v>285000</v>
      </c>
      <c r="I240" s="538" cm="1">
        <f t="array" ref="I240">IF(B240&gt;0,SUM('Direct Costs 2026'!$C$20:$C$21),"N/A")</f>
        <v>98333.3333333333</v>
      </c>
      <c r="J240" s="538">
        <v>0</v>
      </c>
      <c r="K240" s="538" cm="1">
        <f t="array" ref="K240">_xlfn.IFERROR((IF(B240&gt;0,'Direct Costs 2026'!$C$15+'Direct Costs 2026'!$C$14,"N/A")),"N/A")</f>
        <v>230000</v>
      </c>
      <c r="L240" s="538" cm="1">
        <f t="array" ref="L240">IF(B240&gt;0,'Direct Costs 2026'!$C$26,"N/A")</f>
        <v>20000</v>
      </c>
      <c r="M240" s="538" cm="1">
        <f t="array" ref="M240">IF(B240&gt;0,'Direct Costs 2026'!$C$23,"N/A")</f>
        <v>140000</v>
      </c>
      <c r="N240" s="538" cm="1">
        <f t="array" ref="N240">IF(B240&gt;0,'Direct Costs 2026'!$C$44*B240,"N/A")</f>
        <v>660000</v>
      </c>
      <c r="O240" s="538" cm="1">
        <f t="array" ref="O240">IF(B240&gt;0,_xlfn.IFERROR(VLOOKUP(C232,'Boats Data Sheet 2026'!$C$3:$I$57,7,0)*'Direct Costs 2026'!$C$36,"N/A"),"N/A")</f>
        <v>3325000</v>
      </c>
      <c r="P240" s="538" cm="1">
        <f t="array" ref="P240">IF(B240&gt;0,IF(OR(VLOOKUP(C232,'Boats Data Sheet 2026'!$C$3:$F$57,4,0)="Own",VLOOKUP(C232,'Boats Data Sheet 2026'!$C$3:$F$57,4,0)="Management"),('Direct Costs 2026'!$C$37+'Direct Costs 2026'!$C$39),"N/A"),"N/A")</f>
        <v>1112400</v>
      </c>
      <c r="Q240" s="538" cm="1">
        <f t="array" ref="Q240">_xlfn.IFERROR(IF(B240&gt;5,IF(B240&gt;11,IF(B240&gt;15,4,3),2),IF(B240=0,"N/A",1))*SUM('Direct Costs 2026'!$C$67:$C$68),"N/A")</f>
        <v>979200</v>
      </c>
      <c r="R240" s="538" cm="1">
        <f t="array" ref="R240">_xlfn.IFERROR('Direct Costs 2026'!$C$27*C240,"N/A")</f>
        <v>0</v>
      </c>
      <c r="S240" s="538" cm="1">
        <f t="array" ref="S240">_xlfn.IFERROR(C240+SUM(E240:R240),"N/A")</f>
        <v>7851433.33333333</v>
      </c>
      <c r="T240" s="424"/>
      <c r="U240" s="538" cm="1">
        <f t="array" ref="U240">IF(B240&gt;0,'Allocation OH and Target 2026'!$E$27,"N/A")</f>
        <v>2134447.30345641</v>
      </c>
      <c r="V240" s="538" cm="1">
        <f t="array" ref="V240">IF(B240&gt;0,'Allocation OH and Target 2026'!$E$28,"N/A")</f>
        <v>200042.323056976</v>
      </c>
      <c r="W240" s="538" cm="1">
        <f t="array" ref="W240">IF(B240&gt;0,VLOOKUP(C232,'Allocation OH and Target 2026'!$C$3:$T$23,17,0),"N/A")</f>
        <v>1045367.28479263</v>
      </c>
      <c r="X240" s="538" cm="1">
        <f t="array" ref="X240">IF(B240&gt;0,VLOOKUP(C232,'Allocation OH and Target 2026'!$C$3:$T$23,18,0),"N/A")</f>
        <v>100551.729078014</v>
      </c>
      <c r="Y240" s="538" cm="1">
        <f t="array" ref="Y240">_xlfn.IFERROR(B240*(V240+X240),"N/A")</f>
        <v>1803564.31280994</v>
      </c>
      <c r="Z240" s="424"/>
      <c r="AA240" s="538" cm="1">
        <f t="array" ref="AA240">_xlfn.IFERROR(Y240+S240,"N/A")</f>
        <v>9654997.646143271</v>
      </c>
      <c r="AB240" s="538" cm="1">
        <f t="array" ref="AB240">_xlfn.IFERROR(AA240*0.5%,"N/A")</f>
        <v>48274.9882307164</v>
      </c>
      <c r="AC240" s="538" cm="1">
        <f t="array" ref="AC240">_xlfn.IFERROR(AA240*25%,"N/A")</f>
        <v>2413749.41153582</v>
      </c>
      <c r="AD240" s="539" cm="1">
        <f t="array" ref="AD240">IF(B240&gt;0,SUM(AA240:AC240),"N/A")</f>
        <v>12117022.0459098</v>
      </c>
      <c r="AE240" s="538" cm="1">
        <f t="array" ref="AE240">_xlfn.IFERROR(AD240/B240,"N/A")</f>
        <v>2019503.6743183</v>
      </c>
      <c r="AF240" s="424"/>
      <c r="AG240" t="str" s="546" cm="1">
        <f t="array" ref="AG240">IF(B240/VLOOKUP(C232,'Boats Data Sheet 2026'!$C$3:$H$57,6,0)&gt;VLOOKUP(C232,'Allocation OH and Target 2026'!$C$3:$J$23,8,0),IF(SUM(AH234:AH239)=0,AE240,"N/A"),"N/A")</f>
        <v>N/A</v>
      </c>
      <c r="AH240" s="424" cm="1">
        <f t="array" ref="AH240">IF(AG240="N/A",0,1)</f>
        <v>0</v>
      </c>
      <c r="AI240" t="str" s="547" cm="1">
        <f t="array" ref="AI240">IF(B240/VLOOKUP(C232,'Boats Data Sheet 2026'!$C$3:$H$57,6,0)&gt;VLOOKUP(C232,'Allocation OH and Target 2026'!$C$3:$J$23,8,0),IF(SUM(AH234:AH239)=0,S240/B240,"N/A"),"N/A")</f>
        <v>N/A</v>
      </c>
      <c r="AJ240" s="424" cm="1">
        <f t="array" ref="AJ240">IF(AI240="N/A",0,1)</f>
        <v>0</v>
      </c>
      <c r="AK240" t="str" s="527" cm="1">
        <f t="array" ref="AK240">IF(SUM($AG$120:$AG$137)*B240&lt;SUM(AA240:AB240),"NO GO","GO")</f>
        <v>NO GO</v>
      </c>
      <c r="AL240" s="424"/>
      <c r="AM240" t="s" s="562">
        <v>394</v>
      </c>
      <c r="AN240" s="564" cm="1">
        <f t="array" ref="AN240">AN237-AN239</f>
        <v>554663551.7168</v>
      </c>
      <c r="AO240" s="538"/>
      <c r="AP240" s="542"/>
      <c r="AQ240" s="543" cm="1">
        <f t="array" ref="AQ240">B240</f>
        <v>6</v>
      </c>
      <c r="AR240" s="18"/>
    </row>
    <row r="241" ht="16" customHeight="1">
      <c r="A241" s="12"/>
      <c r="B241" s="544" cm="1">
        <f t="array" ref="B241">IF(B240=0,0,IF(B240&lt;VLOOKUP(C232,'Boats Data Sheet 2026'!$C$3:$H$57,6,0),B240+1,0))</f>
        <v>7</v>
      </c>
      <c r="C241" s="538" cm="1">
        <f t="array" ref="C241">IF(B241&gt;0,IF(VLOOKUP(C232,'Boats Data Sheet 2026'!$C$3:$J$57,8,0)="N/A",0,VLOOKUP(C232,'Boats Data Sheet 2026'!$C$3:$J$57,8,0)),"N/A")</f>
        <v>0</v>
      </c>
      <c r="D241" s="545" cm="1">
        <f t="array" ref="D241">IF(B241&gt;7,2,IF(B241=0,"N/A",1))</f>
        <v>1</v>
      </c>
      <c r="E241" s="538" cm="1">
        <f t="array" ref="E241">_xlfn.IFERROR(SUM('Direct Costs 2026'!$C$4:$C$5)*D241,"N/A")</f>
        <v>875500</v>
      </c>
      <c r="F241" s="538" cm="1">
        <f t="array" ref="F241">_xlfn.IFERROR('Direct Costs 2026'!$C$43*B241,"N/A")</f>
        <v>42000</v>
      </c>
      <c r="G241" s="538" cm="1">
        <f t="array" ref="G241">IF(B241&gt;0,'Direct Costs 2026'!$C$25,"N/A")</f>
        <v>90000</v>
      </c>
      <c r="H241" s="538" cm="1">
        <f t="array" ref="H241">IF(B241&gt;0,'Direct Costs 2026'!$C$19+'Direct Costs 2026'!$C$18*B241,"N/A")</f>
        <v>320000</v>
      </c>
      <c r="I241" s="538" cm="1">
        <f t="array" ref="I241">IF(B241&gt;0,SUM('Direct Costs 2026'!$C$20:$C$21),"N/A")</f>
        <v>98333.3333333333</v>
      </c>
      <c r="J241" s="538">
        <v>0</v>
      </c>
      <c r="K241" s="538" cm="1">
        <f t="array" ref="K241">_xlfn.IFERROR((IF(B241&gt;0,'Direct Costs 2026'!$C$15+'Direct Costs 2026'!$C$14,"N/A")),"N/A")</f>
        <v>230000</v>
      </c>
      <c r="L241" s="538" cm="1">
        <f t="array" ref="L241">IF(B241&gt;0,'Direct Costs 2026'!$C$26,"N/A")</f>
        <v>20000</v>
      </c>
      <c r="M241" s="538" cm="1">
        <f t="array" ref="M241">IF(B241&gt;0,'Direct Costs 2026'!$C$23,"N/A")</f>
        <v>140000</v>
      </c>
      <c r="N241" s="538" cm="1">
        <f t="array" ref="N241">IF(B241&gt;0,'Direct Costs 2026'!$C$44*B241,"N/A")</f>
        <v>770000</v>
      </c>
      <c r="O241" s="538" cm="1">
        <f t="array" ref="O241">IF(B241&gt;0,_xlfn.IFERROR(VLOOKUP(C232,'Boats Data Sheet 2026'!$C$3:$I$57,7,0)*'Direct Costs 2026'!$C$36,"N/A"),"N/A")</f>
        <v>3325000</v>
      </c>
      <c r="P241" s="538" cm="1">
        <f t="array" ref="P241">IF(B241&gt;0,IF(OR(VLOOKUP(C232,'Boats Data Sheet 2026'!$C$3:$F$57,4,0)="Own",VLOOKUP(C232,'Boats Data Sheet 2026'!$C$3:$F$57,4,0)="Management"),('Direct Costs 2026'!$C$37+'Direct Costs 2026'!$C$39),"N/A"),"N/A")</f>
        <v>1112400</v>
      </c>
      <c r="Q241" s="538" cm="1">
        <f t="array" ref="Q241">_xlfn.IFERROR(IF(B241&gt;5,IF(B241&gt;11,IF(B241&gt;15,4,3),2),IF(B241=0,"N/A",1))*SUM('Direct Costs 2026'!$C$67:$C$68),"N/A")</f>
        <v>979200</v>
      </c>
      <c r="R241" s="538" cm="1">
        <f t="array" ref="R241">_xlfn.IFERROR('Direct Costs 2026'!$C$27*C241,"N/A")</f>
        <v>0</v>
      </c>
      <c r="S241" s="538" cm="1">
        <f t="array" ref="S241">_xlfn.IFERROR(C241+SUM(E241:R241),"N/A")</f>
        <v>8002433.33333333</v>
      </c>
      <c r="T241" s="424"/>
      <c r="U241" s="538" cm="1">
        <f t="array" ref="U241">IF(B241&gt;0,'Allocation OH and Target 2026'!$E$27,"N/A")</f>
        <v>2134447.30345641</v>
      </c>
      <c r="V241" s="538" cm="1">
        <f t="array" ref="V241">IF(B241&gt;0,'Allocation OH and Target 2026'!$E$28,"N/A")</f>
        <v>200042.323056976</v>
      </c>
      <c r="W241" s="538" cm="1">
        <f t="array" ref="W241">IF(B241&gt;0,VLOOKUP(C232,'Allocation OH and Target 2026'!$C$3:$T$23,17,0),"N/A")</f>
        <v>1045367.28479263</v>
      </c>
      <c r="X241" s="538" cm="1">
        <f t="array" ref="X241">IF(B241&gt;0,VLOOKUP(C232,'Allocation OH and Target 2026'!$C$3:$T$23,18,0),"N/A")</f>
        <v>100551.729078014</v>
      </c>
      <c r="Y241" s="538" cm="1">
        <f t="array" ref="Y241">_xlfn.IFERROR(B241*(V241+X241),"N/A")</f>
        <v>2104158.36494493</v>
      </c>
      <c r="Z241" s="424"/>
      <c r="AA241" s="538" cm="1">
        <f t="array" ref="AA241">_xlfn.IFERROR(Y241+S241,"N/A")</f>
        <v>10106591.6982783</v>
      </c>
      <c r="AB241" s="538" cm="1">
        <f t="array" ref="AB241">_xlfn.IFERROR(AA241*0.5%,"N/A")</f>
        <v>50532.9584913915</v>
      </c>
      <c r="AC241" s="538" cm="1">
        <f t="array" ref="AC241">_xlfn.IFERROR(AA241*25%,"N/A")</f>
        <v>2526647.92456958</v>
      </c>
      <c r="AD241" s="539" cm="1">
        <f t="array" ref="AD241">IF(B241&gt;0,SUM(AA241:AC241),"N/A")</f>
        <v>12683772.5813393</v>
      </c>
      <c r="AE241" s="538" cm="1">
        <f t="array" ref="AE241">_xlfn.IFERROR(AD241/B241,"N/A")</f>
        <v>1811967.5116199</v>
      </c>
      <c r="AF241" s="424"/>
      <c r="AG241" t="str" s="546" cm="1">
        <f t="array" ref="AG241">IF(B241/VLOOKUP(C232,'Boats Data Sheet 2026'!$C$3:$H$57,6,0)&gt;VLOOKUP(C232,'Allocation OH and Target 2026'!$C$3:$J$23,8,0),IF(SUM(AH234:AH240)=0,AE241,"N/A"),"N/A")</f>
        <v>N/A</v>
      </c>
      <c r="AH241" s="424" cm="1">
        <f t="array" ref="AH241">IF(AG241="N/A",0,1)</f>
        <v>0</v>
      </c>
      <c r="AI241" t="str" s="547" cm="1">
        <f t="array" ref="AI241">IF(B241/VLOOKUP(C232,'Boats Data Sheet 2026'!$C$3:$H$57,6,0)&gt;VLOOKUP(C232,'Allocation OH and Target 2026'!$C$3:$J$23,8,0),IF(SUM(AH234:AH240)=0,S241/B241,"N/A"),"N/A")</f>
        <v>N/A</v>
      </c>
      <c r="AJ241" s="424" cm="1">
        <f t="array" ref="AJ241">IF(AI241="N/A",0,1)</f>
        <v>0</v>
      </c>
      <c r="AK241" t="str" s="527" cm="1">
        <f t="array" ref="AK241">IF(SUM($AG$120:$AG$137)*B241&lt;SUM(AA241:AB241),"NO GO","GO")</f>
        <v>GO</v>
      </c>
      <c r="AL241" s="424"/>
      <c r="AM241" t="s" s="565">
        <v>597</v>
      </c>
      <c r="AN241" s="566" cm="1">
        <f t="array" ref="AN241">AN240*37%</f>
        <v>205225514.135216</v>
      </c>
      <c r="AO241" s="538"/>
      <c r="AP241" s="542"/>
      <c r="AQ241" s="543" cm="1">
        <f t="array" ref="AQ241">B241</f>
        <v>7</v>
      </c>
      <c r="AR241" s="18"/>
    </row>
    <row r="242" ht="16" customHeight="1">
      <c r="A242" s="12"/>
      <c r="B242" s="544" cm="1">
        <f t="array" ref="B242">IF(B241=0,0,IF(B241&lt;VLOOKUP(C232,'Boats Data Sheet 2026'!$C$3:$H$57,6,0),B241+1,0))</f>
        <v>8</v>
      </c>
      <c r="C242" s="538" cm="1">
        <f t="array" ref="C242">IF(B242&gt;0,IF(VLOOKUP(C232,'Boats Data Sheet 2026'!$C$3:$J$57,8,0)="N/A",0,VLOOKUP(C232,'Boats Data Sheet 2026'!$C$3:$J$57,8,0)),"N/A")</f>
        <v>0</v>
      </c>
      <c r="D242" s="545" cm="1">
        <f t="array" ref="D242">IF(B242&gt;7,2,IF(B242=0,"N/A",1))</f>
        <v>2</v>
      </c>
      <c r="E242" s="538" cm="1">
        <f t="array" ref="E242">_xlfn.IFERROR(SUM('Direct Costs 2026'!$C$4:$C$5)*D242,"N/A")</f>
        <v>1751000</v>
      </c>
      <c r="F242" s="538" cm="1">
        <f t="array" ref="F242">_xlfn.IFERROR('Direct Costs 2026'!$C$43*B242,"N/A")</f>
        <v>48000</v>
      </c>
      <c r="G242" s="538" cm="1">
        <f t="array" ref="G242">IF(B242&gt;0,'Direct Costs 2026'!$C$25,"N/A")</f>
        <v>90000</v>
      </c>
      <c r="H242" s="538" cm="1">
        <f t="array" ref="H242">IF(B242&gt;0,'Direct Costs 2026'!$C$19+'Direct Costs 2026'!$C$18*B242,"N/A")</f>
        <v>355000</v>
      </c>
      <c r="I242" s="538" cm="1">
        <f t="array" ref="I242">IF(B242&gt;0,SUM('Direct Costs 2026'!$C$20:$C$21),"N/A")</f>
        <v>98333.3333333333</v>
      </c>
      <c r="J242" s="538">
        <v>0</v>
      </c>
      <c r="K242" s="538" cm="1">
        <f t="array" ref="K242">_xlfn.IFERROR((IF(B242&gt;0,'Direct Costs 2026'!$C$15+'Direct Costs 2026'!$C$14,"N/A")),"N/A")</f>
        <v>230000</v>
      </c>
      <c r="L242" s="538" cm="1">
        <f t="array" ref="L242">IF(B242&gt;0,'Direct Costs 2026'!$C$26,"N/A")</f>
        <v>20000</v>
      </c>
      <c r="M242" s="538" cm="1">
        <f t="array" ref="M242">IF(B242&gt;0,'Direct Costs 2026'!$C$23,"N/A")</f>
        <v>140000</v>
      </c>
      <c r="N242" s="538" cm="1">
        <f t="array" ref="N242">IF(B242&gt;0,'Direct Costs 2026'!$C$44*B242,"N/A")</f>
        <v>880000</v>
      </c>
      <c r="O242" s="538" cm="1">
        <f t="array" ref="O242">IF(B242&gt;0,_xlfn.IFERROR(VLOOKUP(C232,'Boats Data Sheet 2026'!$C$3:$I$57,7,0)*'Direct Costs 2026'!$C$36,"N/A"),"N/A")</f>
        <v>3325000</v>
      </c>
      <c r="P242" s="538" cm="1">
        <f t="array" ref="P242">IF(B242&gt;0,IF(OR(VLOOKUP(C232,'Boats Data Sheet 2026'!$C$3:$F$57,4,0)="Own",VLOOKUP(C232,'Boats Data Sheet 2026'!$C$3:$F$57,4,0)="Management"),('Direct Costs 2026'!$C$37+'Direct Costs 2026'!$C$39),"N/A"),"N/A")</f>
        <v>1112400</v>
      </c>
      <c r="Q242" s="538" cm="1">
        <f t="array" ref="Q242">_xlfn.IFERROR(IF(B242&gt;5,IF(B242&gt;11,IF(B242&gt;15,4,3),2),IF(B242=0,"N/A",1))*SUM('Direct Costs 2026'!$C$67:$C$68),"N/A")</f>
        <v>979200</v>
      </c>
      <c r="R242" s="538" cm="1">
        <f t="array" ref="R242">_xlfn.IFERROR('Direct Costs 2026'!$C$27*C242,"N/A")</f>
        <v>0</v>
      </c>
      <c r="S242" s="538" cm="1">
        <f t="array" ref="S242">_xlfn.IFERROR(C242+SUM(E242:R242),"N/A")</f>
        <v>9028933.33333333</v>
      </c>
      <c r="T242" s="424"/>
      <c r="U242" s="538" cm="1">
        <f t="array" ref="U242">IF(B242&gt;0,'Allocation OH and Target 2026'!$E$27,"N/A")</f>
        <v>2134447.30345641</v>
      </c>
      <c r="V242" s="538" cm="1">
        <f t="array" ref="V242">IF(B242&gt;0,'Allocation OH and Target 2026'!$E$28,"N/A")</f>
        <v>200042.323056976</v>
      </c>
      <c r="W242" s="538" cm="1">
        <f t="array" ref="W242">IF(B242&gt;0,VLOOKUP(C232,'Allocation OH and Target 2026'!$C$3:$T$23,17,0),"N/A")</f>
        <v>1045367.28479263</v>
      </c>
      <c r="X242" s="538" cm="1">
        <f t="array" ref="X242">IF(B242&gt;0,VLOOKUP(C232,'Allocation OH and Target 2026'!$C$3:$T$23,18,0),"N/A")</f>
        <v>100551.729078014</v>
      </c>
      <c r="Y242" s="538" cm="1">
        <f t="array" ref="Y242">_xlfn.IFERROR(B242*(V242+X242),"N/A")</f>
        <v>2404752.41707992</v>
      </c>
      <c r="Z242" s="424"/>
      <c r="AA242" s="538" cm="1">
        <f t="array" ref="AA242">_xlfn.IFERROR(Y242+S242,"N/A")</f>
        <v>11433685.7504133</v>
      </c>
      <c r="AB242" s="538" cm="1">
        <f t="array" ref="AB242">_xlfn.IFERROR(AA242*0.5%,"N/A")</f>
        <v>57168.4287520665</v>
      </c>
      <c r="AC242" s="538" cm="1">
        <f t="array" ref="AC242">_xlfn.IFERROR(AA242*25%,"N/A")</f>
        <v>2858421.43760333</v>
      </c>
      <c r="AD242" s="539" cm="1">
        <f t="array" ref="AD242">IF(B242&gt;0,SUM(AA242:AC242),"N/A")</f>
        <v>14349275.6167687</v>
      </c>
      <c r="AE242" s="538" cm="1">
        <f t="array" ref="AE242">_xlfn.IFERROR(AD242/B242,"N/A")</f>
        <v>1793659.45209609</v>
      </c>
      <c r="AF242" s="424"/>
      <c r="AG242" t="str" s="546" cm="1">
        <f t="array" ref="AG242">IF(B242/VLOOKUP(C232,'Boats Data Sheet 2026'!$C$3:$H$57,6,0)&gt;VLOOKUP(C232,'Allocation OH and Target 2026'!$C$3:$J$23,8,0),IF(SUM(AH234:AH241)=0,AE242,"N/A"),"N/A")</f>
        <v>N/A</v>
      </c>
      <c r="AH242" s="424" cm="1">
        <f t="array" ref="AH242">IF(AG242="N/A",0,1)</f>
        <v>0</v>
      </c>
      <c r="AI242" t="str" s="547" cm="1">
        <f t="array" ref="AI242">IF(B242/VLOOKUP(C232,'Boats Data Sheet 2026'!$C$3:$H$57,6,0)&gt;VLOOKUP(C232,'Allocation OH and Target 2026'!$C$3:$J$23,8,0),IF(SUM(AH234:AH241)=0,S242/B242,"N/A"),"N/A")</f>
        <v>N/A</v>
      </c>
      <c r="AJ242" s="424" cm="1">
        <f t="array" ref="AJ242">IF(AI242="N/A",0,1)</f>
        <v>0</v>
      </c>
      <c r="AK242" t="str" s="527" cm="1">
        <f t="array" ref="AK242">IF(SUM($AG$120:$AG$137)*B242&lt;SUM(AA242:AB242),"NO GO","GO")</f>
        <v>GO</v>
      </c>
      <c r="AL242" s="424"/>
      <c r="AM242" s="538"/>
      <c r="AN242" s="538"/>
      <c r="AO242" s="538"/>
      <c r="AP242" s="542"/>
      <c r="AQ242" s="543" cm="1">
        <f t="array" ref="AQ242">B242</f>
        <v>8</v>
      </c>
      <c r="AR242" s="18"/>
    </row>
    <row r="243" ht="16" customHeight="1">
      <c r="A243" s="12"/>
      <c r="B243" s="544" cm="1">
        <f t="array" ref="B243">IF(B242=0,0,IF(B242&lt;VLOOKUP(C232,'Boats Data Sheet 2026'!$C$3:$H$57,6,0),B242+1,0))</f>
        <v>9</v>
      </c>
      <c r="C243" s="538" cm="1">
        <f t="array" ref="C243">IF(B243&gt;0,IF(VLOOKUP(C232,'Boats Data Sheet 2026'!$C$3:$J$57,8,0)="N/A",0,VLOOKUP(C232,'Boats Data Sheet 2026'!$C$3:$J$57,8,0)),"N/A")</f>
        <v>0</v>
      </c>
      <c r="D243" s="545" cm="1">
        <f t="array" ref="D243">IF(B243&gt;7,2,IF(B243=0,"N/A",1))</f>
        <v>2</v>
      </c>
      <c r="E243" s="538" cm="1">
        <f t="array" ref="E243">_xlfn.IFERROR(SUM('Direct Costs 2026'!$C$4:$C$5)*D243,"N/A")</f>
        <v>1751000</v>
      </c>
      <c r="F243" s="538" cm="1">
        <f t="array" ref="F243">_xlfn.IFERROR('Direct Costs 2026'!$C$43*B243,"N/A")</f>
        <v>54000</v>
      </c>
      <c r="G243" s="538" cm="1">
        <f t="array" ref="G243">IF(B243&gt;0,'Direct Costs 2026'!$C$25,"N/A")</f>
        <v>90000</v>
      </c>
      <c r="H243" s="538" cm="1">
        <f t="array" ref="H243">IF(B243&gt;0,'Direct Costs 2026'!$C$19+'Direct Costs 2026'!$C$18*B243,"N/A")</f>
        <v>390000</v>
      </c>
      <c r="I243" s="538" cm="1">
        <f t="array" ref="I243">IF(B243&gt;0,SUM('Direct Costs 2026'!$C$20:$C$21),"N/A")</f>
        <v>98333.3333333333</v>
      </c>
      <c r="J243" s="538">
        <v>0</v>
      </c>
      <c r="K243" s="538" cm="1">
        <f t="array" ref="K243">_xlfn.IFERROR((IF(B243&gt;0,'Direct Costs 2026'!$C$15+'Direct Costs 2026'!$C$14,"N/A")),"N/A")</f>
        <v>230000</v>
      </c>
      <c r="L243" s="538" cm="1">
        <f t="array" ref="L243">IF(B243&gt;0,'Direct Costs 2026'!$C$26,"N/A")</f>
        <v>20000</v>
      </c>
      <c r="M243" s="538" cm="1">
        <f t="array" ref="M243">IF(B243&gt;0,'Direct Costs 2026'!$C$23,"N/A")</f>
        <v>140000</v>
      </c>
      <c r="N243" s="538" cm="1">
        <f t="array" ref="N243">IF(B243&gt;0,'Direct Costs 2026'!$C$44*B243,"N/A")</f>
        <v>990000</v>
      </c>
      <c r="O243" s="538" cm="1">
        <f t="array" ref="O243">IF(B243&gt;0,_xlfn.IFERROR(VLOOKUP(C232,'Boats Data Sheet 2026'!$C$3:$I$57,7,0)*'Direct Costs 2026'!$C$36,"N/A"),"N/A")</f>
        <v>3325000</v>
      </c>
      <c r="P243" s="538" cm="1">
        <f t="array" ref="P243">IF(B243&gt;0,IF(OR(VLOOKUP(C232,'Boats Data Sheet 2026'!$C$3:$F$57,4,0)="Own",VLOOKUP(C232,'Boats Data Sheet 2026'!$C$3:$F$57,4,0)="Management"),('Direct Costs 2026'!$C$37+'Direct Costs 2026'!$C$39),"N/A"),"N/A")</f>
        <v>1112400</v>
      </c>
      <c r="Q243" s="538" cm="1">
        <f t="array" ref="Q243">_xlfn.IFERROR(IF(B243&gt;5,IF(B243&gt;11,IF(B243&gt;15,4,3),2),IF(B243=0,"N/A",1))*SUM('Direct Costs 2026'!$C$67:$C$68),"N/A")</f>
        <v>979200</v>
      </c>
      <c r="R243" s="538" cm="1">
        <f t="array" ref="R243">_xlfn.IFERROR('Direct Costs 2026'!$C$27*C243,"N/A")</f>
        <v>0</v>
      </c>
      <c r="S243" s="538" cm="1">
        <f t="array" ref="S243">_xlfn.IFERROR(C243+SUM(E243:R243),"N/A")</f>
        <v>9179933.33333333</v>
      </c>
      <c r="T243" s="424"/>
      <c r="U243" s="538" cm="1">
        <f t="array" ref="U243">IF(B243&gt;0,'Allocation OH and Target 2026'!$E$27,"N/A")</f>
        <v>2134447.30345641</v>
      </c>
      <c r="V243" s="538" cm="1">
        <f t="array" ref="V243">IF(B243&gt;0,'Allocation OH and Target 2026'!$E$28,"N/A")</f>
        <v>200042.323056976</v>
      </c>
      <c r="W243" s="538" cm="1">
        <f t="array" ref="W243">IF(B243&gt;0,VLOOKUP(C232,'Allocation OH and Target 2026'!$C$3:$T$23,17,0),"N/A")</f>
        <v>1045367.28479263</v>
      </c>
      <c r="X243" s="538" cm="1">
        <f t="array" ref="X243">IF(B243&gt;0,VLOOKUP(C232,'Allocation OH and Target 2026'!$C$3:$T$23,18,0),"N/A")</f>
        <v>100551.729078014</v>
      </c>
      <c r="Y243" s="538" cm="1">
        <f t="array" ref="Y243">_xlfn.IFERROR(B243*(V243+X243),"N/A")</f>
        <v>2705346.46921491</v>
      </c>
      <c r="Z243" s="424"/>
      <c r="AA243" s="538" cm="1">
        <f t="array" ref="AA243">_xlfn.IFERROR(Y243+S243,"N/A")</f>
        <v>11885279.8025482</v>
      </c>
      <c r="AB243" s="538" cm="1">
        <f t="array" ref="AB243">_xlfn.IFERROR(AA243*0.5%,"N/A")</f>
        <v>59426.399012741</v>
      </c>
      <c r="AC243" s="538" cm="1">
        <f t="array" ref="AC243">_xlfn.IFERROR(AA243*25%,"N/A")</f>
        <v>2971319.95063705</v>
      </c>
      <c r="AD243" s="539" cm="1">
        <f t="array" ref="AD243">IF(B243&gt;0,SUM(AA243:AC243),"N/A")</f>
        <v>14916026.152198</v>
      </c>
      <c r="AE243" s="538" cm="1">
        <f t="array" ref="AE243">_xlfn.IFERROR(AD243/B243,"N/A")</f>
        <v>1657336.23913311</v>
      </c>
      <c r="AF243" s="424"/>
      <c r="AG243" t="str" s="546" cm="1">
        <f t="array" ref="AG243">IF(B243/VLOOKUP(C232,'Boats Data Sheet 2026'!$C$3:$H$57,6,0)&gt;VLOOKUP(C232,'Allocation OH and Target 2026'!$C$3:$J$23,8,0),IF(SUM(AH234:AH242)=0,AE243,"N/A"),"N/A")</f>
        <v>N/A</v>
      </c>
      <c r="AH243" s="424" cm="1">
        <f t="array" ref="AH243">IF(AG243="N/A",0,1)</f>
        <v>0</v>
      </c>
      <c r="AI243" t="str" s="547" cm="1">
        <f t="array" ref="AI243">IF(B243/VLOOKUP(C232,'Boats Data Sheet 2026'!$C$3:$H$57,6,0)&gt;VLOOKUP(C232,'Allocation OH and Target 2026'!$C$3:$J$23,8,0),IF(SUM(AH234:AH242)=0,S243/B243,"N/A"),"N/A")</f>
        <v>N/A</v>
      </c>
      <c r="AJ243" s="424" cm="1">
        <f t="array" ref="AJ243">IF(AI243="N/A",0,1)</f>
        <v>0</v>
      </c>
      <c r="AK243" t="str" s="527" cm="1">
        <f t="array" ref="AK243">IF(SUM($AG$120:$AG$137)*B243&lt;SUM(AA243:AB243),"NO GO","GO")</f>
        <v>GO</v>
      </c>
      <c r="AL243" s="424"/>
      <c r="AM243" s="538"/>
      <c r="AN243" s="538"/>
      <c r="AO243" s="538"/>
      <c r="AP243" s="542"/>
      <c r="AQ243" s="543" cm="1">
        <f t="array" ref="AQ243">B243</f>
        <v>9</v>
      </c>
      <c r="AR243" s="18"/>
    </row>
    <row r="244" ht="16" customHeight="1">
      <c r="A244" s="12"/>
      <c r="B244" s="544" cm="1">
        <f t="array" ref="B244">IF(B243=0,0,IF(B243&lt;VLOOKUP(C232,'Boats Data Sheet 2026'!$C$3:$H$57,6,0),B243+1,0))</f>
        <v>10</v>
      </c>
      <c r="C244" s="538" cm="1">
        <f t="array" ref="C244">IF(B244&gt;0,IF(VLOOKUP(C232,'Boats Data Sheet 2026'!$C$3:$J$57,8,0)="N/A",0,VLOOKUP(C232,'Boats Data Sheet 2026'!$C$3:$J$57,8,0)),"N/A")</f>
        <v>0</v>
      </c>
      <c r="D244" s="545" cm="1">
        <f t="array" ref="D244">IF(B244&gt;7,2,IF(B244=0,"N/A",1))</f>
        <v>2</v>
      </c>
      <c r="E244" s="538" cm="1">
        <f t="array" ref="E244">_xlfn.IFERROR(SUM('Direct Costs 2026'!$C$4:$C$5)*D244,"N/A")</f>
        <v>1751000</v>
      </c>
      <c r="F244" s="538" cm="1">
        <f t="array" ref="F244">_xlfn.IFERROR('Direct Costs 2026'!$C$43*B244,"N/A")</f>
        <v>60000</v>
      </c>
      <c r="G244" s="538" cm="1">
        <f t="array" ref="G244">IF(B244&gt;0,'Direct Costs 2026'!$C$25,"N/A")</f>
        <v>90000</v>
      </c>
      <c r="H244" s="538" cm="1">
        <f t="array" ref="H244">IF(B244&gt;0,'Direct Costs 2026'!$C$19+'Direct Costs 2026'!$C$18*B244,"N/A")</f>
        <v>425000</v>
      </c>
      <c r="I244" s="538" cm="1">
        <f t="array" ref="I244">IF(B244&gt;0,SUM('Direct Costs 2026'!$C$20:$C$21),"N/A")</f>
        <v>98333.3333333333</v>
      </c>
      <c r="J244" s="538">
        <v>0</v>
      </c>
      <c r="K244" s="538" cm="1">
        <f t="array" ref="K244">_xlfn.IFERROR((IF(B244&gt;0,'Direct Costs 2026'!$C$15+'Direct Costs 2026'!$C$14,"N/A")),"N/A")</f>
        <v>230000</v>
      </c>
      <c r="L244" s="538" cm="1">
        <f t="array" ref="L244">IF(B244&gt;0,'Direct Costs 2026'!$C$26,"N/A")</f>
        <v>20000</v>
      </c>
      <c r="M244" s="538" cm="1">
        <f t="array" ref="M244">IF(B244&gt;0,'Direct Costs 2026'!$C$23,"N/A")</f>
        <v>140000</v>
      </c>
      <c r="N244" s="538" cm="1">
        <f t="array" ref="N244">IF(B244&gt;0,'Direct Costs 2026'!$C$44*B244,"N/A")</f>
        <v>1100000</v>
      </c>
      <c r="O244" s="538" cm="1">
        <f t="array" ref="O244">IF(B244&gt;0,_xlfn.IFERROR(VLOOKUP(C232,'Boats Data Sheet 2026'!$C$3:$I$57,7,0)*'Direct Costs 2026'!$C$36,"N/A"),"N/A")</f>
        <v>3325000</v>
      </c>
      <c r="P244" s="538" cm="1">
        <f t="array" ref="P244">IF(B244&gt;0,IF(OR(VLOOKUP(C232,'Boats Data Sheet 2026'!$C$3:$F$57,4,0)="Own",VLOOKUP(C232,'Boats Data Sheet 2026'!$C$3:$F$57,4,0)="Management"),('Direct Costs 2026'!$C$37+'Direct Costs 2026'!$C$39),"N/A"),"N/A")</f>
        <v>1112400</v>
      </c>
      <c r="Q244" s="538" cm="1">
        <f t="array" ref="Q244">_xlfn.IFERROR(IF(B244&gt;5,IF(B244&gt;11,IF(B244&gt;15,4,3),2),IF(B244=0,"N/A",1))*SUM('Direct Costs 2026'!$C$67:$C$68),"N/A")</f>
        <v>979200</v>
      </c>
      <c r="R244" s="538" cm="1">
        <f t="array" ref="R244">_xlfn.IFERROR('Direct Costs 2026'!$C$27*C244,"N/A")</f>
        <v>0</v>
      </c>
      <c r="S244" s="538" cm="1">
        <f t="array" ref="S244">_xlfn.IFERROR(C244+SUM(E244:R244),"N/A")</f>
        <v>9330933.33333333</v>
      </c>
      <c r="T244" s="424"/>
      <c r="U244" s="538" cm="1">
        <f t="array" ref="U244">IF(B244&gt;0,'Allocation OH and Target 2026'!$E$27,"N/A")</f>
        <v>2134447.30345641</v>
      </c>
      <c r="V244" s="538" cm="1">
        <f t="array" ref="V244">IF(B244&gt;0,'Allocation OH and Target 2026'!$E$28,"N/A")</f>
        <v>200042.323056976</v>
      </c>
      <c r="W244" s="538" cm="1">
        <f t="array" ref="W244">IF(B244&gt;0,VLOOKUP(C232,'Allocation OH and Target 2026'!$C$3:$T$23,17,0),"N/A")</f>
        <v>1045367.28479263</v>
      </c>
      <c r="X244" s="538" cm="1">
        <f t="array" ref="X244">IF(B244&gt;0,VLOOKUP(C232,'Allocation OH and Target 2026'!$C$3:$T$23,18,0),"N/A")</f>
        <v>100551.729078014</v>
      </c>
      <c r="Y244" s="538" cm="1">
        <f t="array" ref="Y244">_xlfn.IFERROR(B244*(V244+X244),"N/A")</f>
        <v>3005940.5213499</v>
      </c>
      <c r="Z244" s="424"/>
      <c r="AA244" s="538" cm="1">
        <f t="array" ref="AA244">_xlfn.IFERROR(Y244+S244,"N/A")</f>
        <v>12336873.8546832</v>
      </c>
      <c r="AB244" s="538" cm="1">
        <f t="array" ref="AB244">_xlfn.IFERROR(AA244*0.5%,"N/A")</f>
        <v>61684.369273416</v>
      </c>
      <c r="AC244" s="538" cm="1">
        <f t="array" ref="AC244">_xlfn.IFERROR(AA244*25%,"N/A")</f>
        <v>3084218.4636708</v>
      </c>
      <c r="AD244" s="539" cm="1">
        <f t="array" ref="AD244">IF(B244&gt;0,SUM(AA244:AC244),"N/A")</f>
        <v>15482776.6876274</v>
      </c>
      <c r="AE244" s="538" cm="1">
        <f t="array" ref="AE244">_xlfn.IFERROR(AD244/B244,"N/A")</f>
        <v>1548277.66876274</v>
      </c>
      <c r="AF244" s="424"/>
      <c r="AG244" t="str" s="546" cm="1">
        <f t="array" ref="AG244">IF(B244/VLOOKUP(C232,'Boats Data Sheet 2026'!$C$3:$H$57,6,0)&gt;VLOOKUP(C232,'Allocation OH and Target 2026'!$C$3:$J$23,8,0),IF(SUM(AH234:AH243)=0,AE244,"N/A"),"N/A")</f>
        <v>N/A</v>
      </c>
      <c r="AH244" s="424" cm="1">
        <f t="array" ref="AH244">IF(AG244="N/A",0,1)</f>
        <v>0</v>
      </c>
      <c r="AI244" t="str" s="547" cm="1">
        <f t="array" ref="AI244">IF(B244/VLOOKUP(C232,'Boats Data Sheet 2026'!$C$3:$H$57,6,0)&gt;VLOOKUP(C232,'Allocation OH and Target 2026'!$C$3:$J$23,8,0),IF(SUM(AH234:AH243)=0,S244/B244,"N/A"),"N/A")</f>
        <v>N/A</v>
      </c>
      <c r="AJ244" s="424" cm="1">
        <f t="array" ref="AJ244">IF(AI244="N/A",0,1)</f>
        <v>0</v>
      </c>
      <c r="AK244" t="str" s="527" cm="1">
        <f t="array" ref="AK244">IF(SUM($AG$120:$AG$137)*B244&lt;SUM(AA244:AB244),"NO GO","GO")</f>
        <v>GO</v>
      </c>
      <c r="AL244" s="424"/>
      <c r="AM244" s="538"/>
      <c r="AN244" s="538"/>
      <c r="AO244" s="538"/>
      <c r="AP244" s="542"/>
      <c r="AQ244" s="543" cm="1">
        <f t="array" ref="AQ244">B244</f>
        <v>10</v>
      </c>
      <c r="AR244" s="18"/>
    </row>
    <row r="245" ht="16" customHeight="1">
      <c r="A245" s="12"/>
      <c r="B245" s="544" cm="1">
        <f t="array" ref="B245">IF(B244=0,0,IF(B244&lt;VLOOKUP(C232,'Boats Data Sheet 2026'!$C$3:$H$57,6,0),B244+1,0))</f>
        <v>11</v>
      </c>
      <c r="C245" s="538" cm="1">
        <f t="array" ref="C245">IF(B245&gt;0,IF(VLOOKUP(C232,'Boats Data Sheet 2026'!$C$3:$J$57,8,0)="N/A",0,VLOOKUP(C232,'Boats Data Sheet 2026'!$C$3:$J$57,8,0)),"N/A")</f>
        <v>0</v>
      </c>
      <c r="D245" s="545" cm="1">
        <f t="array" ref="D245">IF(B245&gt;7,2,IF(B245=0,"N/A",1))</f>
        <v>2</v>
      </c>
      <c r="E245" s="538" cm="1">
        <f t="array" ref="E245">_xlfn.IFERROR(SUM('Direct Costs 2026'!$C$4:$C$5)*D245,"N/A")</f>
        <v>1751000</v>
      </c>
      <c r="F245" s="538" cm="1">
        <f t="array" ref="F245">_xlfn.IFERROR('Direct Costs 2026'!$C$43*B245,"N/A")</f>
        <v>66000</v>
      </c>
      <c r="G245" s="538" cm="1">
        <f t="array" ref="G245">IF(B245&gt;0,'Direct Costs 2026'!$C$25,"N/A")</f>
        <v>90000</v>
      </c>
      <c r="H245" s="538" cm="1">
        <f t="array" ref="H245">IF(B245&gt;0,'Direct Costs 2026'!$C$19+'Direct Costs 2026'!$C$18*B245,"N/A")</f>
        <v>460000</v>
      </c>
      <c r="I245" s="538" cm="1">
        <f t="array" ref="I245">IF(B245&gt;0,SUM('Direct Costs 2026'!$C$20:$C$21),"N/A")</f>
        <v>98333.3333333333</v>
      </c>
      <c r="J245" s="538">
        <v>0</v>
      </c>
      <c r="K245" s="538" cm="1">
        <f t="array" ref="K245">_xlfn.IFERROR((IF(B245&gt;0,'Direct Costs 2026'!$C$15+'Direct Costs 2026'!$C$14,"N/A")),"N/A")</f>
        <v>230000</v>
      </c>
      <c r="L245" s="538" cm="1">
        <f t="array" ref="L245">IF(B245&gt;0,'Direct Costs 2026'!$C$26,"N/A")</f>
        <v>20000</v>
      </c>
      <c r="M245" s="538" cm="1">
        <f t="array" ref="M245">IF(B245&gt;0,'Direct Costs 2026'!$C$23,"N/A")</f>
        <v>140000</v>
      </c>
      <c r="N245" s="538" cm="1">
        <f t="array" ref="N245">IF(B244&gt;0,'Direct Costs 2026'!$C$44*B244,"N/A")</f>
        <v>1100000</v>
      </c>
      <c r="O245" s="538" cm="1">
        <f t="array" ref="O245">IF(B245&gt;0,_xlfn.IFERROR(VLOOKUP(C232,'Boats Data Sheet 2026'!$C$3:$I$57,7,0)*'Direct Costs 2026'!$C$36,"N/A"),"N/A")</f>
        <v>3325000</v>
      </c>
      <c r="P245" s="538" cm="1">
        <f t="array" ref="P245">IF(B245&gt;0,IF(OR(VLOOKUP(C232,'Boats Data Sheet 2026'!$C$3:$F$57,4,0)="Own",VLOOKUP(C232,'Boats Data Sheet 2026'!$C$3:$F$57,4,0)="Management"),('Direct Costs 2026'!$C$37+'Direct Costs 2026'!$C$39),"N/A"),"N/A")</f>
        <v>1112400</v>
      </c>
      <c r="Q245" s="538" cm="1">
        <f t="array" ref="Q245">_xlfn.IFERROR(IF(B245&gt;5,IF(B245&gt;11,IF(B245&gt;15,4,3),2),IF(B245=0,"N/A",1))*SUM('Direct Costs 2026'!$C$67:$C$68),"N/A")</f>
        <v>979200</v>
      </c>
      <c r="R245" s="538" cm="1">
        <f t="array" ref="R245">_xlfn.IFERROR('Direct Costs 2026'!$C$27*C245,"N/A")</f>
        <v>0</v>
      </c>
      <c r="S245" s="538" cm="1">
        <f t="array" ref="S245">_xlfn.IFERROR(C245+SUM(E245:R245),"N/A")</f>
        <v>9371933.33333333</v>
      </c>
      <c r="T245" s="424"/>
      <c r="U245" s="538" cm="1">
        <f t="array" ref="U245">IF(B245&gt;0,'Allocation OH and Target 2026'!$E$27,"N/A")</f>
        <v>2134447.30345641</v>
      </c>
      <c r="V245" s="538" cm="1">
        <f t="array" ref="V245">IF(B245&gt;0,'Allocation OH and Target 2026'!$E$28,"N/A")</f>
        <v>200042.323056976</v>
      </c>
      <c r="W245" s="538" cm="1">
        <f t="array" ref="W245">IF(B245&gt;0,VLOOKUP(C232,'Allocation OH and Target 2026'!$C$3:$T$23,17,0),"N/A")</f>
        <v>1045367.28479263</v>
      </c>
      <c r="X245" s="538" cm="1">
        <f t="array" ref="X245">IF(B245&gt;0,VLOOKUP(C232,'Allocation OH and Target 2026'!$C$3:$T$23,18,0),"N/A")</f>
        <v>100551.729078014</v>
      </c>
      <c r="Y245" s="538" cm="1">
        <f t="array" ref="Y245">_xlfn.IFERROR(B245*(V245+X245),"N/A")</f>
        <v>3306534.57348489</v>
      </c>
      <c r="Z245" s="424"/>
      <c r="AA245" s="538" cm="1">
        <f t="array" ref="AA245">_xlfn.IFERROR(Y245+S245,"N/A")</f>
        <v>12678467.9068182</v>
      </c>
      <c r="AB245" s="538" cm="1">
        <f t="array" ref="AB245">_xlfn.IFERROR(AA245*0.5%,"N/A")</f>
        <v>63392.339534091</v>
      </c>
      <c r="AC245" s="538" cm="1">
        <f t="array" ref="AC245">_xlfn.IFERROR(AA245*25%,"N/A")</f>
        <v>3169616.97670455</v>
      </c>
      <c r="AD245" s="539" cm="1">
        <f t="array" ref="AD245">IF(B245&gt;0,SUM(AA245:AC245),"N/A")</f>
        <v>15911477.2230568</v>
      </c>
      <c r="AE245" s="538" cm="1">
        <f t="array" ref="AE245">_xlfn.IFERROR(AD245/B245,"N/A")</f>
        <v>1446497.9293688</v>
      </c>
      <c r="AF245" s="424"/>
      <c r="AG245" s="539" cm="1">
        <f t="array" ref="AG245">IF(B245/VLOOKUP(C232,'Boats Data Sheet 2026'!$C$3:$H$57,6,0)&gt;VLOOKUP(C232,'Allocation OH and Target 2026'!$C$3:$J$23,8,0),IF(SUM(AH234:AH244)=0,AE245,"N/A"),"N/A")</f>
        <v>1446497.9293688</v>
      </c>
      <c r="AH245" s="424" cm="1">
        <f t="array" ref="AH245">IF(AG245="N/A",0,1)</f>
        <v>1</v>
      </c>
      <c r="AI245" s="538" cm="1">
        <f t="array" ref="AI245">IF(B245/VLOOKUP(C232,'Boats Data Sheet 2026'!$C$3:$H$57,6,0)&gt;VLOOKUP(C232,'Allocation OH and Target 2026'!$C$3:$J$23,8,0),IF(SUM(AH234:AH244)=0,S245/B245,"N/A"),"N/A")</f>
        <v>851993.939393939</v>
      </c>
      <c r="AJ245" s="424" cm="1">
        <f t="array" ref="AJ245">IF(AI245="N/A",0,1)</f>
        <v>1</v>
      </c>
      <c r="AK245" t="str" s="527" cm="1">
        <f t="array" ref="AK245">IF(SUM($AG$120:$AG$137)*B245&lt;SUM(AA245:AB245),"NO GO","GO")</f>
        <v>GO</v>
      </c>
      <c r="AL245" s="424"/>
      <c r="AM245" s="538"/>
      <c r="AN245" s="538"/>
      <c r="AO245" s="538"/>
      <c r="AP245" s="542"/>
      <c r="AQ245" s="543" cm="1">
        <f t="array" ref="AQ245">B245</f>
        <v>11</v>
      </c>
      <c r="AR245" s="18"/>
    </row>
    <row r="246" ht="16" customHeight="1">
      <c r="A246" s="12"/>
      <c r="B246" s="544" cm="1">
        <f t="array" ref="B246">IF(B245=0,0,IF(B245&lt;VLOOKUP(C232,'Boats Data Sheet 2026'!$C$3:$H$57,6,0),B245+1,0))</f>
        <v>12</v>
      </c>
      <c r="C246" s="538" cm="1">
        <f t="array" ref="C246">IF(B246&gt;0,IF(VLOOKUP(C232,'Boats Data Sheet 2026'!$C$3:$J$57,8,0)="N/A",0,VLOOKUP(C232,'Boats Data Sheet 2026'!$C$3:$J$57,8,0)),"N/A")</f>
        <v>0</v>
      </c>
      <c r="D246" s="545" cm="1">
        <f t="array" ref="D246">IF(B246&gt;7,2,IF(B246=0,"N/A",1))</f>
        <v>2</v>
      </c>
      <c r="E246" s="538" cm="1">
        <f t="array" ref="E246">_xlfn.IFERROR(SUM('Direct Costs 2026'!$C$4:$C$5)*D246,"N/A")</f>
        <v>1751000</v>
      </c>
      <c r="F246" s="538" cm="1">
        <f t="array" ref="F246">_xlfn.IFERROR('Direct Costs 2026'!$C$43*B246,"N/A")</f>
        <v>72000</v>
      </c>
      <c r="G246" s="538" cm="1">
        <f t="array" ref="G246">IF(B246&gt;0,'Direct Costs 2026'!$C$25,"N/A")</f>
        <v>90000</v>
      </c>
      <c r="H246" s="538" cm="1">
        <f t="array" ref="H246">IF(B246&gt;0,'Direct Costs 2026'!$C$19+'Direct Costs 2026'!$C$18*B246,"N/A")</f>
        <v>495000</v>
      </c>
      <c r="I246" s="538" cm="1">
        <f t="array" ref="I246">IF(B246&gt;0,SUM('Direct Costs 2026'!$C$20:$C$21),"N/A")</f>
        <v>98333.3333333333</v>
      </c>
      <c r="J246" s="538">
        <v>0</v>
      </c>
      <c r="K246" s="538" cm="1">
        <f t="array" ref="K246">_xlfn.IFERROR((IF(B246&gt;0,'Direct Costs 2026'!$C$15+'Direct Costs 2026'!$C$14,"N/A")),"N/A")</f>
        <v>230000</v>
      </c>
      <c r="L246" s="538" cm="1">
        <f t="array" ref="L246">IF(B246&gt;0,'Direct Costs 2026'!$C$26,"N/A")</f>
        <v>20000</v>
      </c>
      <c r="M246" s="538" cm="1">
        <f t="array" ref="M246">IF(B246&gt;0,'Direct Costs 2026'!$C$23,"N/A")</f>
        <v>140000</v>
      </c>
      <c r="N246" s="538" cm="1">
        <f t="array" ref="N246">IF(B246&gt;0,'Direct Costs 2026'!$C$44*B246,"N/A")</f>
        <v>1320000</v>
      </c>
      <c r="O246" s="538" cm="1">
        <f t="array" ref="O246">IF(B246&gt;0,_xlfn.IFERROR(VLOOKUP(C232,'Boats Data Sheet 2026'!$C$3:$I$57,7,0)*'Direct Costs 2026'!$C$36,"N/A"),"N/A")</f>
        <v>3325000</v>
      </c>
      <c r="P246" s="538" cm="1">
        <f t="array" ref="P246">IF(B246&gt;0,IF(OR(VLOOKUP(C232,'Boats Data Sheet 2026'!$C$3:$F$57,4,0)="Own",VLOOKUP(C232,'Boats Data Sheet 2026'!$C$3:$F$57,4,0)="Management"),('Direct Costs 2026'!$C$37+'Direct Costs 2026'!$C$39),"N/A"),"N/A")</f>
        <v>1112400</v>
      </c>
      <c r="Q246" s="538" cm="1">
        <f t="array" ref="Q246">_xlfn.IFERROR(IF(B246&gt;5,IF(B246&gt;11,IF(B246&gt;15,4,3),2),IF(B246=0,"N/A",1))*SUM('Direct Costs 2026'!$C$67:$C$68),"N/A")</f>
        <v>1468800</v>
      </c>
      <c r="R246" s="538" cm="1">
        <f t="array" ref="R246">_xlfn.IFERROR('Direct Costs 2026'!$C$27*C246,"N/A")</f>
        <v>0</v>
      </c>
      <c r="S246" s="538" cm="1">
        <f t="array" ref="S246">_xlfn.IFERROR(C246+SUM(E246:R246),"N/A")</f>
        <v>10122533.3333333</v>
      </c>
      <c r="T246" s="424"/>
      <c r="U246" s="538" cm="1">
        <f t="array" ref="U246">IF(B246&gt;0,'Allocation OH and Target 2026'!$E$27,"N/A")</f>
        <v>2134447.30345641</v>
      </c>
      <c r="V246" s="538" cm="1">
        <f t="array" ref="V246">IF(B246&gt;0,'Allocation OH and Target 2026'!$E$28,"N/A")</f>
        <v>200042.323056976</v>
      </c>
      <c r="W246" s="538" cm="1">
        <f t="array" ref="W246">IF(B246&gt;0,VLOOKUP(C232,'Allocation OH and Target 2026'!$C$3:$T$23,17,0),"N/A")</f>
        <v>1045367.28479263</v>
      </c>
      <c r="X246" s="538" cm="1">
        <f t="array" ref="X246">IF(B246&gt;0,VLOOKUP(C232,'Allocation OH and Target 2026'!$C$3:$T$23,18,0),"N/A")</f>
        <v>100551.729078014</v>
      </c>
      <c r="Y246" s="538" cm="1">
        <f t="array" ref="Y246">_xlfn.IFERROR(B246*(V246+X246),"N/A")</f>
        <v>3607128.62561988</v>
      </c>
      <c r="Z246" s="424"/>
      <c r="AA246" s="538" cm="1">
        <f t="array" ref="AA246">_xlfn.IFERROR(Y246+S246,"N/A")</f>
        <v>13729661.9589532</v>
      </c>
      <c r="AB246" s="538" cm="1">
        <f t="array" ref="AB246">_xlfn.IFERROR(AA246*0.5%,"N/A")</f>
        <v>68648.309794766</v>
      </c>
      <c r="AC246" s="538" cm="1">
        <f t="array" ref="AC246">_xlfn.IFERROR(AA246*25%,"N/A")</f>
        <v>3432415.4897383</v>
      </c>
      <c r="AD246" s="539" cm="1">
        <f t="array" ref="AD246">IF(B246&gt;0,SUM(AA246:AC246),"N/A")</f>
        <v>17230725.7584863</v>
      </c>
      <c r="AE246" s="538" cm="1">
        <f t="array" ref="AE246">_xlfn.IFERROR(AD246/B246,"N/A")</f>
        <v>1435893.81320719</v>
      </c>
      <c r="AF246" s="424"/>
      <c r="AG246" t="str" s="546" cm="1">
        <f t="array" ref="AG246">IF(B246/VLOOKUP(C232,'Boats Data Sheet 2026'!$C$3:$H$57,6,0)&gt;VLOOKUP(C232,'Allocation OH and Target 2026'!$C$3:$J$23,8,0),IF(SUM(AH234:AH245)=0,AE246,"N/A"),"N/A")</f>
        <v>N/A</v>
      </c>
      <c r="AH246" s="424" cm="1">
        <f t="array" ref="AH246">IF(AG246="N/A",0,1)</f>
        <v>0</v>
      </c>
      <c r="AI246" t="str" s="547" cm="1">
        <f t="array" ref="AI246">IF(B246/VLOOKUP(C232,'Boats Data Sheet 2026'!$C$3:$H$57,6,0)&gt;VLOOKUP(C232,'Allocation OH and Target 2026'!$C$3:$J$23,8,0),IF(SUM(AH234:AH245)=0,S246/B246,"N/A"),"N/A")</f>
        <v>N/A</v>
      </c>
      <c r="AJ246" s="424" cm="1">
        <f t="array" ref="AJ246">IF(AI246="N/A",0,1)</f>
        <v>0</v>
      </c>
      <c r="AK246" t="str" s="527" cm="1">
        <f t="array" ref="AK246">IF(SUM($AG$120:$AG$137)*B246&lt;SUM(AA246:AB246),"NO GO","GO")</f>
        <v>GO</v>
      </c>
      <c r="AL246" s="424"/>
      <c r="AM246" s="538"/>
      <c r="AN246" s="538"/>
      <c r="AO246" s="538"/>
      <c r="AP246" s="542"/>
      <c r="AQ246" s="543" cm="1">
        <f t="array" ref="AQ246">B246</f>
        <v>12</v>
      </c>
      <c r="AR246" s="18"/>
    </row>
    <row r="247" ht="16" customHeight="1">
      <c r="A247" s="12"/>
      <c r="B247" s="544" cm="1">
        <f t="array" ref="B247">IF(B246=0,0,IF(B246&lt;VLOOKUP(C232,'Boats Data Sheet 2026'!$C$3:$H$57,6,0),B246+1,0))</f>
        <v>13</v>
      </c>
      <c r="C247" s="538" cm="1">
        <f t="array" ref="C247">IF(B247&gt;0,IF(VLOOKUP(C232,'Boats Data Sheet 2026'!$C$3:$J$57,8,0)="N/A",0,VLOOKUP(C232,'Boats Data Sheet 2026'!$C$3:$J$57,8,0)),"N/A")</f>
        <v>0</v>
      </c>
      <c r="D247" s="545" cm="1">
        <f t="array" ref="D247">IF(B247&gt;7,2,IF(B247=0,"N/A",1))</f>
        <v>2</v>
      </c>
      <c r="E247" s="538" cm="1">
        <f t="array" ref="E247">_xlfn.IFERROR(SUM('Direct Costs 2026'!$C$4:$C$5)*D247,"N/A")</f>
        <v>1751000</v>
      </c>
      <c r="F247" s="538" cm="1">
        <f t="array" ref="F247">_xlfn.IFERROR('Direct Costs 2026'!$C$43*B247,"N/A")</f>
        <v>78000</v>
      </c>
      <c r="G247" s="538" cm="1">
        <f t="array" ref="G247">IF(B247&gt;0,'Direct Costs 2026'!$C$25,"N/A")</f>
        <v>90000</v>
      </c>
      <c r="H247" s="538" cm="1">
        <f t="array" ref="H247">IF(B247&gt;0,'Direct Costs 2026'!$C$19+'Direct Costs 2026'!$C$18*B247,"N/A")</f>
        <v>530000</v>
      </c>
      <c r="I247" s="538" cm="1">
        <f t="array" ref="I247">IF(B247&gt;0,SUM('Direct Costs 2026'!$C$20:$C$21),"N/A")</f>
        <v>98333.3333333333</v>
      </c>
      <c r="J247" s="538">
        <v>0</v>
      </c>
      <c r="K247" s="538" cm="1">
        <f t="array" ref="K247">_xlfn.IFERROR((IF(B247&gt;0,'Direct Costs 2026'!$C$15+'Direct Costs 2026'!$C$14,"N/A")),"N/A")</f>
        <v>230000</v>
      </c>
      <c r="L247" s="538" cm="1">
        <f t="array" ref="L247">IF(B247&gt;0,'Direct Costs 2026'!$C$26,"N/A")</f>
        <v>20000</v>
      </c>
      <c r="M247" s="538" cm="1">
        <f t="array" ref="M247">IF(B247&gt;0,'Direct Costs 2026'!$C$23,"N/A")</f>
        <v>140000</v>
      </c>
      <c r="N247" s="538" cm="1">
        <f t="array" ref="N247">IF(B247&gt;0,'Direct Costs 2026'!$C$44*B247,"N/A")</f>
        <v>1430000</v>
      </c>
      <c r="O247" s="538" cm="1">
        <f t="array" ref="O247">IF(B247&gt;0,_xlfn.IFERROR(VLOOKUP(C232,'Boats Data Sheet 2026'!$C$3:$I$57,7,0)*'Direct Costs 2026'!$C$36,"N/A"),"N/A")</f>
        <v>3325000</v>
      </c>
      <c r="P247" s="538" cm="1">
        <f t="array" ref="P247">IF(B247&gt;0,IF(OR(VLOOKUP(C232,'Boats Data Sheet 2026'!$C$3:$F$57,4,0)="Own",VLOOKUP(C232,'Boats Data Sheet 2026'!$C$3:$F$57,4,0)="Management"),('Direct Costs 2026'!$C$37+'Direct Costs 2026'!$C$39),"N/A"),"N/A")</f>
        <v>1112400</v>
      </c>
      <c r="Q247" s="538" cm="1">
        <f t="array" ref="Q247">_xlfn.IFERROR(IF(B247&gt;5,IF(B247&gt;11,IF(B247&gt;15,4,3),2),IF(B247=0,"N/A",1))*SUM('Direct Costs 2026'!$C$67:$C$68),"N/A")</f>
        <v>1468800</v>
      </c>
      <c r="R247" s="538" cm="1">
        <f t="array" ref="R247">_xlfn.IFERROR('Direct Costs 2026'!$C$27*C247,"N/A")</f>
        <v>0</v>
      </c>
      <c r="S247" s="538" cm="1">
        <f t="array" ref="S247">_xlfn.IFERROR(C247+SUM(E247:R247),"N/A")</f>
        <v>10273533.3333333</v>
      </c>
      <c r="T247" s="424"/>
      <c r="U247" s="538" cm="1">
        <f t="array" ref="U247">IF(B247&gt;0,'Allocation OH and Target 2026'!$E$27,"N/A")</f>
        <v>2134447.30345641</v>
      </c>
      <c r="V247" s="538" cm="1">
        <f t="array" ref="V247">IF(B247&gt;0,'Allocation OH and Target 2026'!$E$28,"N/A")</f>
        <v>200042.323056976</v>
      </c>
      <c r="W247" s="538" cm="1">
        <f t="array" ref="W247">IF(B247&gt;0,VLOOKUP(C232,'Allocation OH and Target 2026'!$C$3:$T$23,17,0),"N/A")</f>
        <v>1045367.28479263</v>
      </c>
      <c r="X247" s="538" cm="1">
        <f t="array" ref="X247">IF(B247&gt;0,VLOOKUP(C232,'Allocation OH and Target 2026'!$C$3:$T$23,18,0),"N/A")</f>
        <v>100551.729078014</v>
      </c>
      <c r="Y247" s="538" cm="1">
        <f t="array" ref="Y247">_xlfn.IFERROR(B247*(V247+X247),"N/A")</f>
        <v>3907722.67775487</v>
      </c>
      <c r="Z247" s="424"/>
      <c r="AA247" s="538" cm="1">
        <f t="array" ref="AA247">_xlfn.IFERROR(Y247+S247,"N/A")</f>
        <v>14181256.0110882</v>
      </c>
      <c r="AB247" s="538" cm="1">
        <f t="array" ref="AB247">_xlfn.IFERROR(AA247*0.5%,"N/A")</f>
        <v>70906.280055441006</v>
      </c>
      <c r="AC247" s="538" cm="1">
        <f t="array" ref="AC247">_xlfn.IFERROR(AA247*25%,"N/A")</f>
        <v>3545314.00277205</v>
      </c>
      <c r="AD247" s="539" cm="1">
        <f t="array" ref="AD247">IF(B247&gt;0,SUM(AA247:AC247),"N/A")</f>
        <v>17797476.2939157</v>
      </c>
      <c r="AE247" s="538" cm="1">
        <f t="array" ref="AE247">_xlfn.IFERROR(AD247/B247,"N/A")</f>
        <v>1369036.63799352</v>
      </c>
      <c r="AF247" s="424"/>
      <c r="AG247" t="str" s="546" cm="1">
        <f t="array" ref="AG247">IF(B247/VLOOKUP(C232,'Boats Data Sheet 2026'!$C$3:$H$57,6,0)&gt;VLOOKUP(C232,'Allocation OH and Target 2026'!$C$3:$J$23,8,0),IF(SUM(AH234:AH246)=0,AE247,"N/A"),"N/A")</f>
        <v>N/A</v>
      </c>
      <c r="AH247" s="424" cm="1">
        <f t="array" ref="AH247">IF(AG247="N/A",0,1)</f>
        <v>0</v>
      </c>
      <c r="AI247" t="str" s="547" cm="1">
        <f t="array" ref="AI247">IF(B247/VLOOKUP(C232,'Boats Data Sheet 2026'!$C$3:$H$57,6,0)&gt;VLOOKUP(C232,'Allocation OH and Target 2026'!$C$3:$J$23,8,0),IF(SUM(AH234:AH246)=0,S247/B247,"N/A"),"N/A")</f>
        <v>N/A</v>
      </c>
      <c r="AJ247" s="424" cm="1">
        <f t="array" ref="AJ247">IF(AI247="N/A",0,1)</f>
        <v>0</v>
      </c>
      <c r="AK247" t="str" s="527" cm="1">
        <f t="array" ref="AK247">IF(SUM($AG$120:$AG$137)*B247&lt;SUM(AA247:AB247),"NO GO","GO")</f>
        <v>GO</v>
      </c>
      <c r="AL247" s="424"/>
      <c r="AM247" s="538"/>
      <c r="AN247" s="538"/>
      <c r="AO247" s="538"/>
      <c r="AP247" s="542"/>
      <c r="AQ247" s="543" cm="1">
        <f t="array" ref="AQ247">B247</f>
        <v>13</v>
      </c>
      <c r="AR247" s="18"/>
    </row>
    <row r="248" ht="16" customHeight="1">
      <c r="A248" s="12"/>
      <c r="B248" s="544" cm="1">
        <f t="array" ref="B248">IF(B247=0,0,IF(B247&lt;VLOOKUP(C232,'Boats Data Sheet 2026'!$C$3:$H$57,6,0),B247+1,0))</f>
        <v>0</v>
      </c>
      <c r="C248" t="str" s="547" cm="1">
        <f t="array" ref="C248">IF(B248&gt;0,IF(VLOOKUP(C232,'Boats Data Sheet 2026'!$C$3:$J$57,8,0)="N/A",0,VLOOKUP(C232,'Boats Data Sheet 2026'!$C$3:$J$57,8,0)),"N/A")</f>
        <v>N/A</v>
      </c>
      <c r="D248" t="str" s="547" cm="1">
        <f t="array" ref="D248">IF(B248&gt;7,2,IF(B248=0,"N/A",1))</f>
        <v>N/A</v>
      </c>
      <c r="E248" t="str" s="547" cm="1">
        <f t="array" ref="E248">_xlfn.IFERROR(SUM('Direct Costs 2026'!$C$4:$C$5)*D248,"N/A")</f>
        <v>N/A</v>
      </c>
      <c r="F248" s="538" cm="1">
        <f t="array" ref="F248">_xlfn.IFERROR('Direct Costs 2026'!$C$43*B248,"N/A")</f>
        <v>0</v>
      </c>
      <c r="G248" t="str" s="547" cm="1">
        <f t="array" ref="G248">IF(B248&gt;0,'Direct Costs 2026'!$C$25,"N/A")</f>
        <v>N/A</v>
      </c>
      <c r="H248" t="str" s="547" cm="1">
        <f t="array" ref="H248">IF(B248&gt;0,'Direct Costs 2026'!$C$19+'Direct Costs 2026'!$C$18*B248,"N/A")</f>
        <v>N/A</v>
      </c>
      <c r="I248" t="str" s="547" cm="1">
        <f t="array" ref="I248">IF(B248&gt;0,SUM('Direct Costs 2026'!$C$20:$C$21),"N/A")</f>
        <v>N/A</v>
      </c>
      <c r="J248" s="538">
        <v>0</v>
      </c>
      <c r="K248" t="str" s="547" cm="1">
        <f t="array" ref="K248">_xlfn.IFERROR((IF(B248&gt;0,'Direct Costs 2026'!$C$15+'Direct Costs 2026'!$C$14,"N/A")),"N/A")</f>
        <v>N/A</v>
      </c>
      <c r="L248" t="str" s="547" cm="1">
        <f t="array" ref="L248">IF(B248&gt;0,'Direct Costs 2026'!$C$26,"N/A")</f>
        <v>N/A</v>
      </c>
      <c r="M248" t="str" s="547" cm="1">
        <f t="array" ref="M248">IF(B248&gt;0,'Direct Costs 2026'!$C$23,"N/A")</f>
        <v>N/A</v>
      </c>
      <c r="N248" t="str" s="547" cm="1">
        <f t="array" ref="N248">IF(B248&gt;0,'Direct Costs 2026'!$C$44*B248,"N/A")</f>
        <v>N/A</v>
      </c>
      <c r="O248" t="str" s="547" cm="1">
        <f t="array" ref="O248">IF(B248&gt;0,_xlfn.IFERROR(VLOOKUP(C232,'Boats Data Sheet 2026'!$C$3:$I$57,7,0)*'Direct Costs 2026'!$C$36,"N/A"),"N/A")</f>
        <v>N/A</v>
      </c>
      <c r="P248" t="str" s="547" cm="1">
        <f t="array" ref="P248">IF(B248&gt;0,IF(OR(VLOOKUP(C232,'Boats Data Sheet 2026'!$C$3:$F$57,4,0)="Own",VLOOKUP(C232,'Boats Data Sheet 2026'!$C$3:$F$57,4,0)="Management"),('Direct Costs 2026'!$C$37+'Direct Costs 2026'!$C$39),"N/A"),"N/A")</f>
        <v>N/A</v>
      </c>
      <c r="Q248" t="str" s="547" cm="1">
        <f t="array" ref="Q248">_xlfn.IFERROR(IF(B248&gt;5,IF(B248&gt;11,IF(B248&gt;15,4,3),2),IF(B248=0,"N/A",1))*SUM('Direct Costs 2026'!$C$67:$C$68),"N/A")</f>
        <v>N/A</v>
      </c>
      <c r="R248" t="str" s="547" cm="1">
        <f t="array" ref="R248">_xlfn.IFERROR('Direct Costs 2026'!$C$27*C248,"N/A")</f>
        <v>N/A</v>
      </c>
      <c r="S248" t="str" s="547" cm="1">
        <f t="array" ref="S248">_xlfn.IFERROR(C248+SUM(E248:R248),"N/A")</f>
        <v>N/A</v>
      </c>
      <c r="T248" s="424"/>
      <c r="U248" t="str" s="547" cm="1">
        <f t="array" ref="U248">IF(B248&gt;0,'Allocation OH and Target 2026'!$E$27,"N/A")</f>
        <v>N/A</v>
      </c>
      <c r="V248" t="str" s="547" cm="1">
        <f t="array" ref="V248">IF(B248&gt;0,'Allocation OH and Target 2026'!$E$28,"N/A")</f>
        <v>N/A</v>
      </c>
      <c r="W248" t="str" s="547" cm="1">
        <f t="array" ref="W248">IF(B248&gt;0,VLOOKUP(C232,'Allocation OH and Target 2026'!$C$3:$T$23,17,0),"N/A")</f>
        <v>N/A</v>
      </c>
      <c r="X248" t="str" s="547" cm="1">
        <f t="array" ref="X248">IF(B248&gt;0,VLOOKUP(C232,'Allocation OH and Target 2026'!$C$3:$T$23,18,0),"N/A")</f>
        <v>N/A</v>
      </c>
      <c r="Y248" t="str" s="547" cm="1">
        <f t="array" ref="Y248">_xlfn.IFERROR(B248*(V248+X248),"N/A")</f>
        <v>N/A</v>
      </c>
      <c r="Z248" s="424"/>
      <c r="AA248" t="str" s="547" cm="1">
        <f t="array" ref="AA248">_xlfn.IFERROR(Y248+S248,"N/A")</f>
        <v>N/A</v>
      </c>
      <c r="AB248" t="str" s="547" cm="1">
        <f t="array" ref="AB248">_xlfn.IFERROR(AA248*0.5%,"N/A")</f>
        <v>N/A</v>
      </c>
      <c r="AC248" t="str" s="547" cm="1">
        <f t="array" ref="AC248">_xlfn.IFERROR(AA248*25%,"N/A")</f>
        <v>N/A</v>
      </c>
      <c r="AD248" t="str" s="546" cm="1">
        <f t="array" ref="AD248">IF(B248&gt;0,SUM(AA248:AC248),"N/A")</f>
        <v>N/A</v>
      </c>
      <c r="AE248" t="str" s="547" cm="1">
        <f t="array" ref="AE248">_xlfn.IFERROR(AD248/B248,"N/A")</f>
        <v>N/A</v>
      </c>
      <c r="AF248" s="424"/>
      <c r="AG248" t="str" s="546" cm="1">
        <f t="array" ref="AG248">IF(B248/VLOOKUP(C232,'Boats Data Sheet 2026'!$C$3:$H$57,6,0)&gt;VLOOKUP(C232,'Allocation OH and Target 2026'!$C$3:$J$23,8,0),IF(SUM(AH234:AH247)=0,AE248,"N/A"),"N/A")</f>
        <v>N/A</v>
      </c>
      <c r="AH248" s="424" cm="1">
        <f t="array" ref="AH248">IF(AG248="N/A",0,1)</f>
        <v>0</v>
      </c>
      <c r="AI248" t="str" s="547" cm="1">
        <f t="array" ref="AI248">IF(B248/VLOOKUP(C232,'Boats Data Sheet 2026'!$C$3:$H$57,6,0)&gt;VLOOKUP(C232,'Allocation OH and Target 2026'!$C$3:$J$23,8,0),IF(SUM(AH234:AH247)=0,S248/B248,"N/A"),"N/A")</f>
        <v>N/A</v>
      </c>
      <c r="AJ248" s="424" cm="1">
        <f t="array" ref="AJ248">IF(AI248="N/A",0,1)</f>
        <v>0</v>
      </c>
      <c r="AK248" t="str" s="527" cm="1">
        <f t="array" ref="AK248">IF(SUM($AG$120:$AG$137)*B248&lt;SUM(AA248:AB248),"NO GO","GO")</f>
        <v>GO</v>
      </c>
      <c r="AL248" s="424"/>
      <c r="AM248" s="538"/>
      <c r="AN248" s="538"/>
      <c r="AO248" s="538"/>
      <c r="AP248" s="542"/>
      <c r="AQ248" s="543" cm="1">
        <f t="array" ref="AQ248">B248</f>
        <v>0</v>
      </c>
      <c r="AR248" s="18"/>
    </row>
    <row r="249" ht="16" customHeight="1">
      <c r="A249" s="12"/>
      <c r="B249" s="544" cm="1">
        <f t="array" ref="B249">IF(B248=0,0,IF(B248&lt;VLOOKUP(C232,'Boats Data Sheet 2026'!$C$3:$H$57,6,0),B248+1,0))</f>
        <v>0</v>
      </c>
      <c r="C249" t="str" s="547" cm="1">
        <f t="array" ref="C249">IF(B249&gt;0,IF(VLOOKUP(C232,'Boats Data Sheet 2026'!$C$3:$J$57,8,0)="N/A",0,VLOOKUP(C232,'Boats Data Sheet 2026'!$C$3:$J$57,8,0)),"N/A")</f>
        <v>N/A</v>
      </c>
      <c r="D249" t="str" s="547" cm="1">
        <f t="array" ref="D249">IF(B249&gt;7,2,IF(B249=0,"N/A",1))</f>
        <v>N/A</v>
      </c>
      <c r="E249" t="str" s="547" cm="1">
        <f t="array" ref="E249">_xlfn.IFERROR(SUM('Direct Costs 2026'!$C$4:$C$5)*D249,"N/A")</f>
        <v>N/A</v>
      </c>
      <c r="F249" s="538" cm="1">
        <f t="array" ref="F249">_xlfn.IFERROR('Direct Costs 2026'!$C$43*B249,"N/A")</f>
        <v>0</v>
      </c>
      <c r="G249" t="str" s="547" cm="1">
        <f t="array" ref="G249">IF(B249&gt;0,'Direct Costs 2026'!$C$25,"N/A")</f>
        <v>N/A</v>
      </c>
      <c r="H249" t="str" s="547" cm="1">
        <f t="array" ref="H249">IF(B249&gt;0,'Direct Costs 2026'!$C$19+'Direct Costs 2026'!$C$18*B249,"N/A")</f>
        <v>N/A</v>
      </c>
      <c r="I249" t="str" s="547" cm="1">
        <f t="array" ref="I249">IF(B249&gt;0,SUM('Direct Costs 2026'!$C$20:$C$21),"N/A")</f>
        <v>N/A</v>
      </c>
      <c r="J249" s="538">
        <v>0</v>
      </c>
      <c r="K249" t="str" s="547" cm="1">
        <f t="array" ref="K249">_xlfn.IFERROR((IF(B249&gt;0,'Direct Costs 2026'!$C$15+'Direct Costs 2026'!$C$14,"N/A")),"N/A")</f>
        <v>N/A</v>
      </c>
      <c r="L249" t="str" s="547" cm="1">
        <f t="array" ref="L249">IF(B249&gt;0,'Direct Costs 2026'!$C$26,"N/A")</f>
        <v>N/A</v>
      </c>
      <c r="M249" t="str" s="547" cm="1">
        <f t="array" ref="M249">IF(B249&gt;0,'Direct Costs 2026'!$C$23,"N/A")</f>
        <v>N/A</v>
      </c>
      <c r="N249" t="str" s="547" cm="1">
        <f t="array" ref="N249">IF(B249&gt;0,'Direct Costs 2026'!$C$44*B249,"N/A")</f>
        <v>N/A</v>
      </c>
      <c r="O249" t="str" s="547" cm="1">
        <f t="array" ref="O249">IF(B249&gt;0,_xlfn.IFERROR(VLOOKUP(C232,'Boats Data Sheet 2026'!$C$3:$I$57,7,0)*'Direct Costs 2026'!$C$36,"N/A"),"N/A")</f>
        <v>N/A</v>
      </c>
      <c r="P249" t="str" s="547" cm="1">
        <f t="array" ref="P249">IF(B249&gt;0,IF(OR(VLOOKUP(C237,'Boats Data Sheet 2026'!$C$3:$F$57,4,0)="Own",VLOOKUP(C237,'Boats Data Sheet 2026'!$C$3:$F$57,4,0)="Management"),('Direct Costs 2026'!$C$37+'Direct Costs 2026'!$C$39),"N/A"),"N/A")</f>
        <v>N/A</v>
      </c>
      <c r="Q249" t="str" s="547" cm="1">
        <f t="array" ref="Q249">_xlfn.IFERROR(IF(B249&gt;5,IF(B249&gt;11,IF(B249&gt;15,4,3),2),IF(B249=0,"N/A",1))*SUM('Direct Costs 2026'!$C$67:$C$68),"N/A")</f>
        <v>N/A</v>
      </c>
      <c r="R249" t="str" s="547" cm="1">
        <f t="array" ref="R249">_xlfn.IFERROR('Direct Costs 2026'!$C$27*C249,"N/A")</f>
        <v>N/A</v>
      </c>
      <c r="S249" t="str" s="547" cm="1">
        <f t="array" ref="S249">_xlfn.IFERROR(C249+SUM(E249:R249),"N/A")</f>
        <v>N/A</v>
      </c>
      <c r="T249" s="424"/>
      <c r="U249" t="str" s="547" cm="1">
        <f t="array" ref="U249">IF(B249&gt;0,'Allocation OH and Target 2026'!$E$27,"N/A")</f>
        <v>N/A</v>
      </c>
      <c r="V249" t="str" s="547" cm="1">
        <f t="array" ref="V249">IF(B249&gt;0,'Allocation OH and Target 2026'!$E$28,"N/A")</f>
        <v>N/A</v>
      </c>
      <c r="W249" t="str" s="547" cm="1">
        <f t="array" ref="W249">IF(B249&gt;0,VLOOKUP(C232,'Allocation OH and Target 2026'!$C$3:$T$23,17,0),"N/A")</f>
        <v>N/A</v>
      </c>
      <c r="X249" t="str" s="547" cm="1">
        <f t="array" ref="X249">IF(B249&gt;0,VLOOKUP(C232,'Allocation OH and Target 2026'!$C$3:$T$23,18,0),"N/A")</f>
        <v>N/A</v>
      </c>
      <c r="Y249" t="str" s="547" cm="1">
        <f t="array" ref="Y249">_xlfn.IFERROR(V249*B249+X249,"N/A")</f>
        <v>N/A</v>
      </c>
      <c r="Z249" s="424"/>
      <c r="AA249" t="str" s="547" cm="1">
        <f t="array" ref="AA249">_xlfn.IFERROR(Y249+S249,"N/A")</f>
        <v>N/A</v>
      </c>
      <c r="AB249" t="str" s="547" cm="1">
        <f t="array" ref="AB249">_xlfn.IFERROR(AA249*0.5%,"N/A")</f>
        <v>N/A</v>
      </c>
      <c r="AC249" t="str" s="547" cm="1">
        <f t="array" ref="AC249">_xlfn.IFERROR(AA249*25%,"N/A")</f>
        <v>N/A</v>
      </c>
      <c r="AD249" t="str" s="546" cm="1">
        <f t="array" ref="AD249">IF(B249&gt;0,SUM(AA249:AC249),"N/A")</f>
        <v>N/A</v>
      </c>
      <c r="AE249" t="str" s="547" cm="1">
        <f t="array" ref="AE249">_xlfn.IFERROR(AD249/B249,"N/A")</f>
        <v>N/A</v>
      </c>
      <c r="AF249" s="424"/>
      <c r="AG249" t="str" s="546" cm="1">
        <f t="array" ref="AG249">IF(B249/VLOOKUP(C232,'Boats Data Sheet 2026'!$C$3:$H$57,6,0)&gt;VLOOKUP(C232,'Allocation OH and Target 2026'!$C$3:$J$23,8,0),IF(SUM(AH234:AH248)=0,AE249,"N/A"),"N/A")</f>
        <v>N/A</v>
      </c>
      <c r="AH249" s="424" cm="1">
        <f t="array" ref="AH249">IF(AG249="N/A",0,1)</f>
        <v>0</v>
      </c>
      <c r="AI249" t="str" s="547" cm="1">
        <f t="array" ref="AI249">IF(B249/VLOOKUP(C232,'Boats Data Sheet 2026'!$C$3:$H$57,6,0)&gt;VLOOKUP(C232,'Allocation OH and Target 2026'!$C$3:$J$23,8,0),IF(SUM(AH234:AH248)=0,S249/B249,"N/A"),"N/A")</f>
        <v>N/A</v>
      </c>
      <c r="AJ249" s="424" cm="1">
        <f t="array" ref="AJ249">IF(AI249="N/A",0,1)</f>
        <v>0</v>
      </c>
      <c r="AK249" t="str" s="527" cm="1">
        <f t="array" ref="AK249">IF(SUM($AG$120:$AG$137)*B249&lt;SUM(AA249:AB249),"NO GO","GO")</f>
        <v>GO</v>
      </c>
      <c r="AL249" s="424"/>
      <c r="AM249" s="538"/>
      <c r="AN249" s="538"/>
      <c r="AO249" s="538"/>
      <c r="AP249" s="542"/>
      <c r="AQ249" s="543" cm="1">
        <f t="array" ref="AQ249">B249</f>
        <v>0</v>
      </c>
      <c r="AR249" s="18"/>
    </row>
    <row r="250" ht="16" customHeight="1">
      <c r="A250" s="12"/>
      <c r="B250" s="544" cm="1">
        <f t="array" ref="B250">IF(B249=0,0,IF(B249&lt;VLOOKUP(C232,'Boats Data Sheet 2026'!$C$3:$H$57,6,0),B249+1,0))</f>
        <v>0</v>
      </c>
      <c r="C250" t="str" s="547" cm="1">
        <f t="array" ref="C250">IF(B250&gt;0,IF(VLOOKUP(C232,'Boats Data Sheet 2026'!$C$3:$J$57,8,0)="N/A",0,VLOOKUP(C232,'Boats Data Sheet 2026'!$C$3:$J$57,8,0)),"N/A")</f>
        <v>N/A</v>
      </c>
      <c r="D250" t="str" s="547" cm="1">
        <f t="array" ref="D250">IF(B250&gt;7,2,IF(B250=0,"N/A",1))</f>
        <v>N/A</v>
      </c>
      <c r="E250" t="str" s="547" cm="1">
        <f t="array" ref="E250">_xlfn.IFERROR(SUM('Direct Costs 2026'!$C$4:$C$5)*D250,"N/A")</f>
        <v>N/A</v>
      </c>
      <c r="F250" s="538" cm="1">
        <f t="array" ref="F250">_xlfn.IFERROR('Direct Costs 2026'!$C$43*B250,"N/A")</f>
        <v>0</v>
      </c>
      <c r="G250" t="str" s="547" cm="1">
        <f t="array" ref="G250">IF(B250&gt;0,'Direct Costs 2026'!$C$25,"N/A")</f>
        <v>N/A</v>
      </c>
      <c r="H250" t="str" s="547" cm="1">
        <f t="array" ref="H250">IF(B250&gt;0,'Direct Costs 2026'!$C$19+'Direct Costs 2026'!$C$18*B250,"N/A")</f>
        <v>N/A</v>
      </c>
      <c r="I250" t="str" s="547" cm="1">
        <f t="array" ref="I250">IF(B250&gt;0,SUM('Direct Costs 2026'!$C$20:$C$21),"N/A")</f>
        <v>N/A</v>
      </c>
      <c r="J250" s="538">
        <v>0</v>
      </c>
      <c r="K250" t="str" s="547" cm="1">
        <f t="array" ref="K250">_xlfn.IFERROR((IF(B250&gt;0,'Direct Costs 2026'!$C$15+'Direct Costs 2026'!$C$14,"N/A")),"N/A")</f>
        <v>N/A</v>
      </c>
      <c r="L250" t="str" s="547" cm="1">
        <f t="array" ref="L250">IF(B250&gt;0,'Direct Costs 2026'!$C$26,"N/A")</f>
        <v>N/A</v>
      </c>
      <c r="M250" t="str" s="547" cm="1">
        <f t="array" ref="M250">IF(B250&gt;0,'Direct Costs 2026'!$C$23,"N/A")</f>
        <v>N/A</v>
      </c>
      <c r="N250" t="str" s="547" cm="1">
        <f t="array" ref="N250">IF(B250&gt;0,'Direct Costs 2026'!$C$44*B250,"N/A")</f>
        <v>N/A</v>
      </c>
      <c r="O250" t="str" s="547" cm="1">
        <f t="array" ref="O250">IF(B250&gt;0,_xlfn.IFERROR(VLOOKUP(C232,'Boats Data Sheet 2026'!$C$3:$I$57,7,0)*'Direct Costs 2026'!$C$36,"N/A"),"N/A")</f>
        <v>N/A</v>
      </c>
      <c r="P250" t="str" s="547" cm="1">
        <f t="array" ref="P250">IF(B250&gt;0,IF(OR(VLOOKUP(C238,'Boats Data Sheet 2026'!$C$3:$F$57,4,0)="Own",VLOOKUP(C238,'Boats Data Sheet 2026'!$C$3:$F$57,4,0)="Management"),('Direct Costs 2026'!$C$37+'Direct Costs 2026'!$C$39),"N/A"),"N/A")</f>
        <v>N/A</v>
      </c>
      <c r="Q250" t="str" s="547" cm="1">
        <f t="array" ref="Q250">_xlfn.IFERROR(IF(B250&gt;5,IF(B250&gt;11,IF(B250&gt;15,4,3),2),IF(B250=0,"N/A",1))*SUM('Direct Costs 2026'!$C$67:$C$68),"N/A")</f>
        <v>N/A</v>
      </c>
      <c r="R250" t="str" s="547" cm="1">
        <f t="array" ref="R250">_xlfn.IFERROR('Direct Costs 2026'!$C$27*C250,"N/A")</f>
        <v>N/A</v>
      </c>
      <c r="S250" t="str" s="547" cm="1">
        <f t="array" ref="S250">_xlfn.IFERROR(C250+SUM(E250:R250),"N/A")</f>
        <v>N/A</v>
      </c>
      <c r="T250" s="424"/>
      <c r="U250" t="str" s="547" cm="1">
        <f t="array" ref="U250">IF(B250&gt;0,'Allocation OH and Target 2026'!$E$27,"N/A")</f>
        <v>N/A</v>
      </c>
      <c r="V250" t="str" s="547" cm="1">
        <f t="array" ref="V250">IF(B250&gt;0,'Allocation OH and Target 2026'!$E$28,"N/A")</f>
        <v>N/A</v>
      </c>
      <c r="W250" t="str" s="547" cm="1">
        <f t="array" ref="W250">IF(B250&gt;0,VLOOKUP(C232,'Allocation OH and Target 2026'!$C$3:$T$23,17,0),"N/A")</f>
        <v>N/A</v>
      </c>
      <c r="X250" t="str" s="547" cm="1">
        <f t="array" ref="X250">IF(B250&gt;0,VLOOKUP(C232,'Allocation OH and Target 2026'!$C$3:$T$23,18,0),"N/A")</f>
        <v>N/A</v>
      </c>
      <c r="Y250" t="str" s="547" cm="1">
        <f t="array" ref="Y250">_xlfn.IFERROR(V250*B250+X250,"N/A")</f>
        <v>N/A</v>
      </c>
      <c r="Z250" s="424"/>
      <c r="AA250" t="str" s="547" cm="1">
        <f t="array" ref="AA250">_xlfn.IFERROR(Y250+S250,"N/A")</f>
        <v>N/A</v>
      </c>
      <c r="AB250" t="str" s="547" cm="1">
        <f t="array" ref="AB250">_xlfn.IFERROR(AA250*0.5%,"N/A")</f>
        <v>N/A</v>
      </c>
      <c r="AC250" t="str" s="547" cm="1">
        <f t="array" ref="AC250">_xlfn.IFERROR(AA250*25%,"N/A")</f>
        <v>N/A</v>
      </c>
      <c r="AD250" t="str" s="546" cm="1">
        <f t="array" ref="AD250">IF(B250&gt;0,SUM(AA250:AC250),"N/A")</f>
        <v>N/A</v>
      </c>
      <c r="AE250" t="str" s="547" cm="1">
        <f t="array" ref="AE250">_xlfn.IFERROR(AD250/B250,"N/A")</f>
        <v>N/A</v>
      </c>
      <c r="AF250" s="424"/>
      <c r="AG250" t="str" s="546" cm="1">
        <f t="array" ref="AG250">IF(B250/VLOOKUP(C232,'Boats Data Sheet 2026'!$C$3:$H$57,6,0)&gt;VLOOKUP(C232,'Allocation OH and Target 2026'!$C$3:$J$23,8,0),IF(SUM(AH234:AH249)=0,AE250,"N/A"),"N/A")</f>
        <v>N/A</v>
      </c>
      <c r="AH250" s="424" cm="1">
        <f t="array" ref="AH250">IF(AG250="N/A",0,1)</f>
        <v>0</v>
      </c>
      <c r="AI250" t="str" s="547" cm="1">
        <f t="array" ref="AI250">IF(B250/VLOOKUP(C232,'Boats Data Sheet 2026'!$C$3:$H$57,6,0)&gt;VLOOKUP(C232,'Allocation OH and Target 2026'!$C$3:$J$23,8,0),IF(SUM(AH234:AH249)=0,S250/B250,"N/A"),"N/A")</f>
        <v>N/A</v>
      </c>
      <c r="AJ250" s="424" cm="1">
        <f t="array" ref="AJ250">IF(AI250="N/A",0,1)</f>
        <v>0</v>
      </c>
      <c r="AK250" t="str" s="527" cm="1">
        <f t="array" ref="AK250">IF(SUM($AG$120:$AG$137)*B250&lt;SUM(AA250:AB250),"NO GO","GO")</f>
        <v>GO</v>
      </c>
      <c r="AL250" s="424"/>
      <c r="AM250" s="538"/>
      <c r="AN250" s="538"/>
      <c r="AO250" s="538"/>
      <c r="AP250" s="542"/>
      <c r="AQ250" s="543" cm="1">
        <f t="array" ref="AQ250">B250</f>
        <v>0</v>
      </c>
      <c r="AR250" s="18"/>
    </row>
    <row r="251" ht="16" customHeight="1">
      <c r="A251" s="12"/>
      <c r="B251" s="544" cm="1">
        <f t="array" ref="B251">IF(B250=0,0,IF(B250&lt;VLOOKUP(C232,'Boats Data Sheet 2026'!$C$3:$H$57,6,0),B250+1,0))</f>
        <v>0</v>
      </c>
      <c r="C251" t="str" s="547" cm="1">
        <f t="array" ref="C251">IF(B251&gt;0,IF(VLOOKUP(C232,'Boats Data Sheet 2026'!$C$3:$J$57,8,0)="N/A",0,VLOOKUP(C232,'Boats Data Sheet 2026'!$C$3:$J$57,8,0)),"N/A")</f>
        <v>N/A</v>
      </c>
      <c r="D251" t="str" s="547" cm="1">
        <f t="array" ref="D251">IF(B251&gt;7,2,IF(B251=0,"N/A",1))</f>
        <v>N/A</v>
      </c>
      <c r="E251" t="str" s="547" cm="1">
        <f t="array" ref="E251">_xlfn.IFERROR(SUM('Direct Costs 2026'!$C$4:$C$5)*D251,"N/A")</f>
        <v>N/A</v>
      </c>
      <c r="F251" s="538" cm="1">
        <f t="array" ref="F251">_xlfn.IFERROR('Direct Costs 2026'!$C$43*B251,"N/A")</f>
        <v>0</v>
      </c>
      <c r="G251" t="str" s="547" cm="1">
        <f t="array" ref="G251">IF(B251&gt;0,'Direct Costs 2026'!$C$25,"N/A")</f>
        <v>N/A</v>
      </c>
      <c r="H251" t="str" s="547" cm="1">
        <f t="array" ref="H251">IF(B251&gt;0,'Direct Costs 2026'!$C$19+'Direct Costs 2026'!$C$18*B251,"N/A")</f>
        <v>N/A</v>
      </c>
      <c r="I251" t="str" s="547" cm="1">
        <f t="array" ref="I251">IF(B251&gt;0,SUM('Direct Costs 2026'!$C$20:$C$21),"N/A")</f>
        <v>N/A</v>
      </c>
      <c r="J251" s="538">
        <v>0</v>
      </c>
      <c r="K251" t="str" s="547" cm="1">
        <f t="array" ref="K251">_xlfn.IFERROR((IF(B251&gt;0,'Direct Costs 2026'!$C$15+'Direct Costs 2026'!$C$14,"N/A")),"N/A")</f>
        <v>N/A</v>
      </c>
      <c r="L251" t="str" s="547" cm="1">
        <f t="array" ref="L251">IF(B251&gt;0,'Direct Costs 2026'!$C$26,"N/A")</f>
        <v>N/A</v>
      </c>
      <c r="M251" t="str" s="547" cm="1">
        <f t="array" ref="M251">IF(B251&gt;0,'Direct Costs 2026'!$C$23,"N/A")</f>
        <v>N/A</v>
      </c>
      <c r="N251" t="str" s="547" cm="1">
        <f t="array" ref="N251">IF(B251&gt;0,'Direct Costs 2026'!$C$44*B251,"N/A")</f>
        <v>N/A</v>
      </c>
      <c r="O251" t="str" s="547" cm="1">
        <f t="array" ref="O251">IF(B251&gt;0,_xlfn.IFERROR(VLOOKUP(C232,'Boats Data Sheet 2026'!$C$3:$I$57,7,0)*'Direct Costs 2026'!$C$36,"N/A"),"N/A")</f>
        <v>N/A</v>
      </c>
      <c r="P251" t="str" s="547" cm="1">
        <f t="array" ref="P251">IF(B251&gt;0,IF(OR(VLOOKUP(C239,'Boats Data Sheet 2026'!$C$3:$F$57,4,0)="Own",VLOOKUP(C239,'Boats Data Sheet 2026'!$C$3:$F$57,4,0)="Management"),('Direct Costs 2026'!$C$37+'Direct Costs 2026'!$C$39),"N/A"),"N/A")</f>
        <v>N/A</v>
      </c>
      <c r="Q251" t="str" s="547" cm="1">
        <f t="array" ref="Q251">_xlfn.IFERROR(IF(B251&gt;5,IF(B251&gt;11,IF(B251&gt;15,4,3),2),IF(B251=0,"N/A",1))*SUM('Direct Costs 2026'!$C$67:$C$68),"N/A")</f>
        <v>N/A</v>
      </c>
      <c r="R251" t="str" s="547" cm="1">
        <f t="array" ref="R251">_xlfn.IFERROR('Direct Costs 2026'!$C$27*C251,"N/A")</f>
        <v>N/A</v>
      </c>
      <c r="S251" t="str" s="547" cm="1">
        <f t="array" ref="S251">_xlfn.IFERROR(C251+SUM(E251:R251),"N/A")</f>
        <v>N/A</v>
      </c>
      <c r="T251" s="424"/>
      <c r="U251" t="str" s="547" cm="1">
        <f t="array" ref="U251">IF(B251&gt;0,'Allocation OH and Target 2026'!$E$27,"N/A")</f>
        <v>N/A</v>
      </c>
      <c r="V251" t="str" s="547" cm="1">
        <f t="array" ref="V251">IF(B251&gt;0,'Allocation OH and Target 2026'!$E$28,"N/A")</f>
        <v>N/A</v>
      </c>
      <c r="W251" t="str" s="547" cm="1">
        <f t="array" ref="W251">IF(B251&gt;0,VLOOKUP(C232,'Allocation OH and Target 2026'!$C$3:$T$23,17,0),"N/A")</f>
        <v>N/A</v>
      </c>
      <c r="X251" t="str" s="547" cm="1">
        <f t="array" ref="X251">IF(B251&gt;0,VLOOKUP(C232,'Allocation OH and Target 2026'!$C$3:$T$23,18,0),"N/A")</f>
        <v>N/A</v>
      </c>
      <c r="Y251" t="str" s="547" cm="1">
        <f t="array" ref="Y251">_xlfn.IFERROR(V251*B251+X251,"N/A")</f>
        <v>N/A</v>
      </c>
      <c r="Z251" s="424"/>
      <c r="AA251" t="str" s="547" cm="1">
        <f t="array" ref="AA251">_xlfn.IFERROR(Y251+S251,"N/A")</f>
        <v>N/A</v>
      </c>
      <c r="AB251" t="str" s="547" cm="1">
        <f t="array" ref="AB251">_xlfn.IFERROR(AA251*0.5%,"N/A")</f>
        <v>N/A</v>
      </c>
      <c r="AC251" t="str" s="547" cm="1">
        <f t="array" ref="AC251">_xlfn.IFERROR(AA251*25%,"N/A")</f>
        <v>N/A</v>
      </c>
      <c r="AD251" t="str" s="546" cm="1">
        <f t="array" ref="AD251">IF(B251&gt;0,SUM(AA251:AC251),"N/A")</f>
        <v>N/A</v>
      </c>
      <c r="AE251" t="str" s="547" cm="1">
        <f t="array" ref="AE251">_xlfn.IFERROR(AD251/B251,"N/A")</f>
        <v>N/A</v>
      </c>
      <c r="AF251" s="424"/>
      <c r="AG251" t="str" s="546" cm="1">
        <f t="array" ref="AG251">IF(B251/VLOOKUP(C232,'Boats Data Sheet 2026'!$C$3:$H$57,6,0)&gt;VLOOKUP(C232,'Allocation OH and Target 2026'!$C$3:$J$23,8,0),IF(SUM(AH234:AH250)=0,AE251,"N/A"),"N/A")</f>
        <v>N/A</v>
      </c>
      <c r="AH251" s="424" cm="1">
        <f t="array" ref="AH251">IF(AG251="N/A",0,1)</f>
        <v>0</v>
      </c>
      <c r="AI251" t="str" s="547" cm="1">
        <f t="array" ref="AI251">IF(B251/VLOOKUP(C232,'Boats Data Sheet 2026'!$C$3:$H$57,6,0)&gt;VLOOKUP(C232,'Allocation OH and Target 2026'!$C$3:$J$23,8,0),IF(SUM(AH234:AH250)=0,S251/B251,"N/A"),"N/A")</f>
        <v>N/A</v>
      </c>
      <c r="AJ251" s="424" cm="1">
        <f t="array" ref="AJ251">IF(AI251="N/A",0,1)</f>
        <v>0</v>
      </c>
      <c r="AK251" t="str" s="527" cm="1">
        <f t="array" ref="AK251">IF(SUM($AG$120:$AG$137)*B251&lt;SUM(AA251:AB251),"NO GO","GO")</f>
        <v>GO</v>
      </c>
      <c r="AL251" s="424"/>
      <c r="AM251" s="538"/>
      <c r="AN251" s="538"/>
      <c r="AO251" s="538"/>
      <c r="AP251" s="542"/>
      <c r="AQ251" s="543" cm="1">
        <f t="array" ref="AQ251">B251</f>
        <v>0</v>
      </c>
      <c r="AR251" s="18"/>
    </row>
    <row r="252" ht="15.5" customHeight="1">
      <c r="A252" s="12"/>
      <c r="B252" s="550" cm="1">
        <f t="array" ref="B252">IF(B251=0,0,IF(B251&lt;VLOOKUP(C232,'Boats Data Sheet 2026'!$C$3:$H$57,6,0),B251+1,0))</f>
        <v>0</v>
      </c>
      <c r="C252" t="str" s="551" cm="1">
        <f t="array" ref="C252">IF(B252&gt;0,IF(VLOOKUP(C232,'Boats Data Sheet 2026'!$C$3:$J$57,8,0)="N/A",0,VLOOKUP(C232,'Boats Data Sheet 2026'!$C$3:$J$57,8,0)),"N/A")</f>
        <v>N/A</v>
      </c>
      <c r="D252" t="str" s="551" cm="1">
        <f t="array" ref="D252">IF(B252&gt;7,2,IF(B252=0,"N/A",1))</f>
        <v>N/A</v>
      </c>
      <c r="E252" t="str" s="551" cm="1">
        <f t="array" ref="E252">_xlfn.IFERROR(SUM('Direct Costs 2026'!$C$4:$C$5)*D252,"N/A")</f>
        <v>N/A</v>
      </c>
      <c r="F252" s="552" cm="1">
        <f t="array" ref="F252">_xlfn.IFERROR('Direct Costs 2026'!$C$43*B252,"N/A")</f>
        <v>0</v>
      </c>
      <c r="G252" t="str" s="551" cm="1">
        <f t="array" ref="G252">IF(B252&gt;0,'Direct Costs 2026'!$C$25,"N/A")</f>
        <v>N/A</v>
      </c>
      <c r="H252" t="str" s="551" cm="1">
        <f t="array" ref="H252">IF(B252&gt;0,'Direct Costs 2026'!$C$19+'Direct Costs 2026'!$C$18*B252,"N/A")</f>
        <v>N/A</v>
      </c>
      <c r="I252" t="str" s="551" cm="1">
        <f t="array" ref="I252">IF(B252&gt;0,SUM('Direct Costs 2026'!$C$20:$C$21),"N/A")</f>
        <v>N/A</v>
      </c>
      <c r="J252" s="552">
        <v>0</v>
      </c>
      <c r="K252" t="str" s="551" cm="1">
        <f t="array" ref="K252">_xlfn.IFERROR((IF(B252&gt;0,'Direct Costs 2026'!$C$15+'Direct Costs 2026'!$C$14,"N/A")),"N/A")</f>
        <v>N/A</v>
      </c>
      <c r="L252" t="str" s="551" cm="1">
        <f t="array" ref="L252">IF(B252&gt;0,'Direct Costs 2026'!$C$26,"N/A")</f>
        <v>N/A</v>
      </c>
      <c r="M252" t="str" s="551" cm="1">
        <f t="array" ref="M252">IF(B252&gt;0,'Direct Costs 2026'!$C$23,"N/A")</f>
        <v>N/A</v>
      </c>
      <c r="N252" t="str" s="551" cm="1">
        <f t="array" ref="N252">IF(B252&gt;0,'Direct Costs 2026'!$C$44*B252,"N/A")</f>
        <v>N/A</v>
      </c>
      <c r="O252" t="str" s="551" cm="1">
        <f t="array" ref="O252">IF(B252&gt;0,_xlfn.IFERROR(VLOOKUP(C232,'Boats Data Sheet 2026'!$C$3:$I$57,7,0)*'Direct Costs 2026'!$C$36,"N/A"),"N/A")</f>
        <v>N/A</v>
      </c>
      <c r="P252" t="str" s="551" cm="1">
        <f t="array" ref="P252">IF(B252&gt;0,IF(OR(VLOOKUP(C240,'Boats Data Sheet 2026'!$C$3:$F$57,4,0)="Own",VLOOKUP(C240,'Boats Data Sheet 2026'!$C$3:$F$57,4,0)="Management"),('Direct Costs 2026'!$C$37+'Direct Costs 2026'!$C$39),"N/A"),"N/A")</f>
        <v>N/A</v>
      </c>
      <c r="Q252" t="str" s="551" cm="1">
        <f t="array" ref="Q252">_xlfn.IFERROR(IF(B252&gt;5,IF(B252&gt;11,IF(B252&gt;15,4,3),2),IF(B252=0,"N/A",1))*SUM('Direct Costs 2026'!$C$67:$C$68),"N/A")</f>
        <v>N/A</v>
      </c>
      <c r="R252" t="str" s="551" cm="1">
        <f t="array" ref="R252">_xlfn.IFERROR('Direct Costs 2026'!$C$27*C252,"N/A")</f>
        <v>N/A</v>
      </c>
      <c r="S252" t="str" s="551" cm="1">
        <f t="array" ref="S252">_xlfn.IFERROR(C252+SUM(E252:R252),"N/A")</f>
        <v>N/A</v>
      </c>
      <c r="T252" s="435"/>
      <c r="U252" t="str" s="551" cm="1">
        <f t="array" ref="U252">IF(B252&gt;0,'Allocation OH and Target 2026'!$E$27,"N/A")</f>
        <v>N/A</v>
      </c>
      <c r="V252" t="str" s="551" cm="1">
        <f t="array" ref="V252">IF(B252&gt;0,'Allocation OH and Target 2026'!$E$28,"N/A")</f>
        <v>N/A</v>
      </c>
      <c r="W252" t="str" s="551" cm="1">
        <f t="array" ref="W252">IF(B252&gt;0,VLOOKUP(C232,'Allocation OH and Target 2026'!$C$3:$T$23,17,0),"N/A")</f>
        <v>N/A</v>
      </c>
      <c r="X252" t="str" s="551" cm="1">
        <f t="array" ref="X252">IF(B252&gt;0,VLOOKUP(C232,'Allocation OH and Target 2026'!$C$3:$T$23,18,0),"N/A")</f>
        <v>N/A</v>
      </c>
      <c r="Y252" t="str" s="551" cm="1">
        <f t="array" ref="Y252">_xlfn.IFERROR(V252*B252+X252,"N/A")</f>
        <v>N/A</v>
      </c>
      <c r="Z252" s="435"/>
      <c r="AA252" t="str" s="551" cm="1">
        <f t="array" ref="AA252">_xlfn.IFERROR(Y252+S252,"N/A")</f>
        <v>N/A</v>
      </c>
      <c r="AB252" t="str" s="551" cm="1">
        <f t="array" ref="AB252">_xlfn.IFERROR(AA252*0.5%,"N/A")</f>
        <v>N/A</v>
      </c>
      <c r="AC252" t="str" s="551" cm="1">
        <f t="array" ref="AC252">_xlfn.IFERROR(AA252*25%,"N/A")</f>
        <v>N/A</v>
      </c>
      <c r="AD252" t="str" s="553" cm="1">
        <f t="array" ref="AD252">IF(B252&gt;0,SUM(AA252:AC252),"N/A")</f>
        <v>N/A</v>
      </c>
      <c r="AE252" t="str" s="551" cm="1">
        <f t="array" ref="AE252">_xlfn.IFERROR(AD252/B252,"N/A")</f>
        <v>N/A</v>
      </c>
      <c r="AF252" s="435"/>
      <c r="AG252" t="str" s="553" cm="1">
        <f t="array" ref="AG252">IF(B252/VLOOKUP(C232,'Boats Data Sheet 2026'!$C$3:$H$57,6,0)&gt;VLOOKUP(C232,'Allocation OH and Target 2026'!$C$3:$J$23,8,0),IF(SUM(AH234:AH251)=0,AE252,"N/A"),"N/A")</f>
        <v>N/A</v>
      </c>
      <c r="AH252" s="435" cm="1">
        <f t="array" ref="AH252">IF(AG252="N/A",0,1)</f>
        <v>0</v>
      </c>
      <c r="AI252" t="str" s="551" cm="1">
        <f t="array" ref="AI252">IF(B252/VLOOKUP(C232,'Boats Data Sheet 2026'!$C$3:$H$57,6,0)&gt;VLOOKUP(C232,'Allocation OH and Target 2026'!$C$3:$J$23,8,0),IF(SUM(AH234:AH251)=0,S252/B252,"N/A"),"N/A")</f>
        <v>N/A</v>
      </c>
      <c r="AJ252" s="435" cm="1">
        <f t="array" ref="AJ252">IF(AI252="N/A",0,1)</f>
        <v>0</v>
      </c>
      <c r="AK252" t="str" s="554" cm="1">
        <f t="array" ref="AK252">IF(SUM($AG$120:$AG$137)*B252&lt;SUM(AA252:AB252),"NO GO","GO")</f>
        <v>GO</v>
      </c>
      <c r="AL252" s="435"/>
      <c r="AM252" s="552"/>
      <c r="AN252" s="552"/>
      <c r="AO252" s="552"/>
      <c r="AP252" s="555"/>
      <c r="AQ252" s="543" cm="1">
        <f t="array" ref="AQ252">B252</f>
        <v>0</v>
      </c>
      <c r="AR252" s="18"/>
    </row>
    <row r="253" ht="15.5" customHeight="1">
      <c r="A253" s="32"/>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c r="AH253" s="124"/>
      <c r="AI253" s="124"/>
      <c r="AJ253" s="124"/>
      <c r="AK253" s="124"/>
      <c r="AL253" s="124"/>
      <c r="AM253" s="124"/>
      <c r="AN253" s="124"/>
      <c r="AO253" s="124"/>
      <c r="AP253" s="124"/>
      <c r="AQ253" s="17"/>
      <c r="AR253" s="18"/>
    </row>
    <row r="254" ht="15.5" customHeight="1">
      <c r="A254" s="32"/>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17"/>
      <c r="AR254" s="18"/>
    </row>
    <row r="255" ht="15.5" customHeight="1">
      <c r="A255" s="395">
        <v>10</v>
      </c>
      <c r="B255" t="s" s="517">
        <v>506</v>
      </c>
      <c r="C255" t="s" s="518">
        <v>52</v>
      </c>
      <c r="D255" s="519"/>
      <c r="E255" s="519"/>
      <c r="F255" s="519"/>
      <c r="G255" s="519"/>
      <c r="H255" s="519"/>
      <c r="I255" s="519"/>
      <c r="J255" s="519"/>
      <c r="K255" s="519"/>
      <c r="L255" s="519"/>
      <c r="M255" s="519"/>
      <c r="N255" s="519"/>
      <c r="O255" s="519"/>
      <c r="P255" s="519"/>
      <c r="Q255" s="519"/>
      <c r="R255" s="519"/>
      <c r="S255" s="519"/>
      <c r="T255" s="399"/>
      <c r="U255" s="519"/>
      <c r="V255" s="519"/>
      <c r="W255" s="519"/>
      <c r="X255" s="519"/>
      <c r="Y255" s="519"/>
      <c r="Z255" s="399"/>
      <c r="AA255" s="519"/>
      <c r="AB255" s="519"/>
      <c r="AC255" s="519"/>
      <c r="AD255" s="519"/>
      <c r="AE255" s="519"/>
      <c r="AF255" s="399"/>
      <c r="AG255" s="521"/>
      <c r="AH255" s="399"/>
      <c r="AI255" s="519"/>
      <c r="AJ255" s="399"/>
      <c r="AK255" s="519"/>
      <c r="AL255" s="399"/>
      <c r="AM255" s="521"/>
      <c r="AN255" s="560"/>
      <c r="AO255" s="519"/>
      <c r="AP255" s="522"/>
      <c r="AQ255" s="16"/>
      <c r="AR255" s="18"/>
    </row>
    <row r="256" ht="16" customHeight="1">
      <c r="A256" s="12"/>
      <c r="B256" s="523"/>
      <c r="C256" t="s" s="524">
        <v>513</v>
      </c>
      <c r="D256" s="525"/>
      <c r="E256" s="525"/>
      <c r="F256" s="525"/>
      <c r="G256" s="525"/>
      <c r="H256" s="525"/>
      <c r="I256" s="525"/>
      <c r="J256" s="525"/>
      <c r="K256" s="525"/>
      <c r="L256" s="525"/>
      <c r="M256" s="525"/>
      <c r="N256" s="525"/>
      <c r="O256" s="525"/>
      <c r="P256" s="525"/>
      <c r="Q256" s="525"/>
      <c r="R256" s="525"/>
      <c r="S256" s="526"/>
      <c r="T256" s="407"/>
      <c r="U256" t="s" s="524">
        <v>514</v>
      </c>
      <c r="V256" s="525"/>
      <c r="W256" s="525"/>
      <c r="X256" s="525"/>
      <c r="Y256" s="526"/>
      <c r="Z256" s="407"/>
      <c r="AA256" t="s" s="524">
        <v>515</v>
      </c>
      <c r="AB256" s="525"/>
      <c r="AC256" s="525"/>
      <c r="AD256" s="525"/>
      <c r="AE256" s="526"/>
      <c r="AF256" s="410"/>
      <c r="AG256" s="527"/>
      <c r="AH256" s="410"/>
      <c r="AI256" s="528"/>
      <c r="AJ256" s="410"/>
      <c r="AK256" s="528"/>
      <c r="AL256" s="410"/>
      <c r="AM256" s="528"/>
      <c r="AN256" s="528"/>
      <c r="AO256" s="528"/>
      <c r="AP256" s="529"/>
      <c r="AQ256" s="16"/>
      <c r="AR256" s="18"/>
    </row>
    <row r="257" ht="48" customHeight="1">
      <c r="A257" s="12"/>
      <c r="B257" t="s" s="530">
        <v>517</v>
      </c>
      <c r="C257" t="s" s="531">
        <v>518</v>
      </c>
      <c r="D257" t="s" s="531">
        <v>519</v>
      </c>
      <c r="E257" t="s" s="531">
        <v>520</v>
      </c>
      <c r="F257" t="s" s="532">
        <v>521</v>
      </c>
      <c r="G257" t="s" s="532">
        <v>522</v>
      </c>
      <c r="H257" t="s" s="532">
        <v>524</v>
      </c>
      <c r="I257" t="s" s="532">
        <v>525</v>
      </c>
      <c r="J257" t="s" s="532">
        <v>556</v>
      </c>
      <c r="K257" t="s" s="532">
        <v>587</v>
      </c>
      <c r="L257" t="s" s="532">
        <v>526</v>
      </c>
      <c r="M257" t="s" s="532">
        <v>527</v>
      </c>
      <c r="N257" t="s" s="532">
        <v>528</v>
      </c>
      <c r="O257" t="s" s="532">
        <v>598</v>
      </c>
      <c r="P257" t="s" s="532">
        <v>530</v>
      </c>
      <c r="Q257" t="s" s="532">
        <v>572</v>
      </c>
      <c r="R257" t="s" s="532">
        <v>531</v>
      </c>
      <c r="S257" t="s" s="532">
        <v>532</v>
      </c>
      <c r="T257" s="556"/>
      <c r="U257" t="s" s="532">
        <v>533</v>
      </c>
      <c r="V257" t="s" s="532">
        <v>573</v>
      </c>
      <c r="W257" t="s" s="532">
        <v>534</v>
      </c>
      <c r="X257" t="s" s="532">
        <v>574</v>
      </c>
      <c r="Y257" t="s" s="532">
        <v>535</v>
      </c>
      <c r="Z257" s="556"/>
      <c r="AA257" t="s" s="532">
        <v>536</v>
      </c>
      <c r="AB257" t="s" s="532">
        <v>537</v>
      </c>
      <c r="AC257" t="s" s="532">
        <v>538</v>
      </c>
      <c r="AD257" t="s" s="532">
        <v>575</v>
      </c>
      <c r="AE257" t="s" s="532">
        <v>539</v>
      </c>
      <c r="AF257" s="557"/>
      <c r="AG257" t="s" s="532">
        <v>576</v>
      </c>
      <c r="AH257" s="557"/>
      <c r="AI257" t="s" s="532">
        <v>577</v>
      </c>
      <c r="AJ257" s="557"/>
      <c r="AK257" t="s" s="531">
        <v>578</v>
      </c>
      <c r="AL257" s="557"/>
      <c r="AM257" s="533"/>
      <c r="AN257" s="533"/>
      <c r="AO257" s="533"/>
      <c r="AP257" s="534"/>
      <c r="AQ257" s="16"/>
      <c r="AR257" s="18"/>
    </row>
    <row r="258" ht="16.5" customHeight="1">
      <c r="A258" s="12"/>
      <c r="B258" s="535">
        <v>1</v>
      </c>
      <c r="C258" s="536" cm="1">
        <f t="array" ref="C258">IF(B258&gt;0,IF(VLOOKUP(C255,'Boats Data Sheet 2026'!$C$3:$J$57,8,0)="N/A",0,VLOOKUP(C255,'Boats Data Sheet 2026'!$C$3:$J$57,8,0)),"N/A")</f>
        <v>0</v>
      </c>
      <c r="D258" s="537" cm="1">
        <f t="array" ref="D258">IF(B258&gt;7,2,IF(B258=0,"N/A",1))</f>
        <v>1</v>
      </c>
      <c r="E258" s="536" cm="1">
        <f t="array" ref="E258">_xlfn.IFERROR(SUM('Direct Costs 2026'!$C$4:$C$5)*D258,"N/A")</f>
        <v>875500</v>
      </c>
      <c r="F258" s="538" cm="1">
        <f t="array" ref="F258">_xlfn.IFERROR('Direct Costs 2026'!$C$43*B258,"N/A")</f>
        <v>6000</v>
      </c>
      <c r="G258" s="538" cm="1">
        <f t="array" ref="G258">IF(B258&gt;0,'Direct Costs 2026'!$C$25,"N/A")</f>
        <v>90000</v>
      </c>
      <c r="H258" s="538" cm="1">
        <f t="array" ref="H258">IF(B258&gt;0,'Direct Costs 2026'!$C$19+'Direct Costs 2026'!$C$18*B258,"N/A")</f>
        <v>110000</v>
      </c>
      <c r="I258" s="538" cm="1">
        <f t="array" ref="I258">IF(B258&gt;0,SUM('Direct Costs 2026'!$C$20:$C$21),"N/A")</f>
        <v>98333.3333333333</v>
      </c>
      <c r="J258" s="538">
        <v>0</v>
      </c>
      <c r="K258" s="538" cm="1">
        <f t="array" ref="K258">_xlfn.IFERROR((IF(B258&gt;0,'Direct Costs 2026'!$C$15+'Direct Costs 2026'!$C$14,"N/A")),"N/A")</f>
        <v>230000</v>
      </c>
      <c r="L258" s="538" cm="1">
        <f t="array" ref="L258">IF(B258&gt;0,'Direct Costs 2026'!$C$26,"N/A")</f>
        <v>20000</v>
      </c>
      <c r="M258" s="538" cm="1">
        <f t="array" ref="M258">IF(B258&gt;0,'Direct Costs 2026'!$C$23,"N/A")</f>
        <v>140000</v>
      </c>
      <c r="N258" s="538" cm="1">
        <f t="array" ref="N258">IF(B258&gt;0,'Direct Costs 2026'!$C$44*B258,"N/A")</f>
        <v>110000</v>
      </c>
      <c r="O258" s="538" cm="1">
        <f t="array" ref="O258">IF(B258&gt;0,_xlfn.IFERROR(VLOOKUP(C255,'Boats Data Sheet 2026'!$C$3:$I$57,7,0)*'Direct Costs 2026'!$C$36,"N/A"),"N/A")</f>
        <v>3325000</v>
      </c>
      <c r="P258" s="538" cm="1">
        <f t="array" ref="P258">IF(B258&gt;0,IF(OR(VLOOKUP(C255,'Boats Data Sheet 2026'!$C$3:$F$57,4,0)="Own",VLOOKUP(C255,'Boats Data Sheet 2026'!$C$3:$F$57,4,0)="Management"),('Direct Costs 2026'!$C$37+'Direct Costs 2026'!$C$39),"N/A"),"N/A")</f>
        <v>1112400</v>
      </c>
      <c r="Q258" s="538" cm="1">
        <f t="array" ref="Q258">_xlfn.IFERROR(IF(B258&gt;5,IF(B258&gt;11,IF(B258&gt;15,4,3),2),IF(B258=0,"N/A",1))*SUM('Direct Costs 2026'!$C$67:$C$68),"N/A")</f>
        <v>489600</v>
      </c>
      <c r="R258" s="538" cm="1">
        <f t="array" ref="R258">_xlfn.IFERROR('Direct Costs 2026'!$C$27*C258,"N/A")</f>
        <v>0</v>
      </c>
      <c r="S258" s="538" cm="1">
        <f t="array" ref="S258">_xlfn.IFERROR(C258+SUM(E258:R258),"N/A")</f>
        <v>6606833.33333333</v>
      </c>
      <c r="T258" s="424"/>
      <c r="U258" s="538" cm="1">
        <f t="array" ref="U258">IF(B258&gt;0,'Allocation OH and Target 2026'!$E$27,"N/A")</f>
        <v>2134447.30345641</v>
      </c>
      <c r="V258" s="538" cm="1">
        <f t="array" ref="V258">IF(B258&gt;0,'Allocation OH and Target 2026'!$E$28,"N/A")</f>
        <v>200042.323056976</v>
      </c>
      <c r="W258" s="538" cm="1">
        <f t="array" ref="W258">IF(B258&gt;0,VLOOKUP(C255,'Allocation OH and Target 2026'!$C$3:$T$23,17,0),"N/A")</f>
        <v>773816.669767442</v>
      </c>
      <c r="X258" s="538" cm="1">
        <f t="array" ref="X258">IF(B258&gt;0,VLOOKUP(C255,'Allocation OH and Target 2026'!$C$3:$T$23,18,0),"N/A")</f>
        <v>74410.9954528513</v>
      </c>
      <c r="Y258" s="538" cm="1">
        <f t="array" ref="Y258">_xlfn.IFERROR(B258*(V258+X258),"N/A")</f>
        <v>274453.318509827</v>
      </c>
      <c r="Z258" s="424"/>
      <c r="AA258" s="538" cm="1">
        <f t="array" ref="AA258">_xlfn.IFERROR(Y258+S258,"N/A")</f>
        <v>6881286.65184316</v>
      </c>
      <c r="AB258" s="538" cm="1">
        <f t="array" ref="AB258">_xlfn.IFERROR(AA258*0.5%,"N/A")</f>
        <v>34406.4332592158</v>
      </c>
      <c r="AC258" s="538" cm="1">
        <f t="array" ref="AC258">_xlfn.IFERROR(AA258*25%,"N/A")</f>
        <v>1720321.66296079</v>
      </c>
      <c r="AD258" s="539" cm="1">
        <f t="array" ref="AD258">IF(B258&gt;0,SUM(AA258:AC258),"N/A")</f>
        <v>8636014.748063169</v>
      </c>
      <c r="AE258" s="538" cm="1">
        <f t="array" ref="AE258">_xlfn.IFERROR(AD258/B258,"N/A")</f>
        <v>8636014.748063169</v>
      </c>
      <c r="AF258" s="424"/>
      <c r="AG258" t="s" s="540">
        <v>14</v>
      </c>
      <c r="AH258" s="424" cm="1">
        <f t="array" ref="AH258">IF(AG258="N/A",0,1)</f>
        <v>0</v>
      </c>
      <c r="AI258" t="s" s="541">
        <v>14</v>
      </c>
      <c r="AJ258" s="424" cm="1">
        <f t="array" ref="AJ258">IF(AI258="N/A",0,1)</f>
        <v>0</v>
      </c>
      <c r="AK258" t="str" s="558" cm="1">
        <f t="array" ref="AK258">IF(SUM($AG$120:$AG$137)*B258&lt;SUM(AA258:AB258),"NO GO","GO")</f>
        <v>NO GO</v>
      </c>
      <c r="AL258" s="424"/>
      <c r="AM258" s="538"/>
      <c r="AN258" s="561"/>
      <c r="AO258" s="538"/>
      <c r="AP258" s="542"/>
      <c r="AQ258" s="543" cm="1">
        <f t="array" ref="AQ258">B258</f>
        <v>1</v>
      </c>
      <c r="AR258" s="18"/>
    </row>
    <row r="259" ht="16" customHeight="1">
      <c r="A259" s="12"/>
      <c r="B259" s="544" cm="1">
        <f t="array" ref="B259">IF(B258=0,0,IF(B258&lt;VLOOKUP(C255,'Boats Data Sheet 2026'!$C$3:$H$57,6,0),B258+1,0))</f>
        <v>2</v>
      </c>
      <c r="C259" s="538" cm="1">
        <f t="array" ref="C259">IF(B259&gt;0,IF(VLOOKUP(C255,'Boats Data Sheet 2026'!$C$3:$J$57,8,0)="N/A",0,VLOOKUP(C255,'Boats Data Sheet 2026'!$C$3:$J$57,8,0)),"N/A")</f>
        <v>0</v>
      </c>
      <c r="D259" s="545" cm="1">
        <f t="array" ref="D259">IF(B259&gt;7,2,IF(B259=0,"N/A",1))</f>
        <v>1</v>
      </c>
      <c r="E259" s="538" cm="1">
        <f t="array" ref="E259">_xlfn.IFERROR(SUM('Direct Costs 2026'!$C$4:$C$5)*D259,"N/A")</f>
        <v>875500</v>
      </c>
      <c r="F259" s="538" cm="1">
        <f t="array" ref="F259">_xlfn.IFERROR('Direct Costs 2026'!$C$43*B259,"N/A")</f>
        <v>12000</v>
      </c>
      <c r="G259" s="538" cm="1">
        <f t="array" ref="G259">IF(B259&gt;0,'Direct Costs 2026'!$C$25,"N/A")</f>
        <v>90000</v>
      </c>
      <c r="H259" s="538" cm="1">
        <f t="array" ref="H259">IF(B259&gt;0,'Direct Costs 2026'!$C$19+'Direct Costs 2026'!$C$18*B259,"N/A")</f>
        <v>145000</v>
      </c>
      <c r="I259" s="538" cm="1">
        <f t="array" ref="I259">IF(B259&gt;0,SUM('Direct Costs 2026'!$C$20:$C$21),"N/A")</f>
        <v>98333.3333333333</v>
      </c>
      <c r="J259" s="538">
        <v>0</v>
      </c>
      <c r="K259" s="538" cm="1">
        <f t="array" ref="K259">_xlfn.IFERROR((IF(B259&gt;0,'Direct Costs 2026'!$C$15+'Direct Costs 2026'!$C$14,"N/A")),"N/A")</f>
        <v>230000</v>
      </c>
      <c r="L259" s="538" cm="1">
        <f t="array" ref="L259">IF(B259&gt;0,'Direct Costs 2026'!$C$26,"N/A")</f>
        <v>20000</v>
      </c>
      <c r="M259" s="538" cm="1">
        <f t="array" ref="M259">IF(B259&gt;0,'Direct Costs 2026'!$C$23,"N/A")</f>
        <v>140000</v>
      </c>
      <c r="N259" s="538" cm="1">
        <f t="array" ref="N259">IF(B259&gt;0,'Direct Costs 2026'!$C$44*B259,"N/A")</f>
        <v>220000</v>
      </c>
      <c r="O259" s="538" cm="1">
        <f t="array" ref="O259">IF(B259&gt;0,_xlfn.IFERROR(VLOOKUP(C255,'Boats Data Sheet 2026'!$C$3:$I$57,7,0)*'Direct Costs 2026'!$C$36,"N/A"),"N/A")</f>
        <v>3325000</v>
      </c>
      <c r="P259" s="538" cm="1">
        <f t="array" ref="P259">IF(B259&gt;0,IF(OR(VLOOKUP(C255,'Boats Data Sheet 2026'!$C$3:$F$57,4,0)="Own",VLOOKUP(C255,'Boats Data Sheet 2026'!$C$3:$F$57,4,0)="Management"),('Direct Costs 2026'!$C$37+'Direct Costs 2026'!$C$39),"N/A"),"N/A")</f>
        <v>1112400</v>
      </c>
      <c r="Q259" s="538" cm="1">
        <f t="array" ref="Q259">_xlfn.IFERROR(IF(B259&gt;5,IF(B259&gt;11,IF(B259&gt;15,4,3),2),IF(B259=0,"N/A",1))*SUM('Direct Costs 2026'!$C$67:$C$68),"N/A")</f>
        <v>489600</v>
      </c>
      <c r="R259" s="538" cm="1">
        <f t="array" ref="R259">_xlfn.IFERROR('Direct Costs 2026'!$C$27*C259,"N/A")</f>
        <v>0</v>
      </c>
      <c r="S259" s="538" cm="1">
        <f t="array" ref="S259">_xlfn.IFERROR(C259+SUM(E259:R259),"N/A")</f>
        <v>6757833.33333333</v>
      </c>
      <c r="T259" s="424"/>
      <c r="U259" s="538" cm="1">
        <f t="array" ref="U259">IF(B259&gt;0,'Allocation OH and Target 2026'!$E$27,"N/A")</f>
        <v>2134447.30345641</v>
      </c>
      <c r="V259" s="538" cm="1">
        <f t="array" ref="V259">IF(B259&gt;0,'Allocation OH and Target 2026'!$E$28,"N/A")</f>
        <v>200042.323056976</v>
      </c>
      <c r="W259" s="538" cm="1">
        <f t="array" ref="W259">IF(B259&gt;0,VLOOKUP(C255,'Allocation OH and Target 2026'!$C$3:$T$23,17,0),"N/A")</f>
        <v>773816.669767442</v>
      </c>
      <c r="X259" s="538" cm="1">
        <f t="array" ref="X259">IF(B259&gt;0,VLOOKUP(C255,'Allocation OH and Target 2026'!$C$3:$T$23,18,0),"N/A")</f>
        <v>74410.9954528513</v>
      </c>
      <c r="Y259" s="538" cm="1">
        <f t="array" ref="Y259">_xlfn.IFERROR(B259*(V259+X259),"N/A")</f>
        <v>548906.637019655</v>
      </c>
      <c r="Z259" s="424"/>
      <c r="AA259" s="538" cm="1">
        <f t="array" ref="AA259">_xlfn.IFERROR(Y259+S259,"N/A")</f>
        <v>7306739.97035299</v>
      </c>
      <c r="AB259" s="538" cm="1">
        <f t="array" ref="AB259">_xlfn.IFERROR(AA259*0.5%,"N/A")</f>
        <v>36533.699851765</v>
      </c>
      <c r="AC259" s="538" cm="1">
        <f t="array" ref="AC259">_xlfn.IFERROR(AA259*25%,"N/A")</f>
        <v>1826684.99258825</v>
      </c>
      <c r="AD259" s="539" cm="1">
        <f t="array" ref="AD259">IF(B259&gt;0,SUM(AA259:AC259),"N/A")</f>
        <v>9169958.66279301</v>
      </c>
      <c r="AE259" s="538" cm="1">
        <f t="array" ref="AE259">_xlfn.IFERROR(AD259/B259,"N/A")</f>
        <v>4584979.33139651</v>
      </c>
      <c r="AF259" s="424"/>
      <c r="AG259" t="str" s="546" cm="1">
        <f t="array" ref="AG259">IF(B259/VLOOKUP(C255,'Boats Data Sheet 2026'!$C$3:$H$57,6,0)&gt;VLOOKUP(C255,'Allocation OH and Target 2026'!$C$3:$J$23,8,0),IF(SUM(AH257:AH258)=0,AE259,"N/A"),"N/A")</f>
        <v>N/A</v>
      </c>
      <c r="AH259" s="424" cm="1">
        <f t="array" ref="AH259">IF(AG259="N/A",0,1)</f>
        <v>0</v>
      </c>
      <c r="AI259" t="str" s="547" cm="1">
        <f t="array" ref="AI259">IF(B259/VLOOKUP(C255,'Boats Data Sheet 2026'!$C$3:$H$57,6,0)&gt;VLOOKUP(C255,'Allocation OH and Target 2026'!$C$3:$J$23,8,0),IF(SUM(AH257:AH258)=0,S259/B259,"N/A"),"N/A")</f>
        <v>N/A</v>
      </c>
      <c r="AJ259" s="424" cm="1">
        <f t="array" ref="AJ259">IF(AI259="N/A",0,1)</f>
        <v>0</v>
      </c>
      <c r="AK259" t="str" s="527" cm="1">
        <f t="array" ref="AK259">IF(SUM($AG$120:$AG$137)*B259&lt;SUM(AA259:AB259),"NO GO","GO")</f>
        <v>NO GO</v>
      </c>
      <c r="AL259" s="424"/>
      <c r="AM259" s="568"/>
      <c r="AN259" s="538"/>
      <c r="AO259" s="538"/>
      <c r="AP259" s="542"/>
      <c r="AQ259" s="543" cm="1">
        <f t="array" ref="AQ259">B259</f>
        <v>2</v>
      </c>
      <c r="AR259" s="18"/>
    </row>
    <row r="260" ht="16" customHeight="1">
      <c r="A260" s="12"/>
      <c r="B260" s="544" cm="1">
        <f t="array" ref="B260">IF(B259=0,0,IF(B259&lt;VLOOKUP(C255,'Boats Data Sheet 2026'!$C$3:$H$57,6,0),B259+1,0))</f>
        <v>3</v>
      </c>
      <c r="C260" s="538" cm="1">
        <f t="array" ref="C260">IF(B260&gt;0,IF(VLOOKUP(C255,'Boats Data Sheet 2026'!$C$3:$J$57,8,0)="N/A",0,VLOOKUP(C255,'Boats Data Sheet 2026'!$C$3:$J$57,8,0)),"N/A")</f>
        <v>0</v>
      </c>
      <c r="D260" s="545" cm="1">
        <f t="array" ref="D260">IF(B260&gt;7,2,IF(B260=0,"N/A",1))</f>
        <v>1</v>
      </c>
      <c r="E260" s="538" cm="1">
        <f t="array" ref="E260">_xlfn.IFERROR(SUM('Direct Costs 2026'!$C$4:$C$5)*D260,"N/A")</f>
        <v>875500</v>
      </c>
      <c r="F260" s="538" cm="1">
        <f t="array" ref="F260">_xlfn.IFERROR('Direct Costs 2026'!$C$43*B260,"N/A")</f>
        <v>18000</v>
      </c>
      <c r="G260" s="538" cm="1">
        <f t="array" ref="G260">IF(B260&gt;0,'Direct Costs 2026'!$C$25,"N/A")</f>
        <v>90000</v>
      </c>
      <c r="H260" s="538" cm="1">
        <f t="array" ref="H260">IF(B260&gt;0,'Direct Costs 2026'!$C$19+'Direct Costs 2026'!$C$18*B260,"N/A")</f>
        <v>180000</v>
      </c>
      <c r="I260" s="538" cm="1">
        <f t="array" ref="I260">IF(B260&gt;0,SUM('Direct Costs 2026'!$C$20:$C$21),"N/A")</f>
        <v>98333.3333333333</v>
      </c>
      <c r="J260" s="538">
        <v>0</v>
      </c>
      <c r="K260" s="538" cm="1">
        <f t="array" ref="K260">_xlfn.IFERROR((IF(B260&gt;0,'Direct Costs 2026'!$C$15+'Direct Costs 2026'!$C$14,"N/A")),"N/A")</f>
        <v>230000</v>
      </c>
      <c r="L260" s="538" cm="1">
        <f t="array" ref="L260">IF(B260&gt;0,'Direct Costs 2026'!$C$26,"N/A")</f>
        <v>20000</v>
      </c>
      <c r="M260" s="538" cm="1">
        <f t="array" ref="M260">IF(B260&gt;0,'Direct Costs 2026'!$C$23,"N/A")</f>
        <v>140000</v>
      </c>
      <c r="N260" s="538" cm="1">
        <f t="array" ref="N260">IF(B260&gt;0,'Direct Costs 2026'!$C$44*B260,"N/A")</f>
        <v>330000</v>
      </c>
      <c r="O260" s="538" cm="1">
        <f t="array" ref="O260">IF(B260&gt;0,_xlfn.IFERROR(VLOOKUP(C255,'Boats Data Sheet 2026'!$C$3:$I$57,7,0)*'Direct Costs 2026'!$C$36,"N/A"),"N/A")</f>
        <v>3325000</v>
      </c>
      <c r="P260" s="538" cm="1">
        <f t="array" ref="P260">IF(B260&gt;0,IF(OR(VLOOKUP(C255,'Boats Data Sheet 2026'!$C$3:$F$57,4,0)="Own",VLOOKUP(C255,'Boats Data Sheet 2026'!$C$3:$F$57,4,0)="Management"),('Direct Costs 2026'!$C$37+'Direct Costs 2026'!$C$39),"N/A"),"N/A")</f>
        <v>1112400</v>
      </c>
      <c r="Q260" s="538" cm="1">
        <f t="array" ref="Q260">_xlfn.IFERROR(IF(B260&gt;5,IF(B260&gt;11,IF(B260&gt;15,4,3),2),IF(B260=0,"N/A",1))*SUM('Direct Costs 2026'!$C$67:$C$68),"N/A")</f>
        <v>489600</v>
      </c>
      <c r="R260" s="538" cm="1">
        <f t="array" ref="R260">_xlfn.IFERROR('Direct Costs 2026'!$C$27*C260,"N/A")</f>
        <v>0</v>
      </c>
      <c r="S260" s="538" cm="1">
        <f t="array" ref="S260">_xlfn.IFERROR(C260+SUM(E260:R260),"N/A")</f>
        <v>6908833.33333333</v>
      </c>
      <c r="T260" s="424"/>
      <c r="U260" s="538" cm="1">
        <f t="array" ref="U260">IF(B260&gt;0,'Allocation OH and Target 2026'!$E$27,"N/A")</f>
        <v>2134447.30345641</v>
      </c>
      <c r="V260" s="538" cm="1">
        <f t="array" ref="V260">IF(B260&gt;0,'Allocation OH and Target 2026'!$E$28,"N/A")</f>
        <v>200042.323056976</v>
      </c>
      <c r="W260" s="538" cm="1">
        <f t="array" ref="W260">IF(B260&gt;0,VLOOKUP(C255,'Allocation OH and Target 2026'!$C$3:$T$23,17,0),"N/A")</f>
        <v>773816.669767442</v>
      </c>
      <c r="X260" s="538" cm="1">
        <f t="array" ref="X260">IF(B260&gt;0,VLOOKUP(C255,'Allocation OH and Target 2026'!$C$3:$T$23,18,0),"N/A")</f>
        <v>74410.9954528513</v>
      </c>
      <c r="Y260" s="538" cm="1">
        <f t="array" ref="Y260">_xlfn.IFERROR(B260*(V260+X260),"N/A")</f>
        <v>823359.955529482</v>
      </c>
      <c r="Z260" s="424"/>
      <c r="AA260" s="538" cm="1">
        <f t="array" ref="AA260">_xlfn.IFERROR(Y260+S260,"N/A")</f>
        <v>7732193.28886281</v>
      </c>
      <c r="AB260" s="538" cm="1">
        <f t="array" ref="AB260">_xlfn.IFERROR(AA260*0.5%,"N/A")</f>
        <v>38660.9664443141</v>
      </c>
      <c r="AC260" s="538" cm="1">
        <f t="array" ref="AC260">_xlfn.IFERROR(AA260*25%,"N/A")</f>
        <v>1933048.3222157</v>
      </c>
      <c r="AD260" s="539" cm="1">
        <f t="array" ref="AD260">IF(B260&gt;0,SUM(AA260:AC260),"N/A")</f>
        <v>9703902.57752282</v>
      </c>
      <c r="AE260" s="538" cm="1">
        <f t="array" ref="AE260">_xlfn.IFERROR(AD260/B260,"N/A")</f>
        <v>3234634.19250761</v>
      </c>
      <c r="AF260" s="424"/>
      <c r="AG260" t="str" s="546" cm="1">
        <f t="array" ref="AG260">IF(B260/VLOOKUP(C255,'Boats Data Sheet 2026'!$C$3:$H$57,6,0)&gt;VLOOKUP(C255,'Allocation OH and Target 2026'!$C$3:$J$23,8,0),IF(SUM(AH257:AH259)=0,AE260,"N/A"),"N/A")</f>
        <v>N/A</v>
      </c>
      <c r="AH260" s="424" cm="1">
        <f t="array" ref="AH260">IF(AG260="N/A",0,1)</f>
        <v>0</v>
      </c>
      <c r="AI260" t="str" s="547" cm="1">
        <f t="array" ref="AI260">IF(B260/VLOOKUP(C255,'Boats Data Sheet 2026'!$C$3:$H$57,6,0)&gt;VLOOKUP(C255,'Allocation OH and Target 2026'!$C$3:$J$23,8,0),IF(SUM(AH257:AH259)=0,S260/B260,"N/A"),"N/A")</f>
        <v>N/A</v>
      </c>
      <c r="AJ260" s="424" cm="1">
        <f t="array" ref="AJ260">IF(AI260="N/A",0,1)</f>
        <v>0</v>
      </c>
      <c r="AK260" t="str" s="527" cm="1">
        <f t="array" ref="AK260">IF(SUM($AG$120:$AG$137)*B260&lt;SUM(AA260:AB260),"NO GO","GO")</f>
        <v>NO GO</v>
      </c>
      <c r="AL260" s="424"/>
      <c r="AM260" s="538"/>
      <c r="AN260" s="538"/>
      <c r="AO260" s="538"/>
      <c r="AP260" s="542"/>
      <c r="AQ260" s="543" cm="1">
        <f t="array" ref="AQ260">B260</f>
        <v>3</v>
      </c>
      <c r="AR260" s="18"/>
    </row>
    <row r="261" ht="16" customHeight="1">
      <c r="A261" s="12"/>
      <c r="B261" s="544" cm="1">
        <f t="array" ref="B261">IF(B260=0,0,IF(B260&lt;VLOOKUP(C255,'Boats Data Sheet 2026'!$C$3:$H$57,6,0),B260+1,0))</f>
        <v>4</v>
      </c>
      <c r="C261" s="538" cm="1">
        <f t="array" ref="C261">IF(B261&gt;0,IF(VLOOKUP(C255,'Boats Data Sheet 2026'!$C$3:$J$57,8,0)="N/A",0,VLOOKUP(C255,'Boats Data Sheet 2026'!$C$3:$J$57,8,0)),"N/A")</f>
        <v>0</v>
      </c>
      <c r="D261" s="545" cm="1">
        <f t="array" ref="D261">IF(B261&gt;7,2,IF(B261=0,"N/A",1))</f>
        <v>1</v>
      </c>
      <c r="E261" s="538" cm="1">
        <f t="array" ref="E261">_xlfn.IFERROR(SUM('Direct Costs 2026'!$C$4:$C$5)*D261,"N/A")</f>
        <v>875500</v>
      </c>
      <c r="F261" s="538" cm="1">
        <f t="array" ref="F261">_xlfn.IFERROR('Direct Costs 2026'!$C$43*B261,"N/A")</f>
        <v>24000</v>
      </c>
      <c r="G261" s="538" cm="1">
        <f t="array" ref="G261">IF(B261&gt;0,'Direct Costs 2026'!$C$25,"N/A")</f>
        <v>90000</v>
      </c>
      <c r="H261" s="538" cm="1">
        <f t="array" ref="H261">IF(B261&gt;0,'Direct Costs 2026'!$C$19+'Direct Costs 2026'!$C$18*B261,"N/A")</f>
        <v>215000</v>
      </c>
      <c r="I261" s="538" cm="1">
        <f t="array" ref="I261">IF(B261&gt;0,SUM('Direct Costs 2026'!$C$20:$C$21),"N/A")</f>
        <v>98333.3333333333</v>
      </c>
      <c r="J261" s="538">
        <v>0</v>
      </c>
      <c r="K261" s="538" cm="1">
        <f t="array" ref="K261">_xlfn.IFERROR((IF(B261&gt;0,'Direct Costs 2026'!$C$15+'Direct Costs 2026'!$C$14,"N/A")),"N/A")</f>
        <v>230000</v>
      </c>
      <c r="L261" s="538" cm="1">
        <f t="array" ref="L261">IF(B261&gt;0,'Direct Costs 2026'!$C$26,"N/A")</f>
        <v>20000</v>
      </c>
      <c r="M261" s="538" cm="1">
        <f t="array" ref="M261">IF(B261&gt;0,'Direct Costs 2026'!$C$23,"N/A")</f>
        <v>140000</v>
      </c>
      <c r="N261" s="538" cm="1">
        <f t="array" ref="N261">IF(B261&gt;0,'Direct Costs 2026'!$C$44*B261,"N/A")</f>
        <v>440000</v>
      </c>
      <c r="O261" s="538" cm="1">
        <f t="array" ref="O261">IF(B261&gt;0,_xlfn.IFERROR(VLOOKUP(C255,'Boats Data Sheet 2026'!$C$3:$I$57,7,0)*'Direct Costs 2026'!$C$36,"N/A"),"N/A")</f>
        <v>3325000</v>
      </c>
      <c r="P261" s="538" cm="1">
        <f t="array" ref="P261">IF(B261&gt;0,IF(OR(VLOOKUP(C255,'Boats Data Sheet 2026'!$C$3:$F$57,4,0)="Own",VLOOKUP(C255,'Boats Data Sheet 2026'!$C$3:$F$57,4,0)="Management"),('Direct Costs 2026'!$C$37+'Direct Costs 2026'!$C$39),"N/A"),"N/A")</f>
        <v>1112400</v>
      </c>
      <c r="Q261" s="538" cm="1">
        <f t="array" ref="Q261">_xlfn.IFERROR(IF(B261&gt;5,IF(B261&gt;11,IF(B261&gt;15,4,3),2),IF(B261=0,"N/A",1))*SUM('Direct Costs 2026'!$C$67:$C$68),"N/A")</f>
        <v>489600</v>
      </c>
      <c r="R261" s="538" cm="1">
        <f t="array" ref="R261">_xlfn.IFERROR('Direct Costs 2026'!$C$27*C261,"N/A")</f>
        <v>0</v>
      </c>
      <c r="S261" s="538" cm="1">
        <f t="array" ref="S261">_xlfn.IFERROR(C261+SUM(E261:R261),"N/A")</f>
        <v>7059833.33333333</v>
      </c>
      <c r="T261" s="424"/>
      <c r="U261" s="538" cm="1">
        <f t="array" ref="U261">IF(B261&gt;0,'Allocation OH and Target 2026'!$E$27,"N/A")</f>
        <v>2134447.30345641</v>
      </c>
      <c r="V261" s="538" cm="1">
        <f t="array" ref="V261">IF(B261&gt;0,'Allocation OH and Target 2026'!$E$28,"N/A")</f>
        <v>200042.323056976</v>
      </c>
      <c r="W261" s="538" cm="1">
        <f t="array" ref="W261">IF(B261&gt;0,VLOOKUP(C255,'Allocation OH and Target 2026'!$C$3:$T$23,17,0),"N/A")</f>
        <v>773816.669767442</v>
      </c>
      <c r="X261" s="538" cm="1">
        <f t="array" ref="X261">IF(B261&gt;0,VLOOKUP(C255,'Allocation OH and Target 2026'!$C$3:$T$23,18,0),"N/A")</f>
        <v>74410.9954528513</v>
      </c>
      <c r="Y261" s="538" cm="1">
        <f t="array" ref="Y261">_xlfn.IFERROR(B261*(V261+X261),"N/A")</f>
        <v>1097813.27403931</v>
      </c>
      <c r="Z261" s="424"/>
      <c r="AA261" s="538" cm="1">
        <f t="array" ref="AA261">_xlfn.IFERROR(Y261+S261,"N/A")</f>
        <v>8157646.60737264</v>
      </c>
      <c r="AB261" s="538" cm="1">
        <f t="array" ref="AB261">_xlfn.IFERROR(AA261*0.5%,"N/A")</f>
        <v>40788.2330368632</v>
      </c>
      <c r="AC261" s="538" cm="1">
        <f t="array" ref="AC261">_xlfn.IFERROR(AA261*25%,"N/A")</f>
        <v>2039411.65184316</v>
      </c>
      <c r="AD261" s="539" cm="1">
        <f t="array" ref="AD261">IF(B261&gt;0,SUM(AA261:AC261),"N/A")</f>
        <v>10237846.4922527</v>
      </c>
      <c r="AE261" s="538" cm="1">
        <f t="array" ref="AE261">_xlfn.IFERROR(AD261/B261,"N/A")</f>
        <v>2559461.62306318</v>
      </c>
      <c r="AF261" s="424"/>
      <c r="AG261" t="str" s="546" cm="1">
        <f t="array" ref="AG261">IF(B261/VLOOKUP(C255,'Boats Data Sheet 2026'!$C$3:$H$57,6,0)&gt;VLOOKUP(C255,'Allocation OH and Target 2026'!$C$3:$J$23,8,0),IF(SUM(AH257:AH260)=0,AE261,"N/A"),"N/A")</f>
        <v>N/A</v>
      </c>
      <c r="AH261" s="424" cm="1">
        <f t="array" ref="AH261">IF(AG261="N/A",0,1)</f>
        <v>0</v>
      </c>
      <c r="AI261" t="str" s="547" cm="1">
        <f t="array" ref="AI261">IF(B261/VLOOKUP(C255,'Boats Data Sheet 2026'!$C$3:$H$57,6,0)&gt;VLOOKUP(C255,'Allocation OH and Target 2026'!$C$3:$J$23,8,0),IF(SUM(AH257:AH260)=0,S261/B261,"N/A"),"N/A")</f>
        <v>N/A</v>
      </c>
      <c r="AJ261" s="424" cm="1">
        <f t="array" ref="AJ261">IF(AI261="N/A",0,1)</f>
        <v>0</v>
      </c>
      <c r="AK261" t="str" s="527" cm="1">
        <f t="array" ref="AK261">IF(SUM($AG$120:$AG$137)*B261&lt;SUM(AA261:AB261),"NO GO","GO")</f>
        <v>NO GO</v>
      </c>
      <c r="AL261" s="424"/>
      <c r="AM261" s="568"/>
      <c r="AN261" s="538"/>
      <c r="AO261" s="538"/>
      <c r="AP261" s="542"/>
      <c r="AQ261" s="543" cm="1">
        <f t="array" ref="AQ261">B261</f>
        <v>4</v>
      </c>
      <c r="AR261" s="18"/>
    </row>
    <row r="262" ht="16" customHeight="1">
      <c r="A262" s="12"/>
      <c r="B262" s="544" cm="1">
        <f t="array" ref="B262">IF(B261=0,0,IF(B261&lt;VLOOKUP(C255,'Boats Data Sheet 2026'!$C$3:$H$57,6,0),B261+1,0))</f>
        <v>5</v>
      </c>
      <c r="C262" s="538" cm="1">
        <f t="array" ref="C262">IF(B262&gt;0,IF(VLOOKUP(C255,'Boats Data Sheet 2026'!$C$3:$J$57,8,0)="N/A",0,VLOOKUP(C255,'Boats Data Sheet 2026'!$C$3:$J$57,8,0)),"N/A")</f>
        <v>0</v>
      </c>
      <c r="D262" s="545" cm="1">
        <f t="array" ref="D262">IF(B262&gt;7,2,IF(B262=0,"N/A",1))</f>
        <v>1</v>
      </c>
      <c r="E262" s="538" cm="1">
        <f t="array" ref="E262">_xlfn.IFERROR(SUM('Direct Costs 2026'!$C$4:$C$5)*D262,"N/A")</f>
        <v>875500</v>
      </c>
      <c r="F262" s="538" cm="1">
        <f t="array" ref="F262">_xlfn.IFERROR('Direct Costs 2026'!$C$43*B262,"N/A")</f>
        <v>30000</v>
      </c>
      <c r="G262" s="538" cm="1">
        <f t="array" ref="G262">IF(B262&gt;0,'Direct Costs 2026'!$C$25,"N/A")</f>
        <v>90000</v>
      </c>
      <c r="H262" s="538" cm="1">
        <f t="array" ref="H262">IF(B262&gt;0,'Direct Costs 2026'!$C$19+'Direct Costs 2026'!$C$18*B262,"N/A")</f>
        <v>250000</v>
      </c>
      <c r="I262" s="538" cm="1">
        <f t="array" ref="I262">IF(B262&gt;0,SUM('Direct Costs 2026'!$C$20:$C$21),"N/A")</f>
        <v>98333.3333333333</v>
      </c>
      <c r="J262" s="538">
        <v>0</v>
      </c>
      <c r="K262" s="538" cm="1">
        <f t="array" ref="K262">_xlfn.IFERROR((IF(B262&gt;0,'Direct Costs 2026'!$C$15+'Direct Costs 2026'!$C$14,"N/A")),"N/A")</f>
        <v>230000</v>
      </c>
      <c r="L262" s="538" cm="1">
        <f t="array" ref="L262">IF(B262&gt;0,'Direct Costs 2026'!$C$26,"N/A")</f>
        <v>20000</v>
      </c>
      <c r="M262" s="538" cm="1">
        <f t="array" ref="M262">IF(B262&gt;0,'Direct Costs 2026'!$C$23,"N/A")</f>
        <v>140000</v>
      </c>
      <c r="N262" s="538" cm="1">
        <f t="array" ref="N262">IF(B262&gt;0,'Direct Costs 2026'!$C$44*B262,"N/A")</f>
        <v>550000</v>
      </c>
      <c r="O262" s="538" cm="1">
        <f t="array" ref="O262">IF(B262&gt;0,_xlfn.IFERROR(VLOOKUP(C255,'Boats Data Sheet 2026'!$C$3:$I$57,7,0)*'Direct Costs 2026'!$C$36,"N/A"),"N/A")</f>
        <v>3325000</v>
      </c>
      <c r="P262" s="538" cm="1">
        <f t="array" ref="P262">IF(B262&gt;0,IF(OR(VLOOKUP(C255,'Boats Data Sheet 2026'!$C$3:$F$57,4,0)="Own",VLOOKUP(C255,'Boats Data Sheet 2026'!$C$3:$F$57,4,0)="Management"),('Direct Costs 2026'!$C$37+'Direct Costs 2026'!$C$39),"N/A"),"N/A")</f>
        <v>1112400</v>
      </c>
      <c r="Q262" s="538" cm="1">
        <f t="array" ref="Q262">_xlfn.IFERROR(IF(B262&gt;5,IF(B262&gt;11,IF(B262&gt;15,4,3),2),IF(B262=0,"N/A",1))*SUM('Direct Costs 2026'!$C$67:$C$68),"N/A")</f>
        <v>489600</v>
      </c>
      <c r="R262" s="538" cm="1">
        <f t="array" ref="R262">_xlfn.IFERROR('Direct Costs 2026'!$C$27*C262,"N/A")</f>
        <v>0</v>
      </c>
      <c r="S262" s="538" cm="1">
        <f t="array" ref="S262">_xlfn.IFERROR(C262+SUM(E262:R262),"N/A")</f>
        <v>7210833.33333333</v>
      </c>
      <c r="T262" s="424"/>
      <c r="U262" s="538" cm="1">
        <f t="array" ref="U262">IF(B262&gt;0,'Allocation OH and Target 2026'!$E$27,"N/A")</f>
        <v>2134447.30345641</v>
      </c>
      <c r="V262" s="538" cm="1">
        <f t="array" ref="V262">IF(B262&gt;0,'Allocation OH and Target 2026'!$E$28,"N/A")</f>
        <v>200042.323056976</v>
      </c>
      <c r="W262" s="538" cm="1">
        <f t="array" ref="W262">IF(B262&gt;0,VLOOKUP(C255,'Allocation OH and Target 2026'!$C$3:$T$23,17,0),"N/A")</f>
        <v>773816.669767442</v>
      </c>
      <c r="X262" s="538" cm="1">
        <f t="array" ref="X262">IF(B262&gt;0,VLOOKUP(C255,'Allocation OH and Target 2026'!$C$3:$T$23,18,0),"N/A")</f>
        <v>74410.9954528513</v>
      </c>
      <c r="Y262" s="538" cm="1">
        <f t="array" ref="Y262">_xlfn.IFERROR(B262*(V262+X262),"N/A")</f>
        <v>1372266.59254914</v>
      </c>
      <c r="Z262" s="424"/>
      <c r="AA262" s="538" cm="1">
        <f t="array" ref="AA262">_xlfn.IFERROR(Y262+S262,"N/A")</f>
        <v>8583099.92588247</v>
      </c>
      <c r="AB262" s="538" cm="1">
        <f t="array" ref="AB262">_xlfn.IFERROR(AA262*0.5%,"N/A")</f>
        <v>42915.4996294124</v>
      </c>
      <c r="AC262" s="538" cm="1">
        <f t="array" ref="AC262">_xlfn.IFERROR(AA262*25%,"N/A")</f>
        <v>2145774.98147062</v>
      </c>
      <c r="AD262" s="539" cm="1">
        <f t="array" ref="AD262">IF(B262&gt;0,SUM(AA262:AC262),"N/A")</f>
        <v>10771790.4069825</v>
      </c>
      <c r="AE262" s="538" cm="1">
        <f t="array" ref="AE262">_xlfn.IFERROR(AD262/B262,"N/A")</f>
        <v>2154358.0813965</v>
      </c>
      <c r="AF262" s="424"/>
      <c r="AG262" t="str" s="546" cm="1">
        <f t="array" ref="AG262">IF(B262/VLOOKUP(C255,'Boats Data Sheet 2026'!$C$3:$H$57,6,0)&gt;VLOOKUP(C255,'Allocation OH and Target 2026'!$C$3:$J$23,8,0),IF(SUM(AH257:AH261)=0,AE262,"N/A"),"N/A")</f>
        <v>N/A</v>
      </c>
      <c r="AH262" s="424" cm="1">
        <f t="array" ref="AH262">IF(AG262="N/A",0,1)</f>
        <v>0</v>
      </c>
      <c r="AI262" t="str" s="547" cm="1">
        <f t="array" ref="AI262">IF(B262/VLOOKUP(C255,'Boats Data Sheet 2026'!$C$3:$H$57,6,0)&gt;VLOOKUP(C255,'Allocation OH and Target 2026'!$C$3:$J$23,8,0),IF(SUM(AH257:AH261)=0,S262/B262,"N/A"),"N/A")</f>
        <v>N/A</v>
      </c>
      <c r="AJ262" s="424" cm="1">
        <f t="array" ref="AJ262">IF(AI262="N/A",0,1)</f>
        <v>0</v>
      </c>
      <c r="AK262" t="str" s="527" cm="1">
        <f t="array" ref="AK262">IF(SUM($AG$120:$AG$137)*B262&lt;SUM(AA262:AB262),"NO GO","GO")</f>
        <v>NO GO</v>
      </c>
      <c r="AL262" s="424"/>
      <c r="AM262" s="538"/>
      <c r="AN262" s="538"/>
      <c r="AO262" s="538"/>
      <c r="AP262" s="542"/>
      <c r="AQ262" s="543" cm="1">
        <f t="array" ref="AQ262">B262</f>
        <v>5</v>
      </c>
      <c r="AR262" s="18"/>
    </row>
    <row r="263" ht="16" customHeight="1">
      <c r="A263" s="12"/>
      <c r="B263" s="544" cm="1">
        <f t="array" ref="B263">IF(B262=0,0,IF(B262&lt;VLOOKUP(C255,'Boats Data Sheet 2026'!$C$3:$H$57,6,0),B262+1,0))</f>
        <v>6</v>
      </c>
      <c r="C263" s="538" cm="1">
        <f t="array" ref="C263">IF(B263&gt;0,IF(VLOOKUP(C255,'Boats Data Sheet 2026'!$C$3:$J$57,8,0)="N/A",0,VLOOKUP(C255,'Boats Data Sheet 2026'!$C$3:$J$57,8,0)),"N/A")</f>
        <v>0</v>
      </c>
      <c r="D263" s="545" cm="1">
        <f t="array" ref="D263">IF(B263&gt;7,2,IF(B263=0,"N/A",1))</f>
        <v>1</v>
      </c>
      <c r="E263" s="538" cm="1">
        <f t="array" ref="E263">_xlfn.IFERROR(SUM('Direct Costs 2026'!$C$4:$C$5)*D263,"N/A")</f>
        <v>875500</v>
      </c>
      <c r="F263" s="538" cm="1">
        <f t="array" ref="F263">_xlfn.IFERROR('Direct Costs 2026'!$C$43*B263,"N/A")</f>
        <v>36000</v>
      </c>
      <c r="G263" s="538" cm="1">
        <f t="array" ref="G263">IF(B263&gt;0,'Direct Costs 2026'!$C$25,"N/A")</f>
        <v>90000</v>
      </c>
      <c r="H263" s="538" cm="1">
        <f t="array" ref="H263">IF(B263&gt;0,'Direct Costs 2026'!$C$19+'Direct Costs 2026'!$C$18*B263,"N/A")</f>
        <v>285000</v>
      </c>
      <c r="I263" s="538" cm="1">
        <f t="array" ref="I263">IF(B263&gt;0,SUM('Direct Costs 2026'!$C$20:$C$21),"N/A")</f>
        <v>98333.3333333333</v>
      </c>
      <c r="J263" s="538">
        <v>0</v>
      </c>
      <c r="K263" s="538" cm="1">
        <f t="array" ref="K263">_xlfn.IFERROR((IF(B263&gt;0,'Direct Costs 2026'!$C$15+'Direct Costs 2026'!$C$14,"N/A")),"N/A")</f>
        <v>230000</v>
      </c>
      <c r="L263" s="538" cm="1">
        <f t="array" ref="L263">IF(B263&gt;0,'Direct Costs 2026'!$C$26,"N/A")</f>
        <v>20000</v>
      </c>
      <c r="M263" s="538" cm="1">
        <f t="array" ref="M263">IF(B263&gt;0,'Direct Costs 2026'!$C$23,"N/A")</f>
        <v>140000</v>
      </c>
      <c r="N263" s="538" cm="1">
        <f t="array" ref="N263">IF(B263&gt;0,'Direct Costs 2026'!$C$44*B263,"N/A")</f>
        <v>660000</v>
      </c>
      <c r="O263" s="538" cm="1">
        <f t="array" ref="O263">IF(B263&gt;0,_xlfn.IFERROR(VLOOKUP(C255,'Boats Data Sheet 2026'!$C$3:$I$57,7,0)*'Direct Costs 2026'!$C$36,"N/A"),"N/A")</f>
        <v>3325000</v>
      </c>
      <c r="P263" s="538" cm="1">
        <f t="array" ref="P263">IF(B263&gt;0,IF(OR(VLOOKUP(C255,'Boats Data Sheet 2026'!$C$3:$F$57,4,0)="Own",VLOOKUP(C255,'Boats Data Sheet 2026'!$C$3:$F$57,4,0)="Management"),('Direct Costs 2026'!$C$37+'Direct Costs 2026'!$C$39),"N/A"),"N/A")</f>
        <v>1112400</v>
      </c>
      <c r="Q263" s="538" cm="1">
        <f t="array" ref="Q263">_xlfn.IFERROR(IF(B263&gt;5,IF(B263&gt;11,IF(B263&gt;15,4,3),2),IF(B263=0,"N/A",1))*SUM('Direct Costs 2026'!$C$67:$C$68),"N/A")</f>
        <v>979200</v>
      </c>
      <c r="R263" s="538" cm="1">
        <f t="array" ref="R263">_xlfn.IFERROR('Direct Costs 2026'!$C$27*C263,"N/A")</f>
        <v>0</v>
      </c>
      <c r="S263" s="538" cm="1">
        <f t="array" ref="S263">_xlfn.IFERROR(C263+SUM(E263:R263),"N/A")</f>
        <v>7851433.33333333</v>
      </c>
      <c r="T263" s="424"/>
      <c r="U263" s="538" cm="1">
        <f t="array" ref="U263">IF(B263&gt;0,'Allocation OH and Target 2026'!$E$27,"N/A")</f>
        <v>2134447.30345641</v>
      </c>
      <c r="V263" s="538" cm="1">
        <f t="array" ref="V263">IF(B263&gt;0,'Allocation OH and Target 2026'!$E$28,"N/A")</f>
        <v>200042.323056976</v>
      </c>
      <c r="W263" s="538" cm="1">
        <f t="array" ref="W263">IF(B263&gt;0,VLOOKUP(C255,'Allocation OH and Target 2026'!$C$3:$T$23,17,0),"N/A")</f>
        <v>773816.669767442</v>
      </c>
      <c r="X263" s="538" cm="1">
        <f t="array" ref="X263">IF(B263&gt;0,VLOOKUP(C255,'Allocation OH and Target 2026'!$C$3:$T$23,18,0),"N/A")</f>
        <v>74410.9954528513</v>
      </c>
      <c r="Y263" s="538" cm="1">
        <f t="array" ref="Y263">_xlfn.IFERROR(B263*(V263+X263),"N/A")</f>
        <v>1646719.91105896</v>
      </c>
      <c r="Z263" s="424"/>
      <c r="AA263" s="538" cm="1">
        <f t="array" ref="AA263">_xlfn.IFERROR(Y263+S263,"N/A")</f>
        <v>9498153.244392291</v>
      </c>
      <c r="AB263" s="538" cm="1">
        <f t="array" ref="AB263">_xlfn.IFERROR(AA263*0.5%,"N/A")</f>
        <v>47490.7662219615</v>
      </c>
      <c r="AC263" s="538" cm="1">
        <f t="array" ref="AC263">_xlfn.IFERROR(AA263*25%,"N/A")</f>
        <v>2374538.31109807</v>
      </c>
      <c r="AD263" s="539" cm="1">
        <f t="array" ref="AD263">IF(B263&gt;0,SUM(AA263:AC263),"N/A")</f>
        <v>11920182.3217123</v>
      </c>
      <c r="AE263" s="538" cm="1">
        <f t="array" ref="AE263">_xlfn.IFERROR(AD263/B263,"N/A")</f>
        <v>1986697.05361872</v>
      </c>
      <c r="AF263" s="424"/>
      <c r="AG263" t="str" s="546" cm="1">
        <f t="array" ref="AG263">IF(B263/VLOOKUP(C255,'Boats Data Sheet 2026'!$C$3:$H$57,6,0)&gt;VLOOKUP(C255,'Allocation OH and Target 2026'!$C$3:$J$23,8,0),IF(SUM(AH257:AH262)=0,AE263,"N/A"),"N/A")</f>
        <v>N/A</v>
      </c>
      <c r="AH263" s="424" cm="1">
        <f t="array" ref="AH263">IF(AG263="N/A",0,1)</f>
        <v>0</v>
      </c>
      <c r="AI263" t="str" s="547" cm="1">
        <f t="array" ref="AI263">IF(B263/VLOOKUP(C255,'Boats Data Sheet 2026'!$C$3:$H$57,6,0)&gt;VLOOKUP(C255,'Allocation OH and Target 2026'!$C$3:$J$23,8,0),IF(SUM(AH257:AH262)=0,S263/B263,"N/A"),"N/A")</f>
        <v>N/A</v>
      </c>
      <c r="AJ263" s="424" cm="1">
        <f t="array" ref="AJ263">IF(AI263="N/A",0,1)</f>
        <v>0</v>
      </c>
      <c r="AK263" t="str" s="527" cm="1">
        <f t="array" ref="AK263">IF(SUM($AG$120:$AG$137)*B263&lt;SUM(AA263:AB263),"NO GO","GO")</f>
        <v>NO GO</v>
      </c>
      <c r="AL263" s="424"/>
      <c r="AM263" s="568"/>
      <c r="AN263" s="538"/>
      <c r="AO263" s="538"/>
      <c r="AP263" s="542"/>
      <c r="AQ263" s="543" cm="1">
        <f t="array" ref="AQ263">B263</f>
        <v>6</v>
      </c>
      <c r="AR263" s="18"/>
    </row>
    <row r="264" ht="16" customHeight="1">
      <c r="A264" s="12"/>
      <c r="B264" s="544" cm="1">
        <f t="array" ref="B264">IF(B263=0,0,IF(B263&lt;VLOOKUP(C255,'Boats Data Sheet 2026'!$C$3:$H$57,6,0),B263+1,0))</f>
        <v>7</v>
      </c>
      <c r="C264" s="538" cm="1">
        <f t="array" ref="C264">IF(B264&gt;0,IF(VLOOKUP(C255,'Boats Data Sheet 2026'!$C$3:$J$57,8,0)="N/A",0,VLOOKUP(C255,'Boats Data Sheet 2026'!$C$3:$J$57,8,0)),"N/A")</f>
        <v>0</v>
      </c>
      <c r="D264" s="545" cm="1">
        <f t="array" ref="D264">IF(B264&gt;7,2,IF(B264=0,"N/A",1))</f>
        <v>1</v>
      </c>
      <c r="E264" s="538" cm="1">
        <f t="array" ref="E264">_xlfn.IFERROR(SUM('Direct Costs 2026'!$C$4:$C$5)*D264,"N/A")</f>
        <v>875500</v>
      </c>
      <c r="F264" s="538" cm="1">
        <f t="array" ref="F264">_xlfn.IFERROR('Direct Costs 2026'!$C$43*B264,"N/A")</f>
        <v>42000</v>
      </c>
      <c r="G264" s="538" cm="1">
        <f t="array" ref="G264">IF(B264&gt;0,'Direct Costs 2026'!$C$25,"N/A")</f>
        <v>90000</v>
      </c>
      <c r="H264" s="538" cm="1">
        <f t="array" ref="H264">IF(B264&gt;0,'Direct Costs 2026'!$C$19+'Direct Costs 2026'!$C$18*B264,"N/A")</f>
        <v>320000</v>
      </c>
      <c r="I264" s="538" cm="1">
        <f t="array" ref="I264">IF(B264&gt;0,SUM('Direct Costs 2026'!$C$20:$C$21),"N/A")</f>
        <v>98333.3333333333</v>
      </c>
      <c r="J264" s="538">
        <v>0</v>
      </c>
      <c r="K264" s="538" cm="1">
        <f t="array" ref="K264">_xlfn.IFERROR((IF(B264&gt;0,'Direct Costs 2026'!$C$15+'Direct Costs 2026'!$C$14,"N/A")),"N/A")</f>
        <v>230000</v>
      </c>
      <c r="L264" s="538" cm="1">
        <f t="array" ref="L264">IF(B264&gt;0,'Direct Costs 2026'!$C$26,"N/A")</f>
        <v>20000</v>
      </c>
      <c r="M264" s="538" cm="1">
        <f t="array" ref="M264">IF(B264&gt;0,'Direct Costs 2026'!$C$23,"N/A")</f>
        <v>140000</v>
      </c>
      <c r="N264" s="538" cm="1">
        <f t="array" ref="N264">IF(B264&gt;0,'Direct Costs 2026'!$C$44*B264,"N/A")</f>
        <v>770000</v>
      </c>
      <c r="O264" s="538" cm="1">
        <f t="array" ref="O264">IF(B264&gt;0,_xlfn.IFERROR(VLOOKUP(C255,'Boats Data Sheet 2026'!$C$3:$I$57,7,0)*'Direct Costs 2026'!$C$36,"N/A"),"N/A")</f>
        <v>3325000</v>
      </c>
      <c r="P264" s="538" cm="1">
        <f t="array" ref="P264">IF(B264&gt;0,IF(OR(VLOOKUP(C255,'Boats Data Sheet 2026'!$C$3:$F$57,4,0)="Own",VLOOKUP(C255,'Boats Data Sheet 2026'!$C$3:$F$57,4,0)="Management"),('Direct Costs 2026'!$C$37+'Direct Costs 2026'!$C$39),"N/A"),"N/A")</f>
        <v>1112400</v>
      </c>
      <c r="Q264" s="538" cm="1">
        <f t="array" ref="Q264">_xlfn.IFERROR(IF(B264&gt;5,IF(B264&gt;11,IF(B264&gt;15,4,3),2),IF(B264=0,"N/A",1))*SUM('Direct Costs 2026'!$C$67:$C$68),"N/A")</f>
        <v>979200</v>
      </c>
      <c r="R264" s="538" cm="1">
        <f t="array" ref="R264">_xlfn.IFERROR('Direct Costs 2026'!$C$27*C264,"N/A")</f>
        <v>0</v>
      </c>
      <c r="S264" s="538" cm="1">
        <f t="array" ref="S264">_xlfn.IFERROR(C264+SUM(E264:R264),"N/A")</f>
        <v>8002433.33333333</v>
      </c>
      <c r="T264" s="424"/>
      <c r="U264" s="538" cm="1">
        <f t="array" ref="U264">IF(B264&gt;0,'Allocation OH and Target 2026'!$E$27,"N/A")</f>
        <v>2134447.30345641</v>
      </c>
      <c r="V264" s="538" cm="1">
        <f t="array" ref="V264">IF(B264&gt;0,'Allocation OH and Target 2026'!$E$28,"N/A")</f>
        <v>200042.323056976</v>
      </c>
      <c r="W264" s="538" cm="1">
        <f t="array" ref="W264">IF(B264&gt;0,VLOOKUP(C255,'Allocation OH and Target 2026'!$C$3:$T$23,17,0),"N/A")</f>
        <v>773816.669767442</v>
      </c>
      <c r="X264" s="538" cm="1">
        <f t="array" ref="X264">IF(B264&gt;0,VLOOKUP(C255,'Allocation OH and Target 2026'!$C$3:$T$23,18,0),"N/A")</f>
        <v>74410.9954528513</v>
      </c>
      <c r="Y264" s="538" cm="1">
        <f t="array" ref="Y264">_xlfn.IFERROR(B264*(V264+X264),"N/A")</f>
        <v>1921173.22956879</v>
      </c>
      <c r="Z264" s="424"/>
      <c r="AA264" s="538" cm="1">
        <f t="array" ref="AA264">_xlfn.IFERROR(Y264+S264,"N/A")</f>
        <v>9923606.562902121</v>
      </c>
      <c r="AB264" s="538" cm="1">
        <f t="array" ref="AB264">_xlfn.IFERROR(AA264*0.5%,"N/A")</f>
        <v>49618.0328145106</v>
      </c>
      <c r="AC264" s="538" cm="1">
        <f t="array" ref="AC264">_xlfn.IFERROR(AA264*25%,"N/A")</f>
        <v>2480901.64072553</v>
      </c>
      <c r="AD264" s="539" cm="1">
        <f t="array" ref="AD264">IF(B264&gt;0,SUM(AA264:AC264),"N/A")</f>
        <v>12454126.2364422</v>
      </c>
      <c r="AE264" s="538" cm="1">
        <f t="array" ref="AE264">_xlfn.IFERROR(AD264/B264,"N/A")</f>
        <v>1779160.89092031</v>
      </c>
      <c r="AF264" s="424"/>
      <c r="AG264" t="str" s="546" cm="1">
        <f t="array" ref="AG264">IF(B264/VLOOKUP(C255,'Boats Data Sheet 2026'!$C$3:$H$57,6,0)&gt;VLOOKUP(C255,'Allocation OH and Target 2026'!$C$3:$J$23,8,0),IF(SUM(AH257:AH263)=0,AE264,"N/A"),"N/A")</f>
        <v>N/A</v>
      </c>
      <c r="AH264" s="424" cm="1">
        <f t="array" ref="AH264">IF(AG264="N/A",0,1)</f>
        <v>0</v>
      </c>
      <c r="AI264" t="str" s="547" cm="1">
        <f t="array" ref="AI264">IF(B264/VLOOKUP(C255,'Boats Data Sheet 2026'!$C$3:$H$57,6,0)&gt;VLOOKUP(C255,'Allocation OH and Target 2026'!$C$3:$J$23,8,0),IF(SUM(AH257:AH263)=0,S264/B264,"N/A"),"N/A")</f>
        <v>N/A</v>
      </c>
      <c r="AJ264" s="424" cm="1">
        <f t="array" ref="AJ264">IF(AI264="N/A",0,1)</f>
        <v>0</v>
      </c>
      <c r="AK264" t="str" s="527" cm="1">
        <f t="array" ref="AK264">IF(SUM($AG$120:$AG$137)*B264&lt;SUM(AA264:AB264),"NO GO","GO")</f>
        <v>GO</v>
      </c>
      <c r="AL264" s="424"/>
      <c r="AM264" s="569"/>
      <c r="AN264" s="539"/>
      <c r="AO264" s="538"/>
      <c r="AP264" s="542"/>
      <c r="AQ264" s="543" cm="1">
        <f t="array" ref="AQ264">B264</f>
        <v>7</v>
      </c>
      <c r="AR264" s="18"/>
    </row>
    <row r="265" ht="16" customHeight="1">
      <c r="A265" s="12"/>
      <c r="B265" s="544" cm="1">
        <f t="array" ref="B265">IF(B264=0,0,IF(B264&lt;VLOOKUP(C255,'Boats Data Sheet 2026'!$C$3:$H$57,6,0),B264+1,0))</f>
        <v>8</v>
      </c>
      <c r="C265" s="538" cm="1">
        <f t="array" ref="C265">IF(B265&gt;0,IF(VLOOKUP(C255,'Boats Data Sheet 2026'!$C$3:$J$57,8,0)="N/A",0,VLOOKUP(C255,'Boats Data Sheet 2026'!$C$3:$J$57,8,0)),"N/A")</f>
        <v>0</v>
      </c>
      <c r="D265" s="545" cm="1">
        <f t="array" ref="D265">IF(B265&gt;7,2,IF(B265=0,"N/A",1))</f>
        <v>2</v>
      </c>
      <c r="E265" s="538" cm="1">
        <f t="array" ref="E265">_xlfn.IFERROR(SUM('Direct Costs 2026'!$C$4:$C$5)*D265,"N/A")</f>
        <v>1751000</v>
      </c>
      <c r="F265" s="538" cm="1">
        <f t="array" ref="F265">_xlfn.IFERROR('Direct Costs 2026'!$C$43*B265,"N/A")</f>
        <v>48000</v>
      </c>
      <c r="G265" s="538" cm="1">
        <f t="array" ref="G265">IF(B265&gt;0,'Direct Costs 2026'!$C$25,"N/A")</f>
        <v>90000</v>
      </c>
      <c r="H265" s="538" cm="1">
        <f t="array" ref="H265">IF(B265&gt;0,'Direct Costs 2026'!$C$19+'Direct Costs 2026'!$C$18*B265,"N/A")</f>
        <v>355000</v>
      </c>
      <c r="I265" s="538" cm="1">
        <f t="array" ref="I265">IF(B265&gt;0,SUM('Direct Costs 2026'!$C$20:$C$21),"N/A")</f>
        <v>98333.3333333333</v>
      </c>
      <c r="J265" s="538">
        <v>0</v>
      </c>
      <c r="K265" s="538" cm="1">
        <f t="array" ref="K265">_xlfn.IFERROR((IF(B265&gt;0,'Direct Costs 2026'!$C$15+'Direct Costs 2026'!$C$14,"N/A")),"N/A")</f>
        <v>230000</v>
      </c>
      <c r="L265" s="538" cm="1">
        <f t="array" ref="L265">IF(B265&gt;0,'Direct Costs 2026'!$C$26,"N/A")</f>
        <v>20000</v>
      </c>
      <c r="M265" s="538" cm="1">
        <f t="array" ref="M265">IF(B265&gt;0,'Direct Costs 2026'!$C$23,"N/A")</f>
        <v>140000</v>
      </c>
      <c r="N265" s="538" cm="1">
        <f t="array" ref="N265">IF(B265&gt;0,'Direct Costs 2026'!$C$44*B265,"N/A")</f>
        <v>880000</v>
      </c>
      <c r="O265" s="538" cm="1">
        <f t="array" ref="O265">IF(B265&gt;0,_xlfn.IFERROR(VLOOKUP(C255,'Boats Data Sheet 2026'!$C$3:$I$57,7,0)*'Direct Costs 2026'!$C$36,"N/A"),"N/A")</f>
        <v>3325000</v>
      </c>
      <c r="P265" s="538" cm="1">
        <f t="array" ref="P265">IF(B265&gt;0,IF(OR(VLOOKUP(C255,'Boats Data Sheet 2026'!$C$3:$F$57,4,0)="Own",VLOOKUP(C255,'Boats Data Sheet 2026'!$C$3:$F$57,4,0)="Management"),('Direct Costs 2026'!$C$37+'Direct Costs 2026'!$C$39),"N/A"),"N/A")</f>
        <v>1112400</v>
      </c>
      <c r="Q265" s="538" cm="1">
        <f t="array" ref="Q265">_xlfn.IFERROR(IF(B265&gt;5,IF(B265&gt;11,IF(B265&gt;15,4,3),2),IF(B265=0,"N/A",1))*SUM('Direct Costs 2026'!$C$67:$C$68),"N/A")</f>
        <v>979200</v>
      </c>
      <c r="R265" s="538" cm="1">
        <f t="array" ref="R265">_xlfn.IFERROR('Direct Costs 2026'!$C$27*C265,"N/A")</f>
        <v>0</v>
      </c>
      <c r="S265" s="538" cm="1">
        <f t="array" ref="S265">_xlfn.IFERROR(C265+SUM(E265:R265),"N/A")</f>
        <v>9028933.33333333</v>
      </c>
      <c r="T265" s="424"/>
      <c r="U265" s="538" cm="1">
        <f t="array" ref="U265">IF(B265&gt;0,'Allocation OH and Target 2026'!$E$27,"N/A")</f>
        <v>2134447.30345641</v>
      </c>
      <c r="V265" s="538" cm="1">
        <f t="array" ref="V265">IF(B265&gt;0,'Allocation OH and Target 2026'!$E$28,"N/A")</f>
        <v>200042.323056976</v>
      </c>
      <c r="W265" s="538" cm="1">
        <f t="array" ref="W265">IF(B265&gt;0,VLOOKUP(C255,'Allocation OH and Target 2026'!$C$3:$T$23,17,0),"N/A")</f>
        <v>773816.669767442</v>
      </c>
      <c r="X265" s="538" cm="1">
        <f t="array" ref="X265">IF(B265&gt;0,VLOOKUP(C255,'Allocation OH and Target 2026'!$C$3:$T$23,18,0),"N/A")</f>
        <v>74410.9954528513</v>
      </c>
      <c r="Y265" s="538" cm="1">
        <f t="array" ref="Y265">_xlfn.IFERROR(B265*(V265+X265),"N/A")</f>
        <v>2195626.54807862</v>
      </c>
      <c r="Z265" s="424"/>
      <c r="AA265" s="538" cm="1">
        <f t="array" ref="AA265">_xlfn.IFERROR(Y265+S265,"N/A")</f>
        <v>11224559.881412</v>
      </c>
      <c r="AB265" s="538" cm="1">
        <f t="array" ref="AB265">_xlfn.IFERROR(AA265*0.5%,"N/A")</f>
        <v>56122.79940706</v>
      </c>
      <c r="AC265" s="538" cm="1">
        <f t="array" ref="AC265">_xlfn.IFERROR(AA265*25%,"N/A")</f>
        <v>2806139.970353</v>
      </c>
      <c r="AD265" s="539" cm="1">
        <f t="array" ref="AD265">IF(B265&gt;0,SUM(AA265:AC265),"N/A")</f>
        <v>14086822.6511721</v>
      </c>
      <c r="AE265" s="538" cm="1">
        <f t="array" ref="AE265">_xlfn.IFERROR(AD265/B265,"N/A")</f>
        <v>1760852.83139651</v>
      </c>
      <c r="AF265" s="424"/>
      <c r="AG265" t="str" s="546" cm="1">
        <f t="array" ref="AG265">IF(B265/VLOOKUP(C255,'Boats Data Sheet 2026'!$C$3:$H$57,6,0)&gt;VLOOKUP(C255,'Allocation OH and Target 2026'!$C$3:$J$23,8,0),IF(SUM(AH257:AH264)=0,AE265,"N/A"),"N/A")</f>
        <v>N/A</v>
      </c>
      <c r="AH265" s="424" cm="1">
        <f t="array" ref="AH265">IF(AG265="N/A",0,1)</f>
        <v>0</v>
      </c>
      <c r="AI265" t="str" s="547" cm="1">
        <f t="array" ref="AI265">IF(B265/VLOOKUP(C255,'Boats Data Sheet 2026'!$C$3:$H$57,6,0)&gt;VLOOKUP(C255,'Allocation OH and Target 2026'!$C$3:$J$23,8,0),IF(SUM(AH257:AH264)=0,S265/B265,"N/A"),"N/A")</f>
        <v>N/A</v>
      </c>
      <c r="AJ265" s="424" cm="1">
        <f t="array" ref="AJ265">IF(AI265="N/A",0,1)</f>
        <v>0</v>
      </c>
      <c r="AK265" t="str" s="527" cm="1">
        <f t="array" ref="AK265">IF(SUM($AG$120:$AG$137)*B265&lt;SUM(AA265:AB265),"NO GO","GO")</f>
        <v>GO</v>
      </c>
      <c r="AL265" s="424"/>
      <c r="AM265" s="538"/>
      <c r="AN265" s="538"/>
      <c r="AO265" s="538"/>
      <c r="AP265" s="542"/>
      <c r="AQ265" s="543" cm="1">
        <f t="array" ref="AQ265">B265</f>
        <v>8</v>
      </c>
      <c r="AR265" s="18"/>
    </row>
    <row r="266" ht="16" customHeight="1">
      <c r="A266" s="12"/>
      <c r="B266" s="544" cm="1">
        <f t="array" ref="B266">IF(B265=0,0,IF(B265&lt;VLOOKUP(C255,'Boats Data Sheet 2026'!$C$3:$H$57,6,0),B265+1,0))</f>
        <v>9</v>
      </c>
      <c r="C266" s="538" cm="1">
        <f t="array" ref="C266">IF(B266&gt;0,IF(VLOOKUP(C255,'Boats Data Sheet 2026'!$C$3:$J$57,8,0)="N/A",0,VLOOKUP(C255,'Boats Data Sheet 2026'!$C$3:$J$57,8,0)),"N/A")</f>
        <v>0</v>
      </c>
      <c r="D266" s="545" cm="1">
        <f t="array" ref="D266">IF(B266&gt;7,2,IF(B266=0,"N/A",1))</f>
        <v>2</v>
      </c>
      <c r="E266" s="538" cm="1">
        <f t="array" ref="E266">_xlfn.IFERROR(SUM('Direct Costs 2026'!$C$4:$C$5)*D266,"N/A")</f>
        <v>1751000</v>
      </c>
      <c r="F266" s="538" cm="1">
        <f t="array" ref="F266">_xlfn.IFERROR('Direct Costs 2026'!$C$43*B266,"N/A")</f>
        <v>54000</v>
      </c>
      <c r="G266" s="538" cm="1">
        <f t="array" ref="G266">IF(B266&gt;0,'Direct Costs 2026'!$C$25,"N/A")</f>
        <v>90000</v>
      </c>
      <c r="H266" s="538" cm="1">
        <f t="array" ref="H266">IF(B266&gt;0,'Direct Costs 2026'!$C$19+'Direct Costs 2026'!$C$18*B266,"N/A")</f>
        <v>390000</v>
      </c>
      <c r="I266" s="538" cm="1">
        <f t="array" ref="I266">IF(B266&gt;0,SUM('Direct Costs 2026'!$C$20:$C$21),"N/A")</f>
        <v>98333.3333333333</v>
      </c>
      <c r="J266" s="538">
        <v>0</v>
      </c>
      <c r="K266" s="538" cm="1">
        <f t="array" ref="K266">_xlfn.IFERROR((IF(B266&gt;0,'Direct Costs 2026'!$C$15+'Direct Costs 2026'!$C$14,"N/A")),"N/A")</f>
        <v>230000</v>
      </c>
      <c r="L266" s="538" cm="1">
        <f t="array" ref="L266">IF(B266&gt;0,'Direct Costs 2026'!$C$26,"N/A")</f>
        <v>20000</v>
      </c>
      <c r="M266" s="538" cm="1">
        <f t="array" ref="M266">IF(B266&gt;0,'Direct Costs 2026'!$C$23,"N/A")</f>
        <v>140000</v>
      </c>
      <c r="N266" s="538" cm="1">
        <f t="array" ref="N266">IF(B266&gt;0,'Direct Costs 2026'!$C$44*B266,"N/A")</f>
        <v>990000</v>
      </c>
      <c r="O266" s="538" cm="1">
        <f t="array" ref="O266">IF(B266&gt;0,_xlfn.IFERROR(VLOOKUP(C255,'Boats Data Sheet 2026'!$C$3:$I$57,7,0)*'Direct Costs 2026'!$C$36,"N/A"),"N/A")</f>
        <v>3325000</v>
      </c>
      <c r="P266" s="538" cm="1">
        <f t="array" ref="P266">IF(B266&gt;0,IF(OR(VLOOKUP(C255,'Boats Data Sheet 2026'!$C$3:$F$57,4,0)="Own",VLOOKUP(C255,'Boats Data Sheet 2026'!$C$3:$F$57,4,0)="Management"),('Direct Costs 2026'!$C$37+'Direct Costs 2026'!$C$39),"N/A"),"N/A")</f>
        <v>1112400</v>
      </c>
      <c r="Q266" s="538" cm="1">
        <f t="array" ref="Q266">_xlfn.IFERROR(IF(B266&gt;5,IF(B266&gt;11,IF(B266&gt;15,4,3),2),IF(B266=0,"N/A",1))*SUM('Direct Costs 2026'!$C$67:$C$68),"N/A")</f>
        <v>979200</v>
      </c>
      <c r="R266" s="538" cm="1">
        <f t="array" ref="R266">_xlfn.IFERROR('Direct Costs 2026'!$C$27*C266,"N/A")</f>
        <v>0</v>
      </c>
      <c r="S266" s="538" cm="1">
        <f t="array" ref="S266">_xlfn.IFERROR(C266+SUM(E266:R266),"N/A")</f>
        <v>9179933.33333333</v>
      </c>
      <c r="T266" s="424"/>
      <c r="U266" s="538" cm="1">
        <f t="array" ref="U266">IF(B266&gt;0,'Allocation OH and Target 2026'!$E$27,"N/A")</f>
        <v>2134447.30345641</v>
      </c>
      <c r="V266" s="538" cm="1">
        <f t="array" ref="V266">IF(B266&gt;0,'Allocation OH and Target 2026'!$E$28,"N/A")</f>
        <v>200042.323056976</v>
      </c>
      <c r="W266" s="538" cm="1">
        <f t="array" ref="W266">IF(B266&gt;0,VLOOKUP(C255,'Allocation OH and Target 2026'!$C$3:$T$23,17,0),"N/A")</f>
        <v>773816.669767442</v>
      </c>
      <c r="X266" s="538" cm="1">
        <f t="array" ref="X266">IF(B266&gt;0,VLOOKUP(C255,'Allocation OH and Target 2026'!$C$3:$T$23,18,0),"N/A")</f>
        <v>74410.9954528513</v>
      </c>
      <c r="Y266" s="538" cm="1">
        <f t="array" ref="Y266">_xlfn.IFERROR(B266*(V266+X266),"N/A")</f>
        <v>2470079.86658845</v>
      </c>
      <c r="Z266" s="424"/>
      <c r="AA266" s="538" cm="1">
        <f t="array" ref="AA266">_xlfn.IFERROR(Y266+S266,"N/A")</f>
        <v>11650013.1999218</v>
      </c>
      <c r="AB266" s="538" cm="1">
        <f t="array" ref="AB266">_xlfn.IFERROR(AA266*0.5%,"N/A")</f>
        <v>58250.065999609</v>
      </c>
      <c r="AC266" s="538" cm="1">
        <f t="array" ref="AC266">_xlfn.IFERROR(AA266*25%,"N/A")</f>
        <v>2912503.29998045</v>
      </c>
      <c r="AD266" s="539" cm="1">
        <f t="array" ref="AD266">IF(B266&gt;0,SUM(AA266:AC266),"N/A")</f>
        <v>14620766.5659019</v>
      </c>
      <c r="AE266" s="538" cm="1">
        <f t="array" ref="AE266">_xlfn.IFERROR(AD266/B266,"N/A")</f>
        <v>1624529.61843354</v>
      </c>
      <c r="AF266" s="424"/>
      <c r="AG266" t="str" s="546" cm="1">
        <f t="array" ref="AG266">IF(B266/VLOOKUP(C255,'Boats Data Sheet 2026'!$C$3:$H$57,6,0)&gt;VLOOKUP(C255,'Allocation OH and Target 2026'!$C$3:$J$23,8,0),IF(SUM(AH257:AH265)=0,AE266,"N/A"),"N/A")</f>
        <v>N/A</v>
      </c>
      <c r="AH266" s="424" cm="1">
        <f t="array" ref="AH266">IF(AG266="N/A",0,1)</f>
        <v>0</v>
      </c>
      <c r="AI266" t="str" s="547" cm="1">
        <f t="array" ref="AI266">IF(B266/VLOOKUP(C255,'Boats Data Sheet 2026'!$C$3:$H$57,6,0)&gt;VLOOKUP(C255,'Allocation OH and Target 2026'!$C$3:$J$23,8,0),IF(SUM(AH257:AH265)=0,S266/B266,"N/A"),"N/A")</f>
        <v>N/A</v>
      </c>
      <c r="AJ266" s="424" cm="1">
        <f t="array" ref="AJ266">IF(AI266="N/A",0,1)</f>
        <v>0</v>
      </c>
      <c r="AK266" t="str" s="527" cm="1">
        <f t="array" ref="AK266">IF(SUM($AG$120:$AG$137)*B266&lt;SUM(AA266:AB266),"NO GO","GO")</f>
        <v>GO</v>
      </c>
      <c r="AL266" s="424"/>
      <c r="AM266" s="538"/>
      <c r="AN266" s="538"/>
      <c r="AO266" s="538"/>
      <c r="AP266" s="542"/>
      <c r="AQ266" s="543" cm="1">
        <f t="array" ref="AQ266">B266</f>
        <v>9</v>
      </c>
      <c r="AR266" s="18"/>
    </row>
    <row r="267" ht="16" customHeight="1">
      <c r="A267" s="12"/>
      <c r="B267" s="544" cm="1">
        <f t="array" ref="B267">IF(B266=0,0,IF(B266&lt;VLOOKUP(C255,'Boats Data Sheet 2026'!$C$3:$H$57,6,0),B266+1,0))</f>
        <v>10</v>
      </c>
      <c r="C267" s="538" cm="1">
        <f t="array" ref="C267">IF(B267&gt;0,IF(VLOOKUP(C255,'Boats Data Sheet 2026'!$C$3:$J$57,8,0)="N/A",0,VLOOKUP(C255,'Boats Data Sheet 2026'!$C$3:$J$57,8,0)),"N/A")</f>
        <v>0</v>
      </c>
      <c r="D267" s="545" cm="1">
        <f t="array" ref="D267">IF(B267&gt;7,2,IF(B267=0,"N/A",1))</f>
        <v>2</v>
      </c>
      <c r="E267" s="538" cm="1">
        <f t="array" ref="E267">_xlfn.IFERROR(SUM('Direct Costs 2026'!$C$4:$C$5)*D267,"N/A")</f>
        <v>1751000</v>
      </c>
      <c r="F267" s="538" cm="1">
        <f t="array" ref="F267">_xlfn.IFERROR('Direct Costs 2026'!$C$43*B267,"N/A")</f>
        <v>60000</v>
      </c>
      <c r="G267" s="538" cm="1">
        <f t="array" ref="G267">IF(B267&gt;0,'Direct Costs 2026'!$C$25,"N/A")</f>
        <v>90000</v>
      </c>
      <c r="H267" s="538" cm="1">
        <f t="array" ref="H267">IF(B267&gt;0,'Direct Costs 2026'!$C$19+'Direct Costs 2026'!$C$18*B267,"N/A")</f>
        <v>425000</v>
      </c>
      <c r="I267" s="538" cm="1">
        <f t="array" ref="I267">IF(B267&gt;0,SUM('Direct Costs 2026'!$C$20:$C$21),"N/A")</f>
        <v>98333.3333333333</v>
      </c>
      <c r="J267" s="538">
        <v>0</v>
      </c>
      <c r="K267" s="538" cm="1">
        <f t="array" ref="K267">_xlfn.IFERROR((IF(B267&gt;0,'Direct Costs 2026'!$C$15+'Direct Costs 2026'!$C$14,"N/A")),"N/A")</f>
        <v>230000</v>
      </c>
      <c r="L267" s="538" cm="1">
        <f t="array" ref="L267">IF(B267&gt;0,'Direct Costs 2026'!$C$26,"N/A")</f>
        <v>20000</v>
      </c>
      <c r="M267" s="538" cm="1">
        <f t="array" ref="M267">IF(B267&gt;0,'Direct Costs 2026'!$C$23,"N/A")</f>
        <v>140000</v>
      </c>
      <c r="N267" s="538" cm="1">
        <f t="array" ref="N267">IF(B267&gt;0,'Direct Costs 2026'!$C$44*B267,"N/A")</f>
        <v>1100000</v>
      </c>
      <c r="O267" s="538" cm="1">
        <f t="array" ref="O267">IF(B267&gt;0,_xlfn.IFERROR(VLOOKUP(C255,'Boats Data Sheet 2026'!$C$3:$I$57,7,0)*'Direct Costs 2026'!$C$36,"N/A"),"N/A")</f>
        <v>3325000</v>
      </c>
      <c r="P267" s="538" cm="1">
        <f t="array" ref="P267">IF(B267&gt;0,IF(OR(VLOOKUP(C255,'Boats Data Sheet 2026'!$C$3:$F$57,4,0)="Own",VLOOKUP(C255,'Boats Data Sheet 2026'!$C$3:$F$57,4,0)="Management"),('Direct Costs 2026'!$C$37+'Direct Costs 2026'!$C$39),"N/A"),"N/A")</f>
        <v>1112400</v>
      </c>
      <c r="Q267" s="538" cm="1">
        <f t="array" ref="Q267">_xlfn.IFERROR(IF(B267&gt;5,IF(B267&gt;11,IF(B267&gt;15,4,3),2),IF(B267=0,"N/A",1))*SUM('Direct Costs 2026'!$C$67:$C$68),"N/A")</f>
        <v>979200</v>
      </c>
      <c r="R267" s="538" cm="1">
        <f t="array" ref="R267">_xlfn.IFERROR('Direct Costs 2026'!$C$27*C267,"N/A")</f>
        <v>0</v>
      </c>
      <c r="S267" s="538" cm="1">
        <f t="array" ref="S267">_xlfn.IFERROR(C267+SUM(E267:R267),"N/A")</f>
        <v>9330933.33333333</v>
      </c>
      <c r="T267" s="424"/>
      <c r="U267" s="538" cm="1">
        <f t="array" ref="U267">IF(B267&gt;0,'Allocation OH and Target 2026'!$E$27,"N/A")</f>
        <v>2134447.30345641</v>
      </c>
      <c r="V267" s="538" cm="1">
        <f t="array" ref="V267">IF(B267&gt;0,'Allocation OH and Target 2026'!$E$28,"N/A")</f>
        <v>200042.323056976</v>
      </c>
      <c r="W267" s="538" cm="1">
        <f t="array" ref="W267">IF(B267&gt;0,VLOOKUP(C255,'Allocation OH and Target 2026'!$C$3:$T$23,17,0),"N/A")</f>
        <v>773816.669767442</v>
      </c>
      <c r="X267" s="538" cm="1">
        <f t="array" ref="X267">IF(B267&gt;0,VLOOKUP(C255,'Allocation OH and Target 2026'!$C$3:$T$23,18,0),"N/A")</f>
        <v>74410.9954528513</v>
      </c>
      <c r="Y267" s="538" cm="1">
        <f t="array" ref="Y267">_xlfn.IFERROR(B267*(V267+X267),"N/A")</f>
        <v>2744533.18509827</v>
      </c>
      <c r="Z267" s="424"/>
      <c r="AA267" s="538" cm="1">
        <f t="array" ref="AA267">_xlfn.IFERROR(Y267+S267,"N/A")</f>
        <v>12075466.5184316</v>
      </c>
      <c r="AB267" s="538" cm="1">
        <f t="array" ref="AB267">_xlfn.IFERROR(AA267*0.5%,"N/A")</f>
        <v>60377.332592158</v>
      </c>
      <c r="AC267" s="538" cm="1">
        <f t="array" ref="AC267">_xlfn.IFERROR(AA267*25%,"N/A")</f>
        <v>3018866.6296079</v>
      </c>
      <c r="AD267" s="539" cm="1">
        <f t="array" ref="AD267">IF(B267&gt;0,SUM(AA267:AC267),"N/A")</f>
        <v>15154710.4806317</v>
      </c>
      <c r="AE267" s="538" cm="1">
        <f t="array" ref="AE267">_xlfn.IFERROR(AD267/B267,"N/A")</f>
        <v>1515471.04806317</v>
      </c>
      <c r="AF267" s="424"/>
      <c r="AG267" t="str" s="546" cm="1">
        <f t="array" ref="AG267">IF(B267/VLOOKUP(C255,'Boats Data Sheet 2026'!$C$3:$H$57,6,0)&gt;VLOOKUP(C255,'Allocation OH and Target 2026'!$C$3:$J$23,8,0),IF(SUM(AH257:AH266)=0,AE267,"N/A"),"N/A")</f>
        <v>N/A</v>
      </c>
      <c r="AH267" s="424" cm="1">
        <f t="array" ref="AH267">IF(AG267="N/A",0,1)</f>
        <v>0</v>
      </c>
      <c r="AI267" t="str" s="547" cm="1">
        <f t="array" ref="AI267">IF(B267/VLOOKUP(C255,'Boats Data Sheet 2026'!$C$3:$H$57,6,0)&gt;VLOOKUP(C255,'Allocation OH and Target 2026'!$C$3:$J$23,8,0),IF(SUM(AH257:AH266)=0,S267/B267,"N/A"),"N/A")</f>
        <v>N/A</v>
      </c>
      <c r="AJ267" s="424" cm="1">
        <f t="array" ref="AJ267">IF(AI267="N/A",0,1)</f>
        <v>0</v>
      </c>
      <c r="AK267" t="str" s="527" cm="1">
        <f t="array" ref="AK267">IF(SUM($AG$120:$AG$137)*B267&lt;SUM(AA267:AB267),"NO GO","GO")</f>
        <v>GO</v>
      </c>
      <c r="AL267" s="424"/>
      <c r="AM267" s="538"/>
      <c r="AN267" s="538"/>
      <c r="AO267" s="538"/>
      <c r="AP267" s="542"/>
      <c r="AQ267" s="543" cm="1">
        <f t="array" ref="AQ267">B267</f>
        <v>10</v>
      </c>
      <c r="AR267" s="18"/>
    </row>
    <row r="268" ht="16" customHeight="1">
      <c r="A268" s="12"/>
      <c r="B268" s="544" cm="1">
        <f t="array" ref="B268">IF(B267=0,0,IF(B267&lt;VLOOKUP(C255,'Boats Data Sheet 2026'!$C$3:$H$57,6,0),B267+1,0))</f>
        <v>11</v>
      </c>
      <c r="C268" s="538" cm="1">
        <f t="array" ref="C268">IF(B268&gt;0,IF(VLOOKUP(C255,'Boats Data Sheet 2026'!$C$3:$J$57,8,0)="N/A",0,VLOOKUP(C255,'Boats Data Sheet 2026'!$C$3:$J$57,8,0)),"N/A")</f>
        <v>0</v>
      </c>
      <c r="D268" s="545" cm="1">
        <f t="array" ref="D268">IF(B268&gt;7,2,IF(B268=0,"N/A",1))</f>
        <v>2</v>
      </c>
      <c r="E268" s="538" cm="1">
        <f t="array" ref="E268">_xlfn.IFERROR(SUM('Direct Costs 2026'!$C$4:$C$5)*D268,"N/A")</f>
        <v>1751000</v>
      </c>
      <c r="F268" s="538" cm="1">
        <f t="array" ref="F268">_xlfn.IFERROR('Direct Costs 2026'!$C$43*B268,"N/A")</f>
        <v>66000</v>
      </c>
      <c r="G268" s="538" cm="1">
        <f t="array" ref="G268">IF(B268&gt;0,'Direct Costs 2026'!$C$25,"N/A")</f>
        <v>90000</v>
      </c>
      <c r="H268" s="538" cm="1">
        <f t="array" ref="H268">IF(B268&gt;0,'Direct Costs 2026'!$C$19+'Direct Costs 2026'!$C$18*B268,"N/A")</f>
        <v>460000</v>
      </c>
      <c r="I268" s="538" cm="1">
        <f t="array" ref="I268">IF(B268&gt;0,SUM('Direct Costs 2026'!$C$20:$C$21),"N/A")</f>
        <v>98333.3333333333</v>
      </c>
      <c r="J268" s="538">
        <v>0</v>
      </c>
      <c r="K268" s="538" cm="1">
        <f t="array" ref="K268">_xlfn.IFERROR((IF(B268&gt;0,'Direct Costs 2026'!$C$15+'Direct Costs 2026'!$C$14,"N/A")),"N/A")</f>
        <v>230000</v>
      </c>
      <c r="L268" s="538" cm="1">
        <f t="array" ref="L268">IF(B268&gt;0,'Direct Costs 2026'!$C$26,"N/A")</f>
        <v>20000</v>
      </c>
      <c r="M268" s="538" cm="1">
        <f t="array" ref="M268">IF(B268&gt;0,'Direct Costs 2026'!$C$23,"N/A")</f>
        <v>140000</v>
      </c>
      <c r="N268" s="538" cm="1">
        <f t="array" ref="N268">IF(B268&gt;0,'Direct Costs 2026'!$C$44*B268,"N/A")</f>
        <v>1210000</v>
      </c>
      <c r="O268" s="538" cm="1">
        <f t="array" ref="O268">IF(B268&gt;0,_xlfn.IFERROR(VLOOKUP(C255,'Boats Data Sheet 2026'!$C$3:$I$57,7,0)*'Direct Costs 2026'!$C$36,"N/A"),"N/A")</f>
        <v>3325000</v>
      </c>
      <c r="P268" s="538" cm="1">
        <f t="array" ref="P268">IF(B268&gt;0,IF(OR(VLOOKUP(C255,'Boats Data Sheet 2026'!$C$3:$F$57,4,0)="Own",VLOOKUP(C255,'Boats Data Sheet 2026'!$C$3:$F$57,4,0)="Management"),('Direct Costs 2026'!$C$37+'Direct Costs 2026'!$C$39),"N/A"),"N/A")</f>
        <v>1112400</v>
      </c>
      <c r="Q268" s="538" cm="1">
        <f t="array" ref="Q268">_xlfn.IFERROR(IF(B268&gt;5,IF(B268&gt;11,IF(B268&gt;15,4,3),2),IF(B268=0,"N/A",1))*SUM('Direct Costs 2026'!$C$67:$C$68),"N/A")</f>
        <v>979200</v>
      </c>
      <c r="R268" s="538" cm="1">
        <f t="array" ref="R268">_xlfn.IFERROR('Direct Costs 2026'!$C$27*C268,"N/A")</f>
        <v>0</v>
      </c>
      <c r="S268" s="538" cm="1">
        <f t="array" ref="S268">_xlfn.IFERROR(C268+SUM(E268:R268),"N/A")</f>
        <v>9481933.33333333</v>
      </c>
      <c r="T268" s="424"/>
      <c r="U268" s="538" cm="1">
        <f t="array" ref="U268">IF(B268&gt;0,'Allocation OH and Target 2026'!$E$27,"N/A")</f>
        <v>2134447.30345641</v>
      </c>
      <c r="V268" s="538" cm="1">
        <f t="array" ref="V268">IF(B268&gt;0,'Allocation OH and Target 2026'!$E$28,"N/A")</f>
        <v>200042.323056976</v>
      </c>
      <c r="W268" s="538" cm="1">
        <f t="array" ref="W268">IF(B268&gt;0,VLOOKUP(C255,'Allocation OH and Target 2026'!$C$3:$T$23,17,0),"N/A")</f>
        <v>773816.669767442</v>
      </c>
      <c r="X268" s="538" cm="1">
        <f t="array" ref="X268">IF(B268&gt;0,VLOOKUP(C255,'Allocation OH and Target 2026'!$C$3:$T$23,18,0),"N/A")</f>
        <v>74410.9954528513</v>
      </c>
      <c r="Y268" s="538" cm="1">
        <f t="array" ref="Y268">_xlfn.IFERROR(B268*(V268+X268),"N/A")</f>
        <v>3018986.5036081</v>
      </c>
      <c r="Z268" s="424"/>
      <c r="AA268" s="538" cm="1">
        <f t="array" ref="AA268">_xlfn.IFERROR(Y268+S268,"N/A")</f>
        <v>12500919.8369414</v>
      </c>
      <c r="AB268" s="538" cm="1">
        <f t="array" ref="AB268">_xlfn.IFERROR(AA268*0.5%,"N/A")</f>
        <v>62504.599184707</v>
      </c>
      <c r="AC268" s="538" cm="1">
        <f t="array" ref="AC268">_xlfn.IFERROR(AA268*25%,"N/A")</f>
        <v>3125229.95923535</v>
      </c>
      <c r="AD268" s="539" cm="1">
        <f t="array" ref="AD268">IF(B268&gt;0,SUM(AA268:AC268),"N/A")</f>
        <v>15688654.3953615</v>
      </c>
      <c r="AE268" s="538" cm="1">
        <f t="array" ref="AE268">_xlfn.IFERROR(AD268/B268,"N/A")</f>
        <v>1426241.30866923</v>
      </c>
      <c r="AF268" s="424"/>
      <c r="AG268" s="539" cm="1">
        <f t="array" ref="AG268">IF(B268/VLOOKUP(C255,'Boats Data Sheet 2026'!$C$3:$H$57,6,0)&gt;VLOOKUP(C255,'Allocation OH and Target 2026'!$C$3:$J$23,8,0),IF(SUM(AH257:AH267)=0,AE268,"N/A"),"N/A")</f>
        <v>1426241.30866923</v>
      </c>
      <c r="AH268" s="424" cm="1">
        <f t="array" ref="AH268">IF(AG268="N/A",0,1)</f>
        <v>1</v>
      </c>
      <c r="AI268" s="538" cm="1">
        <f t="array" ref="AI268">IF(B268/VLOOKUP(C255,'Boats Data Sheet 2026'!$C$3:$H$57,6,0)&gt;VLOOKUP(C255,'Allocation OH and Target 2026'!$C$3:$J$23,8,0),IF(SUM(AH257:AH267)=0,S268/B268,"N/A"),"N/A")</f>
        <v>861993.939393939</v>
      </c>
      <c r="AJ268" s="424" cm="1">
        <f t="array" ref="AJ268">IF(AI268="N/A",0,1)</f>
        <v>1</v>
      </c>
      <c r="AK268" t="str" s="527" cm="1">
        <f t="array" ref="AK268">IF(SUM($AG$120:$AG$137)*B268&lt;SUM(AA268:AB268),"NO GO","GO")</f>
        <v>GO</v>
      </c>
      <c r="AL268" s="424"/>
      <c r="AM268" s="538"/>
      <c r="AN268" s="538"/>
      <c r="AO268" s="538"/>
      <c r="AP268" s="542"/>
      <c r="AQ268" s="543" cm="1">
        <f t="array" ref="AQ268">B268</f>
        <v>11</v>
      </c>
      <c r="AR268" s="18"/>
    </row>
    <row r="269" ht="16" customHeight="1">
      <c r="A269" s="12"/>
      <c r="B269" s="544" cm="1">
        <f t="array" ref="B269">IF(B268=0,0,IF(B268&lt;VLOOKUP(C255,'Boats Data Sheet 2026'!$C$3:$H$57,6,0),B268+1,0))</f>
        <v>12</v>
      </c>
      <c r="C269" s="538" cm="1">
        <f t="array" ref="C269">IF(B269&gt;0,IF(VLOOKUP(C255,'Boats Data Sheet 2026'!$C$3:$J$57,8,0)="N/A",0,VLOOKUP(C255,'Boats Data Sheet 2026'!$C$3:$J$57,8,0)),"N/A")</f>
        <v>0</v>
      </c>
      <c r="D269" s="545" cm="1">
        <f t="array" ref="D269">IF(B269&gt;7,2,IF(B269=0,"N/A",1))</f>
        <v>2</v>
      </c>
      <c r="E269" s="538" cm="1">
        <f t="array" ref="E269">_xlfn.IFERROR(SUM('Direct Costs 2026'!$C$4:$C$5)*D269,"N/A")</f>
        <v>1751000</v>
      </c>
      <c r="F269" s="538" cm="1">
        <f t="array" ref="F269">_xlfn.IFERROR('Direct Costs 2026'!$C$43*B269,"N/A")</f>
        <v>72000</v>
      </c>
      <c r="G269" s="538" cm="1">
        <f t="array" ref="G269">IF(B269&gt;0,'Direct Costs 2026'!$C$25,"N/A")</f>
        <v>90000</v>
      </c>
      <c r="H269" s="538" cm="1">
        <f t="array" ref="H269">IF(B269&gt;0,'Direct Costs 2026'!$C$19+'Direct Costs 2026'!$C$18*B269,"N/A")</f>
        <v>495000</v>
      </c>
      <c r="I269" s="538" cm="1">
        <f t="array" ref="I269">IF(B269&gt;0,SUM('Direct Costs 2026'!$C$20:$C$21),"N/A")</f>
        <v>98333.3333333333</v>
      </c>
      <c r="J269" s="538">
        <v>0</v>
      </c>
      <c r="K269" s="538" cm="1">
        <f t="array" ref="K269">_xlfn.IFERROR((IF(B269&gt;0,'Direct Costs 2026'!$C$15+'Direct Costs 2026'!$C$14,"N/A")),"N/A")</f>
        <v>230000</v>
      </c>
      <c r="L269" s="538" cm="1">
        <f t="array" ref="L269">IF(B269&gt;0,'Direct Costs 2026'!$C$26,"N/A")</f>
        <v>20000</v>
      </c>
      <c r="M269" s="538" cm="1">
        <f t="array" ref="M269">IF(B269&gt;0,'Direct Costs 2026'!$C$23,"N/A")</f>
        <v>140000</v>
      </c>
      <c r="N269" s="538" cm="1">
        <f t="array" ref="N269">IF(B269&gt;0,'Direct Costs 2026'!$C$44*B269,"N/A")</f>
        <v>1320000</v>
      </c>
      <c r="O269" s="538" cm="1">
        <f t="array" ref="O269">IF(B269&gt;0,_xlfn.IFERROR(VLOOKUP(C255,'Boats Data Sheet 2026'!$C$3:$I$57,7,0)*'Direct Costs 2026'!$C$36,"N/A"),"N/A")</f>
        <v>3325000</v>
      </c>
      <c r="P269" s="538" cm="1">
        <f t="array" ref="P269">IF(B269&gt;0,IF(OR(VLOOKUP(C255,'Boats Data Sheet 2026'!$C$3:$F$57,4,0)="Own",VLOOKUP(C255,'Boats Data Sheet 2026'!$C$3:$F$57,4,0)="Management"),('Direct Costs 2026'!$C$37+'Direct Costs 2026'!$C$39),"N/A"),"N/A")</f>
        <v>1112400</v>
      </c>
      <c r="Q269" s="538" cm="1">
        <f t="array" ref="Q269">_xlfn.IFERROR(IF(B269&gt;5,IF(B269&gt;11,IF(B269&gt;15,4,3),2),IF(B269=0,"N/A",1))*SUM('Direct Costs 2026'!$C$67:$C$68),"N/A")</f>
        <v>1468800</v>
      </c>
      <c r="R269" s="538" cm="1">
        <f t="array" ref="R269">_xlfn.IFERROR('Direct Costs 2026'!$C$27*C269,"N/A")</f>
        <v>0</v>
      </c>
      <c r="S269" s="538" cm="1">
        <f t="array" ref="S269">_xlfn.IFERROR(C269+SUM(E269:R269),"N/A")</f>
        <v>10122533.3333333</v>
      </c>
      <c r="T269" s="424"/>
      <c r="U269" s="538" cm="1">
        <f t="array" ref="U269">IF(B269&gt;0,'Allocation OH and Target 2026'!$E$27,"N/A")</f>
        <v>2134447.30345641</v>
      </c>
      <c r="V269" s="538" cm="1">
        <f t="array" ref="V269">IF(B269&gt;0,'Allocation OH and Target 2026'!$E$28,"N/A")</f>
        <v>200042.323056976</v>
      </c>
      <c r="W269" s="538" cm="1">
        <f t="array" ref="W269">IF(B269&gt;0,VLOOKUP(C255,'Allocation OH and Target 2026'!$C$3:$T$23,17,0),"N/A")</f>
        <v>773816.669767442</v>
      </c>
      <c r="X269" s="538" cm="1">
        <f t="array" ref="X269">IF(B269&gt;0,VLOOKUP(C255,'Allocation OH and Target 2026'!$C$3:$T$23,18,0),"N/A")</f>
        <v>74410.9954528513</v>
      </c>
      <c r="Y269" s="538" cm="1">
        <f t="array" ref="Y269">_xlfn.IFERROR(B269*(V269+X269),"N/A")</f>
        <v>3293439.82211793</v>
      </c>
      <c r="Z269" s="424"/>
      <c r="AA269" s="538" cm="1">
        <f t="array" ref="AA269">_xlfn.IFERROR(Y269+S269,"N/A")</f>
        <v>13415973.1554512</v>
      </c>
      <c r="AB269" s="538" cm="1">
        <f t="array" ref="AB269">_xlfn.IFERROR(AA269*0.5%,"N/A")</f>
        <v>67079.865777256</v>
      </c>
      <c r="AC269" s="538" cm="1">
        <f t="array" ref="AC269">_xlfn.IFERROR(AA269*25%,"N/A")</f>
        <v>3353993.2888628</v>
      </c>
      <c r="AD269" s="539" cm="1">
        <f t="array" ref="AD269">IF(B269&gt;0,SUM(AA269:AC269),"N/A")</f>
        <v>16837046.3100913</v>
      </c>
      <c r="AE269" s="538" cm="1">
        <f t="array" ref="AE269">_xlfn.IFERROR(AD269/B269,"N/A")</f>
        <v>1403087.19250761</v>
      </c>
      <c r="AF269" s="424"/>
      <c r="AG269" t="str" s="546" cm="1">
        <f t="array" ref="AG269">IF(B269/VLOOKUP(C255,'Boats Data Sheet 2026'!$C$3:$H$57,6,0)&gt;VLOOKUP(C255,'Allocation OH and Target 2026'!$C$3:$J$23,8,0),IF(SUM(AH257:AH268)=0,AE269,"N/A"),"N/A")</f>
        <v>N/A</v>
      </c>
      <c r="AH269" s="424" cm="1">
        <f t="array" ref="AH269">IF(AG269="N/A",0,1)</f>
        <v>0</v>
      </c>
      <c r="AI269" t="str" s="547" cm="1">
        <f t="array" ref="AI269">IF(B269/VLOOKUP(C255,'Boats Data Sheet 2026'!$C$3:$H$57,6,0)&gt;VLOOKUP(C255,'Allocation OH and Target 2026'!$C$3:$J$23,8,0),IF(SUM(AH257:AH268)=0,S269/B269,"N/A"),"N/A")</f>
        <v>N/A</v>
      </c>
      <c r="AJ269" s="424" cm="1">
        <f t="array" ref="AJ269">IF(AI269="N/A",0,1)</f>
        <v>0</v>
      </c>
      <c r="AK269" t="str" s="527" cm="1">
        <f t="array" ref="AK269">IF(SUM($AG$120:$AG$137)*B269&lt;SUM(AA269:AB269),"NO GO","GO")</f>
        <v>GO</v>
      </c>
      <c r="AL269" s="424"/>
      <c r="AM269" s="538"/>
      <c r="AN269" s="538"/>
      <c r="AO269" s="538"/>
      <c r="AP269" s="542"/>
      <c r="AQ269" s="543" cm="1">
        <f t="array" ref="AQ269">B269</f>
        <v>12</v>
      </c>
      <c r="AR269" s="18"/>
    </row>
    <row r="270" ht="16" customHeight="1">
      <c r="A270" s="12"/>
      <c r="B270" s="544" cm="1">
        <f t="array" ref="B270">IF(B269=0,0,IF(B269&lt;VLOOKUP(C255,'Boats Data Sheet 2026'!$C$3:$H$57,6,0),B269+1,0))</f>
        <v>13</v>
      </c>
      <c r="C270" s="538" cm="1">
        <f t="array" ref="C270">IF(B270&gt;0,IF(VLOOKUP(C255,'Boats Data Sheet 2026'!$C$3:$J$57,8,0)="N/A",0,VLOOKUP(C255,'Boats Data Sheet 2026'!$C$3:$J$57,8,0)),"N/A")</f>
        <v>0</v>
      </c>
      <c r="D270" s="545" cm="1">
        <f t="array" ref="D270">IF(B270&gt;7,2,IF(B270=0,"N/A",1))</f>
        <v>2</v>
      </c>
      <c r="E270" s="538" cm="1">
        <f t="array" ref="E270">_xlfn.IFERROR(SUM('Direct Costs 2026'!$C$4:$C$5)*D270,"N/A")</f>
        <v>1751000</v>
      </c>
      <c r="F270" s="538" cm="1">
        <f t="array" ref="F270">_xlfn.IFERROR('Direct Costs 2026'!$C$43*B270,"N/A")</f>
        <v>78000</v>
      </c>
      <c r="G270" s="538" cm="1">
        <f t="array" ref="G270">IF(B270&gt;0,'Direct Costs 2026'!$C$25,"N/A")</f>
        <v>90000</v>
      </c>
      <c r="H270" s="538" cm="1">
        <f t="array" ref="H270">IF(B270&gt;0,'Direct Costs 2026'!$C$19+'Direct Costs 2026'!$C$18*B270,"N/A")</f>
        <v>530000</v>
      </c>
      <c r="I270" s="538" cm="1">
        <f t="array" ref="I270">IF(B270&gt;0,SUM('Direct Costs 2026'!$C$20:$C$21),"N/A")</f>
        <v>98333.3333333333</v>
      </c>
      <c r="J270" s="538">
        <v>0</v>
      </c>
      <c r="K270" s="538" cm="1">
        <f t="array" ref="K270">_xlfn.IFERROR((IF(B270&gt;0,'Direct Costs 2026'!$C$15+'Direct Costs 2026'!$C$14,"N/A")),"N/A")</f>
        <v>230000</v>
      </c>
      <c r="L270" s="538" cm="1">
        <f t="array" ref="L270">IF(B270&gt;0,'Direct Costs 2026'!$C$26,"N/A")</f>
        <v>20000</v>
      </c>
      <c r="M270" s="538" cm="1">
        <f t="array" ref="M270">IF(B270&gt;0,'Direct Costs 2026'!$C$23,"N/A")</f>
        <v>140000</v>
      </c>
      <c r="N270" s="538" cm="1">
        <f t="array" ref="N270">IF(B270&gt;0,'Direct Costs 2026'!$C$44*B270,"N/A")</f>
        <v>1430000</v>
      </c>
      <c r="O270" s="538" cm="1">
        <f t="array" ref="O270">IF(B270&gt;0,_xlfn.IFERROR(VLOOKUP(C255,'Boats Data Sheet 2026'!$C$3:$I$57,7,0)*'Direct Costs 2026'!$C$36,"N/A"),"N/A")</f>
        <v>3325000</v>
      </c>
      <c r="P270" s="538" cm="1">
        <f t="array" ref="P270">IF(B270&gt;0,IF(OR(VLOOKUP(C255,'Boats Data Sheet 2026'!$C$3:$F$57,4,0)="Own",VLOOKUP(C255,'Boats Data Sheet 2026'!$C$3:$F$57,4,0)="Management"),('Direct Costs 2026'!$C$37+'Direct Costs 2026'!$C$39),"N/A"),"N/A")</f>
        <v>1112400</v>
      </c>
      <c r="Q270" s="538" cm="1">
        <f t="array" ref="Q270">_xlfn.IFERROR(IF(B270&gt;5,IF(B270&gt;11,IF(B270&gt;15,4,3),2),IF(B270=0,"N/A",1))*SUM('Direct Costs 2026'!$C$67:$C$68),"N/A")</f>
        <v>1468800</v>
      </c>
      <c r="R270" s="538" cm="1">
        <f t="array" ref="R270">_xlfn.IFERROR('Direct Costs 2026'!$C$27*C270,"N/A")</f>
        <v>0</v>
      </c>
      <c r="S270" s="538" cm="1">
        <f t="array" ref="S270">_xlfn.IFERROR(C270+SUM(E270:R270),"N/A")</f>
        <v>10273533.3333333</v>
      </c>
      <c r="T270" s="424"/>
      <c r="U270" s="538" cm="1">
        <f t="array" ref="U270">IF(B270&gt;0,'Allocation OH and Target 2026'!$E$27,"N/A")</f>
        <v>2134447.30345641</v>
      </c>
      <c r="V270" s="538" cm="1">
        <f t="array" ref="V270">IF(B270&gt;0,'Allocation OH and Target 2026'!$E$28,"N/A")</f>
        <v>200042.323056976</v>
      </c>
      <c r="W270" s="538" cm="1">
        <f t="array" ref="W270">IF(B270&gt;0,VLOOKUP(C255,'Allocation OH and Target 2026'!$C$3:$T$23,17,0),"N/A")</f>
        <v>773816.669767442</v>
      </c>
      <c r="X270" s="538" cm="1">
        <f t="array" ref="X270">IF(B270&gt;0,VLOOKUP(C255,'Allocation OH and Target 2026'!$C$3:$T$23,18,0),"N/A")</f>
        <v>74410.9954528513</v>
      </c>
      <c r="Y270" s="538" cm="1">
        <f t="array" ref="Y270">_xlfn.IFERROR(B270*(V270+X270),"N/A")</f>
        <v>3567893.14062775</v>
      </c>
      <c r="Z270" s="424"/>
      <c r="AA270" s="538" cm="1">
        <f t="array" ref="AA270">_xlfn.IFERROR(Y270+S270,"N/A")</f>
        <v>13841426.4739611</v>
      </c>
      <c r="AB270" s="538" cm="1">
        <f t="array" ref="AB270">_xlfn.IFERROR(AA270*0.5%,"N/A")</f>
        <v>69207.132369805506</v>
      </c>
      <c r="AC270" s="538" cm="1">
        <f t="array" ref="AC270">_xlfn.IFERROR(AA270*25%,"N/A")</f>
        <v>3460356.61849028</v>
      </c>
      <c r="AD270" s="539" cm="1">
        <f t="array" ref="AD270">IF(B270&gt;0,SUM(AA270:AC270),"N/A")</f>
        <v>17370990.2248212</v>
      </c>
      <c r="AE270" s="538" cm="1">
        <f t="array" ref="AE270">_xlfn.IFERROR(AD270/B270,"N/A")</f>
        <v>1336230.01729394</v>
      </c>
      <c r="AF270" s="424"/>
      <c r="AG270" t="str" s="546" cm="1">
        <f t="array" ref="AG270">IF(B270/VLOOKUP(C255,'Boats Data Sheet 2026'!$C$3:$H$57,6,0)&gt;VLOOKUP(C255,'Allocation OH and Target 2026'!$C$3:$J$23,8,0),IF(SUM(AH257:AH269)=0,AE270,"N/A"),"N/A")</f>
        <v>N/A</v>
      </c>
      <c r="AH270" s="424" cm="1">
        <f t="array" ref="AH270">IF(AG270="N/A",0,1)</f>
        <v>0</v>
      </c>
      <c r="AI270" t="str" s="547" cm="1">
        <f t="array" ref="AI270">IF(B270/VLOOKUP(C255,'Boats Data Sheet 2026'!$C$3:$H$57,6,0)&gt;VLOOKUP(C255,'Allocation OH and Target 2026'!$C$3:$J$23,8,0),IF(SUM(AH257:AH269)=0,S270/B270,"N/A"),"N/A")</f>
        <v>N/A</v>
      </c>
      <c r="AJ270" s="424" cm="1">
        <f t="array" ref="AJ270">IF(AI270="N/A",0,1)</f>
        <v>0</v>
      </c>
      <c r="AK270" t="str" s="527" cm="1">
        <f t="array" ref="AK270">IF(SUM($AG$120:$AG$137)*B270&lt;SUM(AA270:AB270),"NO GO","GO")</f>
        <v>GO</v>
      </c>
      <c r="AL270" s="424"/>
      <c r="AM270" s="538"/>
      <c r="AN270" s="538"/>
      <c r="AO270" s="538"/>
      <c r="AP270" s="542"/>
      <c r="AQ270" s="543" cm="1">
        <f t="array" ref="AQ270">B270</f>
        <v>13</v>
      </c>
      <c r="AR270" s="18"/>
    </row>
    <row r="271" ht="16" customHeight="1">
      <c r="A271" s="12"/>
      <c r="B271" s="544" cm="1">
        <f t="array" ref="B271">IF(B270=0,0,IF(B270&lt;VLOOKUP(C255,'Boats Data Sheet 2026'!$C$3:$H$57,6,0),B270+1,0))</f>
        <v>0</v>
      </c>
      <c r="C271" t="str" s="547" cm="1">
        <f t="array" ref="C271">IF(B271&gt;0,IF(VLOOKUP(C255,'Boats Data Sheet 2026'!$C$3:$J$57,8,0)="N/A",0,VLOOKUP(C255,'Boats Data Sheet 2026'!$C$3:$J$57,8,0)),"N/A")</f>
        <v>N/A</v>
      </c>
      <c r="D271" t="str" s="547" cm="1">
        <f t="array" ref="D271">IF(B271&gt;7,2,IF(B271=0,"N/A",1))</f>
        <v>N/A</v>
      </c>
      <c r="E271" t="str" s="547" cm="1">
        <f t="array" ref="E271">_xlfn.IFERROR(SUM('Direct Costs 2026'!$C$4:$C$5)*D271,"N/A")</f>
        <v>N/A</v>
      </c>
      <c r="F271" s="538" cm="1">
        <f t="array" ref="F271">_xlfn.IFERROR('Direct Costs 2026'!$C$43*B271,"N/A")</f>
        <v>0</v>
      </c>
      <c r="G271" t="str" s="547" cm="1">
        <f t="array" ref="G271">IF(B271&gt;0,'Direct Costs 2026'!$C$25,"N/A")</f>
        <v>N/A</v>
      </c>
      <c r="H271" t="str" s="547" cm="1">
        <f t="array" ref="H271">IF(B271&gt;0,'Direct Costs 2026'!$C$19+'Direct Costs 2026'!$C$18*B271,"N/A")</f>
        <v>N/A</v>
      </c>
      <c r="I271" t="str" s="547" cm="1">
        <f t="array" ref="I271">IF(B271&gt;0,SUM('Direct Costs 2026'!$C$20:$C$21),"N/A")</f>
        <v>N/A</v>
      </c>
      <c r="J271" s="538">
        <v>0</v>
      </c>
      <c r="K271" t="str" s="547" cm="1">
        <f t="array" ref="K271">_xlfn.IFERROR((IF(B271&gt;0,'Direct Costs 2026'!$C$15+'Direct Costs 2026'!$C$14,"N/A")),"N/A")</f>
        <v>N/A</v>
      </c>
      <c r="L271" t="str" s="547" cm="1">
        <f t="array" ref="L271">IF(B271&gt;0,'Direct Costs 2026'!$C$26,"N/A")</f>
        <v>N/A</v>
      </c>
      <c r="M271" t="str" s="547" cm="1">
        <f t="array" ref="M271">IF(B271&gt;0,'Direct Costs 2026'!$C$23,"N/A")</f>
        <v>N/A</v>
      </c>
      <c r="N271" t="str" s="547" cm="1">
        <f t="array" ref="N271">IF(B271&gt;0,'Direct Costs 2026'!$C$44*B271,"N/A")</f>
        <v>N/A</v>
      </c>
      <c r="O271" t="str" s="547" cm="1">
        <f t="array" ref="O271">IF(B271&gt;0,_xlfn.IFERROR(VLOOKUP(C255,'Boats Data Sheet 2026'!$C$3:$I$57,7,0)*'Direct Costs 2026'!$C$36,"N/A"),"N/A")</f>
        <v>N/A</v>
      </c>
      <c r="P271" t="str" s="547" cm="1">
        <f t="array" ref="P271">IF(B271&gt;0,IF(OR(VLOOKUP(C255,'Boats Data Sheet 2026'!$C$3:$F$57,4,0)="Own",VLOOKUP(C255,'Boats Data Sheet 2026'!$C$3:$F$57,4,0)="Management"),('Direct Costs 2026'!$C$37+'Direct Costs 2026'!$C$39),"N/A"),"N/A")</f>
        <v>N/A</v>
      </c>
      <c r="Q271" t="str" s="547" cm="1">
        <f t="array" ref="Q271">_xlfn.IFERROR(IF(B271&gt;5,IF(B271&gt;11,IF(B271&gt;15,4,3),2),IF(B271=0,"N/A",1))*SUM('Direct Costs 2026'!$C$67:$C$68),"N/A")</f>
        <v>N/A</v>
      </c>
      <c r="R271" t="str" s="547" cm="1">
        <f t="array" ref="R271">_xlfn.IFERROR('Direct Costs 2026'!$C$27*C271,"N/A")</f>
        <v>N/A</v>
      </c>
      <c r="S271" t="str" s="547" cm="1">
        <f t="array" ref="S271">_xlfn.IFERROR(C271+SUM(E271:R271),"N/A")</f>
        <v>N/A</v>
      </c>
      <c r="T271" s="424"/>
      <c r="U271" t="str" s="547" cm="1">
        <f t="array" ref="U271">IF(B271&gt;0,'Allocation OH and Target 2026'!$E$27,"N/A")</f>
        <v>N/A</v>
      </c>
      <c r="V271" t="str" s="547" cm="1">
        <f t="array" ref="V271">IF(B271&gt;0,'Allocation OH and Target 2026'!$E$28,"N/A")</f>
        <v>N/A</v>
      </c>
      <c r="W271" t="str" s="547" cm="1">
        <f t="array" ref="W271">IF(B271&gt;0,VLOOKUP(C255,'Allocation OH and Target 2026'!$C$3:$T$23,17,0),"N/A")</f>
        <v>N/A</v>
      </c>
      <c r="X271" t="str" s="547" cm="1">
        <f t="array" ref="X271">IF(B271&gt;0,VLOOKUP(C255,'Allocation OH and Target 2026'!$C$3:$T$23,18,0),"N/A")</f>
        <v>N/A</v>
      </c>
      <c r="Y271" t="str" s="547" cm="1">
        <f t="array" ref="Y271">_xlfn.IFERROR(B271*(V271+X271),"N/A")</f>
        <v>N/A</v>
      </c>
      <c r="Z271" s="424"/>
      <c r="AA271" t="str" s="547" cm="1">
        <f t="array" ref="AA271">_xlfn.IFERROR(Y271+S271,"N/A")</f>
        <v>N/A</v>
      </c>
      <c r="AB271" t="str" s="547" cm="1">
        <f t="array" ref="AB271">_xlfn.IFERROR(AA271*0.5%,"N/A")</f>
        <v>N/A</v>
      </c>
      <c r="AC271" t="str" s="547" cm="1">
        <f t="array" ref="AC271">_xlfn.IFERROR(AA271*25%,"N/A")</f>
        <v>N/A</v>
      </c>
      <c r="AD271" t="str" s="546" cm="1">
        <f t="array" ref="AD271">IF(B271&gt;0,SUM(AA271:AC271),"N/A")</f>
        <v>N/A</v>
      </c>
      <c r="AE271" t="str" s="547" cm="1">
        <f t="array" ref="AE271">_xlfn.IFERROR(AD271/B271,"N/A")</f>
        <v>N/A</v>
      </c>
      <c r="AF271" s="424"/>
      <c r="AG271" t="str" s="546" cm="1">
        <f t="array" ref="AG271">IF(B271/VLOOKUP(C255,'Boats Data Sheet 2026'!$C$3:$H$57,6,0)&gt;VLOOKUP(C255,'Allocation OH and Target 2026'!$C$3:$J$23,8,0),IF(SUM(AH257:AH270)=0,AE271,"N/A"),"N/A")</f>
        <v>N/A</v>
      </c>
      <c r="AH271" s="424" cm="1">
        <f t="array" ref="AH271">IF(AG271="N/A",0,1)</f>
        <v>0</v>
      </c>
      <c r="AI271" t="str" s="547" cm="1">
        <f t="array" ref="AI271">IF(B271/VLOOKUP(C255,'Boats Data Sheet 2026'!$C$3:$H$57,6,0)&gt;VLOOKUP(C255,'Allocation OH and Target 2026'!$C$3:$J$23,8,0),IF(SUM(AH257:AH270)=0,S271/B271,"N/A"),"N/A")</f>
        <v>N/A</v>
      </c>
      <c r="AJ271" s="424" cm="1">
        <f t="array" ref="AJ271">IF(AI271="N/A",0,1)</f>
        <v>0</v>
      </c>
      <c r="AK271" t="str" s="527" cm="1">
        <f t="array" ref="AK271">IF(SUM($AG$120:$AG$137)*B271&lt;SUM(AA271:AB271),"NO GO","GO")</f>
        <v>GO</v>
      </c>
      <c r="AL271" s="424"/>
      <c r="AM271" s="538"/>
      <c r="AN271" s="538"/>
      <c r="AO271" s="538"/>
      <c r="AP271" s="542"/>
      <c r="AQ271" s="543" cm="1">
        <f t="array" ref="AQ271">B271</f>
        <v>0</v>
      </c>
      <c r="AR271" s="18"/>
    </row>
    <row r="272" ht="16" customHeight="1">
      <c r="A272" s="12"/>
      <c r="B272" s="544" cm="1">
        <f t="array" ref="B272">IF(B271=0,0,IF(B271&lt;VLOOKUP(C255,'Boats Data Sheet 2026'!$C$3:$H$57,6,0),B271+1,0))</f>
        <v>0</v>
      </c>
      <c r="C272" t="str" s="547" cm="1">
        <f t="array" ref="C272">IF(B272&gt;0,IF(VLOOKUP(C255,'Boats Data Sheet 2026'!$C$3:$J$57,8,0)="N/A",0,VLOOKUP(C255,'Boats Data Sheet 2026'!$C$3:$J$57,8,0)),"N/A")</f>
        <v>N/A</v>
      </c>
      <c r="D272" t="str" s="547" cm="1">
        <f t="array" ref="D272">IF(B272&gt;7,2,IF(B272=0,"N/A",1))</f>
        <v>N/A</v>
      </c>
      <c r="E272" t="str" s="547" cm="1">
        <f t="array" ref="E272">_xlfn.IFERROR(SUM('Direct Costs 2026'!$C$4:$C$5)*D272,"N/A")</f>
        <v>N/A</v>
      </c>
      <c r="F272" s="538" cm="1">
        <f t="array" ref="F272">_xlfn.IFERROR('Direct Costs 2026'!$C$43*B272,"N/A")</f>
        <v>0</v>
      </c>
      <c r="G272" t="str" s="547" cm="1">
        <f t="array" ref="G272">IF(B272&gt;0,'Direct Costs 2026'!$C$25,"N/A")</f>
        <v>N/A</v>
      </c>
      <c r="H272" t="str" s="547" cm="1">
        <f t="array" ref="H272">IF(B272&gt;0,'Direct Costs 2026'!$C$19+'Direct Costs 2026'!$C$18*B272,"N/A")</f>
        <v>N/A</v>
      </c>
      <c r="I272" t="str" s="547" cm="1">
        <f t="array" ref="I272">IF(B272&gt;0,SUM('Direct Costs 2026'!$C$20:$C$21),"N/A")</f>
        <v>N/A</v>
      </c>
      <c r="J272" s="538">
        <v>0</v>
      </c>
      <c r="K272" t="str" s="547" cm="1">
        <f t="array" ref="K272">_xlfn.IFERROR((IF(B272&gt;0,'Direct Costs 2026'!$C$15+'Direct Costs 2026'!$C$14,"N/A")),"N/A")</f>
        <v>N/A</v>
      </c>
      <c r="L272" t="str" s="547" cm="1">
        <f t="array" ref="L272">IF(B272&gt;0,'Direct Costs 2026'!$C$26,"N/A")</f>
        <v>N/A</v>
      </c>
      <c r="M272" t="str" s="547" cm="1">
        <f t="array" ref="M272">IF(B272&gt;0,'Direct Costs 2026'!$C$23,"N/A")</f>
        <v>N/A</v>
      </c>
      <c r="N272" t="str" s="547" cm="1">
        <f t="array" ref="N272">IF(B272&gt;0,'Direct Costs 2026'!$C$44*B272,"N/A")</f>
        <v>N/A</v>
      </c>
      <c r="O272" t="str" s="547" cm="1">
        <f t="array" ref="O272">IF(B272&gt;0,_xlfn.IFERROR(VLOOKUP(C255,'Boats Data Sheet 2026'!$C$3:$I$57,7,0)*'Direct Costs 2026'!$C$36,"N/A"),"N/A")</f>
        <v>N/A</v>
      </c>
      <c r="P272" t="str" s="547" cm="1">
        <f t="array" ref="P272">IF(B272&gt;0,IF(OR(VLOOKUP(C260,'Boats Data Sheet 2026'!$C$3:$F$57,4,0)="Own",VLOOKUP(C260,'Boats Data Sheet 2026'!$C$3:$F$57,4,0)="Management"),('Direct Costs 2026'!$C$37+'Direct Costs 2026'!$C$39),"N/A"),"N/A")</f>
        <v>N/A</v>
      </c>
      <c r="Q272" t="str" s="547" cm="1">
        <f t="array" ref="Q272">_xlfn.IFERROR(IF(B272&gt;5,IF(B272&gt;11,IF(B272&gt;15,4,3),2),IF(B272=0,"N/A",1))*SUM('Direct Costs 2026'!$C$67:$C$68),"N/A")</f>
        <v>N/A</v>
      </c>
      <c r="R272" t="str" s="547" cm="1">
        <f t="array" ref="R272">_xlfn.IFERROR('Direct Costs 2026'!$C$27*C272,"N/A")</f>
        <v>N/A</v>
      </c>
      <c r="S272" t="str" s="547" cm="1">
        <f t="array" ref="S272">_xlfn.IFERROR(C272+SUM(E272:R272),"N/A")</f>
        <v>N/A</v>
      </c>
      <c r="T272" s="424"/>
      <c r="U272" t="str" s="547" cm="1">
        <f t="array" ref="U272">IF(B272&gt;0,'Allocation OH and Target 2026'!$E$27,"N/A")</f>
        <v>N/A</v>
      </c>
      <c r="V272" t="str" s="547" cm="1">
        <f t="array" ref="V272">IF(B272&gt;0,'Allocation OH and Target 2026'!$E$28,"N/A")</f>
        <v>N/A</v>
      </c>
      <c r="W272" t="str" s="547" cm="1">
        <f t="array" ref="W272">IF(B272&gt;0,VLOOKUP(C255,'Allocation OH and Target 2026'!$C$3:$T$23,17,0),"N/A")</f>
        <v>N/A</v>
      </c>
      <c r="X272" t="str" s="547" cm="1">
        <f t="array" ref="X272">IF(B272&gt;0,VLOOKUP(C255,'Allocation OH and Target 2026'!$C$3:$T$23,18,0),"N/A")</f>
        <v>N/A</v>
      </c>
      <c r="Y272" t="str" s="547" cm="1">
        <f t="array" ref="Y272">_xlfn.IFERROR(V272*B272+X272,"N/A")</f>
        <v>N/A</v>
      </c>
      <c r="Z272" s="424"/>
      <c r="AA272" t="str" s="547" cm="1">
        <f t="array" ref="AA272">_xlfn.IFERROR(Y272+S272,"N/A")</f>
        <v>N/A</v>
      </c>
      <c r="AB272" t="str" s="547" cm="1">
        <f t="array" ref="AB272">_xlfn.IFERROR(AA272*0.5%,"N/A")</f>
        <v>N/A</v>
      </c>
      <c r="AC272" t="str" s="547" cm="1">
        <f t="array" ref="AC272">_xlfn.IFERROR(AA272*25%,"N/A")</f>
        <v>N/A</v>
      </c>
      <c r="AD272" t="str" s="546" cm="1">
        <f t="array" ref="AD272">IF(B272&gt;0,SUM(AA272:AC272),"N/A")</f>
        <v>N/A</v>
      </c>
      <c r="AE272" t="str" s="547" cm="1">
        <f t="array" ref="AE272">_xlfn.IFERROR(AD272/B272,"N/A")</f>
        <v>N/A</v>
      </c>
      <c r="AF272" s="424"/>
      <c r="AG272" t="str" s="546" cm="1">
        <f t="array" ref="AG272">IF(B272/VLOOKUP(C255,'Boats Data Sheet 2026'!$C$3:$H$57,6,0)&gt;VLOOKUP(C255,'Allocation OH and Target 2026'!$C$3:$J$23,8,0),IF(SUM(AH257:AH271)=0,AE272,"N/A"),"N/A")</f>
        <v>N/A</v>
      </c>
      <c r="AH272" s="424" cm="1">
        <f t="array" ref="AH272">IF(AG272="N/A",0,1)</f>
        <v>0</v>
      </c>
      <c r="AI272" t="str" s="547" cm="1">
        <f t="array" ref="AI272">IF(B272/VLOOKUP(C255,'Boats Data Sheet 2026'!$C$3:$H$57,6,0)&gt;VLOOKUP(C255,'Allocation OH and Target 2026'!$C$3:$J$23,8,0),IF(SUM(AH257:AH271)=0,S272/B272,"N/A"),"N/A")</f>
        <v>N/A</v>
      </c>
      <c r="AJ272" s="424" cm="1">
        <f t="array" ref="AJ272">IF(AI272="N/A",0,1)</f>
        <v>0</v>
      </c>
      <c r="AK272" t="str" s="527" cm="1">
        <f t="array" ref="AK272">IF(SUM($AG$120:$AG$137)*B272&lt;SUM(AA272:AB272),"NO GO","GO")</f>
        <v>GO</v>
      </c>
      <c r="AL272" s="424"/>
      <c r="AM272" s="538"/>
      <c r="AN272" s="538"/>
      <c r="AO272" s="538"/>
      <c r="AP272" s="542"/>
      <c r="AQ272" s="543" cm="1">
        <f t="array" ref="AQ272">B272</f>
        <v>0</v>
      </c>
      <c r="AR272" s="18"/>
    </row>
    <row r="273" ht="16" customHeight="1">
      <c r="A273" s="12"/>
      <c r="B273" s="544" cm="1">
        <f t="array" ref="B273">IF(B272=0,0,IF(B272&lt;VLOOKUP(C255,'Boats Data Sheet 2026'!$C$3:$H$57,6,0),B272+1,0))</f>
        <v>0</v>
      </c>
      <c r="C273" t="str" s="547" cm="1">
        <f t="array" ref="C273">IF(B273&gt;0,IF(VLOOKUP(C255,'Boats Data Sheet 2026'!$C$3:$J$57,8,0)="N/A",0,VLOOKUP(C255,'Boats Data Sheet 2026'!$C$3:$J$57,8,0)),"N/A")</f>
        <v>N/A</v>
      </c>
      <c r="D273" t="str" s="547" cm="1">
        <f t="array" ref="D273">IF(B273&gt;7,2,IF(B273=0,"N/A",1))</f>
        <v>N/A</v>
      </c>
      <c r="E273" t="str" s="547" cm="1">
        <f t="array" ref="E273">_xlfn.IFERROR(SUM('Direct Costs 2026'!$C$4:$C$5)*D273,"N/A")</f>
        <v>N/A</v>
      </c>
      <c r="F273" s="538" cm="1">
        <f t="array" ref="F273">_xlfn.IFERROR('Direct Costs 2026'!$C$43*B273,"N/A")</f>
        <v>0</v>
      </c>
      <c r="G273" t="str" s="547" cm="1">
        <f t="array" ref="G273">IF(B273&gt;0,'Direct Costs 2026'!$C$25,"N/A")</f>
        <v>N/A</v>
      </c>
      <c r="H273" t="str" s="547" cm="1">
        <f t="array" ref="H273">IF(B273&gt;0,'Direct Costs 2026'!$C$19+'Direct Costs 2026'!$C$18*B273,"N/A")</f>
        <v>N/A</v>
      </c>
      <c r="I273" t="str" s="547" cm="1">
        <f t="array" ref="I273">IF(B273&gt;0,SUM('Direct Costs 2026'!$C$20:$C$21),"N/A")</f>
        <v>N/A</v>
      </c>
      <c r="J273" s="538">
        <v>0</v>
      </c>
      <c r="K273" t="str" s="547" cm="1">
        <f t="array" ref="K273">_xlfn.IFERROR((IF(B273&gt;0,'Direct Costs 2026'!$C$15+'Direct Costs 2026'!$C$14,"N/A")),"N/A")</f>
        <v>N/A</v>
      </c>
      <c r="L273" t="str" s="547" cm="1">
        <f t="array" ref="L273">IF(B273&gt;0,'Direct Costs 2026'!$C$26,"N/A")</f>
        <v>N/A</v>
      </c>
      <c r="M273" t="str" s="547" cm="1">
        <f t="array" ref="M273">IF(B273&gt;0,'Direct Costs 2026'!$C$23,"N/A")</f>
        <v>N/A</v>
      </c>
      <c r="N273" t="str" s="547" cm="1">
        <f t="array" ref="N273">IF(B273&gt;0,'Direct Costs 2026'!$C$44*B273,"N/A")</f>
        <v>N/A</v>
      </c>
      <c r="O273" t="str" s="547" cm="1">
        <f t="array" ref="O273">IF(B273&gt;0,_xlfn.IFERROR(VLOOKUP(C255,'Boats Data Sheet 2026'!$C$3:$I$57,7,0)*'Direct Costs 2026'!$C$36,"N/A"),"N/A")</f>
        <v>N/A</v>
      </c>
      <c r="P273" t="str" s="547" cm="1">
        <f t="array" ref="P273">IF(B273&gt;0,IF(OR(VLOOKUP(C261,'Boats Data Sheet 2026'!$C$3:$F$57,4,0)="Own",VLOOKUP(C261,'Boats Data Sheet 2026'!$C$3:$F$57,4,0)="Management"),('Direct Costs 2026'!$C$37+'Direct Costs 2026'!$C$39),"N/A"),"N/A")</f>
        <v>N/A</v>
      </c>
      <c r="Q273" t="str" s="547" cm="1">
        <f t="array" ref="Q273">_xlfn.IFERROR(IF(B273&gt;5,IF(B273&gt;11,IF(B273&gt;15,4,3),2),IF(B273=0,"N/A",1))*SUM('Direct Costs 2026'!$C$67:$C$68),"N/A")</f>
        <v>N/A</v>
      </c>
      <c r="R273" t="str" s="547" cm="1">
        <f t="array" ref="R273">_xlfn.IFERROR('Direct Costs 2026'!$C$27*C273,"N/A")</f>
        <v>N/A</v>
      </c>
      <c r="S273" t="str" s="547" cm="1">
        <f t="array" ref="S273">_xlfn.IFERROR(C273+SUM(E273:R273),"N/A")</f>
        <v>N/A</v>
      </c>
      <c r="T273" s="424"/>
      <c r="U273" t="str" s="547" cm="1">
        <f t="array" ref="U273">IF(B273&gt;0,'Allocation OH and Target 2026'!$E$27,"N/A")</f>
        <v>N/A</v>
      </c>
      <c r="V273" t="str" s="547" cm="1">
        <f t="array" ref="V273">IF(B273&gt;0,'Allocation OH and Target 2026'!$E$28,"N/A")</f>
        <v>N/A</v>
      </c>
      <c r="W273" t="str" s="547" cm="1">
        <f t="array" ref="W273">IF(B273&gt;0,VLOOKUP(C255,'Allocation OH and Target 2026'!$C$3:$T$23,17,0),"N/A")</f>
        <v>N/A</v>
      </c>
      <c r="X273" t="str" s="547" cm="1">
        <f t="array" ref="X273">IF(B273&gt;0,VLOOKUP(C255,'Allocation OH and Target 2026'!$C$3:$T$23,18,0),"N/A")</f>
        <v>N/A</v>
      </c>
      <c r="Y273" t="str" s="547" cm="1">
        <f t="array" ref="Y273">_xlfn.IFERROR(V273*B273+X273,"N/A")</f>
        <v>N/A</v>
      </c>
      <c r="Z273" s="424"/>
      <c r="AA273" t="str" s="547" cm="1">
        <f t="array" ref="AA273">_xlfn.IFERROR(Y273+S273,"N/A")</f>
        <v>N/A</v>
      </c>
      <c r="AB273" t="str" s="547" cm="1">
        <f t="array" ref="AB273">_xlfn.IFERROR(AA273*0.5%,"N/A")</f>
        <v>N/A</v>
      </c>
      <c r="AC273" t="str" s="547" cm="1">
        <f t="array" ref="AC273">_xlfn.IFERROR(AA273*25%,"N/A")</f>
        <v>N/A</v>
      </c>
      <c r="AD273" t="str" s="546" cm="1">
        <f t="array" ref="AD273">IF(B273&gt;0,SUM(AA273:AC273),"N/A")</f>
        <v>N/A</v>
      </c>
      <c r="AE273" t="str" s="547" cm="1">
        <f t="array" ref="AE273">_xlfn.IFERROR(AD273/B273,"N/A")</f>
        <v>N/A</v>
      </c>
      <c r="AF273" s="424"/>
      <c r="AG273" t="str" s="546" cm="1">
        <f t="array" ref="AG273">IF(B273/VLOOKUP(C255,'Boats Data Sheet 2026'!$C$3:$H$57,6,0)&gt;VLOOKUP(C255,'Allocation OH and Target 2026'!$C$3:$J$23,8,0),IF(SUM(AH257:AH272)=0,AE273,"N/A"),"N/A")</f>
        <v>N/A</v>
      </c>
      <c r="AH273" s="424" cm="1">
        <f t="array" ref="AH273">IF(AG273="N/A",0,1)</f>
        <v>0</v>
      </c>
      <c r="AI273" t="str" s="547" cm="1">
        <f t="array" ref="AI273">IF(B273/VLOOKUP(C255,'Boats Data Sheet 2026'!$C$3:$H$57,6,0)&gt;VLOOKUP(C255,'Allocation OH and Target 2026'!$C$3:$J$23,8,0),IF(SUM(AH257:AH272)=0,S273/B273,"N/A"),"N/A")</f>
        <v>N/A</v>
      </c>
      <c r="AJ273" s="424" cm="1">
        <f t="array" ref="AJ273">IF(AI273="N/A",0,1)</f>
        <v>0</v>
      </c>
      <c r="AK273" t="str" s="527" cm="1">
        <f t="array" ref="AK273">IF(SUM($AG$120:$AG$137)*B273&lt;SUM(AA273:AB273),"NO GO","GO")</f>
        <v>GO</v>
      </c>
      <c r="AL273" s="424"/>
      <c r="AM273" s="538"/>
      <c r="AN273" s="538"/>
      <c r="AO273" s="538"/>
      <c r="AP273" s="542"/>
      <c r="AQ273" s="543" cm="1">
        <f t="array" ref="AQ273">B273</f>
        <v>0</v>
      </c>
      <c r="AR273" s="18"/>
    </row>
    <row r="274" ht="16" customHeight="1">
      <c r="A274" s="12"/>
      <c r="B274" s="544" cm="1">
        <f t="array" ref="B274">IF(B273=0,0,IF(B273&lt;VLOOKUP(C255,'Boats Data Sheet 2026'!$C$3:$H$57,6,0),B273+1,0))</f>
        <v>0</v>
      </c>
      <c r="C274" t="str" s="547" cm="1">
        <f t="array" ref="C274">IF(B274&gt;0,IF(VLOOKUP(C255,'Boats Data Sheet 2026'!$C$3:$J$57,8,0)="N/A",0,VLOOKUP(C255,'Boats Data Sheet 2026'!$C$3:$J$57,8,0)),"N/A")</f>
        <v>N/A</v>
      </c>
      <c r="D274" t="str" s="547" cm="1">
        <f t="array" ref="D274">IF(B274&gt;7,2,IF(B274=0,"N/A",1))</f>
        <v>N/A</v>
      </c>
      <c r="E274" t="str" s="547" cm="1">
        <f t="array" ref="E274">_xlfn.IFERROR(SUM('Direct Costs 2026'!$C$4:$C$5)*D274,"N/A")</f>
        <v>N/A</v>
      </c>
      <c r="F274" s="538" cm="1">
        <f t="array" ref="F274">_xlfn.IFERROR('Direct Costs 2026'!$C$43*B274,"N/A")</f>
        <v>0</v>
      </c>
      <c r="G274" t="str" s="547" cm="1">
        <f t="array" ref="G274">IF(B274&gt;0,'Direct Costs 2026'!$C$25,"N/A")</f>
        <v>N/A</v>
      </c>
      <c r="H274" t="str" s="547" cm="1">
        <f t="array" ref="H274">IF(B274&gt;0,'Direct Costs 2026'!$C$19+'Direct Costs 2026'!$C$18*B274,"N/A")</f>
        <v>N/A</v>
      </c>
      <c r="I274" t="str" s="547" cm="1">
        <f t="array" ref="I274">IF(B274&gt;0,SUM('Direct Costs 2026'!$C$20:$C$21),"N/A")</f>
        <v>N/A</v>
      </c>
      <c r="J274" s="538">
        <v>0</v>
      </c>
      <c r="K274" t="str" s="547" cm="1">
        <f t="array" ref="K274">_xlfn.IFERROR((IF(B274&gt;0,'Direct Costs 2026'!$C$15+'Direct Costs 2026'!$C$14,"N/A")),"N/A")</f>
        <v>N/A</v>
      </c>
      <c r="L274" t="str" s="547" cm="1">
        <f t="array" ref="L274">IF(B274&gt;0,'Direct Costs 2026'!$C$26,"N/A")</f>
        <v>N/A</v>
      </c>
      <c r="M274" t="str" s="547" cm="1">
        <f t="array" ref="M274">IF(B274&gt;0,'Direct Costs 2026'!$C$23,"N/A")</f>
        <v>N/A</v>
      </c>
      <c r="N274" t="str" s="547" cm="1">
        <f t="array" ref="N274">IF(B274&gt;0,'Direct Costs 2026'!$C$44*B274,"N/A")</f>
        <v>N/A</v>
      </c>
      <c r="O274" t="str" s="547" cm="1">
        <f t="array" ref="O274">IF(B274&gt;0,_xlfn.IFERROR(VLOOKUP(C255,'Boats Data Sheet 2026'!$C$3:$I$57,7,0)*'Direct Costs 2026'!$C$36,"N/A"),"N/A")</f>
        <v>N/A</v>
      </c>
      <c r="P274" t="str" s="547" cm="1">
        <f t="array" ref="P274">IF(B274&gt;0,IF(OR(VLOOKUP(C262,'Boats Data Sheet 2026'!$C$3:$F$57,4,0)="Own",VLOOKUP(C262,'Boats Data Sheet 2026'!$C$3:$F$57,4,0)="Management"),('Direct Costs 2026'!$C$37+'Direct Costs 2026'!$C$39),"N/A"),"N/A")</f>
        <v>N/A</v>
      </c>
      <c r="Q274" t="str" s="547" cm="1">
        <f t="array" ref="Q274">_xlfn.IFERROR(IF(B274&gt;5,IF(B274&gt;11,IF(B274&gt;15,4,3),2),IF(B274=0,"N/A",1))*SUM('Direct Costs 2026'!$C$67:$C$68),"N/A")</f>
        <v>N/A</v>
      </c>
      <c r="R274" t="str" s="547" cm="1">
        <f t="array" ref="R274">_xlfn.IFERROR('Direct Costs 2026'!$C$27*C274,"N/A")</f>
        <v>N/A</v>
      </c>
      <c r="S274" t="str" s="547" cm="1">
        <f t="array" ref="S274">_xlfn.IFERROR(C274+SUM(E274:R274),"N/A")</f>
        <v>N/A</v>
      </c>
      <c r="T274" s="424"/>
      <c r="U274" t="str" s="547" cm="1">
        <f t="array" ref="U274">IF(B274&gt;0,'Allocation OH and Target 2026'!$E$27,"N/A")</f>
        <v>N/A</v>
      </c>
      <c r="V274" t="str" s="547" cm="1">
        <f t="array" ref="V274">IF(B274&gt;0,'Allocation OH and Target 2026'!$E$28,"N/A")</f>
        <v>N/A</v>
      </c>
      <c r="W274" t="str" s="547" cm="1">
        <f t="array" ref="W274">IF(B274&gt;0,VLOOKUP(C255,'Allocation OH and Target 2026'!$C$3:$T$23,17,0),"N/A")</f>
        <v>N/A</v>
      </c>
      <c r="X274" t="str" s="547" cm="1">
        <f t="array" ref="X274">IF(B274&gt;0,VLOOKUP(C255,'Allocation OH and Target 2026'!$C$3:$T$23,18,0),"N/A")</f>
        <v>N/A</v>
      </c>
      <c r="Y274" t="str" s="547" cm="1">
        <f t="array" ref="Y274">_xlfn.IFERROR(V274*B274+X274,"N/A")</f>
        <v>N/A</v>
      </c>
      <c r="Z274" s="424"/>
      <c r="AA274" t="str" s="547" cm="1">
        <f t="array" ref="AA274">_xlfn.IFERROR(Y274+S274,"N/A")</f>
        <v>N/A</v>
      </c>
      <c r="AB274" t="str" s="547" cm="1">
        <f t="array" ref="AB274">_xlfn.IFERROR(AA274*0.5%,"N/A")</f>
        <v>N/A</v>
      </c>
      <c r="AC274" t="str" s="547" cm="1">
        <f t="array" ref="AC274">_xlfn.IFERROR(AA274*25%,"N/A")</f>
        <v>N/A</v>
      </c>
      <c r="AD274" t="str" s="546" cm="1">
        <f t="array" ref="AD274">IF(B274&gt;0,SUM(AA274:AC274),"N/A")</f>
        <v>N/A</v>
      </c>
      <c r="AE274" t="str" s="547" cm="1">
        <f t="array" ref="AE274">_xlfn.IFERROR(AD274/B274,"N/A")</f>
        <v>N/A</v>
      </c>
      <c r="AF274" s="424"/>
      <c r="AG274" t="str" s="546" cm="1">
        <f t="array" ref="AG274">IF(B274/VLOOKUP(C255,'Boats Data Sheet 2026'!$C$3:$H$57,6,0)&gt;VLOOKUP(C255,'Allocation OH and Target 2026'!$C$3:$J$23,8,0),IF(SUM(AH257:AH273)=0,AE274,"N/A"),"N/A")</f>
        <v>N/A</v>
      </c>
      <c r="AH274" s="424" cm="1">
        <f t="array" ref="AH274">IF(AG274="N/A",0,1)</f>
        <v>0</v>
      </c>
      <c r="AI274" t="str" s="547" cm="1">
        <f t="array" ref="AI274">IF(B274/VLOOKUP(C255,'Boats Data Sheet 2026'!$C$3:$H$57,6,0)&gt;VLOOKUP(C255,'Allocation OH and Target 2026'!$C$3:$J$23,8,0),IF(SUM(AH257:AH273)=0,S274/B274,"N/A"),"N/A")</f>
        <v>N/A</v>
      </c>
      <c r="AJ274" s="424" cm="1">
        <f t="array" ref="AJ274">IF(AI274="N/A",0,1)</f>
        <v>0</v>
      </c>
      <c r="AK274" t="str" s="527" cm="1">
        <f t="array" ref="AK274">IF(SUM($AG$120:$AG$137)*B274&lt;SUM(AA274:AB274),"NO GO","GO")</f>
        <v>GO</v>
      </c>
      <c r="AL274" s="424"/>
      <c r="AM274" s="538"/>
      <c r="AN274" s="538"/>
      <c r="AO274" s="538"/>
      <c r="AP274" s="542"/>
      <c r="AQ274" s="543" cm="1">
        <f t="array" ref="AQ274">B274</f>
        <v>0</v>
      </c>
      <c r="AR274" s="18"/>
    </row>
    <row r="275" ht="15.5" customHeight="1">
      <c r="A275" s="12"/>
      <c r="B275" s="550" cm="1">
        <f t="array" ref="B275">IF(B274=0,0,IF(B274&lt;VLOOKUP(C255,'Boats Data Sheet 2026'!$C$3:$H$57,6,0),B274+1,0))</f>
        <v>0</v>
      </c>
      <c r="C275" t="str" s="551" cm="1">
        <f t="array" ref="C275">IF(B275&gt;0,IF(VLOOKUP(C255,'Boats Data Sheet 2026'!$C$3:$J$57,8,0)="N/A",0,VLOOKUP(C255,'Boats Data Sheet 2026'!$C$3:$J$57,8,0)),"N/A")</f>
        <v>N/A</v>
      </c>
      <c r="D275" t="str" s="551" cm="1">
        <f t="array" ref="D275">IF(B275&gt;7,2,IF(B275=0,"N/A",1))</f>
        <v>N/A</v>
      </c>
      <c r="E275" t="str" s="551" cm="1">
        <f t="array" ref="E275">_xlfn.IFERROR(SUM('Direct Costs 2026'!$C$4:$C$5)*D275,"N/A")</f>
        <v>N/A</v>
      </c>
      <c r="F275" s="552" cm="1">
        <f t="array" ref="F275">_xlfn.IFERROR('Direct Costs 2026'!$C$43*B275,"N/A")</f>
        <v>0</v>
      </c>
      <c r="G275" t="str" s="551" cm="1">
        <f t="array" ref="G275">IF(B275&gt;0,'Direct Costs 2026'!$C$25,"N/A")</f>
        <v>N/A</v>
      </c>
      <c r="H275" t="str" s="551" cm="1">
        <f t="array" ref="H275">IF(B275&gt;0,'Direct Costs 2026'!$C$19+'Direct Costs 2026'!$C$18*B275,"N/A")</f>
        <v>N/A</v>
      </c>
      <c r="I275" t="str" s="551" cm="1">
        <f t="array" ref="I275">IF(B275&gt;0,SUM('Direct Costs 2026'!$C$20:$C$21),"N/A")</f>
        <v>N/A</v>
      </c>
      <c r="J275" s="552">
        <v>0</v>
      </c>
      <c r="K275" t="str" s="551" cm="1">
        <f t="array" ref="K275">_xlfn.IFERROR((IF(B275&gt;0,'Direct Costs 2026'!$C$15+'Direct Costs 2026'!$C$14,"N/A")),"N/A")</f>
        <v>N/A</v>
      </c>
      <c r="L275" t="str" s="551" cm="1">
        <f t="array" ref="L275">IF(B275&gt;0,'Direct Costs 2026'!$C$26,"N/A")</f>
        <v>N/A</v>
      </c>
      <c r="M275" t="str" s="551" cm="1">
        <f t="array" ref="M275">IF(B275&gt;0,'Direct Costs 2026'!$C$23,"N/A")</f>
        <v>N/A</v>
      </c>
      <c r="N275" t="str" s="551" cm="1">
        <f t="array" ref="N275">IF(B275&gt;0,'Direct Costs 2026'!$C$44*B275,"N/A")</f>
        <v>N/A</v>
      </c>
      <c r="O275" t="str" s="551" cm="1">
        <f t="array" ref="O275">IF(B275&gt;0,_xlfn.IFERROR(VLOOKUP(C255,'Boats Data Sheet 2026'!$C$3:$I$57,7,0)*'Direct Costs 2026'!$C$36,"N/A"),"N/A")</f>
        <v>N/A</v>
      </c>
      <c r="P275" t="str" s="551" cm="1">
        <f t="array" ref="P275">IF(B275&gt;0,IF(OR(VLOOKUP(C263,'Boats Data Sheet 2026'!$C$3:$F$57,4,0)="Own",VLOOKUP(C263,'Boats Data Sheet 2026'!$C$3:$F$57,4,0)="Management"),('Direct Costs 2026'!$C$37+'Direct Costs 2026'!$C$39),"N/A"),"N/A")</f>
        <v>N/A</v>
      </c>
      <c r="Q275" t="str" s="551" cm="1">
        <f t="array" ref="Q275">_xlfn.IFERROR(IF(B275&gt;5,IF(B275&gt;11,IF(B275&gt;15,4,3),2),IF(B275=0,"N/A",1))*SUM('Direct Costs 2026'!$C$67:$C$68),"N/A")</f>
        <v>N/A</v>
      </c>
      <c r="R275" t="str" s="551" cm="1">
        <f t="array" ref="R275">_xlfn.IFERROR('Direct Costs 2026'!$C$27*C275,"N/A")</f>
        <v>N/A</v>
      </c>
      <c r="S275" t="str" s="551" cm="1">
        <f t="array" ref="S275">_xlfn.IFERROR(C275+SUM(E275:R275),"N/A")</f>
        <v>N/A</v>
      </c>
      <c r="T275" s="435"/>
      <c r="U275" t="str" s="551" cm="1">
        <f t="array" ref="U275">IF(B275&gt;0,'Allocation OH and Target 2026'!$E$27,"N/A")</f>
        <v>N/A</v>
      </c>
      <c r="V275" t="str" s="551" cm="1">
        <f t="array" ref="V275">IF(B275&gt;0,'Allocation OH and Target 2026'!$E$28,"N/A")</f>
        <v>N/A</v>
      </c>
      <c r="W275" t="str" s="551" cm="1">
        <f t="array" ref="W275">IF(B275&gt;0,VLOOKUP(C255,'Allocation OH and Target 2026'!$C$3:$T$23,17,0),"N/A")</f>
        <v>N/A</v>
      </c>
      <c r="X275" t="str" s="551" cm="1">
        <f t="array" ref="X275">IF(B275&gt;0,VLOOKUP(C255,'Allocation OH and Target 2026'!$C$3:$T$23,18,0),"N/A")</f>
        <v>N/A</v>
      </c>
      <c r="Y275" t="str" s="551" cm="1">
        <f t="array" ref="Y275">_xlfn.IFERROR(V275*B275+X275,"N/A")</f>
        <v>N/A</v>
      </c>
      <c r="Z275" s="435"/>
      <c r="AA275" t="str" s="551" cm="1">
        <f t="array" ref="AA275">_xlfn.IFERROR(Y275+S275,"N/A")</f>
        <v>N/A</v>
      </c>
      <c r="AB275" t="str" s="551" cm="1">
        <f t="array" ref="AB275">_xlfn.IFERROR(AA275*0.5%,"N/A")</f>
        <v>N/A</v>
      </c>
      <c r="AC275" t="str" s="551" cm="1">
        <f t="array" ref="AC275">_xlfn.IFERROR(AA275*25%,"N/A")</f>
        <v>N/A</v>
      </c>
      <c r="AD275" t="str" s="553" cm="1">
        <f t="array" ref="AD275">IF(B275&gt;0,SUM(AA275:AC275),"N/A")</f>
        <v>N/A</v>
      </c>
      <c r="AE275" t="str" s="551" cm="1">
        <f t="array" ref="AE275">_xlfn.IFERROR(AD275/B275,"N/A")</f>
        <v>N/A</v>
      </c>
      <c r="AF275" s="435"/>
      <c r="AG275" t="str" s="553" cm="1">
        <f t="array" ref="AG275">IF(B275/VLOOKUP(C255,'Boats Data Sheet 2026'!$C$3:$H$57,6,0)&gt;VLOOKUP(C255,'Allocation OH and Target 2026'!$C$3:$J$23,8,0),IF(SUM(AH257:AH274)=0,AE275,"N/A"),"N/A")</f>
        <v>N/A</v>
      </c>
      <c r="AH275" s="435" cm="1">
        <f t="array" ref="AH275">IF(AG275="N/A",0,1)</f>
        <v>0</v>
      </c>
      <c r="AI275" t="str" s="551" cm="1">
        <f t="array" ref="AI275">IF(B275/VLOOKUP(C255,'Boats Data Sheet 2026'!$C$3:$H$57,6,0)&gt;VLOOKUP(C255,'Allocation OH and Target 2026'!$C$3:$J$23,8,0),IF(SUM(AH257:AH274)=0,S275/B275,"N/A"),"N/A")</f>
        <v>N/A</v>
      </c>
      <c r="AJ275" s="435" cm="1">
        <f t="array" ref="AJ275">IF(AI275="N/A",0,1)</f>
        <v>0</v>
      </c>
      <c r="AK275" t="str" s="554" cm="1">
        <f t="array" ref="AK275">IF(SUM($AG$120:$AG$137)*B275&lt;SUM(AA275:AB275),"NO GO","GO")</f>
        <v>GO</v>
      </c>
      <c r="AL275" s="435"/>
      <c r="AM275" s="552"/>
      <c r="AN275" s="552"/>
      <c r="AO275" s="552"/>
      <c r="AP275" s="555"/>
      <c r="AQ275" s="543" cm="1">
        <f t="array" ref="AQ275">B275</f>
        <v>0</v>
      </c>
      <c r="AR275" s="18"/>
    </row>
    <row r="276" ht="15.5" customHeight="1">
      <c r="A276" s="32"/>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c r="AH276" s="124"/>
      <c r="AI276" s="124"/>
      <c r="AJ276" s="124"/>
      <c r="AK276" s="124"/>
      <c r="AL276" s="124"/>
      <c r="AM276" s="124"/>
      <c r="AN276" s="124"/>
      <c r="AO276" s="124"/>
      <c r="AP276" s="124"/>
      <c r="AQ276" s="17"/>
      <c r="AR276" s="18"/>
    </row>
    <row r="277" ht="15.5" customHeight="1">
      <c r="A277" s="32"/>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17"/>
      <c r="AR277" s="18"/>
    </row>
    <row r="278" ht="15.5" customHeight="1">
      <c r="A278" s="395">
        <v>10</v>
      </c>
      <c r="B278" t="s" s="517">
        <v>506</v>
      </c>
      <c r="C278" t="s" s="518">
        <v>53</v>
      </c>
      <c r="D278" s="519"/>
      <c r="E278" s="519"/>
      <c r="F278" s="519"/>
      <c r="G278" s="519"/>
      <c r="H278" s="519"/>
      <c r="I278" s="519"/>
      <c r="J278" s="519"/>
      <c r="K278" s="519"/>
      <c r="L278" s="519"/>
      <c r="M278" s="519"/>
      <c r="N278" s="519"/>
      <c r="O278" s="519"/>
      <c r="P278" s="519"/>
      <c r="Q278" s="519"/>
      <c r="R278" s="519"/>
      <c r="S278" s="519"/>
      <c r="T278" s="399"/>
      <c r="U278" s="519"/>
      <c r="V278" s="519"/>
      <c r="W278" s="519"/>
      <c r="X278" s="519"/>
      <c r="Y278" s="519"/>
      <c r="Z278" s="399"/>
      <c r="AA278" s="519"/>
      <c r="AB278" s="519"/>
      <c r="AC278" s="519"/>
      <c r="AD278" s="519"/>
      <c r="AE278" s="519"/>
      <c r="AF278" s="399"/>
      <c r="AG278" s="521"/>
      <c r="AH278" s="399"/>
      <c r="AI278" s="519"/>
      <c r="AJ278" s="399"/>
      <c r="AK278" s="519"/>
      <c r="AL278" s="399"/>
      <c r="AM278" s="521"/>
      <c r="AN278" s="560"/>
      <c r="AO278" s="519"/>
      <c r="AP278" s="522"/>
      <c r="AQ278" s="16"/>
      <c r="AR278" s="18"/>
    </row>
    <row r="279" ht="16" customHeight="1">
      <c r="A279" s="12"/>
      <c r="B279" s="523"/>
      <c r="C279" t="s" s="524">
        <v>513</v>
      </c>
      <c r="D279" s="525"/>
      <c r="E279" s="525"/>
      <c r="F279" s="525"/>
      <c r="G279" s="525"/>
      <c r="H279" s="525"/>
      <c r="I279" s="525"/>
      <c r="J279" s="525"/>
      <c r="K279" s="525"/>
      <c r="L279" s="525"/>
      <c r="M279" s="525"/>
      <c r="N279" s="525"/>
      <c r="O279" s="525"/>
      <c r="P279" s="525"/>
      <c r="Q279" s="525"/>
      <c r="R279" s="525"/>
      <c r="S279" s="526"/>
      <c r="T279" s="407"/>
      <c r="U279" t="s" s="524">
        <v>514</v>
      </c>
      <c r="V279" s="525"/>
      <c r="W279" s="525"/>
      <c r="X279" s="525"/>
      <c r="Y279" s="526"/>
      <c r="Z279" s="407"/>
      <c r="AA279" t="s" s="524">
        <v>515</v>
      </c>
      <c r="AB279" s="525"/>
      <c r="AC279" s="525"/>
      <c r="AD279" s="525"/>
      <c r="AE279" s="526"/>
      <c r="AF279" s="410"/>
      <c r="AG279" s="527"/>
      <c r="AH279" s="410"/>
      <c r="AI279" s="528"/>
      <c r="AJ279" s="410"/>
      <c r="AK279" s="528"/>
      <c r="AL279" s="410"/>
      <c r="AM279" s="528"/>
      <c r="AN279" s="528"/>
      <c r="AO279" s="528"/>
      <c r="AP279" s="529"/>
      <c r="AQ279" s="16"/>
      <c r="AR279" s="18"/>
    </row>
    <row r="280" ht="48" customHeight="1">
      <c r="A280" s="12"/>
      <c r="B280" t="s" s="530">
        <v>517</v>
      </c>
      <c r="C280" t="s" s="531">
        <v>518</v>
      </c>
      <c r="D280" t="s" s="531">
        <v>519</v>
      </c>
      <c r="E280" t="s" s="531">
        <v>520</v>
      </c>
      <c r="F280" t="s" s="532">
        <v>521</v>
      </c>
      <c r="G280" t="s" s="532">
        <v>522</v>
      </c>
      <c r="H280" t="s" s="532">
        <v>524</v>
      </c>
      <c r="I280" t="s" s="532">
        <v>525</v>
      </c>
      <c r="J280" t="s" s="532">
        <v>556</v>
      </c>
      <c r="K280" t="s" s="532">
        <v>587</v>
      </c>
      <c r="L280" t="s" s="532">
        <v>526</v>
      </c>
      <c r="M280" t="s" s="532">
        <v>527</v>
      </c>
      <c r="N280" t="s" s="532">
        <v>528</v>
      </c>
      <c r="O280" t="s" s="532">
        <v>529</v>
      </c>
      <c r="P280" t="s" s="532">
        <v>530</v>
      </c>
      <c r="Q280" t="s" s="532">
        <v>572</v>
      </c>
      <c r="R280" t="s" s="532">
        <v>531</v>
      </c>
      <c r="S280" t="s" s="532">
        <v>532</v>
      </c>
      <c r="T280" s="556"/>
      <c r="U280" t="s" s="532">
        <v>533</v>
      </c>
      <c r="V280" t="s" s="532">
        <v>573</v>
      </c>
      <c r="W280" t="s" s="532">
        <v>534</v>
      </c>
      <c r="X280" t="s" s="532">
        <v>574</v>
      </c>
      <c r="Y280" t="s" s="532">
        <v>535</v>
      </c>
      <c r="Z280" s="556"/>
      <c r="AA280" t="s" s="532">
        <v>536</v>
      </c>
      <c r="AB280" t="s" s="532">
        <v>537</v>
      </c>
      <c r="AC280" t="s" s="532">
        <v>538</v>
      </c>
      <c r="AD280" t="s" s="532">
        <v>575</v>
      </c>
      <c r="AE280" t="s" s="532">
        <v>539</v>
      </c>
      <c r="AF280" s="557"/>
      <c r="AG280" t="s" s="532">
        <v>576</v>
      </c>
      <c r="AH280" s="557"/>
      <c r="AI280" t="s" s="532">
        <v>577</v>
      </c>
      <c r="AJ280" s="557"/>
      <c r="AK280" t="s" s="531">
        <v>578</v>
      </c>
      <c r="AL280" s="557"/>
      <c r="AM280" s="533"/>
      <c r="AN280" s="533"/>
      <c r="AO280" s="533"/>
      <c r="AP280" s="534"/>
      <c r="AQ280" s="16"/>
      <c r="AR280" s="18"/>
    </row>
    <row r="281" ht="16.5" customHeight="1">
      <c r="A281" s="12"/>
      <c r="B281" s="535">
        <v>1</v>
      </c>
      <c r="C281" s="536" cm="1">
        <f t="array" ref="C281">IF(B281&gt;0,IF(VLOOKUP(C278,'Boats Data Sheet 2026'!$C$3:$J$57,8,0)="N/A",0,VLOOKUP(C278,'Boats Data Sheet 2026'!$C$3:$J$57,8,0)),"N/A")</f>
        <v>0</v>
      </c>
      <c r="D281" s="537" cm="1">
        <f t="array" ref="D281">IF(B281&gt;7,2,IF(B281=0,"N/A",1))</f>
        <v>1</v>
      </c>
      <c r="E281" s="536" cm="1">
        <f t="array" ref="E281">_xlfn.IFERROR(SUM('Direct Costs 2026'!$C$4:$C$5)*D281,"N/A")</f>
        <v>875500</v>
      </c>
      <c r="F281" s="538" cm="1">
        <f t="array" ref="F281">_xlfn.IFERROR('Direct Costs 2026'!$C$43*B281,"N/A")</f>
        <v>6000</v>
      </c>
      <c r="G281" s="538" cm="1">
        <f t="array" ref="G281">IF(B281&gt;0,'Direct Costs 2026'!$C$25,"N/A")</f>
        <v>90000</v>
      </c>
      <c r="H281" s="538" cm="1">
        <f t="array" ref="H281">IF(B281&gt;0,'Direct Costs 2026'!$C$19+'Direct Costs 2026'!$C$18*B281,"N/A")</f>
        <v>110000</v>
      </c>
      <c r="I281" s="538" cm="1">
        <f t="array" ref="I281">IF(B281&gt;0,SUM('Direct Costs 2026'!$C$20:$C$21),"N/A")</f>
        <v>98333.3333333333</v>
      </c>
      <c r="J281" s="538">
        <v>0</v>
      </c>
      <c r="K281" s="538" cm="1">
        <f t="array" ref="K281">_xlfn.IFERROR((IF(B281&gt;0,'Direct Costs 2026'!$C$15+'Direct Costs 2026'!$C$14,"N/A")),"N/A")</f>
        <v>230000</v>
      </c>
      <c r="L281" s="538" cm="1">
        <f t="array" ref="L281">IF(B281&gt;0,'Direct Costs 2026'!$C$26,"N/A")</f>
        <v>20000</v>
      </c>
      <c r="M281" s="538" cm="1">
        <f t="array" ref="M281">IF(B281&gt;0,'Direct Costs 2026'!$C$23,"N/A")</f>
        <v>140000</v>
      </c>
      <c r="N281" s="538" cm="1">
        <f t="array" ref="N281">IF(B281&gt;0,'Direct Costs 2026'!$C$44*B281,"N/A")</f>
        <v>110000</v>
      </c>
      <c r="O281" s="538" cm="1">
        <f t="array" ref="O281">IF(B281&gt;0,_xlfn.IFERROR(VLOOKUP(C278,'Boats Data Sheet 2026'!$C$3:$I$57,7,0)*'Direct Costs 2026'!$C$36,"N/A"),"N/A")</f>
        <v>3325000</v>
      </c>
      <c r="P281" s="538" cm="1">
        <f t="array" ref="P281">IF(B281&gt;0,IF(OR(VLOOKUP(C278,'Boats Data Sheet 2026'!$C$3:$F$57,4,0)="Own",VLOOKUP(C278,'Boats Data Sheet 2026'!$C$3:$F$57,4,0)="Management"),('Direct Costs 2026'!$C$37+'Direct Costs 2026'!$C$39),"N/A"),"N/A")</f>
        <v>1112400</v>
      </c>
      <c r="Q281" s="538" cm="1">
        <f t="array" ref="Q281">_xlfn.IFERROR(IF(B281&gt;5,IF(B281&gt;11,IF(B281&gt;15,4,3),2),IF(B281=0,"N/A",1))*SUM('Direct Costs 2026'!$C$67:$C$68),"N/A")</f>
        <v>489600</v>
      </c>
      <c r="R281" s="538" cm="1">
        <f t="array" ref="R281">_xlfn.IFERROR('Direct Costs 2026'!$C$27*C281,"N/A")</f>
        <v>0</v>
      </c>
      <c r="S281" s="538" cm="1">
        <f t="array" ref="S281">_xlfn.IFERROR(C281+SUM(E281:R281),"N/A")</f>
        <v>6606833.33333333</v>
      </c>
      <c r="T281" s="424"/>
      <c r="U281" s="538" cm="1">
        <f t="array" ref="U281">IF(B281&gt;0,'Allocation OH and Target 2026'!$E$27,"N/A")</f>
        <v>2134447.30345641</v>
      </c>
      <c r="V281" s="538" cm="1">
        <f t="array" ref="V281">IF(B281&gt;0,'Allocation OH and Target 2026'!$E$28,"N/A")</f>
        <v>200042.323056976</v>
      </c>
      <c r="W281" s="538" cm="1">
        <f t="array" ref="W281">IF(B281&gt;0,VLOOKUP(C278,'Allocation OH and Target 2026'!$C$3:$T$23,17,0),"N/A")</f>
        <v>965292.639603957</v>
      </c>
      <c r="X281" s="538" cm="1">
        <f t="array" ref="X281">IF(B281&gt;0,VLOOKUP(C278,'Allocation OH and Target 2026'!$C$3:$T$23,18,0),"N/A")</f>
        <v>92851.9586666665</v>
      </c>
      <c r="Y281" s="538" cm="1">
        <f t="array" ref="Y281">_xlfn.IFERROR(B281*(V281+X281),"N/A")</f>
        <v>292894.281723643</v>
      </c>
      <c r="Z281" s="424"/>
      <c r="AA281" s="538" cm="1">
        <f t="array" ref="AA281">_xlfn.IFERROR(Y281+S281,"N/A")</f>
        <v>6899727.61505697</v>
      </c>
      <c r="AB281" s="538" cm="1">
        <f t="array" ref="AB281">_xlfn.IFERROR(AA281*0.5%,"N/A")</f>
        <v>34498.6380752849</v>
      </c>
      <c r="AC281" s="538" cm="1">
        <f t="array" ref="AC281">_xlfn.IFERROR(AA281*25%,"N/A")</f>
        <v>1724931.90376424</v>
      </c>
      <c r="AD281" s="539" cm="1">
        <f t="array" ref="AD281">IF(B281&gt;0,SUM(AA281:AC281),"N/A")</f>
        <v>8659158.156896491</v>
      </c>
      <c r="AE281" s="538" cm="1">
        <f t="array" ref="AE281">_xlfn.IFERROR(AD281/B281,"N/A")</f>
        <v>8659158.156896491</v>
      </c>
      <c r="AF281" s="424"/>
      <c r="AG281" t="s" s="540">
        <v>14</v>
      </c>
      <c r="AH281" s="424" cm="1">
        <f t="array" ref="AH281">IF(AG281="N/A",0,1)</f>
        <v>0</v>
      </c>
      <c r="AI281" t="s" s="541">
        <v>14</v>
      </c>
      <c r="AJ281" s="424" cm="1">
        <f t="array" ref="AJ281">IF(AI281="N/A",0,1)</f>
        <v>0</v>
      </c>
      <c r="AK281" t="str" s="558" cm="1">
        <f t="array" ref="AK281">IF(SUM($AG$120:$AG$137)*B281&lt;SUM(AA281:AB281),"NO GO","GO")</f>
        <v>NO GO</v>
      </c>
      <c r="AL281" s="424"/>
      <c r="AM281" s="538"/>
      <c r="AN281" s="561"/>
      <c r="AO281" s="538"/>
      <c r="AP281" s="542"/>
      <c r="AQ281" s="543" cm="1">
        <f t="array" ref="AQ281">B281</f>
        <v>1</v>
      </c>
      <c r="AR281" s="18"/>
    </row>
    <row r="282" ht="16" customHeight="1">
      <c r="A282" s="12"/>
      <c r="B282" s="544" cm="1">
        <f t="array" ref="B282">IF(B281=0,0,IF(B281&lt;VLOOKUP(C278,'Boats Data Sheet 2026'!$C$3:$H$57,6,0),B281+1,0))</f>
        <v>2</v>
      </c>
      <c r="C282" s="538" cm="1">
        <f t="array" ref="C282">IF(B282&gt;0,IF(VLOOKUP(C278,'Boats Data Sheet 2026'!$C$3:$J$57,8,0)="N/A",0,VLOOKUP(C278,'Boats Data Sheet 2026'!$C$3:$J$57,8,0)),"N/A")</f>
        <v>0</v>
      </c>
      <c r="D282" s="545" cm="1">
        <f t="array" ref="D282">IF(B282&gt;7,2,IF(B282=0,"N/A",1))</f>
        <v>1</v>
      </c>
      <c r="E282" s="538" cm="1">
        <f t="array" ref="E282">_xlfn.IFERROR(SUM('Direct Costs 2026'!$C$4:$C$5)*D282,"N/A")</f>
        <v>875500</v>
      </c>
      <c r="F282" s="538" cm="1">
        <f t="array" ref="F282">_xlfn.IFERROR('Direct Costs 2026'!$C$43*B282,"N/A")</f>
        <v>12000</v>
      </c>
      <c r="G282" s="538" cm="1">
        <f t="array" ref="G282">IF(B282&gt;0,'Direct Costs 2026'!$C$25,"N/A")</f>
        <v>90000</v>
      </c>
      <c r="H282" s="538" cm="1">
        <f t="array" ref="H282">IF(B282&gt;0,'Direct Costs 2026'!$C$19+'Direct Costs 2026'!$C$18*B282,"N/A")</f>
        <v>145000</v>
      </c>
      <c r="I282" s="538" cm="1">
        <f t="array" ref="I282">IF(B282&gt;0,SUM('Direct Costs 2026'!$C$20:$C$21),"N/A")</f>
        <v>98333.3333333333</v>
      </c>
      <c r="J282" s="538">
        <v>0</v>
      </c>
      <c r="K282" s="538" cm="1">
        <f t="array" ref="K282">_xlfn.IFERROR((IF(B282&gt;0,'Direct Costs 2026'!$C$15+'Direct Costs 2026'!$C$14,"N/A")),"N/A")</f>
        <v>230000</v>
      </c>
      <c r="L282" s="538" cm="1">
        <f t="array" ref="L282">IF(B282&gt;0,'Direct Costs 2026'!$C$26,"N/A")</f>
        <v>20000</v>
      </c>
      <c r="M282" s="538" cm="1">
        <f t="array" ref="M282">IF(B282&gt;0,'Direct Costs 2026'!$C$23,"N/A")</f>
        <v>140000</v>
      </c>
      <c r="N282" s="538" cm="1">
        <f t="array" ref="N282">IF(B282&gt;0,'Direct Costs 2026'!$C$44*B282,"N/A")</f>
        <v>220000</v>
      </c>
      <c r="O282" s="538" cm="1">
        <f t="array" ref="O282">IF(B282&gt;0,_xlfn.IFERROR(VLOOKUP(C278,'Boats Data Sheet 2026'!$C$3:$I$57,7,0)*'Direct Costs 2026'!$C$36,"N/A"),"N/A")</f>
        <v>3325000</v>
      </c>
      <c r="P282" s="538" cm="1">
        <f t="array" ref="P282">IF(B282&gt;0,IF(OR(VLOOKUP(C278,'Boats Data Sheet 2026'!$C$3:$F$57,4,0)="Own",VLOOKUP(C278,'Boats Data Sheet 2026'!$C$3:$F$57,4,0)="Management"),('Direct Costs 2026'!$C$37+'Direct Costs 2026'!$C$39),"N/A"),"N/A")</f>
        <v>1112400</v>
      </c>
      <c r="Q282" s="538" cm="1">
        <f t="array" ref="Q282">_xlfn.IFERROR(IF(B282&gt;5,IF(B282&gt;11,IF(B282&gt;15,4,3),2),IF(B282=0,"N/A",1))*SUM('Direct Costs 2026'!$C$67:$C$68),"N/A")</f>
        <v>489600</v>
      </c>
      <c r="R282" s="538" cm="1">
        <f t="array" ref="R282">_xlfn.IFERROR('Direct Costs 2026'!$C$27*C282,"N/A")</f>
        <v>0</v>
      </c>
      <c r="S282" s="538" cm="1">
        <f t="array" ref="S282">_xlfn.IFERROR(C282+SUM(E282:R282),"N/A")</f>
        <v>6757833.33333333</v>
      </c>
      <c r="T282" s="424"/>
      <c r="U282" s="538" cm="1">
        <f t="array" ref="U282">IF(B282&gt;0,'Allocation OH and Target 2026'!$E$27,"N/A")</f>
        <v>2134447.30345641</v>
      </c>
      <c r="V282" s="538" cm="1">
        <f t="array" ref="V282">IF(B282&gt;0,'Allocation OH and Target 2026'!$E$28,"N/A")</f>
        <v>200042.323056976</v>
      </c>
      <c r="W282" s="538" cm="1">
        <f t="array" ref="W282">IF(B282&gt;0,VLOOKUP(C278,'Allocation OH and Target 2026'!$C$3:$T$23,17,0),"N/A")</f>
        <v>965292.639603957</v>
      </c>
      <c r="X282" s="538" cm="1">
        <f t="array" ref="X282">IF(B282&gt;0,VLOOKUP(C278,'Allocation OH and Target 2026'!$C$3:$T$23,18,0),"N/A")</f>
        <v>92851.9586666665</v>
      </c>
      <c r="Y282" s="538" cm="1">
        <f t="array" ref="Y282">_xlfn.IFERROR(B282*(V282+X282),"N/A")</f>
        <v>585788.563447285</v>
      </c>
      <c r="Z282" s="424"/>
      <c r="AA282" s="538" cm="1">
        <f t="array" ref="AA282">_xlfn.IFERROR(Y282+S282,"N/A")</f>
        <v>7343621.89678062</v>
      </c>
      <c r="AB282" s="538" cm="1">
        <f t="array" ref="AB282">_xlfn.IFERROR(AA282*0.5%,"N/A")</f>
        <v>36718.1094839031</v>
      </c>
      <c r="AC282" s="538" cm="1">
        <f t="array" ref="AC282">_xlfn.IFERROR(AA282*25%,"N/A")</f>
        <v>1835905.47419516</v>
      </c>
      <c r="AD282" s="539" cm="1">
        <f t="array" ref="AD282">IF(B282&gt;0,SUM(AA282:AC282),"N/A")</f>
        <v>9216245.480459681</v>
      </c>
      <c r="AE282" s="538" cm="1">
        <f t="array" ref="AE282">_xlfn.IFERROR(AD282/B282,"N/A")</f>
        <v>4608122.74022984</v>
      </c>
      <c r="AF282" s="424"/>
      <c r="AG282" t="str" s="546" cm="1">
        <f t="array" ref="AG282">IF(B282/VLOOKUP(C278,'Boats Data Sheet 2026'!$C$3:$H$57,6,0)&gt;VLOOKUP(C278,'Allocation OH and Target 2026'!$C$3:$J$23,8,0),IF(SUM(AH280:AH281)=0,AE282,"N/A"),"N/A")</f>
        <v>N/A</v>
      </c>
      <c r="AH282" s="424" cm="1">
        <f t="array" ref="AH282">IF(AG282="N/A",0,1)</f>
        <v>0</v>
      </c>
      <c r="AI282" t="str" s="547" cm="1">
        <f t="array" ref="AI282">IF(B282/VLOOKUP(C278,'Boats Data Sheet 2026'!$C$3:$H$57,6,0)&gt;VLOOKUP(C278,'Allocation OH and Target 2026'!$C$3:$J$23,8,0),IF(SUM(AH280:AH281)=0,S282/B282,"N/A"),"N/A")</f>
        <v>N/A</v>
      </c>
      <c r="AJ282" s="424" cm="1">
        <f t="array" ref="AJ282">IF(AI282="N/A",0,1)</f>
        <v>0</v>
      </c>
      <c r="AK282" t="str" s="527" cm="1">
        <f t="array" ref="AK282">IF(SUM($AG$120:$AG$137)*B282&lt;SUM(AA282:AB282),"NO GO","GO")</f>
        <v>NO GO</v>
      </c>
      <c r="AL282" s="424"/>
      <c r="AM282" s="568"/>
      <c r="AN282" s="538"/>
      <c r="AO282" s="538"/>
      <c r="AP282" s="542"/>
      <c r="AQ282" s="543" cm="1">
        <f t="array" ref="AQ282">B282</f>
        <v>2</v>
      </c>
      <c r="AR282" s="18"/>
    </row>
    <row r="283" ht="16" customHeight="1">
      <c r="A283" s="12"/>
      <c r="B283" s="544" cm="1">
        <f t="array" ref="B283">IF(B282=0,0,IF(B282&lt;VLOOKUP(C278,'Boats Data Sheet 2026'!$C$3:$H$57,6,0),B282+1,0))</f>
        <v>3</v>
      </c>
      <c r="C283" s="538" cm="1">
        <f t="array" ref="C283">IF(B283&gt;0,IF(VLOOKUP(C278,'Boats Data Sheet 2026'!$C$3:$J$57,8,0)="N/A",0,VLOOKUP(C278,'Boats Data Sheet 2026'!$C$3:$J$57,8,0)),"N/A")</f>
        <v>0</v>
      </c>
      <c r="D283" s="545" cm="1">
        <f t="array" ref="D283">IF(B283&gt;7,2,IF(B283=0,"N/A",1))</f>
        <v>1</v>
      </c>
      <c r="E283" s="538" cm="1">
        <f t="array" ref="E283">_xlfn.IFERROR(SUM('Direct Costs 2026'!$C$4:$C$5)*D283,"N/A")</f>
        <v>875500</v>
      </c>
      <c r="F283" s="538" cm="1">
        <f t="array" ref="F283">_xlfn.IFERROR('Direct Costs 2026'!$C$43*B283,"N/A")</f>
        <v>18000</v>
      </c>
      <c r="G283" s="538" cm="1">
        <f t="array" ref="G283">IF(B283&gt;0,'Direct Costs 2026'!$C$25,"N/A")</f>
        <v>90000</v>
      </c>
      <c r="H283" s="538" cm="1">
        <f t="array" ref="H283">IF(B283&gt;0,'Direct Costs 2026'!$C$19+'Direct Costs 2026'!$C$18*B283,"N/A")</f>
        <v>180000</v>
      </c>
      <c r="I283" s="538" cm="1">
        <f t="array" ref="I283">IF(B283&gt;0,SUM('Direct Costs 2026'!$C$20:$C$21),"N/A")</f>
        <v>98333.3333333333</v>
      </c>
      <c r="J283" s="538">
        <v>0</v>
      </c>
      <c r="K283" s="538" cm="1">
        <f t="array" ref="K283">_xlfn.IFERROR((IF(B283&gt;0,'Direct Costs 2026'!$C$15+'Direct Costs 2026'!$C$14,"N/A")),"N/A")</f>
        <v>230000</v>
      </c>
      <c r="L283" s="538" cm="1">
        <f t="array" ref="L283">IF(B283&gt;0,'Direct Costs 2026'!$C$26,"N/A")</f>
        <v>20000</v>
      </c>
      <c r="M283" s="538" cm="1">
        <f t="array" ref="M283">IF(B283&gt;0,'Direct Costs 2026'!$C$23,"N/A")</f>
        <v>140000</v>
      </c>
      <c r="N283" s="538" cm="1">
        <f t="array" ref="N283">IF(B283&gt;0,'Direct Costs 2026'!$C$44*B283,"N/A")</f>
        <v>330000</v>
      </c>
      <c r="O283" s="538" cm="1">
        <f t="array" ref="O283">IF(B283&gt;0,_xlfn.IFERROR(VLOOKUP(C278,'Boats Data Sheet 2026'!$C$3:$I$57,7,0)*'Direct Costs 2026'!$C$36,"N/A"),"N/A")</f>
        <v>3325000</v>
      </c>
      <c r="P283" s="538" cm="1">
        <f t="array" ref="P283">IF(B283&gt;0,IF(OR(VLOOKUP(C278,'Boats Data Sheet 2026'!$C$3:$F$57,4,0)="Own",VLOOKUP(C278,'Boats Data Sheet 2026'!$C$3:$F$57,4,0)="Management"),('Direct Costs 2026'!$C$37+'Direct Costs 2026'!$C$39),"N/A"),"N/A")</f>
        <v>1112400</v>
      </c>
      <c r="Q283" s="538" cm="1">
        <f t="array" ref="Q283">_xlfn.IFERROR(IF(B283&gt;5,IF(B283&gt;11,IF(B283&gt;15,4,3),2),IF(B283=0,"N/A",1))*SUM('Direct Costs 2026'!$C$67:$C$68),"N/A")</f>
        <v>489600</v>
      </c>
      <c r="R283" s="538" cm="1">
        <f t="array" ref="R283">_xlfn.IFERROR('Direct Costs 2026'!$C$27*C283,"N/A")</f>
        <v>0</v>
      </c>
      <c r="S283" s="538" cm="1">
        <f t="array" ref="S283">_xlfn.IFERROR(C283+SUM(E283:R283),"N/A")</f>
        <v>6908833.33333333</v>
      </c>
      <c r="T283" s="424"/>
      <c r="U283" s="538" cm="1">
        <f t="array" ref="U283">IF(B283&gt;0,'Allocation OH and Target 2026'!$E$27,"N/A")</f>
        <v>2134447.30345641</v>
      </c>
      <c r="V283" s="538" cm="1">
        <f t="array" ref="V283">IF(B283&gt;0,'Allocation OH and Target 2026'!$E$28,"N/A")</f>
        <v>200042.323056976</v>
      </c>
      <c r="W283" s="538" cm="1">
        <f t="array" ref="W283">IF(B283&gt;0,VLOOKUP(C278,'Allocation OH and Target 2026'!$C$3:$T$23,17,0),"N/A")</f>
        <v>965292.639603957</v>
      </c>
      <c r="X283" s="538" cm="1">
        <f t="array" ref="X283">IF(B283&gt;0,VLOOKUP(C278,'Allocation OH and Target 2026'!$C$3:$T$23,18,0),"N/A")</f>
        <v>92851.9586666665</v>
      </c>
      <c r="Y283" s="538" cm="1">
        <f t="array" ref="Y283">_xlfn.IFERROR(B283*(V283+X283),"N/A")</f>
        <v>878682.845170928</v>
      </c>
      <c r="Z283" s="424"/>
      <c r="AA283" s="538" cm="1">
        <f t="array" ref="AA283">_xlfn.IFERROR(Y283+S283,"N/A")</f>
        <v>7787516.17850426</v>
      </c>
      <c r="AB283" s="538" cm="1">
        <f t="array" ref="AB283">_xlfn.IFERROR(AA283*0.5%,"N/A")</f>
        <v>38937.5808925213</v>
      </c>
      <c r="AC283" s="538" cm="1">
        <f t="array" ref="AC283">_xlfn.IFERROR(AA283*25%,"N/A")</f>
        <v>1946879.04462607</v>
      </c>
      <c r="AD283" s="539" cm="1">
        <f t="array" ref="AD283">IF(B283&gt;0,SUM(AA283:AC283),"N/A")</f>
        <v>9773332.80402285</v>
      </c>
      <c r="AE283" s="538" cm="1">
        <f t="array" ref="AE283">_xlfn.IFERROR(AD283/B283,"N/A")</f>
        <v>3257777.60134095</v>
      </c>
      <c r="AF283" s="424"/>
      <c r="AG283" t="str" s="546" cm="1">
        <f t="array" ref="AG283">IF(B283/VLOOKUP(C278,'Boats Data Sheet 2026'!$C$3:$H$57,6,0)&gt;VLOOKUP(C278,'Allocation OH and Target 2026'!$C$3:$J$23,8,0),IF(SUM(AH280:AH282)=0,AE283,"N/A"),"N/A")</f>
        <v>N/A</v>
      </c>
      <c r="AH283" s="424" cm="1">
        <f t="array" ref="AH283">IF(AG283="N/A",0,1)</f>
        <v>0</v>
      </c>
      <c r="AI283" t="str" s="547" cm="1">
        <f t="array" ref="AI283">IF(B283/VLOOKUP(C278,'Boats Data Sheet 2026'!$C$3:$H$57,6,0)&gt;VLOOKUP(C278,'Allocation OH and Target 2026'!$C$3:$J$23,8,0),IF(SUM(AH280:AH282)=0,S283/B283,"N/A"),"N/A")</f>
        <v>N/A</v>
      </c>
      <c r="AJ283" s="424" cm="1">
        <f t="array" ref="AJ283">IF(AI283="N/A",0,1)</f>
        <v>0</v>
      </c>
      <c r="AK283" t="str" s="527" cm="1">
        <f t="array" ref="AK283">IF(SUM($AG$120:$AG$137)*B283&lt;SUM(AA283:AB283),"NO GO","GO")</f>
        <v>NO GO</v>
      </c>
      <c r="AL283" s="424"/>
      <c r="AM283" s="538"/>
      <c r="AN283" s="538"/>
      <c r="AO283" s="538"/>
      <c r="AP283" s="542"/>
      <c r="AQ283" s="543" cm="1">
        <f t="array" ref="AQ283">B283</f>
        <v>3</v>
      </c>
      <c r="AR283" s="18"/>
    </row>
    <row r="284" ht="16" customHeight="1">
      <c r="A284" s="12"/>
      <c r="B284" s="544" cm="1">
        <f t="array" ref="B284">IF(B283=0,0,IF(B283&lt;VLOOKUP(C278,'Boats Data Sheet 2026'!$C$3:$H$57,6,0),B283+1,0))</f>
        <v>4</v>
      </c>
      <c r="C284" s="538" cm="1">
        <f t="array" ref="C284">IF(B284&gt;0,IF(VLOOKUP(C278,'Boats Data Sheet 2026'!$C$3:$J$57,8,0)="N/A",0,VLOOKUP(C278,'Boats Data Sheet 2026'!$C$3:$J$57,8,0)),"N/A")</f>
        <v>0</v>
      </c>
      <c r="D284" s="545" cm="1">
        <f t="array" ref="D284">IF(B284&gt;7,2,IF(B284=0,"N/A",1))</f>
        <v>1</v>
      </c>
      <c r="E284" s="538" cm="1">
        <f t="array" ref="E284">_xlfn.IFERROR(SUM('Direct Costs 2026'!$C$4:$C$5)*D284,"N/A")</f>
        <v>875500</v>
      </c>
      <c r="F284" s="538" cm="1">
        <f t="array" ref="F284">_xlfn.IFERROR('Direct Costs 2026'!$C$43*B284,"N/A")</f>
        <v>24000</v>
      </c>
      <c r="G284" s="538" cm="1">
        <f t="array" ref="G284">IF(B284&gt;0,'Direct Costs 2026'!$C$25,"N/A")</f>
        <v>90000</v>
      </c>
      <c r="H284" s="538" cm="1">
        <f t="array" ref="H284">IF(B284&gt;0,'Direct Costs 2026'!$C$19+'Direct Costs 2026'!$C$18*B284,"N/A")</f>
        <v>215000</v>
      </c>
      <c r="I284" s="538" cm="1">
        <f t="array" ref="I284">IF(B284&gt;0,SUM('Direct Costs 2026'!$C$20:$C$21),"N/A")</f>
        <v>98333.3333333333</v>
      </c>
      <c r="J284" s="538">
        <v>0</v>
      </c>
      <c r="K284" s="538" cm="1">
        <f t="array" ref="K284">_xlfn.IFERROR((IF(B284&gt;0,'Direct Costs 2026'!$C$15+'Direct Costs 2026'!$C$14,"N/A")),"N/A")</f>
        <v>230000</v>
      </c>
      <c r="L284" s="538" cm="1">
        <f t="array" ref="L284">IF(B284&gt;0,'Direct Costs 2026'!$C$26,"N/A")</f>
        <v>20000</v>
      </c>
      <c r="M284" s="538" cm="1">
        <f t="array" ref="M284">IF(B284&gt;0,'Direct Costs 2026'!$C$23,"N/A")</f>
        <v>140000</v>
      </c>
      <c r="N284" s="538" cm="1">
        <f t="array" ref="N284">IF(B284&gt;0,'Direct Costs 2026'!$C$44*B284,"N/A")</f>
        <v>440000</v>
      </c>
      <c r="O284" s="538" cm="1">
        <f t="array" ref="O284">IF(B284&gt;0,_xlfn.IFERROR(VLOOKUP(C278,'Boats Data Sheet 2026'!$C$3:$I$57,7,0)*'Direct Costs 2026'!$C$36,"N/A"),"N/A")</f>
        <v>3325000</v>
      </c>
      <c r="P284" s="538" cm="1">
        <f t="array" ref="P284">IF(B284&gt;0,IF(OR(VLOOKUP(C278,'Boats Data Sheet 2026'!$C$3:$F$57,4,0)="Own",VLOOKUP(C278,'Boats Data Sheet 2026'!$C$3:$F$57,4,0)="Management"),('Direct Costs 2026'!$C$37+'Direct Costs 2026'!$C$39),"N/A"),"N/A")</f>
        <v>1112400</v>
      </c>
      <c r="Q284" s="538" cm="1">
        <f t="array" ref="Q284">_xlfn.IFERROR(IF(B284&gt;5,IF(B284&gt;11,IF(B284&gt;15,4,3),2),IF(B284=0,"N/A",1))*SUM('Direct Costs 2026'!$C$67:$C$68),"N/A")</f>
        <v>489600</v>
      </c>
      <c r="R284" s="538" cm="1">
        <f t="array" ref="R284">_xlfn.IFERROR('Direct Costs 2026'!$C$27*C284,"N/A")</f>
        <v>0</v>
      </c>
      <c r="S284" s="538" cm="1">
        <f t="array" ref="S284">_xlfn.IFERROR(C284+SUM(E284:R284),"N/A")</f>
        <v>7059833.33333333</v>
      </c>
      <c r="T284" s="424"/>
      <c r="U284" s="538" cm="1">
        <f t="array" ref="U284">IF(B284&gt;0,'Allocation OH and Target 2026'!$E$27,"N/A")</f>
        <v>2134447.30345641</v>
      </c>
      <c r="V284" s="538" cm="1">
        <f t="array" ref="V284">IF(B284&gt;0,'Allocation OH and Target 2026'!$E$28,"N/A")</f>
        <v>200042.323056976</v>
      </c>
      <c r="W284" s="538" cm="1">
        <f t="array" ref="W284">IF(B284&gt;0,VLOOKUP(C278,'Allocation OH and Target 2026'!$C$3:$T$23,17,0),"N/A")</f>
        <v>965292.639603957</v>
      </c>
      <c r="X284" s="538" cm="1">
        <f t="array" ref="X284">IF(B284&gt;0,VLOOKUP(C278,'Allocation OH and Target 2026'!$C$3:$T$23,18,0),"N/A")</f>
        <v>92851.9586666665</v>
      </c>
      <c r="Y284" s="538" cm="1">
        <f t="array" ref="Y284">_xlfn.IFERROR(B284*(V284+X284),"N/A")</f>
        <v>1171577.12689457</v>
      </c>
      <c r="Z284" s="424"/>
      <c r="AA284" s="538" cm="1">
        <f t="array" ref="AA284">_xlfn.IFERROR(Y284+S284,"N/A")</f>
        <v>8231410.4602279</v>
      </c>
      <c r="AB284" s="538" cm="1">
        <f t="array" ref="AB284">_xlfn.IFERROR(AA284*0.5%,"N/A")</f>
        <v>41157.0523011395</v>
      </c>
      <c r="AC284" s="538" cm="1">
        <f t="array" ref="AC284">_xlfn.IFERROR(AA284*25%,"N/A")</f>
        <v>2057852.61505698</v>
      </c>
      <c r="AD284" s="539" cm="1">
        <f t="array" ref="AD284">IF(B284&gt;0,SUM(AA284:AC284),"N/A")</f>
        <v>10330420.127586</v>
      </c>
      <c r="AE284" s="538" cm="1">
        <f t="array" ref="AE284">_xlfn.IFERROR(AD284/B284,"N/A")</f>
        <v>2582605.0318965</v>
      </c>
      <c r="AF284" s="424"/>
      <c r="AG284" t="str" s="546" cm="1">
        <f t="array" ref="AG284">IF(B284/VLOOKUP(C278,'Boats Data Sheet 2026'!$C$3:$H$57,6,0)&gt;VLOOKUP(C278,'Allocation OH and Target 2026'!$C$3:$J$23,8,0),IF(SUM(AH280:AH283)=0,AE284,"N/A"),"N/A")</f>
        <v>N/A</v>
      </c>
      <c r="AH284" s="424" cm="1">
        <f t="array" ref="AH284">IF(AG284="N/A",0,1)</f>
        <v>0</v>
      </c>
      <c r="AI284" t="str" s="547" cm="1">
        <f t="array" ref="AI284">IF(B284/VLOOKUP(C278,'Boats Data Sheet 2026'!$C$3:$H$57,6,0)&gt;VLOOKUP(C278,'Allocation OH and Target 2026'!$C$3:$J$23,8,0),IF(SUM(AH280:AH283)=0,S284/B284,"N/A"),"N/A")</f>
        <v>N/A</v>
      </c>
      <c r="AJ284" s="424" cm="1">
        <f t="array" ref="AJ284">IF(AI284="N/A",0,1)</f>
        <v>0</v>
      </c>
      <c r="AK284" t="str" s="527" cm="1">
        <f t="array" ref="AK284">IF(SUM($AG$120:$AG$137)*B284&lt;SUM(AA284:AB284),"NO GO","GO")</f>
        <v>NO GO</v>
      </c>
      <c r="AL284" s="424"/>
      <c r="AM284" s="568"/>
      <c r="AN284" s="538"/>
      <c r="AO284" s="538"/>
      <c r="AP284" s="542"/>
      <c r="AQ284" s="543" cm="1">
        <f t="array" ref="AQ284">B284</f>
        <v>4</v>
      </c>
      <c r="AR284" s="18"/>
    </row>
    <row r="285" ht="16" customHeight="1">
      <c r="A285" s="12"/>
      <c r="B285" s="544" cm="1">
        <f t="array" ref="B285">IF(B284=0,0,IF(B284&lt;VLOOKUP(C278,'Boats Data Sheet 2026'!$C$3:$H$57,6,0),B284+1,0))</f>
        <v>5</v>
      </c>
      <c r="C285" s="538" cm="1">
        <f t="array" ref="C285">IF(B285&gt;0,IF(VLOOKUP(C278,'Boats Data Sheet 2026'!$C$3:$J$57,8,0)="N/A",0,VLOOKUP(C278,'Boats Data Sheet 2026'!$C$3:$J$57,8,0)),"N/A")</f>
        <v>0</v>
      </c>
      <c r="D285" s="545" cm="1">
        <f t="array" ref="D285">IF(B285&gt;7,2,IF(B285=0,"N/A",1))</f>
        <v>1</v>
      </c>
      <c r="E285" s="538" cm="1">
        <f t="array" ref="E285">_xlfn.IFERROR(SUM('Direct Costs 2026'!$C$4:$C$5)*D285,"N/A")</f>
        <v>875500</v>
      </c>
      <c r="F285" s="538" cm="1">
        <f t="array" ref="F285">_xlfn.IFERROR('Direct Costs 2026'!$C$43*B285,"N/A")</f>
        <v>30000</v>
      </c>
      <c r="G285" s="538" cm="1">
        <f t="array" ref="G285">IF(B285&gt;0,'Direct Costs 2026'!$C$25,"N/A")</f>
        <v>90000</v>
      </c>
      <c r="H285" s="538" cm="1">
        <f t="array" ref="H285">IF(B285&gt;0,'Direct Costs 2026'!$C$19+'Direct Costs 2026'!$C$18*B285,"N/A")</f>
        <v>250000</v>
      </c>
      <c r="I285" s="538" cm="1">
        <f t="array" ref="I285">IF(B285&gt;0,SUM('Direct Costs 2026'!$C$20:$C$21),"N/A")</f>
        <v>98333.3333333333</v>
      </c>
      <c r="J285" s="538">
        <v>0</v>
      </c>
      <c r="K285" s="538" cm="1">
        <f t="array" ref="K285">_xlfn.IFERROR((IF(B285&gt;0,'Direct Costs 2026'!$C$15+'Direct Costs 2026'!$C$14,"N/A")),"N/A")</f>
        <v>230000</v>
      </c>
      <c r="L285" s="538" cm="1">
        <f t="array" ref="L285">IF(B285&gt;0,'Direct Costs 2026'!$C$26,"N/A")</f>
        <v>20000</v>
      </c>
      <c r="M285" s="538" cm="1">
        <f t="array" ref="M285">IF(B285&gt;0,'Direct Costs 2026'!$C$23,"N/A")</f>
        <v>140000</v>
      </c>
      <c r="N285" s="538" cm="1">
        <f t="array" ref="N285">IF(B285&gt;0,'Direct Costs 2026'!$C$44*B285,"N/A")</f>
        <v>550000</v>
      </c>
      <c r="O285" s="538" cm="1">
        <f t="array" ref="O285">IF(B285&gt;0,_xlfn.IFERROR(VLOOKUP(C278,'Boats Data Sheet 2026'!$C$3:$I$57,7,0)*'Direct Costs 2026'!$C$36,"N/A"),"N/A")</f>
        <v>3325000</v>
      </c>
      <c r="P285" s="538" cm="1">
        <f t="array" ref="P285">IF(B285&gt;0,IF(OR(VLOOKUP(C278,'Boats Data Sheet 2026'!$C$3:$F$57,4,0)="Own",VLOOKUP(C278,'Boats Data Sheet 2026'!$C$3:$F$57,4,0)="Management"),('Direct Costs 2026'!$C$37+'Direct Costs 2026'!$C$39),"N/A"),"N/A")</f>
        <v>1112400</v>
      </c>
      <c r="Q285" s="538" cm="1">
        <f t="array" ref="Q285">_xlfn.IFERROR(IF(B285&gt;5,IF(B285&gt;11,IF(B285&gt;15,4,3),2),IF(B285=0,"N/A",1))*SUM('Direct Costs 2026'!$C$67:$C$68),"N/A")</f>
        <v>489600</v>
      </c>
      <c r="R285" s="538" cm="1">
        <f t="array" ref="R285">_xlfn.IFERROR('Direct Costs 2026'!$C$27*C285,"N/A")</f>
        <v>0</v>
      </c>
      <c r="S285" s="538" cm="1">
        <f t="array" ref="S285">_xlfn.IFERROR(C285+SUM(E285:R285),"N/A")</f>
        <v>7210833.33333333</v>
      </c>
      <c r="T285" s="424"/>
      <c r="U285" s="538" cm="1">
        <f t="array" ref="U285">IF(B285&gt;0,'Allocation OH and Target 2026'!$E$27,"N/A")</f>
        <v>2134447.30345641</v>
      </c>
      <c r="V285" s="538" cm="1">
        <f t="array" ref="V285">IF(B285&gt;0,'Allocation OH and Target 2026'!$E$28,"N/A")</f>
        <v>200042.323056976</v>
      </c>
      <c r="W285" s="538" cm="1">
        <f t="array" ref="W285">IF(B285&gt;0,VLOOKUP(C278,'Allocation OH and Target 2026'!$C$3:$T$23,17,0),"N/A")</f>
        <v>965292.639603957</v>
      </c>
      <c r="X285" s="538" cm="1">
        <f t="array" ref="X285">IF(B285&gt;0,VLOOKUP(C278,'Allocation OH and Target 2026'!$C$3:$T$23,18,0),"N/A")</f>
        <v>92851.9586666665</v>
      </c>
      <c r="Y285" s="538" cm="1">
        <f t="array" ref="Y285">_xlfn.IFERROR(B285*(V285+X285),"N/A")</f>
        <v>1464471.40861821</v>
      </c>
      <c r="Z285" s="424"/>
      <c r="AA285" s="538" cm="1">
        <f t="array" ref="AA285">_xlfn.IFERROR(Y285+S285,"N/A")</f>
        <v>8675304.74195154</v>
      </c>
      <c r="AB285" s="538" cm="1">
        <f t="array" ref="AB285">_xlfn.IFERROR(AA285*0.5%,"N/A")</f>
        <v>43376.5237097577</v>
      </c>
      <c r="AC285" s="538" cm="1">
        <f t="array" ref="AC285">_xlfn.IFERROR(AA285*25%,"N/A")</f>
        <v>2168826.18548789</v>
      </c>
      <c r="AD285" s="539" cm="1">
        <f t="array" ref="AD285">IF(B285&gt;0,SUM(AA285:AC285),"N/A")</f>
        <v>10887507.4511492</v>
      </c>
      <c r="AE285" s="538" cm="1">
        <f t="array" ref="AE285">_xlfn.IFERROR(AD285/B285,"N/A")</f>
        <v>2177501.49022984</v>
      </c>
      <c r="AF285" s="424"/>
      <c r="AG285" t="str" s="546" cm="1">
        <f t="array" ref="AG285">IF(B285/VLOOKUP(C278,'Boats Data Sheet 2026'!$C$3:$H$57,6,0)&gt;VLOOKUP(C278,'Allocation OH and Target 2026'!$C$3:$J$23,8,0),IF(SUM(AH280:AH284)=0,AE285,"N/A"),"N/A")</f>
        <v>N/A</v>
      </c>
      <c r="AH285" s="424" cm="1">
        <f t="array" ref="AH285">IF(AG285="N/A",0,1)</f>
        <v>0</v>
      </c>
      <c r="AI285" t="str" s="547" cm="1">
        <f t="array" ref="AI285">IF(B285/VLOOKUP(C278,'Boats Data Sheet 2026'!$C$3:$H$57,6,0)&gt;VLOOKUP(C278,'Allocation OH and Target 2026'!$C$3:$J$23,8,0),IF(SUM(AH280:AH284)=0,S285/B285,"N/A"),"N/A")</f>
        <v>N/A</v>
      </c>
      <c r="AJ285" s="424" cm="1">
        <f t="array" ref="AJ285">IF(AI285="N/A",0,1)</f>
        <v>0</v>
      </c>
      <c r="AK285" t="str" s="527" cm="1">
        <f t="array" ref="AK285">IF(SUM($AG$120:$AG$137)*B285&lt;SUM(AA285:AB285),"NO GO","GO")</f>
        <v>NO GO</v>
      </c>
      <c r="AL285" s="424"/>
      <c r="AM285" s="538"/>
      <c r="AN285" s="538"/>
      <c r="AO285" s="538"/>
      <c r="AP285" s="542"/>
      <c r="AQ285" s="543" cm="1">
        <f t="array" ref="AQ285">B285</f>
        <v>5</v>
      </c>
      <c r="AR285" s="18"/>
    </row>
    <row r="286" ht="16" customHeight="1">
      <c r="A286" s="12"/>
      <c r="B286" s="544" cm="1">
        <f t="array" ref="B286">IF(B285=0,0,IF(B285&lt;VLOOKUP(C278,'Boats Data Sheet 2026'!$C$3:$H$57,6,0),B285+1,0))</f>
        <v>6</v>
      </c>
      <c r="C286" s="538" cm="1">
        <f t="array" ref="C286">IF(B286&gt;0,IF(VLOOKUP(C278,'Boats Data Sheet 2026'!$C$3:$J$57,8,0)="N/A",0,VLOOKUP(C278,'Boats Data Sheet 2026'!$C$3:$J$57,8,0)),"N/A")</f>
        <v>0</v>
      </c>
      <c r="D286" s="545" cm="1">
        <f t="array" ref="D286">IF(B286&gt;7,2,IF(B286=0,"N/A",1))</f>
        <v>1</v>
      </c>
      <c r="E286" s="538" cm="1">
        <f t="array" ref="E286">_xlfn.IFERROR(SUM('Direct Costs 2026'!$C$4:$C$5)*D286,"N/A")</f>
        <v>875500</v>
      </c>
      <c r="F286" s="538" cm="1">
        <f t="array" ref="F286">_xlfn.IFERROR('Direct Costs 2026'!$C$43*B286,"N/A")</f>
        <v>36000</v>
      </c>
      <c r="G286" s="538" cm="1">
        <f t="array" ref="G286">IF(B286&gt;0,'Direct Costs 2026'!$C$25,"N/A")</f>
        <v>90000</v>
      </c>
      <c r="H286" s="538" cm="1">
        <f t="array" ref="H286">IF(B286&gt;0,'Direct Costs 2026'!$C$19+'Direct Costs 2026'!$C$18*B286,"N/A")</f>
        <v>285000</v>
      </c>
      <c r="I286" s="538" cm="1">
        <f t="array" ref="I286">IF(B286&gt;0,SUM('Direct Costs 2026'!$C$20:$C$21),"N/A")</f>
        <v>98333.3333333333</v>
      </c>
      <c r="J286" s="538">
        <v>0</v>
      </c>
      <c r="K286" s="538" cm="1">
        <f t="array" ref="K286">_xlfn.IFERROR((IF(B286&gt;0,'Direct Costs 2026'!$C$15+'Direct Costs 2026'!$C$14,"N/A")),"N/A")</f>
        <v>230000</v>
      </c>
      <c r="L286" s="538" cm="1">
        <f t="array" ref="L286">IF(B286&gt;0,'Direct Costs 2026'!$C$26,"N/A")</f>
        <v>20000</v>
      </c>
      <c r="M286" s="538" cm="1">
        <f t="array" ref="M286">IF(B286&gt;0,'Direct Costs 2026'!$C$23,"N/A")</f>
        <v>140000</v>
      </c>
      <c r="N286" s="538" cm="1">
        <f t="array" ref="N286">IF(B286&gt;0,'Direct Costs 2026'!$C$44*B286,"N/A")</f>
        <v>660000</v>
      </c>
      <c r="O286" s="538" cm="1">
        <f t="array" ref="O286">IF(B286&gt;0,_xlfn.IFERROR(VLOOKUP(C278,'Boats Data Sheet 2026'!$C$3:$I$57,7,0)*'Direct Costs 2026'!$C$36,"N/A"),"N/A")</f>
        <v>3325000</v>
      </c>
      <c r="P286" s="538" cm="1">
        <f t="array" ref="P286">IF(B286&gt;0,IF(OR(VLOOKUP(C278,'Boats Data Sheet 2026'!$C$3:$F$57,4,0)="Own",VLOOKUP(C278,'Boats Data Sheet 2026'!$C$3:$F$57,4,0)="Management"),('Direct Costs 2026'!$C$37+'Direct Costs 2026'!$C$39),"N/A"),"N/A")</f>
        <v>1112400</v>
      </c>
      <c r="Q286" s="538" cm="1">
        <f t="array" ref="Q286">_xlfn.IFERROR(IF(B286&gt;5,IF(B286&gt;11,IF(B286&gt;15,4,3),2),IF(B286=0,"N/A",1))*SUM('Direct Costs 2026'!$C$67:$C$68),"N/A")</f>
        <v>979200</v>
      </c>
      <c r="R286" s="538" cm="1">
        <f t="array" ref="R286">_xlfn.IFERROR('Direct Costs 2026'!$C$27*C286,"N/A")</f>
        <v>0</v>
      </c>
      <c r="S286" s="538" cm="1">
        <f t="array" ref="S286">_xlfn.IFERROR(C286+SUM(E286:R286),"N/A")</f>
        <v>7851433.33333333</v>
      </c>
      <c r="T286" s="424"/>
      <c r="U286" s="538" cm="1">
        <f t="array" ref="U286">IF(B286&gt;0,'Allocation OH and Target 2026'!$E$27,"N/A")</f>
        <v>2134447.30345641</v>
      </c>
      <c r="V286" s="538" cm="1">
        <f t="array" ref="V286">IF(B286&gt;0,'Allocation OH and Target 2026'!$E$28,"N/A")</f>
        <v>200042.323056976</v>
      </c>
      <c r="W286" s="538" cm="1">
        <f t="array" ref="W286">IF(B286&gt;0,VLOOKUP(C278,'Allocation OH and Target 2026'!$C$3:$T$23,17,0),"N/A")</f>
        <v>965292.639603957</v>
      </c>
      <c r="X286" s="538" cm="1">
        <f t="array" ref="X286">IF(B286&gt;0,VLOOKUP(C278,'Allocation OH and Target 2026'!$C$3:$T$23,18,0),"N/A")</f>
        <v>92851.9586666665</v>
      </c>
      <c r="Y286" s="538" cm="1">
        <f t="array" ref="Y286">_xlfn.IFERROR(B286*(V286+X286),"N/A")</f>
        <v>1757365.69034186</v>
      </c>
      <c r="Z286" s="424"/>
      <c r="AA286" s="538" cm="1">
        <f t="array" ref="AA286">_xlfn.IFERROR(Y286+S286,"N/A")</f>
        <v>9608799.02367519</v>
      </c>
      <c r="AB286" s="538" cm="1">
        <f t="array" ref="AB286">_xlfn.IFERROR(AA286*0.5%,"N/A")</f>
        <v>48043.995118376</v>
      </c>
      <c r="AC286" s="538" cm="1">
        <f t="array" ref="AC286">_xlfn.IFERROR(AA286*25%,"N/A")</f>
        <v>2402199.7559188</v>
      </c>
      <c r="AD286" s="539" cm="1">
        <f t="array" ref="AD286">IF(B286&gt;0,SUM(AA286:AC286),"N/A")</f>
        <v>12059042.7747124</v>
      </c>
      <c r="AE286" s="538" cm="1">
        <f t="array" ref="AE286">_xlfn.IFERROR(AD286/B286,"N/A")</f>
        <v>2009840.46245207</v>
      </c>
      <c r="AF286" s="424"/>
      <c r="AG286" t="str" s="546" cm="1">
        <f t="array" ref="AG286">IF(B286/VLOOKUP(C278,'Boats Data Sheet 2026'!$C$3:$H$57,6,0)&gt;VLOOKUP(C278,'Allocation OH and Target 2026'!$C$3:$J$23,8,0),IF(SUM(AH280:AH285)=0,AE286,"N/A"),"N/A")</f>
        <v>N/A</v>
      </c>
      <c r="AH286" s="424" cm="1">
        <f t="array" ref="AH286">IF(AG286="N/A",0,1)</f>
        <v>0</v>
      </c>
      <c r="AI286" t="str" s="547" cm="1">
        <f t="array" ref="AI286">IF(B286/VLOOKUP(C278,'Boats Data Sheet 2026'!$C$3:$H$57,6,0)&gt;VLOOKUP(C278,'Allocation OH and Target 2026'!$C$3:$J$23,8,0),IF(SUM(AH280:AH285)=0,S286/B286,"N/A"),"N/A")</f>
        <v>N/A</v>
      </c>
      <c r="AJ286" s="424" cm="1">
        <f t="array" ref="AJ286">IF(AI286="N/A",0,1)</f>
        <v>0</v>
      </c>
      <c r="AK286" t="str" s="527" cm="1">
        <f t="array" ref="AK286">IF(SUM($AG$120:$AG$137)*B286&lt;SUM(AA286:AB286),"NO GO","GO")</f>
        <v>NO GO</v>
      </c>
      <c r="AL286" s="424"/>
      <c r="AM286" s="568"/>
      <c r="AN286" s="538"/>
      <c r="AO286" s="538"/>
      <c r="AP286" s="542"/>
      <c r="AQ286" s="543" cm="1">
        <f t="array" ref="AQ286">B286</f>
        <v>6</v>
      </c>
      <c r="AR286" s="18"/>
    </row>
    <row r="287" ht="16" customHeight="1">
      <c r="A287" s="12"/>
      <c r="B287" s="544" cm="1">
        <f t="array" ref="B287">IF(B286=0,0,IF(B286&lt;VLOOKUP(C278,'Boats Data Sheet 2026'!$C$3:$H$57,6,0),B286+1,0))</f>
        <v>7</v>
      </c>
      <c r="C287" s="538" cm="1">
        <f t="array" ref="C287">IF(B287&gt;0,IF(VLOOKUP(C278,'Boats Data Sheet 2026'!$C$3:$J$57,8,0)="N/A",0,VLOOKUP(C278,'Boats Data Sheet 2026'!$C$3:$J$57,8,0)),"N/A")</f>
        <v>0</v>
      </c>
      <c r="D287" s="545" cm="1">
        <f t="array" ref="D287">IF(B287&gt;7,2,IF(B287=0,"N/A",1))</f>
        <v>1</v>
      </c>
      <c r="E287" s="538" cm="1">
        <f t="array" ref="E287">_xlfn.IFERROR(SUM('Direct Costs 2026'!$C$4:$C$5)*D287,"N/A")</f>
        <v>875500</v>
      </c>
      <c r="F287" s="538" cm="1">
        <f t="array" ref="F287">_xlfn.IFERROR('Direct Costs 2026'!$C$43*B287,"N/A")</f>
        <v>42000</v>
      </c>
      <c r="G287" s="538" cm="1">
        <f t="array" ref="G287">IF(B287&gt;0,'Direct Costs 2026'!$C$25,"N/A")</f>
        <v>90000</v>
      </c>
      <c r="H287" s="538" cm="1">
        <f t="array" ref="H287">IF(B287&gt;0,'Direct Costs 2026'!$C$19+'Direct Costs 2026'!$C$18*B287,"N/A")</f>
        <v>320000</v>
      </c>
      <c r="I287" s="538" cm="1">
        <f t="array" ref="I287">IF(B287&gt;0,SUM('Direct Costs 2026'!$C$20:$C$21),"N/A")</f>
        <v>98333.3333333333</v>
      </c>
      <c r="J287" s="538">
        <v>0</v>
      </c>
      <c r="K287" s="538" cm="1">
        <f t="array" ref="K287">_xlfn.IFERROR((IF(B287&gt;0,'Direct Costs 2026'!$C$15+'Direct Costs 2026'!$C$14,"N/A")),"N/A")</f>
        <v>230000</v>
      </c>
      <c r="L287" s="538" cm="1">
        <f t="array" ref="L287">IF(B287&gt;0,'Direct Costs 2026'!$C$26,"N/A")</f>
        <v>20000</v>
      </c>
      <c r="M287" s="538" cm="1">
        <f t="array" ref="M287">IF(B287&gt;0,'Direct Costs 2026'!$C$23,"N/A")</f>
        <v>140000</v>
      </c>
      <c r="N287" s="538" cm="1">
        <f t="array" ref="N287">IF(B287&gt;0,'Direct Costs 2026'!$C$44*B287,"N/A")</f>
        <v>770000</v>
      </c>
      <c r="O287" s="538" cm="1">
        <f t="array" ref="O287">IF(B287&gt;0,_xlfn.IFERROR(VLOOKUP(C278,'Boats Data Sheet 2026'!$C$3:$I$57,7,0)*'Direct Costs 2026'!$C$36,"N/A"),"N/A")</f>
        <v>3325000</v>
      </c>
      <c r="P287" s="538" cm="1">
        <f t="array" ref="P287">IF(B287&gt;0,IF(OR(VLOOKUP(C278,'Boats Data Sheet 2026'!$C$3:$F$57,4,0)="Own",VLOOKUP(C278,'Boats Data Sheet 2026'!$C$3:$F$57,4,0)="Management"),('Direct Costs 2026'!$C$37+'Direct Costs 2026'!$C$39),"N/A"),"N/A")</f>
        <v>1112400</v>
      </c>
      <c r="Q287" s="538" cm="1">
        <f t="array" ref="Q287">_xlfn.IFERROR(IF(B287&gt;5,IF(B287&gt;11,IF(B287&gt;15,4,3),2),IF(B287=0,"N/A",1))*SUM('Direct Costs 2026'!$C$67:$C$68),"N/A")</f>
        <v>979200</v>
      </c>
      <c r="R287" s="538" cm="1">
        <f t="array" ref="R287">_xlfn.IFERROR('Direct Costs 2026'!$C$27*C287,"N/A")</f>
        <v>0</v>
      </c>
      <c r="S287" s="538" cm="1">
        <f t="array" ref="S287">_xlfn.IFERROR(C287+SUM(E287:R287),"N/A")</f>
        <v>8002433.33333333</v>
      </c>
      <c r="T287" s="424"/>
      <c r="U287" s="538" cm="1">
        <f t="array" ref="U287">IF(B287&gt;0,'Allocation OH and Target 2026'!$E$27,"N/A")</f>
        <v>2134447.30345641</v>
      </c>
      <c r="V287" s="538" cm="1">
        <f t="array" ref="V287">IF(B287&gt;0,'Allocation OH and Target 2026'!$E$28,"N/A")</f>
        <v>200042.323056976</v>
      </c>
      <c r="W287" s="538" cm="1">
        <f t="array" ref="W287">IF(B287&gt;0,VLOOKUP(C278,'Allocation OH and Target 2026'!$C$3:$T$23,17,0),"N/A")</f>
        <v>965292.639603957</v>
      </c>
      <c r="X287" s="538" cm="1">
        <f t="array" ref="X287">IF(B287&gt;0,VLOOKUP(C278,'Allocation OH and Target 2026'!$C$3:$T$23,18,0),"N/A")</f>
        <v>92851.9586666665</v>
      </c>
      <c r="Y287" s="538" cm="1">
        <f t="array" ref="Y287">_xlfn.IFERROR(B287*(V287+X287),"N/A")</f>
        <v>2050259.9720655</v>
      </c>
      <c r="Z287" s="424"/>
      <c r="AA287" s="538" cm="1">
        <f t="array" ref="AA287">_xlfn.IFERROR(Y287+S287,"N/A")</f>
        <v>10052693.3053988</v>
      </c>
      <c r="AB287" s="538" cm="1">
        <f t="array" ref="AB287">_xlfn.IFERROR(AA287*0.5%,"N/A")</f>
        <v>50263.466526994</v>
      </c>
      <c r="AC287" s="538" cm="1">
        <f t="array" ref="AC287">_xlfn.IFERROR(AA287*25%,"N/A")</f>
        <v>2513173.3263497</v>
      </c>
      <c r="AD287" s="539" cm="1">
        <f t="array" ref="AD287">IF(B287&gt;0,SUM(AA287:AC287),"N/A")</f>
        <v>12616130.0982755</v>
      </c>
      <c r="AE287" s="538" cm="1">
        <f t="array" ref="AE287">_xlfn.IFERROR(AD287/B287,"N/A")</f>
        <v>1802304.29975364</v>
      </c>
      <c r="AF287" s="424"/>
      <c r="AG287" t="str" s="546" cm="1">
        <f t="array" ref="AG287">IF(B287/VLOOKUP(C278,'Boats Data Sheet 2026'!$C$3:$H$57,6,0)&gt;VLOOKUP(C278,'Allocation OH and Target 2026'!$C$3:$J$23,8,0),IF(SUM(AH280:AH286)=0,AE287,"N/A"),"N/A")</f>
        <v>N/A</v>
      </c>
      <c r="AH287" s="424" cm="1">
        <f t="array" ref="AH287">IF(AG287="N/A",0,1)</f>
        <v>0</v>
      </c>
      <c r="AI287" t="str" s="547" cm="1">
        <f t="array" ref="AI287">IF(B287/VLOOKUP(C278,'Boats Data Sheet 2026'!$C$3:$H$57,6,0)&gt;VLOOKUP(C278,'Allocation OH and Target 2026'!$C$3:$J$23,8,0),IF(SUM(AH280:AH286)=0,S287/B287,"N/A"),"N/A")</f>
        <v>N/A</v>
      </c>
      <c r="AJ287" s="424" cm="1">
        <f t="array" ref="AJ287">IF(AI287="N/A",0,1)</f>
        <v>0</v>
      </c>
      <c r="AK287" t="str" s="527" cm="1">
        <f t="array" ref="AK287">IF(SUM($AG$120:$AG$137)*B287&lt;SUM(AA287:AB287),"NO GO","GO")</f>
        <v>GO</v>
      </c>
      <c r="AL287" s="424"/>
      <c r="AM287" s="569"/>
      <c r="AN287" s="539"/>
      <c r="AO287" s="538"/>
      <c r="AP287" s="542"/>
      <c r="AQ287" s="543" cm="1">
        <f t="array" ref="AQ287">B287</f>
        <v>7</v>
      </c>
      <c r="AR287" s="18"/>
    </row>
    <row r="288" ht="16" customHeight="1">
      <c r="A288" s="12"/>
      <c r="B288" s="544" cm="1">
        <f t="array" ref="B288">IF(B287=0,0,IF(B287&lt;VLOOKUP(C278,'Boats Data Sheet 2026'!$C$3:$H$57,6,0),B287+1,0))</f>
        <v>8</v>
      </c>
      <c r="C288" s="538" cm="1">
        <f t="array" ref="C288">IF(B288&gt;0,IF(VLOOKUP(C278,'Boats Data Sheet 2026'!$C$3:$J$57,8,0)="N/A",0,VLOOKUP(C278,'Boats Data Sheet 2026'!$C$3:$J$57,8,0)),"N/A")</f>
        <v>0</v>
      </c>
      <c r="D288" s="545" cm="1">
        <f t="array" ref="D288">IF(B288&gt;7,2,IF(B288=0,"N/A",1))</f>
        <v>2</v>
      </c>
      <c r="E288" s="538" cm="1">
        <f t="array" ref="E288">_xlfn.IFERROR(SUM('Direct Costs 2026'!$C$4:$C$5)*D288,"N/A")</f>
        <v>1751000</v>
      </c>
      <c r="F288" s="538" cm="1">
        <f t="array" ref="F288">_xlfn.IFERROR('Direct Costs 2026'!$C$43*B288,"N/A")</f>
        <v>48000</v>
      </c>
      <c r="G288" s="538" cm="1">
        <f t="array" ref="G288">IF(B288&gt;0,'Direct Costs 2026'!$C$25,"N/A")</f>
        <v>90000</v>
      </c>
      <c r="H288" s="538" cm="1">
        <f t="array" ref="H288">IF(B288&gt;0,'Direct Costs 2026'!$C$19+'Direct Costs 2026'!$C$18*B288,"N/A")</f>
        <v>355000</v>
      </c>
      <c r="I288" s="538" cm="1">
        <f t="array" ref="I288">IF(B288&gt;0,SUM('Direct Costs 2026'!$C$20:$C$21),"N/A")</f>
        <v>98333.3333333333</v>
      </c>
      <c r="J288" s="538">
        <v>0</v>
      </c>
      <c r="K288" s="538" cm="1">
        <f t="array" ref="K288">_xlfn.IFERROR((IF(B288&gt;0,'Direct Costs 2026'!$C$15+'Direct Costs 2026'!$C$14,"N/A")),"N/A")</f>
        <v>230000</v>
      </c>
      <c r="L288" s="538" cm="1">
        <f t="array" ref="L288">IF(B288&gt;0,'Direct Costs 2026'!$C$26,"N/A")</f>
        <v>20000</v>
      </c>
      <c r="M288" s="538" cm="1">
        <f t="array" ref="M288">IF(B288&gt;0,'Direct Costs 2026'!$C$23,"N/A")</f>
        <v>140000</v>
      </c>
      <c r="N288" s="538" cm="1">
        <f t="array" ref="N288">IF(B288&gt;0,'Direct Costs 2026'!$C$44*B288,"N/A")</f>
        <v>880000</v>
      </c>
      <c r="O288" s="538" cm="1">
        <f t="array" ref="O288">IF(B288&gt;0,_xlfn.IFERROR(VLOOKUP(C278,'Boats Data Sheet 2026'!$C$3:$I$57,7,0)*'Direct Costs 2026'!$C$36,"N/A"),"N/A")</f>
        <v>3325000</v>
      </c>
      <c r="P288" s="538" cm="1">
        <f t="array" ref="P288">IF(B288&gt;0,IF(OR(VLOOKUP(C278,'Boats Data Sheet 2026'!$C$3:$F$57,4,0)="Own",VLOOKUP(C278,'Boats Data Sheet 2026'!$C$3:$F$57,4,0)="Management"),('Direct Costs 2026'!$C$37+'Direct Costs 2026'!$C$39),"N/A"),"N/A")</f>
        <v>1112400</v>
      </c>
      <c r="Q288" s="538" cm="1">
        <f t="array" ref="Q288">_xlfn.IFERROR(IF(B288&gt;5,IF(B288&gt;11,IF(B288&gt;15,4,3),2),IF(B288=0,"N/A",1))*SUM('Direct Costs 2026'!$C$67:$C$68),"N/A")</f>
        <v>979200</v>
      </c>
      <c r="R288" s="538" cm="1">
        <f t="array" ref="R288">_xlfn.IFERROR('Direct Costs 2026'!$C$27*C288,"N/A")</f>
        <v>0</v>
      </c>
      <c r="S288" s="538" cm="1">
        <f t="array" ref="S288">_xlfn.IFERROR(C288+SUM(E288:R288),"N/A")</f>
        <v>9028933.33333333</v>
      </c>
      <c r="T288" s="424"/>
      <c r="U288" s="538" cm="1">
        <f t="array" ref="U288">IF(B288&gt;0,'Allocation OH and Target 2026'!$E$27,"N/A")</f>
        <v>2134447.30345641</v>
      </c>
      <c r="V288" s="538" cm="1">
        <f t="array" ref="V288">IF(B288&gt;0,'Allocation OH and Target 2026'!$E$28,"N/A")</f>
        <v>200042.323056976</v>
      </c>
      <c r="W288" s="538" cm="1">
        <f t="array" ref="W288">IF(B288&gt;0,VLOOKUP(C278,'Allocation OH and Target 2026'!$C$3:$T$23,17,0),"N/A")</f>
        <v>965292.639603957</v>
      </c>
      <c r="X288" s="538" cm="1">
        <f t="array" ref="X288">IF(B288&gt;0,VLOOKUP(C278,'Allocation OH and Target 2026'!$C$3:$T$23,18,0),"N/A")</f>
        <v>92851.9586666665</v>
      </c>
      <c r="Y288" s="538" cm="1">
        <f t="array" ref="Y288">_xlfn.IFERROR(B288*(V288+X288),"N/A")</f>
        <v>2343154.25378914</v>
      </c>
      <c r="Z288" s="424"/>
      <c r="AA288" s="538" cm="1">
        <f t="array" ref="AA288">_xlfn.IFERROR(Y288+S288,"N/A")</f>
        <v>11372087.5871225</v>
      </c>
      <c r="AB288" s="538" cm="1">
        <f t="array" ref="AB288">_xlfn.IFERROR(AA288*0.5%,"N/A")</f>
        <v>56860.4379356125</v>
      </c>
      <c r="AC288" s="538" cm="1">
        <f t="array" ref="AC288">_xlfn.IFERROR(AA288*25%,"N/A")</f>
        <v>2843021.89678063</v>
      </c>
      <c r="AD288" s="539" cm="1">
        <f t="array" ref="AD288">IF(B288&gt;0,SUM(AA288:AC288),"N/A")</f>
        <v>14271969.9218387</v>
      </c>
      <c r="AE288" s="538" cm="1">
        <f t="array" ref="AE288">_xlfn.IFERROR(AD288/B288,"N/A")</f>
        <v>1783996.24022984</v>
      </c>
      <c r="AF288" s="424"/>
      <c r="AG288" t="str" s="546" cm="1">
        <f t="array" ref="AG288">IF(B288/VLOOKUP(C278,'Boats Data Sheet 2026'!$C$3:$H$57,6,0)&gt;VLOOKUP(C278,'Allocation OH and Target 2026'!$C$3:$J$23,8,0),IF(SUM(AH280:AH287)=0,AE288,"N/A"),"N/A")</f>
        <v>N/A</v>
      </c>
      <c r="AH288" s="424" cm="1">
        <f t="array" ref="AH288">IF(AG288="N/A",0,1)</f>
        <v>0</v>
      </c>
      <c r="AI288" t="str" s="547" cm="1">
        <f t="array" ref="AI288">IF(B288/VLOOKUP(C278,'Boats Data Sheet 2026'!$C$3:$H$57,6,0)&gt;VLOOKUP(C278,'Allocation OH and Target 2026'!$C$3:$J$23,8,0),IF(SUM(AH280:AH287)=0,S288/B288,"N/A"),"N/A")</f>
        <v>N/A</v>
      </c>
      <c r="AJ288" s="424" cm="1">
        <f t="array" ref="AJ288">IF(AI288="N/A",0,1)</f>
        <v>0</v>
      </c>
      <c r="AK288" t="str" s="527" cm="1">
        <f t="array" ref="AK288">IF(SUM($AG$120:$AG$137)*B288&lt;SUM(AA288:AB288),"NO GO","GO")</f>
        <v>GO</v>
      </c>
      <c r="AL288" s="424"/>
      <c r="AM288" s="538"/>
      <c r="AN288" s="538"/>
      <c r="AO288" s="538"/>
      <c r="AP288" s="542"/>
      <c r="AQ288" s="543" cm="1">
        <f t="array" ref="AQ288">B288</f>
        <v>8</v>
      </c>
      <c r="AR288" s="18"/>
    </row>
    <row r="289" ht="16" customHeight="1">
      <c r="A289" s="12"/>
      <c r="B289" s="544" cm="1">
        <f t="array" ref="B289">IF(B288=0,0,IF(B288&lt;VLOOKUP(C278,'Boats Data Sheet 2026'!$C$3:$H$57,6,0),B288+1,0))</f>
        <v>9</v>
      </c>
      <c r="C289" s="538" cm="1">
        <f t="array" ref="C289">IF(B289&gt;0,IF(VLOOKUP(C278,'Boats Data Sheet 2026'!$C$3:$J$57,8,0)="N/A",0,VLOOKUP(C278,'Boats Data Sheet 2026'!$C$3:$J$57,8,0)),"N/A")</f>
        <v>0</v>
      </c>
      <c r="D289" s="545" cm="1">
        <f t="array" ref="D289">IF(B289&gt;7,2,IF(B289=0,"N/A",1))</f>
        <v>2</v>
      </c>
      <c r="E289" s="538" cm="1">
        <f t="array" ref="E289">_xlfn.IFERROR(SUM('Direct Costs 2026'!$C$4:$C$5)*D289,"N/A")</f>
        <v>1751000</v>
      </c>
      <c r="F289" s="538" cm="1">
        <f t="array" ref="F289">_xlfn.IFERROR('Direct Costs 2026'!$C$43*B289,"N/A")</f>
        <v>54000</v>
      </c>
      <c r="G289" s="538" cm="1">
        <f t="array" ref="G289">IF(B289&gt;0,'Direct Costs 2026'!$C$25,"N/A")</f>
        <v>90000</v>
      </c>
      <c r="H289" s="538" cm="1">
        <f t="array" ref="H289">IF(B289&gt;0,'Direct Costs 2026'!$C$19+'Direct Costs 2026'!$C$18*B289,"N/A")</f>
        <v>390000</v>
      </c>
      <c r="I289" s="538" cm="1">
        <f t="array" ref="I289">IF(B289&gt;0,SUM('Direct Costs 2026'!$C$20:$C$21),"N/A")</f>
        <v>98333.3333333333</v>
      </c>
      <c r="J289" s="538">
        <v>0</v>
      </c>
      <c r="K289" s="538" cm="1">
        <f t="array" ref="K289">_xlfn.IFERROR((IF(B289&gt;0,'Direct Costs 2026'!$C$15+'Direct Costs 2026'!$C$14,"N/A")),"N/A")</f>
        <v>230000</v>
      </c>
      <c r="L289" s="538" cm="1">
        <f t="array" ref="L289">IF(B289&gt;0,'Direct Costs 2026'!$C$26,"N/A")</f>
        <v>20000</v>
      </c>
      <c r="M289" s="538" cm="1">
        <f t="array" ref="M289">IF(B289&gt;0,'Direct Costs 2026'!$C$23,"N/A")</f>
        <v>140000</v>
      </c>
      <c r="N289" s="538" cm="1">
        <f t="array" ref="N289">IF(B289&gt;0,'Direct Costs 2026'!$C$44*B289,"N/A")</f>
        <v>990000</v>
      </c>
      <c r="O289" s="538" cm="1">
        <f t="array" ref="O289">IF(B289&gt;0,_xlfn.IFERROR(VLOOKUP(C278,'Boats Data Sheet 2026'!$C$3:$I$57,7,0)*'Direct Costs 2026'!$C$36,"N/A"),"N/A")</f>
        <v>3325000</v>
      </c>
      <c r="P289" s="538" cm="1">
        <f t="array" ref="P289">IF(B289&gt;0,IF(OR(VLOOKUP(C278,'Boats Data Sheet 2026'!$C$3:$F$57,4,0)="Own",VLOOKUP(C278,'Boats Data Sheet 2026'!$C$3:$F$57,4,0)="Management"),('Direct Costs 2026'!$C$37+'Direct Costs 2026'!$C$39),"N/A"),"N/A")</f>
        <v>1112400</v>
      </c>
      <c r="Q289" s="538" cm="1">
        <f t="array" ref="Q289">_xlfn.IFERROR(IF(B289&gt;5,IF(B289&gt;11,IF(B289&gt;15,4,3),2),IF(B289=0,"N/A",1))*SUM('Direct Costs 2026'!$C$67:$C$68),"N/A")</f>
        <v>979200</v>
      </c>
      <c r="R289" s="538" cm="1">
        <f t="array" ref="R289">_xlfn.IFERROR('Direct Costs 2026'!$C$27*C289,"N/A")</f>
        <v>0</v>
      </c>
      <c r="S289" s="538" cm="1">
        <f t="array" ref="S289">_xlfn.IFERROR(C289+SUM(E289:R289),"N/A")</f>
        <v>9179933.33333333</v>
      </c>
      <c r="T289" s="424"/>
      <c r="U289" s="538" cm="1">
        <f t="array" ref="U289">IF(B289&gt;0,'Allocation OH and Target 2026'!$E$27,"N/A")</f>
        <v>2134447.30345641</v>
      </c>
      <c r="V289" s="538" cm="1">
        <f t="array" ref="V289">IF(B289&gt;0,'Allocation OH and Target 2026'!$E$28,"N/A")</f>
        <v>200042.323056976</v>
      </c>
      <c r="W289" s="538" cm="1">
        <f t="array" ref="W289">IF(B289&gt;0,VLOOKUP(C278,'Allocation OH and Target 2026'!$C$3:$T$23,17,0),"N/A")</f>
        <v>965292.639603957</v>
      </c>
      <c r="X289" s="538" cm="1">
        <f t="array" ref="X289">IF(B289&gt;0,VLOOKUP(C278,'Allocation OH and Target 2026'!$C$3:$T$23,18,0),"N/A")</f>
        <v>92851.9586666665</v>
      </c>
      <c r="Y289" s="538" cm="1">
        <f t="array" ref="Y289">_xlfn.IFERROR(B289*(V289+X289),"N/A")</f>
        <v>2636048.53551278</v>
      </c>
      <c r="Z289" s="424"/>
      <c r="AA289" s="538" cm="1">
        <f t="array" ref="AA289">_xlfn.IFERROR(Y289+S289,"N/A")</f>
        <v>11815981.8688461</v>
      </c>
      <c r="AB289" s="538" cm="1">
        <f t="array" ref="AB289">_xlfn.IFERROR(AA289*0.5%,"N/A")</f>
        <v>59079.9093442305</v>
      </c>
      <c r="AC289" s="538" cm="1">
        <f t="array" ref="AC289">_xlfn.IFERROR(AA289*25%,"N/A")</f>
        <v>2953995.46721153</v>
      </c>
      <c r="AD289" s="539" cm="1">
        <f t="array" ref="AD289">IF(B289&gt;0,SUM(AA289:AC289),"N/A")</f>
        <v>14829057.2454019</v>
      </c>
      <c r="AE289" s="538" cm="1">
        <f t="array" ref="AE289">_xlfn.IFERROR(AD289/B289,"N/A")</f>
        <v>1647673.02726688</v>
      </c>
      <c r="AF289" s="424"/>
      <c r="AG289" t="str" s="546" cm="1">
        <f t="array" ref="AG289">IF(B289/VLOOKUP(C278,'Boats Data Sheet 2026'!$C$3:$H$57,6,0)&gt;VLOOKUP(C278,'Allocation OH and Target 2026'!$C$3:$J$23,8,0),IF(SUM(AH280:AH288)=0,AE289,"N/A"),"N/A")</f>
        <v>N/A</v>
      </c>
      <c r="AH289" s="424" cm="1">
        <f t="array" ref="AH289">IF(AG289="N/A",0,1)</f>
        <v>0</v>
      </c>
      <c r="AI289" t="str" s="547" cm="1">
        <f t="array" ref="AI289">IF(B289/VLOOKUP(C278,'Boats Data Sheet 2026'!$C$3:$H$57,6,0)&gt;VLOOKUP(C278,'Allocation OH and Target 2026'!$C$3:$J$23,8,0),IF(SUM(AH280:AH288)=0,S289/B289,"N/A"),"N/A")</f>
        <v>N/A</v>
      </c>
      <c r="AJ289" s="424" cm="1">
        <f t="array" ref="AJ289">IF(AI289="N/A",0,1)</f>
        <v>0</v>
      </c>
      <c r="AK289" t="str" s="527" cm="1">
        <f t="array" ref="AK289">IF(SUM($AG$120:$AG$137)*B289&lt;SUM(AA289:AB289),"NO GO","GO")</f>
        <v>GO</v>
      </c>
      <c r="AL289" s="424"/>
      <c r="AM289" s="538"/>
      <c r="AN289" s="538"/>
      <c r="AO289" s="538"/>
      <c r="AP289" s="542"/>
      <c r="AQ289" s="543" cm="1">
        <f t="array" ref="AQ289">B289</f>
        <v>9</v>
      </c>
      <c r="AR289" s="18"/>
    </row>
    <row r="290" ht="16" customHeight="1">
      <c r="A290" s="12"/>
      <c r="B290" s="544" cm="1">
        <f t="array" ref="B290">IF(B289=0,0,IF(B289&lt;VLOOKUP(C278,'Boats Data Sheet 2026'!$C$3:$H$57,6,0),B289+1,0))</f>
        <v>10</v>
      </c>
      <c r="C290" s="538" cm="1">
        <f t="array" ref="C290">IF(B290&gt;0,IF(VLOOKUP(C278,'Boats Data Sheet 2026'!$C$3:$J$57,8,0)="N/A",0,VLOOKUP(C278,'Boats Data Sheet 2026'!$C$3:$J$57,8,0)),"N/A")</f>
        <v>0</v>
      </c>
      <c r="D290" s="545" cm="1">
        <f t="array" ref="D290">IF(B290&gt;7,2,IF(B290=0,"N/A",1))</f>
        <v>2</v>
      </c>
      <c r="E290" s="538" cm="1">
        <f t="array" ref="E290">_xlfn.IFERROR(SUM('Direct Costs 2026'!$C$4:$C$5)*D290,"N/A")</f>
        <v>1751000</v>
      </c>
      <c r="F290" s="538" cm="1">
        <f t="array" ref="F290">_xlfn.IFERROR('Direct Costs 2026'!$C$43*B290,"N/A")</f>
        <v>60000</v>
      </c>
      <c r="G290" s="538" cm="1">
        <f t="array" ref="G290">IF(B290&gt;0,'Direct Costs 2026'!$C$25,"N/A")</f>
        <v>90000</v>
      </c>
      <c r="H290" s="538" cm="1">
        <f t="array" ref="H290">IF(B290&gt;0,'Direct Costs 2026'!$C$19+'Direct Costs 2026'!$C$18*B290,"N/A")</f>
        <v>425000</v>
      </c>
      <c r="I290" s="538" cm="1">
        <f t="array" ref="I290">IF(B290&gt;0,SUM('Direct Costs 2026'!$C$20:$C$21),"N/A")</f>
        <v>98333.3333333333</v>
      </c>
      <c r="J290" s="538">
        <v>0</v>
      </c>
      <c r="K290" s="538" cm="1">
        <f t="array" ref="K290">_xlfn.IFERROR((IF(B290&gt;0,'Direct Costs 2026'!$C$15+'Direct Costs 2026'!$C$14,"N/A")),"N/A")</f>
        <v>230000</v>
      </c>
      <c r="L290" s="538" cm="1">
        <f t="array" ref="L290">IF(B290&gt;0,'Direct Costs 2026'!$C$26,"N/A")</f>
        <v>20000</v>
      </c>
      <c r="M290" s="538" cm="1">
        <f t="array" ref="M290">IF(B290&gt;0,'Direct Costs 2026'!$C$23,"N/A")</f>
        <v>140000</v>
      </c>
      <c r="N290" s="538" cm="1">
        <f t="array" ref="N290">IF(B290&gt;0,'Direct Costs 2026'!$C$44*B290,"N/A")</f>
        <v>1100000</v>
      </c>
      <c r="O290" s="538" cm="1">
        <f t="array" ref="O290">IF(B290&gt;0,_xlfn.IFERROR(VLOOKUP(C278,'Boats Data Sheet 2026'!$C$3:$I$57,7,0)*'Direct Costs 2026'!$C$36,"N/A"),"N/A")</f>
        <v>3325000</v>
      </c>
      <c r="P290" s="538" cm="1">
        <f t="array" ref="P290">IF(B290&gt;0,IF(OR(VLOOKUP(C278,'Boats Data Sheet 2026'!$C$3:$F$57,4,0)="Own",VLOOKUP(C278,'Boats Data Sheet 2026'!$C$3:$F$57,4,0)="Management"),('Direct Costs 2026'!$C$37+'Direct Costs 2026'!$C$39),"N/A"),"N/A")</f>
        <v>1112400</v>
      </c>
      <c r="Q290" s="538" cm="1">
        <f t="array" ref="Q290">_xlfn.IFERROR(IF(B290&gt;5,IF(B290&gt;11,IF(B290&gt;15,4,3),2),IF(B290=0,"N/A",1))*SUM('Direct Costs 2026'!$C$67:$C$68),"N/A")</f>
        <v>979200</v>
      </c>
      <c r="R290" s="538" cm="1">
        <f t="array" ref="R290">_xlfn.IFERROR('Direct Costs 2026'!$C$27*C290,"N/A")</f>
        <v>0</v>
      </c>
      <c r="S290" s="538" cm="1">
        <f t="array" ref="S290">_xlfn.IFERROR(C290+SUM(E290:R290),"N/A")</f>
        <v>9330933.33333333</v>
      </c>
      <c r="T290" s="424"/>
      <c r="U290" s="538" cm="1">
        <f t="array" ref="U290">IF(B290&gt;0,'Allocation OH and Target 2026'!$E$27,"N/A")</f>
        <v>2134447.30345641</v>
      </c>
      <c r="V290" s="538" cm="1">
        <f t="array" ref="V290">IF(B290&gt;0,'Allocation OH and Target 2026'!$E$28,"N/A")</f>
        <v>200042.323056976</v>
      </c>
      <c r="W290" s="538" cm="1">
        <f t="array" ref="W290">IF(B290&gt;0,VLOOKUP(C278,'Allocation OH and Target 2026'!$C$3:$T$23,17,0),"N/A")</f>
        <v>965292.639603957</v>
      </c>
      <c r="X290" s="538" cm="1">
        <f t="array" ref="X290">IF(B290&gt;0,VLOOKUP(C278,'Allocation OH and Target 2026'!$C$3:$T$23,18,0),"N/A")</f>
        <v>92851.9586666665</v>
      </c>
      <c r="Y290" s="538" cm="1">
        <f t="array" ref="Y290">_xlfn.IFERROR(B290*(V290+X290),"N/A")</f>
        <v>2928942.81723643</v>
      </c>
      <c r="Z290" s="424"/>
      <c r="AA290" s="538" cm="1">
        <f t="array" ref="AA290">_xlfn.IFERROR(Y290+S290,"N/A")</f>
        <v>12259876.1505698</v>
      </c>
      <c r="AB290" s="538" cm="1">
        <f t="array" ref="AB290">_xlfn.IFERROR(AA290*0.5%,"N/A")</f>
        <v>61299.380752849</v>
      </c>
      <c r="AC290" s="538" cm="1">
        <f t="array" ref="AC290">_xlfn.IFERROR(AA290*25%,"N/A")</f>
        <v>3064969.03764245</v>
      </c>
      <c r="AD290" s="539" cm="1">
        <f t="array" ref="AD290">IF(B290&gt;0,SUM(AA290:AC290),"N/A")</f>
        <v>15386144.5689651</v>
      </c>
      <c r="AE290" s="538" cm="1">
        <f t="array" ref="AE290">_xlfn.IFERROR(AD290/B290,"N/A")</f>
        <v>1538614.45689651</v>
      </c>
      <c r="AF290" s="424"/>
      <c r="AG290" t="str" s="546" cm="1">
        <f t="array" ref="AG290">IF(B290/VLOOKUP(C278,'Boats Data Sheet 2026'!$C$3:$H$57,6,0)&gt;VLOOKUP(C278,'Allocation OH and Target 2026'!$C$3:$J$23,8,0),IF(SUM(AH280:AH289)=0,AE290,"N/A"),"N/A")</f>
        <v>N/A</v>
      </c>
      <c r="AH290" s="424" cm="1">
        <f t="array" ref="AH290">IF(AG290="N/A",0,1)</f>
        <v>0</v>
      </c>
      <c r="AI290" t="str" s="547" cm="1">
        <f t="array" ref="AI290">IF(B290/VLOOKUP(C278,'Boats Data Sheet 2026'!$C$3:$H$57,6,0)&gt;VLOOKUP(C278,'Allocation OH and Target 2026'!$C$3:$J$23,8,0),IF(SUM(AH280:AH289)=0,S290/B290,"N/A"),"N/A")</f>
        <v>N/A</v>
      </c>
      <c r="AJ290" s="424" cm="1">
        <f t="array" ref="AJ290">IF(AI290="N/A",0,1)</f>
        <v>0</v>
      </c>
      <c r="AK290" t="str" s="527" cm="1">
        <f t="array" ref="AK290">IF(SUM($AG$120:$AG$137)*B290&lt;SUM(AA290:AB290),"NO GO","GO")</f>
        <v>GO</v>
      </c>
      <c r="AL290" s="424"/>
      <c r="AM290" s="538"/>
      <c r="AN290" s="538"/>
      <c r="AO290" s="538"/>
      <c r="AP290" s="542"/>
      <c r="AQ290" s="543" cm="1">
        <f t="array" ref="AQ290">B290</f>
        <v>10</v>
      </c>
      <c r="AR290" s="18"/>
    </row>
    <row r="291" ht="16" customHeight="1">
      <c r="A291" s="12"/>
      <c r="B291" s="544" cm="1">
        <f t="array" ref="B291">IF(B290=0,0,IF(B290&lt;VLOOKUP(C278,'Boats Data Sheet 2026'!$C$3:$H$57,6,0),B290+1,0))</f>
        <v>11</v>
      </c>
      <c r="C291" s="538" cm="1">
        <f t="array" ref="C291">IF(B291&gt;0,IF(VLOOKUP(C278,'Boats Data Sheet 2026'!$C$3:$J$57,8,0)="N/A",0,VLOOKUP(C278,'Boats Data Sheet 2026'!$C$3:$J$57,8,0)),"N/A")</f>
        <v>0</v>
      </c>
      <c r="D291" s="545" cm="1">
        <f t="array" ref="D291">IF(B291&gt;7,2,IF(B291=0,"N/A",1))</f>
        <v>2</v>
      </c>
      <c r="E291" s="538" cm="1">
        <f t="array" ref="E291">_xlfn.IFERROR(SUM('Direct Costs 2026'!$C$4:$C$5)*D291,"N/A")</f>
        <v>1751000</v>
      </c>
      <c r="F291" s="538" cm="1">
        <f t="array" ref="F291">_xlfn.IFERROR('Direct Costs 2026'!$C$43*B291,"N/A")</f>
        <v>66000</v>
      </c>
      <c r="G291" s="538" cm="1">
        <f t="array" ref="G291">IF(B291&gt;0,'Direct Costs 2026'!$C$25,"N/A")</f>
        <v>90000</v>
      </c>
      <c r="H291" s="538" cm="1">
        <f t="array" ref="H291">IF(B291&gt;0,'Direct Costs 2026'!$C$19+'Direct Costs 2026'!$C$18*B291,"N/A")</f>
        <v>460000</v>
      </c>
      <c r="I291" s="538" cm="1">
        <f t="array" ref="I291">IF(B291&gt;0,SUM('Direct Costs 2026'!$C$20:$C$21),"N/A")</f>
        <v>98333.3333333333</v>
      </c>
      <c r="J291" s="538">
        <v>0</v>
      </c>
      <c r="K291" s="538" cm="1">
        <f t="array" ref="K291">_xlfn.IFERROR((IF(B291&gt;0,'Direct Costs 2026'!$C$15+'Direct Costs 2026'!$C$14,"N/A")),"N/A")</f>
        <v>230000</v>
      </c>
      <c r="L291" s="538" cm="1">
        <f t="array" ref="L291">IF(B291&gt;0,'Direct Costs 2026'!$C$26,"N/A")</f>
        <v>20000</v>
      </c>
      <c r="M291" s="538" cm="1">
        <f t="array" ref="M291">IF(B291&gt;0,'Direct Costs 2026'!$C$23,"N/A")</f>
        <v>140000</v>
      </c>
      <c r="N291" s="538" cm="1">
        <f t="array" ref="N291">IF(B291&gt;0,'Direct Costs 2026'!$C$44*B291,"N/A")</f>
        <v>1210000</v>
      </c>
      <c r="O291" s="538" cm="1">
        <f t="array" ref="O291">IF(B291&gt;0,_xlfn.IFERROR(VLOOKUP(C278,'Boats Data Sheet 2026'!$C$3:$I$57,7,0)*'Direct Costs 2026'!$C$36,"N/A"),"N/A")</f>
        <v>3325000</v>
      </c>
      <c r="P291" s="538" cm="1">
        <f t="array" ref="P291">IF(B291&gt;0,IF(OR(VLOOKUP(C278,'Boats Data Sheet 2026'!$C$3:$F$57,4,0)="Own",VLOOKUP(C278,'Boats Data Sheet 2026'!$C$3:$F$57,4,0)="Management"),('Direct Costs 2026'!$C$37+'Direct Costs 2026'!$C$39),"N/A"),"N/A")</f>
        <v>1112400</v>
      </c>
      <c r="Q291" s="538" cm="1">
        <f t="array" ref="Q291">_xlfn.IFERROR(IF(B291&gt;5,IF(B291&gt;11,IF(B291&gt;15,4,3),2),IF(B291=0,"N/A",1))*SUM('Direct Costs 2026'!$C$67:$C$68),"N/A")</f>
        <v>979200</v>
      </c>
      <c r="R291" s="538" cm="1">
        <f t="array" ref="R291">_xlfn.IFERROR('Direct Costs 2026'!$C$27*C291,"N/A")</f>
        <v>0</v>
      </c>
      <c r="S291" s="538" cm="1">
        <f t="array" ref="S291">_xlfn.IFERROR(C291+SUM(E291:R291),"N/A")</f>
        <v>9481933.33333333</v>
      </c>
      <c r="T291" s="424"/>
      <c r="U291" s="538" cm="1">
        <f t="array" ref="U291">IF(B291&gt;0,'Allocation OH and Target 2026'!$E$27,"N/A")</f>
        <v>2134447.30345641</v>
      </c>
      <c r="V291" s="538" cm="1">
        <f t="array" ref="V291">IF(B291&gt;0,'Allocation OH and Target 2026'!$E$28,"N/A")</f>
        <v>200042.323056976</v>
      </c>
      <c r="W291" s="538" cm="1">
        <f t="array" ref="W291">IF(B291&gt;0,VLOOKUP(C278,'Allocation OH and Target 2026'!$C$3:$T$23,17,0),"N/A")</f>
        <v>965292.639603957</v>
      </c>
      <c r="X291" s="538" cm="1">
        <f t="array" ref="X291">IF(B291&gt;0,VLOOKUP(C278,'Allocation OH and Target 2026'!$C$3:$T$23,18,0),"N/A")</f>
        <v>92851.9586666665</v>
      </c>
      <c r="Y291" s="538" cm="1">
        <f t="array" ref="Y291">_xlfn.IFERROR(B291*(V291+X291),"N/A")</f>
        <v>3221837.09896007</v>
      </c>
      <c r="Z291" s="424"/>
      <c r="AA291" s="538" cm="1">
        <f t="array" ref="AA291">_xlfn.IFERROR(Y291+S291,"N/A")</f>
        <v>12703770.4322934</v>
      </c>
      <c r="AB291" s="538" cm="1">
        <f t="array" ref="AB291">_xlfn.IFERROR(AA291*0.5%,"N/A")</f>
        <v>63518.852161467</v>
      </c>
      <c r="AC291" s="538" cm="1">
        <f t="array" ref="AC291">_xlfn.IFERROR(AA291*25%,"N/A")</f>
        <v>3175942.60807335</v>
      </c>
      <c r="AD291" s="539" cm="1">
        <f t="array" ref="AD291">IF(B291&gt;0,SUM(AA291:AC291),"N/A")</f>
        <v>15943231.8925282</v>
      </c>
      <c r="AE291" s="538" cm="1">
        <f t="array" ref="AE291">_xlfn.IFERROR(AD291/B291,"N/A")</f>
        <v>1449384.71750256</v>
      </c>
      <c r="AF291" s="424"/>
      <c r="AG291" s="539" cm="1">
        <f t="array" ref="AG291">IF(B291/VLOOKUP(C278,'Boats Data Sheet 2026'!$C$3:$H$57,6,0)&gt;VLOOKUP(C278,'Allocation OH and Target 2026'!$C$3:$J$23,8,0),IF(SUM(AH280:AH290)=0,AE291,"N/A"),"N/A")</f>
        <v>1449384.71750256</v>
      </c>
      <c r="AH291" s="424" cm="1">
        <f t="array" ref="AH291">IF(AG291="N/A",0,1)</f>
        <v>1</v>
      </c>
      <c r="AI291" s="538" cm="1">
        <f t="array" ref="AI291">IF(B291/VLOOKUP(C278,'Boats Data Sheet 2026'!$C$3:$H$57,6,0)&gt;VLOOKUP(C278,'Allocation OH and Target 2026'!$C$3:$J$23,8,0),IF(SUM(AH280:AH290)=0,S291/B291,"N/A"),"N/A")</f>
        <v>861993.939393939</v>
      </c>
      <c r="AJ291" s="424" cm="1">
        <f t="array" ref="AJ291">IF(AI291="N/A",0,1)</f>
        <v>1</v>
      </c>
      <c r="AK291" t="str" s="527" cm="1">
        <f t="array" ref="AK291">IF(SUM($AG$120:$AG$137)*B291&lt;SUM(AA291:AB291),"NO GO","GO")</f>
        <v>GO</v>
      </c>
      <c r="AL291" s="424"/>
      <c r="AM291" s="538"/>
      <c r="AN291" s="538"/>
      <c r="AO291" s="538"/>
      <c r="AP291" s="542"/>
      <c r="AQ291" s="543" cm="1">
        <f t="array" ref="AQ291">B291</f>
        <v>11</v>
      </c>
      <c r="AR291" s="18"/>
    </row>
    <row r="292" ht="16" customHeight="1">
      <c r="A292" s="12"/>
      <c r="B292" s="544" cm="1">
        <f t="array" ref="B292">IF(B291=0,0,IF(B291&lt;VLOOKUP(C278,'Boats Data Sheet 2026'!$C$3:$H$57,6,0),B291+1,0))</f>
        <v>12</v>
      </c>
      <c r="C292" s="538" cm="1">
        <f t="array" ref="C292">IF(B292&gt;0,IF(VLOOKUP(C278,'Boats Data Sheet 2026'!$C$3:$J$57,8,0)="N/A",0,VLOOKUP(C278,'Boats Data Sheet 2026'!$C$3:$J$57,8,0)),"N/A")</f>
        <v>0</v>
      </c>
      <c r="D292" s="545" cm="1">
        <f t="array" ref="D292">IF(B292&gt;7,2,IF(B292=0,"N/A",1))</f>
        <v>2</v>
      </c>
      <c r="E292" s="538" cm="1">
        <f t="array" ref="E292">_xlfn.IFERROR(SUM('Direct Costs 2026'!$C$4:$C$5)*D292,"N/A")</f>
        <v>1751000</v>
      </c>
      <c r="F292" s="538" cm="1">
        <f t="array" ref="F292">_xlfn.IFERROR('Direct Costs 2026'!$C$43*B292,"N/A")</f>
        <v>72000</v>
      </c>
      <c r="G292" s="538" cm="1">
        <f t="array" ref="G292">IF(B292&gt;0,'Direct Costs 2026'!$C$25,"N/A")</f>
        <v>90000</v>
      </c>
      <c r="H292" s="538" cm="1">
        <f t="array" ref="H292">IF(B292&gt;0,'Direct Costs 2026'!$C$19+'Direct Costs 2026'!$C$18*B292,"N/A")</f>
        <v>495000</v>
      </c>
      <c r="I292" s="538" cm="1">
        <f t="array" ref="I292">IF(B292&gt;0,SUM('Direct Costs 2026'!$C$20:$C$21),"N/A")</f>
        <v>98333.3333333333</v>
      </c>
      <c r="J292" s="538">
        <v>0</v>
      </c>
      <c r="K292" s="538" cm="1">
        <f t="array" ref="K292">_xlfn.IFERROR((IF(B292&gt;0,'Direct Costs 2026'!$C$15+'Direct Costs 2026'!$C$14,"N/A")),"N/A")</f>
        <v>230000</v>
      </c>
      <c r="L292" s="538" cm="1">
        <f t="array" ref="L292">IF(B292&gt;0,'Direct Costs 2026'!$C$26,"N/A")</f>
        <v>20000</v>
      </c>
      <c r="M292" s="538" cm="1">
        <f t="array" ref="M292">IF(B292&gt;0,'Direct Costs 2026'!$C$23,"N/A")</f>
        <v>140000</v>
      </c>
      <c r="N292" s="538" cm="1">
        <f t="array" ref="N292">IF(B292&gt;0,'Direct Costs 2026'!$C$44*B292,"N/A")</f>
        <v>1320000</v>
      </c>
      <c r="O292" s="538" cm="1">
        <f t="array" ref="O292">IF(B292&gt;0,_xlfn.IFERROR(VLOOKUP(C278,'Boats Data Sheet 2026'!$C$3:$I$57,7,0)*'Direct Costs 2026'!$C$36,"N/A"),"N/A")</f>
        <v>3325000</v>
      </c>
      <c r="P292" s="538" cm="1">
        <f t="array" ref="P292">IF(B292&gt;0,IF(OR(VLOOKUP(C278,'Boats Data Sheet 2026'!$C$3:$F$57,4,0)="Own",VLOOKUP(C278,'Boats Data Sheet 2026'!$C$3:$F$57,4,0)="Management"),('Direct Costs 2026'!$C$37+'Direct Costs 2026'!$C$39),"N/A"),"N/A")</f>
        <v>1112400</v>
      </c>
      <c r="Q292" s="538" cm="1">
        <f t="array" ref="Q292">_xlfn.IFERROR(IF(B292&gt;5,IF(B292&gt;11,IF(B292&gt;15,4,3),2),IF(B292=0,"N/A",1))*SUM('Direct Costs 2026'!$C$67:$C$68),"N/A")</f>
        <v>1468800</v>
      </c>
      <c r="R292" s="538" cm="1">
        <f t="array" ref="R292">_xlfn.IFERROR('Direct Costs 2026'!$C$27*C292,"N/A")</f>
        <v>0</v>
      </c>
      <c r="S292" s="538" cm="1">
        <f t="array" ref="S292">_xlfn.IFERROR(C292+SUM(E292:R292),"N/A")</f>
        <v>10122533.3333333</v>
      </c>
      <c r="T292" s="424"/>
      <c r="U292" s="538" cm="1">
        <f t="array" ref="U292">IF(B292&gt;0,'Allocation OH and Target 2026'!$E$27,"N/A")</f>
        <v>2134447.30345641</v>
      </c>
      <c r="V292" s="538" cm="1">
        <f t="array" ref="V292">IF(B292&gt;0,'Allocation OH and Target 2026'!$E$28,"N/A")</f>
        <v>200042.323056976</v>
      </c>
      <c r="W292" s="538" cm="1">
        <f t="array" ref="W292">IF(B292&gt;0,VLOOKUP(C278,'Allocation OH and Target 2026'!$C$3:$T$23,17,0),"N/A")</f>
        <v>965292.639603957</v>
      </c>
      <c r="X292" s="538" cm="1">
        <f t="array" ref="X292">IF(B292&gt;0,VLOOKUP(C278,'Allocation OH and Target 2026'!$C$3:$T$23,18,0),"N/A")</f>
        <v>92851.9586666665</v>
      </c>
      <c r="Y292" s="538" cm="1">
        <f t="array" ref="Y292">_xlfn.IFERROR(B292*(V292+X292),"N/A")</f>
        <v>3514731.38068371</v>
      </c>
      <c r="Z292" s="424"/>
      <c r="AA292" s="538" cm="1">
        <f t="array" ref="AA292">_xlfn.IFERROR(Y292+S292,"N/A")</f>
        <v>13637264.714017</v>
      </c>
      <c r="AB292" s="538" cm="1">
        <f t="array" ref="AB292">_xlfn.IFERROR(AA292*0.5%,"N/A")</f>
        <v>68186.323570085005</v>
      </c>
      <c r="AC292" s="538" cm="1">
        <f t="array" ref="AC292">_xlfn.IFERROR(AA292*25%,"N/A")</f>
        <v>3409316.17850425</v>
      </c>
      <c r="AD292" s="539" cm="1">
        <f t="array" ref="AD292">IF(B292&gt;0,SUM(AA292:AC292),"N/A")</f>
        <v>17114767.2160913</v>
      </c>
      <c r="AE292" s="538" cm="1">
        <f t="array" ref="AE292">_xlfn.IFERROR(AD292/B292,"N/A")</f>
        <v>1426230.60134094</v>
      </c>
      <c r="AF292" s="424"/>
      <c r="AG292" t="str" s="546" cm="1">
        <f t="array" ref="AG292">IF(B292/VLOOKUP(C278,'Boats Data Sheet 2026'!$C$3:$H$57,6,0)&gt;VLOOKUP(C278,'Allocation OH and Target 2026'!$C$3:$J$23,8,0),IF(SUM(AH280:AH291)=0,AE292,"N/A"),"N/A")</f>
        <v>N/A</v>
      </c>
      <c r="AH292" s="424" cm="1">
        <f t="array" ref="AH292">IF(AG292="N/A",0,1)</f>
        <v>0</v>
      </c>
      <c r="AI292" t="str" s="547" cm="1">
        <f t="array" ref="AI292">IF(B292/VLOOKUP(C278,'Boats Data Sheet 2026'!$C$3:$H$57,6,0)&gt;VLOOKUP(C278,'Allocation OH and Target 2026'!$C$3:$J$23,8,0),IF(SUM(AH280:AH291)=0,S292/B292,"N/A"),"N/A")</f>
        <v>N/A</v>
      </c>
      <c r="AJ292" s="424" cm="1">
        <f t="array" ref="AJ292">IF(AI292="N/A",0,1)</f>
        <v>0</v>
      </c>
      <c r="AK292" t="str" s="527" cm="1">
        <f t="array" ref="AK292">IF(SUM($AG$120:$AG$137)*B292&lt;SUM(AA292:AB292),"NO GO","GO")</f>
        <v>GO</v>
      </c>
      <c r="AL292" s="424"/>
      <c r="AM292" s="538"/>
      <c r="AN292" s="538"/>
      <c r="AO292" s="538"/>
      <c r="AP292" s="542"/>
      <c r="AQ292" s="543" cm="1">
        <f t="array" ref="AQ292">B292</f>
        <v>12</v>
      </c>
      <c r="AR292" s="18"/>
    </row>
    <row r="293" ht="16" customHeight="1">
      <c r="A293" s="12"/>
      <c r="B293" s="544" cm="1">
        <f t="array" ref="B293">IF(B292=0,0,IF(B292&lt;VLOOKUP(C278,'Boats Data Sheet 2026'!$C$3:$H$57,6,0),B292+1,0))</f>
        <v>13</v>
      </c>
      <c r="C293" s="538" cm="1">
        <f t="array" ref="C293">IF(B293&gt;0,IF(VLOOKUP(C278,'Boats Data Sheet 2026'!$C$3:$J$57,8,0)="N/A",0,VLOOKUP(C278,'Boats Data Sheet 2026'!$C$3:$J$57,8,0)),"N/A")</f>
        <v>0</v>
      </c>
      <c r="D293" s="545" cm="1">
        <f t="array" ref="D293">IF(B293&gt;7,2,IF(B293=0,"N/A",1))</f>
        <v>2</v>
      </c>
      <c r="E293" s="538" cm="1">
        <f t="array" ref="E293">_xlfn.IFERROR(SUM('Direct Costs 2026'!$C$4:$C$5)*D293,"N/A")</f>
        <v>1751000</v>
      </c>
      <c r="F293" s="538" cm="1">
        <f t="array" ref="F293">_xlfn.IFERROR('Direct Costs 2026'!$C$43*B293,"N/A")</f>
        <v>78000</v>
      </c>
      <c r="G293" s="538" cm="1">
        <f t="array" ref="G293">IF(B293&gt;0,'Direct Costs 2026'!$C$25,"N/A")</f>
        <v>90000</v>
      </c>
      <c r="H293" s="538" cm="1">
        <f t="array" ref="H293">IF(B293&gt;0,'Direct Costs 2026'!$C$19+'Direct Costs 2026'!$C$18*B293,"N/A")</f>
        <v>530000</v>
      </c>
      <c r="I293" s="538" cm="1">
        <f t="array" ref="I293">IF(B293&gt;0,SUM('Direct Costs 2026'!$C$20:$C$21),"N/A")</f>
        <v>98333.3333333333</v>
      </c>
      <c r="J293" s="538">
        <v>0</v>
      </c>
      <c r="K293" s="538" cm="1">
        <f t="array" ref="K293">_xlfn.IFERROR((IF(B293&gt;0,'Direct Costs 2026'!$C$15+'Direct Costs 2026'!$C$14,"N/A")),"N/A")</f>
        <v>230000</v>
      </c>
      <c r="L293" s="538" cm="1">
        <f t="array" ref="L293">IF(B293&gt;0,'Direct Costs 2026'!$C$26,"N/A")</f>
        <v>20000</v>
      </c>
      <c r="M293" s="538" cm="1">
        <f t="array" ref="M293">IF(B293&gt;0,'Direct Costs 2026'!$C$23,"N/A")</f>
        <v>140000</v>
      </c>
      <c r="N293" s="538" cm="1">
        <f t="array" ref="N293">IF(B293&gt;0,'Direct Costs 2026'!$C$44*B293,"N/A")</f>
        <v>1430000</v>
      </c>
      <c r="O293" s="538" cm="1">
        <f t="array" ref="O293">IF(B293&gt;0,_xlfn.IFERROR(VLOOKUP(C278,'Boats Data Sheet 2026'!$C$3:$I$57,7,0)*'Direct Costs 2026'!$C$36,"N/A"),"N/A")</f>
        <v>3325000</v>
      </c>
      <c r="P293" s="538" cm="1">
        <f t="array" ref="P293">IF(B293&gt;0,IF(OR(VLOOKUP(C278,'Boats Data Sheet 2026'!$C$3:$F$57,4,0)="Own",VLOOKUP(C278,'Boats Data Sheet 2026'!$C$3:$F$57,4,0)="Management"),('Direct Costs 2026'!$C$37+'Direct Costs 2026'!$C$39),"N/A"),"N/A")</f>
        <v>1112400</v>
      </c>
      <c r="Q293" s="538" cm="1">
        <f t="array" ref="Q293">_xlfn.IFERROR(IF(B293&gt;5,IF(B293&gt;11,IF(B293&gt;15,4,3),2),IF(B293=0,"N/A",1))*SUM('Direct Costs 2026'!$C$67:$C$68),"N/A")</f>
        <v>1468800</v>
      </c>
      <c r="R293" s="538" cm="1">
        <f t="array" ref="R293">_xlfn.IFERROR('Direct Costs 2026'!$C$27*C293,"N/A")</f>
        <v>0</v>
      </c>
      <c r="S293" s="538" cm="1">
        <f t="array" ref="S293">_xlfn.IFERROR(C293+SUM(E293:R293),"N/A")</f>
        <v>10273533.3333333</v>
      </c>
      <c r="T293" s="424"/>
      <c r="U293" s="538" cm="1">
        <f t="array" ref="U293">IF(B293&gt;0,'Allocation OH and Target 2026'!$E$27,"N/A")</f>
        <v>2134447.30345641</v>
      </c>
      <c r="V293" s="538" cm="1">
        <f t="array" ref="V293">IF(B293&gt;0,'Allocation OH and Target 2026'!$E$28,"N/A")</f>
        <v>200042.323056976</v>
      </c>
      <c r="W293" s="538" cm="1">
        <f t="array" ref="W293">IF(B293&gt;0,VLOOKUP(C278,'Allocation OH and Target 2026'!$C$3:$T$23,17,0),"N/A")</f>
        <v>965292.639603957</v>
      </c>
      <c r="X293" s="538" cm="1">
        <f t="array" ref="X293">IF(B293&gt;0,VLOOKUP(C278,'Allocation OH and Target 2026'!$C$3:$T$23,18,0),"N/A")</f>
        <v>92851.9586666665</v>
      </c>
      <c r="Y293" s="538" cm="1">
        <f t="array" ref="Y293">_xlfn.IFERROR(B293*(V293+X293),"N/A")</f>
        <v>3807625.66240735</v>
      </c>
      <c r="Z293" s="424"/>
      <c r="AA293" s="538" cm="1">
        <f t="array" ref="AA293">_xlfn.IFERROR(Y293+S293,"N/A")</f>
        <v>14081158.9957407</v>
      </c>
      <c r="AB293" s="538" cm="1">
        <f t="array" ref="AB293">_xlfn.IFERROR(AA293*0.5%,"N/A")</f>
        <v>70405.7949787035</v>
      </c>
      <c r="AC293" s="538" cm="1">
        <f t="array" ref="AC293">_xlfn.IFERROR(AA293*25%,"N/A")</f>
        <v>3520289.74893518</v>
      </c>
      <c r="AD293" s="539" cm="1">
        <f t="array" ref="AD293">IF(B293&gt;0,SUM(AA293:AC293),"N/A")</f>
        <v>17671854.5396546</v>
      </c>
      <c r="AE293" s="538" cm="1">
        <f t="array" ref="AE293">_xlfn.IFERROR(AD293/B293,"N/A")</f>
        <v>1359373.42612728</v>
      </c>
      <c r="AF293" s="424"/>
      <c r="AG293" t="str" s="546" cm="1">
        <f t="array" ref="AG293">IF(B293/VLOOKUP(C278,'Boats Data Sheet 2026'!$C$3:$H$57,6,0)&gt;VLOOKUP(C278,'Allocation OH and Target 2026'!$C$3:$J$23,8,0),IF(SUM(AH280:AH292)=0,AE293,"N/A"),"N/A")</f>
        <v>N/A</v>
      </c>
      <c r="AH293" s="424" cm="1">
        <f t="array" ref="AH293">IF(AG293="N/A",0,1)</f>
        <v>0</v>
      </c>
      <c r="AI293" t="str" s="547" cm="1">
        <f t="array" ref="AI293">IF(B293/VLOOKUP(C278,'Boats Data Sheet 2026'!$C$3:$H$57,6,0)&gt;VLOOKUP(C278,'Allocation OH and Target 2026'!$C$3:$J$23,8,0),IF(SUM(AH280:AH292)=0,S293/B293,"N/A"),"N/A")</f>
        <v>N/A</v>
      </c>
      <c r="AJ293" s="424" cm="1">
        <f t="array" ref="AJ293">IF(AI293="N/A",0,1)</f>
        <v>0</v>
      </c>
      <c r="AK293" t="str" s="527" cm="1">
        <f t="array" ref="AK293">IF(SUM($AG$120:$AG$137)*B293&lt;SUM(AA293:AB293),"NO GO","GO")</f>
        <v>GO</v>
      </c>
      <c r="AL293" s="424"/>
      <c r="AM293" s="538"/>
      <c r="AN293" s="538"/>
      <c r="AO293" s="538"/>
      <c r="AP293" s="542"/>
      <c r="AQ293" s="543" cm="1">
        <f t="array" ref="AQ293">B293</f>
        <v>13</v>
      </c>
      <c r="AR293" s="18"/>
    </row>
    <row r="294" ht="16" customHeight="1">
      <c r="A294" s="12"/>
      <c r="B294" s="544" cm="1">
        <f t="array" ref="B294">IF(B293=0,0,IF(B293&lt;VLOOKUP(C278,'Boats Data Sheet 2026'!$C$3:$H$57,6,0),B293+1,0))</f>
        <v>0</v>
      </c>
      <c r="C294" t="str" s="547" cm="1">
        <f t="array" ref="C294">IF(B294&gt;0,IF(VLOOKUP(C278,'Boats Data Sheet 2026'!$C$3:$J$57,8,0)="N/A",0,VLOOKUP(C278,'Boats Data Sheet 2026'!$C$3:$J$57,8,0)),"N/A")</f>
        <v>N/A</v>
      </c>
      <c r="D294" t="str" s="547" cm="1">
        <f t="array" ref="D294">IF(B294&gt;7,2,IF(B294=0,"N/A",1))</f>
        <v>N/A</v>
      </c>
      <c r="E294" t="str" s="547" cm="1">
        <f t="array" ref="E294">_xlfn.IFERROR(SUM('Direct Costs 2026'!$C$4:$C$5)*D294,"N/A")</f>
        <v>N/A</v>
      </c>
      <c r="F294" s="538" cm="1">
        <f t="array" ref="F294">_xlfn.IFERROR('Direct Costs 2026'!$C$43*B294,"N/A")</f>
        <v>0</v>
      </c>
      <c r="G294" t="str" s="547" cm="1">
        <f t="array" ref="G294">IF(B294&gt;0,'Direct Costs 2026'!$C$25,"N/A")</f>
        <v>N/A</v>
      </c>
      <c r="H294" t="str" s="547" cm="1">
        <f t="array" ref="H294">IF(B294&gt;0,'Direct Costs 2026'!$C$19+'Direct Costs 2026'!$C$18*B294,"N/A")</f>
        <v>N/A</v>
      </c>
      <c r="I294" t="str" s="547" cm="1">
        <f t="array" ref="I294">IF(B294&gt;0,SUM('Direct Costs 2026'!$C$20:$C$21),"N/A")</f>
        <v>N/A</v>
      </c>
      <c r="J294" s="538">
        <v>0</v>
      </c>
      <c r="K294" t="str" s="547" cm="1">
        <f t="array" ref="K294">_xlfn.IFERROR((IF(B294&gt;0,'Direct Costs 2026'!$C$15+'Direct Costs 2026'!$C$14,"N/A")),"N/A")</f>
        <v>N/A</v>
      </c>
      <c r="L294" t="str" s="547" cm="1">
        <f t="array" ref="L294">IF(B294&gt;0,'Direct Costs 2026'!$C$26,"N/A")</f>
        <v>N/A</v>
      </c>
      <c r="M294" t="str" s="547" cm="1">
        <f t="array" ref="M294">IF(B294&gt;0,'Direct Costs 2026'!$C$23,"N/A")</f>
        <v>N/A</v>
      </c>
      <c r="N294" t="str" s="547" cm="1">
        <f t="array" ref="N294">IF(B294&gt;0,'Direct Costs 2026'!$C$44*B294,"N/A")</f>
        <v>N/A</v>
      </c>
      <c r="O294" t="str" s="547" cm="1">
        <f t="array" ref="O294">IF(B294&gt;0,_xlfn.IFERROR(VLOOKUP(C278,'Boats Data Sheet 2026'!$C$3:$I$57,7,0)*'Direct Costs 2026'!$C$36,"N/A"),"N/A")</f>
        <v>N/A</v>
      </c>
      <c r="P294" t="str" s="547" cm="1">
        <f t="array" ref="P294">IF(B294&gt;0,IF(OR(VLOOKUP(C278,'Boats Data Sheet 2026'!$C$3:$F$57,4,0)="Own",VLOOKUP(C278,'Boats Data Sheet 2026'!$C$3:$F$57,4,0)="Management"),('Direct Costs 2026'!$C$37+'Direct Costs 2026'!$C$39),"N/A"),"N/A")</f>
        <v>N/A</v>
      </c>
      <c r="Q294" t="str" s="547" cm="1">
        <f t="array" ref="Q294">_xlfn.IFERROR(IF(B294&gt;5,IF(B294&gt;11,IF(B294&gt;15,4,3),2),IF(B294=0,"N/A",1))*SUM('Direct Costs 2026'!$C$67:$C$68),"N/A")</f>
        <v>N/A</v>
      </c>
      <c r="R294" t="str" s="547" cm="1">
        <f t="array" ref="R294">_xlfn.IFERROR('Direct Costs 2026'!$C$27*C294,"N/A")</f>
        <v>N/A</v>
      </c>
      <c r="S294" t="str" s="547" cm="1">
        <f t="array" ref="S294">_xlfn.IFERROR(C294+SUM(E294:R294),"N/A")</f>
        <v>N/A</v>
      </c>
      <c r="T294" s="424"/>
      <c r="U294" t="str" s="547" cm="1">
        <f t="array" ref="U294">IF(B294&gt;0,'Allocation OH and Target 2026'!$E$27,"N/A")</f>
        <v>N/A</v>
      </c>
      <c r="V294" t="str" s="547" cm="1">
        <f t="array" ref="V294">IF(B294&gt;0,'Allocation OH and Target 2026'!$E$28,"N/A")</f>
        <v>N/A</v>
      </c>
      <c r="W294" t="str" s="547" cm="1">
        <f t="array" ref="W294">IF(B294&gt;0,VLOOKUP(C278,'Allocation OH and Target 2026'!$C$3:$T$23,17,0),"N/A")</f>
        <v>N/A</v>
      </c>
      <c r="X294" t="str" s="547" cm="1">
        <f t="array" ref="X294">IF(B294&gt;0,VLOOKUP(C278,'Allocation OH and Target 2026'!$C$3:$T$23,18,0),"N/A")</f>
        <v>N/A</v>
      </c>
      <c r="Y294" t="str" s="547" cm="1">
        <f t="array" ref="Y294">_xlfn.IFERROR(B294*(V294+X294),"N/A")</f>
        <v>N/A</v>
      </c>
      <c r="Z294" s="424"/>
      <c r="AA294" t="str" s="547" cm="1">
        <f t="array" ref="AA294">_xlfn.IFERROR(Y294+S294,"N/A")</f>
        <v>N/A</v>
      </c>
      <c r="AB294" t="str" s="547" cm="1">
        <f t="array" ref="AB294">_xlfn.IFERROR(AA294*0.5%,"N/A")</f>
        <v>N/A</v>
      </c>
      <c r="AC294" t="str" s="547" cm="1">
        <f t="array" ref="AC294">_xlfn.IFERROR(AA294*25%,"N/A")</f>
        <v>N/A</v>
      </c>
      <c r="AD294" t="str" s="546" cm="1">
        <f t="array" ref="AD294">IF(B294&gt;0,SUM(AA294:AC294),"N/A")</f>
        <v>N/A</v>
      </c>
      <c r="AE294" t="str" s="547" cm="1">
        <f t="array" ref="AE294">_xlfn.IFERROR(AD294/B294,"N/A")</f>
        <v>N/A</v>
      </c>
      <c r="AF294" s="424"/>
      <c r="AG294" t="str" s="546" cm="1">
        <f t="array" ref="AG294">IF(B294/VLOOKUP(C278,'Boats Data Sheet 2026'!$C$3:$H$57,6,0)&gt;VLOOKUP(C278,'Allocation OH and Target 2026'!$C$3:$J$23,8,0),IF(SUM(AH280:AH293)=0,AE294,"N/A"),"N/A")</f>
        <v>N/A</v>
      </c>
      <c r="AH294" s="424" cm="1">
        <f t="array" ref="AH294">IF(AG294="N/A",0,1)</f>
        <v>0</v>
      </c>
      <c r="AI294" t="str" s="547" cm="1">
        <f t="array" ref="AI294">IF(B294/VLOOKUP(C278,'Boats Data Sheet 2026'!$C$3:$H$57,6,0)&gt;VLOOKUP(C278,'Allocation OH and Target 2026'!$C$3:$J$23,8,0),IF(SUM(AH280:AH293)=0,S294/B294,"N/A"),"N/A")</f>
        <v>N/A</v>
      </c>
      <c r="AJ294" s="424" cm="1">
        <f t="array" ref="AJ294">IF(AI294="N/A",0,1)</f>
        <v>0</v>
      </c>
      <c r="AK294" t="str" s="527" cm="1">
        <f t="array" ref="AK294">IF(SUM($AG$120:$AG$137)*B294&lt;SUM(AA294:AB294),"NO GO","GO")</f>
        <v>GO</v>
      </c>
      <c r="AL294" s="424"/>
      <c r="AM294" s="538"/>
      <c r="AN294" s="538"/>
      <c r="AO294" s="538"/>
      <c r="AP294" s="542"/>
      <c r="AQ294" s="543" cm="1">
        <f t="array" ref="AQ294">B294</f>
        <v>0</v>
      </c>
      <c r="AR294" s="18"/>
    </row>
    <row r="295" ht="16" customHeight="1">
      <c r="A295" s="12"/>
      <c r="B295" s="544" cm="1">
        <f t="array" ref="B295">IF(B294=0,0,IF(B294&lt;VLOOKUP(C278,'Boats Data Sheet 2026'!$C$3:$H$57,6,0),B294+1,0))</f>
        <v>0</v>
      </c>
      <c r="C295" t="str" s="547" cm="1">
        <f t="array" ref="C295">IF(B295&gt;0,IF(VLOOKUP(C278,'Boats Data Sheet 2026'!$C$3:$J$57,8,0)="N/A",0,VLOOKUP(C278,'Boats Data Sheet 2026'!$C$3:$J$57,8,0)),"N/A")</f>
        <v>N/A</v>
      </c>
      <c r="D295" t="str" s="547" cm="1">
        <f t="array" ref="D295">IF(B295&gt;7,2,IF(B295=0,"N/A",1))</f>
        <v>N/A</v>
      </c>
      <c r="E295" t="str" s="547" cm="1">
        <f t="array" ref="E295">_xlfn.IFERROR(SUM('Direct Costs 2026'!$C$4:$C$5)*D295,"N/A")</f>
        <v>N/A</v>
      </c>
      <c r="F295" s="538" cm="1">
        <f t="array" ref="F295">_xlfn.IFERROR('Direct Costs 2026'!$C$43*B295,"N/A")</f>
        <v>0</v>
      </c>
      <c r="G295" t="str" s="547" cm="1">
        <f t="array" ref="G295">IF(B295&gt;0,'Direct Costs 2026'!$C$25,"N/A")</f>
        <v>N/A</v>
      </c>
      <c r="H295" t="str" s="547" cm="1">
        <f t="array" ref="H295">IF(B295&gt;0,'Direct Costs 2026'!$C$19+'Direct Costs 2026'!$C$18*B295,"N/A")</f>
        <v>N/A</v>
      </c>
      <c r="I295" t="str" s="547" cm="1">
        <f t="array" ref="I295">IF(B295&gt;0,SUM('Direct Costs 2026'!$C$20:$C$21),"N/A")</f>
        <v>N/A</v>
      </c>
      <c r="J295" s="538">
        <v>0</v>
      </c>
      <c r="K295" t="str" s="547" cm="1">
        <f t="array" ref="K295">_xlfn.IFERROR((IF(B295&gt;0,'Direct Costs 2026'!$C$15+'Direct Costs 2026'!$C$14,"N/A")),"N/A")</f>
        <v>N/A</v>
      </c>
      <c r="L295" t="str" s="547" cm="1">
        <f t="array" ref="L295">IF(B295&gt;0,'Direct Costs 2026'!$C$26,"N/A")</f>
        <v>N/A</v>
      </c>
      <c r="M295" t="str" s="547" cm="1">
        <f t="array" ref="M295">IF(B295&gt;0,'Direct Costs 2026'!$C$23,"N/A")</f>
        <v>N/A</v>
      </c>
      <c r="N295" t="str" s="547" cm="1">
        <f t="array" ref="N295">IF(B295&gt;0,'Direct Costs 2026'!$C$44*B295,"N/A")</f>
        <v>N/A</v>
      </c>
      <c r="O295" t="str" s="547" cm="1">
        <f t="array" ref="O295">IF(B295&gt;0,_xlfn.IFERROR(VLOOKUP(C278,'Boats Data Sheet 2026'!$C$3:$I$57,7,0)*'Direct Costs 2026'!$C$36,"N/A"),"N/A")</f>
        <v>N/A</v>
      </c>
      <c r="P295" t="str" s="547" cm="1">
        <f t="array" ref="P295">IF(B295&gt;0,IF(OR(VLOOKUP(C283,'Boats Data Sheet 2026'!$C$3:$F$57,4,0)="Own",VLOOKUP(C283,'Boats Data Sheet 2026'!$C$3:$F$57,4,0)="Management"),('Direct Costs 2026'!$C$37+'Direct Costs 2026'!$C$39),"N/A"),"N/A")</f>
        <v>N/A</v>
      </c>
      <c r="Q295" t="str" s="547" cm="1">
        <f t="array" ref="Q295">_xlfn.IFERROR(IF(B295&gt;5,IF(B295&gt;11,IF(B295&gt;15,4,3),2),IF(B295=0,"N/A",1))*SUM('Direct Costs 2026'!$C$67:$C$68),"N/A")</f>
        <v>N/A</v>
      </c>
      <c r="R295" t="str" s="547" cm="1">
        <f t="array" ref="R295">_xlfn.IFERROR('Direct Costs 2026'!$C$27*C295,"N/A")</f>
        <v>N/A</v>
      </c>
      <c r="S295" t="str" s="547" cm="1">
        <f t="array" ref="S295">_xlfn.IFERROR(C295+SUM(E295:R295),"N/A")</f>
        <v>N/A</v>
      </c>
      <c r="T295" s="424"/>
      <c r="U295" t="str" s="547" cm="1">
        <f t="array" ref="U295">IF(B295&gt;0,'Allocation OH and Target 2026'!$E$27,"N/A")</f>
        <v>N/A</v>
      </c>
      <c r="V295" t="str" s="547" cm="1">
        <f t="array" ref="V295">IF(B295&gt;0,'Allocation OH and Target 2026'!$E$28,"N/A")</f>
        <v>N/A</v>
      </c>
      <c r="W295" t="str" s="547" cm="1">
        <f t="array" ref="W295">IF(B295&gt;0,VLOOKUP(C278,'Allocation OH and Target 2026'!$C$3:$T$23,17,0),"N/A")</f>
        <v>N/A</v>
      </c>
      <c r="X295" t="str" s="547" cm="1">
        <f t="array" ref="X295">IF(B295&gt;0,VLOOKUP(C278,'Allocation OH and Target 2026'!$C$3:$T$23,18,0),"N/A")</f>
        <v>N/A</v>
      </c>
      <c r="Y295" t="str" s="547" cm="1">
        <f t="array" ref="Y295">_xlfn.IFERROR(V295*B295+X295,"N/A")</f>
        <v>N/A</v>
      </c>
      <c r="Z295" s="424"/>
      <c r="AA295" t="str" s="547" cm="1">
        <f t="array" ref="AA295">_xlfn.IFERROR(Y295+S295,"N/A")</f>
        <v>N/A</v>
      </c>
      <c r="AB295" t="str" s="547" cm="1">
        <f t="array" ref="AB295">_xlfn.IFERROR(AA295*0.5%,"N/A")</f>
        <v>N/A</v>
      </c>
      <c r="AC295" t="str" s="547" cm="1">
        <f t="array" ref="AC295">_xlfn.IFERROR(AA295*25%,"N/A")</f>
        <v>N/A</v>
      </c>
      <c r="AD295" t="str" s="546" cm="1">
        <f t="array" ref="AD295">IF(B295&gt;0,SUM(AA295:AC295),"N/A")</f>
        <v>N/A</v>
      </c>
      <c r="AE295" t="str" s="547" cm="1">
        <f t="array" ref="AE295">_xlfn.IFERROR(AD295/B295,"N/A")</f>
        <v>N/A</v>
      </c>
      <c r="AF295" s="424"/>
      <c r="AG295" t="str" s="546" cm="1">
        <f t="array" ref="AG295">IF(B295/VLOOKUP(C278,'Boats Data Sheet 2026'!$C$3:$H$57,6,0)&gt;VLOOKUP(C278,'Allocation OH and Target 2026'!$C$3:$J$23,8,0),IF(SUM(AH280:AH294)=0,AE295,"N/A"),"N/A")</f>
        <v>N/A</v>
      </c>
      <c r="AH295" s="424" cm="1">
        <f t="array" ref="AH295">IF(AG295="N/A",0,1)</f>
        <v>0</v>
      </c>
      <c r="AI295" t="str" s="547" cm="1">
        <f t="array" ref="AI295">IF(B295/VLOOKUP(C278,'Boats Data Sheet 2026'!$C$3:$H$57,6,0)&gt;VLOOKUP(C278,'Allocation OH and Target 2026'!$C$3:$J$23,8,0),IF(SUM(AH280:AH294)=0,S295/B295,"N/A"),"N/A")</f>
        <v>N/A</v>
      </c>
      <c r="AJ295" s="424" cm="1">
        <f t="array" ref="AJ295">IF(AI295="N/A",0,1)</f>
        <v>0</v>
      </c>
      <c r="AK295" t="str" s="527" cm="1">
        <f t="array" ref="AK295">IF(SUM($AG$120:$AG$137)*B295&lt;SUM(AA295:AB295),"NO GO","GO")</f>
        <v>GO</v>
      </c>
      <c r="AL295" s="424"/>
      <c r="AM295" s="538"/>
      <c r="AN295" s="538"/>
      <c r="AO295" s="538"/>
      <c r="AP295" s="542"/>
      <c r="AQ295" s="543" cm="1">
        <f t="array" ref="AQ295">B295</f>
        <v>0</v>
      </c>
      <c r="AR295" s="18"/>
    </row>
    <row r="296" ht="16" customHeight="1">
      <c r="A296" s="12"/>
      <c r="B296" s="544" cm="1">
        <f t="array" ref="B296">IF(B295=0,0,IF(B295&lt;VLOOKUP(C278,'Boats Data Sheet 2026'!$C$3:$H$57,6,0),B295+1,0))</f>
        <v>0</v>
      </c>
      <c r="C296" t="str" s="547" cm="1">
        <f t="array" ref="C296">IF(B296&gt;0,IF(VLOOKUP(C278,'Boats Data Sheet 2026'!$C$3:$J$57,8,0)="N/A",0,VLOOKUP(C278,'Boats Data Sheet 2026'!$C$3:$J$57,8,0)),"N/A")</f>
        <v>N/A</v>
      </c>
      <c r="D296" t="str" s="547" cm="1">
        <f t="array" ref="D296">IF(B296&gt;7,2,IF(B296=0,"N/A",1))</f>
        <v>N/A</v>
      </c>
      <c r="E296" t="str" s="547" cm="1">
        <f t="array" ref="E296">_xlfn.IFERROR(SUM('Direct Costs 2026'!$C$4:$C$5)*D296,"N/A")</f>
        <v>N/A</v>
      </c>
      <c r="F296" s="538" cm="1">
        <f t="array" ref="F296">_xlfn.IFERROR('Direct Costs 2026'!$C$43*B296,"N/A")</f>
        <v>0</v>
      </c>
      <c r="G296" t="str" s="547" cm="1">
        <f t="array" ref="G296">IF(B296&gt;0,'Direct Costs 2026'!$C$25,"N/A")</f>
        <v>N/A</v>
      </c>
      <c r="H296" t="str" s="547" cm="1">
        <f t="array" ref="H296">IF(B296&gt;0,'Direct Costs 2026'!$C$19+'Direct Costs 2026'!$C$18*B296,"N/A")</f>
        <v>N/A</v>
      </c>
      <c r="I296" t="str" s="547" cm="1">
        <f t="array" ref="I296">IF(B296&gt;0,SUM('Direct Costs 2026'!$C$20:$C$21),"N/A")</f>
        <v>N/A</v>
      </c>
      <c r="J296" s="538">
        <v>0</v>
      </c>
      <c r="K296" t="str" s="547" cm="1">
        <f t="array" ref="K296">_xlfn.IFERROR((IF(B296&gt;0,'Direct Costs 2026'!$C$15+'Direct Costs 2026'!$C$14,"N/A")),"N/A")</f>
        <v>N/A</v>
      </c>
      <c r="L296" t="str" s="547" cm="1">
        <f t="array" ref="L296">IF(B296&gt;0,'Direct Costs 2026'!$C$26,"N/A")</f>
        <v>N/A</v>
      </c>
      <c r="M296" t="str" s="547" cm="1">
        <f t="array" ref="M296">IF(B296&gt;0,'Direct Costs 2026'!$C$23,"N/A")</f>
        <v>N/A</v>
      </c>
      <c r="N296" t="str" s="547" cm="1">
        <f t="array" ref="N296">IF(B296&gt;0,'Direct Costs 2026'!$C$44*B296,"N/A")</f>
        <v>N/A</v>
      </c>
      <c r="O296" t="str" s="547" cm="1">
        <f t="array" ref="O296">IF(B296&gt;0,_xlfn.IFERROR(VLOOKUP(C278,'Boats Data Sheet 2026'!$C$3:$I$57,7,0)*'Direct Costs 2026'!$C$36,"N/A"),"N/A")</f>
        <v>N/A</v>
      </c>
      <c r="P296" t="str" s="547" cm="1">
        <f t="array" ref="P296">IF(B296&gt;0,IF(OR(VLOOKUP(C284,'Boats Data Sheet 2026'!$C$3:$F$57,4,0)="Own",VLOOKUP(C284,'Boats Data Sheet 2026'!$C$3:$F$57,4,0)="Management"),('Direct Costs 2026'!$C$37+'Direct Costs 2026'!$C$39),"N/A"),"N/A")</f>
        <v>N/A</v>
      </c>
      <c r="Q296" t="str" s="547" cm="1">
        <f t="array" ref="Q296">_xlfn.IFERROR(IF(B296&gt;5,IF(B296&gt;11,IF(B296&gt;15,4,3),2),IF(B296=0,"N/A",1))*SUM('Direct Costs 2026'!$C$67:$C$68),"N/A")</f>
        <v>N/A</v>
      </c>
      <c r="R296" t="str" s="547" cm="1">
        <f t="array" ref="R296">_xlfn.IFERROR('Direct Costs 2026'!$C$27*C296,"N/A")</f>
        <v>N/A</v>
      </c>
      <c r="S296" t="str" s="547" cm="1">
        <f t="array" ref="S296">_xlfn.IFERROR(C296+SUM(E296:R296),"N/A")</f>
        <v>N/A</v>
      </c>
      <c r="T296" s="424"/>
      <c r="U296" t="str" s="547" cm="1">
        <f t="array" ref="U296">IF(B296&gt;0,'Allocation OH and Target 2026'!$E$27,"N/A")</f>
        <v>N/A</v>
      </c>
      <c r="V296" t="str" s="547" cm="1">
        <f t="array" ref="V296">IF(B296&gt;0,'Allocation OH and Target 2026'!$E$28,"N/A")</f>
        <v>N/A</v>
      </c>
      <c r="W296" t="str" s="547" cm="1">
        <f t="array" ref="W296">IF(B296&gt;0,VLOOKUP(C278,'Allocation OH and Target 2026'!$C$3:$T$23,17,0),"N/A")</f>
        <v>N/A</v>
      </c>
      <c r="X296" t="str" s="547" cm="1">
        <f t="array" ref="X296">IF(B296&gt;0,VLOOKUP(C278,'Allocation OH and Target 2026'!$C$3:$T$23,18,0),"N/A")</f>
        <v>N/A</v>
      </c>
      <c r="Y296" t="str" s="547" cm="1">
        <f t="array" ref="Y296">_xlfn.IFERROR(V296*B296+X296,"N/A")</f>
        <v>N/A</v>
      </c>
      <c r="Z296" s="424"/>
      <c r="AA296" t="str" s="547" cm="1">
        <f t="array" ref="AA296">_xlfn.IFERROR(Y296+S296,"N/A")</f>
        <v>N/A</v>
      </c>
      <c r="AB296" t="str" s="547" cm="1">
        <f t="array" ref="AB296">_xlfn.IFERROR(AA296*0.5%,"N/A")</f>
        <v>N/A</v>
      </c>
      <c r="AC296" t="str" s="547" cm="1">
        <f t="array" ref="AC296">_xlfn.IFERROR(AA296*25%,"N/A")</f>
        <v>N/A</v>
      </c>
      <c r="AD296" t="str" s="546" cm="1">
        <f t="array" ref="AD296">IF(B296&gt;0,SUM(AA296:AC296),"N/A")</f>
        <v>N/A</v>
      </c>
      <c r="AE296" t="str" s="547" cm="1">
        <f t="array" ref="AE296">_xlfn.IFERROR(AD296/B296,"N/A")</f>
        <v>N/A</v>
      </c>
      <c r="AF296" s="424"/>
      <c r="AG296" t="str" s="546" cm="1">
        <f t="array" ref="AG296">IF(B296/VLOOKUP(C278,'Boats Data Sheet 2026'!$C$3:$H$57,6,0)&gt;VLOOKUP(C278,'Allocation OH and Target 2026'!$C$3:$J$23,8,0),IF(SUM(AH280:AH295)=0,AE296,"N/A"),"N/A")</f>
        <v>N/A</v>
      </c>
      <c r="AH296" s="424" cm="1">
        <f t="array" ref="AH296">IF(AG296="N/A",0,1)</f>
        <v>0</v>
      </c>
      <c r="AI296" t="str" s="547" cm="1">
        <f t="array" ref="AI296">IF(B296/VLOOKUP(C278,'Boats Data Sheet 2026'!$C$3:$H$57,6,0)&gt;VLOOKUP(C278,'Allocation OH and Target 2026'!$C$3:$J$23,8,0),IF(SUM(AH280:AH295)=0,S296/B296,"N/A"),"N/A")</f>
        <v>N/A</v>
      </c>
      <c r="AJ296" s="424" cm="1">
        <f t="array" ref="AJ296">IF(AI296="N/A",0,1)</f>
        <v>0</v>
      </c>
      <c r="AK296" t="str" s="527" cm="1">
        <f t="array" ref="AK296">IF(SUM($AG$120:$AG$137)*B296&lt;SUM(AA296:AB296),"NO GO","GO")</f>
        <v>GO</v>
      </c>
      <c r="AL296" s="424"/>
      <c r="AM296" s="538"/>
      <c r="AN296" s="538"/>
      <c r="AO296" s="538"/>
      <c r="AP296" s="542"/>
      <c r="AQ296" s="543" cm="1">
        <f t="array" ref="AQ296">B296</f>
        <v>0</v>
      </c>
      <c r="AR296" s="18"/>
    </row>
    <row r="297" ht="16" customHeight="1">
      <c r="A297" s="12"/>
      <c r="B297" s="544" cm="1">
        <f t="array" ref="B297">IF(B296=0,0,IF(B296&lt;VLOOKUP(C278,'Boats Data Sheet 2026'!$C$3:$H$57,6,0),B296+1,0))</f>
        <v>0</v>
      </c>
      <c r="C297" t="str" s="547" cm="1">
        <f t="array" ref="C297">IF(B297&gt;0,IF(VLOOKUP(C278,'Boats Data Sheet 2026'!$C$3:$J$57,8,0)="N/A",0,VLOOKUP(C278,'Boats Data Sheet 2026'!$C$3:$J$57,8,0)),"N/A")</f>
        <v>N/A</v>
      </c>
      <c r="D297" t="str" s="547" cm="1">
        <f t="array" ref="D297">IF(B297&gt;7,2,IF(B297=0,"N/A",1))</f>
        <v>N/A</v>
      </c>
      <c r="E297" t="str" s="547" cm="1">
        <f t="array" ref="E297">_xlfn.IFERROR(SUM('Direct Costs 2026'!$C$4:$C$5)*D297,"N/A")</f>
        <v>N/A</v>
      </c>
      <c r="F297" s="538" cm="1">
        <f t="array" ref="F297">_xlfn.IFERROR('Direct Costs 2026'!$C$43*B297,"N/A")</f>
        <v>0</v>
      </c>
      <c r="G297" t="str" s="547" cm="1">
        <f t="array" ref="G297">IF(B297&gt;0,'Direct Costs 2026'!$C$25,"N/A")</f>
        <v>N/A</v>
      </c>
      <c r="H297" t="str" s="547" cm="1">
        <f t="array" ref="H297">IF(B297&gt;0,'Direct Costs 2026'!$C$19+'Direct Costs 2026'!$C$18*B297,"N/A")</f>
        <v>N/A</v>
      </c>
      <c r="I297" t="str" s="547" cm="1">
        <f t="array" ref="I297">IF(B297&gt;0,SUM('Direct Costs 2026'!$C$20:$C$21),"N/A")</f>
        <v>N/A</v>
      </c>
      <c r="J297" s="538">
        <v>0</v>
      </c>
      <c r="K297" t="str" s="547" cm="1">
        <f t="array" ref="K297">_xlfn.IFERROR((IF(B297&gt;0,'Direct Costs 2026'!$C$15+'Direct Costs 2026'!$C$14,"N/A")),"N/A")</f>
        <v>N/A</v>
      </c>
      <c r="L297" t="str" s="547" cm="1">
        <f t="array" ref="L297">IF(B297&gt;0,'Direct Costs 2026'!$C$26,"N/A")</f>
        <v>N/A</v>
      </c>
      <c r="M297" t="str" s="547" cm="1">
        <f t="array" ref="M297">IF(B297&gt;0,'Direct Costs 2026'!$C$23,"N/A")</f>
        <v>N/A</v>
      </c>
      <c r="N297" t="str" s="547" cm="1">
        <f t="array" ref="N297">IF(B297&gt;0,'Direct Costs 2026'!$C$44*B297,"N/A")</f>
        <v>N/A</v>
      </c>
      <c r="O297" t="str" s="547" cm="1">
        <f t="array" ref="O297">IF(B297&gt;0,_xlfn.IFERROR(VLOOKUP(C278,'Boats Data Sheet 2026'!$C$3:$I$57,7,0)*'Direct Costs 2026'!$C$36,"N/A"),"N/A")</f>
        <v>N/A</v>
      </c>
      <c r="P297" t="str" s="547" cm="1">
        <f t="array" ref="P297">IF(B297&gt;0,IF(OR(VLOOKUP(C285,'Boats Data Sheet 2026'!$C$3:$F$57,4,0)="Own",VLOOKUP(C285,'Boats Data Sheet 2026'!$C$3:$F$57,4,0)="Management"),('Direct Costs 2026'!$C$37+'Direct Costs 2026'!$C$39),"N/A"),"N/A")</f>
        <v>N/A</v>
      </c>
      <c r="Q297" t="str" s="547" cm="1">
        <f t="array" ref="Q297">_xlfn.IFERROR(IF(B297&gt;5,IF(B297&gt;11,IF(B297&gt;15,4,3),2),IF(B297=0,"N/A",1))*SUM('Direct Costs 2026'!$C$67:$C$68),"N/A")</f>
        <v>N/A</v>
      </c>
      <c r="R297" t="str" s="547" cm="1">
        <f t="array" ref="R297">_xlfn.IFERROR('Direct Costs 2026'!$C$27*C297,"N/A")</f>
        <v>N/A</v>
      </c>
      <c r="S297" t="str" s="547" cm="1">
        <f t="array" ref="S297">_xlfn.IFERROR(C297+SUM(E297:R297),"N/A")</f>
        <v>N/A</v>
      </c>
      <c r="T297" s="424"/>
      <c r="U297" t="str" s="547" cm="1">
        <f t="array" ref="U297">IF(B297&gt;0,'Allocation OH and Target 2026'!$E$27,"N/A")</f>
        <v>N/A</v>
      </c>
      <c r="V297" t="str" s="547" cm="1">
        <f t="array" ref="V297">IF(B297&gt;0,'Allocation OH and Target 2026'!$E$28,"N/A")</f>
        <v>N/A</v>
      </c>
      <c r="W297" t="str" s="547" cm="1">
        <f t="array" ref="W297">IF(B297&gt;0,VLOOKUP(C278,'Allocation OH and Target 2026'!$C$3:$T$23,17,0),"N/A")</f>
        <v>N/A</v>
      </c>
      <c r="X297" t="str" s="547" cm="1">
        <f t="array" ref="X297">IF(B297&gt;0,VLOOKUP(C278,'Allocation OH and Target 2026'!$C$3:$T$23,18,0),"N/A")</f>
        <v>N/A</v>
      </c>
      <c r="Y297" t="str" s="547" cm="1">
        <f t="array" ref="Y297">_xlfn.IFERROR(V297*B297+X297,"N/A")</f>
        <v>N/A</v>
      </c>
      <c r="Z297" s="424"/>
      <c r="AA297" t="str" s="547" cm="1">
        <f t="array" ref="AA297">_xlfn.IFERROR(Y297+S297,"N/A")</f>
        <v>N/A</v>
      </c>
      <c r="AB297" t="str" s="547" cm="1">
        <f t="array" ref="AB297">_xlfn.IFERROR(AA297*0.5%,"N/A")</f>
        <v>N/A</v>
      </c>
      <c r="AC297" t="str" s="547" cm="1">
        <f t="array" ref="AC297">_xlfn.IFERROR(AA297*25%,"N/A")</f>
        <v>N/A</v>
      </c>
      <c r="AD297" t="str" s="546" cm="1">
        <f t="array" ref="AD297">IF(B297&gt;0,SUM(AA297:AC297),"N/A")</f>
        <v>N/A</v>
      </c>
      <c r="AE297" t="str" s="547" cm="1">
        <f t="array" ref="AE297">_xlfn.IFERROR(AD297/B297,"N/A")</f>
        <v>N/A</v>
      </c>
      <c r="AF297" s="424"/>
      <c r="AG297" t="str" s="546" cm="1">
        <f t="array" ref="AG297">IF(B297/VLOOKUP(C278,'Boats Data Sheet 2026'!$C$3:$H$57,6,0)&gt;VLOOKUP(C278,'Allocation OH and Target 2026'!$C$3:$J$23,8,0),IF(SUM(AH280:AH296)=0,AE297,"N/A"),"N/A")</f>
        <v>N/A</v>
      </c>
      <c r="AH297" s="424" cm="1">
        <f t="array" ref="AH297">IF(AG297="N/A",0,1)</f>
        <v>0</v>
      </c>
      <c r="AI297" t="str" s="547" cm="1">
        <f t="array" ref="AI297">IF(B297/VLOOKUP(C278,'Boats Data Sheet 2026'!$C$3:$H$57,6,0)&gt;VLOOKUP(C278,'Allocation OH and Target 2026'!$C$3:$J$23,8,0),IF(SUM(AH280:AH296)=0,S297/B297,"N/A"),"N/A")</f>
        <v>N/A</v>
      </c>
      <c r="AJ297" s="424" cm="1">
        <f t="array" ref="AJ297">IF(AI297="N/A",0,1)</f>
        <v>0</v>
      </c>
      <c r="AK297" t="str" s="527" cm="1">
        <f t="array" ref="AK297">IF(SUM($AG$120:$AG$137)*B297&lt;SUM(AA297:AB297),"NO GO","GO")</f>
        <v>GO</v>
      </c>
      <c r="AL297" s="424"/>
      <c r="AM297" s="538"/>
      <c r="AN297" s="538"/>
      <c r="AO297" s="538"/>
      <c r="AP297" s="542"/>
      <c r="AQ297" s="543" cm="1">
        <f t="array" ref="AQ297">B297</f>
        <v>0</v>
      </c>
      <c r="AR297" s="18"/>
    </row>
    <row r="298" ht="15.5" customHeight="1">
      <c r="A298" s="12"/>
      <c r="B298" s="550" cm="1">
        <f t="array" ref="B298">IF(B297=0,0,IF(B297&lt;VLOOKUP(C278,'Boats Data Sheet 2026'!$C$3:$H$57,6,0),B297+1,0))</f>
        <v>0</v>
      </c>
      <c r="C298" t="str" s="551" cm="1">
        <f t="array" ref="C298">IF(B298&gt;0,IF(VLOOKUP(C278,'Boats Data Sheet 2026'!$C$3:$J$57,8,0)="N/A",0,VLOOKUP(C278,'Boats Data Sheet 2026'!$C$3:$J$57,8,0)),"N/A")</f>
        <v>N/A</v>
      </c>
      <c r="D298" t="str" s="551" cm="1">
        <f t="array" ref="D298">IF(B298&gt;7,2,IF(B298=0,"N/A",1))</f>
        <v>N/A</v>
      </c>
      <c r="E298" t="str" s="551" cm="1">
        <f t="array" ref="E298">_xlfn.IFERROR(SUM('Direct Costs 2026'!$C$4:$C$5)*D298,"N/A")</f>
        <v>N/A</v>
      </c>
      <c r="F298" s="552" cm="1">
        <f t="array" ref="F298">_xlfn.IFERROR('Direct Costs 2026'!$C$43*B298,"N/A")</f>
        <v>0</v>
      </c>
      <c r="G298" t="str" s="551" cm="1">
        <f t="array" ref="G298">IF(B298&gt;0,'Direct Costs 2026'!$C$25,"N/A")</f>
        <v>N/A</v>
      </c>
      <c r="H298" t="str" s="551" cm="1">
        <f t="array" ref="H298">IF(B298&gt;0,'Direct Costs 2026'!$C$19+'Direct Costs 2026'!$C$18*B298,"N/A")</f>
        <v>N/A</v>
      </c>
      <c r="I298" t="str" s="551" cm="1">
        <f t="array" ref="I298">IF(B298&gt;0,SUM('Direct Costs 2026'!$C$20:$C$21),"N/A")</f>
        <v>N/A</v>
      </c>
      <c r="J298" s="552">
        <v>0</v>
      </c>
      <c r="K298" t="str" s="551" cm="1">
        <f t="array" ref="K298">_xlfn.IFERROR((IF(B298&gt;0,'Direct Costs 2026'!$C$15+'Direct Costs 2026'!$C$14,"N/A")),"N/A")</f>
        <v>N/A</v>
      </c>
      <c r="L298" t="str" s="551" cm="1">
        <f t="array" ref="L298">IF(B298&gt;0,'Direct Costs 2026'!$C$26,"N/A")</f>
        <v>N/A</v>
      </c>
      <c r="M298" t="str" s="551" cm="1">
        <f t="array" ref="M298">IF(B298&gt;0,'Direct Costs 2026'!$C$23,"N/A")</f>
        <v>N/A</v>
      </c>
      <c r="N298" t="str" s="551" cm="1">
        <f t="array" ref="N298">IF(B298&gt;0,'Direct Costs 2026'!$C$44*B298,"N/A")</f>
        <v>N/A</v>
      </c>
      <c r="O298" t="str" s="551" cm="1">
        <f t="array" ref="O298">IF(B298&gt;0,_xlfn.IFERROR(VLOOKUP(C278,'Boats Data Sheet 2026'!$C$3:$I$57,7,0)*'Direct Costs 2026'!$C$36,"N/A"),"N/A")</f>
        <v>N/A</v>
      </c>
      <c r="P298" t="str" s="551" cm="1">
        <f t="array" ref="P298">IF(B298&gt;0,IF(OR(VLOOKUP(C286,'Boats Data Sheet 2026'!$C$3:$F$57,4,0)="Own",VLOOKUP(C286,'Boats Data Sheet 2026'!$C$3:$F$57,4,0)="Management"),('Direct Costs 2026'!$C$37+'Direct Costs 2026'!$C$39),"N/A"),"N/A")</f>
        <v>N/A</v>
      </c>
      <c r="Q298" t="str" s="551" cm="1">
        <f t="array" ref="Q298">_xlfn.IFERROR(IF(B298&gt;5,IF(B298&gt;11,IF(B298&gt;15,4,3),2),IF(B298=0,"N/A",1))*SUM('Direct Costs 2026'!$C$67:$C$68),"N/A")</f>
        <v>N/A</v>
      </c>
      <c r="R298" t="str" s="551" cm="1">
        <f t="array" ref="R298">_xlfn.IFERROR('Direct Costs 2026'!$C$27*C298,"N/A")</f>
        <v>N/A</v>
      </c>
      <c r="S298" t="str" s="551" cm="1">
        <f t="array" ref="S298">_xlfn.IFERROR(C298+SUM(E298:R298),"N/A")</f>
        <v>N/A</v>
      </c>
      <c r="T298" s="435"/>
      <c r="U298" t="str" s="551" cm="1">
        <f t="array" ref="U298">IF(B298&gt;0,'Allocation OH and Target 2026'!$E$27,"N/A")</f>
        <v>N/A</v>
      </c>
      <c r="V298" t="str" s="551" cm="1">
        <f t="array" ref="V298">IF(B298&gt;0,'Allocation OH and Target 2026'!$E$28,"N/A")</f>
        <v>N/A</v>
      </c>
      <c r="W298" t="str" s="551" cm="1">
        <f t="array" ref="W298">IF(B298&gt;0,VLOOKUP(C278,'Allocation OH and Target 2026'!$C$3:$T$23,17,0),"N/A")</f>
        <v>N/A</v>
      </c>
      <c r="X298" t="str" s="551" cm="1">
        <f t="array" ref="X298">IF(B298&gt;0,VLOOKUP(C278,'Allocation OH and Target 2026'!$C$3:$T$23,18,0),"N/A")</f>
        <v>N/A</v>
      </c>
      <c r="Y298" t="str" s="551" cm="1">
        <f t="array" ref="Y298">_xlfn.IFERROR(V298*B298+X298,"N/A")</f>
        <v>N/A</v>
      </c>
      <c r="Z298" s="435"/>
      <c r="AA298" t="str" s="551" cm="1">
        <f t="array" ref="AA298">_xlfn.IFERROR(Y298+S298,"N/A")</f>
        <v>N/A</v>
      </c>
      <c r="AB298" t="str" s="551" cm="1">
        <f t="array" ref="AB298">_xlfn.IFERROR(AA298*0.5%,"N/A")</f>
        <v>N/A</v>
      </c>
      <c r="AC298" t="str" s="551" cm="1">
        <f t="array" ref="AC298">_xlfn.IFERROR(AA298*25%,"N/A")</f>
        <v>N/A</v>
      </c>
      <c r="AD298" t="str" s="553" cm="1">
        <f t="array" ref="AD298">IF(B298&gt;0,SUM(AA298:AC298),"N/A")</f>
        <v>N/A</v>
      </c>
      <c r="AE298" t="str" s="551" cm="1">
        <f t="array" ref="AE298">_xlfn.IFERROR(AD298/B298,"N/A")</f>
        <v>N/A</v>
      </c>
      <c r="AF298" s="435"/>
      <c r="AG298" t="str" s="553" cm="1">
        <f t="array" ref="AG298">IF(B298/VLOOKUP(C278,'Boats Data Sheet 2026'!$C$3:$H$57,6,0)&gt;VLOOKUP(C278,'Allocation OH and Target 2026'!$C$3:$J$23,8,0),IF(SUM(AH280:AH297)=0,AE298,"N/A"),"N/A")</f>
        <v>N/A</v>
      </c>
      <c r="AH298" s="435" cm="1">
        <f t="array" ref="AH298">IF(AG298="N/A",0,1)</f>
        <v>0</v>
      </c>
      <c r="AI298" t="str" s="551" cm="1">
        <f t="array" ref="AI298">IF(B298/VLOOKUP(C278,'Boats Data Sheet 2026'!$C$3:$H$57,6,0)&gt;VLOOKUP(C278,'Allocation OH and Target 2026'!$C$3:$J$23,8,0),IF(SUM(AH280:AH297)=0,S298/B298,"N/A"),"N/A")</f>
        <v>N/A</v>
      </c>
      <c r="AJ298" s="435" cm="1">
        <f t="array" ref="AJ298">IF(AI298="N/A",0,1)</f>
        <v>0</v>
      </c>
      <c r="AK298" t="str" s="554" cm="1">
        <f t="array" ref="AK298">IF(SUM($AG$120:$AG$137)*B298&lt;SUM(AA298:AB298),"NO GO","GO")</f>
        <v>GO</v>
      </c>
      <c r="AL298" s="435"/>
      <c r="AM298" s="552"/>
      <c r="AN298" s="552"/>
      <c r="AO298" s="552"/>
      <c r="AP298" s="555"/>
      <c r="AQ298" s="543" cm="1">
        <f t="array" ref="AQ298">B298</f>
        <v>0</v>
      </c>
      <c r="AR298" s="18"/>
    </row>
    <row r="299" ht="15.5" customHeight="1">
      <c r="A299" s="32"/>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c r="AH299" s="124"/>
      <c r="AI299" s="124"/>
      <c r="AJ299" s="124"/>
      <c r="AK299" s="124"/>
      <c r="AL299" s="124"/>
      <c r="AM299" s="124"/>
      <c r="AN299" s="124"/>
      <c r="AO299" s="124"/>
      <c r="AP299" s="124"/>
      <c r="AQ299" s="17"/>
      <c r="AR299" s="18"/>
    </row>
    <row r="300" ht="15.5" customHeight="1">
      <c r="A300" s="32"/>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17"/>
      <c r="AR300" s="18"/>
    </row>
    <row r="301" ht="15.5" customHeight="1">
      <c r="A301" s="395">
        <v>10</v>
      </c>
      <c r="B301" t="s" s="517">
        <v>506</v>
      </c>
      <c r="C301" t="s" s="518">
        <v>54</v>
      </c>
      <c r="D301" s="519"/>
      <c r="E301" s="519"/>
      <c r="F301" s="519"/>
      <c r="G301" s="519"/>
      <c r="H301" s="519"/>
      <c r="I301" s="519"/>
      <c r="J301" s="519"/>
      <c r="K301" s="519"/>
      <c r="L301" s="519"/>
      <c r="M301" s="519"/>
      <c r="N301" s="519"/>
      <c r="O301" s="519"/>
      <c r="P301" s="519"/>
      <c r="Q301" s="519"/>
      <c r="R301" s="519"/>
      <c r="S301" s="519"/>
      <c r="T301" s="399"/>
      <c r="U301" s="519"/>
      <c r="V301" s="519"/>
      <c r="W301" s="519"/>
      <c r="X301" s="519"/>
      <c r="Y301" s="519"/>
      <c r="Z301" s="399"/>
      <c r="AA301" s="519"/>
      <c r="AB301" s="519"/>
      <c r="AC301" s="519"/>
      <c r="AD301" s="519"/>
      <c r="AE301" s="519"/>
      <c r="AF301" s="399"/>
      <c r="AG301" s="521"/>
      <c r="AH301" s="399"/>
      <c r="AI301" s="519"/>
      <c r="AJ301" s="399"/>
      <c r="AK301" s="519"/>
      <c r="AL301" s="399"/>
      <c r="AM301" s="521"/>
      <c r="AN301" s="560"/>
      <c r="AO301" s="519"/>
      <c r="AP301" s="522"/>
      <c r="AQ301" s="16"/>
      <c r="AR301" s="18"/>
    </row>
    <row r="302" ht="16" customHeight="1">
      <c r="A302" s="12"/>
      <c r="B302" s="523"/>
      <c r="C302" t="s" s="524">
        <v>513</v>
      </c>
      <c r="D302" s="525"/>
      <c r="E302" s="525"/>
      <c r="F302" s="525"/>
      <c r="G302" s="525"/>
      <c r="H302" s="525"/>
      <c r="I302" s="525"/>
      <c r="J302" s="525"/>
      <c r="K302" s="525"/>
      <c r="L302" s="525"/>
      <c r="M302" s="525"/>
      <c r="N302" s="525"/>
      <c r="O302" s="525"/>
      <c r="P302" s="525"/>
      <c r="Q302" s="525"/>
      <c r="R302" s="525"/>
      <c r="S302" s="526"/>
      <c r="T302" s="407"/>
      <c r="U302" t="s" s="524">
        <v>514</v>
      </c>
      <c r="V302" s="525"/>
      <c r="W302" s="525"/>
      <c r="X302" s="525"/>
      <c r="Y302" s="526"/>
      <c r="Z302" s="407"/>
      <c r="AA302" t="s" s="524">
        <v>515</v>
      </c>
      <c r="AB302" s="525"/>
      <c r="AC302" s="525"/>
      <c r="AD302" s="525"/>
      <c r="AE302" s="526"/>
      <c r="AF302" s="410"/>
      <c r="AG302" s="527"/>
      <c r="AH302" s="410"/>
      <c r="AI302" s="528"/>
      <c r="AJ302" s="410"/>
      <c r="AK302" s="528"/>
      <c r="AL302" s="410"/>
      <c r="AM302" s="528"/>
      <c r="AN302" s="528"/>
      <c r="AO302" s="528"/>
      <c r="AP302" s="529"/>
      <c r="AQ302" s="16"/>
      <c r="AR302" s="18"/>
    </row>
    <row r="303" ht="48" customHeight="1">
      <c r="A303" s="12"/>
      <c r="B303" t="s" s="530">
        <v>517</v>
      </c>
      <c r="C303" t="s" s="531">
        <v>518</v>
      </c>
      <c r="D303" t="s" s="531">
        <v>519</v>
      </c>
      <c r="E303" t="s" s="531">
        <v>520</v>
      </c>
      <c r="F303" t="s" s="532">
        <v>521</v>
      </c>
      <c r="G303" t="s" s="532">
        <v>522</v>
      </c>
      <c r="H303" t="s" s="532">
        <v>524</v>
      </c>
      <c r="I303" t="s" s="532">
        <v>525</v>
      </c>
      <c r="J303" t="s" s="532">
        <v>556</v>
      </c>
      <c r="K303" t="s" s="532">
        <v>587</v>
      </c>
      <c r="L303" t="s" s="532">
        <v>526</v>
      </c>
      <c r="M303" t="s" s="532">
        <v>527</v>
      </c>
      <c r="N303" t="s" s="532">
        <v>528</v>
      </c>
      <c r="O303" t="s" s="532">
        <v>529</v>
      </c>
      <c r="P303" t="s" s="532">
        <v>530</v>
      </c>
      <c r="Q303" t="s" s="532">
        <v>572</v>
      </c>
      <c r="R303" t="s" s="532">
        <v>531</v>
      </c>
      <c r="S303" t="s" s="532">
        <v>532</v>
      </c>
      <c r="T303" s="556"/>
      <c r="U303" t="s" s="532">
        <v>533</v>
      </c>
      <c r="V303" t="s" s="532">
        <v>573</v>
      </c>
      <c r="W303" t="s" s="532">
        <v>534</v>
      </c>
      <c r="X303" t="s" s="532">
        <v>574</v>
      </c>
      <c r="Y303" t="s" s="532">
        <v>535</v>
      </c>
      <c r="Z303" s="556"/>
      <c r="AA303" t="s" s="532">
        <v>536</v>
      </c>
      <c r="AB303" t="s" s="532">
        <v>537</v>
      </c>
      <c r="AC303" t="s" s="532">
        <v>538</v>
      </c>
      <c r="AD303" t="s" s="532">
        <v>575</v>
      </c>
      <c r="AE303" t="s" s="532">
        <v>539</v>
      </c>
      <c r="AF303" s="557"/>
      <c r="AG303" t="s" s="532">
        <v>576</v>
      </c>
      <c r="AH303" s="557"/>
      <c r="AI303" t="s" s="532">
        <v>577</v>
      </c>
      <c r="AJ303" s="557"/>
      <c r="AK303" t="s" s="531">
        <v>578</v>
      </c>
      <c r="AL303" s="557"/>
      <c r="AM303" s="533"/>
      <c r="AN303" s="533"/>
      <c r="AO303" s="533"/>
      <c r="AP303" s="534"/>
      <c r="AQ303" s="16"/>
      <c r="AR303" s="18"/>
    </row>
    <row r="304" ht="16.5" customHeight="1">
      <c r="A304" s="12"/>
      <c r="B304" s="535">
        <v>1</v>
      </c>
      <c r="C304" s="536" cm="1">
        <f t="array" ref="C304">IF(B304&gt;0,IF(VLOOKUP(C301,'Boats Data Sheet 2026'!$C$3:$J$57,8,0)="N/A",0,VLOOKUP(C301,'Boats Data Sheet 2026'!$C$3:$J$57,8,0)),"N/A")</f>
        <v>0</v>
      </c>
      <c r="D304" s="537" cm="1">
        <f t="array" ref="D304">IF(B304&gt;7,2,IF(B304=0,"N/A",1))</f>
        <v>1</v>
      </c>
      <c r="E304" s="536" cm="1">
        <f t="array" ref="E304">_xlfn.IFERROR(SUM('Direct Costs 2026'!$C$4:$C$5)*D304,"N/A")</f>
        <v>875500</v>
      </c>
      <c r="F304" s="538" cm="1">
        <f t="array" ref="F304">_xlfn.IFERROR('Direct Costs 2026'!$C$43*B304,"N/A")</f>
        <v>6000</v>
      </c>
      <c r="G304" s="538" cm="1">
        <f t="array" ref="G304">IF(B304&gt;0,'Direct Costs 2026'!$C$25,"N/A")</f>
        <v>90000</v>
      </c>
      <c r="H304" s="538" cm="1">
        <f t="array" ref="H304">IF(B304&gt;0,'Direct Costs 2026'!$C$19+'Direct Costs 2026'!$C$18*B304,"N/A")</f>
        <v>110000</v>
      </c>
      <c r="I304" s="538" cm="1">
        <f t="array" ref="I304">IF(B304&gt;0,SUM('Direct Costs 2026'!$C$20:$C$21),"N/A")</f>
        <v>98333.3333333333</v>
      </c>
      <c r="J304" s="538">
        <v>0</v>
      </c>
      <c r="K304" s="538" cm="1">
        <f t="array" ref="K304">_xlfn.IFERROR((IF(B304&gt;0,'Direct Costs 2026'!$C$15+'Direct Costs 2026'!$C$14,"N/A")),"N/A")</f>
        <v>230000</v>
      </c>
      <c r="L304" s="538" cm="1">
        <f t="array" ref="L304">IF(B304&gt;0,'Direct Costs 2026'!$C$26,"N/A")</f>
        <v>20000</v>
      </c>
      <c r="M304" s="538" cm="1">
        <f t="array" ref="M304">IF(B304&gt;0,'Direct Costs 2026'!$C$23,"N/A")</f>
        <v>140000</v>
      </c>
      <c r="N304" s="538" cm="1">
        <f t="array" ref="N304">IF(B304&gt;0,'Direct Costs 2026'!$C$44*B304,"N/A")</f>
        <v>110000</v>
      </c>
      <c r="O304" s="538" cm="1">
        <f t="array" ref="O304">IF(B304&gt;0,_xlfn.IFERROR(VLOOKUP(C301,'Boats Data Sheet 2026'!$C$3:$I$57,7,0)*'Direct Costs 2026'!$C$36,"N/A"),"N/A")</f>
        <v>3325000</v>
      </c>
      <c r="P304" s="538" cm="1">
        <f t="array" ref="P304">IF(B304&gt;0,IF(OR(VLOOKUP(C301,'Boats Data Sheet 2026'!$C$3:$F$57,4,0)="Own",VLOOKUP(C301,'Boats Data Sheet 2026'!$C$3:$F$57,4,0)="Management"),('Direct Costs 2026'!$C$37+'Direct Costs 2026'!$C$39),"N/A"),"N/A")</f>
        <v>1112400</v>
      </c>
      <c r="Q304" s="538" cm="1">
        <f t="array" ref="Q304">_xlfn.IFERROR(IF(B304&gt;5,IF(B304&gt;11,IF(B304&gt;15,4,3),2),IF(B304=0,"N/A",1))*SUM('Direct Costs 2026'!$C$67:$C$68),"N/A")</f>
        <v>489600</v>
      </c>
      <c r="R304" s="538" cm="1">
        <f t="array" ref="R304">_xlfn.IFERROR('Direct Costs 2026'!$C$27*C304,"N/A")</f>
        <v>0</v>
      </c>
      <c r="S304" s="538" cm="1">
        <f t="array" ref="S304">_xlfn.IFERROR(C304+SUM(E304:R304),"N/A")</f>
        <v>6606833.33333333</v>
      </c>
      <c r="T304" s="424"/>
      <c r="U304" s="538" cm="1">
        <f t="array" ref="U304">IF(B304&gt;0,'Allocation OH and Target 2026'!$E$27,"N/A")</f>
        <v>2134447.30345641</v>
      </c>
      <c r="V304" s="538" cm="1">
        <f t="array" ref="V304">IF(B304&gt;0,'Allocation OH and Target 2026'!$E$28,"N/A")</f>
        <v>200042.323056976</v>
      </c>
      <c r="W304" s="538" cm="1">
        <f t="array" ref="W304">IF(B304&gt;0,VLOOKUP(C301,'Allocation OH and Target 2026'!$C$3:$T$23,17,0),"N/A")</f>
        <v>965292.6396039641</v>
      </c>
      <c r="X304" s="538" cm="1">
        <f t="array" ref="X304">IF(B304&gt;0,VLOOKUP(C301,'Allocation OH and Target 2026'!$C$3:$T$23,18,0),"N/A")</f>
        <v>92851.958666666906</v>
      </c>
      <c r="Y304" s="538" cm="1">
        <f t="array" ref="Y304">_xlfn.IFERROR(B304*(V304+X304),"N/A")</f>
        <v>292894.281723643</v>
      </c>
      <c r="Z304" s="424"/>
      <c r="AA304" s="538" cm="1">
        <f t="array" ref="AA304">_xlfn.IFERROR(Y304+S304,"N/A")</f>
        <v>6899727.61505697</v>
      </c>
      <c r="AB304" s="538" cm="1">
        <f t="array" ref="AB304">_xlfn.IFERROR(AA304*0.5%,"N/A")</f>
        <v>34498.6380752849</v>
      </c>
      <c r="AC304" s="538" cm="1">
        <f t="array" ref="AC304">_xlfn.IFERROR(AA304*25%,"N/A")</f>
        <v>1724931.90376424</v>
      </c>
      <c r="AD304" s="539" cm="1">
        <f t="array" ref="AD304">IF(B304&gt;0,SUM(AA304:AC304),"N/A")</f>
        <v>8659158.156896491</v>
      </c>
      <c r="AE304" s="538" cm="1">
        <f t="array" ref="AE304">_xlfn.IFERROR(AD304/B304,"N/A")</f>
        <v>8659158.156896491</v>
      </c>
      <c r="AF304" s="424"/>
      <c r="AG304" t="s" s="540">
        <v>14</v>
      </c>
      <c r="AH304" s="424" cm="1">
        <f t="array" ref="AH304">IF(AG304="N/A",0,1)</f>
        <v>0</v>
      </c>
      <c r="AI304" t="s" s="541">
        <v>14</v>
      </c>
      <c r="AJ304" s="424" cm="1">
        <f t="array" ref="AJ304">IF(AI304="N/A",0,1)</f>
        <v>0</v>
      </c>
      <c r="AK304" t="str" s="558" cm="1">
        <f t="array" ref="AK304">IF(SUM($AG$120:$AG$137)*B304&lt;SUM(AA304:AB304),"NO GO","GO")</f>
        <v>NO GO</v>
      </c>
      <c r="AL304" s="424"/>
      <c r="AM304" s="538"/>
      <c r="AN304" s="561"/>
      <c r="AO304" s="538"/>
      <c r="AP304" s="542"/>
      <c r="AQ304" s="543" cm="1">
        <f t="array" ref="AQ304">B304</f>
        <v>1</v>
      </c>
      <c r="AR304" s="18"/>
    </row>
    <row r="305" ht="16" customHeight="1">
      <c r="A305" s="12"/>
      <c r="B305" s="544" cm="1">
        <f t="array" ref="B305">IF(B304=0,0,IF(B304&lt;VLOOKUP(C301,'Boats Data Sheet 2026'!$C$3:$H$57,6,0),B304+1,0))</f>
        <v>2</v>
      </c>
      <c r="C305" s="538" cm="1">
        <f t="array" ref="C305">IF(B305&gt;0,IF(VLOOKUP(C301,'Boats Data Sheet 2026'!$C$3:$J$57,8,0)="N/A",0,VLOOKUP(C301,'Boats Data Sheet 2026'!$C$3:$J$57,8,0)),"N/A")</f>
        <v>0</v>
      </c>
      <c r="D305" s="545" cm="1">
        <f t="array" ref="D305">IF(B305&gt;7,2,IF(B305=0,"N/A",1))</f>
        <v>1</v>
      </c>
      <c r="E305" s="538" cm="1">
        <f t="array" ref="E305">_xlfn.IFERROR(SUM('Direct Costs 2026'!$C$4:$C$5)*D305,"N/A")</f>
        <v>875500</v>
      </c>
      <c r="F305" s="538" cm="1">
        <f t="array" ref="F305">_xlfn.IFERROR('Direct Costs 2026'!$C$43*B305,"N/A")</f>
        <v>12000</v>
      </c>
      <c r="G305" s="538" cm="1">
        <f t="array" ref="G305">IF(B305&gt;0,'Direct Costs 2026'!$C$25,"N/A")</f>
        <v>90000</v>
      </c>
      <c r="H305" s="538" cm="1">
        <f t="array" ref="H305">IF(B305&gt;0,'Direct Costs 2026'!$C$19+'Direct Costs 2026'!$C$18*B305,"N/A")</f>
        <v>145000</v>
      </c>
      <c r="I305" s="538" cm="1">
        <f t="array" ref="I305">IF(B305&gt;0,SUM('Direct Costs 2026'!$C$20:$C$21),"N/A")</f>
        <v>98333.3333333333</v>
      </c>
      <c r="J305" s="538">
        <v>0</v>
      </c>
      <c r="K305" s="538" cm="1">
        <f t="array" ref="K305">_xlfn.IFERROR((IF(B305&gt;0,'Direct Costs 2026'!$C$15+'Direct Costs 2026'!$C$14,"N/A")),"N/A")</f>
        <v>230000</v>
      </c>
      <c r="L305" s="538" cm="1">
        <f t="array" ref="L305">IF(B305&gt;0,'Direct Costs 2026'!$C$26,"N/A")</f>
        <v>20000</v>
      </c>
      <c r="M305" s="538" cm="1">
        <f t="array" ref="M305">IF(B305&gt;0,'Direct Costs 2026'!$C$23,"N/A")</f>
        <v>140000</v>
      </c>
      <c r="N305" s="538" cm="1">
        <f t="array" ref="N305">IF(B305&gt;0,'Direct Costs 2026'!$C$44*B305,"N/A")</f>
        <v>220000</v>
      </c>
      <c r="O305" s="538" cm="1">
        <f t="array" ref="O305">IF(B305&gt;0,_xlfn.IFERROR(VLOOKUP(C301,'Boats Data Sheet 2026'!$C$3:$I$57,7,0)*'Direct Costs 2026'!$C$36,"N/A"),"N/A")</f>
        <v>3325000</v>
      </c>
      <c r="P305" s="538" cm="1">
        <f t="array" ref="P305">IF(B305&gt;0,IF(OR(VLOOKUP(C301,'Boats Data Sheet 2026'!$C$3:$F$57,4,0)="Own",VLOOKUP(C301,'Boats Data Sheet 2026'!$C$3:$F$57,4,0)="Management"),('Direct Costs 2026'!$C$37+'Direct Costs 2026'!$C$39),"N/A"),"N/A")</f>
        <v>1112400</v>
      </c>
      <c r="Q305" s="538" cm="1">
        <f t="array" ref="Q305">_xlfn.IFERROR(IF(B305&gt;5,IF(B305&gt;11,IF(B305&gt;15,4,3),2),IF(B305=0,"N/A",1))*SUM('Direct Costs 2026'!$C$67:$C$68),"N/A")</f>
        <v>489600</v>
      </c>
      <c r="R305" s="538" cm="1">
        <f t="array" ref="R305">_xlfn.IFERROR('Direct Costs 2026'!$C$27*C305,"N/A")</f>
        <v>0</v>
      </c>
      <c r="S305" s="538" cm="1">
        <f t="array" ref="S305">_xlfn.IFERROR(C305+SUM(E305:R305),"N/A")</f>
        <v>6757833.33333333</v>
      </c>
      <c r="T305" s="424"/>
      <c r="U305" s="538" cm="1">
        <f t="array" ref="U305">IF(B305&gt;0,'Allocation OH and Target 2026'!$E$27,"N/A")</f>
        <v>2134447.30345641</v>
      </c>
      <c r="V305" s="538" cm="1">
        <f t="array" ref="V305">IF(B305&gt;0,'Allocation OH and Target 2026'!$E$28,"N/A")</f>
        <v>200042.323056976</v>
      </c>
      <c r="W305" s="538" cm="1">
        <f t="array" ref="W305">IF(B305&gt;0,VLOOKUP(C301,'Allocation OH and Target 2026'!$C$3:$T$23,17,0),"N/A")</f>
        <v>965292.6396039641</v>
      </c>
      <c r="X305" s="538" cm="1">
        <f t="array" ref="X305">IF(B305&gt;0,VLOOKUP(C301,'Allocation OH and Target 2026'!$C$3:$T$23,18,0),"N/A")</f>
        <v>92851.958666666906</v>
      </c>
      <c r="Y305" s="538" cm="1">
        <f t="array" ref="Y305">_xlfn.IFERROR(B305*(V305+X305),"N/A")</f>
        <v>585788.563447286</v>
      </c>
      <c r="Z305" s="424"/>
      <c r="AA305" s="538" cm="1">
        <f t="array" ref="AA305">_xlfn.IFERROR(Y305+S305,"N/A")</f>
        <v>7343621.89678062</v>
      </c>
      <c r="AB305" s="538" cm="1">
        <f t="array" ref="AB305">_xlfn.IFERROR(AA305*0.5%,"N/A")</f>
        <v>36718.1094839031</v>
      </c>
      <c r="AC305" s="538" cm="1">
        <f t="array" ref="AC305">_xlfn.IFERROR(AA305*25%,"N/A")</f>
        <v>1835905.47419516</v>
      </c>
      <c r="AD305" s="539" cm="1">
        <f t="array" ref="AD305">IF(B305&gt;0,SUM(AA305:AC305),"N/A")</f>
        <v>9216245.480459681</v>
      </c>
      <c r="AE305" s="538" cm="1">
        <f t="array" ref="AE305">_xlfn.IFERROR(AD305/B305,"N/A")</f>
        <v>4608122.74022984</v>
      </c>
      <c r="AF305" s="424"/>
      <c r="AG305" t="str" s="546" cm="1">
        <f t="array" ref="AG305">IF(B305/VLOOKUP(C301,'Boats Data Sheet 2026'!$C$3:$H$57,6,0)&gt;VLOOKUP(C301,'Allocation OH and Target 2026'!$C$3:$J$23,8,0),IF(SUM(AH303:AH304)=0,AE305,"N/A"),"N/A")</f>
        <v>N/A</v>
      </c>
      <c r="AH305" s="424" cm="1">
        <f t="array" ref="AH305">IF(AG305="N/A",0,1)</f>
        <v>0</v>
      </c>
      <c r="AI305" t="str" s="547" cm="1">
        <f t="array" ref="AI305">IF(B305/VLOOKUP(C301,'Boats Data Sheet 2026'!$C$3:$H$57,6,0)&gt;VLOOKUP(C301,'Allocation OH and Target 2026'!$C$3:$J$23,8,0),IF(SUM(AH303:AH304)=0,S305/B305,"N/A"),"N/A")</f>
        <v>N/A</v>
      </c>
      <c r="AJ305" s="424" cm="1">
        <f t="array" ref="AJ305">IF(AI305="N/A",0,1)</f>
        <v>0</v>
      </c>
      <c r="AK305" t="str" s="527" cm="1">
        <f t="array" ref="AK305">IF(SUM($AG$120:$AG$137)*B305&lt;SUM(AA305:AB305),"NO GO","GO")</f>
        <v>NO GO</v>
      </c>
      <c r="AL305" s="424"/>
      <c r="AM305" s="568"/>
      <c r="AN305" s="538"/>
      <c r="AO305" s="538"/>
      <c r="AP305" s="542"/>
      <c r="AQ305" s="543" cm="1">
        <f t="array" ref="AQ305">B305</f>
        <v>2</v>
      </c>
      <c r="AR305" s="18"/>
    </row>
    <row r="306" ht="16" customHeight="1">
      <c r="A306" s="12"/>
      <c r="B306" s="544" cm="1">
        <f t="array" ref="B306">IF(B305=0,0,IF(B305&lt;VLOOKUP(C301,'Boats Data Sheet 2026'!$C$3:$H$57,6,0),B305+1,0))</f>
        <v>3</v>
      </c>
      <c r="C306" s="538" cm="1">
        <f t="array" ref="C306">IF(B306&gt;0,IF(VLOOKUP(C301,'Boats Data Sheet 2026'!$C$3:$J$57,8,0)="N/A",0,VLOOKUP(C301,'Boats Data Sheet 2026'!$C$3:$J$57,8,0)),"N/A")</f>
        <v>0</v>
      </c>
      <c r="D306" s="545" cm="1">
        <f t="array" ref="D306">IF(B306&gt;7,2,IF(B306=0,"N/A",1))</f>
        <v>1</v>
      </c>
      <c r="E306" s="538" cm="1">
        <f t="array" ref="E306">_xlfn.IFERROR(SUM('Direct Costs 2026'!$C$4:$C$5)*D306,"N/A")</f>
        <v>875500</v>
      </c>
      <c r="F306" s="538" cm="1">
        <f t="array" ref="F306">_xlfn.IFERROR('Direct Costs 2026'!$C$43*B306,"N/A")</f>
        <v>18000</v>
      </c>
      <c r="G306" s="538" cm="1">
        <f t="array" ref="G306">IF(B306&gt;0,'Direct Costs 2026'!$C$25,"N/A")</f>
        <v>90000</v>
      </c>
      <c r="H306" s="538" cm="1">
        <f t="array" ref="H306">IF(B306&gt;0,'Direct Costs 2026'!$C$19+'Direct Costs 2026'!$C$18*B306,"N/A")</f>
        <v>180000</v>
      </c>
      <c r="I306" s="538" cm="1">
        <f t="array" ref="I306">IF(B306&gt;0,SUM('Direct Costs 2026'!$C$20:$C$21),"N/A")</f>
        <v>98333.3333333333</v>
      </c>
      <c r="J306" s="538">
        <v>0</v>
      </c>
      <c r="K306" s="538" cm="1">
        <f t="array" ref="K306">_xlfn.IFERROR((IF(B306&gt;0,'Direct Costs 2026'!$C$15+'Direct Costs 2026'!$C$14,"N/A")),"N/A")</f>
        <v>230000</v>
      </c>
      <c r="L306" s="538" cm="1">
        <f t="array" ref="L306">IF(B306&gt;0,'Direct Costs 2026'!$C$26,"N/A")</f>
        <v>20000</v>
      </c>
      <c r="M306" s="538" cm="1">
        <f t="array" ref="M306">IF(B306&gt;0,'Direct Costs 2026'!$C$23,"N/A")</f>
        <v>140000</v>
      </c>
      <c r="N306" s="538" cm="1">
        <f t="array" ref="N306">IF(B306&gt;0,'Direct Costs 2026'!$C$44*B306,"N/A")</f>
        <v>330000</v>
      </c>
      <c r="O306" s="538" cm="1">
        <f t="array" ref="O306">IF(B306&gt;0,_xlfn.IFERROR(VLOOKUP(C301,'Boats Data Sheet 2026'!$C$3:$I$57,7,0)*'Direct Costs 2026'!$C$36,"N/A"),"N/A")</f>
        <v>3325000</v>
      </c>
      <c r="P306" s="538" cm="1">
        <f t="array" ref="P306">IF(B306&gt;0,IF(OR(VLOOKUP(C301,'Boats Data Sheet 2026'!$C$3:$F$57,4,0)="Own",VLOOKUP(C301,'Boats Data Sheet 2026'!$C$3:$F$57,4,0)="Management"),('Direct Costs 2026'!$C$37+'Direct Costs 2026'!$C$39),"N/A"),"N/A")</f>
        <v>1112400</v>
      </c>
      <c r="Q306" s="538" cm="1">
        <f t="array" ref="Q306">_xlfn.IFERROR(IF(B306&gt;5,IF(B306&gt;11,IF(B306&gt;15,4,3),2),IF(B306=0,"N/A",1))*SUM('Direct Costs 2026'!$C$67:$C$68),"N/A")</f>
        <v>489600</v>
      </c>
      <c r="R306" s="538" cm="1">
        <f t="array" ref="R306">_xlfn.IFERROR('Direct Costs 2026'!$C$27*C306,"N/A")</f>
        <v>0</v>
      </c>
      <c r="S306" s="538" cm="1">
        <f t="array" ref="S306">_xlfn.IFERROR(C306+SUM(E306:R306),"N/A")</f>
        <v>6908833.33333333</v>
      </c>
      <c r="T306" s="424"/>
      <c r="U306" s="538" cm="1">
        <f t="array" ref="U306">IF(B306&gt;0,'Allocation OH and Target 2026'!$E$27,"N/A")</f>
        <v>2134447.30345641</v>
      </c>
      <c r="V306" s="538" cm="1">
        <f t="array" ref="V306">IF(B306&gt;0,'Allocation OH and Target 2026'!$E$28,"N/A")</f>
        <v>200042.323056976</v>
      </c>
      <c r="W306" s="538" cm="1">
        <f t="array" ref="W306">IF(B306&gt;0,VLOOKUP(C301,'Allocation OH and Target 2026'!$C$3:$T$23,17,0),"N/A")</f>
        <v>965292.6396039641</v>
      </c>
      <c r="X306" s="538" cm="1">
        <f t="array" ref="X306">IF(B306&gt;0,VLOOKUP(C301,'Allocation OH and Target 2026'!$C$3:$T$23,18,0),"N/A")</f>
        <v>92851.958666666906</v>
      </c>
      <c r="Y306" s="538" cm="1">
        <f t="array" ref="Y306">_xlfn.IFERROR(B306*(V306+X306),"N/A")</f>
        <v>878682.845170929</v>
      </c>
      <c r="Z306" s="424"/>
      <c r="AA306" s="538" cm="1">
        <f t="array" ref="AA306">_xlfn.IFERROR(Y306+S306,"N/A")</f>
        <v>7787516.17850426</v>
      </c>
      <c r="AB306" s="538" cm="1">
        <f t="array" ref="AB306">_xlfn.IFERROR(AA306*0.5%,"N/A")</f>
        <v>38937.5808925213</v>
      </c>
      <c r="AC306" s="538" cm="1">
        <f t="array" ref="AC306">_xlfn.IFERROR(AA306*25%,"N/A")</f>
        <v>1946879.04462607</v>
      </c>
      <c r="AD306" s="539" cm="1">
        <f t="array" ref="AD306">IF(B306&gt;0,SUM(AA306:AC306),"N/A")</f>
        <v>9773332.80402285</v>
      </c>
      <c r="AE306" s="538" cm="1">
        <f t="array" ref="AE306">_xlfn.IFERROR(AD306/B306,"N/A")</f>
        <v>3257777.60134095</v>
      </c>
      <c r="AF306" s="424"/>
      <c r="AG306" t="str" s="546" cm="1">
        <f t="array" ref="AG306">IF(B306/VLOOKUP(C301,'Boats Data Sheet 2026'!$C$3:$H$57,6,0)&gt;VLOOKUP(C301,'Allocation OH and Target 2026'!$C$3:$J$23,8,0),IF(SUM(AH303:AH305)=0,AE306,"N/A"),"N/A")</f>
        <v>N/A</v>
      </c>
      <c r="AH306" s="424" cm="1">
        <f t="array" ref="AH306">IF(AG306="N/A",0,1)</f>
        <v>0</v>
      </c>
      <c r="AI306" t="str" s="547" cm="1">
        <f t="array" ref="AI306">IF(B306/VLOOKUP(C301,'Boats Data Sheet 2026'!$C$3:$H$57,6,0)&gt;VLOOKUP(C301,'Allocation OH and Target 2026'!$C$3:$J$23,8,0),IF(SUM(AH303:AH305)=0,S306/B306,"N/A"),"N/A")</f>
        <v>N/A</v>
      </c>
      <c r="AJ306" s="424" cm="1">
        <f t="array" ref="AJ306">IF(AI306="N/A",0,1)</f>
        <v>0</v>
      </c>
      <c r="AK306" t="str" s="527" cm="1">
        <f t="array" ref="AK306">IF(SUM($AG$120:$AG$137)*B306&lt;SUM(AA306:AB306),"NO GO","GO")</f>
        <v>NO GO</v>
      </c>
      <c r="AL306" s="424"/>
      <c r="AM306" s="538"/>
      <c r="AN306" s="538"/>
      <c r="AO306" s="538"/>
      <c r="AP306" s="542"/>
      <c r="AQ306" s="543" cm="1">
        <f t="array" ref="AQ306">B306</f>
        <v>3</v>
      </c>
      <c r="AR306" s="18"/>
    </row>
    <row r="307" ht="16" customHeight="1">
      <c r="A307" s="12"/>
      <c r="B307" s="544" cm="1">
        <f t="array" ref="B307">IF(B306=0,0,IF(B306&lt;VLOOKUP(C301,'Boats Data Sheet 2026'!$C$3:$H$57,6,0),B306+1,0))</f>
        <v>4</v>
      </c>
      <c r="C307" s="538" cm="1">
        <f t="array" ref="C307">IF(B307&gt;0,IF(VLOOKUP(C301,'Boats Data Sheet 2026'!$C$3:$J$57,8,0)="N/A",0,VLOOKUP(C301,'Boats Data Sheet 2026'!$C$3:$J$57,8,0)),"N/A")</f>
        <v>0</v>
      </c>
      <c r="D307" s="545" cm="1">
        <f t="array" ref="D307">IF(B307&gt;7,2,IF(B307=0,"N/A",1))</f>
        <v>1</v>
      </c>
      <c r="E307" s="538" cm="1">
        <f t="array" ref="E307">_xlfn.IFERROR(SUM('Direct Costs 2026'!$C$4:$C$5)*D307,"N/A")</f>
        <v>875500</v>
      </c>
      <c r="F307" s="538" cm="1">
        <f t="array" ref="F307">_xlfn.IFERROR('Direct Costs 2026'!$C$43*B307,"N/A")</f>
        <v>24000</v>
      </c>
      <c r="G307" s="538" cm="1">
        <f t="array" ref="G307">IF(B307&gt;0,'Direct Costs 2026'!$C$25,"N/A")</f>
        <v>90000</v>
      </c>
      <c r="H307" s="538" cm="1">
        <f t="array" ref="H307">IF(B307&gt;0,'Direct Costs 2026'!$C$19+'Direct Costs 2026'!$C$18*B307,"N/A")</f>
        <v>215000</v>
      </c>
      <c r="I307" s="538" cm="1">
        <f t="array" ref="I307">IF(B307&gt;0,SUM('Direct Costs 2026'!$C$20:$C$21),"N/A")</f>
        <v>98333.3333333333</v>
      </c>
      <c r="J307" s="538">
        <v>0</v>
      </c>
      <c r="K307" s="538" cm="1">
        <f t="array" ref="K307">_xlfn.IFERROR((IF(B307&gt;0,'Direct Costs 2026'!$C$15+'Direct Costs 2026'!$C$14,"N/A")),"N/A")</f>
        <v>230000</v>
      </c>
      <c r="L307" s="538" cm="1">
        <f t="array" ref="L307">IF(B307&gt;0,'Direct Costs 2026'!$C$26,"N/A")</f>
        <v>20000</v>
      </c>
      <c r="M307" s="538" cm="1">
        <f t="array" ref="M307">IF(B307&gt;0,'Direct Costs 2026'!$C$23,"N/A")</f>
        <v>140000</v>
      </c>
      <c r="N307" s="538" cm="1">
        <f t="array" ref="N307">IF(B307&gt;0,'Direct Costs 2026'!$C$44*B307,"N/A")</f>
        <v>440000</v>
      </c>
      <c r="O307" s="538" cm="1">
        <f t="array" ref="O307">IF(B307&gt;0,_xlfn.IFERROR(VLOOKUP(C301,'Boats Data Sheet 2026'!$C$3:$I$57,7,0)*'Direct Costs 2026'!$C$36,"N/A"),"N/A")</f>
        <v>3325000</v>
      </c>
      <c r="P307" s="538" cm="1">
        <f t="array" ref="P307">IF(B307&gt;0,IF(OR(VLOOKUP(C301,'Boats Data Sheet 2026'!$C$3:$F$57,4,0)="Own",VLOOKUP(C301,'Boats Data Sheet 2026'!$C$3:$F$57,4,0)="Management"),('Direct Costs 2026'!$C$37+'Direct Costs 2026'!$C$39),"N/A"),"N/A")</f>
        <v>1112400</v>
      </c>
      <c r="Q307" s="538" cm="1">
        <f t="array" ref="Q307">_xlfn.IFERROR(IF(B307&gt;5,IF(B307&gt;11,IF(B307&gt;15,4,3),2),IF(B307=0,"N/A",1))*SUM('Direct Costs 2026'!$C$67:$C$68),"N/A")</f>
        <v>489600</v>
      </c>
      <c r="R307" s="538" cm="1">
        <f t="array" ref="R307">_xlfn.IFERROR('Direct Costs 2026'!$C$27*C307,"N/A")</f>
        <v>0</v>
      </c>
      <c r="S307" s="538" cm="1">
        <f t="array" ref="S307">_xlfn.IFERROR(C307+SUM(E307:R307),"N/A")</f>
        <v>7059833.33333333</v>
      </c>
      <c r="T307" s="424"/>
      <c r="U307" s="538" cm="1">
        <f t="array" ref="U307">IF(B307&gt;0,'Allocation OH and Target 2026'!$E$27,"N/A")</f>
        <v>2134447.30345641</v>
      </c>
      <c r="V307" s="538" cm="1">
        <f t="array" ref="V307">IF(B307&gt;0,'Allocation OH and Target 2026'!$E$28,"N/A")</f>
        <v>200042.323056976</v>
      </c>
      <c r="W307" s="538" cm="1">
        <f t="array" ref="W307">IF(B307&gt;0,VLOOKUP(C301,'Allocation OH and Target 2026'!$C$3:$T$23,17,0),"N/A")</f>
        <v>965292.6396039641</v>
      </c>
      <c r="X307" s="538" cm="1">
        <f t="array" ref="X307">IF(B307&gt;0,VLOOKUP(C301,'Allocation OH and Target 2026'!$C$3:$T$23,18,0),"N/A")</f>
        <v>92851.958666666906</v>
      </c>
      <c r="Y307" s="538" cm="1">
        <f t="array" ref="Y307">_xlfn.IFERROR(B307*(V307+X307),"N/A")</f>
        <v>1171577.12689457</v>
      </c>
      <c r="Z307" s="424"/>
      <c r="AA307" s="538" cm="1">
        <f t="array" ref="AA307">_xlfn.IFERROR(Y307+S307,"N/A")</f>
        <v>8231410.4602279</v>
      </c>
      <c r="AB307" s="538" cm="1">
        <f t="array" ref="AB307">_xlfn.IFERROR(AA307*0.5%,"N/A")</f>
        <v>41157.0523011395</v>
      </c>
      <c r="AC307" s="538" cm="1">
        <f t="array" ref="AC307">_xlfn.IFERROR(AA307*25%,"N/A")</f>
        <v>2057852.61505698</v>
      </c>
      <c r="AD307" s="539" cm="1">
        <f t="array" ref="AD307">IF(B307&gt;0,SUM(AA307:AC307),"N/A")</f>
        <v>10330420.127586</v>
      </c>
      <c r="AE307" s="538" cm="1">
        <f t="array" ref="AE307">_xlfn.IFERROR(AD307/B307,"N/A")</f>
        <v>2582605.0318965</v>
      </c>
      <c r="AF307" s="424"/>
      <c r="AG307" t="str" s="546" cm="1">
        <f t="array" ref="AG307">IF(B307/VLOOKUP(C301,'Boats Data Sheet 2026'!$C$3:$H$57,6,0)&gt;VLOOKUP(C301,'Allocation OH and Target 2026'!$C$3:$J$23,8,0),IF(SUM(AH303:AH306)=0,AE307,"N/A"),"N/A")</f>
        <v>N/A</v>
      </c>
      <c r="AH307" s="424" cm="1">
        <f t="array" ref="AH307">IF(AG307="N/A",0,1)</f>
        <v>0</v>
      </c>
      <c r="AI307" t="str" s="547" cm="1">
        <f t="array" ref="AI307">IF(B307/VLOOKUP(C301,'Boats Data Sheet 2026'!$C$3:$H$57,6,0)&gt;VLOOKUP(C301,'Allocation OH and Target 2026'!$C$3:$J$23,8,0),IF(SUM(AH303:AH306)=0,S307/B307,"N/A"),"N/A")</f>
        <v>N/A</v>
      </c>
      <c r="AJ307" s="424" cm="1">
        <f t="array" ref="AJ307">IF(AI307="N/A",0,1)</f>
        <v>0</v>
      </c>
      <c r="AK307" t="str" s="527" cm="1">
        <f t="array" ref="AK307">IF(SUM($AG$120:$AG$137)*B307&lt;SUM(AA307:AB307),"NO GO","GO")</f>
        <v>NO GO</v>
      </c>
      <c r="AL307" s="424"/>
      <c r="AM307" s="568"/>
      <c r="AN307" s="538"/>
      <c r="AO307" s="538"/>
      <c r="AP307" s="542"/>
      <c r="AQ307" s="543" cm="1">
        <f t="array" ref="AQ307">B307</f>
        <v>4</v>
      </c>
      <c r="AR307" s="18"/>
    </row>
    <row r="308" ht="16" customHeight="1">
      <c r="A308" s="12"/>
      <c r="B308" s="544" cm="1">
        <f t="array" ref="B308">IF(B307=0,0,IF(B307&lt;VLOOKUP(C301,'Boats Data Sheet 2026'!$C$3:$H$57,6,0),B307+1,0))</f>
        <v>5</v>
      </c>
      <c r="C308" s="538" cm="1">
        <f t="array" ref="C308">IF(B308&gt;0,IF(VLOOKUP(C301,'Boats Data Sheet 2026'!$C$3:$J$57,8,0)="N/A",0,VLOOKUP(C301,'Boats Data Sheet 2026'!$C$3:$J$57,8,0)),"N/A")</f>
        <v>0</v>
      </c>
      <c r="D308" s="545" cm="1">
        <f t="array" ref="D308">IF(B308&gt;7,2,IF(B308=0,"N/A",1))</f>
        <v>1</v>
      </c>
      <c r="E308" s="538" cm="1">
        <f t="array" ref="E308">_xlfn.IFERROR(SUM('Direct Costs 2026'!$C$4:$C$5)*D308,"N/A")</f>
        <v>875500</v>
      </c>
      <c r="F308" s="538" cm="1">
        <f t="array" ref="F308">_xlfn.IFERROR('Direct Costs 2026'!$C$43*B308,"N/A")</f>
        <v>30000</v>
      </c>
      <c r="G308" s="538" cm="1">
        <f t="array" ref="G308">IF(B308&gt;0,'Direct Costs 2026'!$C$25,"N/A")</f>
        <v>90000</v>
      </c>
      <c r="H308" s="538" cm="1">
        <f t="array" ref="H308">IF(B308&gt;0,'Direct Costs 2026'!$C$19+'Direct Costs 2026'!$C$18*B308,"N/A")</f>
        <v>250000</v>
      </c>
      <c r="I308" s="538" cm="1">
        <f t="array" ref="I308">IF(B308&gt;0,SUM('Direct Costs 2026'!$C$20:$C$21),"N/A")</f>
        <v>98333.3333333333</v>
      </c>
      <c r="J308" s="538">
        <v>0</v>
      </c>
      <c r="K308" s="538" cm="1">
        <f t="array" ref="K308">_xlfn.IFERROR((IF(B308&gt;0,'Direct Costs 2026'!$C$15+'Direct Costs 2026'!$C$14,"N/A")),"N/A")</f>
        <v>230000</v>
      </c>
      <c r="L308" s="538" cm="1">
        <f t="array" ref="L308">IF(B308&gt;0,'Direct Costs 2026'!$C$26,"N/A")</f>
        <v>20000</v>
      </c>
      <c r="M308" s="538" cm="1">
        <f t="array" ref="M308">IF(B308&gt;0,'Direct Costs 2026'!$C$23,"N/A")</f>
        <v>140000</v>
      </c>
      <c r="N308" s="538" cm="1">
        <f t="array" ref="N308">IF(B308&gt;0,'Direct Costs 2026'!$C$44*B308,"N/A")</f>
        <v>550000</v>
      </c>
      <c r="O308" s="538" cm="1">
        <f t="array" ref="O308">IF(B308&gt;0,_xlfn.IFERROR(VLOOKUP(C301,'Boats Data Sheet 2026'!$C$3:$I$57,7,0)*'Direct Costs 2026'!$C$36,"N/A"),"N/A")</f>
        <v>3325000</v>
      </c>
      <c r="P308" s="538" cm="1">
        <f t="array" ref="P308">IF(B308&gt;0,IF(OR(VLOOKUP(C301,'Boats Data Sheet 2026'!$C$3:$F$57,4,0)="Own",VLOOKUP(C301,'Boats Data Sheet 2026'!$C$3:$F$57,4,0)="Management"),('Direct Costs 2026'!$C$37+'Direct Costs 2026'!$C$39),"N/A"),"N/A")</f>
        <v>1112400</v>
      </c>
      <c r="Q308" s="538" cm="1">
        <f t="array" ref="Q308">_xlfn.IFERROR(IF(B308&gt;5,IF(B308&gt;11,IF(B308&gt;15,4,3),2),IF(B308=0,"N/A",1))*SUM('Direct Costs 2026'!$C$67:$C$68),"N/A")</f>
        <v>489600</v>
      </c>
      <c r="R308" s="538" cm="1">
        <f t="array" ref="R308">_xlfn.IFERROR('Direct Costs 2026'!$C$27*C308,"N/A")</f>
        <v>0</v>
      </c>
      <c r="S308" s="538" cm="1">
        <f t="array" ref="S308">_xlfn.IFERROR(C308+SUM(E308:R308),"N/A")</f>
        <v>7210833.33333333</v>
      </c>
      <c r="T308" s="424"/>
      <c r="U308" s="538" cm="1">
        <f t="array" ref="U308">IF(B308&gt;0,'Allocation OH and Target 2026'!$E$27,"N/A")</f>
        <v>2134447.30345641</v>
      </c>
      <c r="V308" s="538" cm="1">
        <f t="array" ref="V308">IF(B308&gt;0,'Allocation OH and Target 2026'!$E$28,"N/A")</f>
        <v>200042.323056976</v>
      </c>
      <c r="W308" s="538" cm="1">
        <f t="array" ref="W308">IF(B308&gt;0,VLOOKUP(C301,'Allocation OH and Target 2026'!$C$3:$T$23,17,0),"N/A")</f>
        <v>965292.6396039641</v>
      </c>
      <c r="X308" s="538" cm="1">
        <f t="array" ref="X308">IF(B308&gt;0,VLOOKUP(C301,'Allocation OH and Target 2026'!$C$3:$T$23,18,0),"N/A")</f>
        <v>92851.958666666906</v>
      </c>
      <c r="Y308" s="538" cm="1">
        <f t="array" ref="Y308">_xlfn.IFERROR(B308*(V308+X308),"N/A")</f>
        <v>1464471.40861821</v>
      </c>
      <c r="Z308" s="424"/>
      <c r="AA308" s="538" cm="1">
        <f t="array" ref="AA308">_xlfn.IFERROR(Y308+S308,"N/A")</f>
        <v>8675304.74195154</v>
      </c>
      <c r="AB308" s="538" cm="1">
        <f t="array" ref="AB308">_xlfn.IFERROR(AA308*0.5%,"N/A")</f>
        <v>43376.5237097577</v>
      </c>
      <c r="AC308" s="538" cm="1">
        <f t="array" ref="AC308">_xlfn.IFERROR(AA308*25%,"N/A")</f>
        <v>2168826.18548789</v>
      </c>
      <c r="AD308" s="539" cm="1">
        <f t="array" ref="AD308">IF(B308&gt;0,SUM(AA308:AC308),"N/A")</f>
        <v>10887507.4511492</v>
      </c>
      <c r="AE308" s="538" cm="1">
        <f t="array" ref="AE308">_xlfn.IFERROR(AD308/B308,"N/A")</f>
        <v>2177501.49022984</v>
      </c>
      <c r="AF308" s="424"/>
      <c r="AG308" t="str" s="546" cm="1">
        <f t="array" ref="AG308">IF(B308/VLOOKUP(C301,'Boats Data Sheet 2026'!$C$3:$H$57,6,0)&gt;VLOOKUP(C301,'Allocation OH and Target 2026'!$C$3:$J$23,8,0),IF(SUM(AH303:AH307)=0,AE308,"N/A"),"N/A")</f>
        <v>N/A</v>
      </c>
      <c r="AH308" s="424" cm="1">
        <f t="array" ref="AH308">IF(AG308="N/A",0,1)</f>
        <v>0</v>
      </c>
      <c r="AI308" t="str" s="547" cm="1">
        <f t="array" ref="AI308">IF(B308/VLOOKUP(C301,'Boats Data Sheet 2026'!$C$3:$H$57,6,0)&gt;VLOOKUP(C301,'Allocation OH and Target 2026'!$C$3:$J$23,8,0),IF(SUM(AH303:AH307)=0,S308/B308,"N/A"),"N/A")</f>
        <v>N/A</v>
      </c>
      <c r="AJ308" s="424" cm="1">
        <f t="array" ref="AJ308">IF(AI308="N/A",0,1)</f>
        <v>0</v>
      </c>
      <c r="AK308" t="str" s="527" cm="1">
        <f t="array" ref="AK308">IF(SUM($AG$120:$AG$137)*B308&lt;SUM(AA308:AB308),"NO GO","GO")</f>
        <v>NO GO</v>
      </c>
      <c r="AL308" s="424"/>
      <c r="AM308" s="568"/>
      <c r="AN308" s="538"/>
      <c r="AO308" s="538"/>
      <c r="AP308" s="542"/>
      <c r="AQ308" s="543" cm="1">
        <f t="array" ref="AQ308">B308</f>
        <v>5</v>
      </c>
      <c r="AR308" s="18"/>
    </row>
    <row r="309" ht="16" customHeight="1">
      <c r="A309" s="12"/>
      <c r="B309" s="544" cm="1">
        <f t="array" ref="B309">IF(B308=0,0,IF(B308&lt;VLOOKUP(C301,'Boats Data Sheet 2026'!$C$3:$H$57,6,0),B308+1,0))</f>
        <v>6</v>
      </c>
      <c r="C309" s="538" cm="1">
        <f t="array" ref="C309">IF(B309&gt;0,IF(VLOOKUP(C301,'Boats Data Sheet 2026'!$C$3:$J$57,8,0)="N/A",0,VLOOKUP(C301,'Boats Data Sheet 2026'!$C$3:$J$57,8,0)),"N/A")</f>
        <v>0</v>
      </c>
      <c r="D309" s="545" cm="1">
        <f t="array" ref="D309">IF(B309&gt;7,2,IF(B309=0,"N/A",1))</f>
        <v>1</v>
      </c>
      <c r="E309" s="538" cm="1">
        <f t="array" ref="E309">_xlfn.IFERROR(SUM('Direct Costs 2026'!$C$4:$C$5)*D309,"N/A")</f>
        <v>875500</v>
      </c>
      <c r="F309" s="538" cm="1">
        <f t="array" ref="F309">_xlfn.IFERROR('Direct Costs 2026'!$C$43*B309,"N/A")</f>
        <v>36000</v>
      </c>
      <c r="G309" s="538" cm="1">
        <f t="array" ref="G309">IF(B309&gt;0,'Direct Costs 2026'!$C$25,"N/A")</f>
        <v>90000</v>
      </c>
      <c r="H309" s="538" cm="1">
        <f t="array" ref="H309">IF(B309&gt;0,'Direct Costs 2026'!$C$19+'Direct Costs 2026'!$C$18*B309,"N/A")</f>
        <v>285000</v>
      </c>
      <c r="I309" s="538" cm="1">
        <f t="array" ref="I309">IF(B309&gt;0,SUM('Direct Costs 2026'!$C$20:$C$21),"N/A")</f>
        <v>98333.3333333333</v>
      </c>
      <c r="J309" s="538">
        <v>0</v>
      </c>
      <c r="K309" s="538" cm="1">
        <f t="array" ref="K309">_xlfn.IFERROR((IF(B309&gt;0,'Direct Costs 2026'!$C$15+'Direct Costs 2026'!$C$14,"N/A")),"N/A")</f>
        <v>230000</v>
      </c>
      <c r="L309" s="538" cm="1">
        <f t="array" ref="L309">IF(B309&gt;0,'Direct Costs 2026'!$C$26,"N/A")</f>
        <v>20000</v>
      </c>
      <c r="M309" s="538" cm="1">
        <f t="array" ref="M309">IF(B309&gt;0,'Direct Costs 2026'!$C$23,"N/A")</f>
        <v>140000</v>
      </c>
      <c r="N309" s="538" cm="1">
        <f t="array" ref="N309">IF(B309&gt;0,'Direct Costs 2026'!$C$44*B309,"N/A")</f>
        <v>660000</v>
      </c>
      <c r="O309" s="538" cm="1">
        <f t="array" ref="O309">IF(B309&gt;0,_xlfn.IFERROR(VLOOKUP(C301,'Boats Data Sheet 2026'!$C$3:$I$57,7,0)*'Direct Costs 2026'!$C$36,"N/A"),"N/A")</f>
        <v>3325000</v>
      </c>
      <c r="P309" s="538" cm="1">
        <f t="array" ref="P309">IF(B309&gt;0,IF(OR(VLOOKUP(C301,'Boats Data Sheet 2026'!$C$3:$F$57,4,0)="Own",VLOOKUP(C301,'Boats Data Sheet 2026'!$C$3:$F$57,4,0)="Management"),('Direct Costs 2026'!$C$37+'Direct Costs 2026'!$C$39),"N/A"),"N/A")</f>
        <v>1112400</v>
      </c>
      <c r="Q309" s="538" cm="1">
        <f t="array" ref="Q309">_xlfn.IFERROR(IF(B309&gt;5,IF(B309&gt;11,IF(B309&gt;15,4,3),2),IF(B309=0,"N/A",1))*SUM('Direct Costs 2026'!$C$67:$C$68),"N/A")</f>
        <v>979200</v>
      </c>
      <c r="R309" s="538" cm="1">
        <f t="array" ref="R309">_xlfn.IFERROR('Direct Costs 2026'!$C$27*C309,"N/A")</f>
        <v>0</v>
      </c>
      <c r="S309" s="538" cm="1">
        <f t="array" ref="S309">_xlfn.IFERROR(C309+SUM(E309:R309),"N/A")</f>
        <v>7851433.33333333</v>
      </c>
      <c r="T309" s="424"/>
      <c r="U309" s="538" cm="1">
        <f t="array" ref="U309">IF(B309&gt;0,'Allocation OH and Target 2026'!$E$27,"N/A")</f>
        <v>2134447.30345641</v>
      </c>
      <c r="V309" s="538" cm="1">
        <f t="array" ref="V309">IF(B309&gt;0,'Allocation OH and Target 2026'!$E$28,"N/A")</f>
        <v>200042.323056976</v>
      </c>
      <c r="W309" s="538" cm="1">
        <f t="array" ref="W309">IF(B309&gt;0,VLOOKUP(C301,'Allocation OH and Target 2026'!$C$3:$T$23,17,0),"N/A")</f>
        <v>965292.6396039641</v>
      </c>
      <c r="X309" s="538" cm="1">
        <f t="array" ref="X309">IF(B309&gt;0,VLOOKUP(C301,'Allocation OH and Target 2026'!$C$3:$T$23,18,0),"N/A")</f>
        <v>92851.958666666906</v>
      </c>
      <c r="Y309" s="538" cm="1">
        <f t="array" ref="Y309">_xlfn.IFERROR(B309*(V309+X309),"N/A")</f>
        <v>1757365.69034186</v>
      </c>
      <c r="Z309" s="424"/>
      <c r="AA309" s="538" cm="1">
        <f t="array" ref="AA309">_xlfn.IFERROR(Y309+S309,"N/A")</f>
        <v>9608799.02367519</v>
      </c>
      <c r="AB309" s="538" cm="1">
        <f t="array" ref="AB309">_xlfn.IFERROR(AA309*0.5%,"N/A")</f>
        <v>48043.995118376</v>
      </c>
      <c r="AC309" s="538" cm="1">
        <f t="array" ref="AC309">_xlfn.IFERROR(AA309*25%,"N/A")</f>
        <v>2402199.7559188</v>
      </c>
      <c r="AD309" s="539" cm="1">
        <f t="array" ref="AD309">IF(B309&gt;0,SUM(AA309:AC309),"N/A")</f>
        <v>12059042.7747124</v>
      </c>
      <c r="AE309" s="538" cm="1">
        <f t="array" ref="AE309">_xlfn.IFERROR(AD309/B309,"N/A")</f>
        <v>2009840.46245207</v>
      </c>
      <c r="AF309" s="424"/>
      <c r="AG309" t="str" s="546" cm="1">
        <f t="array" ref="AG309">IF(B309/VLOOKUP(C301,'Boats Data Sheet 2026'!$C$3:$H$57,6,0)&gt;VLOOKUP(C301,'Allocation OH and Target 2026'!$C$3:$J$23,8,0),IF(SUM(AH303:AH308)=0,AE309,"N/A"),"N/A")</f>
        <v>N/A</v>
      </c>
      <c r="AH309" s="424" cm="1">
        <f t="array" ref="AH309">IF(AG309="N/A",0,1)</f>
        <v>0</v>
      </c>
      <c r="AI309" t="str" s="547" cm="1">
        <f t="array" ref="AI309">IF(B309/VLOOKUP(C301,'Boats Data Sheet 2026'!$C$3:$H$57,6,0)&gt;VLOOKUP(C301,'Allocation OH and Target 2026'!$C$3:$J$23,8,0),IF(SUM(AH303:AH308)=0,S309/B309,"N/A"),"N/A")</f>
        <v>N/A</v>
      </c>
      <c r="AJ309" s="424" cm="1">
        <f t="array" ref="AJ309">IF(AI309="N/A",0,1)</f>
        <v>0</v>
      </c>
      <c r="AK309" t="str" s="527" cm="1">
        <f t="array" ref="AK309">IF(SUM($AG$120:$AG$137)*B309&lt;SUM(AA309:AB309),"NO GO","GO")</f>
        <v>NO GO</v>
      </c>
      <c r="AL309" s="424"/>
      <c r="AM309" s="568"/>
      <c r="AN309" s="538"/>
      <c r="AO309" s="538"/>
      <c r="AP309" s="542"/>
      <c r="AQ309" s="543" cm="1">
        <f t="array" ref="AQ309">B309</f>
        <v>6</v>
      </c>
      <c r="AR309" s="18"/>
    </row>
    <row r="310" ht="16" customHeight="1">
      <c r="A310" s="12"/>
      <c r="B310" s="544" cm="1">
        <f t="array" ref="B310">IF(B309=0,0,IF(B309&lt;VLOOKUP(C301,'Boats Data Sheet 2026'!$C$3:$H$57,6,0),B309+1,0))</f>
        <v>7</v>
      </c>
      <c r="C310" s="538" cm="1">
        <f t="array" ref="C310">IF(B310&gt;0,IF(VLOOKUP(C301,'Boats Data Sheet 2026'!$C$3:$J$57,8,0)="N/A",0,VLOOKUP(C301,'Boats Data Sheet 2026'!$C$3:$J$57,8,0)),"N/A")</f>
        <v>0</v>
      </c>
      <c r="D310" s="545" cm="1">
        <f t="array" ref="D310">IF(B310&gt;7,2,IF(B310=0,"N/A",1))</f>
        <v>1</v>
      </c>
      <c r="E310" s="538" cm="1">
        <f t="array" ref="E310">_xlfn.IFERROR(SUM('Direct Costs 2026'!$C$4:$C$5)*D310,"N/A")</f>
        <v>875500</v>
      </c>
      <c r="F310" s="538" cm="1">
        <f t="array" ref="F310">_xlfn.IFERROR('Direct Costs 2026'!$C$43*B310,"N/A")</f>
        <v>42000</v>
      </c>
      <c r="G310" s="538" cm="1">
        <f t="array" ref="G310">IF(B310&gt;0,'Direct Costs 2026'!$C$25,"N/A")</f>
        <v>90000</v>
      </c>
      <c r="H310" s="538" cm="1">
        <f t="array" ref="H310">IF(B310&gt;0,'Direct Costs 2026'!$C$19+'Direct Costs 2026'!$C$18*B310,"N/A")</f>
        <v>320000</v>
      </c>
      <c r="I310" s="538" cm="1">
        <f t="array" ref="I310">IF(B310&gt;0,SUM('Direct Costs 2026'!$C$20:$C$21),"N/A")</f>
        <v>98333.3333333333</v>
      </c>
      <c r="J310" s="538">
        <v>0</v>
      </c>
      <c r="K310" s="538" cm="1">
        <f t="array" ref="K310">_xlfn.IFERROR((IF(B310&gt;0,'Direct Costs 2026'!$C$15+'Direct Costs 2026'!$C$14,"N/A")),"N/A")</f>
        <v>230000</v>
      </c>
      <c r="L310" s="538" cm="1">
        <f t="array" ref="L310">IF(B310&gt;0,'Direct Costs 2026'!$C$26,"N/A")</f>
        <v>20000</v>
      </c>
      <c r="M310" s="538" cm="1">
        <f t="array" ref="M310">IF(B310&gt;0,'Direct Costs 2026'!$C$23,"N/A")</f>
        <v>140000</v>
      </c>
      <c r="N310" s="538" cm="1">
        <f t="array" ref="N310">IF(B310&gt;0,'Direct Costs 2026'!$C$44*B310,"N/A")</f>
        <v>770000</v>
      </c>
      <c r="O310" s="538" cm="1">
        <f t="array" ref="O310">IF(B310&gt;0,_xlfn.IFERROR(VLOOKUP(C301,'Boats Data Sheet 2026'!$C$3:$I$57,7,0)*'Direct Costs 2026'!$C$36,"N/A"),"N/A")</f>
        <v>3325000</v>
      </c>
      <c r="P310" s="538" cm="1">
        <f t="array" ref="P310">IF(B310&gt;0,IF(OR(VLOOKUP(C301,'Boats Data Sheet 2026'!$C$3:$F$57,4,0)="Own",VLOOKUP(C301,'Boats Data Sheet 2026'!$C$3:$F$57,4,0)="Management"),('Direct Costs 2026'!$C$37+'Direct Costs 2026'!$C$39),"N/A"),"N/A")</f>
        <v>1112400</v>
      </c>
      <c r="Q310" s="538" cm="1">
        <f t="array" ref="Q310">_xlfn.IFERROR(IF(B310&gt;5,IF(B310&gt;11,IF(B310&gt;15,4,3),2),IF(B310=0,"N/A",1))*SUM('Direct Costs 2026'!$C$67:$C$68),"N/A")</f>
        <v>979200</v>
      </c>
      <c r="R310" s="538" cm="1">
        <f t="array" ref="R310">_xlfn.IFERROR('Direct Costs 2026'!$C$27*C310,"N/A")</f>
        <v>0</v>
      </c>
      <c r="S310" s="538" cm="1">
        <f t="array" ref="S310">_xlfn.IFERROR(C310+SUM(E310:R310),"N/A")</f>
        <v>8002433.33333333</v>
      </c>
      <c r="T310" s="424"/>
      <c r="U310" s="538" cm="1">
        <f t="array" ref="U310">IF(B310&gt;0,'Allocation OH and Target 2026'!$E$27,"N/A")</f>
        <v>2134447.30345641</v>
      </c>
      <c r="V310" s="538" cm="1">
        <f t="array" ref="V310">IF(B310&gt;0,'Allocation OH and Target 2026'!$E$28,"N/A")</f>
        <v>200042.323056976</v>
      </c>
      <c r="W310" s="538" cm="1">
        <f t="array" ref="W310">IF(B310&gt;0,VLOOKUP(C301,'Allocation OH and Target 2026'!$C$3:$T$23,17,0),"N/A")</f>
        <v>965292.6396039641</v>
      </c>
      <c r="X310" s="538" cm="1">
        <f t="array" ref="X310">IF(B310&gt;0,VLOOKUP(C301,'Allocation OH and Target 2026'!$C$3:$T$23,18,0),"N/A")</f>
        <v>92851.958666666906</v>
      </c>
      <c r="Y310" s="538" cm="1">
        <f t="array" ref="Y310">_xlfn.IFERROR(B310*(V310+X310),"N/A")</f>
        <v>2050259.9720655</v>
      </c>
      <c r="Z310" s="424"/>
      <c r="AA310" s="538" cm="1">
        <f t="array" ref="AA310">_xlfn.IFERROR(Y310+S310,"N/A")</f>
        <v>10052693.3053988</v>
      </c>
      <c r="AB310" s="538" cm="1">
        <f t="array" ref="AB310">_xlfn.IFERROR(AA310*0.5%,"N/A")</f>
        <v>50263.466526994</v>
      </c>
      <c r="AC310" s="538" cm="1">
        <f t="array" ref="AC310">_xlfn.IFERROR(AA310*25%,"N/A")</f>
        <v>2513173.3263497</v>
      </c>
      <c r="AD310" s="539" cm="1">
        <f t="array" ref="AD310">IF(B310&gt;0,SUM(AA310:AC310),"N/A")</f>
        <v>12616130.0982755</v>
      </c>
      <c r="AE310" s="538" cm="1">
        <f t="array" ref="AE310">_xlfn.IFERROR(AD310/B310,"N/A")</f>
        <v>1802304.29975364</v>
      </c>
      <c r="AF310" s="424"/>
      <c r="AG310" t="str" s="546" cm="1">
        <f t="array" ref="AG310">IF(B310/VLOOKUP(C301,'Boats Data Sheet 2026'!$C$3:$H$57,6,0)&gt;VLOOKUP(C301,'Allocation OH and Target 2026'!$C$3:$J$23,8,0),IF(SUM(AH303:AH309)=0,AE310,"N/A"),"N/A")</f>
        <v>N/A</v>
      </c>
      <c r="AH310" s="424" cm="1">
        <f t="array" ref="AH310">IF(AG310="N/A",0,1)</f>
        <v>0</v>
      </c>
      <c r="AI310" t="str" s="547" cm="1">
        <f t="array" ref="AI310">IF(B310/VLOOKUP(C301,'Boats Data Sheet 2026'!$C$3:$H$57,6,0)&gt;VLOOKUP(C301,'Allocation OH and Target 2026'!$C$3:$J$23,8,0),IF(SUM(AH303:AH309)=0,S310/B310,"N/A"),"N/A")</f>
        <v>N/A</v>
      </c>
      <c r="AJ310" s="424" cm="1">
        <f t="array" ref="AJ310">IF(AI310="N/A",0,1)</f>
        <v>0</v>
      </c>
      <c r="AK310" t="str" s="527" cm="1">
        <f t="array" ref="AK310">IF(SUM($AG$120:$AG$137)*B310&lt;SUM(AA310:AB310),"NO GO","GO")</f>
        <v>GO</v>
      </c>
      <c r="AL310" s="424"/>
      <c r="AM310" s="568"/>
      <c r="AN310" s="538"/>
      <c r="AO310" s="538"/>
      <c r="AP310" s="542"/>
      <c r="AQ310" s="543" cm="1">
        <f t="array" ref="AQ310">B310</f>
        <v>7</v>
      </c>
      <c r="AR310" s="18"/>
    </row>
    <row r="311" ht="16" customHeight="1">
      <c r="A311" s="12"/>
      <c r="B311" s="544" cm="1">
        <f t="array" ref="B311">IF(B310=0,0,IF(B310&lt;VLOOKUP(C301,'Boats Data Sheet 2026'!$C$3:$H$57,6,0),B310+1,0))</f>
        <v>8</v>
      </c>
      <c r="C311" s="538" cm="1">
        <f t="array" ref="C311">IF(B311&gt;0,IF(VLOOKUP(C301,'Boats Data Sheet 2026'!$C$3:$J$57,8,0)="N/A",0,VLOOKUP(C301,'Boats Data Sheet 2026'!$C$3:$J$57,8,0)),"N/A")</f>
        <v>0</v>
      </c>
      <c r="D311" s="545" cm="1">
        <f t="array" ref="D311">IF(B311&gt;7,2,IF(B311=0,"N/A",1))</f>
        <v>2</v>
      </c>
      <c r="E311" s="538" cm="1">
        <f t="array" ref="E311">_xlfn.IFERROR(SUM('Direct Costs 2026'!$C$4:$C$5)*D311,"N/A")</f>
        <v>1751000</v>
      </c>
      <c r="F311" s="538" cm="1">
        <f t="array" ref="F311">_xlfn.IFERROR('Direct Costs 2026'!$C$43*B311,"N/A")</f>
        <v>48000</v>
      </c>
      <c r="G311" s="538" cm="1">
        <f t="array" ref="G311">IF(B311&gt;0,'Direct Costs 2026'!$C$25,"N/A")</f>
        <v>90000</v>
      </c>
      <c r="H311" s="538" cm="1">
        <f t="array" ref="H311">IF(B311&gt;0,'Direct Costs 2026'!$C$19+'Direct Costs 2026'!$C$18*B311,"N/A")</f>
        <v>355000</v>
      </c>
      <c r="I311" s="538" cm="1">
        <f t="array" ref="I311">IF(B311&gt;0,SUM('Direct Costs 2026'!$C$20:$C$21),"N/A")</f>
        <v>98333.3333333333</v>
      </c>
      <c r="J311" s="538">
        <v>0</v>
      </c>
      <c r="K311" s="538" cm="1">
        <f t="array" ref="K311">_xlfn.IFERROR((IF(B311&gt;0,'Direct Costs 2026'!$C$15+'Direct Costs 2026'!$C$14,"N/A")),"N/A")</f>
        <v>230000</v>
      </c>
      <c r="L311" s="538" cm="1">
        <f t="array" ref="L311">IF(B311&gt;0,'Direct Costs 2026'!$C$26,"N/A")</f>
        <v>20000</v>
      </c>
      <c r="M311" s="538" cm="1">
        <f t="array" ref="M311">IF(B311&gt;0,'Direct Costs 2026'!$C$23,"N/A")</f>
        <v>140000</v>
      </c>
      <c r="N311" s="538" cm="1">
        <f t="array" ref="N311">IF(B311&gt;0,'Direct Costs 2026'!$C$44*B311,"N/A")</f>
        <v>880000</v>
      </c>
      <c r="O311" s="538" cm="1">
        <f t="array" ref="O311">IF(B311&gt;0,_xlfn.IFERROR(VLOOKUP(C301,'Boats Data Sheet 2026'!$C$3:$I$57,7,0)*'Direct Costs 2026'!$C$36,"N/A"),"N/A")</f>
        <v>3325000</v>
      </c>
      <c r="P311" s="538" cm="1">
        <f t="array" ref="P311">IF(B311&gt;0,IF(OR(VLOOKUP(C301,'Boats Data Sheet 2026'!$C$3:$F$57,4,0)="Own",VLOOKUP(C301,'Boats Data Sheet 2026'!$C$3:$F$57,4,0)="Management"),('Direct Costs 2026'!$C$37+'Direct Costs 2026'!$C$39),"N/A"),"N/A")</f>
        <v>1112400</v>
      </c>
      <c r="Q311" s="538" cm="1">
        <f t="array" ref="Q311">_xlfn.IFERROR(IF(B311&gt;5,IF(B311&gt;11,IF(B311&gt;15,4,3),2),IF(B311=0,"N/A",1))*SUM('Direct Costs 2026'!$C$67:$C$68),"N/A")</f>
        <v>979200</v>
      </c>
      <c r="R311" s="538" cm="1">
        <f t="array" ref="R311">_xlfn.IFERROR('Direct Costs 2026'!$C$27*C311,"N/A")</f>
        <v>0</v>
      </c>
      <c r="S311" s="538" cm="1">
        <f t="array" ref="S311">_xlfn.IFERROR(C311+SUM(E311:R311),"N/A")</f>
        <v>9028933.33333333</v>
      </c>
      <c r="T311" s="424"/>
      <c r="U311" s="538" cm="1">
        <f t="array" ref="U311">IF(B311&gt;0,'Allocation OH and Target 2026'!$E$27,"N/A")</f>
        <v>2134447.30345641</v>
      </c>
      <c r="V311" s="538" cm="1">
        <f t="array" ref="V311">IF(B311&gt;0,'Allocation OH and Target 2026'!$E$28,"N/A")</f>
        <v>200042.323056976</v>
      </c>
      <c r="W311" s="538" cm="1">
        <f t="array" ref="W311">IF(B311&gt;0,VLOOKUP(C301,'Allocation OH and Target 2026'!$C$3:$T$23,17,0),"N/A")</f>
        <v>965292.6396039641</v>
      </c>
      <c r="X311" s="538" cm="1">
        <f t="array" ref="X311">IF(B311&gt;0,VLOOKUP(C301,'Allocation OH and Target 2026'!$C$3:$T$23,18,0),"N/A")</f>
        <v>92851.958666666906</v>
      </c>
      <c r="Y311" s="538" cm="1">
        <f t="array" ref="Y311">_xlfn.IFERROR(B311*(V311+X311),"N/A")</f>
        <v>2343154.25378914</v>
      </c>
      <c r="Z311" s="424"/>
      <c r="AA311" s="538" cm="1">
        <f t="array" ref="AA311">_xlfn.IFERROR(Y311+S311,"N/A")</f>
        <v>11372087.5871225</v>
      </c>
      <c r="AB311" s="538" cm="1">
        <f t="array" ref="AB311">_xlfn.IFERROR(AA311*0.5%,"N/A")</f>
        <v>56860.4379356125</v>
      </c>
      <c r="AC311" s="538" cm="1">
        <f t="array" ref="AC311">_xlfn.IFERROR(AA311*25%,"N/A")</f>
        <v>2843021.89678063</v>
      </c>
      <c r="AD311" s="539" cm="1">
        <f t="array" ref="AD311">IF(B311&gt;0,SUM(AA311:AC311),"N/A")</f>
        <v>14271969.9218387</v>
      </c>
      <c r="AE311" s="538" cm="1">
        <f t="array" ref="AE311">_xlfn.IFERROR(AD311/B311,"N/A")</f>
        <v>1783996.24022984</v>
      </c>
      <c r="AF311" s="424"/>
      <c r="AG311" t="str" s="546" cm="1">
        <f t="array" ref="AG311">IF(B311/VLOOKUP(C301,'Boats Data Sheet 2026'!$C$3:$H$57,6,0)&gt;VLOOKUP(C301,'Allocation OH and Target 2026'!$C$3:$J$23,8,0),IF(SUM(AH303:AH310)=0,AE311,"N/A"),"N/A")</f>
        <v>N/A</v>
      </c>
      <c r="AH311" s="424" cm="1">
        <f t="array" ref="AH311">IF(AG311="N/A",0,1)</f>
        <v>0</v>
      </c>
      <c r="AI311" t="str" s="547" cm="1">
        <f t="array" ref="AI311">IF(B311/VLOOKUP(C301,'Boats Data Sheet 2026'!$C$3:$H$57,6,0)&gt;VLOOKUP(C301,'Allocation OH and Target 2026'!$C$3:$J$23,8,0),IF(SUM(AH303:AH310)=0,S311/B311,"N/A"),"N/A")</f>
        <v>N/A</v>
      </c>
      <c r="AJ311" s="424" cm="1">
        <f t="array" ref="AJ311">IF(AI311="N/A",0,1)</f>
        <v>0</v>
      </c>
      <c r="AK311" t="str" s="527" cm="1">
        <f t="array" ref="AK311">IF(SUM($AG$120:$AG$137)*B311&lt;SUM(AA311:AB311),"NO GO","GO")</f>
        <v>GO</v>
      </c>
      <c r="AL311" s="424"/>
      <c r="AM311" s="568"/>
      <c r="AN311" s="538"/>
      <c r="AO311" s="538"/>
      <c r="AP311" s="542"/>
      <c r="AQ311" s="543" cm="1">
        <f t="array" ref="AQ311">B311</f>
        <v>8</v>
      </c>
      <c r="AR311" s="18"/>
    </row>
    <row r="312" ht="16" customHeight="1">
      <c r="A312" s="12"/>
      <c r="B312" s="544" cm="1">
        <f t="array" ref="B312">IF(B311=0,0,IF(B311&lt;VLOOKUP(C301,'Boats Data Sheet 2026'!$C$3:$H$57,6,0),B311+1,0))</f>
        <v>9</v>
      </c>
      <c r="C312" s="538" cm="1">
        <f t="array" ref="C312">IF(B312&gt;0,IF(VLOOKUP(C301,'Boats Data Sheet 2026'!$C$3:$J$57,8,0)="N/A",0,VLOOKUP(C301,'Boats Data Sheet 2026'!$C$3:$J$57,8,0)),"N/A")</f>
        <v>0</v>
      </c>
      <c r="D312" s="545" cm="1">
        <f t="array" ref="D312">IF(B312&gt;7,2,IF(B312=0,"N/A",1))</f>
        <v>2</v>
      </c>
      <c r="E312" s="538" cm="1">
        <f t="array" ref="E312">_xlfn.IFERROR(SUM('Direct Costs 2026'!$C$4:$C$5)*D312,"N/A")</f>
        <v>1751000</v>
      </c>
      <c r="F312" s="538" cm="1">
        <f t="array" ref="F312">_xlfn.IFERROR('Direct Costs 2026'!$C$43*B312,"N/A")</f>
        <v>54000</v>
      </c>
      <c r="G312" s="538" cm="1">
        <f t="array" ref="G312">IF(B312&gt;0,'Direct Costs 2026'!$C$25,"N/A")</f>
        <v>90000</v>
      </c>
      <c r="H312" s="538" cm="1">
        <f t="array" ref="H312">IF(B312&gt;0,'Direct Costs 2026'!$C$19+'Direct Costs 2026'!$C$18*B312,"N/A")</f>
        <v>390000</v>
      </c>
      <c r="I312" s="538" cm="1">
        <f t="array" ref="I312">IF(B312&gt;0,SUM('Direct Costs 2026'!$C$20:$C$21),"N/A")</f>
        <v>98333.3333333333</v>
      </c>
      <c r="J312" s="538">
        <v>0</v>
      </c>
      <c r="K312" s="538" cm="1">
        <f t="array" ref="K312">_xlfn.IFERROR((IF(B312&gt;0,'Direct Costs 2026'!$C$15+'Direct Costs 2026'!$C$14,"N/A")),"N/A")</f>
        <v>230000</v>
      </c>
      <c r="L312" s="538" cm="1">
        <f t="array" ref="L312">IF(B312&gt;0,'Direct Costs 2026'!$C$26,"N/A")</f>
        <v>20000</v>
      </c>
      <c r="M312" s="538" cm="1">
        <f t="array" ref="M312">IF(B312&gt;0,'Direct Costs 2026'!$C$23,"N/A")</f>
        <v>140000</v>
      </c>
      <c r="N312" s="538" cm="1">
        <f t="array" ref="N312">IF(B312&gt;0,'Direct Costs 2026'!$C$44*B312,"N/A")</f>
        <v>990000</v>
      </c>
      <c r="O312" s="538" cm="1">
        <f t="array" ref="O312">IF(B312&gt;0,_xlfn.IFERROR(VLOOKUP(C301,'Boats Data Sheet 2026'!$C$3:$I$57,7,0)*'Direct Costs 2026'!$C$36,"N/A"),"N/A")</f>
        <v>3325000</v>
      </c>
      <c r="P312" s="538" cm="1">
        <f t="array" ref="P312">IF(B312&gt;0,IF(OR(VLOOKUP(C301,'Boats Data Sheet 2026'!$C$3:$F$57,4,0)="Own",VLOOKUP(C301,'Boats Data Sheet 2026'!$C$3:$F$57,4,0)="Management"),('Direct Costs 2026'!$C$37+'Direct Costs 2026'!$C$39),"N/A"),"N/A")</f>
        <v>1112400</v>
      </c>
      <c r="Q312" s="538" cm="1">
        <f t="array" ref="Q312">_xlfn.IFERROR(IF(B312&gt;5,IF(B312&gt;11,IF(B312&gt;15,4,3),2),IF(B312=0,"N/A",1))*SUM('Direct Costs 2026'!$C$67:$C$68),"N/A")</f>
        <v>979200</v>
      </c>
      <c r="R312" s="538" cm="1">
        <f t="array" ref="R312">_xlfn.IFERROR('Direct Costs 2026'!$C$27*C312,"N/A")</f>
        <v>0</v>
      </c>
      <c r="S312" s="538" cm="1">
        <f t="array" ref="S312">_xlfn.IFERROR(C312+SUM(E312:R312),"N/A")</f>
        <v>9179933.33333333</v>
      </c>
      <c r="T312" s="424"/>
      <c r="U312" s="538" cm="1">
        <f t="array" ref="U312">IF(B312&gt;0,'Allocation OH and Target 2026'!$E$27,"N/A")</f>
        <v>2134447.30345641</v>
      </c>
      <c r="V312" s="538" cm="1">
        <f t="array" ref="V312">IF(B312&gt;0,'Allocation OH and Target 2026'!$E$28,"N/A")</f>
        <v>200042.323056976</v>
      </c>
      <c r="W312" s="538" cm="1">
        <f t="array" ref="W312">IF(B312&gt;0,VLOOKUP(C301,'Allocation OH and Target 2026'!$C$3:$T$23,17,0),"N/A")</f>
        <v>965292.6396039641</v>
      </c>
      <c r="X312" s="538" cm="1">
        <f t="array" ref="X312">IF(B312&gt;0,VLOOKUP(C301,'Allocation OH and Target 2026'!$C$3:$T$23,18,0),"N/A")</f>
        <v>92851.958666666906</v>
      </c>
      <c r="Y312" s="538" cm="1">
        <f t="array" ref="Y312">_xlfn.IFERROR(B312*(V312+X312),"N/A")</f>
        <v>2636048.53551279</v>
      </c>
      <c r="Z312" s="424"/>
      <c r="AA312" s="538" cm="1">
        <f t="array" ref="AA312">_xlfn.IFERROR(Y312+S312,"N/A")</f>
        <v>11815981.8688461</v>
      </c>
      <c r="AB312" s="538" cm="1">
        <f t="array" ref="AB312">_xlfn.IFERROR(AA312*0.5%,"N/A")</f>
        <v>59079.9093442305</v>
      </c>
      <c r="AC312" s="538" cm="1">
        <f t="array" ref="AC312">_xlfn.IFERROR(AA312*25%,"N/A")</f>
        <v>2953995.46721153</v>
      </c>
      <c r="AD312" s="539" cm="1">
        <f t="array" ref="AD312">IF(B312&gt;0,SUM(AA312:AC312),"N/A")</f>
        <v>14829057.2454019</v>
      </c>
      <c r="AE312" s="538" cm="1">
        <f t="array" ref="AE312">_xlfn.IFERROR(AD312/B312,"N/A")</f>
        <v>1647673.02726688</v>
      </c>
      <c r="AF312" s="424"/>
      <c r="AG312" t="str" s="546" cm="1">
        <f t="array" ref="AG312">IF(B312/VLOOKUP(C301,'Boats Data Sheet 2026'!$C$3:$H$57,6,0)&gt;VLOOKUP(C301,'Allocation OH and Target 2026'!$C$3:$J$23,8,0),IF(SUM(AH303:AH311)=0,AE312,"N/A"),"N/A")</f>
        <v>N/A</v>
      </c>
      <c r="AH312" s="424" cm="1">
        <f t="array" ref="AH312">IF(AG312="N/A",0,1)</f>
        <v>0</v>
      </c>
      <c r="AI312" t="str" s="547" cm="1">
        <f t="array" ref="AI312">IF(B312/VLOOKUP(C301,'Boats Data Sheet 2026'!$C$3:$H$57,6,0)&gt;VLOOKUP(C301,'Allocation OH and Target 2026'!$C$3:$J$23,8,0),IF(SUM(AH303:AH311)=0,S312/B312,"N/A"),"N/A")</f>
        <v>N/A</v>
      </c>
      <c r="AJ312" s="424" cm="1">
        <f t="array" ref="AJ312">IF(AI312="N/A",0,1)</f>
        <v>0</v>
      </c>
      <c r="AK312" t="str" s="527" cm="1">
        <f t="array" ref="AK312">IF(SUM($AG$120:$AG$137)*B312&lt;SUM(AA312:AB312),"NO GO","GO")</f>
        <v>GO</v>
      </c>
      <c r="AL312" s="424"/>
      <c r="AM312" s="568"/>
      <c r="AN312" s="538"/>
      <c r="AO312" s="538"/>
      <c r="AP312" s="542"/>
      <c r="AQ312" s="543" cm="1">
        <f t="array" ref="AQ312">B312</f>
        <v>9</v>
      </c>
      <c r="AR312" s="18"/>
    </row>
    <row r="313" ht="16" customHeight="1">
      <c r="A313" s="12"/>
      <c r="B313" s="544" cm="1">
        <f t="array" ref="B313">IF(B312=0,0,IF(B312&lt;VLOOKUP(C301,'Boats Data Sheet 2026'!$C$3:$H$57,6,0),B312+1,0))</f>
        <v>10</v>
      </c>
      <c r="C313" s="538" cm="1">
        <f t="array" ref="C313">IF(B313&gt;0,IF(VLOOKUP(C301,'Boats Data Sheet 2026'!$C$3:$J$57,8,0)="N/A",0,VLOOKUP(C301,'Boats Data Sheet 2026'!$C$3:$J$57,8,0)),"N/A")</f>
        <v>0</v>
      </c>
      <c r="D313" s="545" cm="1">
        <f t="array" ref="D313">IF(B313&gt;7,2,IF(B313=0,"N/A",1))</f>
        <v>2</v>
      </c>
      <c r="E313" s="538" cm="1">
        <f t="array" ref="E313">_xlfn.IFERROR(SUM('Direct Costs 2026'!$C$4:$C$5)*D313,"N/A")</f>
        <v>1751000</v>
      </c>
      <c r="F313" s="538" cm="1">
        <f t="array" ref="F313">_xlfn.IFERROR('Direct Costs 2026'!$C$43*B313,"N/A")</f>
        <v>60000</v>
      </c>
      <c r="G313" s="538" cm="1">
        <f t="array" ref="G313">IF(B313&gt;0,'Direct Costs 2026'!$C$25,"N/A")</f>
        <v>90000</v>
      </c>
      <c r="H313" s="538" cm="1">
        <f t="array" ref="H313">IF(B313&gt;0,'Direct Costs 2026'!$C$19+'Direct Costs 2026'!$C$18*B313,"N/A")</f>
        <v>425000</v>
      </c>
      <c r="I313" s="538" cm="1">
        <f t="array" ref="I313">IF(B313&gt;0,SUM('Direct Costs 2026'!$C$20:$C$21),"N/A")</f>
        <v>98333.3333333333</v>
      </c>
      <c r="J313" s="538">
        <v>0</v>
      </c>
      <c r="K313" s="538" cm="1">
        <f t="array" ref="K313">_xlfn.IFERROR((IF(B313&gt;0,'Direct Costs 2026'!$C$15+'Direct Costs 2026'!$C$14,"N/A")),"N/A")</f>
        <v>230000</v>
      </c>
      <c r="L313" s="538" cm="1">
        <f t="array" ref="L313">IF(B313&gt;0,'Direct Costs 2026'!$C$26,"N/A")</f>
        <v>20000</v>
      </c>
      <c r="M313" s="538" cm="1">
        <f t="array" ref="M313">IF(B313&gt;0,'Direct Costs 2026'!$C$23,"N/A")</f>
        <v>140000</v>
      </c>
      <c r="N313" s="538" cm="1">
        <f t="array" ref="N313">IF(B313&gt;0,'Direct Costs 2026'!$C$44*B313,"N/A")</f>
        <v>1100000</v>
      </c>
      <c r="O313" s="538" cm="1">
        <f t="array" ref="O313">IF(B313&gt;0,_xlfn.IFERROR(VLOOKUP(C301,'Boats Data Sheet 2026'!$C$3:$I$57,7,0)*'Direct Costs 2026'!$C$36,"N/A"),"N/A")</f>
        <v>3325000</v>
      </c>
      <c r="P313" s="538" cm="1">
        <f t="array" ref="P313">IF(B313&gt;0,IF(OR(VLOOKUP(C301,'Boats Data Sheet 2026'!$C$3:$F$57,4,0)="Own",VLOOKUP(C301,'Boats Data Sheet 2026'!$C$3:$F$57,4,0)="Management"),('Direct Costs 2026'!$C$37+'Direct Costs 2026'!$C$39),"N/A"),"N/A")</f>
        <v>1112400</v>
      </c>
      <c r="Q313" s="538" cm="1">
        <f t="array" ref="Q313">_xlfn.IFERROR(IF(B313&gt;5,IF(B313&gt;11,IF(B313&gt;15,4,3),2),IF(B313=0,"N/A",1))*SUM('Direct Costs 2026'!$C$67:$C$68),"N/A")</f>
        <v>979200</v>
      </c>
      <c r="R313" s="538" cm="1">
        <f t="array" ref="R313">_xlfn.IFERROR('Direct Costs 2026'!$C$27*C313,"N/A")</f>
        <v>0</v>
      </c>
      <c r="S313" s="538" cm="1">
        <f t="array" ref="S313">_xlfn.IFERROR(C313+SUM(E313:R313),"N/A")</f>
        <v>9330933.33333333</v>
      </c>
      <c r="T313" s="424"/>
      <c r="U313" s="538" cm="1">
        <f t="array" ref="U313">IF(B313&gt;0,'Allocation OH and Target 2026'!$E$27,"N/A")</f>
        <v>2134447.30345641</v>
      </c>
      <c r="V313" s="538" cm="1">
        <f t="array" ref="V313">IF(B313&gt;0,'Allocation OH and Target 2026'!$E$28,"N/A")</f>
        <v>200042.323056976</v>
      </c>
      <c r="W313" s="538" cm="1">
        <f t="array" ref="W313">IF(B313&gt;0,VLOOKUP(C301,'Allocation OH and Target 2026'!$C$3:$T$23,17,0),"N/A")</f>
        <v>965292.6396039641</v>
      </c>
      <c r="X313" s="538" cm="1">
        <f t="array" ref="X313">IF(B313&gt;0,VLOOKUP(C301,'Allocation OH and Target 2026'!$C$3:$T$23,18,0),"N/A")</f>
        <v>92851.958666666906</v>
      </c>
      <c r="Y313" s="538" cm="1">
        <f t="array" ref="Y313">_xlfn.IFERROR(B313*(V313+X313),"N/A")</f>
        <v>2928942.81723643</v>
      </c>
      <c r="Z313" s="424"/>
      <c r="AA313" s="538" cm="1">
        <f t="array" ref="AA313">_xlfn.IFERROR(Y313+S313,"N/A")</f>
        <v>12259876.1505698</v>
      </c>
      <c r="AB313" s="538" cm="1">
        <f t="array" ref="AB313">_xlfn.IFERROR(AA313*0.5%,"N/A")</f>
        <v>61299.380752849</v>
      </c>
      <c r="AC313" s="538" cm="1">
        <f t="array" ref="AC313">_xlfn.IFERROR(AA313*25%,"N/A")</f>
        <v>3064969.03764245</v>
      </c>
      <c r="AD313" s="539" cm="1">
        <f t="array" ref="AD313">IF(B313&gt;0,SUM(AA313:AC313),"N/A")</f>
        <v>15386144.5689651</v>
      </c>
      <c r="AE313" s="538" cm="1">
        <f t="array" ref="AE313">_xlfn.IFERROR(AD313/B313,"N/A")</f>
        <v>1538614.45689651</v>
      </c>
      <c r="AF313" s="424"/>
      <c r="AG313" t="str" s="546" cm="1">
        <f t="array" ref="AG313">IF(B313/VLOOKUP(C301,'Boats Data Sheet 2026'!$C$3:$H$57,6,0)&gt;VLOOKUP(C301,'Allocation OH and Target 2026'!$C$3:$J$23,8,0),IF(SUM(AH303:AH312)=0,AE313,"N/A"),"N/A")</f>
        <v>N/A</v>
      </c>
      <c r="AH313" s="424" cm="1">
        <f t="array" ref="AH313">IF(AG313="N/A",0,1)</f>
        <v>0</v>
      </c>
      <c r="AI313" t="str" s="547" cm="1">
        <f t="array" ref="AI313">IF(B313/VLOOKUP(C301,'Boats Data Sheet 2026'!$C$3:$H$57,6,0)&gt;VLOOKUP(C301,'Allocation OH and Target 2026'!$C$3:$J$23,8,0),IF(SUM(AH303:AH312)=0,S313/B313,"N/A"),"N/A")</f>
        <v>N/A</v>
      </c>
      <c r="AJ313" s="424" cm="1">
        <f t="array" ref="AJ313">IF(AI313="N/A",0,1)</f>
        <v>0</v>
      </c>
      <c r="AK313" t="str" s="527" cm="1">
        <f t="array" ref="AK313">IF(SUM($AG$120:$AG$137)*B313&lt;SUM(AA313:AB313),"NO GO","GO")</f>
        <v>GO</v>
      </c>
      <c r="AL313" s="424"/>
      <c r="AM313" s="538"/>
      <c r="AN313" s="538"/>
      <c r="AO313" s="538"/>
      <c r="AP313" s="542"/>
      <c r="AQ313" s="543" cm="1">
        <f t="array" ref="AQ313">B313</f>
        <v>10</v>
      </c>
      <c r="AR313" s="18"/>
    </row>
    <row r="314" ht="16" customHeight="1">
      <c r="A314" s="12"/>
      <c r="B314" s="544" cm="1">
        <f t="array" ref="B314">IF(B313=0,0,IF(B313&lt;VLOOKUP(C301,'Boats Data Sheet 2026'!$C$3:$H$57,6,0),B313+1,0))</f>
        <v>11</v>
      </c>
      <c r="C314" s="538" cm="1">
        <f t="array" ref="C314">IF(B314&gt;0,IF(VLOOKUP(C301,'Boats Data Sheet 2026'!$C$3:$J$57,8,0)="N/A",0,VLOOKUP(C301,'Boats Data Sheet 2026'!$C$3:$J$57,8,0)),"N/A")</f>
        <v>0</v>
      </c>
      <c r="D314" s="545" cm="1">
        <f t="array" ref="D314">IF(B314&gt;7,2,IF(B314=0,"N/A",1))</f>
        <v>2</v>
      </c>
      <c r="E314" s="538" cm="1">
        <f t="array" ref="E314">_xlfn.IFERROR(SUM('Direct Costs 2026'!$C$4:$C$5)*D314,"N/A")</f>
        <v>1751000</v>
      </c>
      <c r="F314" s="538" cm="1">
        <f t="array" ref="F314">_xlfn.IFERROR('Direct Costs 2026'!$C$43*B314,"N/A")</f>
        <v>66000</v>
      </c>
      <c r="G314" s="538" cm="1">
        <f t="array" ref="G314">IF(B314&gt;0,'Direct Costs 2026'!$C$25,"N/A")</f>
        <v>90000</v>
      </c>
      <c r="H314" s="538" cm="1">
        <f t="array" ref="H314">IF(B314&gt;0,'Direct Costs 2026'!$C$19+'Direct Costs 2026'!$C$18*B314,"N/A")</f>
        <v>460000</v>
      </c>
      <c r="I314" s="538" cm="1">
        <f t="array" ref="I314">IF(B314&gt;0,SUM('Direct Costs 2026'!$C$20:$C$21),"N/A")</f>
        <v>98333.3333333333</v>
      </c>
      <c r="J314" s="538">
        <v>0</v>
      </c>
      <c r="K314" s="538" cm="1">
        <f t="array" ref="K314">_xlfn.IFERROR((IF(B314&gt;0,'Direct Costs 2026'!$C$15+'Direct Costs 2026'!$C$14,"N/A")),"N/A")</f>
        <v>230000</v>
      </c>
      <c r="L314" s="538" cm="1">
        <f t="array" ref="L314">IF(B314&gt;0,'Direct Costs 2026'!$C$26,"N/A")</f>
        <v>20000</v>
      </c>
      <c r="M314" s="538" cm="1">
        <f t="array" ref="M314">IF(B314&gt;0,'Direct Costs 2026'!$C$23,"N/A")</f>
        <v>140000</v>
      </c>
      <c r="N314" s="538" cm="1">
        <f t="array" ref="N314">IF(B314&gt;0,'Direct Costs 2026'!$C$44*B314,"N/A")</f>
        <v>1210000</v>
      </c>
      <c r="O314" s="538" cm="1">
        <f t="array" ref="O314">IF(B314&gt;0,_xlfn.IFERROR(VLOOKUP(C301,'Boats Data Sheet 2026'!$C$3:$I$57,7,0)*'Direct Costs 2026'!$C$36,"N/A"),"N/A")</f>
        <v>3325000</v>
      </c>
      <c r="P314" s="538" cm="1">
        <f t="array" ref="P314">IF(B314&gt;0,IF(OR(VLOOKUP(C301,'Boats Data Sheet 2026'!$C$3:$F$57,4,0)="Own",VLOOKUP(C301,'Boats Data Sheet 2026'!$C$3:$F$57,4,0)="Management"),('Direct Costs 2026'!$C$37+'Direct Costs 2026'!$C$39),"N/A"),"N/A")</f>
        <v>1112400</v>
      </c>
      <c r="Q314" s="538" cm="1">
        <f t="array" ref="Q314">_xlfn.IFERROR(IF(B314&gt;5,IF(B314&gt;11,IF(B314&gt;15,4,3),2),IF(B314=0,"N/A",1))*SUM('Direct Costs 2026'!$C$67:$C$68),"N/A")</f>
        <v>979200</v>
      </c>
      <c r="R314" s="538" cm="1">
        <f t="array" ref="R314">_xlfn.IFERROR('Direct Costs 2026'!$C$27*C314,"N/A")</f>
        <v>0</v>
      </c>
      <c r="S314" s="538" cm="1">
        <f t="array" ref="S314">_xlfn.IFERROR(C314+SUM(E314:R314),"N/A")</f>
        <v>9481933.33333333</v>
      </c>
      <c r="T314" s="424"/>
      <c r="U314" s="538" cm="1">
        <f t="array" ref="U314">IF(B314&gt;0,'Allocation OH and Target 2026'!$E$27,"N/A")</f>
        <v>2134447.30345641</v>
      </c>
      <c r="V314" s="538" cm="1">
        <f t="array" ref="V314">IF(B314&gt;0,'Allocation OH and Target 2026'!$E$28,"N/A")</f>
        <v>200042.323056976</v>
      </c>
      <c r="W314" s="538" cm="1">
        <f t="array" ref="W314">IF(B314&gt;0,VLOOKUP(C301,'Allocation OH and Target 2026'!$C$3:$T$23,17,0),"N/A")</f>
        <v>965292.6396039641</v>
      </c>
      <c r="X314" s="538" cm="1">
        <f t="array" ref="X314">IF(B314&gt;0,VLOOKUP(C301,'Allocation OH and Target 2026'!$C$3:$T$23,18,0),"N/A")</f>
        <v>92851.958666666906</v>
      </c>
      <c r="Y314" s="538" cm="1">
        <f t="array" ref="Y314">_xlfn.IFERROR(B314*(V314+X314),"N/A")</f>
        <v>3221837.09896007</v>
      </c>
      <c r="Z314" s="424"/>
      <c r="AA314" s="538" cm="1">
        <f t="array" ref="AA314">_xlfn.IFERROR(Y314+S314,"N/A")</f>
        <v>12703770.4322934</v>
      </c>
      <c r="AB314" s="538" cm="1">
        <f t="array" ref="AB314">_xlfn.IFERROR(AA314*0.5%,"N/A")</f>
        <v>63518.852161467</v>
      </c>
      <c r="AC314" s="538" cm="1">
        <f t="array" ref="AC314">_xlfn.IFERROR(AA314*25%,"N/A")</f>
        <v>3175942.60807335</v>
      </c>
      <c r="AD314" s="539" cm="1">
        <f t="array" ref="AD314">IF(B314&gt;0,SUM(AA314:AC314),"N/A")</f>
        <v>15943231.8925282</v>
      </c>
      <c r="AE314" s="538" cm="1">
        <f t="array" ref="AE314">_xlfn.IFERROR(AD314/B314,"N/A")</f>
        <v>1449384.71750256</v>
      </c>
      <c r="AF314" s="424"/>
      <c r="AG314" s="539" cm="1">
        <f t="array" ref="AG314">IF(B314/VLOOKUP(C301,'Boats Data Sheet 2026'!$C$3:$H$57,6,0)&gt;VLOOKUP(C301,'Allocation OH and Target 2026'!$C$3:$J$23,8,0),IF(SUM(AH303:AH313)=0,AE314,"N/A"),"N/A")</f>
        <v>1449384.71750256</v>
      </c>
      <c r="AH314" s="424" cm="1">
        <f t="array" ref="AH314">IF(AG314="N/A",0,1)</f>
        <v>1</v>
      </c>
      <c r="AI314" s="538" cm="1">
        <f t="array" ref="AI314">IF(B314/VLOOKUP(C301,'Boats Data Sheet 2026'!$C$3:$H$57,6,0)&gt;VLOOKUP(C301,'Allocation OH and Target 2026'!$C$3:$J$23,8,0),IF(SUM(AH303:AH313)=0,S314/B314,"N/A"),"N/A")</f>
        <v>861993.939393939</v>
      </c>
      <c r="AJ314" s="424" cm="1">
        <f t="array" ref="AJ314">IF(AI314="N/A",0,1)</f>
        <v>1</v>
      </c>
      <c r="AK314" t="str" s="527" cm="1">
        <f t="array" ref="AK314">IF(SUM($AG$120:$AG$137)*B314&lt;SUM(AA314:AB314),"NO GO","GO")</f>
        <v>GO</v>
      </c>
      <c r="AL314" s="424"/>
      <c r="AM314" s="538"/>
      <c r="AN314" s="538"/>
      <c r="AO314" s="538"/>
      <c r="AP314" s="542"/>
      <c r="AQ314" s="543" cm="1">
        <f t="array" ref="AQ314">B314</f>
        <v>11</v>
      </c>
      <c r="AR314" s="18"/>
    </row>
    <row r="315" ht="16" customHeight="1">
      <c r="A315" s="12"/>
      <c r="B315" s="544" cm="1">
        <f t="array" ref="B315">IF(B314=0,0,IF(B314&lt;VLOOKUP(C301,'Boats Data Sheet 2026'!$C$3:$H$57,6,0),B314+1,0))</f>
        <v>12</v>
      </c>
      <c r="C315" s="538" cm="1">
        <f t="array" ref="C315">IF(B315&gt;0,IF(VLOOKUP(C301,'Boats Data Sheet 2026'!$C$3:$J$57,8,0)="N/A",0,VLOOKUP(C301,'Boats Data Sheet 2026'!$C$3:$J$57,8,0)),"N/A")</f>
        <v>0</v>
      </c>
      <c r="D315" s="545" cm="1">
        <f t="array" ref="D315">IF(B315&gt;7,2,IF(B315=0,"N/A",1))</f>
        <v>2</v>
      </c>
      <c r="E315" s="538" cm="1">
        <f t="array" ref="E315">_xlfn.IFERROR(SUM('Direct Costs 2026'!$C$4:$C$5)*D315,"N/A")</f>
        <v>1751000</v>
      </c>
      <c r="F315" s="538" cm="1">
        <f t="array" ref="F315">_xlfn.IFERROR('Direct Costs 2026'!$C$43*B315,"N/A")</f>
        <v>72000</v>
      </c>
      <c r="G315" s="538" cm="1">
        <f t="array" ref="G315">IF(B315&gt;0,'Direct Costs 2026'!$C$25,"N/A")</f>
        <v>90000</v>
      </c>
      <c r="H315" s="538" cm="1">
        <f t="array" ref="H315">IF(B315&gt;0,'Direct Costs 2026'!$C$19+'Direct Costs 2026'!$C$18*B315,"N/A")</f>
        <v>495000</v>
      </c>
      <c r="I315" s="538" cm="1">
        <f t="array" ref="I315">IF(B315&gt;0,SUM('Direct Costs 2026'!$C$20:$C$21),"N/A")</f>
        <v>98333.3333333333</v>
      </c>
      <c r="J315" s="538">
        <v>0</v>
      </c>
      <c r="K315" s="538" cm="1">
        <f t="array" ref="K315">_xlfn.IFERROR((IF(B315&gt;0,'Direct Costs 2026'!$C$15+'Direct Costs 2026'!$C$14,"N/A")),"N/A")</f>
        <v>230000</v>
      </c>
      <c r="L315" s="538" cm="1">
        <f t="array" ref="L315">IF(B315&gt;0,'Direct Costs 2026'!$C$26,"N/A")</f>
        <v>20000</v>
      </c>
      <c r="M315" s="538" cm="1">
        <f t="array" ref="M315">IF(B315&gt;0,'Direct Costs 2026'!$C$23,"N/A")</f>
        <v>140000</v>
      </c>
      <c r="N315" s="538" cm="1">
        <f t="array" ref="N315">IF(B315&gt;0,'Direct Costs 2026'!$C$44*B315,"N/A")</f>
        <v>1320000</v>
      </c>
      <c r="O315" s="538" cm="1">
        <f t="array" ref="O315">IF(B315&gt;0,_xlfn.IFERROR(VLOOKUP(C301,'Boats Data Sheet 2026'!$C$3:$I$57,7,0)*'Direct Costs 2026'!$C$36,"N/A"),"N/A")</f>
        <v>3325000</v>
      </c>
      <c r="P315" s="538" cm="1">
        <f t="array" ref="P315">IF(B315&gt;0,IF(OR(VLOOKUP(C301,'Boats Data Sheet 2026'!$C$3:$F$57,4,0)="Own",VLOOKUP(C301,'Boats Data Sheet 2026'!$C$3:$F$57,4,0)="Management"),('Direct Costs 2026'!$C$37+'Direct Costs 2026'!$C$39),"N/A"),"N/A")</f>
        <v>1112400</v>
      </c>
      <c r="Q315" s="538" cm="1">
        <f t="array" ref="Q315">_xlfn.IFERROR(IF(B315&gt;5,IF(B315&gt;11,IF(B315&gt;15,4,3),2),IF(B315=0,"N/A",1))*SUM('Direct Costs 2026'!$C$67:$C$68),"N/A")</f>
        <v>1468800</v>
      </c>
      <c r="R315" s="538" cm="1">
        <f t="array" ref="R315">_xlfn.IFERROR('Direct Costs 2026'!$C$27*C315,"N/A")</f>
        <v>0</v>
      </c>
      <c r="S315" s="538" cm="1">
        <f t="array" ref="S315">_xlfn.IFERROR(C315+SUM(E315:R315),"N/A")</f>
        <v>10122533.3333333</v>
      </c>
      <c r="T315" s="424"/>
      <c r="U315" s="538" cm="1">
        <f t="array" ref="U315">IF(B315&gt;0,'Allocation OH and Target 2026'!$E$27,"N/A")</f>
        <v>2134447.30345641</v>
      </c>
      <c r="V315" s="538" cm="1">
        <f t="array" ref="V315">IF(B315&gt;0,'Allocation OH and Target 2026'!$E$28,"N/A")</f>
        <v>200042.323056976</v>
      </c>
      <c r="W315" s="538" cm="1">
        <f t="array" ref="W315">IF(B315&gt;0,VLOOKUP(C301,'Allocation OH and Target 2026'!$C$3:$T$23,17,0),"N/A")</f>
        <v>965292.6396039641</v>
      </c>
      <c r="X315" s="538" cm="1">
        <f t="array" ref="X315">IF(B315&gt;0,VLOOKUP(C301,'Allocation OH and Target 2026'!$C$3:$T$23,18,0),"N/A")</f>
        <v>92851.958666666906</v>
      </c>
      <c r="Y315" s="538" cm="1">
        <f t="array" ref="Y315">_xlfn.IFERROR(B315*(V315+X315),"N/A")</f>
        <v>3514731.38068371</v>
      </c>
      <c r="Z315" s="424"/>
      <c r="AA315" s="538" cm="1">
        <f t="array" ref="AA315">_xlfn.IFERROR(Y315+S315,"N/A")</f>
        <v>13637264.714017</v>
      </c>
      <c r="AB315" s="538" cm="1">
        <f t="array" ref="AB315">_xlfn.IFERROR(AA315*0.5%,"N/A")</f>
        <v>68186.323570085005</v>
      </c>
      <c r="AC315" s="538" cm="1">
        <f t="array" ref="AC315">_xlfn.IFERROR(AA315*25%,"N/A")</f>
        <v>3409316.17850425</v>
      </c>
      <c r="AD315" s="539" cm="1">
        <f t="array" ref="AD315">IF(B315&gt;0,SUM(AA315:AC315),"N/A")</f>
        <v>17114767.2160913</v>
      </c>
      <c r="AE315" s="538" cm="1">
        <f t="array" ref="AE315">_xlfn.IFERROR(AD315/B315,"N/A")</f>
        <v>1426230.60134094</v>
      </c>
      <c r="AF315" s="424"/>
      <c r="AG315" t="str" s="546" cm="1">
        <f t="array" ref="AG315">IF(B315/VLOOKUP(C301,'Boats Data Sheet 2026'!$C$3:$H$57,6,0)&gt;VLOOKUP(C301,'Allocation OH and Target 2026'!$C$3:$J$23,8,0),IF(SUM(AH303:AH314)=0,AE315,"N/A"),"N/A")</f>
        <v>N/A</v>
      </c>
      <c r="AH315" s="424" cm="1">
        <f t="array" ref="AH315">IF(AG315="N/A",0,1)</f>
        <v>0</v>
      </c>
      <c r="AI315" t="str" s="547" cm="1">
        <f t="array" ref="AI315">IF(B315/VLOOKUP(C301,'Boats Data Sheet 2026'!$C$3:$H$57,6,0)&gt;VLOOKUP(C301,'Allocation OH and Target 2026'!$C$3:$J$23,8,0),IF(SUM(AH303:AH314)=0,S315/B315,"N/A"),"N/A")</f>
        <v>N/A</v>
      </c>
      <c r="AJ315" s="424" cm="1">
        <f t="array" ref="AJ315">IF(AI315="N/A",0,1)</f>
        <v>0</v>
      </c>
      <c r="AK315" t="str" s="527" cm="1">
        <f t="array" ref="AK315">IF(SUM($AG$120:$AG$137)*B315&lt;SUM(AA315:AB315),"NO GO","GO")</f>
        <v>GO</v>
      </c>
      <c r="AL315" s="424"/>
      <c r="AM315" s="538"/>
      <c r="AN315" s="538"/>
      <c r="AO315" s="538"/>
      <c r="AP315" s="542"/>
      <c r="AQ315" s="543" cm="1">
        <f t="array" ref="AQ315">B315</f>
        <v>12</v>
      </c>
      <c r="AR315" s="18"/>
    </row>
    <row r="316" ht="16" customHeight="1">
      <c r="A316" s="12"/>
      <c r="B316" s="544" cm="1">
        <f t="array" ref="B316">IF(B315=0,0,IF(B315&lt;VLOOKUP(C301,'Boats Data Sheet 2026'!$C$3:$H$57,6,0),B315+1,0))</f>
        <v>13</v>
      </c>
      <c r="C316" s="538" cm="1">
        <f t="array" ref="C316">IF(B316&gt;0,IF(VLOOKUP(C301,'Boats Data Sheet 2026'!$C$3:$J$57,8,0)="N/A",0,VLOOKUP(C301,'Boats Data Sheet 2026'!$C$3:$J$57,8,0)),"N/A")</f>
        <v>0</v>
      </c>
      <c r="D316" s="545" cm="1">
        <f t="array" ref="D316">IF(B316&gt;7,2,IF(B316=0,"N/A",1))</f>
        <v>2</v>
      </c>
      <c r="E316" s="538" cm="1">
        <f t="array" ref="E316">_xlfn.IFERROR(SUM('Direct Costs 2026'!$C$4:$C$5)*D316,"N/A")</f>
        <v>1751000</v>
      </c>
      <c r="F316" s="538" cm="1">
        <f t="array" ref="F316">_xlfn.IFERROR('Direct Costs 2026'!$C$43*B316,"N/A")</f>
        <v>78000</v>
      </c>
      <c r="G316" s="538" cm="1">
        <f t="array" ref="G316">IF(B316&gt;0,'Direct Costs 2026'!$C$25,"N/A")</f>
        <v>90000</v>
      </c>
      <c r="H316" s="538" cm="1">
        <f t="array" ref="H316">IF(B316&gt;0,'Direct Costs 2026'!$C$19+'Direct Costs 2026'!$C$18*B316,"N/A")</f>
        <v>530000</v>
      </c>
      <c r="I316" s="538" cm="1">
        <f t="array" ref="I316">IF(B316&gt;0,SUM('Direct Costs 2026'!$C$20:$C$21),"N/A")</f>
        <v>98333.3333333333</v>
      </c>
      <c r="J316" s="538">
        <v>0</v>
      </c>
      <c r="K316" s="538" cm="1">
        <f t="array" ref="K316">_xlfn.IFERROR((IF(B316&gt;0,'Direct Costs 2026'!$C$15+'Direct Costs 2026'!$C$14,"N/A")),"N/A")</f>
        <v>230000</v>
      </c>
      <c r="L316" s="538" cm="1">
        <f t="array" ref="L316">IF(B316&gt;0,'Direct Costs 2026'!$C$26,"N/A")</f>
        <v>20000</v>
      </c>
      <c r="M316" s="538" cm="1">
        <f t="array" ref="M316">IF(B316&gt;0,'Direct Costs 2026'!$C$23,"N/A")</f>
        <v>140000</v>
      </c>
      <c r="N316" s="538" cm="1">
        <f t="array" ref="N316">IF(B316&gt;0,'Direct Costs 2026'!$C$44*B316,"N/A")</f>
        <v>1430000</v>
      </c>
      <c r="O316" s="538" cm="1">
        <f t="array" ref="O316">IF(B316&gt;0,_xlfn.IFERROR(VLOOKUP(C301,'Boats Data Sheet 2026'!$C$3:$I$57,7,0)*'Direct Costs 2026'!$C$36,"N/A"),"N/A")</f>
        <v>3325000</v>
      </c>
      <c r="P316" s="538" cm="1">
        <f t="array" ref="P316">IF(B316&gt;0,IF(OR(VLOOKUP(C301,'Boats Data Sheet 2026'!$C$3:$F$57,4,0)="Own",VLOOKUP(C301,'Boats Data Sheet 2026'!$C$3:$F$57,4,0)="Management"),('Direct Costs 2026'!$C$37+'Direct Costs 2026'!$C$39),"N/A"),"N/A")</f>
        <v>1112400</v>
      </c>
      <c r="Q316" s="538" cm="1">
        <f t="array" ref="Q316">_xlfn.IFERROR(IF(B316&gt;5,IF(B316&gt;11,IF(B316&gt;15,4,3),2),IF(B316=0,"N/A",1))*SUM('Direct Costs 2026'!$C$67:$C$68),"N/A")</f>
        <v>1468800</v>
      </c>
      <c r="R316" s="538" cm="1">
        <f t="array" ref="R316">_xlfn.IFERROR('Direct Costs 2026'!$C$27*C316,"N/A")</f>
        <v>0</v>
      </c>
      <c r="S316" s="538" cm="1">
        <f t="array" ref="S316">_xlfn.IFERROR(C316+SUM(E316:R316),"N/A")</f>
        <v>10273533.3333333</v>
      </c>
      <c r="T316" s="424"/>
      <c r="U316" s="538" cm="1">
        <f t="array" ref="U316">IF(B316&gt;0,'Allocation OH and Target 2026'!$E$27,"N/A")</f>
        <v>2134447.30345641</v>
      </c>
      <c r="V316" s="538" cm="1">
        <f t="array" ref="V316">IF(B316&gt;0,'Allocation OH and Target 2026'!$E$28,"N/A")</f>
        <v>200042.323056976</v>
      </c>
      <c r="W316" s="538" cm="1">
        <f t="array" ref="W316">IF(B316&gt;0,VLOOKUP(C301,'Allocation OH and Target 2026'!$C$3:$T$23,17,0),"N/A")</f>
        <v>965292.6396039641</v>
      </c>
      <c r="X316" s="538" cm="1">
        <f t="array" ref="X316">IF(B316&gt;0,VLOOKUP(C301,'Allocation OH and Target 2026'!$C$3:$T$23,18,0),"N/A")</f>
        <v>92851.958666666906</v>
      </c>
      <c r="Y316" s="538" cm="1">
        <f t="array" ref="Y316">_xlfn.IFERROR(B316*(V316+X316),"N/A")</f>
        <v>3807625.66240736</v>
      </c>
      <c r="Z316" s="424"/>
      <c r="AA316" s="538" cm="1">
        <f t="array" ref="AA316">_xlfn.IFERROR(Y316+S316,"N/A")</f>
        <v>14081158.9957407</v>
      </c>
      <c r="AB316" s="538" cm="1">
        <f t="array" ref="AB316">_xlfn.IFERROR(AA316*0.5%,"N/A")</f>
        <v>70405.7949787035</v>
      </c>
      <c r="AC316" s="538" cm="1">
        <f t="array" ref="AC316">_xlfn.IFERROR(AA316*25%,"N/A")</f>
        <v>3520289.74893518</v>
      </c>
      <c r="AD316" s="539" cm="1">
        <f t="array" ref="AD316">IF(B316&gt;0,SUM(AA316:AC316),"N/A")</f>
        <v>17671854.5396546</v>
      </c>
      <c r="AE316" s="538" cm="1">
        <f t="array" ref="AE316">_xlfn.IFERROR(AD316/B316,"N/A")</f>
        <v>1359373.42612728</v>
      </c>
      <c r="AF316" s="424"/>
      <c r="AG316" t="str" s="546" cm="1">
        <f t="array" ref="AG316">IF(B316/VLOOKUP(C301,'Boats Data Sheet 2026'!$C$3:$H$57,6,0)&gt;VLOOKUP(C301,'Allocation OH and Target 2026'!$C$3:$J$23,8,0),IF(SUM(AH303:AH315)=0,AE316,"N/A"),"N/A")</f>
        <v>N/A</v>
      </c>
      <c r="AH316" s="424" cm="1">
        <f t="array" ref="AH316">IF(AG316="N/A",0,1)</f>
        <v>0</v>
      </c>
      <c r="AI316" t="str" s="547" cm="1">
        <f t="array" ref="AI316">IF(B316/VLOOKUP(C301,'Boats Data Sheet 2026'!$C$3:$H$57,6,0)&gt;VLOOKUP(C301,'Allocation OH and Target 2026'!$C$3:$J$23,8,0),IF(SUM(AH303:AH315)=0,S316/B316,"N/A"),"N/A")</f>
        <v>N/A</v>
      </c>
      <c r="AJ316" s="424" cm="1">
        <f t="array" ref="AJ316">IF(AI316="N/A",0,1)</f>
        <v>0</v>
      </c>
      <c r="AK316" t="str" s="527" cm="1">
        <f t="array" ref="AK316">IF(SUM($AG$120:$AG$137)*B316&lt;SUM(AA316:AB316),"NO GO","GO")</f>
        <v>GO</v>
      </c>
      <c r="AL316" s="424"/>
      <c r="AM316" s="538"/>
      <c r="AN316" s="538"/>
      <c r="AO316" s="538"/>
      <c r="AP316" s="542"/>
      <c r="AQ316" s="543" cm="1">
        <f t="array" ref="AQ316">B316</f>
        <v>13</v>
      </c>
      <c r="AR316" s="18"/>
    </row>
    <row r="317" ht="16" customHeight="1">
      <c r="A317" s="12"/>
      <c r="B317" s="544" cm="1">
        <f t="array" ref="B317">IF(B316=0,0,IF(B316&lt;VLOOKUP(C301,'Boats Data Sheet 2026'!$C$3:$H$57,6,0),B316+1,0))</f>
        <v>0</v>
      </c>
      <c r="C317" t="str" s="547" cm="1">
        <f t="array" ref="C317">IF(B317&gt;0,IF(VLOOKUP(C301,'Boats Data Sheet 2026'!$C$3:$J$57,8,0)="N/A",0,VLOOKUP(C301,'Boats Data Sheet 2026'!$C$3:$J$57,8,0)),"N/A")</f>
        <v>N/A</v>
      </c>
      <c r="D317" t="str" s="547" cm="1">
        <f t="array" ref="D317">IF(B317&gt;7,2,IF(B317=0,"N/A",1))</f>
        <v>N/A</v>
      </c>
      <c r="E317" t="str" s="547" cm="1">
        <f t="array" ref="E317">_xlfn.IFERROR(SUM('Direct Costs 2026'!$C$4:$C$5)*D317,"N/A")</f>
        <v>N/A</v>
      </c>
      <c r="F317" s="538" cm="1">
        <f t="array" ref="F317">_xlfn.IFERROR('Direct Costs 2026'!$C$43*B317,"N/A")</f>
        <v>0</v>
      </c>
      <c r="G317" t="str" s="547" cm="1">
        <f t="array" ref="G317">IF(B317&gt;0,'Direct Costs 2026'!$C$25,"N/A")</f>
        <v>N/A</v>
      </c>
      <c r="H317" t="str" s="547" cm="1">
        <f t="array" ref="H317">IF(B317&gt;0,'Direct Costs 2026'!$C$19+'Direct Costs 2026'!$C$18*B317,"N/A")</f>
        <v>N/A</v>
      </c>
      <c r="I317" t="str" s="547" cm="1">
        <f t="array" ref="I317">IF(B317&gt;0,SUM('Direct Costs 2026'!$C$20:$C$21),"N/A")</f>
        <v>N/A</v>
      </c>
      <c r="J317" s="538">
        <v>0</v>
      </c>
      <c r="K317" t="str" s="547" cm="1">
        <f t="array" ref="K317">_xlfn.IFERROR((IF(B317&gt;0,'Direct Costs 2026'!$C$15+'Direct Costs 2026'!$C$14,"N/A")),"N/A")</f>
        <v>N/A</v>
      </c>
      <c r="L317" t="str" s="547" cm="1">
        <f t="array" ref="L317">IF(B317&gt;0,'Direct Costs 2026'!$C$26,"N/A")</f>
        <v>N/A</v>
      </c>
      <c r="M317" t="str" s="547" cm="1">
        <f t="array" ref="M317">IF(B317&gt;0,'Direct Costs 2026'!$C$23,"N/A")</f>
        <v>N/A</v>
      </c>
      <c r="N317" t="str" s="547" cm="1">
        <f t="array" ref="N317">IF(B317&gt;0,'Direct Costs 2026'!$C$44*B317,"N/A")</f>
        <v>N/A</v>
      </c>
      <c r="O317" t="str" s="547" cm="1">
        <f t="array" ref="O317">IF(B317&gt;0,_xlfn.IFERROR(VLOOKUP(C301,'Boats Data Sheet 2026'!$C$3:$I$57,7,0)*'Direct Costs 2026'!$C$36,"N/A"),"N/A")</f>
        <v>N/A</v>
      </c>
      <c r="P317" t="str" s="547" cm="1">
        <f t="array" ref="P317">IF(B317&gt;0,IF(OR(VLOOKUP(C301,'Boats Data Sheet 2026'!$C$3:$F$57,4,0)="Own",VLOOKUP(C301,'Boats Data Sheet 2026'!$C$3:$F$57,4,0)="Management"),('Direct Costs 2026'!$C$37+'Direct Costs 2026'!$C$39),"N/A"),"N/A")</f>
        <v>N/A</v>
      </c>
      <c r="Q317" t="str" s="547" cm="1">
        <f t="array" ref="Q317">_xlfn.IFERROR(IF(B317&gt;5,IF(B317&gt;11,IF(B317&gt;15,4,3),2),IF(B317=0,"N/A",1))*SUM('Direct Costs 2026'!$C$67:$C$68),"N/A")</f>
        <v>N/A</v>
      </c>
      <c r="R317" t="str" s="547" cm="1">
        <f t="array" ref="R317">_xlfn.IFERROR('Direct Costs 2026'!$C$27*C317,"N/A")</f>
        <v>N/A</v>
      </c>
      <c r="S317" t="str" s="547" cm="1">
        <f t="array" ref="S317">_xlfn.IFERROR(C317+SUM(E317:R317),"N/A")</f>
        <v>N/A</v>
      </c>
      <c r="T317" s="424"/>
      <c r="U317" t="str" s="547" cm="1">
        <f t="array" ref="U317">IF(B317&gt;0,'Allocation OH and Target 2026'!$E$27,"N/A")</f>
        <v>N/A</v>
      </c>
      <c r="V317" t="str" s="547" cm="1">
        <f t="array" ref="V317">IF(B317&gt;0,'Allocation OH and Target 2026'!$E$28,"N/A")</f>
        <v>N/A</v>
      </c>
      <c r="W317" t="str" s="547" cm="1">
        <f t="array" ref="W317">IF(B317&gt;0,VLOOKUP(C301,'Allocation OH and Target 2026'!$C$3:$T$23,17,0),"N/A")</f>
        <v>N/A</v>
      </c>
      <c r="X317" t="str" s="547" cm="1">
        <f t="array" ref="X317">IF(B317&gt;0,VLOOKUP(C301,'Allocation OH and Target 2026'!$C$3:$T$23,18,0),"N/A")</f>
        <v>N/A</v>
      </c>
      <c r="Y317" t="str" s="547" cm="1">
        <f t="array" ref="Y317">_xlfn.IFERROR(B317*(V317+X317),"N/A")</f>
        <v>N/A</v>
      </c>
      <c r="Z317" s="424"/>
      <c r="AA317" t="str" s="547" cm="1">
        <f t="array" ref="AA317">_xlfn.IFERROR(Y317+S317,"N/A")</f>
        <v>N/A</v>
      </c>
      <c r="AB317" t="str" s="547" cm="1">
        <f t="array" ref="AB317">_xlfn.IFERROR(AA317*0.5%,"N/A")</f>
        <v>N/A</v>
      </c>
      <c r="AC317" t="str" s="547" cm="1">
        <f t="array" ref="AC317">_xlfn.IFERROR(AA317*25%,"N/A")</f>
        <v>N/A</v>
      </c>
      <c r="AD317" t="str" s="546" cm="1">
        <f t="array" ref="AD317">IF(B317&gt;0,SUM(AA317:AC317),"N/A")</f>
        <v>N/A</v>
      </c>
      <c r="AE317" t="str" s="547" cm="1">
        <f t="array" ref="AE317">_xlfn.IFERROR(AD317/B317,"N/A")</f>
        <v>N/A</v>
      </c>
      <c r="AF317" s="424"/>
      <c r="AG317" t="str" s="546" cm="1">
        <f t="array" ref="AG317">IF(B317/VLOOKUP(C301,'Boats Data Sheet 2026'!$C$3:$H$57,6,0)&gt;VLOOKUP(C301,'Allocation OH and Target 2026'!$C$3:$J$23,8,0),IF(SUM(AH303:AH316)=0,AE317,"N/A"),"N/A")</f>
        <v>N/A</v>
      </c>
      <c r="AH317" s="424" cm="1">
        <f t="array" ref="AH317">IF(AG317="N/A",0,1)</f>
        <v>0</v>
      </c>
      <c r="AI317" t="str" s="547" cm="1">
        <f t="array" ref="AI317">IF(B317/VLOOKUP(C301,'Boats Data Sheet 2026'!$C$3:$H$57,6,0)&gt;VLOOKUP(C301,'Allocation OH and Target 2026'!$C$3:$J$23,8,0),IF(SUM(AH303:AH316)=0,S317/B317,"N/A"),"N/A")</f>
        <v>N/A</v>
      </c>
      <c r="AJ317" s="424" cm="1">
        <f t="array" ref="AJ317">IF(AI317="N/A",0,1)</f>
        <v>0</v>
      </c>
      <c r="AK317" t="str" s="527" cm="1">
        <f t="array" ref="AK317">IF(SUM($AG$120:$AG$137)*B317&lt;SUM(AA317:AB317),"NO GO","GO")</f>
        <v>GO</v>
      </c>
      <c r="AL317" s="424"/>
      <c r="AM317" s="538"/>
      <c r="AN317" s="538"/>
      <c r="AO317" s="538"/>
      <c r="AP317" s="542"/>
      <c r="AQ317" s="543" cm="1">
        <f t="array" ref="AQ317">B317</f>
        <v>0</v>
      </c>
      <c r="AR317" s="18"/>
    </row>
    <row r="318" ht="16" customHeight="1">
      <c r="A318" s="12"/>
      <c r="B318" s="544" cm="1">
        <f t="array" ref="B318">IF(B317=0,0,IF(B317&lt;VLOOKUP(C301,'Boats Data Sheet 2026'!$C$3:$H$57,6,0),B317+1,0))</f>
        <v>0</v>
      </c>
      <c r="C318" t="str" s="547" cm="1">
        <f t="array" ref="C318">IF(B318&gt;0,IF(VLOOKUP(C301,'Boats Data Sheet 2026'!$C$3:$J$57,8,0)="N/A",0,VLOOKUP(C301,'Boats Data Sheet 2026'!$C$3:$J$57,8,0)),"N/A")</f>
        <v>N/A</v>
      </c>
      <c r="D318" t="str" s="547" cm="1">
        <f t="array" ref="D318">IF(B318&gt;7,2,IF(B318=0,"N/A",1))</f>
        <v>N/A</v>
      </c>
      <c r="E318" t="str" s="547" cm="1">
        <f t="array" ref="E318">_xlfn.IFERROR(SUM('Direct Costs 2026'!$C$4:$C$5)*D318,"N/A")</f>
        <v>N/A</v>
      </c>
      <c r="F318" s="538" cm="1">
        <f t="array" ref="F318">_xlfn.IFERROR('Direct Costs 2026'!$C$43*B318,"N/A")</f>
        <v>0</v>
      </c>
      <c r="G318" t="str" s="547" cm="1">
        <f t="array" ref="G318">IF(B318&gt;0,'Direct Costs 2026'!$C$25,"N/A")</f>
        <v>N/A</v>
      </c>
      <c r="H318" t="str" s="547" cm="1">
        <f t="array" ref="H318">IF(B318&gt;0,'Direct Costs 2026'!$C$19+'Direct Costs 2026'!$C$18*B318,"N/A")</f>
        <v>N/A</v>
      </c>
      <c r="I318" t="str" s="547" cm="1">
        <f t="array" ref="I318">IF(B318&gt;0,SUM('Direct Costs 2026'!$C$20:$C$21),"N/A")</f>
        <v>N/A</v>
      </c>
      <c r="J318" s="538">
        <v>0</v>
      </c>
      <c r="K318" t="str" s="547" cm="1">
        <f t="array" ref="K318">_xlfn.IFERROR((IF(B318&gt;0,'Direct Costs 2026'!$C$15+'Direct Costs 2026'!$C$14,"N/A")),"N/A")</f>
        <v>N/A</v>
      </c>
      <c r="L318" t="str" s="547" cm="1">
        <f t="array" ref="L318">IF(B318&gt;0,'Direct Costs 2026'!$C$26,"N/A")</f>
        <v>N/A</v>
      </c>
      <c r="M318" t="str" s="547" cm="1">
        <f t="array" ref="M318">IF(B318&gt;0,'Direct Costs 2026'!$C$23,"N/A")</f>
        <v>N/A</v>
      </c>
      <c r="N318" t="str" s="547" cm="1">
        <f t="array" ref="N318">IF(B318&gt;0,'Direct Costs 2026'!$C$44*B318,"N/A")</f>
        <v>N/A</v>
      </c>
      <c r="O318" t="str" s="547" cm="1">
        <f t="array" ref="O318">IF(B318&gt;0,_xlfn.IFERROR(VLOOKUP(C301,'Boats Data Sheet 2026'!$C$3:$I$57,7,0)*'Direct Costs 2026'!$C$36,"N/A"),"N/A")</f>
        <v>N/A</v>
      </c>
      <c r="P318" t="str" s="547" cm="1">
        <f t="array" ref="P318">IF(B318&gt;0,IF(OR(VLOOKUP(C306,'Boats Data Sheet 2026'!$C$3:$F$57,4,0)="Own",VLOOKUP(C306,'Boats Data Sheet 2026'!$C$3:$F$57,4,0)="Management"),('Direct Costs 2026'!$C$37+'Direct Costs 2026'!$C$39),"N/A"),"N/A")</f>
        <v>N/A</v>
      </c>
      <c r="Q318" t="str" s="547" cm="1">
        <f t="array" ref="Q318">_xlfn.IFERROR(IF(B318&gt;5,IF(B318&gt;11,IF(B318&gt;15,4,3),2),IF(B318=0,"N/A",1))*SUM('Direct Costs 2026'!$C$67:$C$68),"N/A")</f>
        <v>N/A</v>
      </c>
      <c r="R318" t="str" s="547" cm="1">
        <f t="array" ref="R318">_xlfn.IFERROR('Direct Costs 2026'!$C$27*C318,"N/A")</f>
        <v>N/A</v>
      </c>
      <c r="S318" t="str" s="547" cm="1">
        <f t="array" ref="S318">_xlfn.IFERROR(C318+SUM(E318:R318),"N/A")</f>
        <v>N/A</v>
      </c>
      <c r="T318" s="424"/>
      <c r="U318" t="str" s="547" cm="1">
        <f t="array" ref="U318">IF(B318&gt;0,'Allocation OH and Target 2026'!$E$27,"N/A")</f>
        <v>N/A</v>
      </c>
      <c r="V318" t="str" s="547" cm="1">
        <f t="array" ref="V318">IF(B318&gt;0,'Allocation OH and Target 2026'!$E$28,"N/A")</f>
        <v>N/A</v>
      </c>
      <c r="W318" t="str" s="547" cm="1">
        <f t="array" ref="W318">IF(B318&gt;0,VLOOKUP(C301,'Allocation OH and Target 2026'!$C$3:$T$23,17,0),"N/A")</f>
        <v>N/A</v>
      </c>
      <c r="X318" t="str" s="547" cm="1">
        <f t="array" ref="X318">IF(B318&gt;0,VLOOKUP(C301,'Allocation OH and Target 2026'!$C$3:$T$23,18,0),"N/A")</f>
        <v>N/A</v>
      </c>
      <c r="Y318" t="str" s="547" cm="1">
        <f t="array" ref="Y318">_xlfn.IFERROR(V318*B318+X318,"N/A")</f>
        <v>N/A</v>
      </c>
      <c r="Z318" s="424"/>
      <c r="AA318" t="str" s="547" cm="1">
        <f t="array" ref="AA318">_xlfn.IFERROR(Y318+S318,"N/A")</f>
        <v>N/A</v>
      </c>
      <c r="AB318" t="str" s="547" cm="1">
        <f t="array" ref="AB318">_xlfn.IFERROR(AA318*0.5%,"N/A")</f>
        <v>N/A</v>
      </c>
      <c r="AC318" t="str" s="547" cm="1">
        <f t="array" ref="AC318">_xlfn.IFERROR(AA318*25%,"N/A")</f>
        <v>N/A</v>
      </c>
      <c r="AD318" t="str" s="546" cm="1">
        <f t="array" ref="AD318">IF(B318&gt;0,SUM(AA318:AC318),"N/A")</f>
        <v>N/A</v>
      </c>
      <c r="AE318" t="str" s="547" cm="1">
        <f t="array" ref="AE318">_xlfn.IFERROR(AD318/B318,"N/A")</f>
        <v>N/A</v>
      </c>
      <c r="AF318" s="424"/>
      <c r="AG318" t="str" s="546" cm="1">
        <f t="array" ref="AG318">IF(B318/VLOOKUP(C301,'Boats Data Sheet 2026'!$C$3:$H$57,6,0)&gt;VLOOKUP(C301,'Allocation OH and Target 2026'!$C$3:$J$23,8,0),IF(SUM(AH303:AH317)=0,AE318,"N/A"),"N/A")</f>
        <v>N/A</v>
      </c>
      <c r="AH318" s="424" cm="1">
        <f t="array" ref="AH318">IF(AG318="N/A",0,1)</f>
        <v>0</v>
      </c>
      <c r="AI318" t="str" s="547" cm="1">
        <f t="array" ref="AI318">IF(B318/VLOOKUP(C301,'Boats Data Sheet 2026'!$C$3:$H$57,6,0)&gt;VLOOKUP(C301,'Allocation OH and Target 2026'!$C$3:$J$23,8,0),IF(SUM(AH303:AH317)=0,S318/B318,"N/A"),"N/A")</f>
        <v>N/A</v>
      </c>
      <c r="AJ318" s="424" cm="1">
        <f t="array" ref="AJ318">IF(AI318="N/A",0,1)</f>
        <v>0</v>
      </c>
      <c r="AK318" t="str" s="527" cm="1">
        <f t="array" ref="AK318">IF(SUM($AG$120:$AG$137)*B318&lt;SUM(AA318:AB318),"NO GO","GO")</f>
        <v>GO</v>
      </c>
      <c r="AL318" s="424"/>
      <c r="AM318" s="538"/>
      <c r="AN318" s="538"/>
      <c r="AO318" s="538"/>
      <c r="AP318" s="542"/>
      <c r="AQ318" s="543" cm="1">
        <f t="array" ref="AQ318">B318</f>
        <v>0</v>
      </c>
      <c r="AR318" s="18"/>
    </row>
    <row r="319" ht="16" customHeight="1">
      <c r="A319" s="12"/>
      <c r="B319" s="544" cm="1">
        <f t="array" ref="B319">IF(B318=0,0,IF(B318&lt;VLOOKUP(C301,'Boats Data Sheet 2026'!$C$3:$H$57,6,0),B318+1,0))</f>
        <v>0</v>
      </c>
      <c r="C319" t="str" s="547" cm="1">
        <f t="array" ref="C319">IF(B319&gt;0,IF(VLOOKUP(C301,'Boats Data Sheet 2026'!$C$3:$J$57,8,0)="N/A",0,VLOOKUP(C301,'Boats Data Sheet 2026'!$C$3:$J$57,8,0)),"N/A")</f>
        <v>N/A</v>
      </c>
      <c r="D319" t="str" s="547" cm="1">
        <f t="array" ref="D319">IF(B319&gt;7,2,IF(B319=0,"N/A",1))</f>
        <v>N/A</v>
      </c>
      <c r="E319" t="str" s="547" cm="1">
        <f t="array" ref="E319">_xlfn.IFERROR(SUM('Direct Costs 2026'!$C$4:$C$5)*D319,"N/A")</f>
        <v>N/A</v>
      </c>
      <c r="F319" s="538" cm="1">
        <f t="array" ref="F319">_xlfn.IFERROR('Direct Costs 2026'!$C$43*B319,"N/A")</f>
        <v>0</v>
      </c>
      <c r="G319" t="str" s="547" cm="1">
        <f t="array" ref="G319">IF(B319&gt;0,'Direct Costs 2026'!$C$25,"N/A")</f>
        <v>N/A</v>
      </c>
      <c r="H319" t="str" s="547" cm="1">
        <f t="array" ref="H319">IF(B319&gt;0,'Direct Costs 2026'!$C$19+'Direct Costs 2026'!$C$18*B319,"N/A")</f>
        <v>N/A</v>
      </c>
      <c r="I319" t="str" s="547" cm="1">
        <f t="array" ref="I319">IF(B319&gt;0,SUM('Direct Costs 2026'!$C$20:$C$21),"N/A")</f>
        <v>N/A</v>
      </c>
      <c r="J319" s="538">
        <v>0</v>
      </c>
      <c r="K319" t="str" s="547" cm="1">
        <f t="array" ref="K319">_xlfn.IFERROR((IF(B319&gt;0,'Direct Costs 2026'!$C$15+'Direct Costs 2026'!$C$14,"N/A")),"N/A")</f>
        <v>N/A</v>
      </c>
      <c r="L319" t="str" s="547" cm="1">
        <f t="array" ref="L319">IF(B319&gt;0,'Direct Costs 2026'!$C$26,"N/A")</f>
        <v>N/A</v>
      </c>
      <c r="M319" t="str" s="547" cm="1">
        <f t="array" ref="M319">IF(B319&gt;0,'Direct Costs 2026'!$C$23,"N/A")</f>
        <v>N/A</v>
      </c>
      <c r="N319" t="str" s="547" cm="1">
        <f t="array" ref="N319">IF(B319&gt;0,'Direct Costs 2026'!$C$44*B319,"N/A")</f>
        <v>N/A</v>
      </c>
      <c r="O319" t="str" s="547" cm="1">
        <f t="array" ref="O319">IF(B319&gt;0,_xlfn.IFERROR(VLOOKUP(C301,'Boats Data Sheet 2026'!$C$3:$I$57,7,0)*'Direct Costs 2026'!$C$36,"N/A"),"N/A")</f>
        <v>N/A</v>
      </c>
      <c r="P319" t="str" s="547" cm="1">
        <f t="array" ref="P319">IF(B319&gt;0,IF(OR(VLOOKUP(C307,'Boats Data Sheet 2026'!$C$3:$F$57,4,0)="Own",VLOOKUP(C307,'Boats Data Sheet 2026'!$C$3:$F$57,4,0)="Management"),('Direct Costs 2026'!$C$37+'Direct Costs 2026'!$C$39),"N/A"),"N/A")</f>
        <v>N/A</v>
      </c>
      <c r="Q319" t="str" s="547" cm="1">
        <f t="array" ref="Q319">_xlfn.IFERROR(IF(B319&gt;5,IF(B319&gt;11,IF(B319&gt;15,4,3),2),IF(B319=0,"N/A",1))*SUM('Direct Costs 2026'!$C$67:$C$68),"N/A")</f>
        <v>N/A</v>
      </c>
      <c r="R319" t="str" s="547" cm="1">
        <f t="array" ref="R319">_xlfn.IFERROR('Direct Costs 2026'!$C$27*C319,"N/A")</f>
        <v>N/A</v>
      </c>
      <c r="S319" t="str" s="547" cm="1">
        <f t="array" ref="S319">_xlfn.IFERROR(C319+SUM(E319:R319),"N/A")</f>
        <v>N/A</v>
      </c>
      <c r="T319" s="424"/>
      <c r="U319" t="str" s="547" cm="1">
        <f t="array" ref="U319">IF(B319&gt;0,'Allocation OH and Target 2026'!$E$27,"N/A")</f>
        <v>N/A</v>
      </c>
      <c r="V319" t="str" s="547" cm="1">
        <f t="array" ref="V319">IF(B319&gt;0,'Allocation OH and Target 2026'!$E$28,"N/A")</f>
        <v>N/A</v>
      </c>
      <c r="W319" t="str" s="547" cm="1">
        <f t="array" ref="W319">IF(B319&gt;0,VLOOKUP(C301,'Allocation OH and Target 2026'!$C$3:$T$23,17,0),"N/A")</f>
        <v>N/A</v>
      </c>
      <c r="X319" t="str" s="547" cm="1">
        <f t="array" ref="X319">IF(B319&gt;0,VLOOKUP(C301,'Allocation OH and Target 2026'!$C$3:$T$23,18,0),"N/A")</f>
        <v>N/A</v>
      </c>
      <c r="Y319" t="str" s="547" cm="1">
        <f t="array" ref="Y319">_xlfn.IFERROR(V319*B319+X319,"N/A")</f>
        <v>N/A</v>
      </c>
      <c r="Z319" s="424"/>
      <c r="AA319" t="str" s="547" cm="1">
        <f t="array" ref="AA319">_xlfn.IFERROR(Y319+S319,"N/A")</f>
        <v>N/A</v>
      </c>
      <c r="AB319" t="str" s="547" cm="1">
        <f t="array" ref="AB319">_xlfn.IFERROR(AA319*0.5%,"N/A")</f>
        <v>N/A</v>
      </c>
      <c r="AC319" t="str" s="547" cm="1">
        <f t="array" ref="AC319">_xlfn.IFERROR(AA319*25%,"N/A")</f>
        <v>N/A</v>
      </c>
      <c r="AD319" t="str" s="546" cm="1">
        <f t="array" ref="AD319">IF(B319&gt;0,SUM(AA319:AC319),"N/A")</f>
        <v>N/A</v>
      </c>
      <c r="AE319" t="str" s="547" cm="1">
        <f t="array" ref="AE319">_xlfn.IFERROR(AD319/B319,"N/A")</f>
        <v>N/A</v>
      </c>
      <c r="AF319" s="424"/>
      <c r="AG319" t="str" s="546" cm="1">
        <f t="array" ref="AG319">IF(B319/VLOOKUP(C301,'Boats Data Sheet 2026'!$C$3:$H$57,6,0)&gt;VLOOKUP(C301,'Allocation OH and Target 2026'!$C$3:$J$23,8,0),IF(SUM(AH303:AH318)=0,AE319,"N/A"),"N/A")</f>
        <v>N/A</v>
      </c>
      <c r="AH319" s="424" cm="1">
        <f t="array" ref="AH319">IF(AG319="N/A",0,1)</f>
        <v>0</v>
      </c>
      <c r="AI319" t="str" s="547" cm="1">
        <f t="array" ref="AI319">IF(B319/VLOOKUP(C301,'Boats Data Sheet 2026'!$C$3:$H$57,6,0)&gt;VLOOKUP(C301,'Allocation OH and Target 2026'!$C$3:$J$23,8,0),IF(SUM(AH303:AH318)=0,S319/B319,"N/A"),"N/A")</f>
        <v>N/A</v>
      </c>
      <c r="AJ319" s="424" cm="1">
        <f t="array" ref="AJ319">IF(AI319="N/A",0,1)</f>
        <v>0</v>
      </c>
      <c r="AK319" t="str" s="527" cm="1">
        <f t="array" ref="AK319">IF(SUM($AG$120:$AG$137)*B319&lt;SUM(AA319:AB319),"NO GO","GO")</f>
        <v>GO</v>
      </c>
      <c r="AL319" s="424"/>
      <c r="AM319" s="538"/>
      <c r="AN319" s="538"/>
      <c r="AO319" s="538"/>
      <c r="AP319" s="542"/>
      <c r="AQ319" s="543" cm="1">
        <f t="array" ref="AQ319">B319</f>
        <v>0</v>
      </c>
      <c r="AR319" s="18"/>
    </row>
    <row r="320" ht="16" customHeight="1">
      <c r="A320" s="12"/>
      <c r="B320" s="544" cm="1">
        <f t="array" ref="B320">IF(B319=0,0,IF(B319&lt;VLOOKUP(C301,'Boats Data Sheet 2026'!$C$3:$H$57,6,0),B319+1,0))</f>
        <v>0</v>
      </c>
      <c r="C320" t="str" s="547" cm="1">
        <f t="array" ref="C320">IF(B320&gt;0,IF(VLOOKUP(C301,'Boats Data Sheet 2026'!$C$3:$J$57,8,0)="N/A",0,VLOOKUP(C301,'Boats Data Sheet 2026'!$C$3:$J$57,8,0)),"N/A")</f>
        <v>N/A</v>
      </c>
      <c r="D320" t="str" s="547" cm="1">
        <f t="array" ref="D320">IF(B320&gt;7,2,IF(B320=0,"N/A",1))</f>
        <v>N/A</v>
      </c>
      <c r="E320" t="str" s="547" cm="1">
        <f t="array" ref="E320">_xlfn.IFERROR(SUM('Direct Costs 2026'!$C$4:$C$5)*D320,"N/A")</f>
        <v>N/A</v>
      </c>
      <c r="F320" s="538" cm="1">
        <f t="array" ref="F320">_xlfn.IFERROR('Direct Costs 2026'!$C$43*B320,"N/A")</f>
        <v>0</v>
      </c>
      <c r="G320" t="str" s="547" cm="1">
        <f t="array" ref="G320">IF(B320&gt;0,'Direct Costs 2026'!$C$25,"N/A")</f>
        <v>N/A</v>
      </c>
      <c r="H320" t="str" s="547" cm="1">
        <f t="array" ref="H320">IF(B320&gt;0,'Direct Costs 2026'!$C$19+'Direct Costs 2026'!$C$18*B320,"N/A")</f>
        <v>N/A</v>
      </c>
      <c r="I320" t="str" s="547" cm="1">
        <f t="array" ref="I320">IF(B320&gt;0,SUM('Direct Costs 2026'!$C$20:$C$21),"N/A")</f>
        <v>N/A</v>
      </c>
      <c r="J320" s="538">
        <v>0</v>
      </c>
      <c r="K320" t="str" s="547" cm="1">
        <f t="array" ref="K320">_xlfn.IFERROR((IF(B320&gt;0,'Direct Costs 2026'!$C$15+'Direct Costs 2026'!$C$14,"N/A")),"N/A")</f>
        <v>N/A</v>
      </c>
      <c r="L320" t="str" s="547" cm="1">
        <f t="array" ref="L320">IF(B320&gt;0,'Direct Costs 2026'!$C$26,"N/A")</f>
        <v>N/A</v>
      </c>
      <c r="M320" t="str" s="547" cm="1">
        <f t="array" ref="M320">IF(B320&gt;0,'Direct Costs 2026'!$C$23,"N/A")</f>
        <v>N/A</v>
      </c>
      <c r="N320" t="str" s="547" cm="1">
        <f t="array" ref="N320">IF(B320&gt;0,'Direct Costs 2026'!$C$44*B320,"N/A")</f>
        <v>N/A</v>
      </c>
      <c r="O320" t="str" s="547" cm="1">
        <f t="array" ref="O320">IF(B320&gt;0,_xlfn.IFERROR(VLOOKUP(C301,'Boats Data Sheet 2026'!$C$3:$I$57,7,0)*'Direct Costs 2026'!$C$36,"N/A"),"N/A")</f>
        <v>N/A</v>
      </c>
      <c r="P320" t="str" s="547" cm="1">
        <f t="array" ref="P320">IF(B320&gt;0,IF(OR(VLOOKUP(C308,'Boats Data Sheet 2026'!$C$3:$F$57,4,0)="Own",VLOOKUP(C308,'Boats Data Sheet 2026'!$C$3:$F$57,4,0)="Management"),('Direct Costs 2026'!$C$37+'Direct Costs 2026'!$C$39),"N/A"),"N/A")</f>
        <v>N/A</v>
      </c>
      <c r="Q320" t="str" s="547" cm="1">
        <f t="array" ref="Q320">_xlfn.IFERROR(IF(B320&gt;5,IF(B320&gt;11,IF(B320&gt;15,4,3),2),IF(B320=0,"N/A",1))*SUM('Direct Costs 2026'!$C$67:$C$68),"N/A")</f>
        <v>N/A</v>
      </c>
      <c r="R320" t="str" s="547" cm="1">
        <f t="array" ref="R320">_xlfn.IFERROR('Direct Costs 2026'!$C$27*C320,"N/A")</f>
        <v>N/A</v>
      </c>
      <c r="S320" t="str" s="547" cm="1">
        <f t="array" ref="S320">_xlfn.IFERROR(C320+SUM(E320:R320),"N/A")</f>
        <v>N/A</v>
      </c>
      <c r="T320" s="424"/>
      <c r="U320" t="str" s="547" cm="1">
        <f t="array" ref="U320">IF(B320&gt;0,'Allocation OH and Target 2026'!$E$27,"N/A")</f>
        <v>N/A</v>
      </c>
      <c r="V320" t="str" s="547" cm="1">
        <f t="array" ref="V320">IF(B320&gt;0,'Allocation OH and Target 2026'!$E$28,"N/A")</f>
        <v>N/A</v>
      </c>
      <c r="W320" t="str" s="547" cm="1">
        <f t="array" ref="W320">IF(B320&gt;0,VLOOKUP(C301,'Allocation OH and Target 2026'!$C$3:$T$23,17,0),"N/A")</f>
        <v>N/A</v>
      </c>
      <c r="X320" t="str" s="547" cm="1">
        <f t="array" ref="X320">IF(B320&gt;0,VLOOKUP(C301,'Allocation OH and Target 2026'!$C$3:$T$23,18,0),"N/A")</f>
        <v>N/A</v>
      </c>
      <c r="Y320" t="str" s="547" cm="1">
        <f t="array" ref="Y320">_xlfn.IFERROR(V320*B320+X320,"N/A")</f>
        <v>N/A</v>
      </c>
      <c r="Z320" s="424"/>
      <c r="AA320" t="str" s="547" cm="1">
        <f t="array" ref="AA320">_xlfn.IFERROR(Y320+S320,"N/A")</f>
        <v>N/A</v>
      </c>
      <c r="AB320" t="str" s="547" cm="1">
        <f t="array" ref="AB320">_xlfn.IFERROR(AA320*0.5%,"N/A")</f>
        <v>N/A</v>
      </c>
      <c r="AC320" t="str" s="547" cm="1">
        <f t="array" ref="AC320">_xlfn.IFERROR(AA320*25%,"N/A")</f>
        <v>N/A</v>
      </c>
      <c r="AD320" t="str" s="546" cm="1">
        <f t="array" ref="AD320">IF(B320&gt;0,SUM(AA320:AC320),"N/A")</f>
        <v>N/A</v>
      </c>
      <c r="AE320" t="str" s="547" cm="1">
        <f t="array" ref="AE320">_xlfn.IFERROR(AD320/B320,"N/A")</f>
        <v>N/A</v>
      </c>
      <c r="AF320" s="424"/>
      <c r="AG320" t="str" s="546" cm="1">
        <f t="array" ref="AG320">IF(B320/VLOOKUP(C301,'Boats Data Sheet 2026'!$C$3:$H$57,6,0)&gt;VLOOKUP(C301,'Allocation OH and Target 2026'!$C$3:$J$23,8,0),IF(SUM(AH303:AH319)=0,AE320,"N/A"),"N/A")</f>
        <v>N/A</v>
      </c>
      <c r="AH320" s="424" cm="1">
        <f t="array" ref="AH320">IF(AG320="N/A",0,1)</f>
        <v>0</v>
      </c>
      <c r="AI320" t="str" s="547" cm="1">
        <f t="array" ref="AI320">IF(B320/VLOOKUP(C301,'Boats Data Sheet 2026'!$C$3:$H$57,6,0)&gt;VLOOKUP(C301,'Allocation OH and Target 2026'!$C$3:$J$23,8,0),IF(SUM(AH303:AH319)=0,S320/B320,"N/A"),"N/A")</f>
        <v>N/A</v>
      </c>
      <c r="AJ320" s="424" cm="1">
        <f t="array" ref="AJ320">IF(AI320="N/A",0,1)</f>
        <v>0</v>
      </c>
      <c r="AK320" t="str" s="527" cm="1">
        <f t="array" ref="AK320">IF(SUM($AG$120:$AG$137)*B320&lt;SUM(AA320:AB320),"NO GO","GO")</f>
        <v>GO</v>
      </c>
      <c r="AL320" s="424"/>
      <c r="AM320" s="538"/>
      <c r="AN320" s="538"/>
      <c r="AO320" s="538"/>
      <c r="AP320" s="542"/>
      <c r="AQ320" s="543" cm="1">
        <f t="array" ref="AQ320">B320</f>
        <v>0</v>
      </c>
      <c r="AR320" s="18"/>
    </row>
    <row r="321" ht="15.5" customHeight="1">
      <c r="A321" s="12"/>
      <c r="B321" s="550" cm="1">
        <f t="array" ref="B321">IF(B320=0,0,IF(B320&lt;VLOOKUP(C301,'Boats Data Sheet 2026'!$C$3:$H$57,6,0),B320+1,0))</f>
        <v>0</v>
      </c>
      <c r="C321" t="str" s="551" cm="1">
        <f t="array" ref="C321">IF(B321&gt;0,IF(VLOOKUP(C301,'Boats Data Sheet 2026'!$C$3:$J$57,8,0)="N/A",0,VLOOKUP(C301,'Boats Data Sheet 2026'!$C$3:$J$57,8,0)),"N/A")</f>
        <v>N/A</v>
      </c>
      <c r="D321" t="str" s="551" cm="1">
        <f t="array" ref="D321">IF(B321&gt;7,2,IF(B321=0,"N/A",1))</f>
        <v>N/A</v>
      </c>
      <c r="E321" t="str" s="551" cm="1">
        <f t="array" ref="E321">_xlfn.IFERROR(SUM('Direct Costs 2026'!$C$4:$C$5)*D321,"N/A")</f>
        <v>N/A</v>
      </c>
      <c r="F321" s="552" cm="1">
        <f t="array" ref="F321">_xlfn.IFERROR('Direct Costs 2026'!$C$43*B321,"N/A")</f>
        <v>0</v>
      </c>
      <c r="G321" t="str" s="551" cm="1">
        <f t="array" ref="G321">IF(B321&gt;0,'Direct Costs 2026'!$C$25,"N/A")</f>
        <v>N/A</v>
      </c>
      <c r="H321" t="str" s="551" cm="1">
        <f t="array" ref="H321">IF(B321&gt;0,'Direct Costs 2026'!$C$19+'Direct Costs 2026'!$C$18*B321,"N/A")</f>
        <v>N/A</v>
      </c>
      <c r="I321" t="str" s="551" cm="1">
        <f t="array" ref="I321">IF(B321&gt;0,SUM('Direct Costs 2026'!$C$20:$C$21),"N/A")</f>
        <v>N/A</v>
      </c>
      <c r="J321" s="552">
        <v>0</v>
      </c>
      <c r="K321" t="str" s="551" cm="1">
        <f t="array" ref="K321">_xlfn.IFERROR((IF(B321&gt;0,'Direct Costs 2026'!$C$15+'Direct Costs 2026'!$C$14,"N/A")),"N/A")</f>
        <v>N/A</v>
      </c>
      <c r="L321" t="str" s="551" cm="1">
        <f t="array" ref="L321">IF(B321&gt;0,'Direct Costs 2026'!$C$26,"N/A")</f>
        <v>N/A</v>
      </c>
      <c r="M321" t="str" s="551" cm="1">
        <f t="array" ref="M321">IF(B321&gt;0,'Direct Costs 2026'!$C$23,"N/A")</f>
        <v>N/A</v>
      </c>
      <c r="N321" t="str" s="551" cm="1">
        <f t="array" ref="N321">IF(B321&gt;0,'Direct Costs 2026'!$C$44*B321,"N/A")</f>
        <v>N/A</v>
      </c>
      <c r="O321" t="str" s="551" cm="1">
        <f t="array" ref="O321">IF(B321&gt;0,_xlfn.IFERROR(VLOOKUP(C301,'Boats Data Sheet 2026'!$C$3:$I$57,7,0)*'Direct Costs 2026'!$C$36,"N/A"),"N/A")</f>
        <v>N/A</v>
      </c>
      <c r="P321" t="str" s="551" cm="1">
        <f t="array" ref="P321">IF(B321&gt;0,IF(OR(VLOOKUP(C309,'Boats Data Sheet 2026'!$C$3:$F$57,4,0)="Own",VLOOKUP(C309,'Boats Data Sheet 2026'!$C$3:$F$57,4,0)="Management"),('Direct Costs 2026'!$C$37+'Direct Costs 2026'!$C$39),"N/A"),"N/A")</f>
        <v>N/A</v>
      </c>
      <c r="Q321" t="str" s="551" cm="1">
        <f t="array" ref="Q321">_xlfn.IFERROR(IF(B321&gt;5,IF(B321&gt;11,IF(B321&gt;15,4,3),2),IF(B321=0,"N/A",1))*SUM('Direct Costs 2026'!$C$67:$C$68),"N/A")</f>
        <v>N/A</v>
      </c>
      <c r="R321" t="str" s="551" cm="1">
        <f t="array" ref="R321">_xlfn.IFERROR('Direct Costs 2026'!$C$27*C321,"N/A")</f>
        <v>N/A</v>
      </c>
      <c r="S321" t="str" s="551" cm="1">
        <f t="array" ref="S321">_xlfn.IFERROR(C321+SUM(E321:R321),"N/A")</f>
        <v>N/A</v>
      </c>
      <c r="T321" s="435"/>
      <c r="U321" t="str" s="551" cm="1">
        <f t="array" ref="U321">IF(B321&gt;0,'Allocation OH and Target 2026'!$E$27,"N/A")</f>
        <v>N/A</v>
      </c>
      <c r="V321" t="str" s="551" cm="1">
        <f t="array" ref="V321">IF(B321&gt;0,'Allocation OH and Target 2026'!$E$28,"N/A")</f>
        <v>N/A</v>
      </c>
      <c r="W321" t="str" s="551" cm="1">
        <f t="array" ref="W321">IF(B321&gt;0,VLOOKUP(C301,'Allocation OH and Target 2026'!$C$3:$T$23,17,0),"N/A")</f>
        <v>N/A</v>
      </c>
      <c r="X321" t="str" s="551" cm="1">
        <f t="array" ref="X321">IF(B321&gt;0,VLOOKUP(C301,'Allocation OH and Target 2026'!$C$3:$T$23,18,0),"N/A")</f>
        <v>N/A</v>
      </c>
      <c r="Y321" t="str" s="551" cm="1">
        <f t="array" ref="Y321">_xlfn.IFERROR(V321*B321+X321,"N/A")</f>
        <v>N/A</v>
      </c>
      <c r="Z321" s="435"/>
      <c r="AA321" t="str" s="551" cm="1">
        <f t="array" ref="AA321">_xlfn.IFERROR(Y321+S321,"N/A")</f>
        <v>N/A</v>
      </c>
      <c r="AB321" t="str" s="551" cm="1">
        <f t="array" ref="AB321">_xlfn.IFERROR(AA321*0.5%,"N/A")</f>
        <v>N/A</v>
      </c>
      <c r="AC321" t="str" s="551" cm="1">
        <f t="array" ref="AC321">_xlfn.IFERROR(AA321*25%,"N/A")</f>
        <v>N/A</v>
      </c>
      <c r="AD321" t="str" s="553" cm="1">
        <f t="array" ref="AD321">IF(B321&gt;0,SUM(AA321:AC321),"N/A")</f>
        <v>N/A</v>
      </c>
      <c r="AE321" t="str" s="551" cm="1">
        <f t="array" ref="AE321">_xlfn.IFERROR(AD321/B321,"N/A")</f>
        <v>N/A</v>
      </c>
      <c r="AF321" s="435"/>
      <c r="AG321" t="str" s="553" cm="1">
        <f t="array" ref="AG321">IF(B321/VLOOKUP(C301,'Boats Data Sheet 2026'!$C$3:$H$57,6,0)&gt;VLOOKUP(C301,'Allocation OH and Target 2026'!$C$3:$J$23,8,0),IF(SUM(AH303:AH320)=0,AE321,"N/A"),"N/A")</f>
        <v>N/A</v>
      </c>
      <c r="AH321" s="435" cm="1">
        <f t="array" ref="AH321">IF(AG321="N/A",0,1)</f>
        <v>0</v>
      </c>
      <c r="AI321" t="str" s="551" cm="1">
        <f t="array" ref="AI321">IF(B321/VLOOKUP(C301,'Boats Data Sheet 2026'!$C$3:$H$57,6,0)&gt;VLOOKUP(C301,'Allocation OH and Target 2026'!$C$3:$J$23,8,0),IF(SUM(AH303:AH320)=0,S321/B321,"N/A"),"N/A")</f>
        <v>N/A</v>
      </c>
      <c r="AJ321" s="435" cm="1">
        <f t="array" ref="AJ321">IF(AI321="N/A",0,1)</f>
        <v>0</v>
      </c>
      <c r="AK321" t="str" s="554" cm="1">
        <f t="array" ref="AK321">IF(SUM($AG$120:$AG$137)*B321&lt;SUM(AA321:AB321),"NO GO","GO")</f>
        <v>GO</v>
      </c>
      <c r="AL321" s="435"/>
      <c r="AM321" s="552"/>
      <c r="AN321" s="552"/>
      <c r="AO321" s="552"/>
      <c r="AP321" s="555"/>
      <c r="AQ321" s="543" cm="1">
        <f t="array" ref="AQ321">B321</f>
        <v>0</v>
      </c>
      <c r="AR321" s="18"/>
    </row>
    <row r="322" ht="15.5" customHeight="1">
      <c r="A322" s="32"/>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c r="AH322" s="124"/>
      <c r="AI322" s="124"/>
      <c r="AJ322" s="124"/>
      <c r="AK322" s="124"/>
      <c r="AL322" s="124"/>
      <c r="AM322" s="124"/>
      <c r="AN322" s="124"/>
      <c r="AO322" s="124"/>
      <c r="AP322" s="124"/>
      <c r="AQ322" s="17"/>
      <c r="AR322" s="18"/>
    </row>
    <row r="323" ht="15.5" customHeight="1">
      <c r="A323" s="32"/>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17"/>
      <c r="AR323" s="18"/>
    </row>
    <row r="324" ht="15.5" customHeight="1">
      <c r="A324" s="395">
        <v>10</v>
      </c>
      <c r="B324" t="s" s="517">
        <v>506</v>
      </c>
      <c r="C324" t="s" s="518">
        <v>55</v>
      </c>
      <c r="D324" s="519"/>
      <c r="E324" s="519"/>
      <c r="F324" s="519"/>
      <c r="G324" s="519"/>
      <c r="H324" s="519"/>
      <c r="I324" s="519"/>
      <c r="J324" s="519"/>
      <c r="K324" s="519"/>
      <c r="L324" s="519"/>
      <c r="M324" s="519"/>
      <c r="N324" s="519"/>
      <c r="O324" s="519"/>
      <c r="P324" s="519"/>
      <c r="Q324" s="519"/>
      <c r="R324" s="519"/>
      <c r="S324" s="519"/>
      <c r="T324" s="399"/>
      <c r="U324" s="519"/>
      <c r="V324" s="519"/>
      <c r="W324" s="519"/>
      <c r="X324" s="519"/>
      <c r="Y324" s="519"/>
      <c r="Z324" s="399"/>
      <c r="AA324" s="519"/>
      <c r="AB324" s="519"/>
      <c r="AC324" s="519"/>
      <c r="AD324" s="519"/>
      <c r="AE324" s="519"/>
      <c r="AF324" s="399"/>
      <c r="AG324" s="521"/>
      <c r="AH324" s="399"/>
      <c r="AI324" s="519"/>
      <c r="AJ324" s="399"/>
      <c r="AK324" s="519"/>
      <c r="AL324" s="399"/>
      <c r="AM324" s="521"/>
      <c r="AN324" s="560"/>
      <c r="AO324" s="519"/>
      <c r="AP324" s="522"/>
      <c r="AQ324" s="16"/>
      <c r="AR324" s="18"/>
    </row>
    <row r="325" ht="16" customHeight="1">
      <c r="A325" s="12"/>
      <c r="B325" s="523"/>
      <c r="C325" t="s" s="524">
        <v>513</v>
      </c>
      <c r="D325" s="525"/>
      <c r="E325" s="525"/>
      <c r="F325" s="525"/>
      <c r="G325" s="525"/>
      <c r="H325" s="525"/>
      <c r="I325" s="525"/>
      <c r="J325" s="525"/>
      <c r="K325" s="525"/>
      <c r="L325" s="525"/>
      <c r="M325" s="525"/>
      <c r="N325" s="525"/>
      <c r="O325" s="525"/>
      <c r="P325" s="525"/>
      <c r="Q325" s="525"/>
      <c r="R325" s="525"/>
      <c r="S325" s="526"/>
      <c r="T325" s="407"/>
      <c r="U325" t="s" s="524">
        <v>514</v>
      </c>
      <c r="V325" s="525"/>
      <c r="W325" s="525"/>
      <c r="X325" s="525"/>
      <c r="Y325" s="526"/>
      <c r="Z325" s="407"/>
      <c r="AA325" t="s" s="524">
        <v>515</v>
      </c>
      <c r="AB325" s="525"/>
      <c r="AC325" s="525"/>
      <c r="AD325" s="525"/>
      <c r="AE325" s="526"/>
      <c r="AF325" s="410"/>
      <c r="AG325" s="527"/>
      <c r="AH325" s="410"/>
      <c r="AI325" s="528"/>
      <c r="AJ325" s="410"/>
      <c r="AK325" s="528"/>
      <c r="AL325" s="410"/>
      <c r="AM325" s="528"/>
      <c r="AN325" s="528"/>
      <c r="AO325" s="528"/>
      <c r="AP325" s="529"/>
      <c r="AQ325" s="16"/>
      <c r="AR325" s="18"/>
    </row>
    <row r="326" ht="48" customHeight="1">
      <c r="A326" s="12"/>
      <c r="B326" t="s" s="530">
        <v>517</v>
      </c>
      <c r="C326" t="s" s="531">
        <v>518</v>
      </c>
      <c r="D326" t="s" s="531">
        <v>519</v>
      </c>
      <c r="E326" t="s" s="531">
        <v>520</v>
      </c>
      <c r="F326" t="s" s="532">
        <v>521</v>
      </c>
      <c r="G326" t="s" s="532">
        <v>522</v>
      </c>
      <c r="H326" t="s" s="532">
        <v>524</v>
      </c>
      <c r="I326" t="s" s="532">
        <v>525</v>
      </c>
      <c r="J326" t="s" s="532">
        <v>556</v>
      </c>
      <c r="K326" t="s" s="532">
        <v>587</v>
      </c>
      <c r="L326" t="s" s="532">
        <v>526</v>
      </c>
      <c r="M326" t="s" s="532">
        <v>527</v>
      </c>
      <c r="N326" t="s" s="532">
        <v>528</v>
      </c>
      <c r="O326" t="s" s="532">
        <v>529</v>
      </c>
      <c r="P326" t="s" s="532">
        <v>530</v>
      </c>
      <c r="Q326" t="s" s="532">
        <v>572</v>
      </c>
      <c r="R326" t="s" s="532">
        <v>531</v>
      </c>
      <c r="S326" t="s" s="532">
        <v>532</v>
      </c>
      <c r="T326" s="556"/>
      <c r="U326" t="s" s="532">
        <v>533</v>
      </c>
      <c r="V326" t="s" s="532">
        <v>573</v>
      </c>
      <c r="W326" t="s" s="532">
        <v>534</v>
      </c>
      <c r="X326" t="s" s="532">
        <v>574</v>
      </c>
      <c r="Y326" t="s" s="532">
        <v>535</v>
      </c>
      <c r="Z326" s="556"/>
      <c r="AA326" t="s" s="532">
        <v>536</v>
      </c>
      <c r="AB326" t="s" s="532">
        <v>537</v>
      </c>
      <c r="AC326" t="s" s="532">
        <v>538</v>
      </c>
      <c r="AD326" t="s" s="532">
        <v>575</v>
      </c>
      <c r="AE326" t="s" s="532">
        <v>539</v>
      </c>
      <c r="AF326" s="557"/>
      <c r="AG326" t="s" s="532">
        <v>576</v>
      </c>
      <c r="AH326" s="557"/>
      <c r="AI326" t="s" s="532">
        <v>577</v>
      </c>
      <c r="AJ326" s="557"/>
      <c r="AK326" t="s" s="531">
        <v>578</v>
      </c>
      <c r="AL326" s="557"/>
      <c r="AM326" s="533"/>
      <c r="AN326" s="533"/>
      <c r="AO326" s="533"/>
      <c r="AP326" s="534"/>
      <c r="AQ326" s="16"/>
      <c r="AR326" s="18"/>
    </row>
    <row r="327" ht="16.5" customHeight="1">
      <c r="A327" s="12"/>
      <c r="B327" s="535">
        <v>1</v>
      </c>
      <c r="C327" s="536" cm="1">
        <f t="array" ref="C327">IF(B327&gt;0,IF(VLOOKUP(C324,'Boats Data Sheet 2026'!$C$3:$J$57,8,0)="N/A",0,VLOOKUP(C324,'Boats Data Sheet 2026'!$C$3:$J$57,8,0)),"N/A")</f>
        <v>0</v>
      </c>
      <c r="D327" s="537" cm="1">
        <f t="array" ref="D327">IF(B327&gt;7,2,IF(B327=0,"N/A",1))</f>
        <v>1</v>
      </c>
      <c r="E327" s="536" cm="1">
        <f t="array" ref="E327">_xlfn.IFERROR(SUM('Direct Costs 2026'!$C$4:$C$5)*D327,"N/A")</f>
        <v>875500</v>
      </c>
      <c r="F327" s="538" cm="1">
        <f t="array" ref="F327">_xlfn.IFERROR('Direct Costs 2026'!$C$43*B327,"N/A")</f>
        <v>6000</v>
      </c>
      <c r="G327" s="538" cm="1">
        <f t="array" ref="G327">IF(B327&gt;0,'Direct Costs 2026'!$C$25,"N/A")</f>
        <v>90000</v>
      </c>
      <c r="H327" s="538" cm="1">
        <f t="array" ref="H327">IF(B327&gt;0,'Direct Costs 2026'!$C$19+'Direct Costs 2026'!$C$18*B327,"N/A")</f>
        <v>110000</v>
      </c>
      <c r="I327" s="538" cm="1">
        <f t="array" ref="I327">IF(B327&gt;0,SUM('Direct Costs 2026'!$C$20:$C$21),"N/A")</f>
        <v>98333.3333333333</v>
      </c>
      <c r="J327" s="538">
        <v>0</v>
      </c>
      <c r="K327" s="538" cm="1">
        <f t="array" ref="K327">_xlfn.IFERROR((IF(B327&gt;0,'Direct Costs 2026'!$C$15+'Direct Costs 2026'!$C$14,"N/A")),"N/A")</f>
        <v>230000</v>
      </c>
      <c r="L327" s="538" cm="1">
        <f t="array" ref="L327">IF(B327&gt;0,'Direct Costs 2026'!$C$26,"N/A")</f>
        <v>20000</v>
      </c>
      <c r="M327" s="538" cm="1">
        <f t="array" ref="M327">IF(B327&gt;0,'Direct Costs 2026'!$C$23,"N/A")</f>
        <v>140000</v>
      </c>
      <c r="N327" s="538" cm="1">
        <f t="array" ref="N327">IF(B327&gt;0,'Direct Costs 2026'!$C$44*B327,"N/A")</f>
        <v>110000</v>
      </c>
      <c r="O327" s="538" cm="1">
        <f t="array" ref="O327">IF(B327&gt;0,_xlfn.IFERROR(VLOOKUP(C324,'Boats Data Sheet 2026'!$C$3:$I$57,7,0)*'Direct Costs 2026'!$C$36,"N/A"),"N/A")</f>
        <v>3325000</v>
      </c>
      <c r="P327" s="538" cm="1">
        <f t="array" ref="P327">IF(B327&gt;0,IF(OR(VLOOKUP(C324,'Boats Data Sheet 2026'!$C$3:$F$57,4,0)="Own",VLOOKUP(C324,'Boats Data Sheet 2026'!$C$3:$F$57,4,0)="Management"),('Direct Costs 2026'!$C$37+'Direct Costs 2026'!$C$39),"N/A"),"N/A")</f>
        <v>1112400</v>
      </c>
      <c r="Q327" s="538" cm="1">
        <f t="array" ref="Q327">_xlfn.IFERROR(IF(B327&gt;5,IF(B327&gt;11,IF(B327&gt;15,4,3),2),IF(B327=0,"N/A",1))*SUM('Direct Costs 2026'!$C$67:$C$68),"N/A")</f>
        <v>489600</v>
      </c>
      <c r="R327" s="538" cm="1">
        <f t="array" ref="R327">_xlfn.IFERROR('Direct Costs 2026'!$C$27*C327,"N/A")</f>
        <v>0</v>
      </c>
      <c r="S327" s="538" cm="1">
        <f t="array" ref="S327">_xlfn.IFERROR(C327+SUM(E327:R327),"N/A")</f>
        <v>6606833.33333333</v>
      </c>
      <c r="T327" s="424"/>
      <c r="U327" s="538" cm="1">
        <f t="array" ref="U327">IF(B327&gt;0,'Allocation OH and Target 2026'!$E$27,"N/A")</f>
        <v>2134447.30345641</v>
      </c>
      <c r="V327" s="538" cm="1">
        <f t="array" ref="V327">IF(B327&gt;0,'Allocation OH and Target 2026'!$E$28,"N/A")</f>
        <v>200042.323056976</v>
      </c>
      <c r="W327" s="538" cm="1">
        <f t="array" ref="W327">IF(B327&gt;0,VLOOKUP(C324,'Allocation OH and Target 2026'!$C$3:$T$23,17,0),"N/A")</f>
        <v>1319153.22736842</v>
      </c>
      <c r="X327" s="538" cm="1">
        <f t="array" ref="X327">IF(B327&gt;0,VLOOKUP(C324,'Allocation OH and Target 2026'!$C$3:$T$23,18,0),"N/A")</f>
        <v>126841.656477733</v>
      </c>
      <c r="Y327" s="538" cm="1">
        <f t="array" ref="Y327">_xlfn.IFERROR(B327*(V327+X327),"N/A")</f>
        <v>326883.979534709</v>
      </c>
      <c r="Z327" s="424"/>
      <c r="AA327" s="538" cm="1">
        <f t="array" ref="AA327">_xlfn.IFERROR(Y327+S327,"N/A")</f>
        <v>6933717.31286804</v>
      </c>
      <c r="AB327" s="538" cm="1">
        <f t="array" ref="AB327">_xlfn.IFERROR(AA327*0.5%,"N/A")</f>
        <v>34668.5865643402</v>
      </c>
      <c r="AC327" s="538" cm="1">
        <f t="array" ref="AC327">_xlfn.IFERROR(AA327*25%,"N/A")</f>
        <v>1733429.32821701</v>
      </c>
      <c r="AD327" s="539" cm="1">
        <f t="array" ref="AD327">IF(B327&gt;0,SUM(AA327:AC327),"N/A")</f>
        <v>8701815.227649391</v>
      </c>
      <c r="AE327" s="538" cm="1">
        <f t="array" ref="AE327">_xlfn.IFERROR(AD327/B327,"N/A")</f>
        <v>8701815.227649391</v>
      </c>
      <c r="AF327" s="424"/>
      <c r="AG327" t="s" s="540">
        <v>14</v>
      </c>
      <c r="AH327" s="424" cm="1">
        <f t="array" ref="AH327">IF(AG327="N/A",0,1)</f>
        <v>0</v>
      </c>
      <c r="AI327" t="s" s="541">
        <v>14</v>
      </c>
      <c r="AJ327" s="424" cm="1">
        <f t="array" ref="AJ327">IF(AI327="N/A",0,1)</f>
        <v>0</v>
      </c>
      <c r="AK327" t="str" s="558" cm="1">
        <f t="array" ref="AK327">IF(SUM($AG$120:$AG$137)*B327&lt;SUM(AA327:AB327),"NO GO","GO")</f>
        <v>NO GO</v>
      </c>
      <c r="AL327" s="424"/>
      <c r="AM327" s="538"/>
      <c r="AN327" s="561"/>
      <c r="AO327" s="538"/>
      <c r="AP327" s="542"/>
      <c r="AQ327" s="543" cm="1">
        <f t="array" ref="AQ327">B327</f>
        <v>1</v>
      </c>
      <c r="AR327" s="18"/>
    </row>
    <row r="328" ht="16" customHeight="1">
      <c r="A328" s="12"/>
      <c r="B328" s="544" cm="1">
        <f t="array" ref="B328">IF(B327=0,0,IF(B327&lt;VLOOKUP(C324,'Boats Data Sheet 2026'!$C$3:$H$57,6,0),B327+1,0))</f>
        <v>2</v>
      </c>
      <c r="C328" s="538" cm="1">
        <f t="array" ref="C328">IF(B328&gt;0,IF(VLOOKUP(C324,'Boats Data Sheet 2026'!$C$3:$J$57,8,0)="N/A",0,VLOOKUP(C324,'Boats Data Sheet 2026'!$C$3:$J$57,8,0)),"N/A")</f>
        <v>0</v>
      </c>
      <c r="D328" s="545" cm="1">
        <f t="array" ref="D328">IF(B328&gt;7,2,IF(B328=0,"N/A",1))</f>
        <v>1</v>
      </c>
      <c r="E328" s="538" cm="1">
        <f t="array" ref="E328">_xlfn.IFERROR(SUM('Direct Costs 2026'!$C$4:$C$5)*D328,"N/A")</f>
        <v>875500</v>
      </c>
      <c r="F328" s="538" cm="1">
        <f t="array" ref="F328">_xlfn.IFERROR('Direct Costs 2026'!$C$43*B328,"N/A")</f>
        <v>12000</v>
      </c>
      <c r="G328" s="538" cm="1">
        <f t="array" ref="G328">IF(B328&gt;0,'Direct Costs 2026'!$C$25,"N/A")</f>
        <v>90000</v>
      </c>
      <c r="H328" s="538" cm="1">
        <f t="array" ref="H328">IF(B328&gt;0,'Direct Costs 2026'!$C$19+'Direct Costs 2026'!$C$18*B328,"N/A")</f>
        <v>145000</v>
      </c>
      <c r="I328" s="538" cm="1">
        <f t="array" ref="I328">IF(B328&gt;0,SUM('Direct Costs 2026'!$C$20:$C$21),"N/A")</f>
        <v>98333.3333333333</v>
      </c>
      <c r="J328" s="538">
        <v>0</v>
      </c>
      <c r="K328" s="538" cm="1">
        <f t="array" ref="K328">_xlfn.IFERROR((IF(B328&gt;0,'Direct Costs 2026'!$C$15+'Direct Costs 2026'!$C$14,"N/A")),"N/A")</f>
        <v>230000</v>
      </c>
      <c r="L328" s="538" cm="1">
        <f t="array" ref="L328">IF(B328&gt;0,'Direct Costs 2026'!$C$26,"N/A")</f>
        <v>20000</v>
      </c>
      <c r="M328" s="538" cm="1">
        <f t="array" ref="M328">IF(B328&gt;0,'Direct Costs 2026'!$C$23,"N/A")</f>
        <v>140000</v>
      </c>
      <c r="N328" s="538" cm="1">
        <f t="array" ref="N328">IF(B328&gt;0,'Direct Costs 2026'!$C$44*B328,"N/A")</f>
        <v>220000</v>
      </c>
      <c r="O328" s="538" cm="1">
        <f t="array" ref="O328">IF(B328&gt;0,_xlfn.IFERROR(VLOOKUP(C324,'Boats Data Sheet 2026'!$C$3:$I$57,7,0)*'Direct Costs 2026'!$C$36,"N/A"),"N/A")</f>
        <v>3325000</v>
      </c>
      <c r="P328" s="538" cm="1">
        <f t="array" ref="P328">IF(B328&gt;0,IF(OR(VLOOKUP(C324,'Boats Data Sheet 2026'!$C$3:$F$57,4,0)="Own",VLOOKUP(C324,'Boats Data Sheet 2026'!$C$3:$F$57,4,0)="Management"),('Direct Costs 2026'!$C$37+'Direct Costs 2026'!$C$39),"N/A"),"N/A")</f>
        <v>1112400</v>
      </c>
      <c r="Q328" s="538" cm="1">
        <f t="array" ref="Q328">_xlfn.IFERROR(IF(B328&gt;5,IF(B328&gt;11,IF(B328&gt;15,4,3),2),IF(B328=0,"N/A",1))*SUM('Direct Costs 2026'!$C$67:$C$68),"N/A")</f>
        <v>489600</v>
      </c>
      <c r="R328" s="538" cm="1">
        <f t="array" ref="R328">_xlfn.IFERROR('Direct Costs 2026'!$C$27*C328,"N/A")</f>
        <v>0</v>
      </c>
      <c r="S328" s="538" cm="1">
        <f t="array" ref="S328">_xlfn.IFERROR(C328+SUM(E328:R328),"N/A")</f>
        <v>6757833.33333333</v>
      </c>
      <c r="T328" s="424"/>
      <c r="U328" s="538" cm="1">
        <f t="array" ref="U328">IF(B328&gt;0,'Allocation OH and Target 2026'!$E$27,"N/A")</f>
        <v>2134447.30345641</v>
      </c>
      <c r="V328" s="538" cm="1">
        <f t="array" ref="V328">IF(B328&gt;0,'Allocation OH and Target 2026'!$E$28,"N/A")</f>
        <v>200042.323056976</v>
      </c>
      <c r="W328" s="538" cm="1">
        <f t="array" ref="W328">IF(B328&gt;0,VLOOKUP(C324,'Allocation OH and Target 2026'!$C$3:$T$23,17,0),"N/A")</f>
        <v>1319153.22736842</v>
      </c>
      <c r="X328" s="538" cm="1">
        <f t="array" ref="X328">IF(B328&gt;0,VLOOKUP(C324,'Allocation OH and Target 2026'!$C$3:$T$23,18,0),"N/A")</f>
        <v>126841.656477733</v>
      </c>
      <c r="Y328" s="538" cm="1">
        <f t="array" ref="Y328">_xlfn.IFERROR(B328*(V328+X328),"N/A")</f>
        <v>653767.959069418</v>
      </c>
      <c r="Z328" s="424"/>
      <c r="AA328" s="538" cm="1">
        <f t="array" ref="AA328">_xlfn.IFERROR(Y328+S328,"N/A")</f>
        <v>7411601.29240275</v>
      </c>
      <c r="AB328" s="538" cm="1">
        <f t="array" ref="AB328">_xlfn.IFERROR(AA328*0.5%,"N/A")</f>
        <v>37058.0064620138</v>
      </c>
      <c r="AC328" s="538" cm="1">
        <f t="array" ref="AC328">_xlfn.IFERROR(AA328*25%,"N/A")</f>
        <v>1852900.32310069</v>
      </c>
      <c r="AD328" s="539" cm="1">
        <f t="array" ref="AD328">IF(B328&gt;0,SUM(AA328:AC328),"N/A")</f>
        <v>9301559.621965449</v>
      </c>
      <c r="AE328" s="538" cm="1">
        <f t="array" ref="AE328">_xlfn.IFERROR(AD328/B328,"N/A")</f>
        <v>4650779.81098273</v>
      </c>
      <c r="AF328" s="424"/>
      <c r="AG328" t="str" s="546" cm="1">
        <f t="array" ref="AG328">IF(B328/VLOOKUP(C324,'Boats Data Sheet 2026'!$C$3:$H$57,6,0)&gt;VLOOKUP(C324,'Allocation OH and Target 2026'!$C$3:$J$23,8,0),IF(SUM(AH326:AH327)=0,AE328,"N/A"),"N/A")</f>
        <v>N/A</v>
      </c>
      <c r="AH328" s="424" cm="1">
        <f t="array" ref="AH328">IF(AG328="N/A",0,1)</f>
        <v>0</v>
      </c>
      <c r="AI328" t="str" s="547" cm="1">
        <f t="array" ref="AI328">IF(B328/VLOOKUP(C324,'Boats Data Sheet 2026'!$C$3:$H$57,6,0)&gt;VLOOKUP(C324,'Allocation OH and Target 2026'!$C$3:$J$23,8,0),IF(SUM(AH326:AH327)=0,S328/B328,"N/A"),"N/A")</f>
        <v>N/A</v>
      </c>
      <c r="AJ328" s="424" cm="1">
        <f t="array" ref="AJ328">IF(AI328="N/A",0,1)</f>
        <v>0</v>
      </c>
      <c r="AK328" t="str" s="527" cm="1">
        <f t="array" ref="AK328">IF(SUM($AG$120:$AG$137)*B328&lt;SUM(AA328:AB328),"NO GO","GO")</f>
        <v>NO GO</v>
      </c>
      <c r="AL328" s="424"/>
      <c r="AM328" s="568"/>
      <c r="AN328" s="538"/>
      <c r="AO328" s="538"/>
      <c r="AP328" s="542"/>
      <c r="AQ328" s="543" cm="1">
        <f t="array" ref="AQ328">B328</f>
        <v>2</v>
      </c>
      <c r="AR328" s="18"/>
    </row>
    <row r="329" ht="16" customHeight="1">
      <c r="A329" s="12"/>
      <c r="B329" s="544" cm="1">
        <f t="array" ref="B329">IF(B328=0,0,IF(B328&lt;VLOOKUP(C324,'Boats Data Sheet 2026'!$C$3:$H$57,6,0),B328+1,0))</f>
        <v>3</v>
      </c>
      <c r="C329" s="538" cm="1">
        <f t="array" ref="C329">IF(B329&gt;0,IF(VLOOKUP(C324,'Boats Data Sheet 2026'!$C$3:$J$57,8,0)="N/A",0,VLOOKUP(C324,'Boats Data Sheet 2026'!$C$3:$J$57,8,0)),"N/A")</f>
        <v>0</v>
      </c>
      <c r="D329" s="545" cm="1">
        <f t="array" ref="D329">IF(B329&gt;7,2,IF(B329=0,"N/A",1))</f>
        <v>1</v>
      </c>
      <c r="E329" s="538" cm="1">
        <f t="array" ref="E329">_xlfn.IFERROR(SUM('Direct Costs 2026'!$C$4:$C$5)*D329,"N/A")</f>
        <v>875500</v>
      </c>
      <c r="F329" s="538" cm="1">
        <f t="array" ref="F329">_xlfn.IFERROR('Direct Costs 2026'!$C$43*B329,"N/A")</f>
        <v>18000</v>
      </c>
      <c r="G329" s="538" cm="1">
        <f t="array" ref="G329">IF(B329&gt;0,'Direct Costs 2026'!$C$25,"N/A")</f>
        <v>90000</v>
      </c>
      <c r="H329" s="538" cm="1">
        <f t="array" ref="H329">IF(B329&gt;0,'Direct Costs 2026'!$C$19+'Direct Costs 2026'!$C$18*B329,"N/A")</f>
        <v>180000</v>
      </c>
      <c r="I329" s="538" cm="1">
        <f t="array" ref="I329">IF(B329&gt;0,SUM('Direct Costs 2026'!$C$20:$C$21),"N/A")</f>
        <v>98333.3333333333</v>
      </c>
      <c r="J329" s="538">
        <v>0</v>
      </c>
      <c r="K329" s="538" cm="1">
        <f t="array" ref="K329">_xlfn.IFERROR((IF(B329&gt;0,'Direct Costs 2026'!$C$15+'Direct Costs 2026'!$C$14,"N/A")),"N/A")</f>
        <v>230000</v>
      </c>
      <c r="L329" s="538" cm="1">
        <f t="array" ref="L329">IF(B329&gt;0,'Direct Costs 2026'!$C$26,"N/A")</f>
        <v>20000</v>
      </c>
      <c r="M329" s="538" cm="1">
        <f t="array" ref="M329">IF(B329&gt;0,'Direct Costs 2026'!$C$23,"N/A")</f>
        <v>140000</v>
      </c>
      <c r="N329" s="538" cm="1">
        <f t="array" ref="N329">IF(B329&gt;0,'Direct Costs 2026'!$C$44*B329,"N/A")</f>
        <v>330000</v>
      </c>
      <c r="O329" s="538" cm="1">
        <f t="array" ref="O329">IF(B329&gt;0,_xlfn.IFERROR(VLOOKUP(C324,'Boats Data Sheet 2026'!$C$3:$I$57,7,0)*'Direct Costs 2026'!$C$36,"N/A"),"N/A")</f>
        <v>3325000</v>
      </c>
      <c r="P329" s="538" cm="1">
        <f t="array" ref="P329">IF(B329&gt;0,IF(OR(VLOOKUP(C324,'Boats Data Sheet 2026'!$C$3:$F$57,4,0)="Own",VLOOKUP(C324,'Boats Data Sheet 2026'!$C$3:$F$57,4,0)="Management"),('Direct Costs 2026'!$C$37+'Direct Costs 2026'!$C$39),"N/A"),"N/A")</f>
        <v>1112400</v>
      </c>
      <c r="Q329" s="538" cm="1">
        <f t="array" ref="Q329">_xlfn.IFERROR(IF(B329&gt;5,IF(B329&gt;11,IF(B329&gt;15,4,3),2),IF(B329=0,"N/A",1))*SUM('Direct Costs 2026'!$C$67:$C$68),"N/A")</f>
        <v>489600</v>
      </c>
      <c r="R329" s="538" cm="1">
        <f t="array" ref="R329">_xlfn.IFERROR('Direct Costs 2026'!$C$27*C329,"N/A")</f>
        <v>0</v>
      </c>
      <c r="S329" s="538" cm="1">
        <f t="array" ref="S329">_xlfn.IFERROR(C329+SUM(E329:R329),"N/A")</f>
        <v>6908833.33333333</v>
      </c>
      <c r="T329" s="424"/>
      <c r="U329" s="538" cm="1">
        <f t="array" ref="U329">IF(B329&gt;0,'Allocation OH and Target 2026'!$E$27,"N/A")</f>
        <v>2134447.30345641</v>
      </c>
      <c r="V329" s="538" cm="1">
        <f t="array" ref="V329">IF(B329&gt;0,'Allocation OH and Target 2026'!$E$28,"N/A")</f>
        <v>200042.323056976</v>
      </c>
      <c r="W329" s="538" cm="1">
        <f t="array" ref="W329">IF(B329&gt;0,VLOOKUP(C324,'Allocation OH and Target 2026'!$C$3:$T$23,17,0),"N/A")</f>
        <v>1319153.22736842</v>
      </c>
      <c r="X329" s="538" cm="1">
        <f t="array" ref="X329">IF(B329&gt;0,VLOOKUP(C324,'Allocation OH and Target 2026'!$C$3:$T$23,18,0),"N/A")</f>
        <v>126841.656477733</v>
      </c>
      <c r="Y329" s="538" cm="1">
        <f t="array" ref="Y329">_xlfn.IFERROR(B329*(V329+X329),"N/A")</f>
        <v>980651.938604127</v>
      </c>
      <c r="Z329" s="424"/>
      <c r="AA329" s="538" cm="1">
        <f t="array" ref="AA329">_xlfn.IFERROR(Y329+S329,"N/A")</f>
        <v>7889485.27193746</v>
      </c>
      <c r="AB329" s="538" cm="1">
        <f t="array" ref="AB329">_xlfn.IFERROR(AA329*0.5%,"N/A")</f>
        <v>39447.4263596873</v>
      </c>
      <c r="AC329" s="538" cm="1">
        <f t="array" ref="AC329">_xlfn.IFERROR(AA329*25%,"N/A")</f>
        <v>1972371.31798437</v>
      </c>
      <c r="AD329" s="539" cm="1">
        <f t="array" ref="AD329">IF(B329&gt;0,SUM(AA329:AC329),"N/A")</f>
        <v>9901304.016281519</v>
      </c>
      <c r="AE329" s="538" cm="1">
        <f t="array" ref="AE329">_xlfn.IFERROR(AD329/B329,"N/A")</f>
        <v>3300434.67209384</v>
      </c>
      <c r="AF329" s="424"/>
      <c r="AG329" t="str" s="546" cm="1">
        <f t="array" ref="AG329">IF(B329/VLOOKUP(C324,'Boats Data Sheet 2026'!$C$3:$H$57,6,0)&gt;VLOOKUP(C324,'Allocation OH and Target 2026'!$C$3:$J$23,8,0),IF(SUM(AH326:AH328)=0,AE329,"N/A"),"N/A")</f>
        <v>N/A</v>
      </c>
      <c r="AH329" s="424" cm="1">
        <f t="array" ref="AH329">IF(AG329="N/A",0,1)</f>
        <v>0</v>
      </c>
      <c r="AI329" t="str" s="547" cm="1">
        <f t="array" ref="AI329">IF(B329/VLOOKUP(C324,'Boats Data Sheet 2026'!$C$3:$H$57,6,0)&gt;VLOOKUP(C324,'Allocation OH and Target 2026'!$C$3:$J$23,8,0),IF(SUM(AH326:AH328)=0,S329/B329,"N/A"),"N/A")</f>
        <v>N/A</v>
      </c>
      <c r="AJ329" s="424" cm="1">
        <f t="array" ref="AJ329">IF(AI329="N/A",0,1)</f>
        <v>0</v>
      </c>
      <c r="AK329" t="str" s="527" cm="1">
        <f t="array" ref="AK329">IF(SUM($AG$120:$AG$137)*B329&lt;SUM(AA329:AB329),"NO GO","GO")</f>
        <v>NO GO</v>
      </c>
      <c r="AL329" s="424"/>
      <c r="AM329" s="538"/>
      <c r="AN329" s="538"/>
      <c r="AO329" s="538"/>
      <c r="AP329" s="542"/>
      <c r="AQ329" s="543" cm="1">
        <f t="array" ref="AQ329">B329</f>
        <v>3</v>
      </c>
      <c r="AR329" s="18"/>
    </row>
    <row r="330" ht="16" customHeight="1">
      <c r="A330" s="12"/>
      <c r="B330" s="544" cm="1">
        <f t="array" ref="B330">IF(B329=0,0,IF(B329&lt;VLOOKUP(C324,'Boats Data Sheet 2026'!$C$3:$H$57,6,0),B329+1,0))</f>
        <v>4</v>
      </c>
      <c r="C330" s="538" cm="1">
        <f t="array" ref="C330">IF(B330&gt;0,IF(VLOOKUP(C324,'Boats Data Sheet 2026'!$C$3:$J$57,8,0)="N/A",0,VLOOKUP(C324,'Boats Data Sheet 2026'!$C$3:$J$57,8,0)),"N/A")</f>
        <v>0</v>
      </c>
      <c r="D330" s="545" cm="1">
        <f t="array" ref="D330">IF(B330&gt;7,2,IF(B330=0,"N/A",1))</f>
        <v>1</v>
      </c>
      <c r="E330" s="538" cm="1">
        <f t="array" ref="E330">_xlfn.IFERROR(SUM('Direct Costs 2026'!$C$4:$C$5)*D330,"N/A")</f>
        <v>875500</v>
      </c>
      <c r="F330" s="538" cm="1">
        <f t="array" ref="F330">_xlfn.IFERROR('Direct Costs 2026'!$C$43*B330,"N/A")</f>
        <v>24000</v>
      </c>
      <c r="G330" s="538" cm="1">
        <f t="array" ref="G330">IF(B330&gt;0,'Direct Costs 2026'!$C$25,"N/A")</f>
        <v>90000</v>
      </c>
      <c r="H330" s="538" cm="1">
        <f t="array" ref="H330">IF(B330&gt;0,'Direct Costs 2026'!$C$19+'Direct Costs 2026'!$C$18*B330,"N/A")</f>
        <v>215000</v>
      </c>
      <c r="I330" s="538" cm="1">
        <f t="array" ref="I330">IF(B330&gt;0,SUM('Direct Costs 2026'!$C$20:$C$21),"N/A")</f>
        <v>98333.3333333333</v>
      </c>
      <c r="J330" s="538">
        <v>0</v>
      </c>
      <c r="K330" s="538" cm="1">
        <f t="array" ref="K330">_xlfn.IFERROR((IF(B330&gt;0,'Direct Costs 2026'!$C$15+'Direct Costs 2026'!$C$14,"N/A")),"N/A")</f>
        <v>230000</v>
      </c>
      <c r="L330" s="538" cm="1">
        <f t="array" ref="L330">IF(B330&gt;0,'Direct Costs 2026'!$C$26,"N/A")</f>
        <v>20000</v>
      </c>
      <c r="M330" s="538" cm="1">
        <f t="array" ref="M330">IF(B330&gt;0,'Direct Costs 2026'!$C$23,"N/A")</f>
        <v>140000</v>
      </c>
      <c r="N330" s="538" cm="1">
        <f t="array" ref="N330">IF(B330&gt;0,'Direct Costs 2026'!$C$44*B330,"N/A")</f>
        <v>440000</v>
      </c>
      <c r="O330" s="538" cm="1">
        <f t="array" ref="O330">IF(B330&gt;0,_xlfn.IFERROR(VLOOKUP(C324,'Boats Data Sheet 2026'!$C$3:$I$57,7,0)*'Direct Costs 2026'!$C$36,"N/A"),"N/A")</f>
        <v>3325000</v>
      </c>
      <c r="P330" s="538" cm="1">
        <f t="array" ref="P330">IF(B330&gt;0,IF(OR(VLOOKUP(C324,'Boats Data Sheet 2026'!$C$3:$F$57,4,0)="Own",VLOOKUP(C324,'Boats Data Sheet 2026'!$C$3:$F$57,4,0)="Management"),('Direct Costs 2026'!$C$37+'Direct Costs 2026'!$C$39),"N/A"),"N/A")</f>
        <v>1112400</v>
      </c>
      <c r="Q330" s="538" cm="1">
        <f t="array" ref="Q330">_xlfn.IFERROR(IF(B330&gt;5,IF(B330&gt;11,IF(B330&gt;15,4,3),2),IF(B330=0,"N/A",1))*SUM('Direct Costs 2026'!$C$67:$C$68),"N/A")</f>
        <v>489600</v>
      </c>
      <c r="R330" s="538" cm="1">
        <f t="array" ref="R330">_xlfn.IFERROR('Direct Costs 2026'!$C$27*C330,"N/A")</f>
        <v>0</v>
      </c>
      <c r="S330" s="538" cm="1">
        <f t="array" ref="S330">_xlfn.IFERROR(C330+SUM(E330:R330),"N/A")</f>
        <v>7059833.33333333</v>
      </c>
      <c r="T330" s="424"/>
      <c r="U330" s="538" cm="1">
        <f t="array" ref="U330">IF(B330&gt;0,'Allocation OH and Target 2026'!$E$27,"N/A")</f>
        <v>2134447.30345641</v>
      </c>
      <c r="V330" s="538" cm="1">
        <f t="array" ref="V330">IF(B330&gt;0,'Allocation OH and Target 2026'!$E$28,"N/A")</f>
        <v>200042.323056976</v>
      </c>
      <c r="W330" s="538" cm="1">
        <f t="array" ref="W330">IF(B330&gt;0,VLOOKUP(C324,'Allocation OH and Target 2026'!$C$3:$T$23,17,0),"N/A")</f>
        <v>1319153.22736842</v>
      </c>
      <c r="X330" s="538" cm="1">
        <f t="array" ref="X330">IF(B330&gt;0,VLOOKUP(C324,'Allocation OH and Target 2026'!$C$3:$T$23,18,0),"N/A")</f>
        <v>126841.656477733</v>
      </c>
      <c r="Y330" s="538" cm="1">
        <f t="array" ref="Y330">_xlfn.IFERROR(B330*(V330+X330),"N/A")</f>
        <v>1307535.91813884</v>
      </c>
      <c r="Z330" s="424"/>
      <c r="AA330" s="538" cm="1">
        <f t="array" ref="AA330">_xlfn.IFERROR(Y330+S330,"N/A")</f>
        <v>8367369.25147217</v>
      </c>
      <c r="AB330" s="538" cm="1">
        <f t="array" ref="AB330">_xlfn.IFERROR(AA330*0.5%,"N/A")</f>
        <v>41836.8462573609</v>
      </c>
      <c r="AC330" s="538" cm="1">
        <f t="array" ref="AC330">_xlfn.IFERROR(AA330*25%,"N/A")</f>
        <v>2091842.31286804</v>
      </c>
      <c r="AD330" s="539" cm="1">
        <f t="array" ref="AD330">IF(B330&gt;0,SUM(AA330:AC330),"N/A")</f>
        <v>10501048.4105976</v>
      </c>
      <c r="AE330" s="538" cm="1">
        <f t="array" ref="AE330">_xlfn.IFERROR(AD330/B330,"N/A")</f>
        <v>2625262.1026494</v>
      </c>
      <c r="AF330" s="424"/>
      <c r="AG330" t="str" s="546" cm="1">
        <f t="array" ref="AG330">IF(B330/VLOOKUP(C324,'Boats Data Sheet 2026'!$C$3:$H$57,6,0)&gt;VLOOKUP(C324,'Allocation OH and Target 2026'!$C$3:$J$23,8,0),IF(SUM(AH326:AH329)=0,AE330,"N/A"),"N/A")</f>
        <v>N/A</v>
      </c>
      <c r="AH330" s="424" cm="1">
        <f t="array" ref="AH330">IF(AG330="N/A",0,1)</f>
        <v>0</v>
      </c>
      <c r="AI330" t="str" s="547" cm="1">
        <f t="array" ref="AI330">IF(B330/VLOOKUP(C324,'Boats Data Sheet 2026'!$C$3:$H$57,6,0)&gt;VLOOKUP(C324,'Allocation OH and Target 2026'!$C$3:$J$23,8,0),IF(SUM(AH326:AH329)=0,S330/B330,"N/A"),"N/A")</f>
        <v>N/A</v>
      </c>
      <c r="AJ330" s="424" cm="1">
        <f t="array" ref="AJ330">IF(AI330="N/A",0,1)</f>
        <v>0</v>
      </c>
      <c r="AK330" t="str" s="527" cm="1">
        <f t="array" ref="AK330">IF(SUM($AG$120:$AG$137)*B330&lt;SUM(AA330:AB330),"NO GO","GO")</f>
        <v>NO GO</v>
      </c>
      <c r="AL330" s="424"/>
      <c r="AM330" s="568"/>
      <c r="AN330" s="538"/>
      <c r="AO330" s="538"/>
      <c r="AP330" s="542"/>
      <c r="AQ330" s="543" cm="1">
        <f t="array" ref="AQ330">B330</f>
        <v>4</v>
      </c>
      <c r="AR330" s="18"/>
    </row>
    <row r="331" ht="16" customHeight="1">
      <c r="A331" s="12"/>
      <c r="B331" s="544" cm="1">
        <f t="array" ref="B331">IF(B330=0,0,IF(B330&lt;VLOOKUP(C324,'Boats Data Sheet 2026'!$C$3:$H$57,6,0),B330+1,0))</f>
        <v>5</v>
      </c>
      <c r="C331" s="538" cm="1">
        <f t="array" ref="C331">IF(B331&gt;0,IF(VLOOKUP(C324,'Boats Data Sheet 2026'!$C$3:$J$57,8,0)="N/A",0,VLOOKUP(C324,'Boats Data Sheet 2026'!$C$3:$J$57,8,0)),"N/A")</f>
        <v>0</v>
      </c>
      <c r="D331" s="545" cm="1">
        <f t="array" ref="D331">IF(B331&gt;7,2,IF(B331=0,"N/A",1))</f>
        <v>1</v>
      </c>
      <c r="E331" s="538" cm="1">
        <f t="array" ref="E331">_xlfn.IFERROR(SUM('Direct Costs 2026'!$C$4:$C$5)*D331,"N/A")</f>
        <v>875500</v>
      </c>
      <c r="F331" s="538" cm="1">
        <f t="array" ref="F331">_xlfn.IFERROR('Direct Costs 2026'!$C$43*B331,"N/A")</f>
        <v>30000</v>
      </c>
      <c r="G331" s="538" cm="1">
        <f t="array" ref="G331">IF(B331&gt;0,'Direct Costs 2026'!$C$25,"N/A")</f>
        <v>90000</v>
      </c>
      <c r="H331" s="538" cm="1">
        <f t="array" ref="H331">IF(B331&gt;0,'Direct Costs 2026'!$C$19+'Direct Costs 2026'!$C$18*B331,"N/A")</f>
        <v>250000</v>
      </c>
      <c r="I331" s="538" cm="1">
        <f t="array" ref="I331">IF(B331&gt;0,SUM('Direct Costs 2026'!$C$20:$C$21),"N/A")</f>
        <v>98333.3333333333</v>
      </c>
      <c r="J331" s="538">
        <v>0</v>
      </c>
      <c r="K331" s="538" cm="1">
        <f t="array" ref="K331">_xlfn.IFERROR((IF(B331&gt;0,'Direct Costs 2026'!$C$15+'Direct Costs 2026'!$C$14,"N/A")),"N/A")</f>
        <v>230000</v>
      </c>
      <c r="L331" s="538" cm="1">
        <f t="array" ref="L331">IF(B331&gt;0,'Direct Costs 2026'!$C$26,"N/A")</f>
        <v>20000</v>
      </c>
      <c r="M331" s="538" cm="1">
        <f t="array" ref="M331">IF(B331&gt;0,'Direct Costs 2026'!$C$23,"N/A")</f>
        <v>140000</v>
      </c>
      <c r="N331" s="538" cm="1">
        <f t="array" ref="N331">IF(B331&gt;0,'Direct Costs 2026'!$C$44*B331,"N/A")</f>
        <v>550000</v>
      </c>
      <c r="O331" s="538" cm="1">
        <f t="array" ref="O331">IF(B331&gt;0,_xlfn.IFERROR(VLOOKUP(C324,'Boats Data Sheet 2026'!$C$3:$I$57,7,0)*'Direct Costs 2026'!$C$36,"N/A"),"N/A")</f>
        <v>3325000</v>
      </c>
      <c r="P331" s="538" cm="1">
        <f t="array" ref="P331">IF(B331&gt;0,IF(OR(VLOOKUP(C324,'Boats Data Sheet 2026'!$C$3:$F$57,4,0)="Own",VLOOKUP(C324,'Boats Data Sheet 2026'!$C$3:$F$57,4,0)="Management"),('Direct Costs 2026'!$C$37+'Direct Costs 2026'!$C$39),"N/A"),"N/A")</f>
        <v>1112400</v>
      </c>
      <c r="Q331" s="538" cm="1">
        <f t="array" ref="Q331">_xlfn.IFERROR(IF(B331&gt;5,IF(B331&gt;11,IF(B331&gt;15,4,3),2),IF(B331=0,"N/A",1))*SUM('Direct Costs 2026'!$C$67:$C$68),"N/A")</f>
        <v>489600</v>
      </c>
      <c r="R331" s="538" cm="1">
        <f t="array" ref="R331">_xlfn.IFERROR('Direct Costs 2026'!$C$27*C331,"N/A")</f>
        <v>0</v>
      </c>
      <c r="S331" s="538" cm="1">
        <f t="array" ref="S331">_xlfn.IFERROR(C331+SUM(E331:R331),"N/A")</f>
        <v>7210833.33333333</v>
      </c>
      <c r="T331" s="424"/>
      <c r="U331" s="538" cm="1">
        <f t="array" ref="U331">IF(B331&gt;0,'Allocation OH and Target 2026'!$E$27,"N/A")</f>
        <v>2134447.30345641</v>
      </c>
      <c r="V331" s="538" cm="1">
        <f t="array" ref="V331">IF(B331&gt;0,'Allocation OH and Target 2026'!$E$28,"N/A")</f>
        <v>200042.323056976</v>
      </c>
      <c r="W331" s="538" cm="1">
        <f t="array" ref="W331">IF(B331&gt;0,VLOOKUP(C324,'Allocation OH and Target 2026'!$C$3:$T$23,17,0),"N/A")</f>
        <v>1319153.22736842</v>
      </c>
      <c r="X331" s="538" cm="1">
        <f t="array" ref="X331">IF(B331&gt;0,VLOOKUP(C324,'Allocation OH and Target 2026'!$C$3:$T$23,18,0),"N/A")</f>
        <v>126841.656477733</v>
      </c>
      <c r="Y331" s="538" cm="1">
        <f t="array" ref="Y331">_xlfn.IFERROR(B331*(V331+X331),"N/A")</f>
        <v>1634419.89767355</v>
      </c>
      <c r="Z331" s="424"/>
      <c r="AA331" s="538" cm="1">
        <f t="array" ref="AA331">_xlfn.IFERROR(Y331+S331,"N/A")</f>
        <v>8845253.231006879</v>
      </c>
      <c r="AB331" s="538" cm="1">
        <f t="array" ref="AB331">_xlfn.IFERROR(AA331*0.5%,"N/A")</f>
        <v>44226.2661550344</v>
      </c>
      <c r="AC331" s="538" cm="1">
        <f t="array" ref="AC331">_xlfn.IFERROR(AA331*25%,"N/A")</f>
        <v>2211313.30775172</v>
      </c>
      <c r="AD331" s="539" cm="1">
        <f t="array" ref="AD331">IF(B331&gt;0,SUM(AA331:AC331),"N/A")</f>
        <v>11100792.8049136</v>
      </c>
      <c r="AE331" s="538" cm="1">
        <f t="array" ref="AE331">_xlfn.IFERROR(AD331/B331,"N/A")</f>
        <v>2220158.56098272</v>
      </c>
      <c r="AF331" s="424"/>
      <c r="AG331" t="str" s="546" cm="1">
        <f t="array" ref="AG331">IF(B331/VLOOKUP(C324,'Boats Data Sheet 2026'!$C$3:$H$57,6,0)&gt;VLOOKUP(C324,'Allocation OH and Target 2026'!$C$3:$J$23,8,0),IF(SUM(AH326:AH330)=0,AE331,"N/A"),"N/A")</f>
        <v>N/A</v>
      </c>
      <c r="AH331" s="424" cm="1">
        <f t="array" ref="AH331">IF(AG331="N/A",0,1)</f>
        <v>0</v>
      </c>
      <c r="AI331" t="str" s="547" cm="1">
        <f t="array" ref="AI331">IF(B331/VLOOKUP(C324,'Boats Data Sheet 2026'!$C$3:$H$57,6,0)&gt;VLOOKUP(C324,'Allocation OH and Target 2026'!$C$3:$J$23,8,0),IF(SUM(AH326:AH330)=0,S331/B331,"N/A"),"N/A")</f>
        <v>N/A</v>
      </c>
      <c r="AJ331" s="424" cm="1">
        <f t="array" ref="AJ331">IF(AI331="N/A",0,1)</f>
        <v>0</v>
      </c>
      <c r="AK331" t="str" s="527" cm="1">
        <f t="array" ref="AK331">IF(SUM($AG$120:$AG$137)*B331&lt;SUM(AA331:AB331),"NO GO","GO")</f>
        <v>NO GO</v>
      </c>
      <c r="AL331" s="424"/>
      <c r="AM331" s="568"/>
      <c r="AN331" s="538"/>
      <c r="AO331" s="538"/>
      <c r="AP331" s="542"/>
      <c r="AQ331" s="543" cm="1">
        <f t="array" ref="AQ331">B331</f>
        <v>5</v>
      </c>
      <c r="AR331" s="18"/>
    </row>
    <row r="332" ht="16" customHeight="1">
      <c r="A332" s="12"/>
      <c r="B332" s="544" cm="1">
        <f t="array" ref="B332">IF(B331=0,0,IF(B331&lt;VLOOKUP(C324,'Boats Data Sheet 2026'!$C$3:$H$57,6,0),B331+1,0))</f>
        <v>6</v>
      </c>
      <c r="C332" s="538" cm="1">
        <f t="array" ref="C332">IF(B332&gt;0,IF(VLOOKUP(C324,'Boats Data Sheet 2026'!$C$3:$J$57,8,0)="N/A",0,VLOOKUP(C324,'Boats Data Sheet 2026'!$C$3:$J$57,8,0)),"N/A")</f>
        <v>0</v>
      </c>
      <c r="D332" s="545" cm="1">
        <f t="array" ref="D332">IF(B332&gt;7,2,IF(B332=0,"N/A",1))</f>
        <v>1</v>
      </c>
      <c r="E332" s="538" cm="1">
        <f t="array" ref="E332">_xlfn.IFERROR(SUM('Direct Costs 2026'!$C$4:$C$5)*D332,"N/A")</f>
        <v>875500</v>
      </c>
      <c r="F332" s="538" cm="1">
        <f t="array" ref="F332">_xlfn.IFERROR('Direct Costs 2026'!$C$43*B332,"N/A")</f>
        <v>36000</v>
      </c>
      <c r="G332" s="538" cm="1">
        <f t="array" ref="G332">IF(B332&gt;0,'Direct Costs 2026'!$C$25,"N/A")</f>
        <v>90000</v>
      </c>
      <c r="H332" s="538" cm="1">
        <f t="array" ref="H332">IF(B332&gt;0,'Direct Costs 2026'!$C$19+'Direct Costs 2026'!$C$18*B332,"N/A")</f>
        <v>285000</v>
      </c>
      <c r="I332" s="538" cm="1">
        <f t="array" ref="I332">IF(B332&gt;0,SUM('Direct Costs 2026'!$C$20:$C$21),"N/A")</f>
        <v>98333.3333333333</v>
      </c>
      <c r="J332" s="538">
        <v>0</v>
      </c>
      <c r="K332" s="538" cm="1">
        <f t="array" ref="K332">_xlfn.IFERROR((IF(B332&gt;0,'Direct Costs 2026'!$C$15+'Direct Costs 2026'!$C$14,"N/A")),"N/A")</f>
        <v>230000</v>
      </c>
      <c r="L332" s="538" cm="1">
        <f t="array" ref="L332">IF(B332&gt;0,'Direct Costs 2026'!$C$26,"N/A")</f>
        <v>20000</v>
      </c>
      <c r="M332" s="538" cm="1">
        <f t="array" ref="M332">IF(B332&gt;0,'Direct Costs 2026'!$C$23,"N/A")</f>
        <v>140000</v>
      </c>
      <c r="N332" s="538" cm="1">
        <f t="array" ref="N332">IF(B332&gt;0,'Direct Costs 2026'!$C$44*B332,"N/A")</f>
        <v>660000</v>
      </c>
      <c r="O332" s="538" cm="1">
        <f t="array" ref="O332">IF(B332&gt;0,_xlfn.IFERROR(VLOOKUP(C324,'Boats Data Sheet 2026'!$C$3:$I$57,7,0)*'Direct Costs 2026'!$C$36,"N/A"),"N/A")</f>
        <v>3325000</v>
      </c>
      <c r="P332" s="538" cm="1">
        <f t="array" ref="P332">IF(B332&gt;0,IF(OR(VLOOKUP(C324,'Boats Data Sheet 2026'!$C$3:$F$57,4,0)="Own",VLOOKUP(C324,'Boats Data Sheet 2026'!$C$3:$F$57,4,0)="Management"),('Direct Costs 2026'!$C$37+'Direct Costs 2026'!$C$39),"N/A"),"N/A")</f>
        <v>1112400</v>
      </c>
      <c r="Q332" s="538" cm="1">
        <f t="array" ref="Q332">_xlfn.IFERROR(IF(B332&gt;5,IF(B332&gt;11,IF(B332&gt;15,4,3),2),IF(B332=0,"N/A",1))*SUM('Direct Costs 2026'!$C$67:$C$68),"N/A")</f>
        <v>979200</v>
      </c>
      <c r="R332" s="538" cm="1">
        <f t="array" ref="R332">_xlfn.IFERROR('Direct Costs 2026'!$C$27*C332,"N/A")</f>
        <v>0</v>
      </c>
      <c r="S332" s="538" cm="1">
        <f t="array" ref="S332">_xlfn.IFERROR(C332+SUM(E332:R332),"N/A")</f>
        <v>7851433.33333333</v>
      </c>
      <c r="T332" s="424"/>
      <c r="U332" s="538" cm="1">
        <f t="array" ref="U332">IF(B332&gt;0,'Allocation OH and Target 2026'!$E$27,"N/A")</f>
        <v>2134447.30345641</v>
      </c>
      <c r="V332" s="538" cm="1">
        <f t="array" ref="V332">IF(B332&gt;0,'Allocation OH and Target 2026'!$E$28,"N/A")</f>
        <v>200042.323056976</v>
      </c>
      <c r="W332" s="538" cm="1">
        <f t="array" ref="W332">IF(B332&gt;0,VLOOKUP(C324,'Allocation OH and Target 2026'!$C$3:$T$23,17,0),"N/A")</f>
        <v>1319153.22736842</v>
      </c>
      <c r="X332" s="538" cm="1">
        <f t="array" ref="X332">IF(B332&gt;0,VLOOKUP(C324,'Allocation OH and Target 2026'!$C$3:$T$23,18,0),"N/A")</f>
        <v>126841.656477733</v>
      </c>
      <c r="Y332" s="538" cm="1">
        <f t="array" ref="Y332">_xlfn.IFERROR(B332*(V332+X332),"N/A")</f>
        <v>1961303.87720825</v>
      </c>
      <c r="Z332" s="424"/>
      <c r="AA332" s="538" cm="1">
        <f t="array" ref="AA332">_xlfn.IFERROR(Y332+S332,"N/A")</f>
        <v>9812737.21054158</v>
      </c>
      <c r="AB332" s="538" cm="1">
        <f t="array" ref="AB332">_xlfn.IFERROR(AA332*0.5%,"N/A")</f>
        <v>49063.6860527079</v>
      </c>
      <c r="AC332" s="538" cm="1">
        <f t="array" ref="AC332">_xlfn.IFERROR(AA332*25%,"N/A")</f>
        <v>2453184.3026354</v>
      </c>
      <c r="AD332" s="539" cm="1">
        <f t="array" ref="AD332">IF(B332&gt;0,SUM(AA332:AC332),"N/A")</f>
        <v>12314985.1992297</v>
      </c>
      <c r="AE332" s="538" cm="1">
        <f t="array" ref="AE332">_xlfn.IFERROR(AD332/B332,"N/A")</f>
        <v>2052497.53320495</v>
      </c>
      <c r="AF332" s="424"/>
      <c r="AG332" t="str" s="546" cm="1">
        <f t="array" ref="AG332">IF(B332/VLOOKUP(C324,'Boats Data Sheet 2026'!$C$3:$H$57,6,0)&gt;VLOOKUP(C324,'Allocation OH and Target 2026'!$C$3:$J$23,8,0),IF(SUM(AH326:AH331)=0,AE332,"N/A"),"N/A")</f>
        <v>N/A</v>
      </c>
      <c r="AH332" s="424" cm="1">
        <f t="array" ref="AH332">IF(AG332="N/A",0,1)</f>
        <v>0</v>
      </c>
      <c r="AI332" t="str" s="547" cm="1">
        <f t="array" ref="AI332">IF(B332/VLOOKUP(C324,'Boats Data Sheet 2026'!$C$3:$H$57,6,0)&gt;VLOOKUP(C324,'Allocation OH and Target 2026'!$C$3:$J$23,8,0),IF(SUM(AH326:AH331)=0,S332/B332,"N/A"),"N/A")</f>
        <v>N/A</v>
      </c>
      <c r="AJ332" s="424" cm="1">
        <f t="array" ref="AJ332">IF(AI332="N/A",0,1)</f>
        <v>0</v>
      </c>
      <c r="AK332" t="str" s="527" cm="1">
        <f t="array" ref="AK332">IF(SUM($AG$120:$AG$137)*B332&lt;SUM(AA332:AB332),"NO GO","GO")</f>
        <v>NO GO</v>
      </c>
      <c r="AL332" s="424"/>
      <c r="AM332" s="568"/>
      <c r="AN332" s="538"/>
      <c r="AO332" s="538"/>
      <c r="AP332" s="542"/>
      <c r="AQ332" s="543" cm="1">
        <f t="array" ref="AQ332">B332</f>
        <v>6</v>
      </c>
      <c r="AR332" s="18"/>
    </row>
    <row r="333" ht="16" customHeight="1">
      <c r="A333" s="12"/>
      <c r="B333" s="544" cm="1">
        <f t="array" ref="B333">IF(B332=0,0,IF(B332&lt;VLOOKUP(C324,'Boats Data Sheet 2026'!$C$3:$H$57,6,0),B332+1,0))</f>
        <v>7</v>
      </c>
      <c r="C333" s="538" cm="1">
        <f t="array" ref="C333">IF(B333&gt;0,IF(VLOOKUP(C324,'Boats Data Sheet 2026'!$C$3:$J$57,8,0)="N/A",0,VLOOKUP(C324,'Boats Data Sheet 2026'!$C$3:$J$57,8,0)),"N/A")</f>
        <v>0</v>
      </c>
      <c r="D333" s="545" cm="1">
        <f t="array" ref="D333">IF(B333&gt;7,2,IF(B333=0,"N/A",1))</f>
        <v>1</v>
      </c>
      <c r="E333" s="538" cm="1">
        <f t="array" ref="E333">_xlfn.IFERROR(SUM('Direct Costs 2026'!$C$4:$C$5)*D333,"N/A")</f>
        <v>875500</v>
      </c>
      <c r="F333" s="538" cm="1">
        <f t="array" ref="F333">_xlfn.IFERROR('Direct Costs 2026'!$C$43*B333,"N/A")</f>
        <v>42000</v>
      </c>
      <c r="G333" s="538" cm="1">
        <f t="array" ref="G333">IF(B333&gt;0,'Direct Costs 2026'!$C$25,"N/A")</f>
        <v>90000</v>
      </c>
      <c r="H333" s="538" cm="1">
        <f t="array" ref="H333">IF(B333&gt;0,'Direct Costs 2026'!$C$19+'Direct Costs 2026'!$C$18*B333,"N/A")</f>
        <v>320000</v>
      </c>
      <c r="I333" s="538" cm="1">
        <f t="array" ref="I333">IF(B333&gt;0,SUM('Direct Costs 2026'!$C$20:$C$21),"N/A")</f>
        <v>98333.3333333333</v>
      </c>
      <c r="J333" s="538">
        <v>0</v>
      </c>
      <c r="K333" s="538" cm="1">
        <f t="array" ref="K333">_xlfn.IFERROR((IF(B333&gt;0,'Direct Costs 2026'!$C$15+'Direct Costs 2026'!$C$14,"N/A")),"N/A")</f>
        <v>230000</v>
      </c>
      <c r="L333" s="538" cm="1">
        <f t="array" ref="L333">IF(B333&gt;0,'Direct Costs 2026'!$C$26,"N/A")</f>
        <v>20000</v>
      </c>
      <c r="M333" s="538" cm="1">
        <f t="array" ref="M333">IF(B333&gt;0,'Direct Costs 2026'!$C$23,"N/A")</f>
        <v>140000</v>
      </c>
      <c r="N333" s="538" cm="1">
        <f t="array" ref="N333">IF(B333&gt;0,'Direct Costs 2026'!$C$44*B333,"N/A")</f>
        <v>770000</v>
      </c>
      <c r="O333" s="538" cm="1">
        <f t="array" ref="O333">IF(B333&gt;0,_xlfn.IFERROR(VLOOKUP(C324,'Boats Data Sheet 2026'!$C$3:$I$57,7,0)*'Direct Costs 2026'!$C$36,"N/A"),"N/A")</f>
        <v>3325000</v>
      </c>
      <c r="P333" s="538" cm="1">
        <f t="array" ref="P333">IF(B333&gt;0,IF(OR(VLOOKUP(C324,'Boats Data Sheet 2026'!$C$3:$F$57,4,0)="Own",VLOOKUP(C324,'Boats Data Sheet 2026'!$C$3:$F$57,4,0)="Management"),('Direct Costs 2026'!$C$37+'Direct Costs 2026'!$C$39),"N/A"),"N/A")</f>
        <v>1112400</v>
      </c>
      <c r="Q333" s="538" cm="1">
        <f t="array" ref="Q333">_xlfn.IFERROR(IF(B333&gt;5,IF(B333&gt;11,IF(B333&gt;15,4,3),2),IF(B333=0,"N/A",1))*SUM('Direct Costs 2026'!$C$67:$C$68),"N/A")</f>
        <v>979200</v>
      </c>
      <c r="R333" s="538" cm="1">
        <f t="array" ref="R333">_xlfn.IFERROR('Direct Costs 2026'!$C$27*C333,"N/A")</f>
        <v>0</v>
      </c>
      <c r="S333" s="538" cm="1">
        <f t="array" ref="S333">_xlfn.IFERROR(C333+SUM(E333:R333),"N/A")</f>
        <v>8002433.33333333</v>
      </c>
      <c r="T333" s="424"/>
      <c r="U333" s="538" cm="1">
        <f t="array" ref="U333">IF(B333&gt;0,'Allocation OH and Target 2026'!$E$27,"N/A")</f>
        <v>2134447.30345641</v>
      </c>
      <c r="V333" s="538" cm="1">
        <f t="array" ref="V333">IF(B333&gt;0,'Allocation OH and Target 2026'!$E$28,"N/A")</f>
        <v>200042.323056976</v>
      </c>
      <c r="W333" s="538" cm="1">
        <f t="array" ref="W333">IF(B333&gt;0,VLOOKUP(C324,'Allocation OH and Target 2026'!$C$3:$T$23,17,0),"N/A")</f>
        <v>1319153.22736842</v>
      </c>
      <c r="X333" s="538" cm="1">
        <f t="array" ref="X333">IF(B333&gt;0,VLOOKUP(C324,'Allocation OH and Target 2026'!$C$3:$T$23,18,0),"N/A")</f>
        <v>126841.656477733</v>
      </c>
      <c r="Y333" s="538" cm="1">
        <f t="array" ref="Y333">_xlfn.IFERROR(B333*(V333+X333),"N/A")</f>
        <v>2288187.85674296</v>
      </c>
      <c r="Z333" s="424"/>
      <c r="AA333" s="538" cm="1">
        <f t="array" ref="AA333">_xlfn.IFERROR(Y333+S333,"N/A")</f>
        <v>10290621.1900763</v>
      </c>
      <c r="AB333" s="538" cm="1">
        <f t="array" ref="AB333">_xlfn.IFERROR(AA333*0.5%,"N/A")</f>
        <v>51453.1059503815</v>
      </c>
      <c r="AC333" s="538" cm="1">
        <f t="array" ref="AC333">_xlfn.IFERROR(AA333*25%,"N/A")</f>
        <v>2572655.29751908</v>
      </c>
      <c r="AD333" s="539" cm="1">
        <f t="array" ref="AD333">IF(B333&gt;0,SUM(AA333:AC333),"N/A")</f>
        <v>12914729.5935458</v>
      </c>
      <c r="AE333" s="538" cm="1">
        <f t="array" ref="AE333">_xlfn.IFERROR(AD333/B333,"N/A")</f>
        <v>1844961.37050654</v>
      </c>
      <c r="AF333" s="424"/>
      <c r="AG333" t="str" s="546" cm="1">
        <f t="array" ref="AG333">IF(B333/VLOOKUP(C324,'Boats Data Sheet 2026'!$C$3:$H$57,6,0)&gt;VLOOKUP(C324,'Allocation OH and Target 2026'!$C$3:$J$23,8,0),IF(SUM(AH326:AH332)=0,AE333,"N/A"),"N/A")</f>
        <v>N/A</v>
      </c>
      <c r="AH333" s="424" cm="1">
        <f t="array" ref="AH333">IF(AG333="N/A",0,1)</f>
        <v>0</v>
      </c>
      <c r="AI333" t="str" s="547" cm="1">
        <f t="array" ref="AI333">IF(B333/VLOOKUP(C324,'Boats Data Sheet 2026'!$C$3:$H$57,6,0)&gt;VLOOKUP(C324,'Allocation OH and Target 2026'!$C$3:$J$23,8,0),IF(SUM(AH326:AH332)=0,S333/B333,"N/A"),"N/A")</f>
        <v>N/A</v>
      </c>
      <c r="AJ333" s="424" cm="1">
        <f t="array" ref="AJ333">IF(AI333="N/A",0,1)</f>
        <v>0</v>
      </c>
      <c r="AK333" t="str" s="527" cm="1">
        <f t="array" ref="AK333">IF(SUM($AG$120:$AG$137)*B333&lt;SUM(AA333:AB333),"NO GO","GO")</f>
        <v>NO GO</v>
      </c>
      <c r="AL333" s="424"/>
      <c r="AM333" s="568"/>
      <c r="AN333" s="538"/>
      <c r="AO333" s="538"/>
      <c r="AP333" s="542"/>
      <c r="AQ333" s="543" cm="1">
        <f t="array" ref="AQ333">B333</f>
        <v>7</v>
      </c>
      <c r="AR333" s="18"/>
    </row>
    <row r="334" ht="16" customHeight="1">
      <c r="A334" s="12"/>
      <c r="B334" s="544" cm="1">
        <f t="array" ref="B334">IF(B333=0,0,IF(B333&lt;VLOOKUP(C324,'Boats Data Sheet 2026'!$C$3:$H$57,6,0),B333+1,0))</f>
        <v>8</v>
      </c>
      <c r="C334" s="538" cm="1">
        <f t="array" ref="C334">IF(B334&gt;0,IF(VLOOKUP(C324,'Boats Data Sheet 2026'!$C$3:$J$57,8,0)="N/A",0,VLOOKUP(C324,'Boats Data Sheet 2026'!$C$3:$J$57,8,0)),"N/A")</f>
        <v>0</v>
      </c>
      <c r="D334" s="545" cm="1">
        <f t="array" ref="D334">IF(B334&gt;7,2,IF(B334=0,"N/A",1))</f>
        <v>2</v>
      </c>
      <c r="E334" s="538" cm="1">
        <f t="array" ref="E334">_xlfn.IFERROR(SUM('Direct Costs 2026'!$C$4:$C$5)*D334,"N/A")</f>
        <v>1751000</v>
      </c>
      <c r="F334" s="538" cm="1">
        <f t="array" ref="F334">_xlfn.IFERROR('Direct Costs 2026'!$C$43*B334,"N/A")</f>
        <v>48000</v>
      </c>
      <c r="G334" s="538" cm="1">
        <f t="array" ref="G334">IF(B334&gt;0,'Direct Costs 2026'!$C$25,"N/A")</f>
        <v>90000</v>
      </c>
      <c r="H334" s="538" cm="1">
        <f t="array" ref="H334">IF(B334&gt;0,'Direct Costs 2026'!$C$19+'Direct Costs 2026'!$C$18*B334,"N/A")</f>
        <v>355000</v>
      </c>
      <c r="I334" s="538" cm="1">
        <f t="array" ref="I334">IF(B334&gt;0,SUM('Direct Costs 2026'!$C$20:$C$21),"N/A")</f>
        <v>98333.3333333333</v>
      </c>
      <c r="J334" s="538">
        <v>0</v>
      </c>
      <c r="K334" s="538" cm="1">
        <f t="array" ref="K334">_xlfn.IFERROR((IF(B334&gt;0,'Direct Costs 2026'!$C$15+'Direct Costs 2026'!$C$14,"N/A")),"N/A")</f>
        <v>230000</v>
      </c>
      <c r="L334" s="538" cm="1">
        <f t="array" ref="L334">IF(B334&gt;0,'Direct Costs 2026'!$C$26,"N/A")</f>
        <v>20000</v>
      </c>
      <c r="M334" s="538" cm="1">
        <f t="array" ref="M334">IF(B334&gt;0,'Direct Costs 2026'!$C$23,"N/A")</f>
        <v>140000</v>
      </c>
      <c r="N334" s="538" cm="1">
        <f t="array" ref="N334">IF(B334&gt;0,'Direct Costs 2026'!$C$44*B334,"N/A")</f>
        <v>880000</v>
      </c>
      <c r="O334" s="538" cm="1">
        <f t="array" ref="O334">IF(B334&gt;0,_xlfn.IFERROR(VLOOKUP(C324,'Boats Data Sheet 2026'!$C$3:$I$57,7,0)*'Direct Costs 2026'!$C$36,"N/A"),"N/A")</f>
        <v>3325000</v>
      </c>
      <c r="P334" s="538" cm="1">
        <f t="array" ref="P334">IF(B334&gt;0,IF(OR(VLOOKUP(C324,'Boats Data Sheet 2026'!$C$3:$F$57,4,0)="Own",VLOOKUP(C324,'Boats Data Sheet 2026'!$C$3:$F$57,4,0)="Management"),('Direct Costs 2026'!$C$37+'Direct Costs 2026'!$C$39),"N/A"),"N/A")</f>
        <v>1112400</v>
      </c>
      <c r="Q334" s="538" cm="1">
        <f t="array" ref="Q334">_xlfn.IFERROR(IF(B334&gt;5,IF(B334&gt;11,IF(B334&gt;15,4,3),2),IF(B334=0,"N/A",1))*SUM('Direct Costs 2026'!$C$67:$C$68),"N/A")</f>
        <v>979200</v>
      </c>
      <c r="R334" s="538" cm="1">
        <f t="array" ref="R334">_xlfn.IFERROR('Direct Costs 2026'!$C$27*C334,"N/A")</f>
        <v>0</v>
      </c>
      <c r="S334" s="538" cm="1">
        <f t="array" ref="S334">_xlfn.IFERROR(C334+SUM(E334:R334),"N/A")</f>
        <v>9028933.33333333</v>
      </c>
      <c r="T334" s="424"/>
      <c r="U334" s="538" cm="1">
        <f t="array" ref="U334">IF(B334&gt;0,'Allocation OH and Target 2026'!$E$27,"N/A")</f>
        <v>2134447.30345641</v>
      </c>
      <c r="V334" s="538" cm="1">
        <f t="array" ref="V334">IF(B334&gt;0,'Allocation OH and Target 2026'!$E$28,"N/A")</f>
        <v>200042.323056976</v>
      </c>
      <c r="W334" s="538" cm="1">
        <f t="array" ref="W334">IF(B334&gt;0,VLOOKUP(C324,'Allocation OH and Target 2026'!$C$3:$T$23,17,0),"N/A")</f>
        <v>1319153.22736842</v>
      </c>
      <c r="X334" s="538" cm="1">
        <f t="array" ref="X334">IF(B334&gt;0,VLOOKUP(C324,'Allocation OH and Target 2026'!$C$3:$T$23,18,0),"N/A")</f>
        <v>126841.656477733</v>
      </c>
      <c r="Y334" s="538" cm="1">
        <f t="array" ref="Y334">_xlfn.IFERROR(B334*(V334+X334),"N/A")</f>
        <v>2615071.83627767</v>
      </c>
      <c r="Z334" s="424"/>
      <c r="AA334" s="538" cm="1">
        <f t="array" ref="AA334">_xlfn.IFERROR(Y334+S334,"N/A")</f>
        <v>11644005.169611</v>
      </c>
      <c r="AB334" s="538" cm="1">
        <f t="array" ref="AB334">_xlfn.IFERROR(AA334*0.5%,"N/A")</f>
        <v>58220.025848055</v>
      </c>
      <c r="AC334" s="538" cm="1">
        <f t="array" ref="AC334">_xlfn.IFERROR(AA334*25%,"N/A")</f>
        <v>2911001.29240275</v>
      </c>
      <c r="AD334" s="539" cm="1">
        <f t="array" ref="AD334">IF(B334&gt;0,SUM(AA334:AC334),"N/A")</f>
        <v>14613226.4878618</v>
      </c>
      <c r="AE334" s="538" cm="1">
        <f t="array" ref="AE334">_xlfn.IFERROR(AD334/B334,"N/A")</f>
        <v>1826653.31098273</v>
      </c>
      <c r="AF334" s="424"/>
      <c r="AG334" t="str" s="546" cm="1">
        <f t="array" ref="AG334">IF(B334/VLOOKUP(C324,'Boats Data Sheet 2026'!$C$3:$H$57,6,0)&gt;VLOOKUP(C324,'Allocation OH and Target 2026'!$C$3:$J$23,8,0),IF(SUM(AH326:AH333)=0,AE334,"N/A"),"N/A")</f>
        <v>N/A</v>
      </c>
      <c r="AH334" s="424" cm="1">
        <f t="array" ref="AH334">IF(AG334="N/A",0,1)</f>
        <v>0</v>
      </c>
      <c r="AI334" t="str" s="547" cm="1">
        <f t="array" ref="AI334">IF(B334/VLOOKUP(C324,'Boats Data Sheet 2026'!$C$3:$H$57,6,0)&gt;VLOOKUP(C324,'Allocation OH and Target 2026'!$C$3:$J$23,8,0),IF(SUM(AH326:AH333)=0,S334/B334,"N/A"),"N/A")</f>
        <v>N/A</v>
      </c>
      <c r="AJ334" s="424" cm="1">
        <f t="array" ref="AJ334">IF(AI334="N/A",0,1)</f>
        <v>0</v>
      </c>
      <c r="AK334" t="str" s="527" cm="1">
        <f t="array" ref="AK334">IF(SUM($AG$120:$AG$137)*B334&lt;SUM(AA334:AB334),"NO GO","GO")</f>
        <v>NO GO</v>
      </c>
      <c r="AL334" s="424"/>
      <c r="AM334" s="538"/>
      <c r="AN334" s="538"/>
      <c r="AO334" s="538"/>
      <c r="AP334" s="542"/>
      <c r="AQ334" s="543" cm="1">
        <f t="array" ref="AQ334">B334</f>
        <v>8</v>
      </c>
      <c r="AR334" s="18"/>
    </row>
    <row r="335" ht="16" customHeight="1">
      <c r="A335" s="12"/>
      <c r="B335" s="544" cm="1">
        <f t="array" ref="B335">IF(B334=0,0,IF(B334&lt;VLOOKUP(C324,'Boats Data Sheet 2026'!$C$3:$H$57,6,0),B334+1,0))</f>
        <v>9</v>
      </c>
      <c r="C335" s="538" cm="1">
        <f t="array" ref="C335">IF(B335&gt;0,IF(VLOOKUP(C324,'Boats Data Sheet 2026'!$C$3:$J$57,8,0)="N/A",0,VLOOKUP(C324,'Boats Data Sheet 2026'!$C$3:$J$57,8,0)),"N/A")</f>
        <v>0</v>
      </c>
      <c r="D335" s="545" cm="1">
        <f t="array" ref="D335">IF(B335&gt;7,2,IF(B335=0,"N/A",1))</f>
        <v>2</v>
      </c>
      <c r="E335" s="538" cm="1">
        <f t="array" ref="E335">_xlfn.IFERROR(SUM('Direct Costs 2026'!$C$4:$C$5)*D335,"N/A")</f>
        <v>1751000</v>
      </c>
      <c r="F335" s="538" cm="1">
        <f t="array" ref="F335">_xlfn.IFERROR('Direct Costs 2026'!$C$43*B335,"N/A")</f>
        <v>54000</v>
      </c>
      <c r="G335" s="538" cm="1">
        <f t="array" ref="G335">IF(B335&gt;0,'Direct Costs 2026'!$C$25,"N/A")</f>
        <v>90000</v>
      </c>
      <c r="H335" s="538" cm="1">
        <f t="array" ref="H335">IF(B335&gt;0,'Direct Costs 2026'!$C$19+'Direct Costs 2026'!$C$18*B335,"N/A")</f>
        <v>390000</v>
      </c>
      <c r="I335" s="538" cm="1">
        <f t="array" ref="I335">IF(B335&gt;0,SUM('Direct Costs 2026'!$C$20:$C$21),"N/A")</f>
        <v>98333.3333333333</v>
      </c>
      <c r="J335" s="538">
        <v>0</v>
      </c>
      <c r="K335" s="538" cm="1">
        <f t="array" ref="K335">_xlfn.IFERROR((IF(B335&gt;0,'Direct Costs 2026'!$C$15+'Direct Costs 2026'!$C$14,"N/A")),"N/A")</f>
        <v>230000</v>
      </c>
      <c r="L335" s="538" cm="1">
        <f t="array" ref="L335">IF(B335&gt;0,'Direct Costs 2026'!$C$26,"N/A")</f>
        <v>20000</v>
      </c>
      <c r="M335" s="538" cm="1">
        <f t="array" ref="M335">IF(B335&gt;0,'Direct Costs 2026'!$C$23,"N/A")</f>
        <v>140000</v>
      </c>
      <c r="N335" s="538" cm="1">
        <f t="array" ref="N335">IF(B335&gt;0,'Direct Costs 2026'!$C$44*B335,"N/A")</f>
        <v>990000</v>
      </c>
      <c r="O335" s="538" cm="1">
        <f t="array" ref="O335">IF(B335&gt;0,_xlfn.IFERROR(VLOOKUP(C324,'Boats Data Sheet 2026'!$C$3:$I$57,7,0)*'Direct Costs 2026'!$C$36,"N/A"),"N/A")</f>
        <v>3325000</v>
      </c>
      <c r="P335" s="538" cm="1">
        <f t="array" ref="P335">IF(B335&gt;0,IF(OR(VLOOKUP(C324,'Boats Data Sheet 2026'!$C$3:$F$57,4,0)="Own",VLOOKUP(C324,'Boats Data Sheet 2026'!$C$3:$F$57,4,0)="Management"),('Direct Costs 2026'!$C$37+'Direct Costs 2026'!$C$39),"N/A"),"N/A")</f>
        <v>1112400</v>
      </c>
      <c r="Q335" s="538" cm="1">
        <f t="array" ref="Q335">_xlfn.IFERROR(IF(B335&gt;5,IF(B335&gt;11,IF(B335&gt;15,4,3),2),IF(B335=0,"N/A",1))*SUM('Direct Costs 2026'!$C$67:$C$68),"N/A")</f>
        <v>979200</v>
      </c>
      <c r="R335" s="538" cm="1">
        <f t="array" ref="R335">_xlfn.IFERROR('Direct Costs 2026'!$C$27*C335,"N/A")</f>
        <v>0</v>
      </c>
      <c r="S335" s="538" cm="1">
        <f t="array" ref="S335">_xlfn.IFERROR(C335+SUM(E335:R335),"N/A")</f>
        <v>9179933.33333333</v>
      </c>
      <c r="T335" s="424"/>
      <c r="U335" s="538" cm="1">
        <f t="array" ref="U335">IF(B335&gt;0,'Allocation OH and Target 2026'!$E$27,"N/A")</f>
        <v>2134447.30345641</v>
      </c>
      <c r="V335" s="538" cm="1">
        <f t="array" ref="V335">IF(B335&gt;0,'Allocation OH and Target 2026'!$E$28,"N/A")</f>
        <v>200042.323056976</v>
      </c>
      <c r="W335" s="538" cm="1">
        <f t="array" ref="W335">IF(B335&gt;0,VLOOKUP(C324,'Allocation OH and Target 2026'!$C$3:$T$23,17,0),"N/A")</f>
        <v>1319153.22736842</v>
      </c>
      <c r="X335" s="538" cm="1">
        <f t="array" ref="X335">IF(B335&gt;0,VLOOKUP(C324,'Allocation OH and Target 2026'!$C$3:$T$23,18,0),"N/A")</f>
        <v>126841.656477733</v>
      </c>
      <c r="Y335" s="538" cm="1">
        <f t="array" ref="Y335">_xlfn.IFERROR(B335*(V335+X335),"N/A")</f>
        <v>2941955.81581238</v>
      </c>
      <c r="Z335" s="424"/>
      <c r="AA335" s="538" cm="1">
        <f t="array" ref="AA335">_xlfn.IFERROR(Y335+S335,"N/A")</f>
        <v>12121889.1491457</v>
      </c>
      <c r="AB335" s="538" cm="1">
        <f t="array" ref="AB335">_xlfn.IFERROR(AA335*0.5%,"N/A")</f>
        <v>60609.4457457285</v>
      </c>
      <c r="AC335" s="538" cm="1">
        <f t="array" ref="AC335">_xlfn.IFERROR(AA335*25%,"N/A")</f>
        <v>3030472.28728643</v>
      </c>
      <c r="AD335" s="539" cm="1">
        <f t="array" ref="AD335">IF(B335&gt;0,SUM(AA335:AC335),"N/A")</f>
        <v>15212970.8821779</v>
      </c>
      <c r="AE335" s="538" cm="1">
        <f t="array" ref="AE335">_xlfn.IFERROR(AD335/B335,"N/A")</f>
        <v>1690330.09801977</v>
      </c>
      <c r="AF335" s="424"/>
      <c r="AG335" t="str" s="546" cm="1">
        <f t="array" ref="AG335">IF(B335/VLOOKUP(C324,'Boats Data Sheet 2026'!$C$3:$H$57,6,0)&gt;VLOOKUP(C324,'Allocation OH and Target 2026'!$C$3:$J$23,8,0),IF(SUM(AH326:AH334)=0,AE335,"N/A"),"N/A")</f>
        <v>N/A</v>
      </c>
      <c r="AH335" s="424" cm="1">
        <f t="array" ref="AH335">IF(AG335="N/A",0,1)</f>
        <v>0</v>
      </c>
      <c r="AI335" t="str" s="547" cm="1">
        <f t="array" ref="AI335">IF(B335/VLOOKUP(C324,'Boats Data Sheet 2026'!$C$3:$H$57,6,0)&gt;VLOOKUP(C324,'Allocation OH and Target 2026'!$C$3:$J$23,8,0),IF(SUM(AH326:AH334)=0,S335/B335,"N/A"),"N/A")</f>
        <v>N/A</v>
      </c>
      <c r="AJ335" s="424" cm="1">
        <f t="array" ref="AJ335">IF(AI335="N/A",0,1)</f>
        <v>0</v>
      </c>
      <c r="AK335" t="str" s="527" cm="1">
        <f t="array" ref="AK335">IF(SUM($AG$120:$AG$137)*B335&lt;SUM(AA335:AB335),"NO GO","GO")</f>
        <v>GO</v>
      </c>
      <c r="AL335" s="424"/>
      <c r="AM335" s="538"/>
      <c r="AN335" s="538"/>
      <c r="AO335" s="538"/>
      <c r="AP335" s="542"/>
      <c r="AQ335" s="543" cm="1">
        <f t="array" ref="AQ335">B335</f>
        <v>9</v>
      </c>
      <c r="AR335" s="18"/>
    </row>
    <row r="336" ht="16" customHeight="1">
      <c r="A336" s="12"/>
      <c r="B336" s="544" cm="1">
        <f t="array" ref="B336">IF(B335=0,0,IF(B335&lt;VLOOKUP(C324,'Boats Data Sheet 2026'!$C$3:$H$57,6,0),B335+1,0))</f>
        <v>10</v>
      </c>
      <c r="C336" s="538" cm="1">
        <f t="array" ref="C336">IF(B336&gt;0,IF(VLOOKUP(C324,'Boats Data Sheet 2026'!$C$3:$J$57,8,0)="N/A",0,VLOOKUP(C324,'Boats Data Sheet 2026'!$C$3:$J$57,8,0)),"N/A")</f>
        <v>0</v>
      </c>
      <c r="D336" s="545" cm="1">
        <f t="array" ref="D336">IF(B336&gt;7,2,IF(B336=0,"N/A",1))</f>
        <v>2</v>
      </c>
      <c r="E336" s="538" cm="1">
        <f t="array" ref="E336">_xlfn.IFERROR(SUM('Direct Costs 2026'!$C$4:$C$5)*D336,"N/A")</f>
        <v>1751000</v>
      </c>
      <c r="F336" s="538" cm="1">
        <f t="array" ref="F336">_xlfn.IFERROR('Direct Costs 2026'!$C$43*B336,"N/A")</f>
        <v>60000</v>
      </c>
      <c r="G336" s="538" cm="1">
        <f t="array" ref="G336">IF(B336&gt;0,'Direct Costs 2026'!$C$25,"N/A")</f>
        <v>90000</v>
      </c>
      <c r="H336" s="538" cm="1">
        <f t="array" ref="H336">IF(B336&gt;0,'Direct Costs 2026'!$C$19+'Direct Costs 2026'!$C$18*B336,"N/A")</f>
        <v>425000</v>
      </c>
      <c r="I336" s="538" cm="1">
        <f t="array" ref="I336">IF(B336&gt;0,SUM('Direct Costs 2026'!$C$20:$C$21),"N/A")</f>
        <v>98333.3333333333</v>
      </c>
      <c r="J336" s="538">
        <v>0</v>
      </c>
      <c r="K336" s="538" cm="1">
        <f t="array" ref="K336">_xlfn.IFERROR((IF(B336&gt;0,'Direct Costs 2026'!$C$15+'Direct Costs 2026'!$C$14,"N/A")),"N/A")</f>
        <v>230000</v>
      </c>
      <c r="L336" s="538" cm="1">
        <f t="array" ref="L336">IF(B336&gt;0,'Direct Costs 2026'!$C$26,"N/A")</f>
        <v>20000</v>
      </c>
      <c r="M336" s="538" cm="1">
        <f t="array" ref="M336">IF(B336&gt;0,'Direct Costs 2026'!$C$23,"N/A")</f>
        <v>140000</v>
      </c>
      <c r="N336" s="538" cm="1">
        <f t="array" ref="N336">IF(B336&gt;0,'Direct Costs 2026'!$C$44*B336,"N/A")</f>
        <v>1100000</v>
      </c>
      <c r="O336" s="538" cm="1">
        <f t="array" ref="O336">IF(B336&gt;0,_xlfn.IFERROR(VLOOKUP(C324,'Boats Data Sheet 2026'!$C$3:$I$57,7,0)*'Direct Costs 2026'!$C$36,"N/A"),"N/A")</f>
        <v>3325000</v>
      </c>
      <c r="P336" s="538" cm="1">
        <f t="array" ref="P336">IF(B336&gt;0,IF(OR(VLOOKUP(C324,'Boats Data Sheet 2026'!$C$3:$F$57,4,0)="Own",VLOOKUP(C324,'Boats Data Sheet 2026'!$C$3:$F$57,4,0)="Management"),('Direct Costs 2026'!$C$37+'Direct Costs 2026'!$C$39),"N/A"),"N/A")</f>
        <v>1112400</v>
      </c>
      <c r="Q336" s="538" cm="1">
        <f t="array" ref="Q336">_xlfn.IFERROR(IF(B336&gt;5,IF(B336&gt;11,IF(B336&gt;15,4,3),2),IF(B336=0,"N/A",1))*SUM('Direct Costs 2026'!$C$67:$C$68),"N/A")</f>
        <v>979200</v>
      </c>
      <c r="R336" s="538" cm="1">
        <f t="array" ref="R336">_xlfn.IFERROR('Direct Costs 2026'!$C$27*C336,"N/A")</f>
        <v>0</v>
      </c>
      <c r="S336" s="538" cm="1">
        <f t="array" ref="S336">_xlfn.IFERROR(C336+SUM(E336:R336),"N/A")</f>
        <v>9330933.33333333</v>
      </c>
      <c r="T336" s="424"/>
      <c r="U336" s="538" cm="1">
        <f t="array" ref="U336">IF(B336&gt;0,'Allocation OH and Target 2026'!$E$27,"N/A")</f>
        <v>2134447.30345641</v>
      </c>
      <c r="V336" s="538" cm="1">
        <f t="array" ref="V336">IF(B336&gt;0,'Allocation OH and Target 2026'!$E$28,"N/A")</f>
        <v>200042.323056976</v>
      </c>
      <c r="W336" s="538" cm="1">
        <f t="array" ref="W336">IF(B336&gt;0,VLOOKUP(C324,'Allocation OH and Target 2026'!$C$3:$T$23,17,0),"N/A")</f>
        <v>1319153.22736842</v>
      </c>
      <c r="X336" s="538" cm="1">
        <f t="array" ref="X336">IF(B336&gt;0,VLOOKUP(C324,'Allocation OH and Target 2026'!$C$3:$T$23,18,0),"N/A")</f>
        <v>126841.656477733</v>
      </c>
      <c r="Y336" s="538" cm="1">
        <f t="array" ref="Y336">_xlfn.IFERROR(B336*(V336+X336),"N/A")</f>
        <v>3268839.79534709</v>
      </c>
      <c r="Z336" s="424"/>
      <c r="AA336" s="538" cm="1">
        <f t="array" ref="AA336">_xlfn.IFERROR(Y336+S336,"N/A")</f>
        <v>12599773.1286804</v>
      </c>
      <c r="AB336" s="538" cm="1">
        <f t="array" ref="AB336">_xlfn.IFERROR(AA336*0.5%,"N/A")</f>
        <v>62998.865643402</v>
      </c>
      <c r="AC336" s="538" cm="1">
        <f t="array" ref="AC336">_xlfn.IFERROR(AA336*25%,"N/A")</f>
        <v>3149943.2821701</v>
      </c>
      <c r="AD336" s="539" cm="1">
        <f t="array" ref="AD336">IF(B336&gt;0,SUM(AA336:AC336),"N/A")</f>
        <v>15812715.2764939</v>
      </c>
      <c r="AE336" s="538" cm="1">
        <f t="array" ref="AE336">_xlfn.IFERROR(AD336/B336,"N/A")</f>
        <v>1581271.52764939</v>
      </c>
      <c r="AF336" s="424"/>
      <c r="AG336" t="str" s="546" cm="1">
        <f t="array" ref="AG336">IF(B336/VLOOKUP(C324,'Boats Data Sheet 2026'!$C$3:$H$57,6,0)&gt;VLOOKUP(C324,'Allocation OH and Target 2026'!$C$3:$J$23,8,0),IF(SUM(AH326:AH335)=0,AE336,"N/A"),"N/A")</f>
        <v>N/A</v>
      </c>
      <c r="AH336" s="424" cm="1">
        <f t="array" ref="AH336">IF(AG336="N/A",0,1)</f>
        <v>0</v>
      </c>
      <c r="AI336" t="str" s="547" cm="1">
        <f t="array" ref="AI336">IF(B336/VLOOKUP(C324,'Boats Data Sheet 2026'!$C$3:$H$57,6,0)&gt;VLOOKUP(C324,'Allocation OH and Target 2026'!$C$3:$J$23,8,0),IF(SUM(AH326:AH335)=0,S336/B336,"N/A"),"N/A")</f>
        <v>N/A</v>
      </c>
      <c r="AJ336" s="424" cm="1">
        <f t="array" ref="AJ336">IF(AI336="N/A",0,1)</f>
        <v>0</v>
      </c>
      <c r="AK336" t="str" s="527" cm="1">
        <f t="array" ref="AK336">IF(SUM($AG$120:$AG$137)*B336&lt;SUM(AA336:AB336),"NO GO","GO")</f>
        <v>GO</v>
      </c>
      <c r="AL336" s="424"/>
      <c r="AM336" s="538"/>
      <c r="AN336" s="538"/>
      <c r="AO336" s="538"/>
      <c r="AP336" s="542"/>
      <c r="AQ336" s="543" cm="1">
        <f t="array" ref="AQ336">B336</f>
        <v>10</v>
      </c>
      <c r="AR336" s="18"/>
    </row>
    <row r="337" ht="16" customHeight="1">
      <c r="A337" s="12"/>
      <c r="B337" s="544" cm="1">
        <f t="array" ref="B337">IF(B336=0,0,IF(B336&lt;VLOOKUP(C324,'Boats Data Sheet 2026'!$C$3:$H$57,6,0),B336+1,0))</f>
        <v>11</v>
      </c>
      <c r="C337" s="538" cm="1">
        <f t="array" ref="C337">IF(B337&gt;0,IF(VLOOKUP(C324,'Boats Data Sheet 2026'!$C$3:$J$57,8,0)="N/A",0,VLOOKUP(C324,'Boats Data Sheet 2026'!$C$3:$J$57,8,0)),"N/A")</f>
        <v>0</v>
      </c>
      <c r="D337" s="545" cm="1">
        <f t="array" ref="D337">IF(B337&gt;7,2,IF(B337=0,"N/A",1))</f>
        <v>2</v>
      </c>
      <c r="E337" s="538" cm="1">
        <f t="array" ref="E337">_xlfn.IFERROR(SUM('Direct Costs 2026'!$C$4:$C$5)*D337,"N/A")</f>
        <v>1751000</v>
      </c>
      <c r="F337" s="538" cm="1">
        <f t="array" ref="F337">_xlfn.IFERROR('Direct Costs 2026'!$C$43*B337,"N/A")</f>
        <v>66000</v>
      </c>
      <c r="G337" s="538" cm="1">
        <f t="array" ref="G337">IF(B337&gt;0,'Direct Costs 2026'!$C$25,"N/A")</f>
        <v>90000</v>
      </c>
      <c r="H337" s="538" cm="1">
        <f t="array" ref="H337">IF(B337&gt;0,'Direct Costs 2026'!$C$19+'Direct Costs 2026'!$C$18*B337,"N/A")</f>
        <v>460000</v>
      </c>
      <c r="I337" s="538" cm="1">
        <f t="array" ref="I337">IF(B337&gt;0,SUM('Direct Costs 2026'!$C$20:$C$21),"N/A")</f>
        <v>98333.3333333333</v>
      </c>
      <c r="J337" s="538">
        <v>0</v>
      </c>
      <c r="K337" s="538" cm="1">
        <f t="array" ref="K337">_xlfn.IFERROR((IF(B337&gt;0,'Direct Costs 2026'!$C$15+'Direct Costs 2026'!$C$14,"N/A")),"N/A")</f>
        <v>230000</v>
      </c>
      <c r="L337" s="538" cm="1">
        <f t="array" ref="L337">IF(B337&gt;0,'Direct Costs 2026'!$C$26,"N/A")</f>
        <v>20000</v>
      </c>
      <c r="M337" s="538" cm="1">
        <f t="array" ref="M337">IF(B337&gt;0,'Direct Costs 2026'!$C$23,"N/A")</f>
        <v>140000</v>
      </c>
      <c r="N337" s="538" cm="1">
        <f t="array" ref="N337">IF(B337&gt;0,'Direct Costs 2026'!$C$44*B337,"N/A")</f>
        <v>1210000</v>
      </c>
      <c r="O337" s="538" cm="1">
        <f t="array" ref="O337">IF(B337&gt;0,_xlfn.IFERROR(VLOOKUP(C324,'Boats Data Sheet 2026'!$C$3:$I$57,7,0)*'Direct Costs 2026'!$C$36,"N/A"),"N/A")</f>
        <v>3325000</v>
      </c>
      <c r="P337" s="538" cm="1">
        <f t="array" ref="P337">IF(B337&gt;0,IF(OR(VLOOKUP(C324,'Boats Data Sheet 2026'!$C$3:$F$57,4,0)="Own",VLOOKUP(C324,'Boats Data Sheet 2026'!$C$3:$F$57,4,0)="Management"),('Direct Costs 2026'!$C$37+'Direct Costs 2026'!$C$39),"N/A"),"N/A")</f>
        <v>1112400</v>
      </c>
      <c r="Q337" s="538" cm="1">
        <f t="array" ref="Q337">_xlfn.IFERROR(IF(B337&gt;5,IF(B337&gt;11,IF(B337&gt;15,4,3),2),IF(B337=0,"N/A",1))*SUM('Direct Costs 2026'!$C$67:$C$68),"N/A")</f>
        <v>979200</v>
      </c>
      <c r="R337" s="538" cm="1">
        <f t="array" ref="R337">_xlfn.IFERROR('Direct Costs 2026'!$C$27*C337,"N/A")</f>
        <v>0</v>
      </c>
      <c r="S337" s="538" cm="1">
        <f t="array" ref="S337">_xlfn.IFERROR(C337+SUM(E337:R337),"N/A")</f>
        <v>9481933.33333333</v>
      </c>
      <c r="T337" s="424"/>
      <c r="U337" s="538" cm="1">
        <f t="array" ref="U337">IF(B337&gt;0,'Allocation OH and Target 2026'!$E$27,"N/A")</f>
        <v>2134447.30345641</v>
      </c>
      <c r="V337" s="538" cm="1">
        <f t="array" ref="V337">IF(B337&gt;0,'Allocation OH and Target 2026'!$E$28,"N/A")</f>
        <v>200042.323056976</v>
      </c>
      <c r="W337" s="538" cm="1">
        <f t="array" ref="W337">IF(B337&gt;0,VLOOKUP(C324,'Allocation OH and Target 2026'!$C$3:$T$23,17,0),"N/A")</f>
        <v>1319153.22736842</v>
      </c>
      <c r="X337" s="538" cm="1">
        <f t="array" ref="X337">IF(B337&gt;0,VLOOKUP(C324,'Allocation OH and Target 2026'!$C$3:$T$23,18,0),"N/A")</f>
        <v>126841.656477733</v>
      </c>
      <c r="Y337" s="538" cm="1">
        <f t="array" ref="Y337">_xlfn.IFERROR(B337*(V337+X337),"N/A")</f>
        <v>3595723.7748818</v>
      </c>
      <c r="Z337" s="424"/>
      <c r="AA337" s="538" cm="1">
        <f t="array" ref="AA337">_xlfn.IFERROR(Y337+S337,"N/A")</f>
        <v>13077657.1082151</v>
      </c>
      <c r="AB337" s="538" cm="1">
        <f t="array" ref="AB337">_xlfn.IFERROR(AA337*0.5%,"N/A")</f>
        <v>65388.2855410755</v>
      </c>
      <c r="AC337" s="538" cm="1">
        <f t="array" ref="AC337">_xlfn.IFERROR(AA337*25%,"N/A")</f>
        <v>3269414.27705378</v>
      </c>
      <c r="AD337" s="539" cm="1">
        <f t="array" ref="AD337">IF(B337&gt;0,SUM(AA337:AC337),"N/A")</f>
        <v>16412459.67081</v>
      </c>
      <c r="AE337" s="538" cm="1">
        <f t="array" ref="AE337">_xlfn.IFERROR(AD337/B337,"N/A")</f>
        <v>1492041.78825545</v>
      </c>
      <c r="AF337" s="424"/>
      <c r="AG337" s="539" cm="1">
        <f t="array" ref="AG337">IF(B337/VLOOKUP(C324,'Boats Data Sheet 2026'!$C$3:$H$57,6,0)&gt;VLOOKUP(C324,'Allocation OH and Target 2026'!$C$3:$J$23,8,0),IF(SUM(AH326:AH336)=0,AE337,"N/A"),"N/A")</f>
        <v>1492041.78825545</v>
      </c>
      <c r="AH337" s="424" cm="1">
        <f t="array" ref="AH337">IF(AG337="N/A",0,1)</f>
        <v>1</v>
      </c>
      <c r="AI337" s="538" cm="1">
        <f t="array" ref="AI337">IF(B337/VLOOKUP(C324,'Boats Data Sheet 2026'!$C$3:$H$57,6,0)&gt;VLOOKUP(C324,'Allocation OH and Target 2026'!$C$3:$J$23,8,0),IF(SUM(AH326:AH336)=0,S337/B337,"N/A"),"N/A")</f>
        <v>861993.939393939</v>
      </c>
      <c r="AJ337" s="424" cm="1">
        <f t="array" ref="AJ337">IF(AI337="N/A",0,1)</f>
        <v>1</v>
      </c>
      <c r="AK337" t="str" s="527" cm="1">
        <f t="array" ref="AK337">IF(SUM($AG$120:$AG$137)*B337&lt;SUM(AA337:AB337),"NO GO","GO")</f>
        <v>GO</v>
      </c>
      <c r="AL337" s="424"/>
      <c r="AM337" s="538"/>
      <c r="AN337" s="538"/>
      <c r="AO337" s="538"/>
      <c r="AP337" s="542"/>
      <c r="AQ337" s="543" cm="1">
        <f t="array" ref="AQ337">B337</f>
        <v>11</v>
      </c>
      <c r="AR337" s="18"/>
    </row>
    <row r="338" ht="16" customHeight="1">
      <c r="A338" s="12"/>
      <c r="B338" s="544" cm="1">
        <f t="array" ref="B338">IF(B337=0,0,IF(B337&lt;VLOOKUP(C324,'Boats Data Sheet 2026'!$C$3:$H$57,6,0),B337+1,0))</f>
        <v>12</v>
      </c>
      <c r="C338" s="538" cm="1">
        <f t="array" ref="C338">IF(B338&gt;0,IF(VLOOKUP(C324,'Boats Data Sheet 2026'!$C$3:$J$57,8,0)="N/A",0,VLOOKUP(C324,'Boats Data Sheet 2026'!$C$3:$J$57,8,0)),"N/A")</f>
        <v>0</v>
      </c>
      <c r="D338" s="545" cm="1">
        <f t="array" ref="D338">IF(B338&gt;7,2,IF(B338=0,"N/A",1))</f>
        <v>2</v>
      </c>
      <c r="E338" s="538" cm="1">
        <f t="array" ref="E338">_xlfn.IFERROR(SUM('Direct Costs 2026'!$C$4:$C$5)*D338,"N/A")</f>
        <v>1751000</v>
      </c>
      <c r="F338" s="538" cm="1">
        <f t="array" ref="F338">_xlfn.IFERROR('Direct Costs 2026'!$C$43*B338,"N/A")</f>
        <v>72000</v>
      </c>
      <c r="G338" s="538" cm="1">
        <f t="array" ref="G338">IF(B338&gt;0,'Direct Costs 2026'!$C$25,"N/A")</f>
        <v>90000</v>
      </c>
      <c r="H338" s="538" cm="1">
        <f t="array" ref="H338">IF(B338&gt;0,'Direct Costs 2026'!$C$19+'Direct Costs 2026'!$C$18*B338,"N/A")</f>
        <v>495000</v>
      </c>
      <c r="I338" s="538" cm="1">
        <f t="array" ref="I338">IF(B338&gt;0,SUM('Direct Costs 2026'!$C$20:$C$21),"N/A")</f>
        <v>98333.3333333333</v>
      </c>
      <c r="J338" s="538">
        <v>0</v>
      </c>
      <c r="K338" s="538" cm="1">
        <f t="array" ref="K338">_xlfn.IFERROR((IF(B338&gt;0,'Direct Costs 2026'!$C$15+'Direct Costs 2026'!$C$14,"N/A")),"N/A")</f>
        <v>230000</v>
      </c>
      <c r="L338" s="538" cm="1">
        <f t="array" ref="L338">IF(B338&gt;0,'Direct Costs 2026'!$C$26,"N/A")</f>
        <v>20000</v>
      </c>
      <c r="M338" s="538" cm="1">
        <f t="array" ref="M338">IF(B338&gt;0,'Direct Costs 2026'!$C$23,"N/A")</f>
        <v>140000</v>
      </c>
      <c r="N338" s="538" cm="1">
        <f t="array" ref="N338">IF(B338&gt;0,'Direct Costs 2026'!$C$44*B338,"N/A")</f>
        <v>1320000</v>
      </c>
      <c r="O338" s="538" cm="1">
        <f t="array" ref="O338">IF(B338&gt;0,_xlfn.IFERROR(VLOOKUP(C324,'Boats Data Sheet 2026'!$C$3:$I$57,7,0)*'Direct Costs 2026'!$C$36,"N/A"),"N/A")</f>
        <v>3325000</v>
      </c>
      <c r="P338" s="538" cm="1">
        <f t="array" ref="P338">IF(B338&gt;0,IF(OR(VLOOKUP(C324,'Boats Data Sheet 2026'!$C$3:$F$57,4,0)="Own",VLOOKUP(C324,'Boats Data Sheet 2026'!$C$3:$F$57,4,0)="Management"),('Direct Costs 2026'!$C$37+'Direct Costs 2026'!$C$39),"N/A"),"N/A")</f>
        <v>1112400</v>
      </c>
      <c r="Q338" s="538" cm="1">
        <f t="array" ref="Q338">_xlfn.IFERROR(IF(B338&gt;5,IF(B338&gt;11,IF(B338&gt;15,4,3),2),IF(B338=0,"N/A",1))*SUM('Direct Costs 2026'!$C$67:$C$68),"N/A")</f>
        <v>1468800</v>
      </c>
      <c r="R338" s="538" cm="1">
        <f t="array" ref="R338">_xlfn.IFERROR('Direct Costs 2026'!$C$27*C338,"N/A")</f>
        <v>0</v>
      </c>
      <c r="S338" s="538" cm="1">
        <f t="array" ref="S338">_xlfn.IFERROR(C338+SUM(E338:R338),"N/A")</f>
        <v>10122533.3333333</v>
      </c>
      <c r="T338" s="424"/>
      <c r="U338" s="538" cm="1">
        <f t="array" ref="U338">IF(B338&gt;0,'Allocation OH and Target 2026'!$E$27,"N/A")</f>
        <v>2134447.30345641</v>
      </c>
      <c r="V338" s="538" cm="1">
        <f t="array" ref="V338">IF(B338&gt;0,'Allocation OH and Target 2026'!$E$28,"N/A")</f>
        <v>200042.323056976</v>
      </c>
      <c r="W338" s="538" cm="1">
        <f t="array" ref="W338">IF(B338&gt;0,VLOOKUP(C324,'Allocation OH and Target 2026'!$C$3:$T$23,17,0),"N/A")</f>
        <v>1319153.22736842</v>
      </c>
      <c r="X338" s="538" cm="1">
        <f t="array" ref="X338">IF(B338&gt;0,VLOOKUP(C324,'Allocation OH and Target 2026'!$C$3:$T$23,18,0),"N/A")</f>
        <v>126841.656477733</v>
      </c>
      <c r="Y338" s="538" cm="1">
        <f t="array" ref="Y338">_xlfn.IFERROR(B338*(V338+X338),"N/A")</f>
        <v>3922607.75441651</v>
      </c>
      <c r="Z338" s="424"/>
      <c r="AA338" s="538" cm="1">
        <f t="array" ref="AA338">_xlfn.IFERROR(Y338+S338,"N/A")</f>
        <v>14045141.0877498</v>
      </c>
      <c r="AB338" s="538" cm="1">
        <f t="array" ref="AB338">_xlfn.IFERROR(AA338*0.5%,"N/A")</f>
        <v>70225.705438749006</v>
      </c>
      <c r="AC338" s="538" cm="1">
        <f t="array" ref="AC338">_xlfn.IFERROR(AA338*25%,"N/A")</f>
        <v>3511285.27193745</v>
      </c>
      <c r="AD338" s="539" cm="1">
        <f t="array" ref="AD338">IF(B338&gt;0,SUM(AA338:AC338),"N/A")</f>
        <v>17626652.065126</v>
      </c>
      <c r="AE338" s="538" cm="1">
        <f t="array" ref="AE338">_xlfn.IFERROR(AD338/B338,"N/A")</f>
        <v>1468887.67209383</v>
      </c>
      <c r="AF338" s="424"/>
      <c r="AG338" t="str" s="546" cm="1">
        <f t="array" ref="AG338">IF(B338/VLOOKUP(C324,'Boats Data Sheet 2026'!$C$3:$H$57,6,0)&gt;VLOOKUP(C324,'Allocation OH and Target 2026'!$C$3:$J$23,8,0),IF(SUM(AH326:AH337)=0,AE338,"N/A"),"N/A")</f>
        <v>N/A</v>
      </c>
      <c r="AH338" s="424" cm="1">
        <f t="array" ref="AH338">IF(AG338="N/A",0,1)</f>
        <v>0</v>
      </c>
      <c r="AI338" t="str" s="547" cm="1">
        <f t="array" ref="AI338">IF(B338/VLOOKUP(C324,'Boats Data Sheet 2026'!$C$3:$H$57,6,0)&gt;VLOOKUP(C324,'Allocation OH and Target 2026'!$C$3:$J$23,8,0),IF(SUM(AH326:AH337)=0,S338/B338,"N/A"),"N/A")</f>
        <v>N/A</v>
      </c>
      <c r="AJ338" s="424" cm="1">
        <f t="array" ref="AJ338">IF(AI338="N/A",0,1)</f>
        <v>0</v>
      </c>
      <c r="AK338" t="str" s="527" cm="1">
        <f t="array" ref="AK338">IF(SUM($AG$120:$AG$137)*B338&lt;SUM(AA338:AB338),"NO GO","GO")</f>
        <v>GO</v>
      </c>
      <c r="AL338" s="424"/>
      <c r="AM338" s="538"/>
      <c r="AN338" s="538"/>
      <c r="AO338" s="538"/>
      <c r="AP338" s="542"/>
      <c r="AQ338" s="543" cm="1">
        <f t="array" ref="AQ338">B338</f>
        <v>12</v>
      </c>
      <c r="AR338" s="18"/>
    </row>
    <row r="339" ht="16" customHeight="1">
      <c r="A339" s="12"/>
      <c r="B339" s="544" cm="1">
        <f t="array" ref="B339">IF(B338=0,0,IF(B338&lt;VLOOKUP(C324,'Boats Data Sheet 2026'!$C$3:$H$57,6,0),B338+1,0))</f>
        <v>13</v>
      </c>
      <c r="C339" s="538" cm="1">
        <f t="array" ref="C339">IF(B339&gt;0,IF(VLOOKUP(C324,'Boats Data Sheet 2026'!$C$3:$J$57,8,0)="N/A",0,VLOOKUP(C324,'Boats Data Sheet 2026'!$C$3:$J$57,8,0)),"N/A")</f>
        <v>0</v>
      </c>
      <c r="D339" s="545" cm="1">
        <f t="array" ref="D339">IF(B339&gt;7,2,IF(B339=0,"N/A",1))</f>
        <v>2</v>
      </c>
      <c r="E339" s="538" cm="1">
        <f t="array" ref="E339">_xlfn.IFERROR(SUM('Direct Costs 2026'!$C$4:$C$5)*D339,"N/A")</f>
        <v>1751000</v>
      </c>
      <c r="F339" s="538" cm="1">
        <f t="array" ref="F339">_xlfn.IFERROR('Direct Costs 2026'!$C$43*B339,"N/A")</f>
        <v>78000</v>
      </c>
      <c r="G339" s="538" cm="1">
        <f t="array" ref="G339">IF(B339&gt;0,'Direct Costs 2026'!$C$25,"N/A")</f>
        <v>90000</v>
      </c>
      <c r="H339" s="538" cm="1">
        <f t="array" ref="H339">IF(B339&gt;0,'Direct Costs 2026'!$C$19+'Direct Costs 2026'!$C$18*B339,"N/A")</f>
        <v>530000</v>
      </c>
      <c r="I339" s="538" cm="1">
        <f t="array" ref="I339">IF(B339&gt;0,SUM('Direct Costs 2026'!$C$20:$C$21),"N/A")</f>
        <v>98333.3333333333</v>
      </c>
      <c r="J339" s="538">
        <v>0</v>
      </c>
      <c r="K339" s="538" cm="1">
        <f t="array" ref="K339">_xlfn.IFERROR((IF(B339&gt;0,'Direct Costs 2026'!$C$15+'Direct Costs 2026'!$C$14,"N/A")),"N/A")</f>
        <v>230000</v>
      </c>
      <c r="L339" s="538" cm="1">
        <f t="array" ref="L339">IF(B339&gt;0,'Direct Costs 2026'!$C$26,"N/A")</f>
        <v>20000</v>
      </c>
      <c r="M339" s="538" cm="1">
        <f t="array" ref="M339">IF(B339&gt;0,'Direct Costs 2026'!$C$23,"N/A")</f>
        <v>140000</v>
      </c>
      <c r="N339" s="538" cm="1">
        <f t="array" ref="N339">IF(B339&gt;0,'Direct Costs 2026'!$C$44*B339,"N/A")</f>
        <v>1430000</v>
      </c>
      <c r="O339" s="538" cm="1">
        <f t="array" ref="O339">IF(B339&gt;0,_xlfn.IFERROR(VLOOKUP(C324,'Boats Data Sheet 2026'!$C$3:$I$57,7,0)*'Direct Costs 2026'!$C$36,"N/A"),"N/A")</f>
        <v>3325000</v>
      </c>
      <c r="P339" s="538" cm="1">
        <f t="array" ref="P339">IF(B339&gt;0,IF(OR(VLOOKUP(C324,'Boats Data Sheet 2026'!$C$3:$F$57,4,0)="Own",VLOOKUP(C324,'Boats Data Sheet 2026'!$C$3:$F$57,4,0)="Management"),('Direct Costs 2026'!$C$37+'Direct Costs 2026'!$C$39),"N/A"),"N/A")</f>
        <v>1112400</v>
      </c>
      <c r="Q339" s="538" cm="1">
        <f t="array" ref="Q339">_xlfn.IFERROR(IF(B339&gt;5,IF(B339&gt;11,IF(B339&gt;15,4,3),2),IF(B339=0,"N/A",1))*SUM('Direct Costs 2026'!$C$67:$C$68),"N/A")</f>
        <v>1468800</v>
      </c>
      <c r="R339" s="538" cm="1">
        <f t="array" ref="R339">_xlfn.IFERROR('Direct Costs 2026'!$C$27*C339,"N/A")</f>
        <v>0</v>
      </c>
      <c r="S339" s="538" cm="1">
        <f t="array" ref="S339">_xlfn.IFERROR(C339+SUM(E339:R339),"N/A")</f>
        <v>10273533.3333333</v>
      </c>
      <c r="T339" s="424"/>
      <c r="U339" s="538" cm="1">
        <f t="array" ref="U339">IF(B339&gt;0,'Allocation OH and Target 2026'!$E$27,"N/A")</f>
        <v>2134447.30345641</v>
      </c>
      <c r="V339" s="538" cm="1">
        <f t="array" ref="V339">IF(B339&gt;0,'Allocation OH and Target 2026'!$E$28,"N/A")</f>
        <v>200042.323056976</v>
      </c>
      <c r="W339" s="538" cm="1">
        <f t="array" ref="W339">IF(B339&gt;0,VLOOKUP(C324,'Allocation OH and Target 2026'!$C$3:$T$23,17,0),"N/A")</f>
        <v>1319153.22736842</v>
      </c>
      <c r="X339" s="538" cm="1">
        <f t="array" ref="X339">IF(B339&gt;0,VLOOKUP(C324,'Allocation OH and Target 2026'!$C$3:$T$23,18,0),"N/A")</f>
        <v>126841.656477733</v>
      </c>
      <c r="Y339" s="538" cm="1">
        <f t="array" ref="Y339">_xlfn.IFERROR(B339*(V339+X339),"N/A")</f>
        <v>4249491.73395122</v>
      </c>
      <c r="Z339" s="424"/>
      <c r="AA339" s="538" cm="1">
        <f t="array" ref="AA339">_xlfn.IFERROR(Y339+S339,"N/A")</f>
        <v>14523025.0672845</v>
      </c>
      <c r="AB339" s="538" cm="1">
        <f t="array" ref="AB339">_xlfn.IFERROR(AA339*0.5%,"N/A")</f>
        <v>72615.1253364225</v>
      </c>
      <c r="AC339" s="538" cm="1">
        <f t="array" ref="AC339">_xlfn.IFERROR(AA339*25%,"N/A")</f>
        <v>3630756.26682113</v>
      </c>
      <c r="AD339" s="539" cm="1">
        <f t="array" ref="AD339">IF(B339&gt;0,SUM(AA339:AC339),"N/A")</f>
        <v>18226396.4594421</v>
      </c>
      <c r="AE339" s="538" cm="1">
        <f t="array" ref="AE339">_xlfn.IFERROR(AD339/B339,"N/A")</f>
        <v>1402030.49688016</v>
      </c>
      <c r="AF339" s="424"/>
      <c r="AG339" t="str" s="546" cm="1">
        <f t="array" ref="AG339">IF(B339/VLOOKUP(C324,'Boats Data Sheet 2026'!$C$3:$H$57,6,0)&gt;VLOOKUP(C324,'Allocation OH and Target 2026'!$C$3:$J$23,8,0),IF(SUM(AH326:AH338)=0,AE339,"N/A"),"N/A")</f>
        <v>N/A</v>
      </c>
      <c r="AH339" s="424" cm="1">
        <f t="array" ref="AH339">IF(AG339="N/A",0,1)</f>
        <v>0</v>
      </c>
      <c r="AI339" t="str" s="547" cm="1">
        <f t="array" ref="AI339">IF(B339/VLOOKUP(C324,'Boats Data Sheet 2026'!$C$3:$H$57,6,0)&gt;VLOOKUP(C324,'Allocation OH and Target 2026'!$C$3:$J$23,8,0),IF(SUM(AH326:AH338)=0,S339/B339,"N/A"),"N/A")</f>
        <v>N/A</v>
      </c>
      <c r="AJ339" s="424" cm="1">
        <f t="array" ref="AJ339">IF(AI339="N/A",0,1)</f>
        <v>0</v>
      </c>
      <c r="AK339" t="str" s="527" cm="1">
        <f t="array" ref="AK339">IF(SUM($AG$120:$AG$137)*B339&lt;SUM(AA339:AB339),"NO GO","GO")</f>
        <v>GO</v>
      </c>
      <c r="AL339" s="424"/>
      <c r="AM339" s="538"/>
      <c r="AN339" s="538"/>
      <c r="AO339" s="538"/>
      <c r="AP339" s="542"/>
      <c r="AQ339" s="543" cm="1">
        <f t="array" ref="AQ339">B339</f>
        <v>13</v>
      </c>
      <c r="AR339" s="18"/>
    </row>
    <row r="340" ht="16" customHeight="1">
      <c r="A340" s="12"/>
      <c r="B340" s="544" cm="1">
        <f t="array" ref="B340">IF(B339=0,0,IF(B339&lt;VLOOKUP(C324,'Boats Data Sheet 2026'!$C$3:$H$57,6,0),B339+1,0))</f>
        <v>0</v>
      </c>
      <c r="C340" t="str" s="547" cm="1">
        <f t="array" ref="C340">IF(B340&gt;0,IF(VLOOKUP(C324,'Boats Data Sheet 2026'!$C$3:$J$57,8,0)="N/A",0,VLOOKUP(C324,'Boats Data Sheet 2026'!$C$3:$J$57,8,0)),"N/A")</f>
        <v>N/A</v>
      </c>
      <c r="D340" t="str" s="547" cm="1">
        <f t="array" ref="D340">IF(B340&gt;7,2,IF(B340=0,"N/A",1))</f>
        <v>N/A</v>
      </c>
      <c r="E340" t="str" s="547" cm="1">
        <f t="array" ref="E340">_xlfn.IFERROR(SUM('Direct Costs 2026'!$C$4:$C$5)*D340,"N/A")</f>
        <v>N/A</v>
      </c>
      <c r="F340" s="538" cm="1">
        <f t="array" ref="F340">_xlfn.IFERROR('Direct Costs 2026'!$C$43*B340,"N/A")</f>
        <v>0</v>
      </c>
      <c r="G340" t="str" s="547" cm="1">
        <f t="array" ref="G340">IF(B340&gt;0,'Direct Costs 2026'!$C$25,"N/A")</f>
        <v>N/A</v>
      </c>
      <c r="H340" t="str" s="547" cm="1">
        <f t="array" ref="H340">IF(B340&gt;0,'Direct Costs 2026'!$C$19+'Direct Costs 2026'!$C$18*B340,"N/A")</f>
        <v>N/A</v>
      </c>
      <c r="I340" t="str" s="547" cm="1">
        <f t="array" ref="I340">IF(B340&gt;0,SUM('Direct Costs 2026'!$C$20:$C$21),"N/A")</f>
        <v>N/A</v>
      </c>
      <c r="J340" s="538">
        <v>0</v>
      </c>
      <c r="K340" t="str" s="547" cm="1">
        <f t="array" ref="K340">_xlfn.IFERROR((IF(B340&gt;0,'Direct Costs 2026'!$C$15+'Direct Costs 2026'!$C$14,"N/A")),"N/A")</f>
        <v>N/A</v>
      </c>
      <c r="L340" t="str" s="547" cm="1">
        <f t="array" ref="L340">IF(B340&gt;0,'Direct Costs 2026'!$C$26,"N/A")</f>
        <v>N/A</v>
      </c>
      <c r="M340" t="str" s="547" cm="1">
        <f t="array" ref="M340">IF(B340&gt;0,'Direct Costs 2026'!$C$23,"N/A")</f>
        <v>N/A</v>
      </c>
      <c r="N340" t="str" s="547" cm="1">
        <f t="array" ref="N340">IF(B340&gt;0,'Direct Costs 2026'!$C$44*B340,"N/A")</f>
        <v>N/A</v>
      </c>
      <c r="O340" t="str" s="547" cm="1">
        <f t="array" ref="O340">IF(B340&gt;0,_xlfn.IFERROR(VLOOKUP(C324,'Boats Data Sheet 2026'!$C$3:$I$57,7,0)*'Direct Costs 2026'!$C$36,"N/A"),"N/A")</f>
        <v>N/A</v>
      </c>
      <c r="P340" t="str" s="547" cm="1">
        <f t="array" ref="P340">IF(B340&gt;0,IF(OR(VLOOKUP(C324,'Boats Data Sheet 2026'!$C$3:$F$57,4,0)="Own",VLOOKUP(C324,'Boats Data Sheet 2026'!$C$3:$F$57,4,0)="Management"),('Direct Costs 2026'!$C$37+'Direct Costs 2026'!$C$39),"N/A"),"N/A")</f>
        <v>N/A</v>
      </c>
      <c r="Q340" t="str" s="547" cm="1">
        <f t="array" ref="Q340">_xlfn.IFERROR(IF(B340&gt;5,IF(B340&gt;11,IF(B340&gt;15,4,3),2),IF(B340=0,"N/A",1))*SUM('Direct Costs 2026'!$C$67:$C$68),"N/A")</f>
        <v>N/A</v>
      </c>
      <c r="R340" t="str" s="547" cm="1">
        <f t="array" ref="R340">_xlfn.IFERROR('Direct Costs 2026'!$C$27*C340,"N/A")</f>
        <v>N/A</v>
      </c>
      <c r="S340" t="str" s="547" cm="1">
        <f t="array" ref="S340">_xlfn.IFERROR(C340+SUM(E340:R340),"N/A")</f>
        <v>N/A</v>
      </c>
      <c r="T340" s="424"/>
      <c r="U340" t="str" s="547" cm="1">
        <f t="array" ref="U340">IF(B340&gt;0,'Allocation OH and Target 2026'!$E$27,"N/A")</f>
        <v>N/A</v>
      </c>
      <c r="V340" t="str" s="547" cm="1">
        <f t="array" ref="V340">IF(B340&gt;0,'Allocation OH and Target 2026'!$E$28,"N/A")</f>
        <v>N/A</v>
      </c>
      <c r="W340" t="str" s="547" cm="1">
        <f t="array" ref="W340">IF(B340&gt;0,VLOOKUP(C324,'Allocation OH and Target 2026'!$C$3:$T$23,17,0),"N/A")</f>
        <v>N/A</v>
      </c>
      <c r="X340" t="str" s="547" cm="1">
        <f t="array" ref="X340">IF(B340&gt;0,VLOOKUP(C324,'Allocation OH and Target 2026'!$C$3:$T$23,18,0),"N/A")</f>
        <v>N/A</v>
      </c>
      <c r="Y340" t="str" s="547" cm="1">
        <f t="array" ref="Y340">_xlfn.IFERROR(B340*(V340+X340),"N/A")</f>
        <v>N/A</v>
      </c>
      <c r="Z340" s="424"/>
      <c r="AA340" t="str" s="547" cm="1">
        <f t="array" ref="AA340">_xlfn.IFERROR(Y340+S340,"N/A")</f>
        <v>N/A</v>
      </c>
      <c r="AB340" t="str" s="547" cm="1">
        <f t="array" ref="AB340">_xlfn.IFERROR(AA340*0.5%,"N/A")</f>
        <v>N/A</v>
      </c>
      <c r="AC340" t="str" s="547" cm="1">
        <f t="array" ref="AC340">_xlfn.IFERROR(AA340*25%,"N/A")</f>
        <v>N/A</v>
      </c>
      <c r="AD340" t="str" s="546" cm="1">
        <f t="array" ref="AD340">IF(B340&gt;0,SUM(AA340:AC340),"N/A")</f>
        <v>N/A</v>
      </c>
      <c r="AE340" t="str" s="547" cm="1">
        <f t="array" ref="AE340">_xlfn.IFERROR(AD340/B340,"N/A")</f>
        <v>N/A</v>
      </c>
      <c r="AF340" s="424"/>
      <c r="AG340" t="str" s="546" cm="1">
        <f t="array" ref="AG340">IF(B340/VLOOKUP(C324,'Boats Data Sheet 2026'!$C$3:$H$57,6,0)&gt;VLOOKUP(C324,'Allocation OH and Target 2026'!$C$3:$J$23,8,0),IF(SUM(AH326:AH339)=0,AE340,"N/A"),"N/A")</f>
        <v>N/A</v>
      </c>
      <c r="AH340" s="424" cm="1">
        <f t="array" ref="AH340">IF(AG340="N/A",0,1)</f>
        <v>0</v>
      </c>
      <c r="AI340" t="str" s="547" cm="1">
        <f t="array" ref="AI340">IF(B340/VLOOKUP(C324,'Boats Data Sheet 2026'!$C$3:$H$57,6,0)&gt;VLOOKUP(C324,'Allocation OH and Target 2026'!$C$3:$J$23,8,0),IF(SUM(AH326:AH339)=0,S340/B340,"N/A"),"N/A")</f>
        <v>N/A</v>
      </c>
      <c r="AJ340" s="424" cm="1">
        <f t="array" ref="AJ340">IF(AI340="N/A",0,1)</f>
        <v>0</v>
      </c>
      <c r="AK340" t="str" s="527" cm="1">
        <f t="array" ref="AK340">IF(SUM($AG$120:$AG$137)*B340&lt;SUM(AA340:AB340),"NO GO","GO")</f>
        <v>GO</v>
      </c>
      <c r="AL340" s="424"/>
      <c r="AM340" s="538"/>
      <c r="AN340" s="538"/>
      <c r="AO340" s="538"/>
      <c r="AP340" s="542"/>
      <c r="AQ340" s="543" cm="1">
        <f t="array" ref="AQ340">B340</f>
        <v>0</v>
      </c>
      <c r="AR340" s="18"/>
    </row>
    <row r="341" ht="16" customHeight="1">
      <c r="A341" s="12"/>
      <c r="B341" s="544" cm="1">
        <f t="array" ref="B341">IF(B340=0,0,IF(B340&lt;VLOOKUP(C324,'Boats Data Sheet 2026'!$C$3:$H$57,6,0),B340+1,0))</f>
        <v>0</v>
      </c>
      <c r="C341" t="str" s="547" cm="1">
        <f t="array" ref="C341">IF(B341&gt;0,IF(VLOOKUP(C324,'Boats Data Sheet 2026'!$C$3:$J$57,8,0)="N/A",0,VLOOKUP(C324,'Boats Data Sheet 2026'!$C$3:$J$57,8,0)),"N/A")</f>
        <v>N/A</v>
      </c>
      <c r="D341" t="str" s="547" cm="1">
        <f t="array" ref="D341">IF(B341&gt;7,2,IF(B341=0,"N/A",1))</f>
        <v>N/A</v>
      </c>
      <c r="E341" t="str" s="547" cm="1">
        <f t="array" ref="E341">_xlfn.IFERROR(SUM('Direct Costs 2026'!$C$4:$C$5)*D341,"N/A")</f>
        <v>N/A</v>
      </c>
      <c r="F341" s="538" cm="1">
        <f t="array" ref="F341">_xlfn.IFERROR('Direct Costs 2026'!$C$43*B341,"N/A")</f>
        <v>0</v>
      </c>
      <c r="G341" t="str" s="547" cm="1">
        <f t="array" ref="G341">IF(B341&gt;0,'Direct Costs 2026'!$C$25,"N/A")</f>
        <v>N/A</v>
      </c>
      <c r="H341" t="str" s="547" cm="1">
        <f t="array" ref="H341">IF(B341&gt;0,'Direct Costs 2026'!$C$19+'Direct Costs 2026'!$C$18*B341,"N/A")</f>
        <v>N/A</v>
      </c>
      <c r="I341" t="str" s="547" cm="1">
        <f t="array" ref="I341">IF(B341&gt;0,SUM('Direct Costs 2026'!$C$20:$C$21),"N/A")</f>
        <v>N/A</v>
      </c>
      <c r="J341" s="538">
        <v>0</v>
      </c>
      <c r="K341" t="str" s="547" cm="1">
        <f t="array" ref="K341">_xlfn.IFERROR((IF(B341&gt;0,'Direct Costs 2026'!$C$15+'Direct Costs 2026'!$C$14,"N/A")),"N/A")</f>
        <v>N/A</v>
      </c>
      <c r="L341" t="str" s="547" cm="1">
        <f t="array" ref="L341">IF(B341&gt;0,'Direct Costs 2026'!$C$26,"N/A")</f>
        <v>N/A</v>
      </c>
      <c r="M341" t="str" s="547" cm="1">
        <f t="array" ref="M341">IF(B341&gt;0,'Direct Costs 2026'!$C$23,"N/A")</f>
        <v>N/A</v>
      </c>
      <c r="N341" t="str" s="547" cm="1">
        <f t="array" ref="N341">IF(B341&gt;0,'Direct Costs 2026'!$C$44*B341,"N/A")</f>
        <v>N/A</v>
      </c>
      <c r="O341" t="str" s="547" cm="1">
        <f t="array" ref="O341">IF(B341&gt;0,_xlfn.IFERROR(VLOOKUP(C324,'Boats Data Sheet 2026'!$C$3:$I$57,7,0)*'Direct Costs 2026'!$C$36,"N/A"),"N/A")</f>
        <v>N/A</v>
      </c>
      <c r="P341" t="str" s="547" cm="1">
        <f t="array" ref="P341">IF(B341&gt;0,IF(OR(VLOOKUP(C329,'Boats Data Sheet 2026'!$C$3:$F$57,4,0)="Own",VLOOKUP(C329,'Boats Data Sheet 2026'!$C$3:$F$57,4,0)="Management"),('Direct Costs 2026'!$C$37+'Direct Costs 2026'!$C$39),"N/A"),"N/A")</f>
        <v>N/A</v>
      </c>
      <c r="Q341" t="str" s="547" cm="1">
        <f t="array" ref="Q341">_xlfn.IFERROR(IF(B341&gt;5,IF(B341&gt;11,IF(B341&gt;15,4,3),2),IF(B341=0,"N/A",1))*SUM('Direct Costs 2026'!$C$67:$C$68),"N/A")</f>
        <v>N/A</v>
      </c>
      <c r="R341" t="str" s="547" cm="1">
        <f t="array" ref="R341">_xlfn.IFERROR('Direct Costs 2026'!$C$27*C341,"N/A")</f>
        <v>N/A</v>
      </c>
      <c r="S341" t="str" s="547" cm="1">
        <f t="array" ref="S341">_xlfn.IFERROR(C341+SUM(E341:R341),"N/A")</f>
        <v>N/A</v>
      </c>
      <c r="T341" s="424"/>
      <c r="U341" t="str" s="547" cm="1">
        <f t="array" ref="U341">IF(B341&gt;0,'Allocation OH and Target 2026'!$E$27,"N/A")</f>
        <v>N/A</v>
      </c>
      <c r="V341" t="str" s="547" cm="1">
        <f t="array" ref="V341">IF(B341&gt;0,'Allocation OH and Target 2026'!$E$28,"N/A")</f>
        <v>N/A</v>
      </c>
      <c r="W341" t="str" s="547" cm="1">
        <f t="array" ref="W341">IF(B341&gt;0,VLOOKUP(C324,'Allocation OH and Target 2026'!$C$3:$T$23,17,0),"N/A")</f>
        <v>N/A</v>
      </c>
      <c r="X341" t="str" s="547" cm="1">
        <f t="array" ref="X341">IF(B341&gt;0,VLOOKUP(C324,'Allocation OH and Target 2026'!$C$3:$T$23,18,0),"N/A")</f>
        <v>N/A</v>
      </c>
      <c r="Y341" t="str" s="547" cm="1">
        <f t="array" ref="Y341">_xlfn.IFERROR(V341*B341+X341,"N/A")</f>
        <v>N/A</v>
      </c>
      <c r="Z341" s="424"/>
      <c r="AA341" t="str" s="547" cm="1">
        <f t="array" ref="AA341">_xlfn.IFERROR(Y341+S341,"N/A")</f>
        <v>N/A</v>
      </c>
      <c r="AB341" t="str" s="547" cm="1">
        <f t="array" ref="AB341">_xlfn.IFERROR(AA341*0.5%,"N/A")</f>
        <v>N/A</v>
      </c>
      <c r="AC341" t="str" s="547" cm="1">
        <f t="array" ref="AC341">_xlfn.IFERROR(AA341*25%,"N/A")</f>
        <v>N/A</v>
      </c>
      <c r="AD341" t="str" s="546" cm="1">
        <f t="array" ref="AD341">IF(B341&gt;0,SUM(AA341:AC341),"N/A")</f>
        <v>N/A</v>
      </c>
      <c r="AE341" t="str" s="547" cm="1">
        <f t="array" ref="AE341">_xlfn.IFERROR(AD341/B341,"N/A")</f>
        <v>N/A</v>
      </c>
      <c r="AF341" s="424"/>
      <c r="AG341" t="str" s="546" cm="1">
        <f t="array" ref="AG341">IF(B341/VLOOKUP(C324,'Boats Data Sheet 2026'!$C$3:$H$57,6,0)&gt;VLOOKUP(C324,'Allocation OH and Target 2026'!$C$3:$J$23,8,0),IF(SUM(AH326:AH340)=0,AE341,"N/A"),"N/A")</f>
        <v>N/A</v>
      </c>
      <c r="AH341" s="424" cm="1">
        <f t="array" ref="AH341">IF(AG341="N/A",0,1)</f>
        <v>0</v>
      </c>
      <c r="AI341" t="str" s="547" cm="1">
        <f t="array" ref="AI341">IF(B341/VLOOKUP(C324,'Boats Data Sheet 2026'!$C$3:$H$57,6,0)&gt;VLOOKUP(C324,'Allocation OH and Target 2026'!$C$3:$J$23,8,0),IF(SUM(AH326:AH340)=0,S341/B341,"N/A"),"N/A")</f>
        <v>N/A</v>
      </c>
      <c r="AJ341" s="424" cm="1">
        <f t="array" ref="AJ341">IF(AI341="N/A",0,1)</f>
        <v>0</v>
      </c>
      <c r="AK341" t="str" s="527" cm="1">
        <f t="array" ref="AK341">IF(SUM($AG$120:$AG$137)*B341&lt;SUM(AA341:AB341),"NO GO","GO")</f>
        <v>GO</v>
      </c>
      <c r="AL341" s="424"/>
      <c r="AM341" s="538"/>
      <c r="AN341" s="538"/>
      <c r="AO341" s="538"/>
      <c r="AP341" s="542"/>
      <c r="AQ341" s="543" cm="1">
        <f t="array" ref="AQ341">B341</f>
        <v>0</v>
      </c>
      <c r="AR341" s="18"/>
    </row>
    <row r="342" ht="16" customHeight="1">
      <c r="A342" s="12"/>
      <c r="B342" s="544" cm="1">
        <f t="array" ref="B342">IF(B341=0,0,IF(B341&lt;VLOOKUP(C324,'Boats Data Sheet 2026'!$C$3:$H$57,6,0),B341+1,0))</f>
        <v>0</v>
      </c>
      <c r="C342" t="str" s="547" cm="1">
        <f t="array" ref="C342">IF(B342&gt;0,IF(VLOOKUP(C324,'Boats Data Sheet 2026'!$C$3:$J$57,8,0)="N/A",0,VLOOKUP(C324,'Boats Data Sheet 2026'!$C$3:$J$57,8,0)),"N/A")</f>
        <v>N/A</v>
      </c>
      <c r="D342" t="str" s="547" cm="1">
        <f t="array" ref="D342">IF(B342&gt;7,2,IF(B342=0,"N/A",1))</f>
        <v>N/A</v>
      </c>
      <c r="E342" t="str" s="547" cm="1">
        <f t="array" ref="E342">_xlfn.IFERROR(SUM('Direct Costs 2026'!$C$4:$C$5)*D342,"N/A")</f>
        <v>N/A</v>
      </c>
      <c r="F342" s="538" cm="1">
        <f t="array" ref="F342">_xlfn.IFERROR('Direct Costs 2026'!$C$43*B342,"N/A")</f>
        <v>0</v>
      </c>
      <c r="G342" t="str" s="547" cm="1">
        <f t="array" ref="G342">IF(B342&gt;0,'Direct Costs 2026'!$C$25,"N/A")</f>
        <v>N/A</v>
      </c>
      <c r="H342" t="str" s="547" cm="1">
        <f t="array" ref="H342">IF(B342&gt;0,'Direct Costs 2026'!$C$19+'Direct Costs 2026'!$C$18*B342,"N/A")</f>
        <v>N/A</v>
      </c>
      <c r="I342" t="str" s="547" cm="1">
        <f t="array" ref="I342">IF(B342&gt;0,SUM('Direct Costs 2026'!$C$20:$C$21),"N/A")</f>
        <v>N/A</v>
      </c>
      <c r="J342" s="538">
        <v>0</v>
      </c>
      <c r="K342" t="str" s="547" cm="1">
        <f t="array" ref="K342">_xlfn.IFERROR((IF(B342&gt;0,'Direct Costs 2026'!$C$15+'Direct Costs 2026'!$C$14,"N/A")),"N/A")</f>
        <v>N/A</v>
      </c>
      <c r="L342" t="str" s="547" cm="1">
        <f t="array" ref="L342">IF(B342&gt;0,'Direct Costs 2026'!$C$26,"N/A")</f>
        <v>N/A</v>
      </c>
      <c r="M342" t="str" s="547" cm="1">
        <f t="array" ref="M342">IF(B342&gt;0,'Direct Costs 2026'!$C$23,"N/A")</f>
        <v>N/A</v>
      </c>
      <c r="N342" t="str" s="547" cm="1">
        <f t="array" ref="N342">IF(B342&gt;0,'Direct Costs 2026'!$C$44*B342,"N/A")</f>
        <v>N/A</v>
      </c>
      <c r="O342" t="str" s="547" cm="1">
        <f t="array" ref="O342">IF(B342&gt;0,_xlfn.IFERROR(VLOOKUP(C324,'Boats Data Sheet 2026'!$C$3:$I$57,7,0)*'Direct Costs 2026'!$C$36,"N/A"),"N/A")</f>
        <v>N/A</v>
      </c>
      <c r="P342" t="str" s="547" cm="1">
        <f t="array" ref="P342">IF(B342&gt;0,IF(OR(VLOOKUP(C330,'Boats Data Sheet 2026'!$C$3:$F$57,4,0)="Own",VLOOKUP(C330,'Boats Data Sheet 2026'!$C$3:$F$57,4,0)="Management"),('Direct Costs 2026'!$C$37+'Direct Costs 2026'!$C$39),"N/A"),"N/A")</f>
        <v>N/A</v>
      </c>
      <c r="Q342" t="str" s="547" cm="1">
        <f t="array" ref="Q342">_xlfn.IFERROR(IF(B342&gt;5,IF(B342&gt;11,IF(B342&gt;15,4,3),2),IF(B342=0,"N/A",1))*SUM('Direct Costs 2026'!$C$67:$C$68),"N/A")</f>
        <v>N/A</v>
      </c>
      <c r="R342" t="str" s="547" cm="1">
        <f t="array" ref="R342">_xlfn.IFERROR('Direct Costs 2026'!$C$27*C342,"N/A")</f>
        <v>N/A</v>
      </c>
      <c r="S342" t="str" s="547" cm="1">
        <f t="array" ref="S342">_xlfn.IFERROR(C342+SUM(E342:R342),"N/A")</f>
        <v>N/A</v>
      </c>
      <c r="T342" s="424"/>
      <c r="U342" t="str" s="547" cm="1">
        <f t="array" ref="U342">IF(B342&gt;0,'Allocation OH and Target 2026'!$E$27,"N/A")</f>
        <v>N/A</v>
      </c>
      <c r="V342" t="str" s="547" cm="1">
        <f t="array" ref="V342">IF(B342&gt;0,'Allocation OH and Target 2026'!$E$28,"N/A")</f>
        <v>N/A</v>
      </c>
      <c r="W342" t="str" s="547" cm="1">
        <f t="array" ref="W342">IF(B342&gt;0,VLOOKUP(C324,'Allocation OH and Target 2026'!$C$3:$T$23,17,0),"N/A")</f>
        <v>N/A</v>
      </c>
      <c r="X342" t="str" s="547" cm="1">
        <f t="array" ref="X342">IF(B342&gt;0,VLOOKUP(C324,'Allocation OH and Target 2026'!$C$3:$T$23,18,0),"N/A")</f>
        <v>N/A</v>
      </c>
      <c r="Y342" t="str" s="547" cm="1">
        <f t="array" ref="Y342">_xlfn.IFERROR(V342*B342+X342,"N/A")</f>
        <v>N/A</v>
      </c>
      <c r="Z342" s="424"/>
      <c r="AA342" t="str" s="547" cm="1">
        <f t="array" ref="AA342">_xlfn.IFERROR(Y342+S342,"N/A")</f>
        <v>N/A</v>
      </c>
      <c r="AB342" t="str" s="547" cm="1">
        <f t="array" ref="AB342">_xlfn.IFERROR(AA342*0.5%,"N/A")</f>
        <v>N/A</v>
      </c>
      <c r="AC342" t="str" s="547" cm="1">
        <f t="array" ref="AC342">_xlfn.IFERROR(AA342*25%,"N/A")</f>
        <v>N/A</v>
      </c>
      <c r="AD342" t="str" s="546" cm="1">
        <f t="array" ref="AD342">IF(B342&gt;0,SUM(AA342:AC342),"N/A")</f>
        <v>N/A</v>
      </c>
      <c r="AE342" t="str" s="547" cm="1">
        <f t="array" ref="AE342">_xlfn.IFERROR(AD342/B342,"N/A")</f>
        <v>N/A</v>
      </c>
      <c r="AF342" s="424"/>
      <c r="AG342" t="str" s="546" cm="1">
        <f t="array" ref="AG342">IF(B342/VLOOKUP(C324,'Boats Data Sheet 2026'!$C$3:$H$57,6,0)&gt;VLOOKUP(C324,'Allocation OH and Target 2026'!$C$3:$J$23,8,0),IF(SUM(AH326:AH341)=0,AE342,"N/A"),"N/A")</f>
        <v>N/A</v>
      </c>
      <c r="AH342" s="424" cm="1">
        <f t="array" ref="AH342">IF(AG342="N/A",0,1)</f>
        <v>0</v>
      </c>
      <c r="AI342" t="str" s="547" cm="1">
        <f t="array" ref="AI342">IF(B342/VLOOKUP(C324,'Boats Data Sheet 2026'!$C$3:$H$57,6,0)&gt;VLOOKUP(C324,'Allocation OH and Target 2026'!$C$3:$J$23,8,0),IF(SUM(AH326:AH341)=0,S342/B342,"N/A"),"N/A")</f>
        <v>N/A</v>
      </c>
      <c r="AJ342" s="424" cm="1">
        <f t="array" ref="AJ342">IF(AI342="N/A",0,1)</f>
        <v>0</v>
      </c>
      <c r="AK342" t="str" s="527" cm="1">
        <f t="array" ref="AK342">IF(SUM($AG$120:$AG$137)*B342&lt;SUM(AA342:AB342),"NO GO","GO")</f>
        <v>GO</v>
      </c>
      <c r="AL342" s="424"/>
      <c r="AM342" s="538"/>
      <c r="AN342" s="538"/>
      <c r="AO342" s="538"/>
      <c r="AP342" s="542"/>
      <c r="AQ342" s="543" cm="1">
        <f t="array" ref="AQ342">B342</f>
        <v>0</v>
      </c>
      <c r="AR342" s="18"/>
    </row>
    <row r="343" ht="16" customHeight="1">
      <c r="A343" s="12"/>
      <c r="B343" s="544" cm="1">
        <f t="array" ref="B343">IF(B342=0,0,IF(B342&lt;VLOOKUP(C324,'Boats Data Sheet 2026'!$C$3:$H$57,6,0),B342+1,0))</f>
        <v>0</v>
      </c>
      <c r="C343" t="str" s="547" cm="1">
        <f t="array" ref="C343">IF(B343&gt;0,IF(VLOOKUP(C324,'Boats Data Sheet 2026'!$C$3:$J$57,8,0)="N/A",0,VLOOKUP(C324,'Boats Data Sheet 2026'!$C$3:$J$57,8,0)),"N/A")</f>
        <v>N/A</v>
      </c>
      <c r="D343" t="str" s="547" cm="1">
        <f t="array" ref="D343">IF(B343&gt;7,2,IF(B343=0,"N/A",1))</f>
        <v>N/A</v>
      </c>
      <c r="E343" t="str" s="547" cm="1">
        <f t="array" ref="E343">_xlfn.IFERROR(SUM('Direct Costs 2026'!$C$4:$C$5)*D343,"N/A")</f>
        <v>N/A</v>
      </c>
      <c r="F343" s="538" cm="1">
        <f t="array" ref="F343">_xlfn.IFERROR('Direct Costs 2026'!$C$43*B343,"N/A")</f>
        <v>0</v>
      </c>
      <c r="G343" t="str" s="547" cm="1">
        <f t="array" ref="G343">IF(B343&gt;0,'Direct Costs 2026'!$C$25,"N/A")</f>
        <v>N/A</v>
      </c>
      <c r="H343" t="str" s="547" cm="1">
        <f t="array" ref="H343">IF(B343&gt;0,'Direct Costs 2026'!$C$19+'Direct Costs 2026'!$C$18*B343,"N/A")</f>
        <v>N/A</v>
      </c>
      <c r="I343" t="str" s="547" cm="1">
        <f t="array" ref="I343">IF(B343&gt;0,SUM('Direct Costs 2026'!$C$20:$C$21),"N/A")</f>
        <v>N/A</v>
      </c>
      <c r="J343" s="538">
        <v>0</v>
      </c>
      <c r="K343" t="str" s="547" cm="1">
        <f t="array" ref="K343">_xlfn.IFERROR((IF(B343&gt;0,'Direct Costs 2026'!$C$15+'Direct Costs 2026'!$C$14,"N/A")),"N/A")</f>
        <v>N/A</v>
      </c>
      <c r="L343" t="str" s="547" cm="1">
        <f t="array" ref="L343">IF(B343&gt;0,'Direct Costs 2026'!$C$26,"N/A")</f>
        <v>N/A</v>
      </c>
      <c r="M343" t="str" s="547" cm="1">
        <f t="array" ref="M343">IF(B343&gt;0,'Direct Costs 2026'!$C$23,"N/A")</f>
        <v>N/A</v>
      </c>
      <c r="N343" t="str" s="547" cm="1">
        <f t="array" ref="N343">IF(B343&gt;0,'Direct Costs 2026'!$C$44*B343,"N/A")</f>
        <v>N/A</v>
      </c>
      <c r="O343" t="str" s="547" cm="1">
        <f t="array" ref="O343">IF(B343&gt;0,_xlfn.IFERROR(VLOOKUP(C324,'Boats Data Sheet 2026'!$C$3:$I$57,7,0)*'Direct Costs 2026'!$C$36,"N/A"),"N/A")</f>
        <v>N/A</v>
      </c>
      <c r="P343" t="str" s="547" cm="1">
        <f t="array" ref="P343">IF(B343&gt;0,IF(OR(VLOOKUP(C331,'Boats Data Sheet 2026'!$C$3:$F$57,4,0)="Own",VLOOKUP(C331,'Boats Data Sheet 2026'!$C$3:$F$57,4,0)="Management"),('Direct Costs 2026'!$C$37+'Direct Costs 2026'!$C$39),"N/A"),"N/A")</f>
        <v>N/A</v>
      </c>
      <c r="Q343" t="str" s="547" cm="1">
        <f t="array" ref="Q343">_xlfn.IFERROR(IF(B343&gt;5,IF(B343&gt;11,IF(B343&gt;15,4,3),2),IF(B343=0,"N/A",1))*SUM('Direct Costs 2026'!$C$67:$C$68),"N/A")</f>
        <v>N/A</v>
      </c>
      <c r="R343" t="str" s="547" cm="1">
        <f t="array" ref="R343">_xlfn.IFERROR('Direct Costs 2026'!$C$27*C343,"N/A")</f>
        <v>N/A</v>
      </c>
      <c r="S343" t="str" s="547" cm="1">
        <f t="array" ref="S343">_xlfn.IFERROR(C343+SUM(E343:R343),"N/A")</f>
        <v>N/A</v>
      </c>
      <c r="T343" s="424"/>
      <c r="U343" t="str" s="547" cm="1">
        <f t="array" ref="U343">IF(B343&gt;0,'Allocation OH and Target 2026'!$E$27,"N/A")</f>
        <v>N/A</v>
      </c>
      <c r="V343" t="str" s="547" cm="1">
        <f t="array" ref="V343">IF(B343&gt;0,'Allocation OH and Target 2026'!$E$28,"N/A")</f>
        <v>N/A</v>
      </c>
      <c r="W343" t="str" s="547" cm="1">
        <f t="array" ref="W343">IF(B343&gt;0,VLOOKUP(C324,'Allocation OH and Target 2026'!$C$3:$T$23,17,0),"N/A")</f>
        <v>N/A</v>
      </c>
      <c r="X343" t="str" s="547" cm="1">
        <f t="array" ref="X343">IF(B343&gt;0,VLOOKUP(C324,'Allocation OH and Target 2026'!$C$3:$T$23,18,0),"N/A")</f>
        <v>N/A</v>
      </c>
      <c r="Y343" t="str" s="547" cm="1">
        <f t="array" ref="Y343">_xlfn.IFERROR(V343*B343+X343,"N/A")</f>
        <v>N/A</v>
      </c>
      <c r="Z343" s="424"/>
      <c r="AA343" t="str" s="547" cm="1">
        <f t="array" ref="AA343">_xlfn.IFERROR(Y343+S343,"N/A")</f>
        <v>N/A</v>
      </c>
      <c r="AB343" t="str" s="547" cm="1">
        <f t="array" ref="AB343">_xlfn.IFERROR(AA343*0.5%,"N/A")</f>
        <v>N/A</v>
      </c>
      <c r="AC343" t="str" s="547" cm="1">
        <f t="array" ref="AC343">_xlfn.IFERROR(AA343*25%,"N/A")</f>
        <v>N/A</v>
      </c>
      <c r="AD343" t="str" s="546" cm="1">
        <f t="array" ref="AD343">IF(B343&gt;0,SUM(AA343:AC343),"N/A")</f>
        <v>N/A</v>
      </c>
      <c r="AE343" t="str" s="547" cm="1">
        <f t="array" ref="AE343">_xlfn.IFERROR(AD343/B343,"N/A")</f>
        <v>N/A</v>
      </c>
      <c r="AF343" s="424"/>
      <c r="AG343" t="str" s="546" cm="1">
        <f t="array" ref="AG343">IF(B343/VLOOKUP(C324,'Boats Data Sheet 2026'!$C$3:$H$57,6,0)&gt;VLOOKUP(C324,'Allocation OH and Target 2026'!$C$3:$J$23,8,0),IF(SUM(AH326:AH342)=0,AE343,"N/A"),"N/A")</f>
        <v>N/A</v>
      </c>
      <c r="AH343" s="424" cm="1">
        <f t="array" ref="AH343">IF(AG343="N/A",0,1)</f>
        <v>0</v>
      </c>
      <c r="AI343" t="str" s="547" cm="1">
        <f t="array" ref="AI343">IF(B343/VLOOKUP(C324,'Boats Data Sheet 2026'!$C$3:$H$57,6,0)&gt;VLOOKUP(C324,'Allocation OH and Target 2026'!$C$3:$J$23,8,0),IF(SUM(AH326:AH342)=0,S343/B343,"N/A"),"N/A")</f>
        <v>N/A</v>
      </c>
      <c r="AJ343" s="424" cm="1">
        <f t="array" ref="AJ343">IF(AI343="N/A",0,1)</f>
        <v>0</v>
      </c>
      <c r="AK343" t="str" s="527" cm="1">
        <f t="array" ref="AK343">IF(SUM($AG$120:$AG$137)*B343&lt;SUM(AA343:AB343),"NO GO","GO")</f>
        <v>GO</v>
      </c>
      <c r="AL343" s="424"/>
      <c r="AM343" s="538"/>
      <c r="AN343" s="538"/>
      <c r="AO343" s="538"/>
      <c r="AP343" s="542"/>
      <c r="AQ343" s="543" cm="1">
        <f t="array" ref="AQ343">B343</f>
        <v>0</v>
      </c>
      <c r="AR343" s="18"/>
    </row>
    <row r="344" ht="15.5" customHeight="1">
      <c r="A344" s="12"/>
      <c r="B344" s="550" cm="1">
        <f t="array" ref="B344">IF(B343=0,0,IF(B343&lt;VLOOKUP(C324,'Boats Data Sheet 2026'!$C$3:$H$57,6,0),B343+1,0))</f>
        <v>0</v>
      </c>
      <c r="C344" t="str" s="551" cm="1">
        <f t="array" ref="C344">IF(B344&gt;0,IF(VLOOKUP(C324,'Boats Data Sheet 2026'!$C$3:$J$57,8,0)="N/A",0,VLOOKUP(C324,'Boats Data Sheet 2026'!$C$3:$J$57,8,0)),"N/A")</f>
        <v>N/A</v>
      </c>
      <c r="D344" t="str" s="551" cm="1">
        <f t="array" ref="D344">IF(B344&gt;7,2,IF(B344=0,"N/A",1))</f>
        <v>N/A</v>
      </c>
      <c r="E344" t="str" s="551" cm="1">
        <f t="array" ref="E344">_xlfn.IFERROR(SUM('Direct Costs 2026'!$C$4:$C$5)*D344,"N/A")</f>
        <v>N/A</v>
      </c>
      <c r="F344" s="552" cm="1">
        <f t="array" ref="F344">_xlfn.IFERROR('Direct Costs 2026'!$C$43*B344,"N/A")</f>
        <v>0</v>
      </c>
      <c r="G344" t="str" s="551" cm="1">
        <f t="array" ref="G344">IF(B344&gt;0,'Direct Costs 2026'!$C$25,"N/A")</f>
        <v>N/A</v>
      </c>
      <c r="H344" t="str" s="551" cm="1">
        <f t="array" ref="H344">IF(B344&gt;0,'Direct Costs 2026'!$C$19+'Direct Costs 2026'!$C$18*B344,"N/A")</f>
        <v>N/A</v>
      </c>
      <c r="I344" t="str" s="551" cm="1">
        <f t="array" ref="I344">IF(B344&gt;0,SUM('Direct Costs 2026'!$C$20:$C$21),"N/A")</f>
        <v>N/A</v>
      </c>
      <c r="J344" s="552">
        <v>0</v>
      </c>
      <c r="K344" t="str" s="551" cm="1">
        <f t="array" ref="K344">_xlfn.IFERROR((IF(B344&gt;0,'Direct Costs 2026'!$C$15+'Direct Costs 2026'!$C$14,"N/A")),"N/A")</f>
        <v>N/A</v>
      </c>
      <c r="L344" t="str" s="551" cm="1">
        <f t="array" ref="L344">IF(B344&gt;0,'Direct Costs 2026'!$C$26,"N/A")</f>
        <v>N/A</v>
      </c>
      <c r="M344" t="str" s="551" cm="1">
        <f t="array" ref="M344">IF(B344&gt;0,'Direct Costs 2026'!$C$23,"N/A")</f>
        <v>N/A</v>
      </c>
      <c r="N344" t="str" s="551" cm="1">
        <f t="array" ref="N344">IF(B344&gt;0,'Direct Costs 2026'!$C$44*B344,"N/A")</f>
        <v>N/A</v>
      </c>
      <c r="O344" t="str" s="551" cm="1">
        <f t="array" ref="O344">IF(B344&gt;0,_xlfn.IFERROR(VLOOKUP(C324,'Boats Data Sheet 2026'!$C$3:$I$57,7,0)*'Direct Costs 2026'!$C$36,"N/A"),"N/A")</f>
        <v>N/A</v>
      </c>
      <c r="P344" t="str" s="551" cm="1">
        <f t="array" ref="P344">IF(B344&gt;0,IF(OR(VLOOKUP(C332,'Boats Data Sheet 2026'!$C$3:$F$57,4,0)="Own",VLOOKUP(C332,'Boats Data Sheet 2026'!$C$3:$F$57,4,0)="Management"),('Direct Costs 2026'!$C$37+'Direct Costs 2026'!$C$39),"N/A"),"N/A")</f>
        <v>N/A</v>
      </c>
      <c r="Q344" t="str" s="551" cm="1">
        <f t="array" ref="Q344">_xlfn.IFERROR(IF(B344&gt;5,IF(B344&gt;11,IF(B344&gt;15,4,3),2),IF(B344=0,"N/A",1))*SUM('Direct Costs 2026'!$C$67:$C$68),"N/A")</f>
        <v>N/A</v>
      </c>
      <c r="R344" t="str" s="551" cm="1">
        <f t="array" ref="R344">_xlfn.IFERROR('Direct Costs 2026'!$C$27*C344,"N/A")</f>
        <v>N/A</v>
      </c>
      <c r="S344" t="str" s="551" cm="1">
        <f t="array" ref="S344">_xlfn.IFERROR(C344+SUM(E344:R344),"N/A")</f>
        <v>N/A</v>
      </c>
      <c r="T344" s="435"/>
      <c r="U344" t="str" s="551" cm="1">
        <f t="array" ref="U344">IF(B344&gt;0,'Allocation OH and Target 2026'!$E$27,"N/A")</f>
        <v>N/A</v>
      </c>
      <c r="V344" t="str" s="551" cm="1">
        <f t="array" ref="V344">IF(B344&gt;0,'Allocation OH and Target 2026'!$E$28,"N/A")</f>
        <v>N/A</v>
      </c>
      <c r="W344" t="str" s="551" cm="1">
        <f t="array" ref="W344">IF(B344&gt;0,VLOOKUP(C324,'Allocation OH and Target 2026'!$C$3:$T$23,17,0),"N/A")</f>
        <v>N/A</v>
      </c>
      <c r="X344" t="str" s="551" cm="1">
        <f t="array" ref="X344">IF(B344&gt;0,VLOOKUP(C324,'Allocation OH and Target 2026'!$C$3:$T$23,18,0),"N/A")</f>
        <v>N/A</v>
      </c>
      <c r="Y344" t="str" s="551" cm="1">
        <f t="array" ref="Y344">_xlfn.IFERROR(V344*B344+X344,"N/A")</f>
        <v>N/A</v>
      </c>
      <c r="Z344" s="435"/>
      <c r="AA344" t="str" s="551" cm="1">
        <f t="array" ref="AA344">_xlfn.IFERROR(Y344+S344,"N/A")</f>
        <v>N/A</v>
      </c>
      <c r="AB344" t="str" s="551" cm="1">
        <f t="array" ref="AB344">_xlfn.IFERROR(AA344*0.5%,"N/A")</f>
        <v>N/A</v>
      </c>
      <c r="AC344" t="str" s="551" cm="1">
        <f t="array" ref="AC344">_xlfn.IFERROR(AA344*25%,"N/A")</f>
        <v>N/A</v>
      </c>
      <c r="AD344" t="str" s="553" cm="1">
        <f t="array" ref="AD344">IF(B344&gt;0,SUM(AA344:AC344),"N/A")</f>
        <v>N/A</v>
      </c>
      <c r="AE344" t="str" s="551" cm="1">
        <f t="array" ref="AE344">_xlfn.IFERROR(AD344/B344,"N/A")</f>
        <v>N/A</v>
      </c>
      <c r="AF344" s="435"/>
      <c r="AG344" t="str" s="553" cm="1">
        <f t="array" ref="AG344">IF(B344/VLOOKUP(C324,'Boats Data Sheet 2026'!$C$3:$H$57,6,0)&gt;VLOOKUP(C324,'Allocation OH and Target 2026'!$C$3:$J$23,8,0),IF(SUM(AH326:AH343)=0,AE344,"N/A"),"N/A")</f>
        <v>N/A</v>
      </c>
      <c r="AH344" s="435" cm="1">
        <f t="array" ref="AH344">IF(AG344="N/A",0,1)</f>
        <v>0</v>
      </c>
      <c r="AI344" t="str" s="551" cm="1">
        <f t="array" ref="AI344">IF(B344/VLOOKUP(C324,'Boats Data Sheet 2026'!$C$3:$H$57,6,0)&gt;VLOOKUP(C324,'Allocation OH and Target 2026'!$C$3:$J$23,8,0),IF(SUM(AH326:AH343)=0,S344/B344,"N/A"),"N/A")</f>
        <v>N/A</v>
      </c>
      <c r="AJ344" s="435" cm="1">
        <f t="array" ref="AJ344">IF(AI344="N/A",0,1)</f>
        <v>0</v>
      </c>
      <c r="AK344" t="str" s="554" cm="1">
        <f t="array" ref="AK344">IF(SUM($AG$120:$AG$137)*B344&lt;SUM(AA344:AB344),"NO GO","GO")</f>
        <v>GO</v>
      </c>
      <c r="AL344" s="435"/>
      <c r="AM344" s="552"/>
      <c r="AN344" s="552"/>
      <c r="AO344" s="552"/>
      <c r="AP344" s="555"/>
      <c r="AQ344" s="543" cm="1">
        <f t="array" ref="AQ344">B344</f>
        <v>0</v>
      </c>
      <c r="AR344" s="18"/>
    </row>
    <row r="345" ht="15.5" customHeight="1">
      <c r="A345" s="32"/>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c r="AD345" s="124"/>
      <c r="AE345" s="124"/>
      <c r="AF345" s="124"/>
      <c r="AG345" s="124"/>
      <c r="AH345" s="124"/>
      <c r="AI345" s="124"/>
      <c r="AJ345" s="124"/>
      <c r="AK345" s="124"/>
      <c r="AL345" s="124"/>
      <c r="AM345" s="124"/>
      <c r="AN345" s="124"/>
      <c r="AO345" s="124"/>
      <c r="AP345" s="124"/>
      <c r="AQ345" s="17"/>
      <c r="AR345" s="18"/>
    </row>
    <row r="346" ht="15.5" customHeight="1">
      <c r="A346" s="32"/>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17"/>
      <c r="AR346" s="18"/>
    </row>
    <row r="347" ht="15.5" customHeight="1">
      <c r="A347" s="395">
        <v>8</v>
      </c>
      <c r="B347" t="s" s="517">
        <v>506</v>
      </c>
      <c r="C347" t="s" s="518">
        <v>599</v>
      </c>
      <c r="D347" s="519"/>
      <c r="E347" s="519"/>
      <c r="F347" s="519"/>
      <c r="G347" s="519"/>
      <c r="H347" s="519"/>
      <c r="I347" s="519"/>
      <c r="J347" s="519"/>
      <c r="K347" s="519"/>
      <c r="L347" s="519"/>
      <c r="M347" s="519"/>
      <c r="N347" s="519"/>
      <c r="O347" s="519"/>
      <c r="P347" s="519"/>
      <c r="Q347" s="519"/>
      <c r="R347" s="519"/>
      <c r="S347" s="519"/>
      <c r="T347" s="399"/>
      <c r="U347" s="519"/>
      <c r="V347" s="519"/>
      <c r="W347" s="519"/>
      <c r="X347" s="519"/>
      <c r="Y347" s="519"/>
      <c r="Z347" s="399"/>
      <c r="AA347" s="519"/>
      <c r="AB347" s="519"/>
      <c r="AC347" s="519"/>
      <c r="AD347" s="519"/>
      <c r="AE347" s="519"/>
      <c r="AF347" s="399"/>
      <c r="AG347" s="521"/>
      <c r="AH347" s="399"/>
      <c r="AI347" s="519"/>
      <c r="AJ347" s="399"/>
      <c r="AK347" s="519"/>
      <c r="AL347" s="399"/>
      <c r="AM347" t="s" s="518">
        <v>508</v>
      </c>
      <c r="AN347" s="560" cm="1">
        <f t="array" ref="AN347">AVERAGE(S350:S355)</f>
        <v>7280100</v>
      </c>
      <c r="AO347" s="519"/>
      <c r="AP347" s="522"/>
      <c r="AQ347" s="16"/>
      <c r="AR347" s="18"/>
    </row>
    <row r="348" ht="16" customHeight="1">
      <c r="A348" s="12"/>
      <c r="B348" s="523"/>
      <c r="C348" t="s" s="524">
        <v>513</v>
      </c>
      <c r="D348" s="525"/>
      <c r="E348" s="525"/>
      <c r="F348" s="525"/>
      <c r="G348" s="525"/>
      <c r="H348" s="525"/>
      <c r="I348" s="525"/>
      <c r="J348" s="525"/>
      <c r="K348" s="525"/>
      <c r="L348" s="525"/>
      <c r="M348" s="525"/>
      <c r="N348" s="525"/>
      <c r="O348" s="525"/>
      <c r="P348" s="525"/>
      <c r="Q348" s="525"/>
      <c r="R348" s="525"/>
      <c r="S348" s="526"/>
      <c r="T348" s="407"/>
      <c r="U348" t="s" s="524">
        <v>514</v>
      </c>
      <c r="V348" s="525"/>
      <c r="W348" s="525"/>
      <c r="X348" s="525"/>
      <c r="Y348" s="526"/>
      <c r="Z348" s="407"/>
      <c r="AA348" t="s" s="524">
        <v>515</v>
      </c>
      <c r="AB348" s="525"/>
      <c r="AC348" s="525"/>
      <c r="AD348" s="525"/>
      <c r="AE348" s="526"/>
      <c r="AF348" s="410"/>
      <c r="AG348" s="527"/>
      <c r="AH348" s="410"/>
      <c r="AI348" s="528"/>
      <c r="AJ348" s="410"/>
      <c r="AK348" s="528"/>
      <c r="AL348" s="410"/>
      <c r="AM348" s="528"/>
      <c r="AN348" s="528"/>
      <c r="AO348" s="528"/>
      <c r="AP348" s="529"/>
      <c r="AQ348" s="16"/>
      <c r="AR348" s="18"/>
    </row>
    <row r="349" ht="48" customHeight="1">
      <c r="A349" s="12"/>
      <c r="B349" t="s" s="530">
        <v>517</v>
      </c>
      <c r="C349" t="s" s="531">
        <v>518</v>
      </c>
      <c r="D349" t="s" s="531">
        <v>519</v>
      </c>
      <c r="E349" t="s" s="531">
        <v>520</v>
      </c>
      <c r="F349" t="s" s="532">
        <v>521</v>
      </c>
      <c r="G349" t="s" s="532">
        <v>522</v>
      </c>
      <c r="H349" t="s" s="532">
        <v>524</v>
      </c>
      <c r="I349" t="s" s="532">
        <v>525</v>
      </c>
      <c r="J349" t="s" s="532">
        <v>556</v>
      </c>
      <c r="K349" t="s" s="532">
        <v>587</v>
      </c>
      <c r="L349" t="s" s="532">
        <v>526</v>
      </c>
      <c r="M349" t="s" s="532">
        <v>527</v>
      </c>
      <c r="N349" t="s" s="532">
        <v>528</v>
      </c>
      <c r="O349" t="s" s="532">
        <v>529</v>
      </c>
      <c r="P349" t="s" s="532">
        <v>530</v>
      </c>
      <c r="Q349" t="s" s="532">
        <v>572</v>
      </c>
      <c r="R349" t="s" s="532">
        <v>531</v>
      </c>
      <c r="S349" t="s" s="532">
        <v>532</v>
      </c>
      <c r="T349" s="556"/>
      <c r="U349" t="s" s="532">
        <v>533</v>
      </c>
      <c r="V349" t="s" s="532">
        <v>573</v>
      </c>
      <c r="W349" t="s" s="532">
        <v>534</v>
      </c>
      <c r="X349" t="s" s="532">
        <v>574</v>
      </c>
      <c r="Y349" t="s" s="532">
        <v>535</v>
      </c>
      <c r="Z349" s="556"/>
      <c r="AA349" t="s" s="532">
        <v>536</v>
      </c>
      <c r="AB349" t="s" s="532">
        <v>537</v>
      </c>
      <c r="AC349" t="s" s="532">
        <v>538</v>
      </c>
      <c r="AD349" t="s" s="532">
        <v>575</v>
      </c>
      <c r="AE349" t="s" s="532">
        <v>539</v>
      </c>
      <c r="AF349" s="557"/>
      <c r="AG349" t="s" s="532">
        <v>576</v>
      </c>
      <c r="AH349" s="557"/>
      <c r="AI349" t="s" s="532">
        <v>577</v>
      </c>
      <c r="AJ349" s="557"/>
      <c r="AK349" t="s" s="531">
        <v>578</v>
      </c>
      <c r="AL349" s="557"/>
      <c r="AM349" t="s" s="532">
        <v>568</v>
      </c>
      <c r="AN349" t="s" s="532">
        <v>544</v>
      </c>
      <c r="AO349" s="533"/>
      <c r="AP349" s="534"/>
      <c r="AQ349" s="16"/>
      <c r="AR349" s="18"/>
    </row>
    <row r="350" ht="16.5" customHeight="1">
      <c r="A350" s="12"/>
      <c r="B350" s="535">
        <v>1</v>
      </c>
      <c r="C350" s="536" cm="1">
        <f t="array" ref="C350">IF(B350&gt;0,IF(VLOOKUP(C347,'Boats Data Sheet 2026'!$C$3:$J$57,8,0)="N/A",0,VLOOKUP(C347,'Boats Data Sheet 2026'!$C$3:$J$57,8,0)),"N/A")</f>
        <v>0</v>
      </c>
      <c r="D350" s="537" cm="1">
        <f t="array" ref="D350">IF(B350&gt;7,2,IF(B350=0,"N/A",1))</f>
        <v>1</v>
      </c>
      <c r="E350" s="536" cm="1">
        <f t="array" ref="E350">_xlfn.IFERROR(SUM('Direct Costs 2026'!$C$4:$C$5)*D350,"N/A")</f>
        <v>875500</v>
      </c>
      <c r="F350" s="538" cm="1">
        <f t="array" ref="F350">_xlfn.IFERROR('Direct Costs 2026'!$C$43*B350,"N/A")</f>
        <v>6000</v>
      </c>
      <c r="G350" s="538" cm="1">
        <f t="array" ref="G350">IF(B350&gt;0,'Direct Costs 2026'!$C$25,"N/A")</f>
        <v>90000</v>
      </c>
      <c r="H350" s="538" cm="1">
        <f t="array" ref="H350">IF(B350&gt;0,'Direct Costs 2026'!$C$19+'Direct Costs 2026'!$C$18*B350,"N/A")</f>
        <v>110000</v>
      </c>
      <c r="I350" s="538">
        <v>0</v>
      </c>
      <c r="J350" s="538">
        <v>0</v>
      </c>
      <c r="K350" s="538" cm="1">
        <f t="array" ref="K350">_xlfn.IFERROR((IF(B350&gt;0,'Direct Costs 2026'!$C$15+'Direct Costs 2026'!$C$14,"N/A")),"N/A")</f>
        <v>230000</v>
      </c>
      <c r="L350" s="538">
        <v>0</v>
      </c>
      <c r="M350" s="538" cm="1">
        <f t="array" ref="M350">IF(B350&gt;0,'Direct Costs 2026'!$C$23,"N/A")</f>
        <v>140000</v>
      </c>
      <c r="N350" s="538" cm="1">
        <f t="array" ref="N350">IF(B350&gt;0,'Direct Costs 2026'!$C$44*B350,"N/A")</f>
        <v>110000</v>
      </c>
      <c r="O350" s="538" cm="1">
        <f t="array" ref="O350">IF(B350&gt;0,_xlfn.IFERROR(VLOOKUP(C347,'Boats Data Sheet 2026'!$C$3:$I$57,7,0)*'Direct Costs 2026'!$C$36,"N/A"),"N/A")</f>
        <v>3657500</v>
      </c>
      <c r="P350" s="538" cm="1">
        <f t="array" ref="P350">IF(B350&gt;0,IF(OR(VLOOKUP(C347,'Boats Data Sheet 2026'!$C$3:$F$57,4,0)="Own",VLOOKUP(C347,'Boats Data Sheet 2026'!$C$3:$F$57,4,0)="Management"),('Direct Costs 2026'!$C$37+'Direct Costs 2026'!$C$39),"N/A"),"N/A")</f>
        <v>1112400</v>
      </c>
      <c r="Q350" s="538" cm="1">
        <f t="array" ref="Q350">_xlfn.IFERROR(IF(B350&gt;5,IF(B350&gt;11,IF(B350&gt;15,4,3),2),IF(B350=0,"N/A",1))*SUM('Direct Costs 2026'!$C$67:$C$68),"N/A")</f>
        <v>489600</v>
      </c>
      <c r="R350" s="538" cm="1">
        <f t="array" ref="R350">_xlfn.IFERROR('Direct Costs 2026'!$C$27*C350,"N/A")</f>
        <v>0</v>
      </c>
      <c r="S350" s="538" cm="1">
        <f t="array" ref="S350">_xlfn.IFERROR(C350+SUM(E350:R350),"N/A")</f>
        <v>6821000</v>
      </c>
      <c r="T350" s="424"/>
      <c r="U350" s="538" cm="1">
        <f t="array" ref="U350">IF(B350&gt;0,'Allocation OH and Target 2026'!$E$27,"N/A")</f>
        <v>2134447.30345641</v>
      </c>
      <c r="V350" s="538" cm="1">
        <f t="array" ref="V350">IF(B350&gt;0,'Allocation OH and Target 2026'!$E$28,"N/A")</f>
        <v>200042.323056976</v>
      </c>
      <c r="W350" s="538" cm="1">
        <f t="array" ref="W350">IF(B350&gt;0,VLOOKUP(C347,'Allocation OH and Target 2026'!$C$3:$T$23,17,0),"N/A")</f>
        <v>0</v>
      </c>
      <c r="X350" s="538" cm="1">
        <f t="array" ref="X350">IF(B350&gt;0,VLOOKUP(C347,'Allocation OH and Target 2026'!$C$3:$T$23,18,0),"N/A")</f>
        <v>0</v>
      </c>
      <c r="Y350" s="538" cm="1">
        <f t="array" ref="Y350">_xlfn.IFERROR(B350*(V350+X350),"N/A")</f>
        <v>200042.323056976</v>
      </c>
      <c r="Z350" s="424"/>
      <c r="AA350" s="538" cm="1">
        <f t="array" ref="AA350">_xlfn.IFERROR(Y350+S350,"N/A")</f>
        <v>7021042.32305698</v>
      </c>
      <c r="AB350" s="538" cm="1">
        <f t="array" ref="AB350">_xlfn.IFERROR(AA350*0.5%,"N/A")</f>
        <v>35105.2116152849</v>
      </c>
      <c r="AC350" s="538" cm="1">
        <f t="array" ref="AC350">_xlfn.IFERROR(AA350*25%,"N/A")</f>
        <v>1755260.58076425</v>
      </c>
      <c r="AD350" s="539" cm="1">
        <f t="array" ref="AD350">IF(B350&gt;0,SUM(AA350:AC350),"N/A")</f>
        <v>8811408.115436509</v>
      </c>
      <c r="AE350" s="538" cm="1">
        <f t="array" ref="AE350">_xlfn.IFERROR(AD350/B350,"N/A")</f>
        <v>8811408.115436509</v>
      </c>
      <c r="AF350" s="424"/>
      <c r="AG350" t="s" s="540">
        <v>14</v>
      </c>
      <c r="AH350" s="424" cm="1">
        <f t="array" ref="AH350">IF(AG350="N/A",0,1)</f>
        <v>0</v>
      </c>
      <c r="AI350" t="s" s="541">
        <v>14</v>
      </c>
      <c r="AJ350" s="424" cm="1">
        <f t="array" ref="AJ350">IF(AI350="N/A",0,1)</f>
        <v>0</v>
      </c>
      <c r="AK350" t="str" s="558" cm="1">
        <f t="array" ref="AK350">IF(SUM($AG$120:$AG$137)*B350&lt;SUM(AA350:AB350),"NO GO","GO")</f>
        <v>NO GO</v>
      </c>
      <c r="AL350" s="424"/>
      <c r="AM350" t="s" s="541">
        <v>600</v>
      </c>
      <c r="AN350" s="561" cm="1">
        <f t="array" ref="AN350">'Allocation OH and Target 2026'!M21</f>
        <v>0</v>
      </c>
      <c r="AO350" s="538"/>
      <c r="AP350" s="542"/>
      <c r="AQ350" s="543" cm="1">
        <f t="array" ref="AQ350">B350</f>
        <v>1</v>
      </c>
      <c r="AR350" s="18"/>
    </row>
    <row r="351" ht="16" customHeight="1">
      <c r="A351" s="12"/>
      <c r="B351" s="544" cm="1">
        <f t="array" ref="B351">IF(B350=0,0,IF(B350&lt;VLOOKUP(C347,'Boats Data Sheet 2026'!$C$3:$H$57,6,0),B350+1,0))</f>
        <v>2</v>
      </c>
      <c r="C351" s="538" cm="1">
        <f t="array" ref="C351">IF(B351&gt;0,IF(VLOOKUP(C347,'Boats Data Sheet 2026'!$C$3:$J$57,8,0)="N/A",0,VLOOKUP(C347,'Boats Data Sheet 2026'!$C$3:$J$57,8,0)),"N/A")</f>
        <v>0</v>
      </c>
      <c r="D351" s="545" cm="1">
        <f t="array" ref="D351">IF(B351&gt;7,2,IF(B351=0,"N/A",1))</f>
        <v>1</v>
      </c>
      <c r="E351" s="538" cm="1">
        <f t="array" ref="E351">_xlfn.IFERROR(SUM('Direct Costs 2026'!$C$4:$C$5)*D351,"N/A")</f>
        <v>875500</v>
      </c>
      <c r="F351" s="538" cm="1">
        <f t="array" ref="F351">_xlfn.IFERROR('Direct Costs 2026'!$C$43*B351,"N/A")</f>
        <v>12000</v>
      </c>
      <c r="G351" s="538" cm="1">
        <f t="array" ref="G351">IF(B351&gt;0,'Direct Costs 2026'!$C$25,"N/A")</f>
        <v>90000</v>
      </c>
      <c r="H351" s="538" cm="1">
        <f t="array" ref="H351">IF(B351&gt;0,'Direct Costs 2026'!$C$19+'Direct Costs 2026'!$C$18*B351,"N/A")</f>
        <v>145000</v>
      </c>
      <c r="I351" s="538">
        <v>0</v>
      </c>
      <c r="J351" s="538">
        <v>0</v>
      </c>
      <c r="K351" s="538" cm="1">
        <f t="array" ref="K351">_xlfn.IFERROR((IF(B351&gt;0,'Direct Costs 2026'!$C$15+'Direct Costs 2026'!$C$14,"N/A")),"N/A")</f>
        <v>230000</v>
      </c>
      <c r="L351" s="538">
        <v>0</v>
      </c>
      <c r="M351" s="538" cm="1">
        <f t="array" ref="M351">IF(B351&gt;0,'Direct Costs 2026'!$C$23,"N/A")</f>
        <v>140000</v>
      </c>
      <c r="N351" s="538" cm="1">
        <f t="array" ref="N351">IF(B351&gt;0,'Direct Costs 2026'!$C$44*B351,"N/A")</f>
        <v>220000</v>
      </c>
      <c r="O351" s="538" cm="1">
        <f t="array" ref="O351">IF(B351&gt;0,_xlfn.IFERROR(VLOOKUP(C347,'Boats Data Sheet 2026'!$C$3:$I$57,7,0)*'Direct Costs 2026'!$C$36,"N/A"),"N/A")</f>
        <v>3657500</v>
      </c>
      <c r="P351" s="538" cm="1">
        <f t="array" ref="P351">IF(B351&gt;0,IF(OR(VLOOKUP(C347,'Boats Data Sheet 2026'!$C$3:$F$57,4,0)="Own",VLOOKUP(C347,'Boats Data Sheet 2026'!$C$3:$F$57,4,0)="Management"),('Direct Costs 2026'!$C$37+'Direct Costs 2026'!$C$39),"N/A"),"N/A")</f>
        <v>1112400</v>
      </c>
      <c r="Q351" s="538" cm="1">
        <f t="array" ref="Q351">_xlfn.IFERROR(IF(B351&gt;5,IF(B351&gt;11,IF(B351&gt;15,4,3),2),IF(B351=0,"N/A",1))*SUM('Direct Costs 2026'!$C$67:$C$68),"N/A")</f>
        <v>489600</v>
      </c>
      <c r="R351" s="538" cm="1">
        <f t="array" ref="R351">_xlfn.IFERROR('Direct Costs 2026'!$C$27*C351,"N/A")</f>
        <v>0</v>
      </c>
      <c r="S351" s="538" cm="1">
        <f t="array" ref="S351">_xlfn.IFERROR(C351+SUM(E351:R351),"N/A")</f>
        <v>6972000</v>
      </c>
      <c r="T351" s="424"/>
      <c r="U351" s="538" cm="1">
        <f t="array" ref="U351">IF(B351&gt;0,'Allocation OH and Target 2026'!$E$27,"N/A")</f>
        <v>2134447.30345641</v>
      </c>
      <c r="V351" s="538" cm="1">
        <f t="array" ref="V351">IF(B351&gt;0,'Allocation OH and Target 2026'!$E$28,"N/A")</f>
        <v>200042.323056976</v>
      </c>
      <c r="W351" s="538" cm="1">
        <f t="array" ref="W351">IF(B351&gt;0,VLOOKUP(C347,'Allocation OH and Target 2026'!$C$3:$T$23,17,0),"N/A")</f>
        <v>0</v>
      </c>
      <c r="X351" s="538" cm="1">
        <f t="array" ref="X351">IF(B351&gt;0,VLOOKUP(C347,'Allocation OH and Target 2026'!$C$3:$T$23,18,0),"N/A")</f>
        <v>0</v>
      </c>
      <c r="Y351" s="538" cm="1">
        <f t="array" ref="Y351">_xlfn.IFERROR(B351*(V351+X351),"N/A")</f>
        <v>400084.646113952</v>
      </c>
      <c r="Z351" s="424"/>
      <c r="AA351" s="538" cm="1">
        <f t="array" ref="AA351">_xlfn.IFERROR(Y351+S351,"N/A")</f>
        <v>7372084.64611395</v>
      </c>
      <c r="AB351" s="538" cm="1">
        <f t="array" ref="AB351">_xlfn.IFERROR(AA351*0.5%,"N/A")</f>
        <v>36860.4232305698</v>
      </c>
      <c r="AC351" s="538" cm="1">
        <f t="array" ref="AC351">_xlfn.IFERROR(AA351*25%,"N/A")</f>
        <v>1843021.16152849</v>
      </c>
      <c r="AD351" s="539" cm="1">
        <f t="array" ref="AD351">IF(B351&gt;0,SUM(AA351:AC351),"N/A")</f>
        <v>9251966.230873009</v>
      </c>
      <c r="AE351" s="538" cm="1">
        <f t="array" ref="AE351">_xlfn.IFERROR(AD351/B351,"N/A")</f>
        <v>4625983.11543651</v>
      </c>
      <c r="AF351" s="424"/>
      <c r="AG351" t="str" s="546" cm="1">
        <f t="array" ref="AG351">IF(B351/VLOOKUP(C347,'Boats Data Sheet 2026'!$C$3:$H$57,6,0)&gt;VLOOKUP(C347,'Allocation OH and Target 2026'!$C$3:$J$23,8,0),IF(SUM(AH349:AH350)=0,AE351,"N/A"),"N/A")</f>
        <v>N/A</v>
      </c>
      <c r="AH351" s="424" cm="1">
        <f t="array" ref="AH351">IF(AG351="N/A",0,1)</f>
        <v>0</v>
      </c>
      <c r="AI351" t="str" s="547" cm="1">
        <f t="array" ref="AI351">IF(B351/VLOOKUP(C347,'Boats Data Sheet 2026'!$C$3:$H$57,6,0)&gt;VLOOKUP(C347,'Allocation OH and Target 2026'!$C$3:$J$23,8,0),IF(SUM(AH349:AH350)=0,S351/B351,"N/A"),"N/A")</f>
        <v>N/A</v>
      </c>
      <c r="AJ351" s="424" cm="1">
        <f t="array" ref="AJ351">IF(AI351="N/A",0,1)</f>
        <v>0</v>
      </c>
      <c r="AK351" t="str" s="527" cm="1">
        <f t="array" ref="AK351">IF(SUM($AG$120:$AG$137)*B351&lt;SUM(AA351:AB351),"NO GO","GO")</f>
        <v>NO GO</v>
      </c>
      <c r="AL351" s="424"/>
      <c r="AM351" t="s" s="562">
        <v>546</v>
      </c>
      <c r="AN351" s="538"/>
      <c r="AO351" s="538"/>
      <c r="AP351" s="542"/>
      <c r="AQ351" s="543" cm="1">
        <f t="array" ref="AQ351">B351</f>
        <v>2</v>
      </c>
      <c r="AR351" s="18"/>
    </row>
    <row r="352" ht="16" customHeight="1">
      <c r="A352" s="12"/>
      <c r="B352" s="544" cm="1">
        <f t="array" ref="B352">IF(B351=0,0,IF(B351&lt;VLOOKUP(C347,'Boats Data Sheet 2026'!$C$3:$H$57,6,0),B351+1,0))</f>
        <v>3</v>
      </c>
      <c r="C352" s="538" cm="1">
        <f t="array" ref="C352">IF(B352&gt;0,IF(VLOOKUP(C347,'Boats Data Sheet 2026'!$C$3:$J$57,8,0)="N/A",0,VLOOKUP(C347,'Boats Data Sheet 2026'!$C$3:$J$57,8,0)),"N/A")</f>
        <v>0</v>
      </c>
      <c r="D352" s="545" cm="1">
        <f t="array" ref="D352">IF(B352&gt;7,2,IF(B352=0,"N/A",1))</f>
        <v>1</v>
      </c>
      <c r="E352" s="538" cm="1">
        <f t="array" ref="E352">_xlfn.IFERROR(SUM('Direct Costs 2026'!$C$4:$C$5)*D352,"N/A")</f>
        <v>875500</v>
      </c>
      <c r="F352" s="538" cm="1">
        <f t="array" ref="F352">_xlfn.IFERROR('Direct Costs 2026'!$C$43*B352,"N/A")</f>
        <v>18000</v>
      </c>
      <c r="G352" s="538" cm="1">
        <f t="array" ref="G352">IF(B352&gt;0,'Direct Costs 2026'!$C$25,"N/A")</f>
        <v>90000</v>
      </c>
      <c r="H352" s="538" cm="1">
        <f t="array" ref="H352">IF(B352&gt;0,'Direct Costs 2026'!$C$19+'Direct Costs 2026'!$C$18*B352,"N/A")</f>
        <v>180000</v>
      </c>
      <c r="I352" s="538">
        <v>0</v>
      </c>
      <c r="J352" s="538">
        <v>0</v>
      </c>
      <c r="K352" s="538" cm="1">
        <f t="array" ref="K352">_xlfn.IFERROR((IF(B352&gt;0,'Direct Costs 2026'!$C$15+'Direct Costs 2026'!$C$14,"N/A")),"N/A")</f>
        <v>230000</v>
      </c>
      <c r="L352" s="538">
        <v>0</v>
      </c>
      <c r="M352" s="538" cm="1">
        <f t="array" ref="M352">IF(B352&gt;0,'Direct Costs 2026'!$C$23,"N/A")</f>
        <v>140000</v>
      </c>
      <c r="N352" s="538" cm="1">
        <f t="array" ref="N352">IF(B352&gt;0,'Direct Costs 2026'!$C$44*B352,"N/A")</f>
        <v>330000</v>
      </c>
      <c r="O352" s="538" cm="1">
        <f t="array" ref="O352">IF(B352&gt;0,_xlfn.IFERROR(VLOOKUP(C347,'Boats Data Sheet 2026'!$C$3:$I$57,7,0)*'Direct Costs 2026'!$C$36,"N/A"),"N/A")</f>
        <v>3657500</v>
      </c>
      <c r="P352" s="538" cm="1">
        <f t="array" ref="P352">IF(B352&gt;0,IF(OR(VLOOKUP(C347,'Boats Data Sheet 2026'!$C$3:$F$57,4,0)="Own",VLOOKUP(C347,'Boats Data Sheet 2026'!$C$3:$F$57,4,0)="Management"),('Direct Costs 2026'!$C$37+'Direct Costs 2026'!$C$39),"N/A"),"N/A")</f>
        <v>1112400</v>
      </c>
      <c r="Q352" s="538" cm="1">
        <f t="array" ref="Q352">_xlfn.IFERROR(IF(B352&gt;5,IF(B352&gt;11,IF(B352&gt;15,4,3),2),IF(B352=0,"N/A",1))*SUM('Direct Costs 2026'!$C$67:$C$68),"N/A")</f>
        <v>489600</v>
      </c>
      <c r="R352" s="538" cm="1">
        <f t="array" ref="R352">_xlfn.IFERROR('Direct Costs 2026'!$C$27*C352,"N/A")</f>
        <v>0</v>
      </c>
      <c r="S352" s="538" cm="1">
        <f t="array" ref="S352">_xlfn.IFERROR(C352+SUM(E352:R352),"N/A")</f>
        <v>7123000</v>
      </c>
      <c r="T352" s="424"/>
      <c r="U352" s="538" cm="1">
        <f t="array" ref="U352">IF(B352&gt;0,'Allocation OH and Target 2026'!$E$27,"N/A")</f>
        <v>2134447.30345641</v>
      </c>
      <c r="V352" s="538" cm="1">
        <f t="array" ref="V352">IF(B352&gt;0,'Allocation OH and Target 2026'!$E$28,"N/A")</f>
        <v>200042.323056976</v>
      </c>
      <c r="W352" s="538" cm="1">
        <f t="array" ref="W352">IF(B352&gt;0,VLOOKUP(C347,'Allocation OH and Target 2026'!$C$3:$T$23,17,0),"N/A")</f>
        <v>0</v>
      </c>
      <c r="X352" s="538" cm="1">
        <f t="array" ref="X352">IF(B352&gt;0,VLOOKUP(C347,'Allocation OH and Target 2026'!$C$3:$T$23,18,0),"N/A")</f>
        <v>0</v>
      </c>
      <c r="Y352" s="538" cm="1">
        <f t="array" ref="Y352">_xlfn.IFERROR(B352*(V352+X352),"N/A")</f>
        <v>600126.969170928</v>
      </c>
      <c r="Z352" s="424"/>
      <c r="AA352" s="538" cm="1">
        <f t="array" ref="AA352">_xlfn.IFERROR(Y352+S352,"N/A")</f>
        <v>7723126.96917093</v>
      </c>
      <c r="AB352" s="538" cm="1">
        <f t="array" ref="AB352">_xlfn.IFERROR(AA352*0.5%,"N/A")</f>
        <v>38615.6348458547</v>
      </c>
      <c r="AC352" s="538" cm="1">
        <f t="array" ref="AC352">_xlfn.IFERROR(AA352*25%,"N/A")</f>
        <v>1930781.74229273</v>
      </c>
      <c r="AD352" s="539" cm="1">
        <f t="array" ref="AD352">IF(B352&gt;0,SUM(AA352:AC352),"N/A")</f>
        <v>9692524.346309509</v>
      </c>
      <c r="AE352" s="538" cm="1">
        <f t="array" ref="AE352">_xlfn.IFERROR(AD352/B352,"N/A")</f>
        <v>3230841.44876984</v>
      </c>
      <c r="AF352" s="424"/>
      <c r="AG352" t="str" s="546" cm="1">
        <f t="array" ref="AG352">IF(B352/VLOOKUP(C347,'Boats Data Sheet 2026'!$C$3:$H$57,6,0)&gt;VLOOKUP(C347,'Allocation OH and Target 2026'!$C$3:$J$23,8,0),IF(SUM(AH349:AH351)=0,AE352,"N/A"),"N/A")</f>
        <v>N/A</v>
      </c>
      <c r="AH352" s="424" cm="1">
        <f t="array" ref="AH352">IF(AG352="N/A",0,1)</f>
        <v>0</v>
      </c>
      <c r="AI352" t="str" s="547" cm="1">
        <f t="array" ref="AI352">IF(B352/VLOOKUP(C347,'Boats Data Sheet 2026'!$C$3:$H$57,6,0)&gt;VLOOKUP(C347,'Allocation OH and Target 2026'!$C$3:$J$23,8,0),IF(SUM(AH349:AH351)=0,S352/B352,"N/A"),"N/A")</f>
        <v>N/A</v>
      </c>
      <c r="AJ352" s="424" cm="1">
        <f t="array" ref="AJ352">IF(AI352="N/A",0,1)</f>
        <v>0</v>
      </c>
      <c r="AK352" t="str" s="527" cm="1">
        <f t="array" ref="AK352">IF(SUM($AG$120:$AG$137)*B352&lt;SUM(AA352:AB352),"NO GO","GO")</f>
        <v>NO GO</v>
      </c>
      <c r="AL352" s="424"/>
      <c r="AM352" t="s" s="541">
        <v>547</v>
      </c>
      <c r="AN352" s="538" cm="1">
        <f t="array" ref="AN352">AN350*'RECOMMENDED PRICES'!$D$8</f>
        <v>0</v>
      </c>
      <c r="AO352" s="538"/>
      <c r="AP352" s="542"/>
      <c r="AQ352" s="543" cm="1">
        <f t="array" ref="AQ352">B352</f>
        <v>3</v>
      </c>
      <c r="AR352" s="18"/>
    </row>
    <row r="353" ht="16" customHeight="1">
      <c r="A353" s="12"/>
      <c r="B353" s="544" cm="1">
        <f t="array" ref="B353">IF(B352=0,0,IF(B352&lt;VLOOKUP(C347,'Boats Data Sheet 2026'!$C$3:$H$57,6,0),B352+1,0))</f>
        <v>4</v>
      </c>
      <c r="C353" s="538" cm="1">
        <f t="array" ref="C353">IF(B353&gt;0,IF(VLOOKUP(C347,'Boats Data Sheet 2026'!$C$3:$J$57,8,0)="N/A",0,VLOOKUP(C347,'Boats Data Sheet 2026'!$C$3:$J$57,8,0)),"N/A")</f>
        <v>0</v>
      </c>
      <c r="D353" s="545" cm="1">
        <f t="array" ref="D353">IF(B353&gt;7,2,IF(B353=0,"N/A",1))</f>
        <v>1</v>
      </c>
      <c r="E353" s="538" cm="1">
        <f t="array" ref="E353">_xlfn.IFERROR(SUM('Direct Costs 2026'!$C$4:$C$5)*D353,"N/A")</f>
        <v>875500</v>
      </c>
      <c r="F353" s="538" cm="1">
        <f t="array" ref="F353">_xlfn.IFERROR('Direct Costs 2026'!$C$43*B353,"N/A")</f>
        <v>24000</v>
      </c>
      <c r="G353" s="538" cm="1">
        <f t="array" ref="G353">IF(B353&gt;0,'Direct Costs 2026'!$C$25,"N/A")</f>
        <v>90000</v>
      </c>
      <c r="H353" s="538" cm="1">
        <f t="array" ref="H353">IF(B353&gt;0,'Direct Costs 2026'!$C$19+'Direct Costs 2026'!$C$18*B353,"N/A")</f>
        <v>215000</v>
      </c>
      <c r="I353" s="538">
        <v>0</v>
      </c>
      <c r="J353" s="538">
        <v>0</v>
      </c>
      <c r="K353" s="538" cm="1">
        <f t="array" ref="K353">_xlfn.IFERROR((IF(B353&gt;0,'Direct Costs 2026'!$C$15+'Direct Costs 2026'!$C$14,"N/A")),"N/A")</f>
        <v>230000</v>
      </c>
      <c r="L353" s="538">
        <v>0</v>
      </c>
      <c r="M353" s="538" cm="1">
        <f t="array" ref="M353">IF(B353&gt;0,'Direct Costs 2026'!$C$23,"N/A")</f>
        <v>140000</v>
      </c>
      <c r="N353" s="538" cm="1">
        <f t="array" ref="N353">IF(B353&gt;0,'Direct Costs 2026'!$C$44*B353,"N/A")</f>
        <v>440000</v>
      </c>
      <c r="O353" s="538" cm="1">
        <f t="array" ref="O353">IF(B353&gt;0,_xlfn.IFERROR(VLOOKUP(C347,'Boats Data Sheet 2026'!$C$3:$I$57,7,0)*'Direct Costs 2026'!$C$36,"N/A"),"N/A")</f>
        <v>3657500</v>
      </c>
      <c r="P353" s="538" cm="1">
        <f t="array" ref="P353">IF(B353&gt;0,IF(OR(VLOOKUP(C347,'Boats Data Sheet 2026'!$C$3:$F$57,4,0)="Own",VLOOKUP(C347,'Boats Data Sheet 2026'!$C$3:$F$57,4,0)="Management"),('Direct Costs 2026'!$C$37+'Direct Costs 2026'!$C$39),"N/A"),"N/A")</f>
        <v>1112400</v>
      </c>
      <c r="Q353" s="538" cm="1">
        <f t="array" ref="Q353">_xlfn.IFERROR(IF(B353&gt;5,IF(B353&gt;11,IF(B353&gt;15,4,3),2),IF(B353=0,"N/A",1))*SUM('Direct Costs 2026'!$C$67:$C$68),"N/A")</f>
        <v>489600</v>
      </c>
      <c r="R353" s="538" cm="1">
        <f t="array" ref="R353">_xlfn.IFERROR('Direct Costs 2026'!$C$27*C353,"N/A")</f>
        <v>0</v>
      </c>
      <c r="S353" s="538" cm="1">
        <f t="array" ref="S353">_xlfn.IFERROR(C353+SUM(E353:R353),"N/A")</f>
        <v>7274000</v>
      </c>
      <c r="T353" s="424"/>
      <c r="U353" s="538" cm="1">
        <f t="array" ref="U353">IF(B353&gt;0,'Allocation OH and Target 2026'!$E$27,"N/A")</f>
        <v>2134447.30345641</v>
      </c>
      <c r="V353" s="538" cm="1">
        <f t="array" ref="V353">IF(B353&gt;0,'Allocation OH and Target 2026'!$E$28,"N/A")</f>
        <v>200042.323056976</v>
      </c>
      <c r="W353" s="538" cm="1">
        <f t="array" ref="W353">IF(B353&gt;0,VLOOKUP(C347,'Allocation OH and Target 2026'!$C$3:$T$23,17,0),"N/A")</f>
        <v>0</v>
      </c>
      <c r="X353" s="538" cm="1">
        <f t="array" ref="X353">IF(B353&gt;0,VLOOKUP(C347,'Allocation OH and Target 2026'!$C$3:$T$23,18,0),"N/A")</f>
        <v>0</v>
      </c>
      <c r="Y353" s="538" cm="1">
        <f t="array" ref="Y353">_xlfn.IFERROR(B353*(V353+X353),"N/A")</f>
        <v>800169.292227904</v>
      </c>
      <c r="Z353" s="424"/>
      <c r="AA353" s="538" cm="1">
        <f t="array" ref="AA353">_xlfn.IFERROR(Y353+S353,"N/A")</f>
        <v>8074169.2922279</v>
      </c>
      <c r="AB353" s="538" cm="1">
        <f t="array" ref="AB353">_xlfn.IFERROR(AA353*0.5%,"N/A")</f>
        <v>40370.8464611395</v>
      </c>
      <c r="AC353" s="538" cm="1">
        <f t="array" ref="AC353">_xlfn.IFERROR(AA353*25%,"N/A")</f>
        <v>2018542.32305698</v>
      </c>
      <c r="AD353" s="539" cm="1">
        <f t="array" ref="AD353">IF(B353&gt;0,SUM(AA353:AC353),"N/A")</f>
        <v>10133082.461746</v>
      </c>
      <c r="AE353" s="538" cm="1">
        <f t="array" ref="AE353">_xlfn.IFERROR(AD353/B353,"N/A")</f>
        <v>2533270.6154365</v>
      </c>
      <c r="AF353" s="424"/>
      <c r="AG353" t="str" s="546" cm="1">
        <f t="array" ref="AG353">IF(B353/VLOOKUP(C347,'Boats Data Sheet 2026'!$C$3:$H$57,6,0)&gt;VLOOKUP(C347,'Allocation OH and Target 2026'!$C$3:$J$23,8,0),IF(SUM(AH349:AH352)=0,AE353,"N/A"),"N/A")</f>
        <v>N/A</v>
      </c>
      <c r="AH353" s="424" cm="1">
        <f t="array" ref="AH353">IF(AG353="N/A",0,1)</f>
        <v>0</v>
      </c>
      <c r="AI353" t="str" s="547" cm="1">
        <f t="array" ref="AI353">IF(B353/VLOOKUP(C347,'Boats Data Sheet 2026'!$C$3:$H$57,6,0)&gt;VLOOKUP(C347,'Allocation OH and Target 2026'!$C$3:$J$23,8,0),IF(SUM(AH349:AH352)=0,S353/B353,"N/A"),"N/A")</f>
        <v>N/A</v>
      </c>
      <c r="AJ353" s="424" cm="1">
        <f t="array" ref="AJ353">IF(AI353="N/A",0,1)</f>
        <v>0</v>
      </c>
      <c r="AK353" t="str" s="527" cm="1">
        <f t="array" ref="AK353">IF(SUM($AG$120:$AG$137)*B353&lt;SUM(AA353:AB353),"NO GO","GO")</f>
        <v>NO GO</v>
      </c>
      <c r="AL353" s="424"/>
      <c r="AM353" t="s" s="562">
        <v>550</v>
      </c>
      <c r="AN353" s="538"/>
      <c r="AO353" s="538"/>
      <c r="AP353" s="542"/>
      <c r="AQ353" s="543" cm="1">
        <f t="array" ref="AQ353">B353</f>
        <v>4</v>
      </c>
      <c r="AR353" s="18"/>
    </row>
    <row r="354" ht="16" customHeight="1">
      <c r="A354" s="12"/>
      <c r="B354" s="544" cm="1">
        <f t="array" ref="B354">IF(B353=0,0,IF(B353&lt;VLOOKUP(C347,'Boats Data Sheet 2026'!$C$3:$H$57,6,0),B353+1,0))</f>
        <v>5</v>
      </c>
      <c r="C354" s="538" cm="1">
        <f t="array" ref="C354">IF(B354&gt;0,IF(VLOOKUP(C347,'Boats Data Sheet 2026'!$C$3:$J$57,8,0)="N/A",0,VLOOKUP(C347,'Boats Data Sheet 2026'!$C$3:$J$57,8,0)),"N/A")</f>
        <v>0</v>
      </c>
      <c r="D354" s="545" cm="1">
        <f t="array" ref="D354">IF(B354&gt;7,2,IF(B354=0,"N/A",1))</f>
        <v>1</v>
      </c>
      <c r="E354" s="538" cm="1">
        <f t="array" ref="E354">_xlfn.IFERROR(SUM('Direct Costs 2026'!$C$4:$C$5)*D354,"N/A")</f>
        <v>875500</v>
      </c>
      <c r="F354" s="538" cm="1">
        <f t="array" ref="F354">_xlfn.IFERROR('Direct Costs 2026'!$C$43*B354,"N/A")</f>
        <v>30000</v>
      </c>
      <c r="G354" s="538" cm="1">
        <f t="array" ref="G354">IF(B354&gt;0,'Direct Costs 2026'!$C$25,"N/A")</f>
        <v>90000</v>
      </c>
      <c r="H354" s="538" cm="1">
        <f t="array" ref="H354">IF(B354&gt;0,'Direct Costs 2026'!$C$19+'Direct Costs 2026'!$C$18*B354,"N/A")</f>
        <v>250000</v>
      </c>
      <c r="I354" s="538">
        <v>0</v>
      </c>
      <c r="J354" s="538">
        <v>0</v>
      </c>
      <c r="K354" s="538" cm="1">
        <f t="array" ref="K354">_xlfn.IFERROR((IF(B354&gt;0,'Direct Costs 2026'!$C$15+'Direct Costs 2026'!$C$14,"N/A")),"N/A")</f>
        <v>230000</v>
      </c>
      <c r="L354" s="538">
        <v>0</v>
      </c>
      <c r="M354" s="538" cm="1">
        <f t="array" ref="M354">IF(B354&gt;0,'Direct Costs 2026'!$C$23,"N/A")</f>
        <v>140000</v>
      </c>
      <c r="N354" s="538" cm="1">
        <f t="array" ref="N354">IF(B354&gt;0,'Direct Costs 2026'!$C$44*B354,"N/A")</f>
        <v>550000</v>
      </c>
      <c r="O354" s="538" cm="1">
        <f t="array" ref="O354">IF(B354&gt;0,_xlfn.IFERROR(VLOOKUP(C347,'Boats Data Sheet 2026'!$C$3:$I$57,7,0)*'Direct Costs 2026'!$C$36,"N/A"),"N/A")</f>
        <v>3657500</v>
      </c>
      <c r="P354" s="538" cm="1">
        <f t="array" ref="P354">IF(B354&gt;0,IF(OR(VLOOKUP(C347,'Boats Data Sheet 2026'!$C$3:$F$57,4,0)="Own",VLOOKUP(C347,'Boats Data Sheet 2026'!$C$3:$F$57,4,0)="Management"),('Direct Costs 2026'!$C$37+'Direct Costs 2026'!$C$39),"N/A"),"N/A")</f>
        <v>1112400</v>
      </c>
      <c r="Q354" s="538" cm="1">
        <f t="array" ref="Q354">_xlfn.IFERROR(IF(B354&gt;5,IF(B354&gt;11,IF(B354&gt;15,4,3),2),IF(B354=0,"N/A",1))*SUM('Direct Costs 2026'!$C$67:$C$68),"N/A")</f>
        <v>489600</v>
      </c>
      <c r="R354" s="538" cm="1">
        <f t="array" ref="R354">_xlfn.IFERROR('Direct Costs 2026'!$C$27*C354,"N/A")</f>
        <v>0</v>
      </c>
      <c r="S354" s="538" cm="1">
        <f t="array" ref="S354">_xlfn.IFERROR(C354+SUM(E354:R354),"N/A")</f>
        <v>7425000</v>
      </c>
      <c r="T354" s="424"/>
      <c r="U354" s="538" cm="1">
        <f t="array" ref="U354">IF(B354&gt;0,'Allocation OH and Target 2026'!$E$27,"N/A")</f>
        <v>2134447.30345641</v>
      </c>
      <c r="V354" s="538" cm="1">
        <f t="array" ref="V354">IF(B354&gt;0,'Allocation OH and Target 2026'!$E$28,"N/A")</f>
        <v>200042.323056976</v>
      </c>
      <c r="W354" s="538" cm="1">
        <f t="array" ref="W354">IF(B354&gt;0,VLOOKUP(C347,'Allocation OH and Target 2026'!$C$3:$T$23,17,0),"N/A")</f>
        <v>0</v>
      </c>
      <c r="X354" s="538" cm="1">
        <f t="array" ref="X354">IF(B354&gt;0,VLOOKUP(C347,'Allocation OH and Target 2026'!$C$3:$T$23,18,0),"N/A")</f>
        <v>0</v>
      </c>
      <c r="Y354" s="538" cm="1">
        <f t="array" ref="Y354">_xlfn.IFERROR(B354*(V354+X354),"N/A")</f>
        <v>1000211.61528488</v>
      </c>
      <c r="Z354" s="424"/>
      <c r="AA354" s="538" cm="1">
        <f t="array" ref="AA354">_xlfn.IFERROR(Y354+S354,"N/A")</f>
        <v>8425211.615284881</v>
      </c>
      <c r="AB354" s="538" cm="1">
        <f t="array" ref="AB354">_xlfn.IFERROR(AA354*0.5%,"N/A")</f>
        <v>42126.0580764244</v>
      </c>
      <c r="AC354" s="538" cm="1">
        <f t="array" ref="AC354">_xlfn.IFERROR(AA354*25%,"N/A")</f>
        <v>2106302.90382122</v>
      </c>
      <c r="AD354" s="539" cm="1">
        <f t="array" ref="AD354">IF(B354&gt;0,SUM(AA354:AC354),"N/A")</f>
        <v>10573640.5771825</v>
      </c>
      <c r="AE354" s="538" cm="1">
        <f t="array" ref="AE354">_xlfn.IFERROR(AD354/B354,"N/A")</f>
        <v>2114728.1154365</v>
      </c>
      <c r="AF354" s="424"/>
      <c r="AG354" t="str" s="546" cm="1">
        <f t="array" ref="AG354">IF(B354/VLOOKUP(C347,'Boats Data Sheet 2026'!$C$3:$H$57,6,0)&gt;VLOOKUP(C347,'Allocation OH and Target 2026'!$C$3:$J$23,8,0),IF(SUM(AH349:AH353)=0,AE354,"N/A"),"N/A")</f>
        <v>N/A</v>
      </c>
      <c r="AH354" s="424" cm="1">
        <f t="array" ref="AH354">IF(AG354="N/A",0,1)</f>
        <v>0</v>
      </c>
      <c r="AI354" t="str" s="547" cm="1">
        <f t="array" ref="AI354">IF(B354/VLOOKUP(C347,'Boats Data Sheet 2026'!$C$3:$H$57,6,0)&gt;VLOOKUP(C347,'Allocation OH and Target 2026'!$C$3:$J$23,8,0),IF(SUM(AH349:AH353)=0,S354/B354,"N/A"),"N/A")</f>
        <v>N/A</v>
      </c>
      <c r="AJ354" s="424" cm="1">
        <f t="array" ref="AJ354">IF(AI354="N/A",0,1)</f>
        <v>0</v>
      </c>
      <c r="AK354" t="str" s="527" cm="1">
        <f t="array" ref="AK354">IF(SUM($AG$120:$AG$137)*B354&lt;SUM(AA354:AB354),"NO GO","GO")</f>
        <v>NO GO</v>
      </c>
      <c r="AL354" s="424"/>
      <c r="AM354" t="s" s="541">
        <v>551</v>
      </c>
      <c r="AN354" s="563" cm="1">
        <f t="array" ref="AN354">(S359/B359)*AN350</f>
        <v>0</v>
      </c>
      <c r="AO354" s="538"/>
      <c r="AP354" s="542"/>
      <c r="AQ354" s="543" cm="1">
        <f t="array" ref="AQ354">B354</f>
        <v>5</v>
      </c>
      <c r="AR354" s="18"/>
    </row>
    <row r="355" ht="16" customHeight="1">
      <c r="A355" s="12"/>
      <c r="B355" s="544" cm="1">
        <f t="array" ref="B355">IF(B354=0,0,IF(B354&lt;VLOOKUP(C347,'Boats Data Sheet 2026'!$C$3:$H$57,6,0),B354+1,0))</f>
        <v>6</v>
      </c>
      <c r="C355" s="538" cm="1">
        <f t="array" ref="C355">IF(B355&gt;0,IF(VLOOKUP(C347,'Boats Data Sheet 2026'!$C$3:$J$57,8,0)="N/A",0,VLOOKUP(C347,'Boats Data Sheet 2026'!$C$3:$J$57,8,0)),"N/A")</f>
        <v>0</v>
      </c>
      <c r="D355" s="545" cm="1">
        <f t="array" ref="D355">IF(B355&gt;7,2,IF(B355=0,"N/A",1))</f>
        <v>1</v>
      </c>
      <c r="E355" s="538" cm="1">
        <f t="array" ref="E355">_xlfn.IFERROR(SUM('Direct Costs 2026'!$C$4:$C$5)*D355,"N/A")</f>
        <v>875500</v>
      </c>
      <c r="F355" s="538" cm="1">
        <f t="array" ref="F355">_xlfn.IFERROR('Direct Costs 2026'!$C$43*B355,"N/A")</f>
        <v>36000</v>
      </c>
      <c r="G355" s="538" cm="1">
        <f t="array" ref="G355">IF(B355&gt;0,'Direct Costs 2026'!$C$25,"N/A")</f>
        <v>90000</v>
      </c>
      <c r="H355" s="538" cm="1">
        <f t="array" ref="H355">IF(B355&gt;0,'Direct Costs 2026'!$C$19+'Direct Costs 2026'!$C$18*B355,"N/A")</f>
        <v>285000</v>
      </c>
      <c r="I355" s="538">
        <v>0</v>
      </c>
      <c r="J355" s="538">
        <v>0</v>
      </c>
      <c r="K355" s="538" cm="1">
        <f t="array" ref="K355">_xlfn.IFERROR((IF(B355&gt;0,'Direct Costs 2026'!$C$15+'Direct Costs 2026'!$C$14,"N/A")),"N/A")</f>
        <v>230000</v>
      </c>
      <c r="L355" s="538">
        <v>0</v>
      </c>
      <c r="M355" s="538" cm="1">
        <f t="array" ref="M355">IF(B355&gt;0,'Direct Costs 2026'!$C$23,"N/A")</f>
        <v>140000</v>
      </c>
      <c r="N355" s="538" cm="1">
        <f t="array" ref="N355">IF(B355&gt;0,'Direct Costs 2026'!$C$44*B355,"N/A")</f>
        <v>660000</v>
      </c>
      <c r="O355" s="538" cm="1">
        <f t="array" ref="O355">IF(B355&gt;0,_xlfn.IFERROR(VLOOKUP(C347,'Boats Data Sheet 2026'!$C$3:$I$57,7,0)*'Direct Costs 2026'!$C$36,"N/A"),"N/A")</f>
        <v>3657500</v>
      </c>
      <c r="P355" s="538" cm="1">
        <f t="array" ref="P355">IF(B355&gt;0,IF(OR(VLOOKUP(C347,'Boats Data Sheet 2026'!$C$3:$F$57,4,0)="Own",VLOOKUP(C347,'Boats Data Sheet 2026'!$C$3:$F$57,4,0)="Management"),('Direct Costs 2026'!$C$37+'Direct Costs 2026'!$C$39),"N/A"),"N/A")</f>
        <v>1112400</v>
      </c>
      <c r="Q355" s="538" cm="1">
        <f t="array" ref="Q355">_xlfn.IFERROR(IF(B355&gt;5,IF(B355&gt;11,IF(B355&gt;15,4,3),2),IF(B355=0,"N/A",1))*SUM('Direct Costs 2026'!$C$67:$C$68),"N/A")</f>
        <v>979200</v>
      </c>
      <c r="R355" s="538" cm="1">
        <f t="array" ref="R355">_xlfn.IFERROR('Direct Costs 2026'!$C$27*C355,"N/A")</f>
        <v>0</v>
      </c>
      <c r="S355" s="538" cm="1">
        <f t="array" ref="S355">_xlfn.IFERROR(C355+SUM(E355:R355),"N/A")</f>
        <v>8065600</v>
      </c>
      <c r="T355" s="424"/>
      <c r="U355" s="538" cm="1">
        <f t="array" ref="U355">IF(B355&gt;0,'Allocation OH and Target 2026'!$E$27,"N/A")</f>
        <v>2134447.30345641</v>
      </c>
      <c r="V355" s="538" cm="1">
        <f t="array" ref="V355">IF(B355&gt;0,'Allocation OH and Target 2026'!$E$28,"N/A")</f>
        <v>200042.323056976</v>
      </c>
      <c r="W355" s="538" cm="1">
        <f t="array" ref="W355">IF(B355&gt;0,VLOOKUP(C347,'Allocation OH and Target 2026'!$C$3:$T$23,17,0),"N/A")</f>
        <v>0</v>
      </c>
      <c r="X355" s="538" cm="1">
        <f t="array" ref="X355">IF(B355&gt;0,VLOOKUP(C347,'Allocation OH and Target 2026'!$C$3:$T$23,18,0),"N/A")</f>
        <v>0</v>
      </c>
      <c r="Y355" s="538" cm="1">
        <f t="array" ref="Y355">_xlfn.IFERROR(B355*(V355+X355),"N/A")</f>
        <v>1200253.93834186</v>
      </c>
      <c r="Z355" s="424"/>
      <c r="AA355" s="538" cm="1">
        <f t="array" ref="AA355">_xlfn.IFERROR(Y355+S355,"N/A")</f>
        <v>9265853.93834186</v>
      </c>
      <c r="AB355" s="538" cm="1">
        <f t="array" ref="AB355">_xlfn.IFERROR(AA355*0.5%,"N/A")</f>
        <v>46329.2696917093</v>
      </c>
      <c r="AC355" s="538" cm="1">
        <f t="array" ref="AC355">_xlfn.IFERROR(AA355*25%,"N/A")</f>
        <v>2316463.48458547</v>
      </c>
      <c r="AD355" s="539" cm="1">
        <f t="array" ref="AD355">IF(B355&gt;0,SUM(AA355:AC355),"N/A")</f>
        <v>11628646.692619</v>
      </c>
      <c r="AE355" s="538" cm="1">
        <f t="array" ref="AE355">_xlfn.IFERROR(AD355/B355,"N/A")</f>
        <v>1938107.78210317</v>
      </c>
      <c r="AF355" s="424"/>
      <c r="AG355" t="str" s="546" cm="1">
        <f t="array" ref="AG355">IF(B355/VLOOKUP(C347,'Boats Data Sheet 2026'!$C$3:$H$57,6,0)&gt;VLOOKUP(C347,'Allocation OH and Target 2026'!$C$3:$J$23,8,0),IF(SUM(AH349:AH354)=0,AE355,"N/A"),"N/A")</f>
        <v>N/A</v>
      </c>
      <c r="AH355" s="424" cm="1">
        <f t="array" ref="AH355">IF(AG355="N/A",0,1)</f>
        <v>0</v>
      </c>
      <c r="AI355" t="str" s="547" cm="1">
        <f t="array" ref="AI355">IF(B355/VLOOKUP(C347,'Boats Data Sheet 2026'!$C$3:$H$57,6,0)&gt;VLOOKUP(C347,'Allocation OH and Target 2026'!$C$3:$J$23,8,0),IF(SUM(AH349:AH354)=0,S355/B355,"N/A"),"N/A")</f>
        <v>N/A</v>
      </c>
      <c r="AJ355" s="424" cm="1">
        <f t="array" ref="AJ355">IF(AI355="N/A",0,1)</f>
        <v>0</v>
      </c>
      <c r="AK355" t="str" s="527" cm="1">
        <f t="array" ref="AK355">IF(SUM($AG$120:$AG$137)*B355&lt;SUM(AA355:AB355),"NO GO","GO")</f>
        <v>NO GO</v>
      </c>
      <c r="AL355" s="424"/>
      <c r="AM355" t="s" s="562">
        <v>394</v>
      </c>
      <c r="AN355" s="564" cm="1">
        <f t="array" ref="AN355">AN352-AN354</f>
        <v>0</v>
      </c>
      <c r="AO355" s="538"/>
      <c r="AP355" s="542"/>
      <c r="AQ355" s="543" cm="1">
        <f t="array" ref="AQ355">B355</f>
        <v>6</v>
      </c>
      <c r="AR355" s="18"/>
    </row>
    <row r="356" ht="16" customHeight="1">
      <c r="A356" s="12"/>
      <c r="B356" s="544" cm="1">
        <f t="array" ref="B356">IF(B355=0,0,IF(B355&lt;VLOOKUP(C347,'Boats Data Sheet 2026'!$C$3:$H$57,6,0),B355+1,0))</f>
        <v>7</v>
      </c>
      <c r="C356" s="538" cm="1">
        <f t="array" ref="C356">IF(B356&gt;0,IF(VLOOKUP(C347,'Boats Data Sheet 2026'!$C$3:$J$57,8,0)="N/A",0,VLOOKUP(C347,'Boats Data Sheet 2026'!$C$3:$J$57,8,0)),"N/A")</f>
        <v>0</v>
      </c>
      <c r="D356" s="545" cm="1">
        <f t="array" ref="D356">IF(B356&gt;7,2,IF(B356=0,"N/A",1))</f>
        <v>1</v>
      </c>
      <c r="E356" s="538" cm="1">
        <f t="array" ref="E356">_xlfn.IFERROR(SUM('Direct Costs 2026'!$C$4:$C$5)*D356,"N/A")</f>
        <v>875500</v>
      </c>
      <c r="F356" s="538" cm="1">
        <f t="array" ref="F356">_xlfn.IFERROR('Direct Costs 2026'!$C$43*B356,"N/A")</f>
        <v>42000</v>
      </c>
      <c r="G356" s="538" cm="1">
        <f t="array" ref="G356">IF(B356&gt;0,'Direct Costs 2026'!$C$25,"N/A")</f>
        <v>90000</v>
      </c>
      <c r="H356" s="538" cm="1">
        <f t="array" ref="H356">IF(B356&gt;0,'Direct Costs 2026'!$C$19+'Direct Costs 2026'!$C$18*B356,"N/A")</f>
        <v>320000</v>
      </c>
      <c r="I356" s="538">
        <v>0</v>
      </c>
      <c r="J356" s="538">
        <v>0</v>
      </c>
      <c r="K356" s="538" cm="1">
        <f t="array" ref="K356">_xlfn.IFERROR((IF(B356&gt;0,'Direct Costs 2026'!$C$15+'Direct Costs 2026'!$C$14,"N/A")),"N/A")</f>
        <v>230000</v>
      </c>
      <c r="L356" s="538">
        <v>0</v>
      </c>
      <c r="M356" s="538" cm="1">
        <f t="array" ref="M356">IF(B356&gt;0,'Direct Costs 2026'!$C$23,"N/A")</f>
        <v>140000</v>
      </c>
      <c r="N356" s="538" cm="1">
        <f t="array" ref="N356">IF(B356&gt;0,'Direct Costs 2026'!$C$44*B356,"N/A")</f>
        <v>770000</v>
      </c>
      <c r="O356" s="538" cm="1">
        <f t="array" ref="O356">IF(B356&gt;0,_xlfn.IFERROR(VLOOKUP(C347,'Boats Data Sheet 2026'!$C$3:$I$57,7,0)*'Direct Costs 2026'!$C$36,"N/A"),"N/A")</f>
        <v>3657500</v>
      </c>
      <c r="P356" s="538" cm="1">
        <f t="array" ref="P356">IF(B356&gt;0,IF(OR(VLOOKUP(C347,'Boats Data Sheet 2026'!$C$3:$F$57,4,0)="Own",VLOOKUP(C347,'Boats Data Sheet 2026'!$C$3:$F$57,4,0)="Management"),('Direct Costs 2026'!$C$37+'Direct Costs 2026'!$C$39),"N/A"),"N/A")</f>
        <v>1112400</v>
      </c>
      <c r="Q356" s="538" cm="1">
        <f t="array" ref="Q356">_xlfn.IFERROR(IF(B356&gt;5,IF(B356&gt;11,IF(B356&gt;15,4,3),2),IF(B356=0,"N/A",1))*SUM('Direct Costs 2026'!$C$67:$C$68),"N/A")</f>
        <v>979200</v>
      </c>
      <c r="R356" s="538" cm="1">
        <f t="array" ref="R356">_xlfn.IFERROR('Direct Costs 2026'!$C$27*C356,"N/A")</f>
        <v>0</v>
      </c>
      <c r="S356" s="538" cm="1">
        <f t="array" ref="S356">_xlfn.IFERROR(C356+SUM(E356:R356),"N/A")</f>
        <v>8216600</v>
      </c>
      <c r="T356" s="424"/>
      <c r="U356" s="538" cm="1">
        <f t="array" ref="U356">IF(B356&gt;0,'Allocation OH and Target 2026'!$E$27,"N/A")</f>
        <v>2134447.30345641</v>
      </c>
      <c r="V356" s="538" cm="1">
        <f t="array" ref="V356">IF(B356&gt;0,'Allocation OH and Target 2026'!$E$28,"N/A")</f>
        <v>200042.323056976</v>
      </c>
      <c r="W356" s="538" cm="1">
        <f t="array" ref="W356">IF(B356&gt;0,VLOOKUP(C347,'Allocation OH and Target 2026'!$C$3:$T$23,17,0),"N/A")</f>
        <v>0</v>
      </c>
      <c r="X356" s="538" cm="1">
        <f t="array" ref="X356">IF(B356&gt;0,VLOOKUP(C347,'Allocation OH and Target 2026'!$C$3:$T$23,18,0),"N/A")</f>
        <v>0</v>
      </c>
      <c r="Y356" s="538" cm="1">
        <f t="array" ref="Y356">_xlfn.IFERROR(B356*(V356+X356),"N/A")</f>
        <v>1400296.26139883</v>
      </c>
      <c r="Z356" s="424"/>
      <c r="AA356" s="538" cm="1">
        <f t="array" ref="AA356">_xlfn.IFERROR(Y356+S356,"N/A")</f>
        <v>9616896.26139883</v>
      </c>
      <c r="AB356" s="538" cm="1">
        <f t="array" ref="AB356">_xlfn.IFERROR(AA356*0.5%,"N/A")</f>
        <v>48084.4813069942</v>
      </c>
      <c r="AC356" s="538" cm="1">
        <f t="array" ref="AC356">_xlfn.IFERROR(AA356*25%,"N/A")</f>
        <v>2404224.06534971</v>
      </c>
      <c r="AD356" s="539" cm="1">
        <f t="array" ref="AD356">IF(B356&gt;0,SUM(AA356:AC356),"N/A")</f>
        <v>12069204.8080555</v>
      </c>
      <c r="AE356" s="538" cm="1">
        <f t="array" ref="AE356">_xlfn.IFERROR(AD356/B356,"N/A")</f>
        <v>1724172.1154365</v>
      </c>
      <c r="AF356" s="424"/>
      <c r="AG356" t="str" s="546" cm="1">
        <f t="array" ref="AG356">IF(B356/VLOOKUP(C347,'Boats Data Sheet 2026'!$C$3:$H$57,6,0)&gt;VLOOKUP(C347,'Allocation OH and Target 2026'!$C$3:$J$23,8,0),IF(SUM(AH349:AH355)=0,AE356,"N/A"),"N/A")</f>
        <v>N/A</v>
      </c>
      <c r="AH356" s="424" cm="1">
        <f t="array" ref="AH356">IF(AG356="N/A",0,1)</f>
        <v>0</v>
      </c>
      <c r="AI356" t="str" s="547" cm="1">
        <f t="array" ref="AI356">IF(B356/VLOOKUP(C347,'Boats Data Sheet 2026'!$C$3:$H$57,6,0)&gt;VLOOKUP(C347,'Allocation OH and Target 2026'!$C$3:$J$23,8,0),IF(SUM(AH349:AH355)=0,S356/B356,"N/A"),"N/A")</f>
        <v>N/A</v>
      </c>
      <c r="AJ356" s="424" cm="1">
        <f t="array" ref="AJ356">IF(AI356="N/A",0,1)</f>
        <v>0</v>
      </c>
      <c r="AK356" t="str" s="527" cm="1">
        <f t="array" ref="AK356">IF(SUM($AG$120:$AG$137)*B356&lt;SUM(AA356:AB356),"NO GO","GO")</f>
        <v>GO</v>
      </c>
      <c r="AL356" s="424"/>
      <c r="AM356" t="s" s="565">
        <v>568</v>
      </c>
      <c r="AN356" s="566" cm="1">
        <f t="array" ref="AN356">AN355*50%</f>
        <v>0</v>
      </c>
      <c r="AO356" s="538"/>
      <c r="AP356" s="542"/>
      <c r="AQ356" s="543" cm="1">
        <f t="array" ref="AQ356">B356</f>
        <v>7</v>
      </c>
      <c r="AR356" s="18"/>
    </row>
    <row r="357" ht="16" customHeight="1">
      <c r="A357" s="12"/>
      <c r="B357" s="544" cm="1">
        <f t="array" ref="B357">IF(B356=0,0,IF(B356&lt;VLOOKUP(C347,'Boats Data Sheet 2026'!$C$3:$H$57,6,0),B356+1,0))</f>
        <v>8</v>
      </c>
      <c r="C357" s="538" cm="1">
        <f t="array" ref="C357">IF(B357&gt;0,IF(VLOOKUP(C347,'Boats Data Sheet 2026'!$C$3:$J$57,8,0)="N/A",0,VLOOKUP(C347,'Boats Data Sheet 2026'!$C$3:$J$57,8,0)),"N/A")</f>
        <v>0</v>
      </c>
      <c r="D357" s="545" cm="1">
        <f t="array" ref="D357">IF(B357&gt;7,2,IF(B357=0,"N/A",1))</f>
        <v>2</v>
      </c>
      <c r="E357" s="538" cm="1">
        <f t="array" ref="E357">_xlfn.IFERROR(SUM('Direct Costs 2026'!$C$4:$C$5)*D357,"N/A")</f>
        <v>1751000</v>
      </c>
      <c r="F357" s="538" cm="1">
        <f t="array" ref="F357">_xlfn.IFERROR('Direct Costs 2026'!$C$43*B357,"N/A")</f>
        <v>48000</v>
      </c>
      <c r="G357" s="538" cm="1">
        <f t="array" ref="G357">IF(B357&gt;0,'Direct Costs 2026'!$C$25,"N/A")</f>
        <v>90000</v>
      </c>
      <c r="H357" s="538" cm="1">
        <f t="array" ref="H357">IF(B357&gt;0,'Direct Costs 2026'!$C$19+'Direct Costs 2026'!$C$18*B357,"N/A")</f>
        <v>355000</v>
      </c>
      <c r="I357" s="538">
        <v>0</v>
      </c>
      <c r="J357" s="538">
        <v>0</v>
      </c>
      <c r="K357" s="538" cm="1">
        <f t="array" ref="K357">_xlfn.IFERROR((IF(B357&gt;0,'Direct Costs 2026'!$C$15+'Direct Costs 2026'!$C$14,"N/A")),"N/A")</f>
        <v>230000</v>
      </c>
      <c r="L357" s="538">
        <v>0</v>
      </c>
      <c r="M357" s="538" cm="1">
        <f t="array" ref="M357">IF(B357&gt;0,'Direct Costs 2026'!$C$23,"N/A")</f>
        <v>140000</v>
      </c>
      <c r="N357" s="538" cm="1">
        <f t="array" ref="N357">IF(B357&gt;0,'Direct Costs 2026'!$C$44*B357,"N/A")</f>
        <v>880000</v>
      </c>
      <c r="O357" s="538" cm="1">
        <f t="array" ref="O357">IF(B357&gt;0,_xlfn.IFERROR(VLOOKUP(C347,'Boats Data Sheet 2026'!$C$3:$I$57,7,0)*'Direct Costs 2026'!$C$36,"N/A"),"N/A")</f>
        <v>3657500</v>
      </c>
      <c r="P357" s="538" cm="1">
        <f t="array" ref="P357">IF(B357&gt;0,IF(OR(VLOOKUP(C347,'Boats Data Sheet 2026'!$C$3:$F$57,4,0)="Own",VLOOKUP(C347,'Boats Data Sheet 2026'!$C$3:$F$57,4,0)="Management"),('Direct Costs 2026'!$C$37+'Direct Costs 2026'!$C$39),"N/A"),"N/A")</f>
        <v>1112400</v>
      </c>
      <c r="Q357" s="538" cm="1">
        <f t="array" ref="Q357">_xlfn.IFERROR(IF(B357&gt;5,IF(B357&gt;11,IF(B357&gt;15,4,3),2),IF(B357=0,"N/A",1))*SUM('Direct Costs 2026'!$C$67:$C$68),"N/A")</f>
        <v>979200</v>
      </c>
      <c r="R357" s="538" cm="1">
        <f t="array" ref="R357">_xlfn.IFERROR('Direct Costs 2026'!$C$27*C357,"N/A")</f>
        <v>0</v>
      </c>
      <c r="S357" s="538" cm="1">
        <f t="array" ref="S357">_xlfn.IFERROR(C357+SUM(E357:R357),"N/A")</f>
        <v>9243100</v>
      </c>
      <c r="T357" s="424"/>
      <c r="U357" s="538" cm="1">
        <f t="array" ref="U357">IF(B357&gt;0,'Allocation OH and Target 2026'!$E$27,"N/A")</f>
        <v>2134447.30345641</v>
      </c>
      <c r="V357" s="538" cm="1">
        <f t="array" ref="V357">IF(B357&gt;0,'Allocation OH and Target 2026'!$E$28,"N/A")</f>
        <v>200042.323056976</v>
      </c>
      <c r="W357" s="538" cm="1">
        <f t="array" ref="W357">IF(B357&gt;0,VLOOKUP(C347,'Allocation OH and Target 2026'!$C$3:$T$23,17,0),"N/A")</f>
        <v>0</v>
      </c>
      <c r="X357" s="538" cm="1">
        <f t="array" ref="X357">IF(B357&gt;0,VLOOKUP(C347,'Allocation OH and Target 2026'!$C$3:$T$23,18,0),"N/A")</f>
        <v>0</v>
      </c>
      <c r="Y357" s="538" cm="1">
        <f t="array" ref="Y357">_xlfn.IFERROR(B357*(V357+X357),"N/A")</f>
        <v>1600338.58445581</v>
      </c>
      <c r="Z357" s="424"/>
      <c r="AA357" s="538" cm="1">
        <f t="array" ref="AA357">_xlfn.IFERROR(Y357+S357,"N/A")</f>
        <v>10843438.5844558</v>
      </c>
      <c r="AB357" s="538" cm="1">
        <f t="array" ref="AB357">_xlfn.IFERROR(AA357*0.5%,"N/A")</f>
        <v>54217.192922279</v>
      </c>
      <c r="AC357" s="538" cm="1">
        <f t="array" ref="AC357">_xlfn.IFERROR(AA357*25%,"N/A")</f>
        <v>2710859.64611395</v>
      </c>
      <c r="AD357" s="539" cm="1">
        <f t="array" ref="AD357">IF(B357&gt;0,SUM(AA357:AC357),"N/A")</f>
        <v>13608515.423492</v>
      </c>
      <c r="AE357" s="538" cm="1">
        <f t="array" ref="AE357">_xlfn.IFERROR(AD357/B357,"N/A")</f>
        <v>1701064.4279365</v>
      </c>
      <c r="AF357" s="424"/>
      <c r="AG357" t="str" s="546" cm="1">
        <f t="array" ref="AG357">IF(B357/VLOOKUP(C347,'Boats Data Sheet 2026'!$C$3:$H$57,6,0)&gt;VLOOKUP(C347,'Allocation OH and Target 2026'!$C$3:$J$23,8,0),IF(SUM(AH349:AH356)=0,AE357,"N/A"),"N/A")</f>
        <v>N/A</v>
      </c>
      <c r="AH357" s="424" cm="1">
        <f t="array" ref="AH357">IF(AG357="N/A",0,1)</f>
        <v>0</v>
      </c>
      <c r="AI357" t="str" s="547" cm="1">
        <f t="array" ref="AI357">IF(B357/VLOOKUP(C347,'Boats Data Sheet 2026'!$C$3:$H$57,6,0)&gt;VLOOKUP(C347,'Allocation OH and Target 2026'!$C$3:$J$23,8,0),IF(SUM(AH349:AH356)=0,S357/B357,"N/A"),"N/A")</f>
        <v>N/A</v>
      </c>
      <c r="AJ357" s="424" cm="1">
        <f t="array" ref="AJ357">IF(AI357="N/A",0,1)</f>
        <v>0</v>
      </c>
      <c r="AK357" t="str" s="527" cm="1">
        <f t="array" ref="AK357">IF(SUM($AG$120:$AG$137)*B357&lt;SUM(AA357:AB357),"NO GO","GO")</f>
        <v>GO</v>
      </c>
      <c r="AL357" s="424"/>
      <c r="AM357" s="538"/>
      <c r="AN357" s="538"/>
      <c r="AO357" s="538"/>
      <c r="AP357" s="542"/>
      <c r="AQ357" s="543" cm="1">
        <f t="array" ref="AQ357">B357</f>
        <v>8</v>
      </c>
      <c r="AR357" s="18"/>
    </row>
    <row r="358" ht="16" customHeight="1">
      <c r="A358" s="12"/>
      <c r="B358" s="544" cm="1">
        <f t="array" ref="B358">IF(B357=0,0,IF(B357&lt;VLOOKUP(C347,'Boats Data Sheet 2026'!$C$3:$H$57,6,0),B357+1,0))</f>
        <v>9</v>
      </c>
      <c r="C358" s="538" cm="1">
        <f t="array" ref="C358">IF(B358&gt;0,IF(VLOOKUP(C347,'Boats Data Sheet 2026'!$C$3:$J$57,8,0)="N/A",0,VLOOKUP(C347,'Boats Data Sheet 2026'!$C$3:$J$57,8,0)),"N/A")</f>
        <v>0</v>
      </c>
      <c r="D358" s="545" cm="1">
        <f t="array" ref="D358">IF(B358&gt;7,2,IF(B358=0,"N/A",1))</f>
        <v>2</v>
      </c>
      <c r="E358" s="538" cm="1">
        <f t="array" ref="E358">_xlfn.IFERROR(SUM('Direct Costs 2026'!$C$4:$C$5)*D358,"N/A")</f>
        <v>1751000</v>
      </c>
      <c r="F358" s="538" cm="1">
        <f t="array" ref="F358">_xlfn.IFERROR('Direct Costs 2026'!$C$43*B358,"N/A")</f>
        <v>54000</v>
      </c>
      <c r="G358" s="538" cm="1">
        <f t="array" ref="G358">IF(B358&gt;0,'Direct Costs 2026'!$C$25,"N/A")</f>
        <v>90000</v>
      </c>
      <c r="H358" s="538" cm="1">
        <f t="array" ref="H358">IF(B358&gt;0,'Direct Costs 2026'!$C$19+'Direct Costs 2026'!$C$18*B358,"N/A")</f>
        <v>390000</v>
      </c>
      <c r="I358" s="538">
        <v>0</v>
      </c>
      <c r="J358" s="538">
        <v>0</v>
      </c>
      <c r="K358" s="538" cm="1">
        <f t="array" ref="K358">_xlfn.IFERROR((IF(B358&gt;0,'Direct Costs 2026'!$C$15+'Direct Costs 2026'!$C$14,"N/A")),"N/A")</f>
        <v>230000</v>
      </c>
      <c r="L358" s="538">
        <v>0</v>
      </c>
      <c r="M358" s="538" cm="1">
        <f t="array" ref="M358">IF(B358&gt;0,'Direct Costs 2026'!$C$23,"N/A")</f>
        <v>140000</v>
      </c>
      <c r="N358" s="538" cm="1">
        <f t="array" ref="N358">IF(B358&gt;0,'Direct Costs 2026'!$C$44*B358,"N/A")</f>
        <v>990000</v>
      </c>
      <c r="O358" s="538" cm="1">
        <f t="array" ref="O358">IF(B358&gt;0,_xlfn.IFERROR(VLOOKUP(C347,'Boats Data Sheet 2026'!$C$3:$I$57,7,0)*'Direct Costs 2026'!$C$36,"N/A"),"N/A")</f>
        <v>3657500</v>
      </c>
      <c r="P358" s="538" cm="1">
        <f t="array" ref="P358">IF(B358&gt;0,IF(OR(VLOOKUP(C347,'Boats Data Sheet 2026'!$C$3:$F$57,4,0)="Own",VLOOKUP(C347,'Boats Data Sheet 2026'!$C$3:$F$57,4,0)="Management"),('Direct Costs 2026'!$C$37+'Direct Costs 2026'!$C$39),"N/A"),"N/A")</f>
        <v>1112400</v>
      </c>
      <c r="Q358" s="538" cm="1">
        <f t="array" ref="Q358">_xlfn.IFERROR(IF(B358&gt;5,IF(B358&gt;11,IF(B358&gt;15,4,3),2),IF(B358=0,"N/A",1))*SUM('Direct Costs 2026'!$C$67:$C$68),"N/A")</f>
        <v>979200</v>
      </c>
      <c r="R358" s="538" cm="1">
        <f t="array" ref="R358">_xlfn.IFERROR('Direct Costs 2026'!$C$27*C358,"N/A")</f>
        <v>0</v>
      </c>
      <c r="S358" s="538" cm="1">
        <f t="array" ref="S358">_xlfn.IFERROR(C358+SUM(E358:R358),"N/A")</f>
        <v>9394100</v>
      </c>
      <c r="T358" s="424"/>
      <c r="U358" s="538" cm="1">
        <f t="array" ref="U358">IF(B358&gt;0,'Allocation OH and Target 2026'!$E$27,"N/A")</f>
        <v>2134447.30345641</v>
      </c>
      <c r="V358" s="538" cm="1">
        <f t="array" ref="V358">IF(B358&gt;0,'Allocation OH and Target 2026'!$E$28,"N/A")</f>
        <v>200042.323056976</v>
      </c>
      <c r="W358" s="538" cm="1">
        <f t="array" ref="W358">IF(B358&gt;0,VLOOKUP(C347,'Allocation OH and Target 2026'!$C$3:$T$23,17,0),"N/A")</f>
        <v>0</v>
      </c>
      <c r="X358" s="538" cm="1">
        <f t="array" ref="X358">IF(B358&gt;0,VLOOKUP(C347,'Allocation OH and Target 2026'!$C$3:$T$23,18,0),"N/A")</f>
        <v>0</v>
      </c>
      <c r="Y358" s="538" cm="1">
        <f t="array" ref="Y358">_xlfn.IFERROR(B358*(V358+X358),"N/A")</f>
        <v>1800380.90751278</v>
      </c>
      <c r="Z358" s="424"/>
      <c r="AA358" s="538" cm="1">
        <f t="array" ref="AA358">_xlfn.IFERROR(Y358+S358,"N/A")</f>
        <v>11194480.9075128</v>
      </c>
      <c r="AB358" s="538" cm="1">
        <f t="array" ref="AB358">_xlfn.IFERROR(AA358*0.5%,"N/A")</f>
        <v>55972.404537564</v>
      </c>
      <c r="AC358" s="538" cm="1">
        <f t="array" ref="AC358">_xlfn.IFERROR(AA358*25%,"N/A")</f>
        <v>2798620.2268782</v>
      </c>
      <c r="AD358" s="539" cm="1">
        <f t="array" ref="AD358">IF(B358&gt;0,SUM(AA358:AC358),"N/A")</f>
        <v>14049073.5389286</v>
      </c>
      <c r="AE358" s="538" cm="1">
        <f t="array" ref="AE358">_xlfn.IFERROR(AD358/B358,"N/A")</f>
        <v>1561008.17099207</v>
      </c>
      <c r="AF358" s="424"/>
      <c r="AG358" t="str" s="546" cm="1">
        <f t="array" ref="AG358">IF(B358/VLOOKUP(C347,'Boats Data Sheet 2026'!$C$3:$H$57,6,0)&gt;VLOOKUP(C347,'Allocation OH and Target 2026'!$C$3:$J$23,8,0),IF(SUM(AH349:AH357)=0,AE358,"N/A"),"N/A")</f>
        <v>N/A</v>
      </c>
      <c r="AH358" s="424" cm="1">
        <f t="array" ref="AH358">IF(AG358="N/A",0,1)</f>
        <v>0</v>
      </c>
      <c r="AI358" t="str" s="547" cm="1">
        <f t="array" ref="AI358">IF(B358/VLOOKUP(C347,'Boats Data Sheet 2026'!$C$3:$H$57,6,0)&gt;VLOOKUP(C347,'Allocation OH and Target 2026'!$C$3:$J$23,8,0),IF(SUM(AH349:AH357)=0,S358/B358,"N/A"),"N/A")</f>
        <v>N/A</v>
      </c>
      <c r="AJ358" s="424" cm="1">
        <f t="array" ref="AJ358">IF(AI358="N/A",0,1)</f>
        <v>0</v>
      </c>
      <c r="AK358" t="str" s="527" cm="1">
        <f t="array" ref="AK358">IF(SUM($AG$120:$AG$137)*B358&lt;SUM(AA358:AB358),"NO GO","GO")</f>
        <v>GO</v>
      </c>
      <c r="AL358" s="424"/>
      <c r="AM358" s="538"/>
      <c r="AN358" s="538"/>
      <c r="AO358" s="538"/>
      <c r="AP358" s="542"/>
      <c r="AQ358" s="543" cm="1">
        <f t="array" ref="AQ358">B358</f>
        <v>9</v>
      </c>
      <c r="AR358" s="18"/>
    </row>
    <row r="359" ht="16" customHeight="1">
      <c r="A359" s="12"/>
      <c r="B359" s="544" cm="1">
        <f t="array" ref="B359">IF(B358=0,0,IF(B358&lt;VLOOKUP(C347,'Boats Data Sheet 2026'!$C$3:$H$57,6,0),B358+1,0))</f>
        <v>10</v>
      </c>
      <c r="C359" s="538" cm="1">
        <f t="array" ref="C359">IF(B359&gt;0,IF(VLOOKUP(C347,'Boats Data Sheet 2026'!$C$3:$J$57,8,0)="N/A",0,VLOOKUP(C347,'Boats Data Sheet 2026'!$C$3:$J$57,8,0)),"N/A")</f>
        <v>0</v>
      </c>
      <c r="D359" s="545" cm="1">
        <f t="array" ref="D359">IF(B359&gt;7,2,IF(B359=0,"N/A",1))</f>
        <v>2</v>
      </c>
      <c r="E359" s="538" cm="1">
        <f t="array" ref="E359">_xlfn.IFERROR(SUM('Direct Costs 2026'!$C$4:$C$5)*D359,"N/A")</f>
        <v>1751000</v>
      </c>
      <c r="F359" s="538" cm="1">
        <f t="array" ref="F359">_xlfn.IFERROR('Direct Costs 2026'!$C$43*B359,"N/A")</f>
        <v>60000</v>
      </c>
      <c r="G359" s="538" cm="1">
        <f t="array" ref="G359">IF(B359&gt;0,'Direct Costs 2026'!$C$25,"N/A")</f>
        <v>90000</v>
      </c>
      <c r="H359" s="538" cm="1">
        <f t="array" ref="H359">IF(B359&gt;0,'Direct Costs 2026'!$C$19+'Direct Costs 2026'!$C$18*B359,"N/A")</f>
        <v>425000</v>
      </c>
      <c r="I359" s="538">
        <v>0</v>
      </c>
      <c r="J359" s="538">
        <v>0</v>
      </c>
      <c r="K359" s="538" cm="1">
        <f t="array" ref="K359">_xlfn.IFERROR((IF(B359&gt;0,'Direct Costs 2026'!$C$15+'Direct Costs 2026'!$C$14,"N/A")),"N/A")</f>
        <v>230000</v>
      </c>
      <c r="L359" s="538">
        <v>0</v>
      </c>
      <c r="M359" s="538" cm="1">
        <f t="array" ref="M359">IF(B359&gt;0,'Direct Costs 2026'!$C$23,"N/A")</f>
        <v>140000</v>
      </c>
      <c r="N359" s="538" cm="1">
        <f t="array" ref="N359">IF(B359&gt;0,'Direct Costs 2026'!$C$44*B359,"N/A")</f>
        <v>1100000</v>
      </c>
      <c r="O359" s="538" cm="1">
        <f t="array" ref="O359">IF(B359&gt;0,_xlfn.IFERROR(VLOOKUP(C347,'Boats Data Sheet 2026'!$C$3:$I$57,7,0)*'Direct Costs 2026'!$C$36,"N/A"),"N/A")</f>
        <v>3657500</v>
      </c>
      <c r="P359" s="538" cm="1">
        <f t="array" ref="P359">IF(B359&gt;0,IF(OR(VLOOKUP(C347,'Boats Data Sheet 2026'!$C$3:$F$57,4,0)="Own",VLOOKUP(C347,'Boats Data Sheet 2026'!$C$3:$F$57,4,0)="Management"),('Direct Costs 2026'!$C$37+'Direct Costs 2026'!$C$39),"N/A"),"N/A")</f>
        <v>1112400</v>
      </c>
      <c r="Q359" s="538" cm="1">
        <f t="array" ref="Q359">_xlfn.IFERROR(IF(B359&gt;5,IF(B359&gt;11,IF(B359&gt;15,4,3),2),IF(B359=0,"N/A",1))*SUM('Direct Costs 2026'!$C$67:$C$68),"N/A")</f>
        <v>979200</v>
      </c>
      <c r="R359" s="538" cm="1">
        <f t="array" ref="R359">_xlfn.IFERROR('Direct Costs 2026'!$C$27*C359,"N/A")</f>
        <v>0</v>
      </c>
      <c r="S359" s="538" cm="1">
        <f t="array" ref="S359">_xlfn.IFERROR(C359+SUM(E359:R359),"N/A")</f>
        <v>9545100</v>
      </c>
      <c r="T359" s="424"/>
      <c r="U359" s="538" cm="1">
        <f t="array" ref="U359">IF(B359&gt;0,'Allocation OH and Target 2026'!$E$27,"N/A")</f>
        <v>2134447.30345641</v>
      </c>
      <c r="V359" s="538" cm="1">
        <f t="array" ref="V359">IF(B359&gt;0,'Allocation OH and Target 2026'!$E$28,"N/A")</f>
        <v>200042.323056976</v>
      </c>
      <c r="W359" s="538" cm="1">
        <f t="array" ref="W359">IF(B359&gt;0,VLOOKUP(C347,'Allocation OH and Target 2026'!$C$3:$T$23,17,0),"N/A")</f>
        <v>0</v>
      </c>
      <c r="X359" s="538" cm="1">
        <f t="array" ref="X359">IF(B359&gt;0,VLOOKUP(C347,'Allocation OH and Target 2026'!$C$3:$T$23,18,0),"N/A")</f>
        <v>0</v>
      </c>
      <c r="Y359" s="538" cm="1">
        <f t="array" ref="Y359">_xlfn.IFERROR(B359*(V359+X359),"N/A")</f>
        <v>2000423.23056976</v>
      </c>
      <c r="Z359" s="424"/>
      <c r="AA359" s="538" cm="1">
        <f t="array" ref="AA359">_xlfn.IFERROR(Y359+S359,"N/A")</f>
        <v>11545523.2305698</v>
      </c>
      <c r="AB359" s="538" cm="1">
        <f t="array" ref="AB359">_xlfn.IFERROR(AA359*0.5%,"N/A")</f>
        <v>57727.616152849</v>
      </c>
      <c r="AC359" s="538" cm="1">
        <f t="array" ref="AC359">_xlfn.IFERROR(AA359*25%,"N/A")</f>
        <v>2886380.80764245</v>
      </c>
      <c r="AD359" s="539" cm="1">
        <f t="array" ref="AD359">IF(B359&gt;0,SUM(AA359:AC359),"N/A")</f>
        <v>14489631.6543651</v>
      </c>
      <c r="AE359" s="538" cm="1">
        <f t="array" ref="AE359">_xlfn.IFERROR(AD359/B359,"N/A")</f>
        <v>1448963.16543651</v>
      </c>
      <c r="AF359" s="424"/>
      <c r="AG359" t="str" s="546" cm="1">
        <f t="array" ref="AG359">IF(B359/VLOOKUP(C347,'Boats Data Sheet 2026'!$C$3:$H$57,6,0)&gt;VLOOKUP(C347,'Allocation OH and Target 2026'!$C$3:$J$23,8,0),IF(SUM(AH349:AH358)=0,AE359,"N/A"),"N/A")</f>
        <v>N/A</v>
      </c>
      <c r="AH359" s="424" cm="1">
        <f t="array" ref="AH359">IF(AG359="N/A",0,1)</f>
        <v>0</v>
      </c>
      <c r="AI359" t="str" s="547" cm="1">
        <f t="array" ref="AI359">IF(B359/VLOOKUP(C347,'Boats Data Sheet 2026'!$C$3:$H$57,6,0)&gt;VLOOKUP(C347,'Allocation OH and Target 2026'!$C$3:$J$23,8,0),IF(SUM(AH349:AH358)=0,S359/B359,"N/A"),"N/A")</f>
        <v>N/A</v>
      </c>
      <c r="AJ359" s="424" cm="1">
        <f t="array" ref="AJ359">IF(AI359="N/A",0,1)</f>
        <v>0</v>
      </c>
      <c r="AK359" t="str" s="527" cm="1">
        <f t="array" ref="AK359">IF(SUM($AG$120:$AG$137)*B359&lt;SUM(AA359:AB359),"NO GO","GO")</f>
        <v>GO</v>
      </c>
      <c r="AL359" s="424"/>
      <c r="AM359" s="538"/>
      <c r="AN359" s="538"/>
      <c r="AO359" s="538"/>
      <c r="AP359" s="542"/>
      <c r="AQ359" s="543" cm="1">
        <f t="array" ref="AQ359">B359</f>
        <v>10</v>
      </c>
      <c r="AR359" s="18"/>
    </row>
    <row r="360" ht="16" customHeight="1">
      <c r="A360" s="12"/>
      <c r="B360" s="544" cm="1">
        <f t="array" ref="B360">IF(B359=0,0,IF(B359&lt;VLOOKUP(C347,'Boats Data Sheet 2026'!$C$3:$H$57,6,0),B359+1,0))</f>
        <v>11</v>
      </c>
      <c r="C360" s="538" cm="1">
        <f t="array" ref="C360">IF(B360&gt;0,IF(VLOOKUP(C347,'Boats Data Sheet 2026'!$C$3:$J$57,8,0)="N/A",0,VLOOKUP(C347,'Boats Data Sheet 2026'!$C$3:$J$57,8,0)),"N/A")</f>
        <v>0</v>
      </c>
      <c r="D360" s="545" cm="1">
        <f t="array" ref="D360">IF(B360&gt;7,2,IF(B360=0,"N/A",1))</f>
        <v>2</v>
      </c>
      <c r="E360" s="538" cm="1">
        <f t="array" ref="E360">_xlfn.IFERROR(SUM('Direct Costs 2026'!$C$4:$C$5)*D360,"N/A")</f>
        <v>1751000</v>
      </c>
      <c r="F360" s="538" cm="1">
        <f t="array" ref="F360">_xlfn.IFERROR('Direct Costs 2026'!$C$43*B360,"N/A")</f>
        <v>66000</v>
      </c>
      <c r="G360" s="538" cm="1">
        <f t="array" ref="G360">IF(B360&gt;0,'Direct Costs 2026'!$C$25,"N/A")</f>
        <v>90000</v>
      </c>
      <c r="H360" s="538" cm="1">
        <f t="array" ref="H360">IF(B360&gt;0,'Direct Costs 2026'!$C$19+'Direct Costs 2026'!$C$18*B360,"N/A")</f>
        <v>460000</v>
      </c>
      <c r="I360" s="538">
        <v>0</v>
      </c>
      <c r="J360" s="538">
        <v>0</v>
      </c>
      <c r="K360" s="538" cm="1">
        <f t="array" ref="K360">_xlfn.IFERROR((IF(B360&gt;0,'Direct Costs 2026'!$C$15+'Direct Costs 2026'!$C$14,"N/A")),"N/A")</f>
        <v>230000</v>
      </c>
      <c r="L360" s="538">
        <v>0</v>
      </c>
      <c r="M360" s="538" cm="1">
        <f t="array" ref="M360">IF(B360&gt;0,'Direct Costs 2026'!$C$23,"N/A")</f>
        <v>140000</v>
      </c>
      <c r="N360" s="538" cm="1">
        <f t="array" ref="N360">IF(B360&gt;0,'Direct Costs 2026'!$C$44*B360,"N/A")</f>
        <v>1210000</v>
      </c>
      <c r="O360" s="538" cm="1">
        <f t="array" ref="O360">IF(B360&gt;0,_xlfn.IFERROR(VLOOKUP(C347,'Boats Data Sheet 2026'!$C$3:$I$57,7,0)*'Direct Costs 2026'!$C$36,"N/A"),"N/A")</f>
        <v>3657500</v>
      </c>
      <c r="P360" s="538" cm="1">
        <f t="array" ref="P360">IF(B360&gt;0,IF(OR(VLOOKUP(C347,'Boats Data Sheet 2026'!$C$3:$F$57,4,0)="Own",VLOOKUP(C347,'Boats Data Sheet 2026'!$C$3:$F$57,4,0)="Management"),('Direct Costs 2026'!$C$37+'Direct Costs 2026'!$C$39),"N/A"),"N/A")</f>
        <v>1112400</v>
      </c>
      <c r="Q360" s="538" cm="1">
        <f t="array" ref="Q360">_xlfn.IFERROR(IF(B360&gt;5,IF(B360&gt;11,IF(B360&gt;15,4,3),2),IF(B360=0,"N/A",1))*SUM('Direct Costs 2026'!$C$67:$C$68),"N/A")</f>
        <v>979200</v>
      </c>
      <c r="R360" s="538" cm="1">
        <f t="array" ref="R360">_xlfn.IFERROR('Direct Costs 2026'!$C$27*C360,"N/A")</f>
        <v>0</v>
      </c>
      <c r="S360" s="538" cm="1">
        <f t="array" ref="S360">_xlfn.IFERROR(C360+SUM(E360:R360),"N/A")</f>
        <v>9696100</v>
      </c>
      <c r="T360" s="424"/>
      <c r="U360" s="538" cm="1">
        <f t="array" ref="U360">IF(B360&gt;0,'Allocation OH and Target 2026'!$E$27,"N/A")</f>
        <v>2134447.30345641</v>
      </c>
      <c r="V360" s="538" cm="1">
        <f t="array" ref="V360">IF(B360&gt;0,'Allocation OH and Target 2026'!$E$28,"N/A")</f>
        <v>200042.323056976</v>
      </c>
      <c r="W360" s="538" cm="1">
        <f t="array" ref="W360">IF(B360&gt;0,VLOOKUP(C347,'Allocation OH and Target 2026'!$C$3:$T$23,17,0),"N/A")</f>
        <v>0</v>
      </c>
      <c r="X360" s="538" cm="1">
        <f t="array" ref="X360">IF(B360&gt;0,VLOOKUP(C347,'Allocation OH and Target 2026'!$C$3:$T$23,18,0),"N/A")</f>
        <v>0</v>
      </c>
      <c r="Y360" s="538" cm="1">
        <f t="array" ref="Y360">_xlfn.IFERROR(B360*(V360+X360),"N/A")</f>
        <v>2200465.55362674</v>
      </c>
      <c r="Z360" s="424"/>
      <c r="AA360" s="538" cm="1">
        <f t="array" ref="AA360">_xlfn.IFERROR(Y360+S360,"N/A")</f>
        <v>11896565.5536267</v>
      </c>
      <c r="AB360" s="538" cm="1">
        <f t="array" ref="AB360">_xlfn.IFERROR(AA360*0.5%,"N/A")</f>
        <v>59482.8277681335</v>
      </c>
      <c r="AC360" s="538" cm="1">
        <f t="array" ref="AC360">_xlfn.IFERROR(AA360*25%,"N/A")</f>
        <v>2974141.38840668</v>
      </c>
      <c r="AD360" s="539" cm="1">
        <f t="array" ref="AD360">IF(B360&gt;0,SUM(AA360:AC360),"N/A")</f>
        <v>14930189.7698015</v>
      </c>
      <c r="AE360" s="538" cm="1">
        <f t="array" ref="AE360">_xlfn.IFERROR(AD360/B360,"N/A")</f>
        <v>1357289.97907286</v>
      </c>
      <c r="AF360" s="424"/>
      <c r="AG360" s="539" cm="1">
        <f t="array" ref="AG360">IF(B360/VLOOKUP(C347,'Boats Data Sheet 2026'!$C$3:$H$57,6,0)&gt;VLOOKUP(C347,'Allocation OH and Target 2026'!$C$3:$J$23,8,0),IF(SUM(AH349:AH359)=0,AE360,"N/A"),"N/A")</f>
        <v>1357289.97907286</v>
      </c>
      <c r="AH360" s="424" cm="1">
        <f t="array" ref="AH360">IF(AG360="N/A",0,1)</f>
        <v>1</v>
      </c>
      <c r="AI360" s="538" cm="1">
        <f t="array" ref="AI360">IF(B360/VLOOKUP(C347,'Boats Data Sheet 2026'!$C$3:$H$57,6,0)&gt;VLOOKUP(C347,'Allocation OH and Target 2026'!$C$3:$J$23,8,0),IF(SUM(AH349:AH359)=0,S360/B360,"N/A"),"N/A")</f>
        <v>881463.636363636</v>
      </c>
      <c r="AJ360" s="424" cm="1">
        <f t="array" ref="AJ360">IF(AI360="N/A",0,1)</f>
        <v>1</v>
      </c>
      <c r="AK360" t="str" s="527" cm="1">
        <f t="array" ref="AK360">IF(SUM($AG$120:$AG$137)*B360&lt;SUM(AA360:AB360),"NO GO","GO")</f>
        <v>GO</v>
      </c>
      <c r="AL360" s="424"/>
      <c r="AM360" s="538"/>
      <c r="AN360" s="538"/>
      <c r="AO360" s="538"/>
      <c r="AP360" s="542"/>
      <c r="AQ360" s="543" cm="1">
        <f t="array" ref="AQ360">B360</f>
        <v>11</v>
      </c>
      <c r="AR360" s="18"/>
    </row>
    <row r="361" ht="16" customHeight="1">
      <c r="A361" s="12"/>
      <c r="B361" s="544" cm="1">
        <f t="array" ref="B361">IF(B360=0,0,IF(B360&lt;VLOOKUP(C347,'Boats Data Sheet 2026'!$C$3:$H$57,6,0),B360+1,0))</f>
        <v>12</v>
      </c>
      <c r="C361" s="538" cm="1">
        <f t="array" ref="C361">IF(B361&gt;0,IF(VLOOKUP(C347,'Boats Data Sheet 2026'!$C$3:$J$57,8,0)="N/A",0,VLOOKUP(C347,'Boats Data Sheet 2026'!$C$3:$J$57,8,0)),"N/A")</f>
        <v>0</v>
      </c>
      <c r="D361" s="545" cm="1">
        <f t="array" ref="D361">IF(B361&gt;7,2,IF(B361=0,"N/A",1))</f>
        <v>2</v>
      </c>
      <c r="E361" s="538" cm="1">
        <f t="array" ref="E361">_xlfn.IFERROR(SUM('Direct Costs 2026'!$C$4:$C$5)*D361,"N/A")</f>
        <v>1751000</v>
      </c>
      <c r="F361" s="538" cm="1">
        <f t="array" ref="F361">_xlfn.IFERROR('Direct Costs 2026'!$C$43*B361,"N/A")</f>
        <v>72000</v>
      </c>
      <c r="G361" s="538" cm="1">
        <f t="array" ref="G361">IF(B361&gt;0,'Direct Costs 2026'!$C$25,"N/A")</f>
        <v>90000</v>
      </c>
      <c r="H361" s="538" cm="1">
        <f t="array" ref="H361">IF(B361&gt;0,'Direct Costs 2026'!$C$19+'Direct Costs 2026'!$C$18*B361,"N/A")</f>
        <v>495000</v>
      </c>
      <c r="I361" s="538">
        <v>0</v>
      </c>
      <c r="J361" s="538">
        <v>0</v>
      </c>
      <c r="K361" s="538" cm="1">
        <f t="array" ref="K361">_xlfn.IFERROR((IF(B361&gt;0,'Direct Costs 2026'!$C$15+'Direct Costs 2026'!$C$14,"N/A")),"N/A")</f>
        <v>230000</v>
      </c>
      <c r="L361" s="538">
        <v>0</v>
      </c>
      <c r="M361" s="538" cm="1">
        <f t="array" ref="M361">IF(B361&gt;0,'Direct Costs 2026'!$C$23,"N/A")</f>
        <v>140000</v>
      </c>
      <c r="N361" s="538" cm="1">
        <f t="array" ref="N361">IF(B361&gt;0,'Direct Costs 2026'!$C$44*B361,"N/A")</f>
        <v>1320000</v>
      </c>
      <c r="O361" s="538" cm="1">
        <f t="array" ref="O361">IF(B361&gt;0,_xlfn.IFERROR(VLOOKUP(C347,'Boats Data Sheet 2026'!$C$3:$I$57,7,0)*'Direct Costs 2026'!$C$36,"N/A"),"N/A")</f>
        <v>3657500</v>
      </c>
      <c r="P361" s="538" cm="1">
        <f t="array" ref="P361">IF(B361&gt;0,IF(OR(VLOOKUP(C347,'Boats Data Sheet 2026'!$C$3:$F$57,4,0)="Own",VLOOKUP(C347,'Boats Data Sheet 2026'!$C$3:$F$57,4,0)="Management"),('Direct Costs 2026'!$C$37+'Direct Costs 2026'!$C$39),"N/A"),"N/A")</f>
        <v>1112400</v>
      </c>
      <c r="Q361" s="538" cm="1">
        <f t="array" ref="Q361">_xlfn.IFERROR(IF(B361&gt;5,IF(B361&gt;11,IF(B361&gt;15,4,3),2),IF(B361=0,"N/A",1))*SUM('Direct Costs 2026'!$C$67:$C$68),"N/A")</f>
        <v>1468800</v>
      </c>
      <c r="R361" s="538" cm="1">
        <f t="array" ref="R361">_xlfn.IFERROR('Direct Costs 2026'!$C$27*C361,"N/A")</f>
        <v>0</v>
      </c>
      <c r="S361" s="538" cm="1">
        <f t="array" ref="S361">_xlfn.IFERROR(C361+SUM(E361:R361),"N/A")</f>
        <v>10336700</v>
      </c>
      <c r="T361" s="424"/>
      <c r="U361" s="538" cm="1">
        <f t="array" ref="U361">IF(B361&gt;0,'Allocation OH and Target 2026'!$E$27,"N/A")</f>
        <v>2134447.30345641</v>
      </c>
      <c r="V361" s="538" cm="1">
        <f t="array" ref="V361">IF(B361&gt;0,'Allocation OH and Target 2026'!$E$28,"N/A")</f>
        <v>200042.323056976</v>
      </c>
      <c r="W361" s="538" cm="1">
        <f t="array" ref="W361">IF(B361&gt;0,VLOOKUP(C347,'Allocation OH and Target 2026'!$C$3:$T$23,17,0),"N/A")</f>
        <v>0</v>
      </c>
      <c r="X361" s="538" cm="1">
        <f t="array" ref="X361">IF(B361&gt;0,VLOOKUP(C347,'Allocation OH and Target 2026'!$C$3:$T$23,18,0),"N/A")</f>
        <v>0</v>
      </c>
      <c r="Y361" s="538" cm="1">
        <f t="array" ref="Y361">_xlfn.IFERROR(B361*(V361+X361),"N/A")</f>
        <v>2400507.87668371</v>
      </c>
      <c r="Z361" s="424"/>
      <c r="AA361" s="538" cm="1">
        <f t="array" ref="AA361">_xlfn.IFERROR(Y361+S361,"N/A")</f>
        <v>12737207.8766837</v>
      </c>
      <c r="AB361" s="538" cm="1">
        <f t="array" ref="AB361">_xlfn.IFERROR(AA361*0.5%,"N/A")</f>
        <v>63686.0393834185</v>
      </c>
      <c r="AC361" s="538" cm="1">
        <f t="array" ref="AC361">_xlfn.IFERROR(AA361*25%,"N/A")</f>
        <v>3184301.96917093</v>
      </c>
      <c r="AD361" s="539" cm="1">
        <f t="array" ref="AD361">IF(B361&gt;0,SUM(AA361:AC361),"N/A")</f>
        <v>15985195.885238</v>
      </c>
      <c r="AE361" s="538" cm="1">
        <f t="array" ref="AE361">_xlfn.IFERROR(AD361/B361,"N/A")</f>
        <v>1332099.65710317</v>
      </c>
      <c r="AF361" s="424"/>
      <c r="AG361" t="str" s="546" cm="1">
        <f t="array" ref="AG361">IF(B361/VLOOKUP(C347,'Boats Data Sheet 2026'!$C$3:$H$57,6,0)&gt;VLOOKUP(C347,'Allocation OH and Target 2026'!$C$3:$J$23,8,0),IF(SUM(AH349:AH360)=0,AE361,"N/A"),"N/A")</f>
        <v>N/A</v>
      </c>
      <c r="AH361" s="424" cm="1">
        <f t="array" ref="AH361">IF(AG361="N/A",0,1)</f>
        <v>0</v>
      </c>
      <c r="AI361" t="str" s="547" cm="1">
        <f t="array" ref="AI361">IF(B361/VLOOKUP(C347,'Boats Data Sheet 2026'!$C$3:$H$57,6,0)&gt;VLOOKUP(C347,'Allocation OH and Target 2026'!$C$3:$J$23,8,0),IF(SUM(AH349:AH360)=0,S361/B361,"N/A"),"N/A")</f>
        <v>N/A</v>
      </c>
      <c r="AJ361" s="424" cm="1">
        <f t="array" ref="AJ361">IF(AI361="N/A",0,1)</f>
        <v>0</v>
      </c>
      <c r="AK361" t="str" s="527" cm="1">
        <f t="array" ref="AK361">IF(SUM($AG$120:$AG$137)*B361&lt;SUM(AA361:AB361),"NO GO","GO")</f>
        <v>GO</v>
      </c>
      <c r="AL361" s="424"/>
      <c r="AM361" s="538"/>
      <c r="AN361" s="538"/>
      <c r="AO361" s="538"/>
      <c r="AP361" s="542"/>
      <c r="AQ361" s="543" cm="1">
        <f t="array" ref="AQ361">B361</f>
        <v>12</v>
      </c>
      <c r="AR361" s="18"/>
    </row>
    <row r="362" ht="16" customHeight="1">
      <c r="A362" s="12"/>
      <c r="B362" s="544" cm="1">
        <f t="array" ref="B362">IF(B361=0,0,IF(B361&lt;VLOOKUP(C347,'Boats Data Sheet 2026'!$C$3:$H$57,6,0),B361+1,0))</f>
        <v>13</v>
      </c>
      <c r="C362" s="538" cm="1">
        <f t="array" ref="C362">IF(B362&gt;0,IF(VLOOKUP(C347,'Boats Data Sheet 2026'!$C$3:$J$57,8,0)="N/A",0,VLOOKUP(C347,'Boats Data Sheet 2026'!$C$3:$J$57,8,0)),"N/A")</f>
        <v>0</v>
      </c>
      <c r="D362" s="545" cm="1">
        <f t="array" ref="D362">IF(B362&gt;7,2,IF(B362=0,"N/A",1))</f>
        <v>2</v>
      </c>
      <c r="E362" s="538" cm="1">
        <f t="array" ref="E362">_xlfn.IFERROR(SUM('Direct Costs 2026'!$C$4:$C$5)*D362,"N/A")</f>
        <v>1751000</v>
      </c>
      <c r="F362" s="538" cm="1">
        <f t="array" ref="F362">_xlfn.IFERROR('Direct Costs 2026'!$C$43*B362,"N/A")</f>
        <v>78000</v>
      </c>
      <c r="G362" s="538" cm="1">
        <f t="array" ref="G362">IF(B362&gt;0,'Direct Costs 2026'!$C$25,"N/A")</f>
        <v>90000</v>
      </c>
      <c r="H362" s="538" cm="1">
        <f t="array" ref="H362">IF(B362&gt;0,'Direct Costs 2026'!$C$19+'Direct Costs 2026'!$C$18*B362,"N/A")</f>
        <v>530000</v>
      </c>
      <c r="I362" s="538">
        <v>0</v>
      </c>
      <c r="J362" s="538">
        <v>0</v>
      </c>
      <c r="K362" s="538" cm="1">
        <f t="array" ref="K362">_xlfn.IFERROR((IF(B362&gt;0,'Direct Costs 2026'!$C$15+'Direct Costs 2026'!$C$14,"N/A")),"N/A")</f>
        <v>230000</v>
      </c>
      <c r="L362" s="538">
        <v>0</v>
      </c>
      <c r="M362" s="538" cm="1">
        <f t="array" ref="M362">IF(B362&gt;0,'Direct Costs 2026'!$C$23,"N/A")</f>
        <v>140000</v>
      </c>
      <c r="N362" s="538" cm="1">
        <f t="array" ref="N362">IF(B362&gt;0,'Direct Costs 2026'!$C$44*B362,"N/A")</f>
        <v>1430000</v>
      </c>
      <c r="O362" s="538" cm="1">
        <f t="array" ref="O362">IF(B362&gt;0,_xlfn.IFERROR(VLOOKUP(C347,'Boats Data Sheet 2026'!$C$3:$I$57,7,0)*'Direct Costs 2026'!$C$36,"N/A"),"N/A")</f>
        <v>3657500</v>
      </c>
      <c r="P362" s="538" cm="1">
        <f t="array" ref="P362">IF(B362&gt;0,IF(OR(VLOOKUP(C347,'Boats Data Sheet 2026'!$C$3:$F$57,4,0)="Own",VLOOKUP(C347,'Boats Data Sheet 2026'!$C$3:$F$57,4,0)="Management"),('Direct Costs 2026'!$C$37+'Direct Costs 2026'!$C$39),"N/A"),"N/A")</f>
        <v>1112400</v>
      </c>
      <c r="Q362" s="538" cm="1">
        <f t="array" ref="Q362">_xlfn.IFERROR(IF(B362&gt;5,IF(B362&gt;11,IF(B362&gt;15,4,3),2),IF(B362=0,"N/A",1))*SUM('Direct Costs 2026'!$C$67:$C$68),"N/A")</f>
        <v>1468800</v>
      </c>
      <c r="R362" s="538" cm="1">
        <f t="array" ref="R362">_xlfn.IFERROR('Direct Costs 2026'!$C$27*C362,"N/A")</f>
        <v>0</v>
      </c>
      <c r="S362" s="538" cm="1">
        <f t="array" ref="S362">_xlfn.IFERROR(C362+SUM(E362:R362),"N/A")</f>
        <v>10487700</v>
      </c>
      <c r="T362" s="424"/>
      <c r="U362" s="538" cm="1">
        <f t="array" ref="U362">IF(B362&gt;0,'Allocation OH and Target 2026'!$E$27,"N/A")</f>
        <v>2134447.30345641</v>
      </c>
      <c r="V362" s="538" cm="1">
        <f t="array" ref="V362">IF(B362&gt;0,'Allocation OH and Target 2026'!$E$28,"N/A")</f>
        <v>200042.323056976</v>
      </c>
      <c r="W362" s="538" cm="1">
        <f t="array" ref="W362">IF(B362&gt;0,VLOOKUP(C347,'Allocation OH and Target 2026'!$C$3:$T$23,17,0),"N/A")</f>
        <v>0</v>
      </c>
      <c r="X362" s="538" cm="1">
        <f t="array" ref="X362">IF(B362&gt;0,VLOOKUP(C347,'Allocation OH and Target 2026'!$C$3:$T$23,18,0),"N/A")</f>
        <v>0</v>
      </c>
      <c r="Y362" s="538" cm="1">
        <f t="array" ref="Y362">_xlfn.IFERROR(B362*(V362+X362),"N/A")</f>
        <v>2600550.19974069</v>
      </c>
      <c r="Z362" s="424"/>
      <c r="AA362" s="538" cm="1">
        <f t="array" ref="AA362">_xlfn.IFERROR(Y362+S362,"N/A")</f>
        <v>13088250.1997407</v>
      </c>
      <c r="AB362" s="538" cm="1">
        <f t="array" ref="AB362">_xlfn.IFERROR(AA362*0.5%,"N/A")</f>
        <v>65441.2509987035</v>
      </c>
      <c r="AC362" s="538" cm="1">
        <f t="array" ref="AC362">_xlfn.IFERROR(AA362*25%,"N/A")</f>
        <v>3272062.54993518</v>
      </c>
      <c r="AD362" s="539" cm="1">
        <f t="array" ref="AD362">IF(B362&gt;0,SUM(AA362:AC362),"N/A")</f>
        <v>16425754.0006746</v>
      </c>
      <c r="AE362" s="538" cm="1">
        <f t="array" ref="AE362">_xlfn.IFERROR(AD362/B362,"N/A")</f>
        <v>1263519.53851343</v>
      </c>
      <c r="AF362" s="424"/>
      <c r="AG362" t="str" s="546" cm="1">
        <f t="array" ref="AG362">IF(B362/VLOOKUP(C347,'Boats Data Sheet 2026'!$C$3:$H$57,6,0)&gt;VLOOKUP(C347,'Allocation OH and Target 2026'!$C$3:$J$23,8,0),IF(SUM(AH349:AH361)=0,AE362,"N/A"),"N/A")</f>
        <v>N/A</v>
      </c>
      <c r="AH362" s="424" cm="1">
        <f t="array" ref="AH362">IF(AG362="N/A",0,1)</f>
        <v>0</v>
      </c>
      <c r="AI362" t="str" s="547" cm="1">
        <f t="array" ref="AI362">IF(B362/VLOOKUP(C347,'Boats Data Sheet 2026'!$C$3:$H$57,6,0)&gt;VLOOKUP(C347,'Allocation OH and Target 2026'!$C$3:$J$23,8,0),IF(SUM(AH349:AH361)=0,S362/B362,"N/A"),"N/A")</f>
        <v>N/A</v>
      </c>
      <c r="AJ362" s="424" cm="1">
        <f t="array" ref="AJ362">IF(AI362="N/A",0,1)</f>
        <v>0</v>
      </c>
      <c r="AK362" t="str" s="527" cm="1">
        <f t="array" ref="AK362">IF(SUM($AG$120:$AG$137)*B362&lt;SUM(AA362:AB362),"NO GO","GO")</f>
        <v>GO</v>
      </c>
      <c r="AL362" s="424"/>
      <c r="AM362" s="538"/>
      <c r="AN362" s="538"/>
      <c r="AO362" s="538"/>
      <c r="AP362" s="542"/>
      <c r="AQ362" s="543" cm="1">
        <f t="array" ref="AQ362">B362</f>
        <v>13</v>
      </c>
      <c r="AR362" s="18"/>
    </row>
    <row r="363" ht="16" customHeight="1">
      <c r="A363" s="12"/>
      <c r="B363" s="544" cm="1">
        <f t="array" ref="B363">IF(B362=0,0,IF(B362&lt;VLOOKUP(C347,'Boats Data Sheet 2026'!$C$3:$H$57,6,0),B362+1,0))</f>
        <v>0</v>
      </c>
      <c r="C363" t="str" s="547" cm="1">
        <f t="array" ref="C363">IF(B363&gt;0,IF(VLOOKUP(C347,'Boats Data Sheet 2026'!$C$3:$J$57,8,0)="N/A",0,VLOOKUP(C347,'Boats Data Sheet 2026'!$C$3:$J$57,8,0)),"N/A")</f>
        <v>N/A</v>
      </c>
      <c r="D363" t="str" s="547" cm="1">
        <f t="array" ref="D363">IF(B363&gt;7,2,IF(B363=0,"N/A",1))</f>
        <v>N/A</v>
      </c>
      <c r="E363" t="str" s="547" cm="1">
        <f t="array" ref="E363">_xlfn.IFERROR(SUM('Direct Costs 2026'!$C$4:$C$5)*D363,"N/A")</f>
        <v>N/A</v>
      </c>
      <c r="F363" s="538" cm="1">
        <f t="array" ref="F363">_xlfn.IFERROR('Direct Costs 2026'!$C$43*B363,"N/A")</f>
        <v>0</v>
      </c>
      <c r="G363" t="str" s="547" cm="1">
        <f t="array" ref="G363">IF(B363&gt;0,'Direct Costs 2026'!$C$25,"N/A")</f>
        <v>N/A</v>
      </c>
      <c r="H363" t="str" s="547" cm="1">
        <f t="array" ref="H363">IF(B363&gt;0,'Direct Costs 2026'!$C$19+'Direct Costs 2026'!$C$18*B363,"N/A")</f>
        <v>N/A</v>
      </c>
      <c r="I363" s="538">
        <v>0</v>
      </c>
      <c r="J363" s="538">
        <v>0</v>
      </c>
      <c r="K363" t="str" s="547" cm="1">
        <f t="array" ref="K363">_xlfn.IFERROR((IF(B363&gt;0,'Direct Costs 2026'!$C$15+'Direct Costs 2026'!$C$14,"N/A")),"N/A")</f>
        <v>N/A</v>
      </c>
      <c r="L363" s="538">
        <v>0</v>
      </c>
      <c r="M363" t="str" s="547" cm="1">
        <f t="array" ref="M363">IF(B363&gt;0,'Direct Costs 2026'!$C$23,"N/A")</f>
        <v>N/A</v>
      </c>
      <c r="N363" t="str" s="547" cm="1">
        <f t="array" ref="N363">IF(B363&gt;0,'Direct Costs 2026'!$C$44*B363,"N/A")</f>
        <v>N/A</v>
      </c>
      <c r="O363" t="str" s="547" cm="1">
        <f t="array" ref="O363">IF(B363&gt;0,_xlfn.IFERROR(VLOOKUP(C347,'Boats Data Sheet 2026'!$C$3:$I$57,7,0)*'Direct Costs 2026'!$C$36,"N/A"),"N/A")</f>
        <v>N/A</v>
      </c>
      <c r="P363" t="str" s="547" cm="1">
        <f t="array" ref="P363">IF(B363&gt;0,IF(OR(VLOOKUP(C351,'Boats Data Sheet 2026'!$C$3:$F$57,4,0)="Own",VLOOKUP(C351,'Boats Data Sheet 2026'!$C$3:$F$57,4,0)="Management"),('Direct Costs 2026'!$C$37+'Direct Costs 2026'!$C$39),"N/A"),"N/A")</f>
        <v>N/A</v>
      </c>
      <c r="Q363" t="str" s="547" cm="1">
        <f t="array" ref="Q363">_xlfn.IFERROR(IF(B363&gt;5,IF(B363&gt;11,IF(B363&gt;15,4,3),2),IF(B363=0,"N/A",1))*SUM('Direct Costs 2026'!$C$67:$C$68),"N/A")</f>
        <v>N/A</v>
      </c>
      <c r="R363" t="str" s="547" cm="1">
        <f t="array" ref="R363">_xlfn.IFERROR('Direct Costs 2026'!$C$27*C363,"N/A")</f>
        <v>N/A</v>
      </c>
      <c r="S363" t="str" s="547" cm="1">
        <f t="array" ref="S363">_xlfn.IFERROR(C363+SUM(E363:R363),"N/A")</f>
        <v>N/A</v>
      </c>
      <c r="T363" s="424"/>
      <c r="U363" t="str" s="547" cm="1">
        <f t="array" ref="U363">IF(B363&gt;0,'Allocation OH and Target 2026'!$E$27,"N/A")</f>
        <v>N/A</v>
      </c>
      <c r="V363" t="str" s="547" cm="1">
        <f t="array" ref="V363">IF(B363&gt;0,'Allocation OH and Target 2026'!$E$28,"N/A")</f>
        <v>N/A</v>
      </c>
      <c r="W363" t="str" s="547" cm="1">
        <f t="array" ref="W363">IF(B363&gt;0,VLOOKUP(C347,'Allocation OH and Target 2026'!$C$3:$T$23,17,0),"N/A")</f>
        <v>N/A</v>
      </c>
      <c r="X363" t="str" s="547" cm="1">
        <f t="array" ref="X363">IF(B363&gt;0,VLOOKUP(C347,'Allocation OH and Target 2026'!$C$3:$T$23,18,0),"N/A")</f>
        <v>N/A</v>
      </c>
      <c r="Y363" t="str" s="547" cm="1">
        <f t="array" ref="Y363">_xlfn.IFERROR(B363*(V363+X363),"N/A")</f>
        <v>N/A</v>
      </c>
      <c r="Z363" s="424"/>
      <c r="AA363" t="str" s="547" cm="1">
        <f t="array" ref="AA363">_xlfn.IFERROR(Y363+S363,"N/A")</f>
        <v>N/A</v>
      </c>
      <c r="AB363" t="str" s="547" cm="1">
        <f t="array" ref="AB363">_xlfn.IFERROR(AA363*0.5%,"N/A")</f>
        <v>N/A</v>
      </c>
      <c r="AC363" t="str" s="547" cm="1">
        <f t="array" ref="AC363">_xlfn.IFERROR(AA363*25%,"N/A")</f>
        <v>N/A</v>
      </c>
      <c r="AD363" t="str" s="546" cm="1">
        <f t="array" ref="AD363">IF(B363&gt;0,SUM(AA363:AC363),"N/A")</f>
        <v>N/A</v>
      </c>
      <c r="AE363" t="str" s="547" cm="1">
        <f t="array" ref="AE363">_xlfn.IFERROR(AD363/B363,"N/A")</f>
        <v>N/A</v>
      </c>
      <c r="AF363" s="424"/>
      <c r="AG363" t="str" s="546" cm="1">
        <f t="array" ref="AG363">IF(B363/VLOOKUP(C347,'Boats Data Sheet 2026'!$C$3:$H$57,6,0)&gt;VLOOKUP(C347,'Allocation OH and Target 2026'!$C$3:$J$23,8,0),IF(SUM(AH349:AH362)=0,AE363,"N/A"),"N/A")</f>
        <v>N/A</v>
      </c>
      <c r="AH363" s="424" cm="1">
        <f t="array" ref="AH363">IF(AG363="N/A",0,1)</f>
        <v>0</v>
      </c>
      <c r="AI363" t="str" s="547" cm="1">
        <f t="array" ref="AI363">IF(B363/VLOOKUP(C347,'Boats Data Sheet 2026'!$C$3:$H$57,6,0)&gt;VLOOKUP(C347,'Allocation OH and Target 2026'!$C$3:$J$23,8,0),IF(SUM(AH349:AH362)=0,S363/B363,"N/A"),"N/A")</f>
        <v>N/A</v>
      </c>
      <c r="AJ363" s="424" cm="1">
        <f t="array" ref="AJ363">IF(AI363="N/A",0,1)</f>
        <v>0</v>
      </c>
      <c r="AK363" t="str" s="527" cm="1">
        <f t="array" ref="AK363">IF(SUM($AG$120:$AG$137)*B363&lt;SUM(AA363:AB363),"NO GO","GO")</f>
        <v>GO</v>
      </c>
      <c r="AL363" s="424"/>
      <c r="AM363" s="538"/>
      <c r="AN363" s="538"/>
      <c r="AO363" s="538"/>
      <c r="AP363" s="542"/>
      <c r="AQ363" s="543" cm="1">
        <f t="array" ref="AQ363">B363</f>
        <v>0</v>
      </c>
      <c r="AR363" s="18"/>
    </row>
    <row r="364" ht="16" customHeight="1">
      <c r="A364" s="12"/>
      <c r="B364" s="544" cm="1">
        <f t="array" ref="B364">IF(B363=0,0,IF(B363&lt;VLOOKUP(C347,'Boats Data Sheet 2026'!$C$3:$H$57,6,0),B363+1,0))</f>
        <v>0</v>
      </c>
      <c r="C364" t="str" s="547" cm="1">
        <f t="array" ref="C364">IF(B364&gt;0,IF(VLOOKUP(C347,'Boats Data Sheet 2026'!$C$3:$J$57,8,0)="N/A",0,VLOOKUP(C347,'Boats Data Sheet 2026'!$C$3:$J$57,8,0)),"N/A")</f>
        <v>N/A</v>
      </c>
      <c r="D364" t="str" s="547" cm="1">
        <f t="array" ref="D364">IF(B364&gt;7,2,IF(B364=0,"N/A",1))</f>
        <v>N/A</v>
      </c>
      <c r="E364" t="str" s="547" cm="1">
        <f t="array" ref="E364">_xlfn.IFERROR(SUM('Direct Costs 2026'!$C$4:$C$5)*D364,"N/A")</f>
        <v>N/A</v>
      </c>
      <c r="F364" s="538" cm="1">
        <f t="array" ref="F364">_xlfn.IFERROR('Direct Costs 2026'!$C$43*B364,"N/A")</f>
        <v>0</v>
      </c>
      <c r="G364" t="str" s="547" cm="1">
        <f t="array" ref="G364">IF(B364&gt;0,'Direct Costs 2026'!$C$25,"N/A")</f>
        <v>N/A</v>
      </c>
      <c r="H364" t="str" s="547" cm="1">
        <f t="array" ref="H364">IF(B364&gt;0,'Direct Costs 2026'!$C$19+'Direct Costs 2026'!$C$18*B364,"N/A")</f>
        <v>N/A</v>
      </c>
      <c r="I364" s="538">
        <v>0</v>
      </c>
      <c r="J364" s="538">
        <v>0</v>
      </c>
      <c r="K364" t="str" s="547" cm="1">
        <f t="array" ref="K364">_xlfn.IFERROR((IF(B364&gt;0,'Direct Costs 2026'!$C$15+'Direct Costs 2026'!$C$14,"N/A")),"N/A")</f>
        <v>N/A</v>
      </c>
      <c r="L364" s="538">
        <v>0</v>
      </c>
      <c r="M364" t="str" s="547" cm="1">
        <f t="array" ref="M364">IF(B364&gt;0,'Direct Costs 2026'!$C$23,"N/A")</f>
        <v>N/A</v>
      </c>
      <c r="N364" t="str" s="547" cm="1">
        <f t="array" ref="N364">IF(B364&gt;0,'Direct Costs 2026'!$C$44*B364,"N/A")</f>
        <v>N/A</v>
      </c>
      <c r="O364" t="str" s="547" cm="1">
        <f t="array" ref="O364">IF(B364&gt;0,_xlfn.IFERROR(VLOOKUP(C347,'Boats Data Sheet 2026'!$C$3:$I$57,7,0)*'Direct Costs 2026'!$C$36,"N/A"),"N/A")</f>
        <v>N/A</v>
      </c>
      <c r="P364" t="str" s="547" cm="1">
        <f t="array" ref="P364">IF(B364&gt;0,IF(OR(VLOOKUP(C352,'Boats Data Sheet 2026'!$C$3:$F$57,4,0)="Own",VLOOKUP(C352,'Boats Data Sheet 2026'!$C$3:$F$57,4,0)="Management"),('Direct Costs 2026'!$C$37+'Direct Costs 2026'!$C$39),"N/A"),"N/A")</f>
        <v>N/A</v>
      </c>
      <c r="Q364" t="str" s="547" cm="1">
        <f t="array" ref="Q364">_xlfn.IFERROR(IF(B364&gt;5,IF(B364&gt;11,IF(B364&gt;15,4,3),2),IF(B364=0,"N/A",1))*SUM('Direct Costs 2026'!$C$67:$C$68),"N/A")</f>
        <v>N/A</v>
      </c>
      <c r="R364" t="str" s="547" cm="1">
        <f t="array" ref="R364">_xlfn.IFERROR('Direct Costs 2026'!$C$27*C364,"N/A")</f>
        <v>N/A</v>
      </c>
      <c r="S364" t="str" s="547" cm="1">
        <f t="array" ref="S364">_xlfn.IFERROR(C364+SUM(E364:R364),"N/A")</f>
        <v>N/A</v>
      </c>
      <c r="T364" s="424"/>
      <c r="U364" t="str" s="547" cm="1">
        <f t="array" ref="U364">IF(B364&gt;0,'Allocation OH and Target 2026'!$E$27,"N/A")</f>
        <v>N/A</v>
      </c>
      <c r="V364" t="str" s="547" cm="1">
        <f t="array" ref="V364">IF(B364&gt;0,'Allocation OH and Target 2026'!$E$28,"N/A")</f>
        <v>N/A</v>
      </c>
      <c r="W364" t="str" s="547" cm="1">
        <f t="array" ref="W364">IF(B364&gt;0,VLOOKUP(C347,'Allocation OH and Target 2026'!$C$3:$T$23,17,0),"N/A")</f>
        <v>N/A</v>
      </c>
      <c r="X364" t="str" s="547" cm="1">
        <f t="array" ref="X364">IF(B364&gt;0,VLOOKUP(C347,'Allocation OH and Target 2026'!$C$3:$T$23,18,0),"N/A")</f>
        <v>N/A</v>
      </c>
      <c r="Y364" t="str" s="547" cm="1">
        <f t="array" ref="Y364">_xlfn.IFERROR(V364*B364+X364,"N/A")</f>
        <v>N/A</v>
      </c>
      <c r="Z364" s="424"/>
      <c r="AA364" t="str" s="547" cm="1">
        <f t="array" ref="AA364">_xlfn.IFERROR(Y364+S364,"N/A")</f>
        <v>N/A</v>
      </c>
      <c r="AB364" t="str" s="547" cm="1">
        <f t="array" ref="AB364">_xlfn.IFERROR(AA364*0.5%,"N/A")</f>
        <v>N/A</v>
      </c>
      <c r="AC364" t="str" s="547" cm="1">
        <f t="array" ref="AC364">_xlfn.IFERROR(AA364*25%,"N/A")</f>
        <v>N/A</v>
      </c>
      <c r="AD364" t="str" s="546" cm="1">
        <f t="array" ref="AD364">IF(B364&gt;0,SUM(AA364:AC364),"N/A")</f>
        <v>N/A</v>
      </c>
      <c r="AE364" t="str" s="547" cm="1">
        <f t="array" ref="AE364">_xlfn.IFERROR(AD364/B364,"N/A")</f>
        <v>N/A</v>
      </c>
      <c r="AF364" s="424"/>
      <c r="AG364" t="str" s="546" cm="1">
        <f t="array" ref="AG364">IF(B364/VLOOKUP(C347,'Boats Data Sheet 2026'!$C$3:$H$57,6,0)&gt;VLOOKUP(C347,'Allocation OH and Target 2026'!$C$3:$J$23,8,0),IF(SUM(AH349:AH363)=0,AE364,"N/A"),"N/A")</f>
        <v>N/A</v>
      </c>
      <c r="AH364" s="424" cm="1">
        <f t="array" ref="AH364">IF(AG364="N/A",0,1)</f>
        <v>0</v>
      </c>
      <c r="AI364" t="str" s="547" cm="1">
        <f t="array" ref="AI364">IF(B364/VLOOKUP(C347,'Boats Data Sheet 2026'!$C$3:$H$57,6,0)&gt;VLOOKUP(C347,'Allocation OH and Target 2026'!$C$3:$J$23,8,0),IF(SUM(AH349:AH363)=0,S364/B364,"N/A"),"N/A")</f>
        <v>N/A</v>
      </c>
      <c r="AJ364" s="424" cm="1">
        <f t="array" ref="AJ364">IF(AI364="N/A",0,1)</f>
        <v>0</v>
      </c>
      <c r="AK364" t="str" s="527" cm="1">
        <f t="array" ref="AK364">IF(SUM($AG$120:$AG$137)*B364&lt;SUM(AA364:AB364),"NO GO","GO")</f>
        <v>GO</v>
      </c>
      <c r="AL364" s="424"/>
      <c r="AM364" s="538"/>
      <c r="AN364" s="538"/>
      <c r="AO364" s="538"/>
      <c r="AP364" s="542"/>
      <c r="AQ364" s="543" cm="1">
        <f t="array" ref="AQ364">B364</f>
        <v>0</v>
      </c>
      <c r="AR364" s="18"/>
    </row>
    <row r="365" ht="16" customHeight="1">
      <c r="A365" s="12"/>
      <c r="B365" s="544" cm="1">
        <f t="array" ref="B365">IF(B364=0,0,IF(B364&lt;VLOOKUP(C347,'Boats Data Sheet 2026'!$C$3:$H$57,6,0),B364+1,0))</f>
        <v>0</v>
      </c>
      <c r="C365" t="str" s="547" cm="1">
        <f t="array" ref="C365">IF(B365&gt;0,IF(VLOOKUP(C347,'Boats Data Sheet 2026'!$C$3:$J$57,8,0)="N/A",0,VLOOKUP(C347,'Boats Data Sheet 2026'!$C$3:$J$57,8,0)),"N/A")</f>
        <v>N/A</v>
      </c>
      <c r="D365" t="str" s="547" cm="1">
        <f t="array" ref="D365">IF(B365&gt;7,2,IF(B365=0,"N/A",1))</f>
        <v>N/A</v>
      </c>
      <c r="E365" t="str" s="547" cm="1">
        <f t="array" ref="E365">_xlfn.IFERROR(SUM('Direct Costs 2026'!$C$4:$C$5)*D365,"N/A")</f>
        <v>N/A</v>
      </c>
      <c r="F365" s="538" cm="1">
        <f t="array" ref="F365">_xlfn.IFERROR('Direct Costs 2026'!$C$43*B365,"N/A")</f>
        <v>0</v>
      </c>
      <c r="G365" t="str" s="547" cm="1">
        <f t="array" ref="G365">IF(B365&gt;0,'Direct Costs 2026'!$C$25,"N/A")</f>
        <v>N/A</v>
      </c>
      <c r="H365" t="str" s="547" cm="1">
        <f t="array" ref="H365">IF(B365&gt;0,'Direct Costs 2026'!$C$19+'Direct Costs 2026'!$C$18*B365,"N/A")</f>
        <v>N/A</v>
      </c>
      <c r="I365" s="538">
        <v>0</v>
      </c>
      <c r="J365" s="538">
        <v>0</v>
      </c>
      <c r="K365" t="str" s="547" cm="1">
        <f t="array" ref="K365">_xlfn.IFERROR((IF(B365&gt;0,'Direct Costs 2026'!$C$15+'Direct Costs 2026'!$C$14,"N/A")),"N/A")</f>
        <v>N/A</v>
      </c>
      <c r="L365" s="538">
        <v>0</v>
      </c>
      <c r="M365" t="str" s="547" cm="1">
        <f t="array" ref="M365">IF(B365&gt;0,'Direct Costs 2026'!$C$23,"N/A")</f>
        <v>N/A</v>
      </c>
      <c r="N365" t="str" s="547" cm="1">
        <f t="array" ref="N365">IF(B365&gt;0,'Direct Costs 2026'!$C$44*B365,"N/A")</f>
        <v>N/A</v>
      </c>
      <c r="O365" t="str" s="547" cm="1">
        <f t="array" ref="O365">IF(B365&gt;0,_xlfn.IFERROR(VLOOKUP(C347,'Boats Data Sheet 2026'!$C$3:$I$57,7,0)*'Direct Costs 2026'!$C$36,"N/A"),"N/A")</f>
        <v>N/A</v>
      </c>
      <c r="P365" t="str" s="547" cm="1">
        <f t="array" ref="P365">IF(B365&gt;0,IF(OR(VLOOKUP(C353,'Boats Data Sheet 2026'!$C$3:$F$57,4,0)="Own",VLOOKUP(C353,'Boats Data Sheet 2026'!$C$3:$F$57,4,0)="Management"),('Direct Costs 2026'!$C$37+'Direct Costs 2026'!$C$39),"N/A"),"N/A")</f>
        <v>N/A</v>
      </c>
      <c r="Q365" t="str" s="547" cm="1">
        <f t="array" ref="Q365">_xlfn.IFERROR(IF(B365&gt;5,IF(B365&gt;11,IF(B365&gt;15,4,3),2),IF(B365=0,"N/A",1))*SUM('Direct Costs 2026'!$C$67:$C$68),"N/A")</f>
        <v>N/A</v>
      </c>
      <c r="R365" t="str" s="547" cm="1">
        <f t="array" ref="R365">_xlfn.IFERROR('Direct Costs 2026'!$C$27*C365,"N/A")</f>
        <v>N/A</v>
      </c>
      <c r="S365" t="str" s="547" cm="1">
        <f t="array" ref="S365">_xlfn.IFERROR(C365+SUM(E365:R365),"N/A")</f>
        <v>N/A</v>
      </c>
      <c r="T365" s="424"/>
      <c r="U365" t="str" s="547" cm="1">
        <f t="array" ref="U365">IF(B365&gt;0,'Allocation OH and Target 2026'!$E$27,"N/A")</f>
        <v>N/A</v>
      </c>
      <c r="V365" t="str" s="547" cm="1">
        <f t="array" ref="V365">IF(B365&gt;0,'Allocation OH and Target 2026'!$E$28,"N/A")</f>
        <v>N/A</v>
      </c>
      <c r="W365" t="str" s="547" cm="1">
        <f t="array" ref="W365">IF(B365&gt;0,VLOOKUP(C347,'Allocation OH and Target 2026'!$C$3:$T$23,17,0),"N/A")</f>
        <v>N/A</v>
      </c>
      <c r="X365" t="str" s="547" cm="1">
        <f t="array" ref="X365">IF(B365&gt;0,VLOOKUP(C347,'Allocation OH and Target 2026'!$C$3:$T$23,18,0),"N/A")</f>
        <v>N/A</v>
      </c>
      <c r="Y365" t="str" s="547" cm="1">
        <f t="array" ref="Y365">_xlfn.IFERROR(V365*B365+X365,"N/A")</f>
        <v>N/A</v>
      </c>
      <c r="Z365" s="424"/>
      <c r="AA365" t="str" s="547" cm="1">
        <f t="array" ref="AA365">_xlfn.IFERROR(Y365+S365,"N/A")</f>
        <v>N/A</v>
      </c>
      <c r="AB365" t="str" s="547" cm="1">
        <f t="array" ref="AB365">_xlfn.IFERROR(AA365*0.5%,"N/A")</f>
        <v>N/A</v>
      </c>
      <c r="AC365" t="str" s="547" cm="1">
        <f t="array" ref="AC365">_xlfn.IFERROR(AA365*25%,"N/A")</f>
        <v>N/A</v>
      </c>
      <c r="AD365" t="str" s="546" cm="1">
        <f t="array" ref="AD365">IF(B365&gt;0,SUM(AA365:AC365),"N/A")</f>
        <v>N/A</v>
      </c>
      <c r="AE365" t="str" s="547" cm="1">
        <f t="array" ref="AE365">_xlfn.IFERROR(AD365/B365,"N/A")</f>
        <v>N/A</v>
      </c>
      <c r="AF365" s="424"/>
      <c r="AG365" t="str" s="546" cm="1">
        <f t="array" ref="AG365">IF(B365/VLOOKUP(C347,'Boats Data Sheet 2026'!$C$3:$H$57,6,0)&gt;VLOOKUP(C347,'Allocation OH and Target 2026'!$C$3:$J$23,8,0),IF(SUM(AH349:AH364)=0,AE365,"N/A"),"N/A")</f>
        <v>N/A</v>
      </c>
      <c r="AH365" s="424" cm="1">
        <f t="array" ref="AH365">IF(AG365="N/A",0,1)</f>
        <v>0</v>
      </c>
      <c r="AI365" t="str" s="547" cm="1">
        <f t="array" ref="AI365">IF(B365/VLOOKUP(C347,'Boats Data Sheet 2026'!$C$3:$H$57,6,0)&gt;VLOOKUP(C347,'Allocation OH and Target 2026'!$C$3:$J$23,8,0),IF(SUM(AH349:AH364)=0,S365/B365,"N/A"),"N/A")</f>
        <v>N/A</v>
      </c>
      <c r="AJ365" s="424" cm="1">
        <f t="array" ref="AJ365">IF(AI365="N/A",0,1)</f>
        <v>0</v>
      </c>
      <c r="AK365" t="str" s="527" cm="1">
        <f t="array" ref="AK365">IF(SUM($AG$120:$AG$137)*B365&lt;SUM(AA365:AB365),"NO GO","GO")</f>
        <v>GO</v>
      </c>
      <c r="AL365" s="424"/>
      <c r="AM365" s="538"/>
      <c r="AN365" s="538"/>
      <c r="AO365" s="538"/>
      <c r="AP365" s="542"/>
      <c r="AQ365" s="543" cm="1">
        <f t="array" ref="AQ365">B365</f>
        <v>0</v>
      </c>
      <c r="AR365" s="18"/>
    </row>
    <row r="366" ht="16" customHeight="1">
      <c r="A366" s="12"/>
      <c r="B366" s="544" cm="1">
        <f t="array" ref="B366">IF(B365=0,0,IF(B365&lt;VLOOKUP(C347,'Boats Data Sheet 2026'!$C$3:$H$57,6,0),B365+1,0))</f>
        <v>0</v>
      </c>
      <c r="C366" t="str" s="547" cm="1">
        <f t="array" ref="C366">IF(B366&gt;0,IF(VLOOKUP(C347,'Boats Data Sheet 2026'!$C$3:$J$57,8,0)="N/A",0,VLOOKUP(C347,'Boats Data Sheet 2026'!$C$3:$J$57,8,0)),"N/A")</f>
        <v>N/A</v>
      </c>
      <c r="D366" t="str" s="547" cm="1">
        <f t="array" ref="D366">IF(B366&gt;7,2,IF(B366=0,"N/A",1))</f>
        <v>N/A</v>
      </c>
      <c r="E366" t="str" s="547" cm="1">
        <f t="array" ref="E366">_xlfn.IFERROR(SUM('Direct Costs 2026'!$C$4:$C$5)*D366,"N/A")</f>
        <v>N/A</v>
      </c>
      <c r="F366" s="538" cm="1">
        <f t="array" ref="F366">_xlfn.IFERROR('Direct Costs 2026'!$C$43*B366,"N/A")</f>
        <v>0</v>
      </c>
      <c r="G366" t="str" s="547" cm="1">
        <f t="array" ref="G366">IF(B366&gt;0,'Direct Costs 2026'!$C$25,"N/A")</f>
        <v>N/A</v>
      </c>
      <c r="H366" t="str" s="547" cm="1">
        <f t="array" ref="H366">IF(B366&gt;0,'Direct Costs 2026'!$C$19+'Direct Costs 2026'!$C$18*B366,"N/A")</f>
        <v>N/A</v>
      </c>
      <c r="I366" s="538">
        <v>0</v>
      </c>
      <c r="J366" s="538">
        <v>0</v>
      </c>
      <c r="K366" t="str" s="547" cm="1">
        <f t="array" ref="K366">_xlfn.IFERROR((IF(B366&gt;0,'Direct Costs 2026'!$C$15+'Direct Costs 2026'!$C$14,"N/A")),"N/A")</f>
        <v>N/A</v>
      </c>
      <c r="L366" s="538">
        <v>0</v>
      </c>
      <c r="M366" t="str" s="547" cm="1">
        <f t="array" ref="M366">IF(B366&gt;0,'Direct Costs 2026'!$C$23,"N/A")</f>
        <v>N/A</v>
      </c>
      <c r="N366" t="str" s="547" cm="1">
        <f t="array" ref="N366">IF(B366&gt;0,'Direct Costs 2026'!$C$44*B366,"N/A")</f>
        <v>N/A</v>
      </c>
      <c r="O366" t="str" s="547" cm="1">
        <f t="array" ref="O366">IF(B366&gt;0,_xlfn.IFERROR(VLOOKUP(C347,'Boats Data Sheet 2026'!$C$3:$I$57,7,0)*'Direct Costs 2026'!$C$36,"N/A"),"N/A")</f>
        <v>N/A</v>
      </c>
      <c r="P366" t="str" s="547" cm="1">
        <f t="array" ref="P366">IF(B366&gt;0,IF(OR(VLOOKUP(C354,'Boats Data Sheet 2026'!$C$3:$F$57,4,0)="Own",VLOOKUP(C354,'Boats Data Sheet 2026'!$C$3:$F$57,4,0)="Management"),('Direct Costs 2026'!$C$37+'Direct Costs 2026'!$C$39),"N/A"),"N/A")</f>
        <v>N/A</v>
      </c>
      <c r="Q366" t="str" s="547" cm="1">
        <f t="array" ref="Q366">_xlfn.IFERROR(IF(B366&gt;5,IF(B366&gt;11,IF(B366&gt;15,4,3),2),IF(B366=0,"N/A",1))*SUM('Direct Costs 2026'!$C$67:$C$68),"N/A")</f>
        <v>N/A</v>
      </c>
      <c r="R366" t="str" s="547" cm="1">
        <f t="array" ref="R366">_xlfn.IFERROR('Direct Costs 2026'!$C$27*C366,"N/A")</f>
        <v>N/A</v>
      </c>
      <c r="S366" t="str" s="547" cm="1">
        <f t="array" ref="S366">_xlfn.IFERROR(C366+SUM(E366:R366),"N/A")</f>
        <v>N/A</v>
      </c>
      <c r="T366" s="424"/>
      <c r="U366" t="str" s="547" cm="1">
        <f t="array" ref="U366">IF(B366&gt;0,'Allocation OH and Target 2026'!$E$27,"N/A")</f>
        <v>N/A</v>
      </c>
      <c r="V366" t="str" s="547" cm="1">
        <f t="array" ref="V366">IF(B366&gt;0,'Allocation OH and Target 2026'!$E$28,"N/A")</f>
        <v>N/A</v>
      </c>
      <c r="W366" t="str" s="547" cm="1">
        <f t="array" ref="W366">IF(B366&gt;0,VLOOKUP(C347,'Allocation OH and Target 2026'!$C$3:$T$23,17,0),"N/A")</f>
        <v>N/A</v>
      </c>
      <c r="X366" t="str" s="547" cm="1">
        <f t="array" ref="X366">IF(B366&gt;0,VLOOKUP(C347,'Allocation OH and Target 2026'!$C$3:$T$23,18,0),"N/A")</f>
        <v>N/A</v>
      </c>
      <c r="Y366" t="str" s="547" cm="1">
        <f t="array" ref="Y366">_xlfn.IFERROR(V366*B366+X366,"N/A")</f>
        <v>N/A</v>
      </c>
      <c r="Z366" s="424"/>
      <c r="AA366" t="str" s="547" cm="1">
        <f t="array" ref="AA366">_xlfn.IFERROR(Y366+S366,"N/A")</f>
        <v>N/A</v>
      </c>
      <c r="AB366" t="str" s="547" cm="1">
        <f t="array" ref="AB366">_xlfn.IFERROR(AA366*0.5%,"N/A")</f>
        <v>N/A</v>
      </c>
      <c r="AC366" t="str" s="547" cm="1">
        <f t="array" ref="AC366">_xlfn.IFERROR(AA366*25%,"N/A")</f>
        <v>N/A</v>
      </c>
      <c r="AD366" t="str" s="546" cm="1">
        <f t="array" ref="AD366">IF(B366&gt;0,SUM(AA366:AC366),"N/A")</f>
        <v>N/A</v>
      </c>
      <c r="AE366" t="str" s="547" cm="1">
        <f t="array" ref="AE366">_xlfn.IFERROR(AD366/B366,"N/A")</f>
        <v>N/A</v>
      </c>
      <c r="AF366" s="424"/>
      <c r="AG366" t="str" s="546" cm="1">
        <f t="array" ref="AG366">IF(B366/VLOOKUP(C347,'Boats Data Sheet 2026'!$C$3:$H$57,6,0)&gt;VLOOKUP(C347,'Allocation OH and Target 2026'!$C$3:$J$23,8,0),IF(SUM(AH349:AH365)=0,AE366,"N/A"),"N/A")</f>
        <v>N/A</v>
      </c>
      <c r="AH366" s="424" cm="1">
        <f t="array" ref="AH366">IF(AG366="N/A",0,1)</f>
        <v>0</v>
      </c>
      <c r="AI366" t="str" s="547" cm="1">
        <f t="array" ref="AI366">IF(B366/VLOOKUP(C347,'Boats Data Sheet 2026'!$C$3:$H$57,6,0)&gt;VLOOKUP(C347,'Allocation OH and Target 2026'!$C$3:$J$23,8,0),IF(SUM(AH349:AH365)=0,S366/B366,"N/A"),"N/A")</f>
        <v>N/A</v>
      </c>
      <c r="AJ366" s="424" cm="1">
        <f t="array" ref="AJ366">IF(AI366="N/A",0,1)</f>
        <v>0</v>
      </c>
      <c r="AK366" t="str" s="527" cm="1">
        <f t="array" ref="AK366">IF(SUM($AG$120:$AG$137)*B366&lt;SUM(AA366:AB366),"NO GO","GO")</f>
        <v>GO</v>
      </c>
      <c r="AL366" s="424"/>
      <c r="AM366" s="538"/>
      <c r="AN366" s="538"/>
      <c r="AO366" s="538"/>
      <c r="AP366" s="542"/>
      <c r="AQ366" s="543" cm="1">
        <f t="array" ref="AQ366">B366</f>
        <v>0</v>
      </c>
      <c r="AR366" s="18"/>
    </row>
    <row r="367" ht="15.5" customHeight="1">
      <c r="A367" s="12"/>
      <c r="B367" s="550" cm="1">
        <f t="array" ref="B367">IF(B366=0,0,IF(B366&lt;VLOOKUP(C347,'Boats Data Sheet 2026'!$C$3:$H$57,6,0),B366+1,0))</f>
        <v>0</v>
      </c>
      <c r="C367" t="str" s="551" cm="1">
        <f t="array" ref="C367">IF(B367&gt;0,IF(VLOOKUP(C347,'Boats Data Sheet 2026'!$C$3:$J$57,8,0)="N/A",0,VLOOKUP(C347,'Boats Data Sheet 2026'!$C$3:$J$57,8,0)),"N/A")</f>
        <v>N/A</v>
      </c>
      <c r="D367" t="str" s="551" cm="1">
        <f t="array" ref="D367">IF(B367&gt;7,2,IF(B367=0,"N/A",1))</f>
        <v>N/A</v>
      </c>
      <c r="E367" t="str" s="551" cm="1">
        <f t="array" ref="E367">_xlfn.IFERROR(SUM('Direct Costs 2026'!$C$4:$C$5)*D367,"N/A")</f>
        <v>N/A</v>
      </c>
      <c r="F367" s="552" cm="1">
        <f t="array" ref="F367">_xlfn.IFERROR('Direct Costs 2026'!$C$43*B367,"N/A")</f>
        <v>0</v>
      </c>
      <c r="G367" t="str" s="551" cm="1">
        <f t="array" ref="G367">IF(B367&gt;0,'Direct Costs 2026'!$C$25,"N/A")</f>
        <v>N/A</v>
      </c>
      <c r="H367" t="str" s="551" cm="1">
        <f t="array" ref="H367">IF(B367&gt;0,'Direct Costs 2026'!$C$19+'Direct Costs 2026'!$C$18*B367,"N/A")</f>
        <v>N/A</v>
      </c>
      <c r="I367" s="552">
        <v>0</v>
      </c>
      <c r="J367" s="552">
        <v>0</v>
      </c>
      <c r="K367" t="str" s="551" cm="1">
        <f t="array" ref="K367">_xlfn.IFERROR((IF(B367&gt;0,'Direct Costs 2026'!$C$15+'Direct Costs 2026'!$C$14,"N/A")),"N/A")</f>
        <v>N/A</v>
      </c>
      <c r="L367" s="552">
        <v>0</v>
      </c>
      <c r="M367" t="str" s="551" cm="1">
        <f t="array" ref="M367">IF(B367&gt;0,'Direct Costs 2026'!$C$23,"N/A")</f>
        <v>N/A</v>
      </c>
      <c r="N367" t="str" s="551" cm="1">
        <f t="array" ref="N367">IF(B367&gt;0,'Direct Costs 2026'!$C$44*B367,"N/A")</f>
        <v>N/A</v>
      </c>
      <c r="O367" t="str" s="551" cm="1">
        <f t="array" ref="O367">IF(B367&gt;0,_xlfn.IFERROR(VLOOKUP(C347,'Boats Data Sheet 2026'!$C$3:$I$57,7,0)*'Direct Costs 2026'!$C$36,"N/A"),"N/A")</f>
        <v>N/A</v>
      </c>
      <c r="P367" t="str" s="551" cm="1">
        <f t="array" ref="P367">IF(B367&gt;0,IF(OR(VLOOKUP(C355,'Boats Data Sheet 2026'!$C$3:$F$57,4,0)="Own",VLOOKUP(C355,'Boats Data Sheet 2026'!$C$3:$F$57,4,0)="Management"),('Direct Costs 2026'!$C$37+'Direct Costs 2026'!$C$39),"N/A"),"N/A")</f>
        <v>N/A</v>
      </c>
      <c r="Q367" t="str" s="551" cm="1">
        <f t="array" ref="Q367">_xlfn.IFERROR(IF(B367&gt;5,IF(B367&gt;11,IF(B367&gt;15,4,3),2),IF(B367=0,"N/A",1))*SUM('Direct Costs 2026'!$C$67:$C$68),"N/A")</f>
        <v>N/A</v>
      </c>
      <c r="R367" t="str" s="551" cm="1">
        <f t="array" ref="R367">_xlfn.IFERROR('Direct Costs 2026'!$C$27*C367,"N/A")</f>
        <v>N/A</v>
      </c>
      <c r="S367" t="str" s="551" cm="1">
        <f t="array" ref="S367">_xlfn.IFERROR(C367+SUM(E367:R367),"N/A")</f>
        <v>N/A</v>
      </c>
      <c r="T367" s="435"/>
      <c r="U367" t="str" s="551" cm="1">
        <f t="array" ref="U367">IF(B367&gt;0,'Allocation OH and Target 2026'!$E$27,"N/A")</f>
        <v>N/A</v>
      </c>
      <c r="V367" t="str" s="551" cm="1">
        <f t="array" ref="V367">IF(B367&gt;0,'Allocation OH and Target 2026'!$E$28,"N/A")</f>
        <v>N/A</v>
      </c>
      <c r="W367" t="str" s="551" cm="1">
        <f t="array" ref="W367">IF(B367&gt;0,VLOOKUP(C347,'Allocation OH and Target 2026'!$C$3:$T$23,17,0),"N/A")</f>
        <v>N/A</v>
      </c>
      <c r="X367" t="str" s="551" cm="1">
        <f t="array" ref="X367">IF(B367&gt;0,VLOOKUP(C347,'Allocation OH and Target 2026'!$C$3:$T$23,18,0),"N/A")</f>
        <v>N/A</v>
      </c>
      <c r="Y367" t="str" s="551" cm="1">
        <f t="array" ref="Y367">_xlfn.IFERROR(V367*B367+X367,"N/A")</f>
        <v>N/A</v>
      </c>
      <c r="Z367" s="435"/>
      <c r="AA367" t="str" s="551" cm="1">
        <f t="array" ref="AA367">_xlfn.IFERROR(Y367+S367,"N/A")</f>
        <v>N/A</v>
      </c>
      <c r="AB367" t="str" s="551" cm="1">
        <f t="array" ref="AB367">_xlfn.IFERROR(AA367*0.5%,"N/A")</f>
        <v>N/A</v>
      </c>
      <c r="AC367" t="str" s="551" cm="1">
        <f t="array" ref="AC367">_xlfn.IFERROR(AA367*25%,"N/A")</f>
        <v>N/A</v>
      </c>
      <c r="AD367" t="str" s="553" cm="1">
        <f t="array" ref="AD367">IF(B367&gt;0,SUM(AA367:AC367),"N/A")</f>
        <v>N/A</v>
      </c>
      <c r="AE367" t="str" s="551" cm="1">
        <f t="array" ref="AE367">_xlfn.IFERROR(AD367/B367,"N/A")</f>
        <v>N/A</v>
      </c>
      <c r="AF367" s="435"/>
      <c r="AG367" t="str" s="553" cm="1">
        <f t="array" ref="AG367">IF(B367/VLOOKUP(C347,'Boats Data Sheet 2026'!$C$3:$H$57,6,0)&gt;VLOOKUP(C347,'Allocation OH and Target 2026'!$C$3:$J$23,8,0),IF(SUM(AH349:AH366)=0,AE367,"N/A"),"N/A")</f>
        <v>N/A</v>
      </c>
      <c r="AH367" s="435" cm="1">
        <f t="array" ref="AH367">IF(AG367="N/A",0,1)</f>
        <v>0</v>
      </c>
      <c r="AI367" t="str" s="551" cm="1">
        <f t="array" ref="AI367">IF(B367/VLOOKUP(C347,'Boats Data Sheet 2026'!$C$3:$H$57,6,0)&gt;VLOOKUP(C347,'Allocation OH and Target 2026'!$C$3:$J$23,8,0),IF(SUM(AH349:AH366)=0,S367/B367,"N/A"),"N/A")</f>
        <v>N/A</v>
      </c>
      <c r="AJ367" s="435" cm="1">
        <f t="array" ref="AJ367">IF(AI367="N/A",0,1)</f>
        <v>0</v>
      </c>
      <c r="AK367" t="str" s="554" cm="1">
        <f t="array" ref="AK367">IF(SUM($AG$120:$AG$137)*B367&lt;SUM(AA367:AB367),"NO GO","GO")</f>
        <v>GO</v>
      </c>
      <c r="AL367" s="435"/>
      <c r="AM367" s="552"/>
      <c r="AN367" s="552"/>
      <c r="AO367" s="552"/>
      <c r="AP367" s="555"/>
      <c r="AQ367" s="543" cm="1">
        <f t="array" ref="AQ367">B367</f>
        <v>0</v>
      </c>
      <c r="AR367" s="18"/>
    </row>
    <row r="368" ht="15.5" customHeight="1">
      <c r="A368" s="32"/>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c r="AD368" s="124"/>
      <c r="AE368" s="124"/>
      <c r="AF368" s="124"/>
      <c r="AG368" s="124"/>
      <c r="AH368" s="124"/>
      <c r="AI368" s="124"/>
      <c r="AJ368" s="124"/>
      <c r="AK368" s="124"/>
      <c r="AL368" s="124"/>
      <c r="AM368" s="124"/>
      <c r="AN368" s="124"/>
      <c r="AO368" s="124"/>
      <c r="AP368" s="124"/>
      <c r="AQ368" s="17"/>
      <c r="AR368" s="18"/>
    </row>
    <row r="369" ht="15.5" customHeight="1">
      <c r="A369" s="32"/>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17"/>
      <c r="AR369" s="18"/>
    </row>
    <row r="370" ht="15.5" customHeight="1">
      <c r="A370" s="395">
        <v>10</v>
      </c>
      <c r="B370" t="s" s="517">
        <v>506</v>
      </c>
      <c r="C370" t="s" s="518">
        <v>56</v>
      </c>
      <c r="D370" s="519"/>
      <c r="E370" s="519"/>
      <c r="F370" s="519"/>
      <c r="G370" s="519"/>
      <c r="H370" s="519"/>
      <c r="I370" s="519"/>
      <c r="J370" s="519"/>
      <c r="K370" s="519"/>
      <c r="L370" s="519"/>
      <c r="M370" s="519"/>
      <c r="N370" s="519"/>
      <c r="O370" s="519"/>
      <c r="P370" s="519"/>
      <c r="Q370" s="519"/>
      <c r="R370" s="519"/>
      <c r="S370" s="519"/>
      <c r="T370" s="399"/>
      <c r="U370" s="519"/>
      <c r="V370" s="519"/>
      <c r="W370" s="519"/>
      <c r="X370" s="519"/>
      <c r="Y370" s="519"/>
      <c r="Z370" s="399"/>
      <c r="AA370" s="519"/>
      <c r="AB370" s="519"/>
      <c r="AC370" s="519"/>
      <c r="AD370" s="519"/>
      <c r="AE370" s="519"/>
      <c r="AF370" s="399"/>
      <c r="AG370" s="521"/>
      <c r="AH370" s="399"/>
      <c r="AI370" s="519"/>
      <c r="AJ370" s="399"/>
      <c r="AK370" s="519"/>
      <c r="AL370" s="399"/>
      <c r="AM370" s="521"/>
      <c r="AN370" s="560"/>
      <c r="AO370" s="519"/>
      <c r="AP370" s="522"/>
      <c r="AQ370" s="16"/>
      <c r="AR370" s="18"/>
    </row>
    <row r="371" ht="16" customHeight="1">
      <c r="A371" s="12"/>
      <c r="B371" s="523"/>
      <c r="C371" t="s" s="524">
        <v>513</v>
      </c>
      <c r="D371" s="525"/>
      <c r="E371" s="525"/>
      <c r="F371" s="525"/>
      <c r="G371" s="525"/>
      <c r="H371" s="525"/>
      <c r="I371" s="525"/>
      <c r="J371" s="525"/>
      <c r="K371" s="525"/>
      <c r="L371" s="525"/>
      <c r="M371" s="525"/>
      <c r="N371" s="525"/>
      <c r="O371" s="525"/>
      <c r="P371" s="525"/>
      <c r="Q371" s="525"/>
      <c r="R371" s="525"/>
      <c r="S371" s="526"/>
      <c r="T371" s="407"/>
      <c r="U371" t="s" s="524">
        <v>514</v>
      </c>
      <c r="V371" s="525"/>
      <c r="W371" s="525"/>
      <c r="X371" s="525"/>
      <c r="Y371" s="526"/>
      <c r="Z371" s="407"/>
      <c r="AA371" t="s" s="524">
        <v>515</v>
      </c>
      <c r="AB371" s="525"/>
      <c r="AC371" s="525"/>
      <c r="AD371" s="525"/>
      <c r="AE371" s="526"/>
      <c r="AF371" s="410"/>
      <c r="AG371" s="527"/>
      <c r="AH371" s="410"/>
      <c r="AI371" s="528"/>
      <c r="AJ371" s="410"/>
      <c r="AK371" s="528"/>
      <c r="AL371" s="410"/>
      <c r="AM371" s="528"/>
      <c r="AN371" s="528"/>
      <c r="AO371" s="528"/>
      <c r="AP371" s="529"/>
      <c r="AQ371" s="16"/>
      <c r="AR371" s="18"/>
    </row>
    <row r="372" ht="48" customHeight="1">
      <c r="A372" s="12"/>
      <c r="B372" t="s" s="530">
        <v>517</v>
      </c>
      <c r="C372" t="s" s="531">
        <v>518</v>
      </c>
      <c r="D372" t="s" s="531">
        <v>519</v>
      </c>
      <c r="E372" t="s" s="531">
        <v>520</v>
      </c>
      <c r="F372" t="s" s="532">
        <v>521</v>
      </c>
      <c r="G372" t="s" s="532">
        <v>522</v>
      </c>
      <c r="H372" t="s" s="532">
        <v>524</v>
      </c>
      <c r="I372" t="s" s="532">
        <v>525</v>
      </c>
      <c r="J372" t="s" s="532">
        <v>556</v>
      </c>
      <c r="K372" t="s" s="532">
        <v>587</v>
      </c>
      <c r="L372" t="s" s="532">
        <v>526</v>
      </c>
      <c r="M372" t="s" s="532">
        <v>527</v>
      </c>
      <c r="N372" t="s" s="532">
        <v>528</v>
      </c>
      <c r="O372" t="s" s="532">
        <v>529</v>
      </c>
      <c r="P372" t="s" s="532">
        <v>530</v>
      </c>
      <c r="Q372" t="s" s="532">
        <v>572</v>
      </c>
      <c r="R372" t="s" s="532">
        <v>531</v>
      </c>
      <c r="S372" t="s" s="532">
        <v>532</v>
      </c>
      <c r="T372" s="556"/>
      <c r="U372" t="s" s="532">
        <v>533</v>
      </c>
      <c r="V372" t="s" s="532">
        <v>573</v>
      </c>
      <c r="W372" t="s" s="532">
        <v>534</v>
      </c>
      <c r="X372" t="s" s="532">
        <v>574</v>
      </c>
      <c r="Y372" t="s" s="532">
        <v>535</v>
      </c>
      <c r="Z372" s="556"/>
      <c r="AA372" t="s" s="532">
        <v>536</v>
      </c>
      <c r="AB372" t="s" s="532">
        <v>537</v>
      </c>
      <c r="AC372" t="s" s="532">
        <v>538</v>
      </c>
      <c r="AD372" t="s" s="532">
        <v>575</v>
      </c>
      <c r="AE372" t="s" s="532">
        <v>539</v>
      </c>
      <c r="AF372" s="557"/>
      <c r="AG372" t="s" s="532">
        <v>576</v>
      </c>
      <c r="AH372" s="557"/>
      <c r="AI372" t="s" s="532">
        <v>577</v>
      </c>
      <c r="AJ372" s="557"/>
      <c r="AK372" t="s" s="531">
        <v>578</v>
      </c>
      <c r="AL372" s="557"/>
      <c r="AM372" s="533"/>
      <c r="AN372" s="533"/>
      <c r="AO372" s="533"/>
      <c r="AP372" s="534"/>
      <c r="AQ372" s="16"/>
      <c r="AR372" s="18"/>
    </row>
    <row r="373" ht="16.5" customHeight="1">
      <c r="A373" s="12"/>
      <c r="B373" s="535">
        <v>1</v>
      </c>
      <c r="C373" s="536" cm="1">
        <f t="array" ref="C373">IF(B373&gt;0,IF(VLOOKUP(C370,'Boats Data Sheet 2026'!$C$3:$J$57,8,0)="N/A",0,VLOOKUP(C370,'Boats Data Sheet 2026'!$C$3:$J$57,8,0)),"N/A")</f>
        <v>8000000</v>
      </c>
      <c r="D373" s="537" cm="1">
        <f t="array" ref="D373">IF(B373&gt;7,2,IF(B373=0,"N/A",1))</f>
        <v>1</v>
      </c>
      <c r="E373" s="536" cm="1">
        <f t="array" ref="E373">_xlfn.IFERROR(SUM('Direct Costs 2026'!$C$4:$C$5)*D373,"N/A")</f>
        <v>875500</v>
      </c>
      <c r="F373" s="538" cm="1">
        <f t="array" ref="F373">_xlfn.IFERROR('Direct Costs 2026'!$C$43*B373,"N/A")</f>
        <v>6000</v>
      </c>
      <c r="G373" s="538" cm="1">
        <f t="array" ref="G373">IF(B373&gt;0,'Direct Costs 2026'!$C$25,"N/A")</f>
        <v>90000</v>
      </c>
      <c r="H373" s="538" cm="1">
        <f t="array" ref="H373">IF(B373&gt;0,'Direct Costs 2026'!$C$19+'Direct Costs 2026'!$C$18*B373,"N/A")</f>
        <v>110000</v>
      </c>
      <c r="I373" s="538" cm="1">
        <f t="array" ref="I373">IF(B373&gt;0,SUM('Direct Costs 2026'!$C$20:$C$21),"N/A")</f>
        <v>98333.3333333333</v>
      </c>
      <c r="J373" s="538">
        <v>0</v>
      </c>
      <c r="K373" s="538" cm="1">
        <f t="array" ref="K373">_xlfn.IFERROR((IF(B373&gt;0,'Direct Costs 2026'!$C$15+'Direct Costs 2026'!$C$14,"N/A")),"N/A")</f>
        <v>230000</v>
      </c>
      <c r="L373" s="538" cm="1">
        <f t="array" ref="L373">IF(B373&gt;0,'Direct Costs 2026'!$C$26,"N/A")</f>
        <v>20000</v>
      </c>
      <c r="M373" s="538" cm="1">
        <f t="array" ref="M373">IF(B373&gt;0,'Direct Costs 2026'!$C$23,"N/A")</f>
        <v>140000</v>
      </c>
      <c r="N373" s="538" cm="1">
        <f t="array" ref="N373">IF(B373&gt;0,'Direct Costs 2026'!$C$44*B373,"N/A")</f>
        <v>110000</v>
      </c>
      <c r="O373" t="str" s="547" cm="1">
        <f t="array" ref="O373">IF(B373&gt;0,_xlfn.IFERROR(VLOOKUP(C370,'Boats Data Sheet 2026'!$C$3:$I$57,7,0)*'Direct Costs 2026'!$C$36,"N/A"),"N/A")</f>
        <v>N/A</v>
      </c>
      <c r="P373" t="str" s="547" cm="1">
        <f t="array" ref="P373">IF(B373&gt;0,IF(OR(VLOOKUP(C370,'Boats Data Sheet 2026'!$C$3:$F$57,4,0)="Own",VLOOKUP(C370,'Boats Data Sheet 2026'!$C$3:$F$57,4,0)="Management"),('Direct Costs 2026'!$C$37+'Direct Costs 2026'!$C$39),"N/A"),"N/A")</f>
        <v>N/A</v>
      </c>
      <c r="Q373" s="538" cm="1">
        <f t="array" ref="Q373">_xlfn.IFERROR(IF(B373&gt;5,IF(B373&gt;11,IF(B373&gt;15,4,3),2),IF(B373=0,"N/A",1))*SUM('Direct Costs 2026'!$C$67:$C$68),"N/A")</f>
        <v>489600</v>
      </c>
      <c r="R373" s="538" cm="1">
        <f t="array" ref="R373">_xlfn.IFERROR('Direct Costs 2026'!$C$27*C373,"N/A")</f>
        <v>160000</v>
      </c>
      <c r="S373" s="538" cm="1">
        <f t="array" ref="S373">_xlfn.IFERROR(C373+SUM(E373:R373),"N/A")</f>
        <v>10329433.3333333</v>
      </c>
      <c r="T373" s="424"/>
      <c r="U373" s="538" cm="1">
        <f t="array" ref="U373">IF(B373&gt;0,'Allocation OH and Target 2026'!$E$27,"N/A")</f>
        <v>2134447.30345641</v>
      </c>
      <c r="V373" s="538" cm="1">
        <f t="array" ref="V373">IF(B373&gt;0,'Allocation OH and Target 2026'!$E$28,"N/A")</f>
        <v>200042.323056976</v>
      </c>
      <c r="W373" s="538" cm="1">
        <f t="array" ref="W373">IF(B373&gt;0,VLOOKUP(C370,'Allocation OH and Target 2026'!$C$3:$T$23,17,0),"N/A")</f>
        <v>0</v>
      </c>
      <c r="X373" s="538" cm="1">
        <f t="array" ref="X373">IF(B373&gt;0,VLOOKUP(C370,'Allocation OH and Target 2026'!$C$3:$T$23,18,0),"N/A")</f>
        <v>0</v>
      </c>
      <c r="Y373" s="538" cm="1">
        <f t="array" ref="Y373">_xlfn.IFERROR(B373*(V373+X373),"N/A")</f>
        <v>200042.323056976</v>
      </c>
      <c r="Z373" s="424"/>
      <c r="AA373" s="538" cm="1">
        <f t="array" ref="AA373">_xlfn.IFERROR(Y373+S373,"N/A")</f>
        <v>10529475.6563903</v>
      </c>
      <c r="AB373" s="538" cm="1">
        <f t="array" ref="AB373">_xlfn.IFERROR(AA373*0.5%,"N/A")</f>
        <v>52647.3782819515</v>
      </c>
      <c r="AC373" s="538" cm="1">
        <f t="array" ref="AC373">_xlfn.IFERROR(AA373*25%,"N/A")</f>
        <v>2632368.91409758</v>
      </c>
      <c r="AD373" s="539" cm="1">
        <f t="array" ref="AD373">IF(B373&gt;0,SUM(AA373:AC373),"N/A")</f>
        <v>13214491.9487698</v>
      </c>
      <c r="AE373" s="538" cm="1">
        <f t="array" ref="AE373">_xlfn.IFERROR(AD373/B373,"N/A")</f>
        <v>13214491.9487698</v>
      </c>
      <c r="AF373" s="424"/>
      <c r="AG373" t="s" s="540">
        <v>14</v>
      </c>
      <c r="AH373" s="424" cm="1">
        <f t="array" ref="AH373">IF(AG373="N/A",0,1)</f>
        <v>0</v>
      </c>
      <c r="AI373" t="s" s="541">
        <v>14</v>
      </c>
      <c r="AJ373" s="424" cm="1">
        <f t="array" ref="AJ373">IF(AI373="N/A",0,1)</f>
        <v>0</v>
      </c>
      <c r="AK373" t="str" s="558" cm="1">
        <f t="array" ref="AK373">IF(SUM($AG$120:$AG$137)*B373&lt;SUM(AA373:AB373),"NO GO","GO")</f>
        <v>NO GO</v>
      </c>
      <c r="AL373" s="424"/>
      <c r="AM373" s="538"/>
      <c r="AN373" s="561"/>
      <c r="AO373" s="538"/>
      <c r="AP373" s="542"/>
      <c r="AQ373" s="543" cm="1">
        <f t="array" ref="AQ373">B373</f>
        <v>1</v>
      </c>
      <c r="AR373" s="18"/>
    </row>
    <row r="374" ht="16" customHeight="1">
      <c r="A374" s="12"/>
      <c r="B374" s="544" cm="1">
        <f t="array" ref="B374">IF(B373=0,0,IF(B373&lt;VLOOKUP(C370,'Boats Data Sheet 2026'!$C$3:$H$57,6,0),B373+1,0))</f>
        <v>2</v>
      </c>
      <c r="C374" s="538" cm="1">
        <f t="array" ref="C374">IF(B374&gt;0,IF(VLOOKUP(C370,'Boats Data Sheet 2026'!$C$3:$J$57,8,0)="N/A",0,VLOOKUP(C370,'Boats Data Sheet 2026'!$C$3:$J$57,8,0)),"N/A")</f>
        <v>8000000</v>
      </c>
      <c r="D374" s="545" cm="1">
        <f t="array" ref="D374">IF(B374&gt;7,2,IF(B374=0,"N/A",1))</f>
        <v>1</v>
      </c>
      <c r="E374" s="538" cm="1">
        <f t="array" ref="E374">_xlfn.IFERROR(SUM('Direct Costs 2026'!$C$4:$C$5)*D374,"N/A")</f>
        <v>875500</v>
      </c>
      <c r="F374" s="538" cm="1">
        <f t="array" ref="F374">_xlfn.IFERROR('Direct Costs 2026'!$C$43*B374,"N/A")</f>
        <v>12000</v>
      </c>
      <c r="G374" s="538" cm="1">
        <f t="array" ref="G374">IF(B374&gt;0,'Direct Costs 2026'!$C$25,"N/A")</f>
        <v>90000</v>
      </c>
      <c r="H374" s="538" cm="1">
        <f t="array" ref="H374">IF(B374&gt;0,'Direct Costs 2026'!$C$19+'Direct Costs 2026'!$C$18*B374,"N/A")</f>
        <v>145000</v>
      </c>
      <c r="I374" s="538" cm="1">
        <f t="array" ref="I374">IF(B374&gt;0,SUM('Direct Costs 2026'!$C$20:$C$21),"N/A")</f>
        <v>98333.3333333333</v>
      </c>
      <c r="J374" s="538">
        <v>0</v>
      </c>
      <c r="K374" s="538" cm="1">
        <f t="array" ref="K374">_xlfn.IFERROR((IF(B374&gt;0,'Direct Costs 2026'!$C$15+'Direct Costs 2026'!$C$14,"N/A")),"N/A")</f>
        <v>230000</v>
      </c>
      <c r="L374" s="538" cm="1">
        <f t="array" ref="L374">IF(B374&gt;0,'Direct Costs 2026'!$C$26,"N/A")</f>
        <v>20000</v>
      </c>
      <c r="M374" s="538" cm="1">
        <f t="array" ref="M374">IF(B374&gt;0,'Direct Costs 2026'!$C$23,"N/A")</f>
        <v>140000</v>
      </c>
      <c r="N374" s="538" cm="1">
        <f t="array" ref="N374">IF(B374&gt;0,'Direct Costs 2026'!$C$44*B374,"N/A")</f>
        <v>220000</v>
      </c>
      <c r="O374" t="str" s="547" cm="1">
        <f t="array" ref="O374">IF(B374&gt;0,_xlfn.IFERROR(VLOOKUP(C370,'Boats Data Sheet 2026'!$C$3:$I$57,7,0)*'Direct Costs 2026'!$C$36,"N/A"),"N/A")</f>
        <v>N/A</v>
      </c>
      <c r="P374" t="str" s="547" cm="1">
        <f t="array" ref="P374">IF(B374&gt;0,IF(OR(VLOOKUP(C370,'Boats Data Sheet 2026'!$C$3:$F$57,4,0)="Own",VLOOKUP(C370,'Boats Data Sheet 2026'!$C$3:$F$57,4,0)="Management"),('Direct Costs 2026'!$C$37+'Direct Costs 2026'!$C$39),"N/A"),"N/A")</f>
        <v>N/A</v>
      </c>
      <c r="Q374" s="538" cm="1">
        <f t="array" ref="Q374">_xlfn.IFERROR(IF(B374&gt;5,IF(B374&gt;11,IF(B374&gt;15,4,3),2),IF(B374=0,"N/A",1))*SUM('Direct Costs 2026'!$C$67:$C$68),"N/A")</f>
        <v>489600</v>
      </c>
      <c r="R374" s="538" cm="1">
        <f t="array" ref="R374">_xlfn.IFERROR('Direct Costs 2026'!$C$27*C374,"N/A")</f>
        <v>160000</v>
      </c>
      <c r="S374" s="538" cm="1">
        <f t="array" ref="S374">_xlfn.IFERROR(C374+SUM(E374:R374),"N/A")</f>
        <v>10480433.3333333</v>
      </c>
      <c r="T374" s="424"/>
      <c r="U374" s="538" cm="1">
        <f t="array" ref="U374">IF(B374&gt;0,'Allocation OH and Target 2026'!$E$27,"N/A")</f>
        <v>2134447.30345641</v>
      </c>
      <c r="V374" s="538" cm="1">
        <f t="array" ref="V374">IF(B374&gt;0,'Allocation OH and Target 2026'!$E$28,"N/A")</f>
        <v>200042.323056976</v>
      </c>
      <c r="W374" s="538" cm="1">
        <f t="array" ref="W374">IF(B374&gt;0,VLOOKUP(C370,'Allocation OH and Target 2026'!$C$3:$T$23,17,0),"N/A")</f>
        <v>0</v>
      </c>
      <c r="X374" s="538" cm="1">
        <f t="array" ref="X374">IF(B374&gt;0,VLOOKUP(C370,'Allocation OH and Target 2026'!$C$3:$T$23,18,0),"N/A")</f>
        <v>0</v>
      </c>
      <c r="Y374" s="538" cm="1">
        <f t="array" ref="Y374">_xlfn.IFERROR(B374*(V374+X374),"N/A")</f>
        <v>400084.646113952</v>
      </c>
      <c r="Z374" s="424"/>
      <c r="AA374" s="538" cm="1">
        <f t="array" ref="AA374">_xlfn.IFERROR(Y374+S374,"N/A")</f>
        <v>10880517.9794473</v>
      </c>
      <c r="AB374" s="538" cm="1">
        <f t="array" ref="AB374">_xlfn.IFERROR(AA374*0.5%,"N/A")</f>
        <v>54402.5898972365</v>
      </c>
      <c r="AC374" s="538" cm="1">
        <f t="array" ref="AC374">_xlfn.IFERROR(AA374*25%,"N/A")</f>
        <v>2720129.49486183</v>
      </c>
      <c r="AD374" s="539" cm="1">
        <f t="array" ref="AD374">IF(B374&gt;0,SUM(AA374:AC374),"N/A")</f>
        <v>13655050.0642064</v>
      </c>
      <c r="AE374" s="538" cm="1">
        <f t="array" ref="AE374">_xlfn.IFERROR(AD374/B374,"N/A")</f>
        <v>6827525.0321032</v>
      </c>
      <c r="AF374" s="424"/>
      <c r="AG374" t="str" s="546" cm="1">
        <f t="array" ref="AG374">IF(B374/VLOOKUP(C370,'Boats Data Sheet 2026'!$C$3:$H$57,6,0)&gt;VLOOKUP(C370,'Allocation OH and Target 2026'!$C$3:$J$23,8,0),IF(SUM(AH372:AH373)=0,AE374,"N/A"),"N/A")</f>
        <v>N/A</v>
      </c>
      <c r="AH374" s="424" cm="1">
        <f t="array" ref="AH374">IF(AG374="N/A",0,1)</f>
        <v>0</v>
      </c>
      <c r="AI374" t="str" s="547" cm="1">
        <f t="array" ref="AI374">IF(B374/VLOOKUP(C370,'Boats Data Sheet 2026'!$C$3:$H$57,6,0)&gt;VLOOKUP(C370,'Allocation OH and Target 2026'!$C$3:$J$23,8,0),IF(SUM(AH372:AH373)=0,S374/B374,"N/A"),"N/A")</f>
        <v>N/A</v>
      </c>
      <c r="AJ374" s="424" cm="1">
        <f t="array" ref="AJ374">IF(AI374="N/A",0,1)</f>
        <v>0</v>
      </c>
      <c r="AK374" t="str" s="527" cm="1">
        <f t="array" ref="AK374">IF(SUM($AG$120:$AG$137)*B374&lt;SUM(AA374:AB374),"NO GO","GO")</f>
        <v>NO GO</v>
      </c>
      <c r="AL374" s="424"/>
      <c r="AM374" s="568"/>
      <c r="AN374" s="538"/>
      <c r="AO374" s="538"/>
      <c r="AP374" s="542"/>
      <c r="AQ374" s="543" cm="1">
        <f t="array" ref="AQ374">B374</f>
        <v>2</v>
      </c>
      <c r="AR374" s="18"/>
    </row>
    <row r="375" ht="16" customHeight="1">
      <c r="A375" s="12"/>
      <c r="B375" s="544" cm="1">
        <f t="array" ref="B375">IF(B374=0,0,IF(B374&lt;VLOOKUP(C370,'Boats Data Sheet 2026'!$C$3:$H$57,6,0),B374+1,0))</f>
        <v>3</v>
      </c>
      <c r="C375" s="538" cm="1">
        <f t="array" ref="C375">IF(B375&gt;0,IF(VLOOKUP(C370,'Boats Data Sheet 2026'!$C$3:$J$57,8,0)="N/A",0,VLOOKUP(C370,'Boats Data Sheet 2026'!$C$3:$J$57,8,0)),"N/A")</f>
        <v>8000000</v>
      </c>
      <c r="D375" s="545" cm="1">
        <f t="array" ref="D375">IF(B375&gt;7,2,IF(B375=0,"N/A",1))</f>
        <v>1</v>
      </c>
      <c r="E375" s="538" cm="1">
        <f t="array" ref="E375">_xlfn.IFERROR(SUM('Direct Costs 2026'!$C$4:$C$5)*D375,"N/A")</f>
        <v>875500</v>
      </c>
      <c r="F375" s="538" cm="1">
        <f t="array" ref="F375">_xlfn.IFERROR('Direct Costs 2026'!$C$43*B375,"N/A")</f>
        <v>18000</v>
      </c>
      <c r="G375" s="538" cm="1">
        <f t="array" ref="G375">IF(B375&gt;0,'Direct Costs 2026'!$C$25,"N/A")</f>
        <v>90000</v>
      </c>
      <c r="H375" s="538" cm="1">
        <f t="array" ref="H375">IF(B375&gt;0,'Direct Costs 2026'!$C$19+'Direct Costs 2026'!$C$18*B375,"N/A")</f>
        <v>180000</v>
      </c>
      <c r="I375" s="538" cm="1">
        <f t="array" ref="I375">IF(B375&gt;0,SUM('Direct Costs 2026'!$C$20:$C$21),"N/A")</f>
        <v>98333.3333333333</v>
      </c>
      <c r="J375" s="538">
        <v>0</v>
      </c>
      <c r="K375" s="538" cm="1">
        <f t="array" ref="K375">_xlfn.IFERROR((IF(B375&gt;0,'Direct Costs 2026'!$C$15+'Direct Costs 2026'!$C$14,"N/A")),"N/A")</f>
        <v>230000</v>
      </c>
      <c r="L375" s="538" cm="1">
        <f t="array" ref="L375">IF(B375&gt;0,'Direct Costs 2026'!$C$26,"N/A")</f>
        <v>20000</v>
      </c>
      <c r="M375" s="538" cm="1">
        <f t="array" ref="M375">IF(B375&gt;0,'Direct Costs 2026'!$C$23,"N/A")</f>
        <v>140000</v>
      </c>
      <c r="N375" s="538" cm="1">
        <f t="array" ref="N375">IF(B375&gt;0,'Direct Costs 2026'!$C$44*B375,"N/A")</f>
        <v>330000</v>
      </c>
      <c r="O375" t="str" s="547" cm="1">
        <f t="array" ref="O375">IF(B375&gt;0,_xlfn.IFERROR(VLOOKUP(C370,'Boats Data Sheet 2026'!$C$3:$I$57,7,0)*'Direct Costs 2026'!$C$36,"N/A"),"N/A")</f>
        <v>N/A</v>
      </c>
      <c r="P375" t="str" s="547" cm="1">
        <f t="array" ref="P375">IF(B375&gt;0,IF(OR(VLOOKUP(C370,'Boats Data Sheet 2026'!$C$3:$F$57,4,0)="Own",VLOOKUP(C370,'Boats Data Sheet 2026'!$C$3:$F$57,4,0)="Management"),('Direct Costs 2026'!$C$37+'Direct Costs 2026'!$C$39),"N/A"),"N/A")</f>
        <v>N/A</v>
      </c>
      <c r="Q375" s="538" cm="1">
        <f t="array" ref="Q375">_xlfn.IFERROR(IF(B375&gt;5,IF(B375&gt;11,IF(B375&gt;15,4,3),2),IF(B375=0,"N/A",1))*SUM('Direct Costs 2026'!$C$67:$C$68),"N/A")</f>
        <v>489600</v>
      </c>
      <c r="R375" s="538" cm="1">
        <f t="array" ref="R375">_xlfn.IFERROR('Direct Costs 2026'!$C$27*C375,"N/A")</f>
        <v>160000</v>
      </c>
      <c r="S375" s="538" cm="1">
        <f t="array" ref="S375">_xlfn.IFERROR(C375+SUM(E375:R375),"N/A")</f>
        <v>10631433.3333333</v>
      </c>
      <c r="T375" s="424"/>
      <c r="U375" s="538" cm="1">
        <f t="array" ref="U375">IF(B375&gt;0,'Allocation OH and Target 2026'!$E$27,"N/A")</f>
        <v>2134447.30345641</v>
      </c>
      <c r="V375" s="538" cm="1">
        <f t="array" ref="V375">IF(B375&gt;0,'Allocation OH and Target 2026'!$E$28,"N/A")</f>
        <v>200042.323056976</v>
      </c>
      <c r="W375" s="538" cm="1">
        <f t="array" ref="W375">IF(B375&gt;0,VLOOKUP(C370,'Allocation OH and Target 2026'!$C$3:$T$23,17,0),"N/A")</f>
        <v>0</v>
      </c>
      <c r="X375" s="538" cm="1">
        <f t="array" ref="X375">IF(B375&gt;0,VLOOKUP(C370,'Allocation OH and Target 2026'!$C$3:$T$23,18,0),"N/A")</f>
        <v>0</v>
      </c>
      <c r="Y375" s="538" cm="1">
        <f t="array" ref="Y375">_xlfn.IFERROR(B375*(V375+X375),"N/A")</f>
        <v>600126.969170928</v>
      </c>
      <c r="Z375" s="424"/>
      <c r="AA375" s="538" cm="1">
        <f t="array" ref="AA375">_xlfn.IFERROR(Y375+S375,"N/A")</f>
        <v>11231560.3025042</v>
      </c>
      <c r="AB375" s="538" cm="1">
        <f t="array" ref="AB375">_xlfn.IFERROR(AA375*0.5%,"N/A")</f>
        <v>56157.801512521</v>
      </c>
      <c r="AC375" s="538" cm="1">
        <f t="array" ref="AC375">_xlfn.IFERROR(AA375*25%,"N/A")</f>
        <v>2807890.07562605</v>
      </c>
      <c r="AD375" s="539" cm="1">
        <f t="array" ref="AD375">IF(B375&gt;0,SUM(AA375:AC375),"N/A")</f>
        <v>14095608.1796428</v>
      </c>
      <c r="AE375" s="538" cm="1">
        <f t="array" ref="AE375">_xlfn.IFERROR(AD375/B375,"N/A")</f>
        <v>4698536.05988093</v>
      </c>
      <c r="AF375" s="424"/>
      <c r="AG375" t="str" s="546" cm="1">
        <f t="array" ref="AG375">IF(B375/VLOOKUP(C370,'Boats Data Sheet 2026'!$C$3:$H$57,6,0)&gt;VLOOKUP(C370,'Allocation OH and Target 2026'!$C$3:$J$23,8,0),IF(SUM(AH372:AH374)=0,AE375,"N/A"),"N/A")</f>
        <v>N/A</v>
      </c>
      <c r="AH375" s="424" cm="1">
        <f t="array" ref="AH375">IF(AG375="N/A",0,1)</f>
        <v>0</v>
      </c>
      <c r="AI375" t="str" s="547" cm="1">
        <f t="array" ref="AI375">IF(B375/VLOOKUP(C370,'Boats Data Sheet 2026'!$C$3:$H$57,6,0)&gt;VLOOKUP(C370,'Allocation OH and Target 2026'!$C$3:$J$23,8,0),IF(SUM(AH372:AH374)=0,S375/B375,"N/A"),"N/A")</f>
        <v>N/A</v>
      </c>
      <c r="AJ375" s="424" cm="1">
        <f t="array" ref="AJ375">IF(AI375="N/A",0,1)</f>
        <v>0</v>
      </c>
      <c r="AK375" t="str" s="527" cm="1">
        <f t="array" ref="AK375">IF(SUM($AG$120:$AG$137)*B375&lt;SUM(AA375:AB375),"NO GO","GO")</f>
        <v>NO GO</v>
      </c>
      <c r="AL375" s="424"/>
      <c r="AM375" s="538"/>
      <c r="AN375" s="538"/>
      <c r="AO375" s="538"/>
      <c r="AP375" s="542"/>
      <c r="AQ375" s="543" cm="1">
        <f t="array" ref="AQ375">B375</f>
        <v>3</v>
      </c>
      <c r="AR375" s="18"/>
    </row>
    <row r="376" ht="16" customHeight="1">
      <c r="A376" s="12"/>
      <c r="B376" s="544" cm="1">
        <f t="array" ref="B376">IF(B375=0,0,IF(B375&lt;VLOOKUP(C370,'Boats Data Sheet 2026'!$C$3:$H$57,6,0),B375+1,0))</f>
        <v>4</v>
      </c>
      <c r="C376" s="538" cm="1">
        <f t="array" ref="C376">IF(B376&gt;0,IF(VLOOKUP(C370,'Boats Data Sheet 2026'!$C$3:$J$57,8,0)="N/A",0,VLOOKUP(C370,'Boats Data Sheet 2026'!$C$3:$J$57,8,0)),"N/A")</f>
        <v>8000000</v>
      </c>
      <c r="D376" s="545" cm="1">
        <f t="array" ref="D376">IF(B376&gt;7,2,IF(B376=0,"N/A",1))</f>
        <v>1</v>
      </c>
      <c r="E376" s="538" cm="1">
        <f t="array" ref="E376">_xlfn.IFERROR(SUM('Direct Costs 2026'!$C$4:$C$5)*D376,"N/A")</f>
        <v>875500</v>
      </c>
      <c r="F376" s="538" cm="1">
        <f t="array" ref="F376">_xlfn.IFERROR('Direct Costs 2026'!$C$43*B376,"N/A")</f>
        <v>24000</v>
      </c>
      <c r="G376" s="538" cm="1">
        <f t="array" ref="G376">IF(B376&gt;0,'Direct Costs 2026'!$C$25,"N/A")</f>
        <v>90000</v>
      </c>
      <c r="H376" s="538" cm="1">
        <f t="array" ref="H376">IF(B376&gt;0,'Direct Costs 2026'!$C$19+'Direct Costs 2026'!$C$18*B376,"N/A")</f>
        <v>215000</v>
      </c>
      <c r="I376" s="538" cm="1">
        <f t="array" ref="I376">IF(B376&gt;0,SUM('Direct Costs 2026'!$C$20:$C$21),"N/A")</f>
        <v>98333.3333333333</v>
      </c>
      <c r="J376" s="538">
        <v>0</v>
      </c>
      <c r="K376" s="538" cm="1">
        <f t="array" ref="K376">_xlfn.IFERROR((IF(B376&gt;0,'Direct Costs 2026'!$C$15+'Direct Costs 2026'!$C$14,"N/A")),"N/A")</f>
        <v>230000</v>
      </c>
      <c r="L376" s="538" cm="1">
        <f t="array" ref="L376">IF(B376&gt;0,'Direct Costs 2026'!$C$26,"N/A")</f>
        <v>20000</v>
      </c>
      <c r="M376" s="538" cm="1">
        <f t="array" ref="M376">IF(B376&gt;0,'Direct Costs 2026'!$C$23,"N/A")</f>
        <v>140000</v>
      </c>
      <c r="N376" s="538" cm="1">
        <f t="array" ref="N376">IF(B376&gt;0,'Direct Costs 2026'!$C$44*B376,"N/A")</f>
        <v>440000</v>
      </c>
      <c r="O376" t="str" s="547" cm="1">
        <f t="array" ref="O376">IF(B376&gt;0,_xlfn.IFERROR(VLOOKUP(C370,'Boats Data Sheet 2026'!$C$3:$I$57,7,0)*'Direct Costs 2026'!$C$36,"N/A"),"N/A")</f>
        <v>N/A</v>
      </c>
      <c r="P376" t="str" s="547" cm="1">
        <f t="array" ref="P376">IF(B376&gt;0,IF(OR(VLOOKUP(C370,'Boats Data Sheet 2026'!$C$3:$F$57,4,0)="Own",VLOOKUP(C370,'Boats Data Sheet 2026'!$C$3:$F$57,4,0)="Management"),('Direct Costs 2026'!$C$37+'Direct Costs 2026'!$C$39),"N/A"),"N/A")</f>
        <v>N/A</v>
      </c>
      <c r="Q376" s="538" cm="1">
        <f t="array" ref="Q376">_xlfn.IFERROR(IF(B376&gt;5,IF(B376&gt;11,IF(B376&gt;15,4,3),2),IF(B376=0,"N/A",1))*SUM('Direct Costs 2026'!$C$67:$C$68),"N/A")</f>
        <v>489600</v>
      </c>
      <c r="R376" s="538" cm="1">
        <f t="array" ref="R376">_xlfn.IFERROR('Direct Costs 2026'!$C$27*C376,"N/A")</f>
        <v>160000</v>
      </c>
      <c r="S376" s="538" cm="1">
        <f t="array" ref="S376">_xlfn.IFERROR(C376+SUM(E376:R376),"N/A")</f>
        <v>10782433.3333333</v>
      </c>
      <c r="T376" s="424"/>
      <c r="U376" s="538" cm="1">
        <f t="array" ref="U376">IF(B376&gt;0,'Allocation OH and Target 2026'!$E$27,"N/A")</f>
        <v>2134447.30345641</v>
      </c>
      <c r="V376" s="538" cm="1">
        <f t="array" ref="V376">IF(B376&gt;0,'Allocation OH and Target 2026'!$E$28,"N/A")</f>
        <v>200042.323056976</v>
      </c>
      <c r="W376" s="538" cm="1">
        <f t="array" ref="W376">IF(B376&gt;0,VLOOKUP(C370,'Allocation OH and Target 2026'!$C$3:$T$23,17,0),"N/A")</f>
        <v>0</v>
      </c>
      <c r="X376" s="538" cm="1">
        <f t="array" ref="X376">IF(B376&gt;0,VLOOKUP(C370,'Allocation OH and Target 2026'!$C$3:$T$23,18,0),"N/A")</f>
        <v>0</v>
      </c>
      <c r="Y376" s="538" cm="1">
        <f t="array" ref="Y376">_xlfn.IFERROR(B376*(V376+X376),"N/A")</f>
        <v>800169.292227904</v>
      </c>
      <c r="Z376" s="424"/>
      <c r="AA376" s="538" cm="1">
        <f t="array" ref="AA376">_xlfn.IFERROR(Y376+S376,"N/A")</f>
        <v>11582602.6255612</v>
      </c>
      <c r="AB376" s="538" cm="1">
        <f t="array" ref="AB376">_xlfn.IFERROR(AA376*0.5%,"N/A")</f>
        <v>57913.013127806</v>
      </c>
      <c r="AC376" s="538" cm="1">
        <f t="array" ref="AC376">_xlfn.IFERROR(AA376*25%,"N/A")</f>
        <v>2895650.6563903</v>
      </c>
      <c r="AD376" s="539" cm="1">
        <f t="array" ref="AD376">IF(B376&gt;0,SUM(AA376:AC376),"N/A")</f>
        <v>14536166.2950793</v>
      </c>
      <c r="AE376" s="538" cm="1">
        <f t="array" ref="AE376">_xlfn.IFERROR(AD376/B376,"N/A")</f>
        <v>3634041.57376983</v>
      </c>
      <c r="AF376" s="424"/>
      <c r="AG376" t="str" s="546" cm="1">
        <f t="array" ref="AG376">IF(B376/VLOOKUP(C370,'Boats Data Sheet 2026'!$C$3:$H$57,6,0)&gt;VLOOKUP(C370,'Allocation OH and Target 2026'!$C$3:$J$23,8,0),IF(SUM(AH372:AH375)=0,AE376,"N/A"),"N/A")</f>
        <v>N/A</v>
      </c>
      <c r="AH376" s="424" cm="1">
        <f t="array" ref="AH376">IF(AG376="N/A",0,1)</f>
        <v>0</v>
      </c>
      <c r="AI376" t="str" s="547" cm="1">
        <f t="array" ref="AI376">IF(B376/VLOOKUP(C370,'Boats Data Sheet 2026'!$C$3:$H$57,6,0)&gt;VLOOKUP(C370,'Allocation OH and Target 2026'!$C$3:$J$23,8,0),IF(SUM(AH372:AH375)=0,S376/B376,"N/A"),"N/A")</f>
        <v>N/A</v>
      </c>
      <c r="AJ376" s="424" cm="1">
        <f t="array" ref="AJ376">IF(AI376="N/A",0,1)</f>
        <v>0</v>
      </c>
      <c r="AK376" t="str" s="527" cm="1">
        <f t="array" ref="AK376">IF(SUM($AG$120:$AG$137)*B376&lt;SUM(AA376:AB376),"NO GO","GO")</f>
        <v>NO GO</v>
      </c>
      <c r="AL376" s="424"/>
      <c r="AM376" s="568"/>
      <c r="AN376" s="538"/>
      <c r="AO376" s="538"/>
      <c r="AP376" s="542"/>
      <c r="AQ376" s="543" cm="1">
        <f t="array" ref="AQ376">B376</f>
        <v>4</v>
      </c>
      <c r="AR376" s="18"/>
    </row>
    <row r="377" ht="16" customHeight="1">
      <c r="A377" s="12"/>
      <c r="B377" s="544" cm="1">
        <f t="array" ref="B377">IF(B376=0,0,IF(B376&lt;VLOOKUP(C370,'Boats Data Sheet 2026'!$C$3:$H$57,6,0),B376+1,0))</f>
        <v>5</v>
      </c>
      <c r="C377" s="538" cm="1">
        <f t="array" ref="C377">IF(B377&gt;0,IF(VLOOKUP(C370,'Boats Data Sheet 2026'!$C$3:$J$57,8,0)="N/A",0,VLOOKUP(C370,'Boats Data Sheet 2026'!$C$3:$J$57,8,0)),"N/A")</f>
        <v>8000000</v>
      </c>
      <c r="D377" s="545" cm="1">
        <f t="array" ref="D377">IF(B377&gt;7,2,IF(B377=0,"N/A",1))</f>
        <v>1</v>
      </c>
      <c r="E377" s="538" cm="1">
        <f t="array" ref="E377">_xlfn.IFERROR(SUM('Direct Costs 2026'!$C$4:$C$5)*D377,"N/A")</f>
        <v>875500</v>
      </c>
      <c r="F377" s="538" cm="1">
        <f t="array" ref="F377">_xlfn.IFERROR('Direct Costs 2026'!$C$43*B377,"N/A")</f>
        <v>30000</v>
      </c>
      <c r="G377" s="538" cm="1">
        <f t="array" ref="G377">IF(B377&gt;0,'Direct Costs 2026'!$C$25,"N/A")</f>
        <v>90000</v>
      </c>
      <c r="H377" s="538" cm="1">
        <f t="array" ref="H377">IF(B377&gt;0,'Direct Costs 2026'!$C$19+'Direct Costs 2026'!$C$18*B377,"N/A")</f>
        <v>250000</v>
      </c>
      <c r="I377" s="538" cm="1">
        <f t="array" ref="I377">IF(B377&gt;0,SUM('Direct Costs 2026'!$C$20:$C$21),"N/A")</f>
        <v>98333.3333333333</v>
      </c>
      <c r="J377" s="538">
        <v>0</v>
      </c>
      <c r="K377" s="538" cm="1">
        <f t="array" ref="K377">_xlfn.IFERROR((IF(B377&gt;0,'Direct Costs 2026'!$C$15+'Direct Costs 2026'!$C$14,"N/A")),"N/A")</f>
        <v>230000</v>
      </c>
      <c r="L377" s="538" cm="1">
        <f t="array" ref="L377">IF(B377&gt;0,'Direct Costs 2026'!$C$26,"N/A")</f>
        <v>20000</v>
      </c>
      <c r="M377" s="538" cm="1">
        <f t="array" ref="M377">IF(B377&gt;0,'Direct Costs 2026'!$C$23,"N/A")</f>
        <v>140000</v>
      </c>
      <c r="N377" s="538" cm="1">
        <f t="array" ref="N377">IF(B377&gt;0,'Direct Costs 2026'!$C$44*B377,"N/A")</f>
        <v>550000</v>
      </c>
      <c r="O377" t="str" s="547" cm="1">
        <f t="array" ref="O377">IF(B377&gt;0,_xlfn.IFERROR(VLOOKUP(C370,'Boats Data Sheet 2026'!$C$3:$I$57,7,0)*'Direct Costs 2026'!$C$36,"N/A"),"N/A")</f>
        <v>N/A</v>
      </c>
      <c r="P377" t="str" s="547" cm="1">
        <f t="array" ref="P377">IF(B377&gt;0,IF(OR(VLOOKUP(C370,'Boats Data Sheet 2026'!$C$3:$F$57,4,0)="Own",VLOOKUP(C370,'Boats Data Sheet 2026'!$C$3:$F$57,4,0)="Management"),('Direct Costs 2026'!$C$37+'Direct Costs 2026'!$C$39),"N/A"),"N/A")</f>
        <v>N/A</v>
      </c>
      <c r="Q377" s="538" cm="1">
        <f t="array" ref="Q377">_xlfn.IFERROR(IF(B377&gt;5,IF(B377&gt;11,IF(B377&gt;15,4,3),2),IF(B377=0,"N/A",1))*SUM('Direct Costs 2026'!$C$67:$C$68),"N/A")</f>
        <v>489600</v>
      </c>
      <c r="R377" s="538" cm="1">
        <f t="array" ref="R377">_xlfn.IFERROR('Direct Costs 2026'!$C$27*C377,"N/A")</f>
        <v>160000</v>
      </c>
      <c r="S377" s="538" cm="1">
        <f t="array" ref="S377">_xlfn.IFERROR(C377+SUM(E377:R377),"N/A")</f>
        <v>10933433.3333333</v>
      </c>
      <c r="T377" s="424"/>
      <c r="U377" s="538" cm="1">
        <f t="array" ref="U377">IF(B377&gt;0,'Allocation OH and Target 2026'!$E$27,"N/A")</f>
        <v>2134447.30345641</v>
      </c>
      <c r="V377" s="538" cm="1">
        <f t="array" ref="V377">IF(B377&gt;0,'Allocation OH and Target 2026'!$E$28,"N/A")</f>
        <v>200042.323056976</v>
      </c>
      <c r="W377" s="538" cm="1">
        <f t="array" ref="W377">IF(B377&gt;0,VLOOKUP(C370,'Allocation OH and Target 2026'!$C$3:$T$23,17,0),"N/A")</f>
        <v>0</v>
      </c>
      <c r="X377" s="538" cm="1">
        <f t="array" ref="X377">IF(B377&gt;0,VLOOKUP(C370,'Allocation OH and Target 2026'!$C$3:$T$23,18,0),"N/A")</f>
        <v>0</v>
      </c>
      <c r="Y377" s="538" cm="1">
        <f t="array" ref="Y377">_xlfn.IFERROR(B377*(V377+X377),"N/A")</f>
        <v>1000211.61528488</v>
      </c>
      <c r="Z377" s="424"/>
      <c r="AA377" s="538" cm="1">
        <f t="array" ref="AA377">_xlfn.IFERROR(Y377+S377,"N/A")</f>
        <v>11933644.9486182</v>
      </c>
      <c r="AB377" s="538" cm="1">
        <f t="array" ref="AB377">_xlfn.IFERROR(AA377*0.5%,"N/A")</f>
        <v>59668.224743091</v>
      </c>
      <c r="AC377" s="538" cm="1">
        <f t="array" ref="AC377">_xlfn.IFERROR(AA377*25%,"N/A")</f>
        <v>2983411.23715455</v>
      </c>
      <c r="AD377" s="539" cm="1">
        <f t="array" ref="AD377">IF(B377&gt;0,SUM(AA377:AC377),"N/A")</f>
        <v>14976724.4105158</v>
      </c>
      <c r="AE377" s="538" cm="1">
        <f t="array" ref="AE377">_xlfn.IFERROR(AD377/B377,"N/A")</f>
        <v>2995344.88210316</v>
      </c>
      <c r="AF377" s="424"/>
      <c r="AG377" t="str" s="546" cm="1">
        <f t="array" ref="AG377">IF(B377/VLOOKUP(C370,'Boats Data Sheet 2026'!$C$3:$H$57,6,0)&gt;VLOOKUP(C370,'Allocation OH and Target 2026'!$C$3:$J$23,8,0),IF(SUM(AH372:AH376)=0,AE377,"N/A"),"N/A")</f>
        <v>N/A</v>
      </c>
      <c r="AH377" s="424" cm="1">
        <f t="array" ref="AH377">IF(AG377="N/A",0,1)</f>
        <v>0</v>
      </c>
      <c r="AI377" t="str" s="547" cm="1">
        <f t="array" ref="AI377">IF(B377/VLOOKUP(C370,'Boats Data Sheet 2026'!$C$3:$H$57,6,0)&gt;VLOOKUP(C370,'Allocation OH and Target 2026'!$C$3:$J$23,8,0),IF(SUM(AH372:AH376)=0,S377/B377,"N/A"),"N/A")</f>
        <v>N/A</v>
      </c>
      <c r="AJ377" s="424" cm="1">
        <f t="array" ref="AJ377">IF(AI377="N/A",0,1)</f>
        <v>0</v>
      </c>
      <c r="AK377" t="str" s="527" cm="1">
        <f t="array" ref="AK377">IF(SUM($AG$120:$AG$137)*B377&lt;SUM(AA377:AB377),"NO GO","GO")</f>
        <v>NO GO</v>
      </c>
      <c r="AL377" s="424"/>
      <c r="AM377" s="568"/>
      <c r="AN377" s="538"/>
      <c r="AO377" s="538"/>
      <c r="AP377" s="542"/>
      <c r="AQ377" s="543" cm="1">
        <f t="array" ref="AQ377">B377</f>
        <v>5</v>
      </c>
      <c r="AR377" s="18"/>
    </row>
    <row r="378" ht="16" customHeight="1">
      <c r="A378" s="12"/>
      <c r="B378" s="544" cm="1">
        <f t="array" ref="B378">IF(B377=0,0,IF(B377&lt;VLOOKUP(C370,'Boats Data Sheet 2026'!$C$3:$H$57,6,0),B377+1,0))</f>
        <v>6</v>
      </c>
      <c r="C378" s="538" cm="1">
        <f t="array" ref="C378">IF(B378&gt;0,IF(VLOOKUP(C370,'Boats Data Sheet 2026'!$C$3:$J$57,8,0)="N/A",0,VLOOKUP(C370,'Boats Data Sheet 2026'!$C$3:$J$57,8,0)),"N/A")</f>
        <v>8000000</v>
      </c>
      <c r="D378" s="545" cm="1">
        <f t="array" ref="D378">IF(B378&gt;7,2,IF(B378=0,"N/A",1))</f>
        <v>1</v>
      </c>
      <c r="E378" s="538" cm="1">
        <f t="array" ref="E378">_xlfn.IFERROR(SUM('Direct Costs 2026'!$C$4:$C$5)*D378,"N/A")</f>
        <v>875500</v>
      </c>
      <c r="F378" s="538" cm="1">
        <f t="array" ref="F378">_xlfn.IFERROR('Direct Costs 2026'!$C$43*B378,"N/A")</f>
        <v>36000</v>
      </c>
      <c r="G378" s="538" cm="1">
        <f t="array" ref="G378">IF(B378&gt;0,'Direct Costs 2026'!$C$25,"N/A")</f>
        <v>90000</v>
      </c>
      <c r="H378" s="538" cm="1">
        <f t="array" ref="H378">IF(B378&gt;0,'Direct Costs 2026'!$C$19+'Direct Costs 2026'!$C$18*B378,"N/A")</f>
        <v>285000</v>
      </c>
      <c r="I378" s="538" cm="1">
        <f t="array" ref="I378">IF(B378&gt;0,SUM('Direct Costs 2026'!$C$20:$C$21),"N/A")</f>
        <v>98333.3333333333</v>
      </c>
      <c r="J378" s="538">
        <v>0</v>
      </c>
      <c r="K378" s="538" cm="1">
        <f t="array" ref="K378">_xlfn.IFERROR((IF(B378&gt;0,'Direct Costs 2026'!$C$15+'Direct Costs 2026'!$C$14,"N/A")),"N/A")</f>
        <v>230000</v>
      </c>
      <c r="L378" s="538" cm="1">
        <f t="array" ref="L378">IF(B378&gt;0,'Direct Costs 2026'!$C$26,"N/A")</f>
        <v>20000</v>
      </c>
      <c r="M378" s="538" cm="1">
        <f t="array" ref="M378">IF(B378&gt;0,'Direct Costs 2026'!$C$23,"N/A")</f>
        <v>140000</v>
      </c>
      <c r="N378" s="538" cm="1">
        <f t="array" ref="N378">IF(B378&gt;0,'Direct Costs 2026'!$C$44*B378,"N/A")</f>
        <v>660000</v>
      </c>
      <c r="O378" t="str" s="547" cm="1">
        <f t="array" ref="O378">IF(B378&gt;0,_xlfn.IFERROR(VLOOKUP(C370,'Boats Data Sheet 2026'!$C$3:$I$57,7,0)*'Direct Costs 2026'!$C$36,"N/A"),"N/A")</f>
        <v>N/A</v>
      </c>
      <c r="P378" t="str" s="547" cm="1">
        <f t="array" ref="P378">IF(B378&gt;0,IF(OR(VLOOKUP(C370,'Boats Data Sheet 2026'!$C$3:$F$57,4,0)="Own",VLOOKUP(C370,'Boats Data Sheet 2026'!$C$3:$F$57,4,0)="Management"),('Direct Costs 2026'!$C$37+'Direct Costs 2026'!$C$39),"N/A"),"N/A")</f>
        <v>N/A</v>
      </c>
      <c r="Q378" s="538" cm="1">
        <f t="array" ref="Q378">_xlfn.IFERROR(IF(B378&gt;5,IF(B378&gt;11,IF(B378&gt;15,4,3),2),IF(B378=0,"N/A",1))*SUM('Direct Costs 2026'!$C$67:$C$68),"N/A")</f>
        <v>979200</v>
      </c>
      <c r="R378" s="538" cm="1">
        <f t="array" ref="R378">_xlfn.IFERROR('Direct Costs 2026'!$C$27*C378,"N/A")</f>
        <v>160000</v>
      </c>
      <c r="S378" s="538" cm="1">
        <f t="array" ref="S378">_xlfn.IFERROR(C378+SUM(E378:R378),"N/A")</f>
        <v>11574033.3333333</v>
      </c>
      <c r="T378" s="424"/>
      <c r="U378" s="538" cm="1">
        <f t="array" ref="U378">IF(B378&gt;0,'Allocation OH and Target 2026'!$E$27,"N/A")</f>
        <v>2134447.30345641</v>
      </c>
      <c r="V378" s="538" cm="1">
        <f t="array" ref="V378">IF(B378&gt;0,'Allocation OH and Target 2026'!$E$28,"N/A")</f>
        <v>200042.323056976</v>
      </c>
      <c r="W378" s="538" cm="1">
        <f t="array" ref="W378">IF(B378&gt;0,VLOOKUP(C370,'Allocation OH and Target 2026'!$C$3:$T$23,17,0),"N/A")</f>
        <v>0</v>
      </c>
      <c r="X378" s="538" cm="1">
        <f t="array" ref="X378">IF(B378&gt;0,VLOOKUP(C370,'Allocation OH and Target 2026'!$C$3:$T$23,18,0),"N/A")</f>
        <v>0</v>
      </c>
      <c r="Y378" s="538" cm="1">
        <f t="array" ref="Y378">_xlfn.IFERROR(B378*(V378+X378),"N/A")</f>
        <v>1200253.93834186</v>
      </c>
      <c r="Z378" s="424"/>
      <c r="AA378" s="538" cm="1">
        <f t="array" ref="AA378">_xlfn.IFERROR(Y378+S378,"N/A")</f>
        <v>12774287.2716752</v>
      </c>
      <c r="AB378" s="538" cm="1">
        <f t="array" ref="AB378">_xlfn.IFERROR(AA378*0.5%,"N/A")</f>
        <v>63871.436358376</v>
      </c>
      <c r="AC378" s="538" cm="1">
        <f t="array" ref="AC378">_xlfn.IFERROR(AA378*25%,"N/A")</f>
        <v>3193571.8179188</v>
      </c>
      <c r="AD378" s="539" cm="1">
        <f t="array" ref="AD378">IF(B378&gt;0,SUM(AA378:AC378),"N/A")</f>
        <v>16031730.5259524</v>
      </c>
      <c r="AE378" s="538" cm="1">
        <f t="array" ref="AE378">_xlfn.IFERROR(AD378/B378,"N/A")</f>
        <v>2671955.08765873</v>
      </c>
      <c r="AF378" s="424"/>
      <c r="AG378" t="str" s="546" cm="1">
        <f t="array" ref="AG378">IF(B378/VLOOKUP(C370,'Boats Data Sheet 2026'!$C$3:$H$57,6,0)&gt;VLOOKUP(C370,'Allocation OH and Target 2026'!$C$3:$J$23,8,0),IF(SUM(AH372:AH377)=0,AE378,"N/A"),"N/A")</f>
        <v>N/A</v>
      </c>
      <c r="AH378" s="424" cm="1">
        <f t="array" ref="AH378">IF(AG378="N/A",0,1)</f>
        <v>0</v>
      </c>
      <c r="AI378" t="str" s="547" cm="1">
        <f t="array" ref="AI378">IF(B378/VLOOKUP(C370,'Boats Data Sheet 2026'!$C$3:$H$57,6,0)&gt;VLOOKUP(C370,'Allocation OH and Target 2026'!$C$3:$J$23,8,0),IF(SUM(AH372:AH377)=0,S378/B378,"N/A"),"N/A")</f>
        <v>N/A</v>
      </c>
      <c r="AJ378" s="424" cm="1">
        <f t="array" ref="AJ378">IF(AI378="N/A",0,1)</f>
        <v>0</v>
      </c>
      <c r="AK378" t="str" s="527" cm="1">
        <f t="array" ref="AK378">IF(SUM($AG$120:$AG$137)*B378&lt;SUM(AA378:AB378),"NO GO","GO")</f>
        <v>NO GO</v>
      </c>
      <c r="AL378" s="424"/>
      <c r="AM378" s="568"/>
      <c r="AN378" s="538"/>
      <c r="AO378" s="538"/>
      <c r="AP378" s="542"/>
      <c r="AQ378" s="543" cm="1">
        <f t="array" ref="AQ378">B378</f>
        <v>6</v>
      </c>
      <c r="AR378" s="18"/>
    </row>
    <row r="379" ht="16" customHeight="1">
      <c r="A379" s="12"/>
      <c r="B379" s="544" cm="1">
        <f t="array" ref="B379">IF(B378=0,0,IF(B378&lt;VLOOKUP(C370,'Boats Data Sheet 2026'!$C$3:$H$57,6,0),B378+1,0))</f>
        <v>7</v>
      </c>
      <c r="C379" s="538" cm="1">
        <f t="array" ref="C379">IF(B379&gt;0,IF(VLOOKUP(C370,'Boats Data Sheet 2026'!$C$3:$J$57,8,0)="N/A",0,VLOOKUP(C370,'Boats Data Sheet 2026'!$C$3:$J$57,8,0)),"N/A")</f>
        <v>8000000</v>
      </c>
      <c r="D379" s="545" cm="1">
        <f t="array" ref="D379">IF(B379&gt;7,2,IF(B379=0,"N/A",1))</f>
        <v>1</v>
      </c>
      <c r="E379" s="538" cm="1">
        <f t="array" ref="E379">_xlfn.IFERROR(SUM('Direct Costs 2026'!$C$4:$C$5)*D379,"N/A")</f>
        <v>875500</v>
      </c>
      <c r="F379" s="538" cm="1">
        <f t="array" ref="F379">_xlfn.IFERROR('Direct Costs 2026'!$C$43*B379,"N/A")</f>
        <v>42000</v>
      </c>
      <c r="G379" s="538" cm="1">
        <f t="array" ref="G379">IF(B379&gt;0,'Direct Costs 2026'!$C$25,"N/A")</f>
        <v>90000</v>
      </c>
      <c r="H379" s="538" cm="1">
        <f t="array" ref="H379">IF(B379&gt;0,'Direct Costs 2026'!$C$19+'Direct Costs 2026'!$C$18*B379,"N/A")</f>
        <v>320000</v>
      </c>
      <c r="I379" s="538" cm="1">
        <f t="array" ref="I379">IF(B379&gt;0,SUM('Direct Costs 2026'!$C$20:$C$21),"N/A")</f>
        <v>98333.3333333333</v>
      </c>
      <c r="J379" s="538">
        <v>0</v>
      </c>
      <c r="K379" s="538" cm="1">
        <f t="array" ref="K379">_xlfn.IFERROR((IF(B379&gt;0,'Direct Costs 2026'!$C$15+'Direct Costs 2026'!$C$14,"N/A")),"N/A")</f>
        <v>230000</v>
      </c>
      <c r="L379" s="538" cm="1">
        <f t="array" ref="L379">IF(B379&gt;0,'Direct Costs 2026'!$C$26,"N/A")</f>
        <v>20000</v>
      </c>
      <c r="M379" s="538" cm="1">
        <f t="array" ref="M379">IF(B379&gt;0,'Direct Costs 2026'!$C$23,"N/A")</f>
        <v>140000</v>
      </c>
      <c r="N379" s="538" cm="1">
        <f t="array" ref="N379">IF(B379&gt;0,'Direct Costs 2026'!$C$44*B379,"N/A")</f>
        <v>770000</v>
      </c>
      <c r="O379" t="str" s="547" cm="1">
        <f t="array" ref="O379">IF(B379&gt;0,_xlfn.IFERROR(VLOOKUP(C370,'Boats Data Sheet 2026'!$C$3:$I$57,7,0)*'Direct Costs 2026'!$C$36,"N/A"),"N/A")</f>
        <v>N/A</v>
      </c>
      <c r="P379" t="str" s="547" cm="1">
        <f t="array" ref="P379">IF(B379&gt;0,IF(OR(VLOOKUP(C370,'Boats Data Sheet 2026'!$C$3:$F$57,4,0)="Own",VLOOKUP(C370,'Boats Data Sheet 2026'!$C$3:$F$57,4,0)="Management"),('Direct Costs 2026'!$C$37+'Direct Costs 2026'!$C$39),"N/A"),"N/A")</f>
        <v>N/A</v>
      </c>
      <c r="Q379" s="538" cm="1">
        <f t="array" ref="Q379">_xlfn.IFERROR(IF(B379&gt;5,IF(B379&gt;11,IF(B379&gt;15,4,3),2),IF(B379=0,"N/A",1))*SUM('Direct Costs 2026'!$C$67:$C$68),"N/A")</f>
        <v>979200</v>
      </c>
      <c r="R379" s="538" cm="1">
        <f t="array" ref="R379">_xlfn.IFERROR('Direct Costs 2026'!$C$27*C379,"N/A")</f>
        <v>160000</v>
      </c>
      <c r="S379" s="538" cm="1">
        <f t="array" ref="S379">_xlfn.IFERROR(C379+SUM(E379:R379),"N/A")</f>
        <v>11725033.3333333</v>
      </c>
      <c r="T379" s="424"/>
      <c r="U379" s="538" cm="1">
        <f t="array" ref="U379">IF(B379&gt;0,'Allocation OH and Target 2026'!$E$27,"N/A")</f>
        <v>2134447.30345641</v>
      </c>
      <c r="V379" s="538" cm="1">
        <f t="array" ref="V379">IF(B379&gt;0,'Allocation OH and Target 2026'!$E$28,"N/A")</f>
        <v>200042.323056976</v>
      </c>
      <c r="W379" s="538" cm="1">
        <f t="array" ref="W379">IF(B379&gt;0,VLOOKUP(C370,'Allocation OH and Target 2026'!$C$3:$T$23,17,0),"N/A")</f>
        <v>0</v>
      </c>
      <c r="X379" s="538" cm="1">
        <f t="array" ref="X379">IF(B379&gt;0,VLOOKUP(C370,'Allocation OH and Target 2026'!$C$3:$T$23,18,0),"N/A")</f>
        <v>0</v>
      </c>
      <c r="Y379" s="538" cm="1">
        <f t="array" ref="Y379">_xlfn.IFERROR(B379*(V379+X379),"N/A")</f>
        <v>1400296.26139883</v>
      </c>
      <c r="Z379" s="424"/>
      <c r="AA379" s="538" cm="1">
        <f t="array" ref="AA379">_xlfn.IFERROR(Y379+S379,"N/A")</f>
        <v>13125329.5947321</v>
      </c>
      <c r="AB379" s="538" cm="1">
        <f t="array" ref="AB379">_xlfn.IFERROR(AA379*0.5%,"N/A")</f>
        <v>65626.6479736605</v>
      </c>
      <c r="AC379" s="538" cm="1">
        <f t="array" ref="AC379">_xlfn.IFERROR(AA379*25%,"N/A")</f>
        <v>3281332.39868303</v>
      </c>
      <c r="AD379" s="539" cm="1">
        <f t="array" ref="AD379">IF(B379&gt;0,SUM(AA379:AC379),"N/A")</f>
        <v>16472288.6413888</v>
      </c>
      <c r="AE379" s="538" cm="1">
        <f t="array" ref="AE379">_xlfn.IFERROR(AD379/B379,"N/A")</f>
        <v>2353184.09162697</v>
      </c>
      <c r="AF379" s="424"/>
      <c r="AG379" t="str" s="546" cm="1">
        <f t="array" ref="AG379">IF(B379/VLOOKUP(C370,'Boats Data Sheet 2026'!$C$3:$H$57,6,0)&gt;VLOOKUP(C370,'Allocation OH and Target 2026'!$C$3:$J$23,8,0),IF(SUM(AH372:AH378)=0,AE379,"N/A"),"N/A")</f>
        <v>N/A</v>
      </c>
      <c r="AH379" s="424" cm="1">
        <f t="array" ref="AH379">IF(AG379="N/A",0,1)</f>
        <v>0</v>
      </c>
      <c r="AI379" t="str" s="547" cm="1">
        <f t="array" ref="AI379">IF(B379/VLOOKUP(C370,'Boats Data Sheet 2026'!$C$3:$H$57,6,0)&gt;VLOOKUP(C370,'Allocation OH and Target 2026'!$C$3:$J$23,8,0),IF(SUM(AH372:AH378)=0,S379/B379,"N/A"),"N/A")</f>
        <v>N/A</v>
      </c>
      <c r="AJ379" s="424" cm="1">
        <f t="array" ref="AJ379">IF(AI379="N/A",0,1)</f>
        <v>0</v>
      </c>
      <c r="AK379" t="str" s="527" cm="1">
        <f t="array" ref="AK379">IF(SUM($AG$120:$AG$137)*B379&lt;SUM(AA379:AB379),"NO GO","GO")</f>
        <v>NO GO</v>
      </c>
      <c r="AL379" s="424"/>
      <c r="AM379" s="568"/>
      <c r="AN379" s="538"/>
      <c r="AO379" s="538"/>
      <c r="AP379" s="542"/>
      <c r="AQ379" s="543" cm="1">
        <f t="array" ref="AQ379">B379</f>
        <v>7</v>
      </c>
      <c r="AR379" s="18"/>
    </row>
    <row r="380" ht="16" customHeight="1">
      <c r="A380" s="12"/>
      <c r="B380" s="544" cm="1">
        <f t="array" ref="B380">IF(B379=0,0,IF(B379&lt;VLOOKUP(C370,'Boats Data Sheet 2026'!$C$3:$H$57,6,0),B379+1,0))</f>
        <v>8</v>
      </c>
      <c r="C380" s="538" cm="1">
        <f t="array" ref="C380">IF(B380&gt;0,IF(VLOOKUP(C370,'Boats Data Sheet 2026'!$C$3:$J$57,8,0)="N/A",0,VLOOKUP(C370,'Boats Data Sheet 2026'!$C$3:$J$57,8,0)),"N/A")</f>
        <v>8000000</v>
      </c>
      <c r="D380" s="545" cm="1">
        <f t="array" ref="D380">IF(B380&gt;7,2,IF(B380=0,"N/A",1))</f>
        <v>2</v>
      </c>
      <c r="E380" s="538" cm="1">
        <f t="array" ref="E380">_xlfn.IFERROR(SUM('Direct Costs 2026'!$C$4:$C$5)*D380,"N/A")</f>
        <v>1751000</v>
      </c>
      <c r="F380" s="538" cm="1">
        <f t="array" ref="F380">_xlfn.IFERROR('Direct Costs 2026'!$C$43*B380,"N/A")</f>
        <v>48000</v>
      </c>
      <c r="G380" s="538" cm="1">
        <f t="array" ref="G380">IF(B380&gt;0,'Direct Costs 2026'!$C$25,"N/A")</f>
        <v>90000</v>
      </c>
      <c r="H380" s="538" cm="1">
        <f t="array" ref="H380">IF(B380&gt;0,'Direct Costs 2026'!$C$19+'Direct Costs 2026'!$C$18*B380,"N/A")</f>
        <v>355000</v>
      </c>
      <c r="I380" s="538" cm="1">
        <f t="array" ref="I380">IF(B380&gt;0,SUM('Direct Costs 2026'!$C$20:$C$21),"N/A")</f>
        <v>98333.3333333333</v>
      </c>
      <c r="J380" s="538">
        <v>0</v>
      </c>
      <c r="K380" s="538" cm="1">
        <f t="array" ref="K380">_xlfn.IFERROR((IF(B380&gt;0,'Direct Costs 2026'!$C$15+'Direct Costs 2026'!$C$14,"N/A")),"N/A")</f>
        <v>230000</v>
      </c>
      <c r="L380" s="538" cm="1">
        <f t="array" ref="L380">IF(B380&gt;0,'Direct Costs 2026'!$C$26,"N/A")</f>
        <v>20000</v>
      </c>
      <c r="M380" s="538" cm="1">
        <f t="array" ref="M380">IF(B380&gt;0,'Direct Costs 2026'!$C$23,"N/A")</f>
        <v>140000</v>
      </c>
      <c r="N380" s="538" cm="1">
        <f t="array" ref="N380">IF(B380&gt;0,'Direct Costs 2026'!$C$44*B380,"N/A")</f>
        <v>880000</v>
      </c>
      <c r="O380" t="str" s="547" cm="1">
        <f t="array" ref="O380">IF(B380&gt;0,_xlfn.IFERROR(VLOOKUP(C370,'Boats Data Sheet 2026'!$C$3:$I$57,7,0)*'Direct Costs 2026'!$C$36,"N/A"),"N/A")</f>
        <v>N/A</v>
      </c>
      <c r="P380" t="str" s="547" cm="1">
        <f t="array" ref="P380">IF(B380&gt;0,IF(OR(VLOOKUP(C370,'Boats Data Sheet 2026'!$C$3:$F$57,4,0)="Own",VLOOKUP(C370,'Boats Data Sheet 2026'!$C$3:$F$57,4,0)="Management"),('Direct Costs 2026'!$C$37+'Direct Costs 2026'!$C$39),"N/A"),"N/A")</f>
        <v>N/A</v>
      </c>
      <c r="Q380" s="538" cm="1">
        <f t="array" ref="Q380">_xlfn.IFERROR(IF(B380&gt;5,IF(B380&gt;11,IF(B380&gt;15,4,3),2),IF(B380=0,"N/A",1))*SUM('Direct Costs 2026'!$C$67:$C$68),"N/A")</f>
        <v>979200</v>
      </c>
      <c r="R380" s="538" cm="1">
        <f t="array" ref="R380">_xlfn.IFERROR('Direct Costs 2026'!$C$27*C380,"N/A")</f>
        <v>160000</v>
      </c>
      <c r="S380" s="538" cm="1">
        <f t="array" ref="S380">_xlfn.IFERROR(C380+SUM(E380:R380),"N/A")</f>
        <v>12751533.3333333</v>
      </c>
      <c r="T380" s="424"/>
      <c r="U380" s="538" cm="1">
        <f t="array" ref="U380">IF(B380&gt;0,'Allocation OH and Target 2026'!$E$27,"N/A")</f>
        <v>2134447.30345641</v>
      </c>
      <c r="V380" s="538" cm="1">
        <f t="array" ref="V380">IF(B380&gt;0,'Allocation OH and Target 2026'!$E$28,"N/A")</f>
        <v>200042.323056976</v>
      </c>
      <c r="W380" s="538" cm="1">
        <f t="array" ref="W380">IF(B380&gt;0,VLOOKUP(C370,'Allocation OH and Target 2026'!$C$3:$T$23,17,0),"N/A")</f>
        <v>0</v>
      </c>
      <c r="X380" s="538" cm="1">
        <f t="array" ref="X380">IF(B380&gt;0,VLOOKUP(C370,'Allocation OH and Target 2026'!$C$3:$T$23,18,0),"N/A")</f>
        <v>0</v>
      </c>
      <c r="Y380" s="538" cm="1">
        <f t="array" ref="Y380">_xlfn.IFERROR(B380*(V380+X380),"N/A")</f>
        <v>1600338.58445581</v>
      </c>
      <c r="Z380" s="424"/>
      <c r="AA380" s="538" cm="1">
        <f t="array" ref="AA380">_xlfn.IFERROR(Y380+S380,"N/A")</f>
        <v>14351871.9177891</v>
      </c>
      <c r="AB380" s="538" cm="1">
        <f t="array" ref="AB380">_xlfn.IFERROR(AA380*0.5%,"N/A")</f>
        <v>71759.3595889455</v>
      </c>
      <c r="AC380" s="538" cm="1">
        <f t="array" ref="AC380">_xlfn.IFERROR(AA380*25%,"N/A")</f>
        <v>3587967.97944728</v>
      </c>
      <c r="AD380" s="539" cm="1">
        <f t="array" ref="AD380">IF(B380&gt;0,SUM(AA380:AC380),"N/A")</f>
        <v>18011599.2568253</v>
      </c>
      <c r="AE380" s="538" cm="1">
        <f t="array" ref="AE380">_xlfn.IFERROR(AD380/B380,"N/A")</f>
        <v>2251449.90710316</v>
      </c>
      <c r="AF380" s="424"/>
      <c r="AG380" t="str" s="546" cm="1">
        <f t="array" ref="AG380">IF(B380/VLOOKUP(C370,'Boats Data Sheet 2026'!$C$3:$H$57,6,0)&gt;VLOOKUP(C370,'Allocation OH and Target 2026'!$C$3:$J$23,8,0),IF(SUM(AH372:AH379)=0,AE380,"N/A"),"N/A")</f>
        <v>N/A</v>
      </c>
      <c r="AH380" s="424" cm="1">
        <f t="array" ref="AH380">IF(AG380="N/A",0,1)</f>
        <v>0</v>
      </c>
      <c r="AI380" t="str" s="547" cm="1">
        <f t="array" ref="AI380">IF(B380/VLOOKUP(C370,'Boats Data Sheet 2026'!$C$3:$H$57,6,0)&gt;VLOOKUP(C370,'Allocation OH and Target 2026'!$C$3:$J$23,8,0),IF(SUM(AH372:AH379)=0,S380/B380,"N/A"),"N/A")</f>
        <v>N/A</v>
      </c>
      <c r="AJ380" s="424" cm="1">
        <f t="array" ref="AJ380">IF(AI380="N/A",0,1)</f>
        <v>0</v>
      </c>
      <c r="AK380" t="str" s="527" cm="1">
        <f t="array" ref="AK380">IF(SUM($AG$120:$AG$137)*B380&lt;SUM(AA380:AB380),"NO GO","GO")</f>
        <v>NO GO</v>
      </c>
      <c r="AL380" s="424"/>
      <c r="AM380" s="568"/>
      <c r="AN380" s="538"/>
      <c r="AO380" s="538"/>
      <c r="AP380" s="542"/>
      <c r="AQ380" s="543" cm="1">
        <f t="array" ref="AQ380">B380</f>
        <v>8</v>
      </c>
      <c r="AR380" s="18"/>
    </row>
    <row r="381" ht="16" customHeight="1">
      <c r="A381" s="12"/>
      <c r="B381" s="544" cm="1">
        <f t="array" ref="B381">IF(B380=0,0,IF(B380&lt;VLOOKUP(C370,'Boats Data Sheet 2026'!$C$3:$H$57,6,0),B380+1,0))</f>
        <v>9</v>
      </c>
      <c r="C381" s="538" cm="1">
        <f t="array" ref="C381">IF(B381&gt;0,IF(VLOOKUP(C370,'Boats Data Sheet 2026'!$C$3:$J$57,8,0)="N/A",0,VLOOKUP(C370,'Boats Data Sheet 2026'!$C$3:$J$57,8,0)),"N/A")</f>
        <v>8000000</v>
      </c>
      <c r="D381" s="545" cm="1">
        <f t="array" ref="D381">IF(B381&gt;7,2,IF(B381=0,"N/A",1))</f>
        <v>2</v>
      </c>
      <c r="E381" s="538" cm="1">
        <f t="array" ref="E381">_xlfn.IFERROR(SUM('Direct Costs 2026'!$C$4:$C$5)*D381,"N/A")</f>
        <v>1751000</v>
      </c>
      <c r="F381" s="538" cm="1">
        <f t="array" ref="F381">_xlfn.IFERROR('Direct Costs 2026'!$C$43*B381,"N/A")</f>
        <v>54000</v>
      </c>
      <c r="G381" s="538" cm="1">
        <f t="array" ref="G381">IF(B381&gt;0,'Direct Costs 2026'!$C$25,"N/A")</f>
        <v>90000</v>
      </c>
      <c r="H381" s="538" cm="1">
        <f t="array" ref="H381">IF(B381&gt;0,'Direct Costs 2026'!$C$19+'Direct Costs 2026'!$C$18*B381,"N/A")</f>
        <v>390000</v>
      </c>
      <c r="I381" s="538" cm="1">
        <f t="array" ref="I381">IF(B381&gt;0,SUM('Direct Costs 2026'!$C$20:$C$21),"N/A")</f>
        <v>98333.3333333333</v>
      </c>
      <c r="J381" s="538">
        <v>0</v>
      </c>
      <c r="K381" s="538" cm="1">
        <f t="array" ref="K381">_xlfn.IFERROR((IF(B381&gt;0,'Direct Costs 2026'!$C$15+'Direct Costs 2026'!$C$14,"N/A")),"N/A")</f>
        <v>230000</v>
      </c>
      <c r="L381" s="538" cm="1">
        <f t="array" ref="L381">IF(B381&gt;0,'Direct Costs 2026'!$C$26,"N/A")</f>
        <v>20000</v>
      </c>
      <c r="M381" s="538" cm="1">
        <f t="array" ref="M381">IF(B381&gt;0,'Direct Costs 2026'!$C$23,"N/A")</f>
        <v>140000</v>
      </c>
      <c r="N381" s="538" cm="1">
        <f t="array" ref="N381">IF(B381&gt;0,'Direct Costs 2026'!$C$44*B381,"N/A")</f>
        <v>990000</v>
      </c>
      <c r="O381" t="str" s="547" cm="1">
        <f t="array" ref="O381">IF(B381&gt;0,_xlfn.IFERROR(VLOOKUP(C370,'Boats Data Sheet 2026'!$C$3:$I$57,7,0)*'Direct Costs 2026'!$C$36,"N/A"),"N/A")</f>
        <v>N/A</v>
      </c>
      <c r="P381" t="str" s="547" cm="1">
        <f t="array" ref="P381">IF(B381&gt;0,IF(OR(VLOOKUP(C370,'Boats Data Sheet 2026'!$C$3:$F$57,4,0)="Own",VLOOKUP(C370,'Boats Data Sheet 2026'!$C$3:$F$57,4,0)="Management"),('Direct Costs 2026'!$C$37+'Direct Costs 2026'!$C$39),"N/A"),"N/A")</f>
        <v>N/A</v>
      </c>
      <c r="Q381" s="538" cm="1">
        <f t="array" ref="Q381">_xlfn.IFERROR(IF(B381&gt;5,IF(B381&gt;11,IF(B381&gt;15,4,3),2),IF(B381=0,"N/A",1))*SUM('Direct Costs 2026'!$C$67:$C$68),"N/A")</f>
        <v>979200</v>
      </c>
      <c r="R381" s="538" cm="1">
        <f t="array" ref="R381">_xlfn.IFERROR('Direct Costs 2026'!$C$27*C381,"N/A")</f>
        <v>160000</v>
      </c>
      <c r="S381" s="538" cm="1">
        <f t="array" ref="S381">_xlfn.IFERROR(C381+SUM(E381:R381),"N/A")</f>
        <v>12902533.3333333</v>
      </c>
      <c r="T381" s="424"/>
      <c r="U381" s="538" cm="1">
        <f t="array" ref="U381">IF(B381&gt;0,'Allocation OH and Target 2026'!$E$27,"N/A")</f>
        <v>2134447.30345641</v>
      </c>
      <c r="V381" s="538" cm="1">
        <f t="array" ref="V381">IF(B381&gt;0,'Allocation OH and Target 2026'!$E$28,"N/A")</f>
        <v>200042.323056976</v>
      </c>
      <c r="W381" s="538" cm="1">
        <f t="array" ref="W381">IF(B381&gt;0,VLOOKUP(C370,'Allocation OH and Target 2026'!$C$3:$T$23,17,0),"N/A")</f>
        <v>0</v>
      </c>
      <c r="X381" s="538" cm="1">
        <f t="array" ref="X381">IF(B381&gt;0,VLOOKUP(C370,'Allocation OH and Target 2026'!$C$3:$T$23,18,0),"N/A")</f>
        <v>0</v>
      </c>
      <c r="Y381" s="538" cm="1">
        <f t="array" ref="Y381">_xlfn.IFERROR(B381*(V381+X381),"N/A")</f>
        <v>1800380.90751278</v>
      </c>
      <c r="Z381" s="424"/>
      <c r="AA381" s="538" cm="1">
        <f t="array" ref="AA381">_xlfn.IFERROR(Y381+S381,"N/A")</f>
        <v>14702914.2408461</v>
      </c>
      <c r="AB381" s="538" cm="1">
        <f t="array" ref="AB381">_xlfn.IFERROR(AA381*0.5%,"N/A")</f>
        <v>73514.571204230495</v>
      </c>
      <c r="AC381" s="538" cm="1">
        <f t="array" ref="AC381">_xlfn.IFERROR(AA381*25%,"N/A")</f>
        <v>3675728.56021153</v>
      </c>
      <c r="AD381" s="539" cm="1">
        <f t="array" ref="AD381">IF(B381&gt;0,SUM(AA381:AC381),"N/A")</f>
        <v>18452157.3722619</v>
      </c>
      <c r="AE381" s="538" cm="1">
        <f t="array" ref="AE381">_xlfn.IFERROR(AD381/B381,"N/A")</f>
        <v>2050239.7080291</v>
      </c>
      <c r="AF381" s="424"/>
      <c r="AG381" t="str" s="546" cm="1">
        <f t="array" ref="AG381">IF(B381/VLOOKUP(C370,'Boats Data Sheet 2026'!$C$3:$H$57,6,0)&gt;VLOOKUP(C370,'Allocation OH and Target 2026'!$C$3:$J$23,8,0),IF(SUM(AH372:AH380)=0,AE381,"N/A"),"N/A")</f>
        <v>N/A</v>
      </c>
      <c r="AH381" s="424" cm="1">
        <f t="array" ref="AH381">IF(AG381="N/A",0,1)</f>
        <v>0</v>
      </c>
      <c r="AI381" t="str" s="547" cm="1">
        <f t="array" ref="AI381">IF(B381/VLOOKUP(C370,'Boats Data Sheet 2026'!$C$3:$H$57,6,0)&gt;VLOOKUP(C370,'Allocation OH and Target 2026'!$C$3:$J$23,8,0),IF(SUM(AH372:AH380)=0,S381/B381,"N/A"),"N/A")</f>
        <v>N/A</v>
      </c>
      <c r="AJ381" s="424" cm="1">
        <f t="array" ref="AJ381">IF(AI381="N/A",0,1)</f>
        <v>0</v>
      </c>
      <c r="AK381" t="str" s="527" cm="1">
        <f t="array" ref="AK381">IF(SUM($AG$120:$AG$137)*B381&lt;SUM(AA381:AB381),"NO GO","GO")</f>
        <v>NO GO</v>
      </c>
      <c r="AL381" s="424"/>
      <c r="AM381" s="538"/>
      <c r="AN381" s="538"/>
      <c r="AO381" s="538"/>
      <c r="AP381" s="542"/>
      <c r="AQ381" s="543" cm="1">
        <f t="array" ref="AQ381">B381</f>
        <v>9</v>
      </c>
      <c r="AR381" s="18"/>
    </row>
    <row r="382" ht="16" customHeight="1">
      <c r="A382" s="12"/>
      <c r="B382" s="544" cm="1">
        <f t="array" ref="B382">IF(B381=0,0,IF(B381&lt;VLOOKUP(C370,'Boats Data Sheet 2026'!$C$3:$H$57,6,0),B381+1,0))</f>
        <v>10</v>
      </c>
      <c r="C382" s="538" cm="1">
        <f t="array" ref="C382">IF(B382&gt;0,IF(VLOOKUP(C370,'Boats Data Sheet 2026'!$C$3:$J$57,8,0)="N/A",0,VLOOKUP(C370,'Boats Data Sheet 2026'!$C$3:$J$57,8,0)),"N/A")</f>
        <v>8000000</v>
      </c>
      <c r="D382" s="545" cm="1">
        <f t="array" ref="D382">IF(B382&gt;7,2,IF(B382=0,"N/A",1))</f>
        <v>2</v>
      </c>
      <c r="E382" s="538" cm="1">
        <f t="array" ref="E382">_xlfn.IFERROR(SUM('Direct Costs 2026'!$C$4:$C$5)*D382,"N/A")</f>
        <v>1751000</v>
      </c>
      <c r="F382" s="538" cm="1">
        <f t="array" ref="F382">_xlfn.IFERROR('Direct Costs 2026'!$C$43*B382,"N/A")</f>
        <v>60000</v>
      </c>
      <c r="G382" s="538" cm="1">
        <f t="array" ref="G382">IF(B382&gt;0,'Direct Costs 2026'!$C$25,"N/A")</f>
        <v>90000</v>
      </c>
      <c r="H382" s="538" cm="1">
        <f t="array" ref="H382">IF(B382&gt;0,'Direct Costs 2026'!$C$19+'Direct Costs 2026'!$C$18*B382,"N/A")</f>
        <v>425000</v>
      </c>
      <c r="I382" s="538" cm="1">
        <f t="array" ref="I382">IF(B382&gt;0,SUM('Direct Costs 2026'!$C$20:$C$21),"N/A")</f>
        <v>98333.3333333333</v>
      </c>
      <c r="J382" s="538">
        <v>0</v>
      </c>
      <c r="K382" s="538" cm="1">
        <f t="array" ref="K382">_xlfn.IFERROR((IF(B382&gt;0,'Direct Costs 2026'!$C$15+'Direct Costs 2026'!$C$14,"N/A")),"N/A")</f>
        <v>230000</v>
      </c>
      <c r="L382" s="538" cm="1">
        <f t="array" ref="L382">IF(B382&gt;0,'Direct Costs 2026'!$C$26,"N/A")</f>
        <v>20000</v>
      </c>
      <c r="M382" s="538" cm="1">
        <f t="array" ref="M382">IF(B382&gt;0,'Direct Costs 2026'!$C$23,"N/A")</f>
        <v>140000</v>
      </c>
      <c r="N382" s="538" cm="1">
        <f t="array" ref="N382">IF(B382&gt;0,'Direct Costs 2026'!$C$44*B382,"N/A")</f>
        <v>1100000</v>
      </c>
      <c r="O382" t="str" s="547" cm="1">
        <f t="array" ref="O382">IF(B382&gt;0,_xlfn.IFERROR(VLOOKUP(C370,'Boats Data Sheet 2026'!$C$3:$I$57,7,0)*'Direct Costs 2026'!$C$36,"N/A"),"N/A")</f>
        <v>N/A</v>
      </c>
      <c r="P382" t="str" s="547" cm="1">
        <f t="array" ref="P382">IF(B382&gt;0,IF(OR(VLOOKUP(C370,'Boats Data Sheet 2026'!$C$3:$F$57,4,0)="Own",VLOOKUP(C370,'Boats Data Sheet 2026'!$C$3:$F$57,4,0)="Management"),('Direct Costs 2026'!$C$37+'Direct Costs 2026'!$C$39),"N/A"),"N/A")</f>
        <v>N/A</v>
      </c>
      <c r="Q382" s="538" cm="1">
        <f t="array" ref="Q382">_xlfn.IFERROR(IF(B382&gt;5,IF(B382&gt;11,IF(B382&gt;15,4,3),2),IF(B382=0,"N/A",1))*SUM('Direct Costs 2026'!$C$67:$C$68),"N/A")</f>
        <v>979200</v>
      </c>
      <c r="R382" s="538" cm="1">
        <f t="array" ref="R382">_xlfn.IFERROR('Direct Costs 2026'!$C$27*C382,"N/A")</f>
        <v>160000</v>
      </c>
      <c r="S382" s="538" cm="1">
        <f t="array" ref="S382">_xlfn.IFERROR(C382+SUM(E382:R382),"N/A")</f>
        <v>13053533.3333333</v>
      </c>
      <c r="T382" s="424"/>
      <c r="U382" s="538" cm="1">
        <f t="array" ref="U382">IF(B382&gt;0,'Allocation OH and Target 2026'!$E$27,"N/A")</f>
        <v>2134447.30345641</v>
      </c>
      <c r="V382" s="538" cm="1">
        <f t="array" ref="V382">IF(B382&gt;0,'Allocation OH and Target 2026'!$E$28,"N/A")</f>
        <v>200042.323056976</v>
      </c>
      <c r="W382" s="538" cm="1">
        <f t="array" ref="W382">IF(B382&gt;0,VLOOKUP(C370,'Allocation OH and Target 2026'!$C$3:$T$23,17,0),"N/A")</f>
        <v>0</v>
      </c>
      <c r="X382" s="538" cm="1">
        <f t="array" ref="X382">IF(B382&gt;0,VLOOKUP(C370,'Allocation OH and Target 2026'!$C$3:$T$23,18,0),"N/A")</f>
        <v>0</v>
      </c>
      <c r="Y382" s="538" cm="1">
        <f t="array" ref="Y382">_xlfn.IFERROR(B382*(V382+X382),"N/A")</f>
        <v>2000423.23056976</v>
      </c>
      <c r="Z382" s="424"/>
      <c r="AA382" s="538" cm="1">
        <f t="array" ref="AA382">_xlfn.IFERROR(Y382+S382,"N/A")</f>
        <v>15053956.5639031</v>
      </c>
      <c r="AB382" s="538" cm="1">
        <f t="array" ref="AB382">_xlfn.IFERROR(AA382*0.5%,"N/A")</f>
        <v>75269.7828195155</v>
      </c>
      <c r="AC382" s="538" cm="1">
        <f t="array" ref="AC382">_xlfn.IFERROR(AA382*25%,"N/A")</f>
        <v>3763489.14097578</v>
      </c>
      <c r="AD382" s="539" cm="1">
        <f t="array" ref="AD382">IF(B382&gt;0,SUM(AA382:AC382),"N/A")</f>
        <v>18892715.4876984</v>
      </c>
      <c r="AE382" s="538" cm="1">
        <f t="array" ref="AE382">_xlfn.IFERROR(AD382/B382,"N/A")</f>
        <v>1889271.54876984</v>
      </c>
      <c r="AF382" s="424"/>
      <c r="AG382" t="str" s="546" cm="1">
        <f t="array" ref="AG382">IF(B382/VLOOKUP(C370,'Boats Data Sheet 2026'!$C$3:$H$57,6,0)&gt;VLOOKUP(C370,'Allocation OH and Target 2026'!$C$3:$J$23,8,0),IF(SUM(AH372:AH381)=0,AE382,"N/A"),"N/A")</f>
        <v>N/A</v>
      </c>
      <c r="AH382" s="424" cm="1">
        <f t="array" ref="AH382">IF(AG382="N/A",0,1)</f>
        <v>0</v>
      </c>
      <c r="AI382" t="str" s="547" cm="1">
        <f t="array" ref="AI382">IF(B382/VLOOKUP(C370,'Boats Data Sheet 2026'!$C$3:$H$57,6,0)&gt;VLOOKUP(C370,'Allocation OH and Target 2026'!$C$3:$J$23,8,0),IF(SUM(AH372:AH381)=0,S382/B382,"N/A"),"N/A")</f>
        <v>N/A</v>
      </c>
      <c r="AJ382" s="424" cm="1">
        <f t="array" ref="AJ382">IF(AI382="N/A",0,1)</f>
        <v>0</v>
      </c>
      <c r="AK382" t="str" s="527" cm="1">
        <f t="array" ref="AK382">IF(SUM($AG$120:$AG$137)*B382&lt;SUM(AA382:AB382),"NO GO","GO")</f>
        <v>NO GO</v>
      </c>
      <c r="AL382" s="424"/>
      <c r="AM382" s="538"/>
      <c r="AN382" s="538"/>
      <c r="AO382" s="538"/>
      <c r="AP382" s="542"/>
      <c r="AQ382" s="543" cm="1">
        <f t="array" ref="AQ382">B382</f>
        <v>10</v>
      </c>
      <c r="AR382" s="18"/>
    </row>
    <row r="383" ht="16" customHeight="1">
      <c r="A383" s="12"/>
      <c r="B383" s="544" cm="1">
        <f t="array" ref="B383">IF(B382=0,0,IF(B382&lt;VLOOKUP(C370,'Boats Data Sheet 2026'!$C$3:$H$57,6,0),B382+1,0))</f>
        <v>11</v>
      </c>
      <c r="C383" s="538" cm="1">
        <f t="array" ref="C383">IF(B383&gt;0,IF(VLOOKUP(C370,'Boats Data Sheet 2026'!$C$3:$J$57,8,0)="N/A",0,VLOOKUP(C370,'Boats Data Sheet 2026'!$C$3:$J$57,8,0)),"N/A")</f>
        <v>8000000</v>
      </c>
      <c r="D383" s="545" cm="1">
        <f t="array" ref="D383">IF(B383&gt;7,2,IF(B383=0,"N/A",1))</f>
        <v>2</v>
      </c>
      <c r="E383" s="538" cm="1">
        <f t="array" ref="E383">_xlfn.IFERROR(SUM('Direct Costs 2026'!$C$4:$C$5)*D383,"N/A")</f>
        <v>1751000</v>
      </c>
      <c r="F383" s="538" cm="1">
        <f t="array" ref="F383">_xlfn.IFERROR('Direct Costs 2026'!$C$43*B383,"N/A")</f>
        <v>66000</v>
      </c>
      <c r="G383" s="538" cm="1">
        <f t="array" ref="G383">IF(B383&gt;0,'Direct Costs 2026'!$C$25,"N/A")</f>
        <v>90000</v>
      </c>
      <c r="H383" s="538" cm="1">
        <f t="array" ref="H383">IF(B383&gt;0,'Direct Costs 2026'!$C$19+'Direct Costs 2026'!$C$18*B383,"N/A")</f>
        <v>460000</v>
      </c>
      <c r="I383" s="538" cm="1">
        <f t="array" ref="I383">IF(B383&gt;0,SUM('Direct Costs 2026'!$C$20:$C$21),"N/A")</f>
        <v>98333.3333333333</v>
      </c>
      <c r="J383" s="538">
        <v>0</v>
      </c>
      <c r="K383" s="538" cm="1">
        <f t="array" ref="K383">_xlfn.IFERROR((IF(B383&gt;0,'Direct Costs 2026'!$C$15+'Direct Costs 2026'!$C$14,"N/A")),"N/A")</f>
        <v>230000</v>
      </c>
      <c r="L383" s="538" cm="1">
        <f t="array" ref="L383">IF(B383&gt;0,'Direct Costs 2026'!$C$26,"N/A")</f>
        <v>20000</v>
      </c>
      <c r="M383" s="538" cm="1">
        <f t="array" ref="M383">IF(B383&gt;0,'Direct Costs 2026'!$C$23,"N/A")</f>
        <v>140000</v>
      </c>
      <c r="N383" s="538" cm="1">
        <f t="array" ref="N383">IF(B383&gt;0,'Direct Costs 2026'!$C$44*B383,"N/A")</f>
        <v>1210000</v>
      </c>
      <c r="O383" t="str" s="547" cm="1">
        <f t="array" ref="O383">IF(B383&gt;0,_xlfn.IFERROR(VLOOKUP(C370,'Boats Data Sheet 2026'!$C$3:$I$57,7,0)*'Direct Costs 2026'!$C$36,"N/A"),"N/A")</f>
        <v>N/A</v>
      </c>
      <c r="P383" t="str" s="547" cm="1">
        <f t="array" ref="P383">IF(B383&gt;0,IF(OR(VLOOKUP(C370,'Boats Data Sheet 2026'!$C$3:$F$57,4,0)="Own",VLOOKUP(C370,'Boats Data Sheet 2026'!$C$3:$F$57,4,0)="Management"),('Direct Costs 2026'!$C$37+'Direct Costs 2026'!$C$39),"N/A"),"N/A")</f>
        <v>N/A</v>
      </c>
      <c r="Q383" s="538" cm="1">
        <f t="array" ref="Q383">_xlfn.IFERROR(IF(B383&gt;5,IF(B383&gt;11,IF(B383&gt;15,4,3),2),IF(B383=0,"N/A",1))*SUM('Direct Costs 2026'!$C$67:$C$68),"N/A")</f>
        <v>979200</v>
      </c>
      <c r="R383" s="538" cm="1">
        <f t="array" ref="R383">_xlfn.IFERROR('Direct Costs 2026'!$C$27*C383,"N/A")</f>
        <v>160000</v>
      </c>
      <c r="S383" s="538" cm="1">
        <f t="array" ref="S383">_xlfn.IFERROR(C383+SUM(E383:R383),"N/A")</f>
        <v>13204533.3333333</v>
      </c>
      <c r="T383" s="424"/>
      <c r="U383" s="538" cm="1">
        <f t="array" ref="U383">IF(B383&gt;0,'Allocation OH and Target 2026'!$E$27,"N/A")</f>
        <v>2134447.30345641</v>
      </c>
      <c r="V383" s="538" cm="1">
        <f t="array" ref="V383">IF(B383&gt;0,'Allocation OH and Target 2026'!$E$28,"N/A")</f>
        <v>200042.323056976</v>
      </c>
      <c r="W383" s="538" cm="1">
        <f t="array" ref="W383">IF(B383&gt;0,VLOOKUP(C370,'Allocation OH and Target 2026'!$C$3:$T$23,17,0),"N/A")</f>
        <v>0</v>
      </c>
      <c r="X383" s="538" cm="1">
        <f t="array" ref="X383">IF(B383&gt;0,VLOOKUP(C370,'Allocation OH and Target 2026'!$C$3:$T$23,18,0),"N/A")</f>
        <v>0</v>
      </c>
      <c r="Y383" s="538" cm="1">
        <f t="array" ref="Y383">_xlfn.IFERROR(B383*(V383+X383),"N/A")</f>
        <v>2200465.55362674</v>
      </c>
      <c r="Z383" s="424"/>
      <c r="AA383" s="538" cm="1">
        <f t="array" ref="AA383">_xlfn.IFERROR(Y383+S383,"N/A")</f>
        <v>15404998.88696</v>
      </c>
      <c r="AB383" s="538" cm="1">
        <f t="array" ref="AB383">_xlfn.IFERROR(AA383*0.5%,"N/A")</f>
        <v>77024.9944348</v>
      </c>
      <c r="AC383" s="538" cm="1">
        <f t="array" ref="AC383">_xlfn.IFERROR(AA383*25%,"N/A")</f>
        <v>3851249.72174</v>
      </c>
      <c r="AD383" s="539" cm="1">
        <f t="array" ref="AD383">IF(B383&gt;0,SUM(AA383:AC383),"N/A")</f>
        <v>19333273.6031348</v>
      </c>
      <c r="AE383" s="538" cm="1">
        <f t="array" ref="AE383">_xlfn.IFERROR(AD383/B383,"N/A")</f>
        <v>1757570.32755771</v>
      </c>
      <c r="AF383" s="424"/>
      <c r="AG383" s="539" cm="1">
        <f t="array" ref="AG383">IF(B383/VLOOKUP(C370,'Boats Data Sheet 2026'!$C$3:$H$57,6,0)&gt;VLOOKUP(C370,'Allocation OH and Target 2026'!$C$3:$J$23,8,0),IF(SUM(AH372:AH382)=0,AE383,"N/A"),"N/A")</f>
        <v>1757570.32755771</v>
      </c>
      <c r="AH383" s="424" cm="1">
        <f t="array" ref="AH383">IF(AG383="N/A",0,1)</f>
        <v>1</v>
      </c>
      <c r="AI383" s="538" cm="1">
        <f t="array" ref="AI383">IF(B383/VLOOKUP(C370,'Boats Data Sheet 2026'!$C$3:$H$57,6,0)&gt;VLOOKUP(C370,'Allocation OH and Target 2026'!$C$3:$J$23,8,0),IF(SUM(AH372:AH382)=0,S383/B383,"N/A"),"N/A")</f>
        <v>1200412.12121212</v>
      </c>
      <c r="AJ383" s="424" cm="1">
        <f t="array" ref="AJ383">IF(AI383="N/A",0,1)</f>
        <v>1</v>
      </c>
      <c r="AK383" t="str" s="527" cm="1">
        <f t="array" ref="AK383">IF(SUM($AG$120:$AG$137)*B383&lt;SUM(AA383:AB383),"NO GO","GO")</f>
        <v>GO</v>
      </c>
      <c r="AL383" s="424"/>
      <c r="AM383" s="538"/>
      <c r="AN383" s="538"/>
      <c r="AO383" s="538"/>
      <c r="AP383" s="542"/>
      <c r="AQ383" s="543" cm="1">
        <f t="array" ref="AQ383">B383</f>
        <v>11</v>
      </c>
      <c r="AR383" s="18"/>
    </row>
    <row r="384" ht="16" customHeight="1">
      <c r="A384" s="12"/>
      <c r="B384" s="544" cm="1">
        <f t="array" ref="B384">IF(B383=0,0,IF(B383&lt;VLOOKUP(C370,'Boats Data Sheet 2026'!$C$3:$H$57,6,0),B383+1,0))</f>
        <v>12</v>
      </c>
      <c r="C384" s="538" cm="1">
        <f t="array" ref="C384">IF(B384&gt;0,IF(VLOOKUP(C370,'Boats Data Sheet 2026'!$C$3:$J$57,8,0)="N/A",0,VLOOKUP(C370,'Boats Data Sheet 2026'!$C$3:$J$57,8,0)),"N/A")</f>
        <v>8000000</v>
      </c>
      <c r="D384" s="545" cm="1">
        <f t="array" ref="D384">IF(B384&gt;7,2,IF(B384=0,"N/A",1))</f>
        <v>2</v>
      </c>
      <c r="E384" s="538" cm="1">
        <f t="array" ref="E384">_xlfn.IFERROR(SUM('Direct Costs 2026'!$C$4:$C$5)*D384,"N/A")</f>
        <v>1751000</v>
      </c>
      <c r="F384" s="538" cm="1">
        <f t="array" ref="F384">_xlfn.IFERROR('Direct Costs 2026'!$C$43*B384,"N/A")</f>
        <v>72000</v>
      </c>
      <c r="G384" s="538" cm="1">
        <f t="array" ref="G384">IF(B384&gt;0,'Direct Costs 2026'!$C$25,"N/A")</f>
        <v>90000</v>
      </c>
      <c r="H384" s="538" cm="1">
        <f t="array" ref="H384">IF(B384&gt;0,'Direct Costs 2026'!$C$19+'Direct Costs 2026'!$C$18*B384,"N/A")</f>
        <v>495000</v>
      </c>
      <c r="I384" s="538" cm="1">
        <f t="array" ref="I384">IF(B384&gt;0,SUM('Direct Costs 2026'!$C$20:$C$21),"N/A")</f>
        <v>98333.3333333333</v>
      </c>
      <c r="J384" s="538">
        <v>0</v>
      </c>
      <c r="K384" s="538" cm="1">
        <f t="array" ref="K384">_xlfn.IFERROR((IF(B384&gt;0,'Direct Costs 2026'!$C$15+'Direct Costs 2026'!$C$14,"N/A")),"N/A")</f>
        <v>230000</v>
      </c>
      <c r="L384" s="538" cm="1">
        <f t="array" ref="L384">IF(B384&gt;0,'Direct Costs 2026'!$C$26,"N/A")</f>
        <v>20000</v>
      </c>
      <c r="M384" s="538" cm="1">
        <f t="array" ref="M384">IF(B384&gt;0,'Direct Costs 2026'!$C$23,"N/A")</f>
        <v>140000</v>
      </c>
      <c r="N384" s="538" cm="1">
        <f t="array" ref="N384">IF(B384&gt;0,'Direct Costs 2026'!$C$44*B384,"N/A")</f>
        <v>1320000</v>
      </c>
      <c r="O384" t="str" s="547" cm="1">
        <f t="array" ref="O384">IF(B384&gt;0,_xlfn.IFERROR(VLOOKUP(C370,'Boats Data Sheet 2026'!$C$3:$I$57,7,0)*'Direct Costs 2026'!$C$36,"N/A"),"N/A")</f>
        <v>N/A</v>
      </c>
      <c r="P384" t="str" s="547" cm="1">
        <f t="array" ref="P384">IF(B384&gt;0,IF(OR(VLOOKUP(C370,'Boats Data Sheet 2026'!$C$3:$F$57,4,0)="Own",VLOOKUP(C370,'Boats Data Sheet 2026'!$C$3:$F$57,4,0)="Management"),('Direct Costs 2026'!$C$37+'Direct Costs 2026'!$C$39),"N/A"),"N/A")</f>
        <v>N/A</v>
      </c>
      <c r="Q384" s="538" cm="1">
        <f t="array" ref="Q384">_xlfn.IFERROR(IF(B384&gt;5,IF(B384&gt;11,IF(B384&gt;15,4,3),2),IF(B384=0,"N/A",1))*SUM('Direct Costs 2026'!$C$67:$C$68),"N/A")</f>
        <v>1468800</v>
      </c>
      <c r="R384" s="538" cm="1">
        <f t="array" ref="R384">_xlfn.IFERROR('Direct Costs 2026'!$C$27*C384,"N/A")</f>
        <v>160000</v>
      </c>
      <c r="S384" s="538" cm="1">
        <f t="array" ref="S384">_xlfn.IFERROR(C384+SUM(E384:R384),"N/A")</f>
        <v>13845133.3333333</v>
      </c>
      <c r="T384" s="424"/>
      <c r="U384" s="538" cm="1">
        <f t="array" ref="U384">IF(B384&gt;0,'Allocation OH and Target 2026'!$E$27,"N/A")</f>
        <v>2134447.30345641</v>
      </c>
      <c r="V384" s="538" cm="1">
        <f t="array" ref="V384">IF(B384&gt;0,'Allocation OH and Target 2026'!$E$28,"N/A")</f>
        <v>200042.323056976</v>
      </c>
      <c r="W384" s="538" cm="1">
        <f t="array" ref="W384">IF(B384&gt;0,VLOOKUP(C370,'Allocation OH and Target 2026'!$C$3:$T$23,17,0),"N/A")</f>
        <v>0</v>
      </c>
      <c r="X384" s="538" cm="1">
        <f t="array" ref="X384">IF(B384&gt;0,VLOOKUP(C370,'Allocation OH and Target 2026'!$C$3:$T$23,18,0),"N/A")</f>
        <v>0</v>
      </c>
      <c r="Y384" s="538" cm="1">
        <f t="array" ref="Y384">_xlfn.IFERROR(B384*(V384+X384),"N/A")</f>
        <v>2400507.87668371</v>
      </c>
      <c r="Z384" s="424"/>
      <c r="AA384" s="538" cm="1">
        <f t="array" ref="AA384">_xlfn.IFERROR(Y384+S384,"N/A")</f>
        <v>16245641.210017</v>
      </c>
      <c r="AB384" s="538" cm="1">
        <f t="array" ref="AB384">_xlfn.IFERROR(AA384*0.5%,"N/A")</f>
        <v>81228.206050085006</v>
      </c>
      <c r="AC384" s="538" cm="1">
        <f t="array" ref="AC384">_xlfn.IFERROR(AA384*25%,"N/A")</f>
        <v>4061410.30250425</v>
      </c>
      <c r="AD384" s="539" cm="1">
        <f t="array" ref="AD384">IF(B384&gt;0,SUM(AA384:AC384),"N/A")</f>
        <v>20388279.7185713</v>
      </c>
      <c r="AE384" s="538" cm="1">
        <f t="array" ref="AE384">_xlfn.IFERROR(AD384/B384,"N/A")</f>
        <v>1699023.30988094</v>
      </c>
      <c r="AF384" s="424"/>
      <c r="AG384" t="str" s="546" cm="1">
        <f t="array" ref="AG384">IF(B384/VLOOKUP(C370,'Boats Data Sheet 2026'!$C$3:$H$57,6,0)&gt;VLOOKUP(C370,'Allocation OH and Target 2026'!$C$3:$J$23,8,0),IF(SUM(AH372:AH383)=0,AE384,"N/A"),"N/A")</f>
        <v>N/A</v>
      </c>
      <c r="AH384" s="424" cm="1">
        <f t="array" ref="AH384">IF(AG384="N/A",0,1)</f>
        <v>0</v>
      </c>
      <c r="AI384" t="str" s="547" cm="1">
        <f t="array" ref="AI384">IF(B384/VLOOKUP(C370,'Boats Data Sheet 2026'!$C$3:$H$57,6,0)&gt;VLOOKUP(C370,'Allocation OH and Target 2026'!$C$3:$J$23,8,0),IF(SUM(AH372:AH383)=0,S384/B384,"N/A"),"N/A")</f>
        <v>N/A</v>
      </c>
      <c r="AJ384" s="424" cm="1">
        <f t="array" ref="AJ384">IF(AI384="N/A",0,1)</f>
        <v>0</v>
      </c>
      <c r="AK384" t="str" s="527" cm="1">
        <f t="array" ref="AK384">IF(SUM($AG$120:$AG$137)*B384&lt;SUM(AA384:AB384),"NO GO","GO")</f>
        <v>GO</v>
      </c>
      <c r="AL384" s="424"/>
      <c r="AM384" s="538"/>
      <c r="AN384" s="538"/>
      <c r="AO384" s="538"/>
      <c r="AP384" s="542"/>
      <c r="AQ384" s="543" cm="1">
        <f t="array" ref="AQ384">B384</f>
        <v>12</v>
      </c>
      <c r="AR384" s="18"/>
    </row>
    <row r="385" ht="16" customHeight="1">
      <c r="A385" s="12"/>
      <c r="B385" s="544" cm="1">
        <f t="array" ref="B385">IF(B384=0,0,IF(B384&lt;VLOOKUP(C370,'Boats Data Sheet 2026'!$C$3:$H$57,6,0),B384+1,0))</f>
        <v>13</v>
      </c>
      <c r="C385" s="538" cm="1">
        <f t="array" ref="C385">IF(B385&gt;0,IF(VLOOKUP(C370,'Boats Data Sheet 2026'!$C$3:$J$57,8,0)="N/A",0,VLOOKUP(C370,'Boats Data Sheet 2026'!$C$3:$J$57,8,0)),"N/A")</f>
        <v>8000000</v>
      </c>
      <c r="D385" s="545" cm="1">
        <f t="array" ref="D385">IF(B385&gt;7,2,IF(B385=0,"N/A",1))</f>
        <v>2</v>
      </c>
      <c r="E385" s="538" cm="1">
        <f t="array" ref="E385">_xlfn.IFERROR(SUM('Direct Costs 2026'!$C$4:$C$5)*D385,"N/A")</f>
        <v>1751000</v>
      </c>
      <c r="F385" s="538" cm="1">
        <f t="array" ref="F385">_xlfn.IFERROR('Direct Costs 2026'!$C$43*B385,"N/A")</f>
        <v>78000</v>
      </c>
      <c r="G385" s="538" cm="1">
        <f t="array" ref="G385">IF(B385&gt;0,'Direct Costs 2026'!$C$25,"N/A")</f>
        <v>90000</v>
      </c>
      <c r="H385" s="538" cm="1">
        <f t="array" ref="H385">IF(B385&gt;0,'Direct Costs 2026'!$C$19+'Direct Costs 2026'!$C$18*B385,"N/A")</f>
        <v>530000</v>
      </c>
      <c r="I385" s="538" cm="1">
        <f t="array" ref="I385">IF(B385&gt;0,SUM('Direct Costs 2026'!$C$20:$C$21),"N/A")</f>
        <v>98333.3333333333</v>
      </c>
      <c r="J385" s="538">
        <v>0</v>
      </c>
      <c r="K385" s="538" cm="1">
        <f t="array" ref="K385">_xlfn.IFERROR((IF(B385&gt;0,'Direct Costs 2026'!$C$15+'Direct Costs 2026'!$C$14,"N/A")),"N/A")</f>
        <v>230000</v>
      </c>
      <c r="L385" s="538" cm="1">
        <f t="array" ref="L385">IF(B385&gt;0,'Direct Costs 2026'!$C$26,"N/A")</f>
        <v>20000</v>
      </c>
      <c r="M385" s="538" cm="1">
        <f t="array" ref="M385">IF(B385&gt;0,'Direct Costs 2026'!$C$23,"N/A")</f>
        <v>140000</v>
      </c>
      <c r="N385" s="538" cm="1">
        <f t="array" ref="N385">IF(B385&gt;0,'Direct Costs 2026'!$C$44*B385,"N/A")</f>
        <v>1430000</v>
      </c>
      <c r="O385" t="str" s="547" cm="1">
        <f t="array" ref="O385">IF(B385&gt;0,_xlfn.IFERROR(VLOOKUP(C370,'Boats Data Sheet 2026'!$C$3:$I$57,7,0)*'Direct Costs 2026'!$C$36,"N/A"),"N/A")</f>
        <v>N/A</v>
      </c>
      <c r="P385" t="str" s="547" cm="1">
        <f t="array" ref="P385">IF(B385&gt;0,IF(OR(VLOOKUP(C370,'Boats Data Sheet 2026'!$C$3:$F$57,4,0)="Own",VLOOKUP(C370,'Boats Data Sheet 2026'!$C$3:$F$57,4,0)="Management"),('Direct Costs 2026'!$C$37+'Direct Costs 2026'!$C$39),"N/A"),"N/A")</f>
        <v>N/A</v>
      </c>
      <c r="Q385" s="538" cm="1">
        <f t="array" ref="Q385">_xlfn.IFERROR(IF(B385&gt;5,IF(B385&gt;11,IF(B385&gt;15,4,3),2),IF(B385=0,"N/A",1))*SUM('Direct Costs 2026'!$C$67:$C$68),"N/A")</f>
        <v>1468800</v>
      </c>
      <c r="R385" s="538" cm="1">
        <f t="array" ref="R385">_xlfn.IFERROR('Direct Costs 2026'!$C$27*C385,"N/A")</f>
        <v>160000</v>
      </c>
      <c r="S385" s="538" cm="1">
        <f t="array" ref="S385">_xlfn.IFERROR(C385+SUM(E385:R385),"N/A")</f>
        <v>13996133.3333333</v>
      </c>
      <c r="T385" s="424"/>
      <c r="U385" s="538" cm="1">
        <f t="array" ref="U385">IF(B385&gt;0,'Allocation OH and Target 2026'!$E$27,"N/A")</f>
        <v>2134447.30345641</v>
      </c>
      <c r="V385" s="538" cm="1">
        <f t="array" ref="V385">IF(B385&gt;0,'Allocation OH and Target 2026'!$E$28,"N/A")</f>
        <v>200042.323056976</v>
      </c>
      <c r="W385" s="538" cm="1">
        <f t="array" ref="W385">IF(B385&gt;0,VLOOKUP(C370,'Allocation OH and Target 2026'!$C$3:$T$23,17,0),"N/A")</f>
        <v>0</v>
      </c>
      <c r="X385" s="538" cm="1">
        <f t="array" ref="X385">IF(B385&gt;0,VLOOKUP(C370,'Allocation OH and Target 2026'!$C$3:$T$23,18,0),"N/A")</f>
        <v>0</v>
      </c>
      <c r="Y385" s="538" cm="1">
        <f t="array" ref="Y385">_xlfn.IFERROR(B385*(V385+X385),"N/A")</f>
        <v>2600550.19974069</v>
      </c>
      <c r="Z385" s="424"/>
      <c r="AA385" s="538" cm="1">
        <f t="array" ref="AA385">_xlfn.IFERROR(Y385+S385,"N/A")</f>
        <v>16596683.533074</v>
      </c>
      <c r="AB385" s="538" cm="1">
        <f t="array" ref="AB385">_xlfn.IFERROR(AA385*0.5%,"N/A")</f>
        <v>82983.41766537</v>
      </c>
      <c r="AC385" s="538" cm="1">
        <f t="array" ref="AC385">_xlfn.IFERROR(AA385*25%,"N/A")</f>
        <v>4149170.8832685</v>
      </c>
      <c r="AD385" s="539" cm="1">
        <f t="array" ref="AD385">IF(B385&gt;0,SUM(AA385:AC385),"N/A")</f>
        <v>20828837.8340079</v>
      </c>
      <c r="AE385" s="538" cm="1">
        <f t="array" ref="AE385">_xlfn.IFERROR(AD385/B385,"N/A")</f>
        <v>1602218.29492368</v>
      </c>
      <c r="AF385" s="424"/>
      <c r="AG385" t="str" s="546" cm="1">
        <f t="array" ref="AG385">IF(B385/VLOOKUP(C370,'Boats Data Sheet 2026'!$C$3:$H$57,6,0)&gt;VLOOKUP(C370,'Allocation OH and Target 2026'!$C$3:$J$23,8,0),IF(SUM(AH372:AH384)=0,AE385,"N/A"),"N/A")</f>
        <v>N/A</v>
      </c>
      <c r="AH385" s="424" cm="1">
        <f t="array" ref="AH385">IF(AG385="N/A",0,1)</f>
        <v>0</v>
      </c>
      <c r="AI385" t="str" s="547" cm="1">
        <f t="array" ref="AI385">IF(B385/VLOOKUP(C370,'Boats Data Sheet 2026'!$C$3:$H$57,6,0)&gt;VLOOKUP(C370,'Allocation OH and Target 2026'!$C$3:$J$23,8,0),IF(SUM(AH372:AH384)=0,S385/B385,"N/A"),"N/A")</f>
        <v>N/A</v>
      </c>
      <c r="AJ385" s="424" cm="1">
        <f t="array" ref="AJ385">IF(AI385="N/A",0,1)</f>
        <v>0</v>
      </c>
      <c r="AK385" t="str" s="527" cm="1">
        <f t="array" ref="AK385">IF(SUM($AG$120:$AG$137)*B385&lt;SUM(AA385:AB385),"NO GO","GO")</f>
        <v>GO</v>
      </c>
      <c r="AL385" s="424"/>
      <c r="AM385" s="538"/>
      <c r="AN385" s="538"/>
      <c r="AO385" s="538"/>
      <c r="AP385" s="542"/>
      <c r="AQ385" s="543" cm="1">
        <f t="array" ref="AQ385">B385</f>
        <v>13</v>
      </c>
      <c r="AR385" s="18"/>
    </row>
    <row r="386" ht="16" customHeight="1">
      <c r="A386" s="12"/>
      <c r="B386" s="544" cm="1">
        <f t="array" ref="B386">IF(B385=0,0,IF(B385&lt;VLOOKUP(C370,'Boats Data Sheet 2026'!$C$3:$H$57,6,0),B385+1,0))</f>
        <v>0</v>
      </c>
      <c r="C386" t="str" s="547" cm="1">
        <f t="array" ref="C386">IF(B386&gt;0,IF(VLOOKUP(C370,'Boats Data Sheet 2026'!$C$3:$J$57,8,0)="N/A",0,VLOOKUP(C370,'Boats Data Sheet 2026'!$C$3:$J$57,8,0)),"N/A")</f>
        <v>N/A</v>
      </c>
      <c r="D386" t="str" s="547" cm="1">
        <f t="array" ref="D386">IF(B386&gt;7,2,IF(B386=0,"N/A",1))</f>
        <v>N/A</v>
      </c>
      <c r="E386" t="str" s="547" cm="1">
        <f t="array" ref="E386">_xlfn.IFERROR(SUM('Direct Costs 2026'!$C$4:$C$5)*D386,"N/A")</f>
        <v>N/A</v>
      </c>
      <c r="F386" s="538" cm="1">
        <f t="array" ref="F386">_xlfn.IFERROR('Direct Costs 2026'!$C$43*B386,"N/A")</f>
        <v>0</v>
      </c>
      <c r="G386" t="str" s="547" cm="1">
        <f t="array" ref="G386">IF(B386&gt;0,'Direct Costs 2026'!$C$25,"N/A")</f>
        <v>N/A</v>
      </c>
      <c r="H386" t="str" s="547" cm="1">
        <f t="array" ref="H386">IF(B386&gt;0,'Direct Costs 2026'!$C$19+'Direct Costs 2026'!$C$18*B386,"N/A")</f>
        <v>N/A</v>
      </c>
      <c r="I386" t="str" s="547" cm="1">
        <f t="array" ref="I386">IF(B386&gt;0,SUM('Direct Costs 2026'!$C$20:$C$21),"N/A")</f>
        <v>N/A</v>
      </c>
      <c r="J386" s="538">
        <v>0</v>
      </c>
      <c r="K386" t="str" s="547" cm="1">
        <f t="array" ref="K386">_xlfn.IFERROR((IF(B386&gt;0,'Direct Costs 2026'!$C$15+'Direct Costs 2026'!$C$14,"N/A")),"N/A")</f>
        <v>N/A</v>
      </c>
      <c r="L386" t="str" s="547" cm="1">
        <f t="array" ref="L386">IF(B386&gt;0,'Direct Costs 2026'!$C$26,"N/A")</f>
        <v>N/A</v>
      </c>
      <c r="M386" t="str" s="547" cm="1">
        <f t="array" ref="M386">IF(B386&gt;0,'Direct Costs 2026'!$C$23,"N/A")</f>
        <v>N/A</v>
      </c>
      <c r="N386" t="str" s="547" cm="1">
        <f t="array" ref="N386">IF(B386&gt;0,'Direct Costs 2026'!$C$44*B386,"N/A")</f>
        <v>N/A</v>
      </c>
      <c r="O386" t="str" s="547" cm="1">
        <f t="array" ref="O386">IF(B386&gt;0,_xlfn.IFERROR(VLOOKUP(C370,'Boats Data Sheet 2026'!$C$3:$I$57,7,0)*'Direct Costs 2026'!$C$36,"N/A"),"N/A")</f>
        <v>N/A</v>
      </c>
      <c r="P386" t="str" s="547" cm="1">
        <f t="array" ref="P386">IF(B386&gt;0,IF(OR(VLOOKUP(C370,'Boats Data Sheet 2026'!$C$3:$F$57,4,0)="Own",VLOOKUP(C370,'Boats Data Sheet 2026'!$C$3:$F$57,4,0)="Management"),('Direct Costs 2026'!$C$37+'Direct Costs 2026'!$C$39),"N/A"),"N/A")</f>
        <v>N/A</v>
      </c>
      <c r="Q386" t="str" s="547" cm="1">
        <f t="array" ref="Q386">_xlfn.IFERROR(IF(B386&gt;5,IF(B386&gt;11,IF(B386&gt;15,4,3),2),IF(B386=0,"N/A",1))*SUM('Direct Costs 2026'!$C$67:$C$68),"N/A")</f>
        <v>N/A</v>
      </c>
      <c r="R386" t="str" s="547" cm="1">
        <f t="array" ref="R386">_xlfn.IFERROR('Direct Costs 2026'!$C$27*C386,"N/A")</f>
        <v>N/A</v>
      </c>
      <c r="S386" t="str" s="547" cm="1">
        <f t="array" ref="S386">_xlfn.IFERROR(C386+SUM(E386:R386),"N/A")</f>
        <v>N/A</v>
      </c>
      <c r="T386" s="424"/>
      <c r="U386" t="str" s="547" cm="1">
        <f t="array" ref="U386">IF(B386&gt;0,'Allocation OH and Target 2026'!$E$27,"N/A")</f>
        <v>N/A</v>
      </c>
      <c r="V386" t="str" s="547" cm="1">
        <f t="array" ref="V386">IF(B386&gt;0,'Allocation OH and Target 2026'!$E$28,"N/A")</f>
        <v>N/A</v>
      </c>
      <c r="W386" t="str" s="547" cm="1">
        <f t="array" ref="W386">IF(B386&gt;0,VLOOKUP(C370,'Allocation OH and Target 2026'!$C$3:$T$23,17,0),"N/A")</f>
        <v>N/A</v>
      </c>
      <c r="X386" t="str" s="547" cm="1">
        <f t="array" ref="X386">IF(B386&gt;0,VLOOKUP(C370,'Allocation OH and Target 2026'!$C$3:$T$23,18,0),"N/A")</f>
        <v>N/A</v>
      </c>
      <c r="Y386" t="str" s="547" cm="1">
        <f t="array" ref="Y386">_xlfn.IFERROR(B386*(V386+X386),"N/A")</f>
        <v>N/A</v>
      </c>
      <c r="Z386" s="424"/>
      <c r="AA386" t="str" s="547" cm="1">
        <f t="array" ref="AA386">_xlfn.IFERROR(Y386+S386,"N/A")</f>
        <v>N/A</v>
      </c>
      <c r="AB386" t="str" s="547" cm="1">
        <f t="array" ref="AB386">_xlfn.IFERROR(AA386*0.5%,"N/A")</f>
        <v>N/A</v>
      </c>
      <c r="AC386" t="str" s="547" cm="1">
        <f t="array" ref="AC386">_xlfn.IFERROR(AA386*25%,"N/A")</f>
        <v>N/A</v>
      </c>
      <c r="AD386" t="str" s="546" cm="1">
        <f t="array" ref="AD386">IF(B386&gt;0,SUM(AA386:AC386),"N/A")</f>
        <v>N/A</v>
      </c>
      <c r="AE386" t="str" s="547" cm="1">
        <f t="array" ref="AE386">_xlfn.IFERROR(AD386/B386,"N/A")</f>
        <v>N/A</v>
      </c>
      <c r="AF386" s="424"/>
      <c r="AG386" t="str" s="546" cm="1">
        <f t="array" ref="AG386">IF(B386/VLOOKUP(C370,'Boats Data Sheet 2026'!$C$3:$H$57,6,0)&gt;VLOOKUP(C370,'Allocation OH and Target 2026'!$C$3:$J$23,8,0),IF(SUM(AH372:AH385)=0,AE386,"N/A"),"N/A")</f>
        <v>N/A</v>
      </c>
      <c r="AH386" s="424" cm="1">
        <f t="array" ref="AH386">IF(AG386="N/A",0,1)</f>
        <v>0</v>
      </c>
      <c r="AI386" t="str" s="547" cm="1">
        <f t="array" ref="AI386">IF(B386/VLOOKUP(C370,'Boats Data Sheet 2026'!$C$3:$H$57,6,0)&gt;VLOOKUP(C370,'Allocation OH and Target 2026'!$C$3:$J$23,8,0),IF(SUM(AH372:AH385)=0,S386/B386,"N/A"),"N/A")</f>
        <v>N/A</v>
      </c>
      <c r="AJ386" s="424" cm="1">
        <f t="array" ref="AJ386">IF(AI386="N/A",0,1)</f>
        <v>0</v>
      </c>
      <c r="AK386" t="str" s="527" cm="1">
        <f t="array" ref="AK386">IF(SUM($AG$120:$AG$137)*B386&lt;SUM(AA386:AB386),"NO GO","GO")</f>
        <v>GO</v>
      </c>
      <c r="AL386" s="424"/>
      <c r="AM386" s="538"/>
      <c r="AN386" s="538"/>
      <c r="AO386" s="538"/>
      <c r="AP386" s="542"/>
      <c r="AQ386" s="543" cm="1">
        <f t="array" ref="AQ386">B386</f>
        <v>0</v>
      </c>
      <c r="AR386" s="18"/>
    </row>
    <row r="387" ht="16" customHeight="1">
      <c r="A387" s="12"/>
      <c r="B387" s="544" cm="1">
        <f t="array" ref="B387">IF(B386=0,0,IF(B386&lt;VLOOKUP(C370,'Boats Data Sheet 2026'!$C$3:$H$57,6,0),B386+1,0))</f>
        <v>0</v>
      </c>
      <c r="C387" t="str" s="547" cm="1">
        <f t="array" ref="C387">IF(B387&gt;0,IF(VLOOKUP(C370,'Boats Data Sheet 2026'!$C$3:$J$57,8,0)="N/A",0,VLOOKUP(C370,'Boats Data Sheet 2026'!$C$3:$J$57,8,0)),"N/A")</f>
        <v>N/A</v>
      </c>
      <c r="D387" t="str" s="547" cm="1">
        <f t="array" ref="D387">IF(B387&gt;7,2,IF(B387=0,"N/A",1))</f>
        <v>N/A</v>
      </c>
      <c r="E387" t="str" s="547" cm="1">
        <f t="array" ref="E387">_xlfn.IFERROR(SUM('Direct Costs 2026'!$C$4:$C$5)*D387,"N/A")</f>
        <v>N/A</v>
      </c>
      <c r="F387" s="538" cm="1">
        <f t="array" ref="F387">_xlfn.IFERROR('Direct Costs 2026'!$C$43*B387,"N/A")</f>
        <v>0</v>
      </c>
      <c r="G387" t="str" s="547" cm="1">
        <f t="array" ref="G387">IF(B387&gt;0,'Direct Costs 2026'!$C$25,"N/A")</f>
        <v>N/A</v>
      </c>
      <c r="H387" t="str" s="547" cm="1">
        <f t="array" ref="H387">IF(B387&gt;0,'Direct Costs 2026'!$C$19+'Direct Costs 2026'!$C$18*B387,"N/A")</f>
        <v>N/A</v>
      </c>
      <c r="I387" t="str" s="547" cm="1">
        <f t="array" ref="I387">IF(B387&gt;0,SUM('Direct Costs 2026'!$C$20:$C$21),"N/A")</f>
        <v>N/A</v>
      </c>
      <c r="J387" s="538">
        <v>0</v>
      </c>
      <c r="K387" t="str" s="547" cm="1">
        <f t="array" ref="K387">_xlfn.IFERROR((IF(B387&gt;0,'Direct Costs 2026'!$C$15+'Direct Costs 2026'!$C$14,"N/A")),"N/A")</f>
        <v>N/A</v>
      </c>
      <c r="L387" t="str" s="547" cm="1">
        <f t="array" ref="L387">IF(B387&gt;0,'Direct Costs 2026'!$C$26,"N/A")</f>
        <v>N/A</v>
      </c>
      <c r="M387" t="str" s="547" cm="1">
        <f t="array" ref="M387">IF(B387&gt;0,'Direct Costs 2026'!$C$23,"N/A")</f>
        <v>N/A</v>
      </c>
      <c r="N387" t="str" s="547" cm="1">
        <f t="array" ref="N387">IF(B387&gt;0,'Direct Costs 2026'!$C$44*B387,"N/A")</f>
        <v>N/A</v>
      </c>
      <c r="O387" t="str" s="547" cm="1">
        <f t="array" ref="O387">IF(B387&gt;0,_xlfn.IFERROR(VLOOKUP(C370,'Boats Data Sheet 2026'!$C$3:$I$57,7,0)*'Direct Costs 2026'!$C$36,"N/A"),"N/A")</f>
        <v>N/A</v>
      </c>
      <c r="P387" t="str" s="547" cm="1">
        <f t="array" ref="P387">IF(B387&gt;0,IF(OR(VLOOKUP(C375,'Boats Data Sheet 2026'!$C$3:$F$57,4,0)="Own",VLOOKUP(C375,'Boats Data Sheet 2026'!$C$3:$F$57,4,0)="Management"),('Direct Costs 2026'!$C$37+'Direct Costs 2026'!$C$39),"N/A"),"N/A")</f>
        <v>N/A</v>
      </c>
      <c r="Q387" t="str" s="547" cm="1">
        <f t="array" ref="Q387">_xlfn.IFERROR(IF(B387&gt;5,IF(B387&gt;11,IF(B387&gt;15,4,3),2),IF(B387=0,"N/A",1))*SUM('Direct Costs 2026'!$C$67:$C$68),"N/A")</f>
        <v>N/A</v>
      </c>
      <c r="R387" t="str" s="547" cm="1">
        <f t="array" ref="R387">_xlfn.IFERROR('Direct Costs 2026'!$C$27*C387,"N/A")</f>
        <v>N/A</v>
      </c>
      <c r="S387" t="str" s="547" cm="1">
        <f t="array" ref="S387">_xlfn.IFERROR(C387+SUM(E387:R387),"N/A")</f>
        <v>N/A</v>
      </c>
      <c r="T387" s="424"/>
      <c r="U387" t="str" s="547" cm="1">
        <f t="array" ref="U387">IF(B387&gt;0,'Allocation OH and Target 2026'!$E$27,"N/A")</f>
        <v>N/A</v>
      </c>
      <c r="V387" t="str" s="547" cm="1">
        <f t="array" ref="V387">IF(B387&gt;0,'Allocation OH and Target 2026'!$E$28,"N/A")</f>
        <v>N/A</v>
      </c>
      <c r="W387" t="str" s="547" cm="1">
        <f t="array" ref="W387">IF(B387&gt;0,VLOOKUP(C370,'Allocation OH and Target 2026'!$C$3:$T$23,17,0),"N/A")</f>
        <v>N/A</v>
      </c>
      <c r="X387" t="str" s="547" cm="1">
        <f t="array" ref="X387">IF(B387&gt;0,VLOOKUP(C370,'Allocation OH and Target 2026'!$C$3:$T$23,18,0),"N/A")</f>
        <v>N/A</v>
      </c>
      <c r="Y387" t="str" s="547" cm="1">
        <f t="array" ref="Y387">_xlfn.IFERROR(V387*B387+X387,"N/A")</f>
        <v>N/A</v>
      </c>
      <c r="Z387" s="424"/>
      <c r="AA387" t="str" s="547" cm="1">
        <f t="array" ref="AA387">_xlfn.IFERROR(Y387+S387,"N/A")</f>
        <v>N/A</v>
      </c>
      <c r="AB387" t="str" s="547" cm="1">
        <f t="array" ref="AB387">_xlfn.IFERROR(AA387*0.5%,"N/A")</f>
        <v>N/A</v>
      </c>
      <c r="AC387" t="str" s="547" cm="1">
        <f t="array" ref="AC387">_xlfn.IFERROR(AA387*25%,"N/A")</f>
        <v>N/A</v>
      </c>
      <c r="AD387" t="str" s="546" cm="1">
        <f t="array" ref="AD387">IF(B387&gt;0,SUM(AA387:AC387),"N/A")</f>
        <v>N/A</v>
      </c>
      <c r="AE387" t="str" s="547" cm="1">
        <f t="array" ref="AE387">_xlfn.IFERROR(AD387/B387,"N/A")</f>
        <v>N/A</v>
      </c>
      <c r="AF387" s="424"/>
      <c r="AG387" t="str" s="546" cm="1">
        <f t="array" ref="AG387">IF(B387/VLOOKUP(C370,'Boats Data Sheet 2026'!$C$3:$H$57,6,0)&gt;VLOOKUP(C370,'Allocation OH and Target 2026'!$C$3:$J$23,8,0),IF(SUM(AH372:AH386)=0,AE387,"N/A"),"N/A")</f>
        <v>N/A</v>
      </c>
      <c r="AH387" s="424" cm="1">
        <f t="array" ref="AH387">IF(AG387="N/A",0,1)</f>
        <v>0</v>
      </c>
      <c r="AI387" t="str" s="547" cm="1">
        <f t="array" ref="AI387">IF(B387/VLOOKUP(C370,'Boats Data Sheet 2026'!$C$3:$H$57,6,0)&gt;VLOOKUP(C370,'Allocation OH and Target 2026'!$C$3:$J$23,8,0),IF(SUM(AH372:AH386)=0,S387/B387,"N/A"),"N/A")</f>
        <v>N/A</v>
      </c>
      <c r="AJ387" s="424" cm="1">
        <f t="array" ref="AJ387">IF(AI387="N/A",0,1)</f>
        <v>0</v>
      </c>
      <c r="AK387" t="str" s="527" cm="1">
        <f t="array" ref="AK387">IF(SUM($AG$120:$AG$137)*B387&lt;SUM(AA387:AB387),"NO GO","GO")</f>
        <v>GO</v>
      </c>
      <c r="AL387" s="424"/>
      <c r="AM387" s="538"/>
      <c r="AN387" s="538"/>
      <c r="AO387" s="538"/>
      <c r="AP387" s="542"/>
      <c r="AQ387" s="543" cm="1">
        <f t="array" ref="AQ387">B387</f>
        <v>0</v>
      </c>
      <c r="AR387" s="18"/>
    </row>
    <row r="388" ht="16" customHeight="1">
      <c r="A388" s="12"/>
      <c r="B388" s="544" cm="1">
        <f t="array" ref="B388">IF(B387=0,0,IF(B387&lt;VLOOKUP(C370,'Boats Data Sheet 2026'!$C$3:$H$57,6,0),B387+1,0))</f>
        <v>0</v>
      </c>
      <c r="C388" t="str" s="547" cm="1">
        <f t="array" ref="C388">IF(B388&gt;0,IF(VLOOKUP(C370,'Boats Data Sheet 2026'!$C$3:$J$57,8,0)="N/A",0,VLOOKUP(C370,'Boats Data Sheet 2026'!$C$3:$J$57,8,0)),"N/A")</f>
        <v>N/A</v>
      </c>
      <c r="D388" t="str" s="547" cm="1">
        <f t="array" ref="D388">IF(B388&gt;7,2,IF(B388=0,"N/A",1))</f>
        <v>N/A</v>
      </c>
      <c r="E388" t="str" s="547" cm="1">
        <f t="array" ref="E388">_xlfn.IFERROR(SUM('Direct Costs 2026'!$C$4:$C$5)*D388,"N/A")</f>
        <v>N/A</v>
      </c>
      <c r="F388" s="538" cm="1">
        <f t="array" ref="F388">_xlfn.IFERROR('Direct Costs 2026'!$C$43*B388,"N/A")</f>
        <v>0</v>
      </c>
      <c r="G388" t="str" s="547" cm="1">
        <f t="array" ref="G388">IF(B388&gt;0,'Direct Costs 2026'!$C$25,"N/A")</f>
        <v>N/A</v>
      </c>
      <c r="H388" t="str" s="547" cm="1">
        <f t="array" ref="H388">IF(B388&gt;0,'Direct Costs 2026'!$C$19+'Direct Costs 2026'!$C$18*B388,"N/A")</f>
        <v>N/A</v>
      </c>
      <c r="I388" t="str" s="547" cm="1">
        <f t="array" ref="I388">IF(B388&gt;0,SUM('Direct Costs 2026'!$C$20:$C$21),"N/A")</f>
        <v>N/A</v>
      </c>
      <c r="J388" s="538">
        <v>0</v>
      </c>
      <c r="K388" t="str" s="547" cm="1">
        <f t="array" ref="K388">_xlfn.IFERROR((IF(B388&gt;0,'Direct Costs 2026'!$C$15+'Direct Costs 2026'!$C$14,"N/A")),"N/A")</f>
        <v>N/A</v>
      </c>
      <c r="L388" t="str" s="547" cm="1">
        <f t="array" ref="L388">IF(B388&gt;0,'Direct Costs 2026'!$C$26,"N/A")</f>
        <v>N/A</v>
      </c>
      <c r="M388" t="str" s="547" cm="1">
        <f t="array" ref="M388">IF(B388&gt;0,'Direct Costs 2026'!$C$23,"N/A")</f>
        <v>N/A</v>
      </c>
      <c r="N388" t="str" s="547" cm="1">
        <f t="array" ref="N388">IF(B388&gt;0,'Direct Costs 2026'!$C$44*B388,"N/A")</f>
        <v>N/A</v>
      </c>
      <c r="O388" t="str" s="547" cm="1">
        <f t="array" ref="O388">IF(B388&gt;0,_xlfn.IFERROR(VLOOKUP(C370,'Boats Data Sheet 2026'!$C$3:$I$57,7,0)*'Direct Costs 2026'!$C$36,"N/A"),"N/A")</f>
        <v>N/A</v>
      </c>
      <c r="P388" t="str" s="547" cm="1">
        <f t="array" ref="P388">IF(B388&gt;0,IF(OR(VLOOKUP(C376,'Boats Data Sheet 2026'!$C$3:$F$57,4,0)="Own",VLOOKUP(C376,'Boats Data Sheet 2026'!$C$3:$F$57,4,0)="Management"),('Direct Costs 2026'!$C$37+'Direct Costs 2026'!$C$39),"N/A"),"N/A")</f>
        <v>N/A</v>
      </c>
      <c r="Q388" t="str" s="547" cm="1">
        <f t="array" ref="Q388">_xlfn.IFERROR(IF(B388&gt;5,IF(B388&gt;11,IF(B388&gt;15,4,3),2),IF(B388=0,"N/A",1))*SUM('Direct Costs 2026'!$C$67:$C$68),"N/A")</f>
        <v>N/A</v>
      </c>
      <c r="R388" t="str" s="547" cm="1">
        <f t="array" ref="R388">_xlfn.IFERROR('Direct Costs 2026'!$C$27*C388,"N/A")</f>
        <v>N/A</v>
      </c>
      <c r="S388" t="str" s="547" cm="1">
        <f t="array" ref="S388">_xlfn.IFERROR(C388+SUM(E388:R388),"N/A")</f>
        <v>N/A</v>
      </c>
      <c r="T388" s="424"/>
      <c r="U388" t="str" s="547" cm="1">
        <f t="array" ref="U388">IF(B388&gt;0,'Allocation OH and Target 2026'!$E$27,"N/A")</f>
        <v>N/A</v>
      </c>
      <c r="V388" t="str" s="547" cm="1">
        <f t="array" ref="V388">IF(B388&gt;0,'Allocation OH and Target 2026'!$E$28,"N/A")</f>
        <v>N/A</v>
      </c>
      <c r="W388" t="str" s="547" cm="1">
        <f t="array" ref="W388">IF(B388&gt;0,VLOOKUP(C370,'Allocation OH and Target 2026'!$C$3:$T$23,17,0),"N/A")</f>
        <v>N/A</v>
      </c>
      <c r="X388" t="str" s="547" cm="1">
        <f t="array" ref="X388">IF(B388&gt;0,VLOOKUP(C370,'Allocation OH and Target 2026'!$C$3:$T$23,18,0),"N/A")</f>
        <v>N/A</v>
      </c>
      <c r="Y388" t="str" s="547" cm="1">
        <f t="array" ref="Y388">_xlfn.IFERROR(V388*B388+X388,"N/A")</f>
        <v>N/A</v>
      </c>
      <c r="Z388" s="424"/>
      <c r="AA388" t="str" s="547" cm="1">
        <f t="array" ref="AA388">_xlfn.IFERROR(Y388+S388,"N/A")</f>
        <v>N/A</v>
      </c>
      <c r="AB388" t="str" s="547" cm="1">
        <f t="array" ref="AB388">_xlfn.IFERROR(AA388*0.5%,"N/A")</f>
        <v>N/A</v>
      </c>
      <c r="AC388" t="str" s="547" cm="1">
        <f t="array" ref="AC388">_xlfn.IFERROR(AA388*25%,"N/A")</f>
        <v>N/A</v>
      </c>
      <c r="AD388" t="str" s="546" cm="1">
        <f t="array" ref="AD388">IF(B388&gt;0,SUM(AA388:AC388),"N/A")</f>
        <v>N/A</v>
      </c>
      <c r="AE388" t="str" s="547" cm="1">
        <f t="array" ref="AE388">_xlfn.IFERROR(AD388/B388,"N/A")</f>
        <v>N/A</v>
      </c>
      <c r="AF388" s="424"/>
      <c r="AG388" t="str" s="546" cm="1">
        <f t="array" ref="AG388">IF(B388/VLOOKUP(C370,'Boats Data Sheet 2026'!$C$3:$H$57,6,0)&gt;VLOOKUP(C370,'Allocation OH and Target 2026'!$C$3:$J$23,8,0),IF(SUM(AH372:AH387)=0,AE388,"N/A"),"N/A")</f>
        <v>N/A</v>
      </c>
      <c r="AH388" s="424" cm="1">
        <f t="array" ref="AH388">IF(AG388="N/A",0,1)</f>
        <v>0</v>
      </c>
      <c r="AI388" t="str" s="547" cm="1">
        <f t="array" ref="AI388">IF(B388/VLOOKUP(C370,'Boats Data Sheet 2026'!$C$3:$H$57,6,0)&gt;VLOOKUP(C370,'Allocation OH and Target 2026'!$C$3:$J$23,8,0),IF(SUM(AH372:AH387)=0,S388/B388,"N/A"),"N/A")</f>
        <v>N/A</v>
      </c>
      <c r="AJ388" s="424" cm="1">
        <f t="array" ref="AJ388">IF(AI388="N/A",0,1)</f>
        <v>0</v>
      </c>
      <c r="AK388" t="str" s="527" cm="1">
        <f t="array" ref="AK388">IF(SUM($AG$120:$AG$137)*B388&lt;SUM(AA388:AB388),"NO GO","GO")</f>
        <v>GO</v>
      </c>
      <c r="AL388" s="424"/>
      <c r="AM388" s="538"/>
      <c r="AN388" s="538"/>
      <c r="AO388" s="538"/>
      <c r="AP388" s="542"/>
      <c r="AQ388" s="543" cm="1">
        <f t="array" ref="AQ388">B388</f>
        <v>0</v>
      </c>
      <c r="AR388" s="18"/>
    </row>
    <row r="389" ht="16" customHeight="1">
      <c r="A389" s="12"/>
      <c r="B389" s="544" cm="1">
        <f t="array" ref="B389">IF(B388=0,0,IF(B388&lt;VLOOKUP(C370,'Boats Data Sheet 2026'!$C$3:$H$57,6,0),B388+1,0))</f>
        <v>0</v>
      </c>
      <c r="C389" t="str" s="547" cm="1">
        <f t="array" ref="C389">IF(B389&gt;0,IF(VLOOKUP(C370,'Boats Data Sheet 2026'!$C$3:$J$57,8,0)="N/A",0,VLOOKUP(C370,'Boats Data Sheet 2026'!$C$3:$J$57,8,0)),"N/A")</f>
        <v>N/A</v>
      </c>
      <c r="D389" t="str" s="547" cm="1">
        <f t="array" ref="D389">IF(B389&gt;7,2,IF(B389=0,"N/A",1))</f>
        <v>N/A</v>
      </c>
      <c r="E389" t="str" s="547" cm="1">
        <f t="array" ref="E389">_xlfn.IFERROR(SUM('Direct Costs 2026'!$C$4:$C$5)*D389,"N/A")</f>
        <v>N/A</v>
      </c>
      <c r="F389" s="538" cm="1">
        <f t="array" ref="F389">_xlfn.IFERROR('Direct Costs 2026'!$C$43*B389,"N/A")</f>
        <v>0</v>
      </c>
      <c r="G389" t="str" s="547" cm="1">
        <f t="array" ref="G389">IF(B389&gt;0,'Direct Costs 2026'!$C$25,"N/A")</f>
        <v>N/A</v>
      </c>
      <c r="H389" t="str" s="547" cm="1">
        <f t="array" ref="H389">IF(B389&gt;0,'Direct Costs 2026'!$C$19+'Direct Costs 2026'!$C$18*B389,"N/A")</f>
        <v>N/A</v>
      </c>
      <c r="I389" t="str" s="547" cm="1">
        <f t="array" ref="I389">IF(B389&gt;0,SUM('Direct Costs 2026'!$C$20:$C$21),"N/A")</f>
        <v>N/A</v>
      </c>
      <c r="J389" s="538">
        <v>0</v>
      </c>
      <c r="K389" t="str" s="547" cm="1">
        <f t="array" ref="K389">_xlfn.IFERROR((IF(B389&gt;0,'Direct Costs 2026'!$C$15+'Direct Costs 2026'!$C$14,"N/A")),"N/A")</f>
        <v>N/A</v>
      </c>
      <c r="L389" t="str" s="547" cm="1">
        <f t="array" ref="L389">IF(B389&gt;0,'Direct Costs 2026'!$C$26,"N/A")</f>
        <v>N/A</v>
      </c>
      <c r="M389" t="str" s="547" cm="1">
        <f t="array" ref="M389">IF(B389&gt;0,'Direct Costs 2026'!$C$23,"N/A")</f>
        <v>N/A</v>
      </c>
      <c r="N389" t="str" s="547" cm="1">
        <f t="array" ref="N389">IF(B389&gt;0,'Direct Costs 2026'!$C$44*B389,"N/A")</f>
        <v>N/A</v>
      </c>
      <c r="O389" t="str" s="547" cm="1">
        <f t="array" ref="O389">IF(B389&gt;0,_xlfn.IFERROR(VLOOKUP(C370,'Boats Data Sheet 2026'!$C$3:$I$57,7,0)*'Direct Costs 2026'!$C$36,"N/A"),"N/A")</f>
        <v>N/A</v>
      </c>
      <c r="P389" t="str" s="547" cm="1">
        <f t="array" ref="P389">IF(B389&gt;0,IF(OR(VLOOKUP(C377,'Boats Data Sheet 2026'!$C$3:$F$57,4,0)="Own",VLOOKUP(C377,'Boats Data Sheet 2026'!$C$3:$F$57,4,0)="Management"),('Direct Costs 2026'!$C$37+'Direct Costs 2026'!$C$39),"N/A"),"N/A")</f>
        <v>N/A</v>
      </c>
      <c r="Q389" t="str" s="547" cm="1">
        <f t="array" ref="Q389">_xlfn.IFERROR(IF(B389&gt;5,IF(B389&gt;11,IF(B389&gt;15,4,3),2),IF(B389=0,"N/A",1))*SUM('Direct Costs 2026'!$C$67:$C$68),"N/A")</f>
        <v>N/A</v>
      </c>
      <c r="R389" t="str" s="547" cm="1">
        <f t="array" ref="R389">_xlfn.IFERROR('Direct Costs 2026'!$C$27*C389,"N/A")</f>
        <v>N/A</v>
      </c>
      <c r="S389" t="str" s="547" cm="1">
        <f t="array" ref="S389">_xlfn.IFERROR(C389+SUM(E389:R389),"N/A")</f>
        <v>N/A</v>
      </c>
      <c r="T389" s="424"/>
      <c r="U389" t="str" s="547" cm="1">
        <f t="array" ref="U389">IF(B389&gt;0,'Allocation OH and Target 2026'!$E$27,"N/A")</f>
        <v>N/A</v>
      </c>
      <c r="V389" t="str" s="547" cm="1">
        <f t="array" ref="V389">IF(B389&gt;0,'Allocation OH and Target 2026'!$E$28,"N/A")</f>
        <v>N/A</v>
      </c>
      <c r="W389" t="str" s="547" cm="1">
        <f t="array" ref="W389">IF(B389&gt;0,VLOOKUP(C370,'Allocation OH and Target 2026'!$C$3:$T$23,17,0),"N/A")</f>
        <v>N/A</v>
      </c>
      <c r="X389" t="str" s="547" cm="1">
        <f t="array" ref="X389">IF(B389&gt;0,VLOOKUP(C370,'Allocation OH and Target 2026'!$C$3:$T$23,18,0),"N/A")</f>
        <v>N/A</v>
      </c>
      <c r="Y389" t="str" s="547" cm="1">
        <f t="array" ref="Y389">_xlfn.IFERROR(V389*B389+X389,"N/A")</f>
        <v>N/A</v>
      </c>
      <c r="Z389" s="424"/>
      <c r="AA389" t="str" s="547" cm="1">
        <f t="array" ref="AA389">_xlfn.IFERROR(Y389+S389,"N/A")</f>
        <v>N/A</v>
      </c>
      <c r="AB389" t="str" s="547" cm="1">
        <f t="array" ref="AB389">_xlfn.IFERROR(AA389*0.5%,"N/A")</f>
        <v>N/A</v>
      </c>
      <c r="AC389" t="str" s="547" cm="1">
        <f t="array" ref="AC389">_xlfn.IFERROR(AA389*25%,"N/A")</f>
        <v>N/A</v>
      </c>
      <c r="AD389" t="str" s="546" cm="1">
        <f t="array" ref="AD389">IF(B389&gt;0,SUM(AA389:AC389),"N/A")</f>
        <v>N/A</v>
      </c>
      <c r="AE389" t="str" s="547" cm="1">
        <f t="array" ref="AE389">_xlfn.IFERROR(AD389/B389,"N/A")</f>
        <v>N/A</v>
      </c>
      <c r="AF389" s="424"/>
      <c r="AG389" t="str" s="546" cm="1">
        <f t="array" ref="AG389">IF(B389/VLOOKUP(C370,'Boats Data Sheet 2026'!$C$3:$H$57,6,0)&gt;VLOOKUP(C370,'Allocation OH and Target 2026'!$C$3:$J$23,8,0),IF(SUM(AH372:AH388)=0,AE389,"N/A"),"N/A")</f>
        <v>N/A</v>
      </c>
      <c r="AH389" s="424" cm="1">
        <f t="array" ref="AH389">IF(AG389="N/A",0,1)</f>
        <v>0</v>
      </c>
      <c r="AI389" t="str" s="547" cm="1">
        <f t="array" ref="AI389">IF(B389/VLOOKUP(C370,'Boats Data Sheet 2026'!$C$3:$H$57,6,0)&gt;VLOOKUP(C370,'Allocation OH and Target 2026'!$C$3:$J$23,8,0),IF(SUM(AH372:AH388)=0,S389/B389,"N/A"),"N/A")</f>
        <v>N/A</v>
      </c>
      <c r="AJ389" s="424" cm="1">
        <f t="array" ref="AJ389">IF(AI389="N/A",0,1)</f>
        <v>0</v>
      </c>
      <c r="AK389" t="str" s="527" cm="1">
        <f t="array" ref="AK389">IF(SUM($AG$120:$AG$137)*B389&lt;SUM(AA389:AB389),"NO GO","GO")</f>
        <v>GO</v>
      </c>
      <c r="AL389" s="424"/>
      <c r="AM389" s="538"/>
      <c r="AN389" s="538"/>
      <c r="AO389" s="538"/>
      <c r="AP389" s="542"/>
      <c r="AQ389" s="543" cm="1">
        <f t="array" ref="AQ389">B389</f>
        <v>0</v>
      </c>
      <c r="AR389" s="18"/>
    </row>
    <row r="390" ht="15.5" customHeight="1">
      <c r="A390" s="12"/>
      <c r="B390" s="550" cm="1">
        <f t="array" ref="B390">IF(B389=0,0,IF(B389&lt;VLOOKUP(C370,'Boats Data Sheet 2026'!$C$3:$H$57,6,0),B389+1,0))</f>
        <v>0</v>
      </c>
      <c r="C390" t="str" s="551" cm="1">
        <f t="array" ref="C390">IF(B390&gt;0,IF(VLOOKUP(C370,'Boats Data Sheet 2026'!$C$3:$J$57,8,0)="N/A",0,VLOOKUP(C370,'Boats Data Sheet 2026'!$C$3:$J$57,8,0)),"N/A")</f>
        <v>N/A</v>
      </c>
      <c r="D390" t="str" s="551" cm="1">
        <f t="array" ref="D390">IF(B390&gt;7,2,IF(B390=0,"N/A",1))</f>
        <v>N/A</v>
      </c>
      <c r="E390" t="str" s="551" cm="1">
        <f t="array" ref="E390">_xlfn.IFERROR(SUM('Direct Costs 2026'!$C$4:$C$5)*D390,"N/A")</f>
        <v>N/A</v>
      </c>
      <c r="F390" s="552" cm="1">
        <f t="array" ref="F390">_xlfn.IFERROR('Direct Costs 2026'!$C$43*B390,"N/A")</f>
        <v>0</v>
      </c>
      <c r="G390" t="str" s="551" cm="1">
        <f t="array" ref="G390">IF(B390&gt;0,'Direct Costs 2026'!$C$25,"N/A")</f>
        <v>N/A</v>
      </c>
      <c r="H390" t="str" s="551" cm="1">
        <f t="array" ref="H390">IF(B390&gt;0,'Direct Costs 2026'!$C$19+'Direct Costs 2026'!$C$18*B390,"N/A")</f>
        <v>N/A</v>
      </c>
      <c r="I390" t="str" s="551" cm="1">
        <f t="array" ref="I390">IF(B390&gt;0,SUM('Direct Costs 2026'!$C$20:$C$21),"N/A")</f>
        <v>N/A</v>
      </c>
      <c r="J390" s="552">
        <v>0</v>
      </c>
      <c r="K390" t="str" s="551" cm="1">
        <f t="array" ref="K390">_xlfn.IFERROR((IF(B390&gt;0,'Direct Costs 2026'!$C$15+'Direct Costs 2026'!$C$14,"N/A")),"N/A")</f>
        <v>N/A</v>
      </c>
      <c r="L390" t="str" s="551" cm="1">
        <f t="array" ref="L390">IF(B390&gt;0,'Direct Costs 2026'!$C$26,"N/A")</f>
        <v>N/A</v>
      </c>
      <c r="M390" t="str" s="551" cm="1">
        <f t="array" ref="M390">IF(B390&gt;0,'Direct Costs 2026'!$C$23,"N/A")</f>
        <v>N/A</v>
      </c>
      <c r="N390" t="str" s="551" cm="1">
        <f t="array" ref="N390">IF(B390&gt;0,'Direct Costs 2026'!$C$44*B390,"N/A")</f>
        <v>N/A</v>
      </c>
      <c r="O390" t="str" s="551" cm="1">
        <f t="array" ref="O390">IF(B390&gt;0,_xlfn.IFERROR(VLOOKUP(C370,'Boats Data Sheet 2026'!$C$3:$I$57,7,0)*'Direct Costs 2026'!$C$36,"N/A"),"N/A")</f>
        <v>N/A</v>
      </c>
      <c r="P390" t="str" s="551" cm="1">
        <f t="array" ref="P390">IF(B390&gt;0,IF(OR(VLOOKUP(C378,'Boats Data Sheet 2026'!$C$3:$F$57,4,0)="Own",VLOOKUP(C378,'Boats Data Sheet 2026'!$C$3:$F$57,4,0)="Management"),('Direct Costs 2026'!$C$37+'Direct Costs 2026'!$C$39),"N/A"),"N/A")</f>
        <v>N/A</v>
      </c>
      <c r="Q390" t="str" s="551" cm="1">
        <f t="array" ref="Q390">_xlfn.IFERROR(IF(B390&gt;5,IF(B390&gt;11,IF(B390&gt;15,4,3),2),IF(B390=0,"N/A",1))*SUM('Direct Costs 2026'!$C$67:$C$68),"N/A")</f>
        <v>N/A</v>
      </c>
      <c r="R390" t="str" s="551" cm="1">
        <f t="array" ref="R390">_xlfn.IFERROR('Direct Costs 2026'!$C$27*C390,"N/A")</f>
        <v>N/A</v>
      </c>
      <c r="S390" t="str" s="551" cm="1">
        <f t="array" ref="S390">_xlfn.IFERROR(C390+SUM(E390:R390),"N/A")</f>
        <v>N/A</v>
      </c>
      <c r="T390" s="435"/>
      <c r="U390" t="str" s="551" cm="1">
        <f t="array" ref="U390">IF(B390&gt;0,'Allocation OH and Target 2026'!$E$27,"N/A")</f>
        <v>N/A</v>
      </c>
      <c r="V390" t="str" s="551" cm="1">
        <f t="array" ref="V390">IF(B390&gt;0,'Allocation OH and Target 2026'!$E$28,"N/A")</f>
        <v>N/A</v>
      </c>
      <c r="W390" t="str" s="551" cm="1">
        <f t="array" ref="W390">IF(B390&gt;0,VLOOKUP(C370,'Allocation OH and Target 2026'!$C$3:$T$23,17,0),"N/A")</f>
        <v>N/A</v>
      </c>
      <c r="X390" t="str" s="551" cm="1">
        <f t="array" ref="X390">IF(B390&gt;0,VLOOKUP(C370,'Allocation OH and Target 2026'!$C$3:$T$23,18,0),"N/A")</f>
        <v>N/A</v>
      </c>
      <c r="Y390" t="str" s="551" cm="1">
        <f t="array" ref="Y390">_xlfn.IFERROR(V390*B390+X390,"N/A")</f>
        <v>N/A</v>
      </c>
      <c r="Z390" s="435"/>
      <c r="AA390" t="str" s="551" cm="1">
        <f t="array" ref="AA390">_xlfn.IFERROR(Y390+S390,"N/A")</f>
        <v>N/A</v>
      </c>
      <c r="AB390" t="str" s="551" cm="1">
        <f t="array" ref="AB390">_xlfn.IFERROR(AA390*0.5%,"N/A")</f>
        <v>N/A</v>
      </c>
      <c r="AC390" t="str" s="551" cm="1">
        <f t="array" ref="AC390">_xlfn.IFERROR(AA390*25%,"N/A")</f>
        <v>N/A</v>
      </c>
      <c r="AD390" t="str" s="553" cm="1">
        <f t="array" ref="AD390">IF(B390&gt;0,SUM(AA390:AC390),"N/A")</f>
        <v>N/A</v>
      </c>
      <c r="AE390" t="str" s="551" cm="1">
        <f t="array" ref="AE390">_xlfn.IFERROR(AD390/B390,"N/A")</f>
        <v>N/A</v>
      </c>
      <c r="AF390" s="435"/>
      <c r="AG390" t="str" s="553" cm="1">
        <f t="array" ref="AG390">IF(B390/VLOOKUP(C370,'Boats Data Sheet 2026'!$C$3:$H$57,6,0)&gt;VLOOKUP(C370,'Allocation OH and Target 2026'!$C$3:$J$23,8,0),IF(SUM(AH372:AH389)=0,AE390,"N/A"),"N/A")</f>
        <v>N/A</v>
      </c>
      <c r="AH390" s="435" cm="1">
        <f t="array" ref="AH390">IF(AG390="N/A",0,1)</f>
        <v>0</v>
      </c>
      <c r="AI390" t="str" s="551" cm="1">
        <f t="array" ref="AI390">IF(B390/VLOOKUP(C370,'Boats Data Sheet 2026'!$C$3:$H$57,6,0)&gt;VLOOKUP(C370,'Allocation OH and Target 2026'!$C$3:$J$23,8,0),IF(SUM(AH372:AH389)=0,S390/B390,"N/A"),"N/A")</f>
        <v>N/A</v>
      </c>
      <c r="AJ390" s="435" cm="1">
        <f t="array" ref="AJ390">IF(AI390="N/A",0,1)</f>
        <v>0</v>
      </c>
      <c r="AK390" t="str" s="554" cm="1">
        <f t="array" ref="AK390">IF(SUM($AG$120:$AG$137)*B390&lt;SUM(AA390:AB390),"NO GO","GO")</f>
        <v>GO</v>
      </c>
      <c r="AL390" s="435"/>
      <c r="AM390" s="552"/>
      <c r="AN390" s="552"/>
      <c r="AO390" s="552"/>
      <c r="AP390" s="555"/>
      <c r="AQ390" s="543" cm="1">
        <f t="array" ref="AQ390">B390</f>
        <v>0</v>
      </c>
      <c r="AR390" s="18"/>
    </row>
    <row r="391" ht="15.5" customHeight="1">
      <c r="A391" s="32"/>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c r="AH391" s="124"/>
      <c r="AI391" s="124"/>
      <c r="AJ391" s="124"/>
      <c r="AK391" s="124"/>
      <c r="AL391" s="124"/>
      <c r="AM391" s="124"/>
      <c r="AN391" s="124"/>
      <c r="AO391" s="124"/>
      <c r="AP391" s="124"/>
      <c r="AQ391" s="17"/>
      <c r="AR391" s="18"/>
    </row>
    <row r="392" ht="15.5" customHeight="1">
      <c r="A392" s="32"/>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17"/>
      <c r="AR392" s="18"/>
    </row>
    <row r="393" ht="15.5" customHeight="1">
      <c r="A393" s="395">
        <v>10</v>
      </c>
      <c r="B393" t="s" s="517">
        <v>506</v>
      </c>
      <c r="C393" t="s" s="518">
        <v>57</v>
      </c>
      <c r="D393" s="519"/>
      <c r="E393" s="519"/>
      <c r="F393" s="519"/>
      <c r="G393" s="519"/>
      <c r="H393" s="519"/>
      <c r="I393" s="519"/>
      <c r="J393" s="519"/>
      <c r="K393" s="519"/>
      <c r="L393" s="519"/>
      <c r="M393" s="519"/>
      <c r="N393" s="519"/>
      <c r="O393" s="519"/>
      <c r="P393" s="519"/>
      <c r="Q393" s="519"/>
      <c r="R393" s="519"/>
      <c r="S393" s="519"/>
      <c r="T393" s="399"/>
      <c r="U393" s="519"/>
      <c r="V393" s="519"/>
      <c r="W393" s="519"/>
      <c r="X393" s="519"/>
      <c r="Y393" s="519"/>
      <c r="Z393" s="399"/>
      <c r="AA393" s="519"/>
      <c r="AB393" s="519"/>
      <c r="AC393" s="519"/>
      <c r="AD393" s="519"/>
      <c r="AE393" s="519"/>
      <c r="AF393" s="399"/>
      <c r="AG393" s="521"/>
      <c r="AH393" s="399"/>
      <c r="AI393" s="519"/>
      <c r="AJ393" s="399"/>
      <c r="AK393" s="519"/>
      <c r="AL393" s="399"/>
      <c r="AM393" s="521"/>
      <c r="AN393" s="560"/>
      <c r="AO393" s="519"/>
      <c r="AP393" s="522"/>
      <c r="AQ393" s="16"/>
      <c r="AR393" s="18"/>
    </row>
    <row r="394" ht="16" customHeight="1">
      <c r="A394" s="12"/>
      <c r="B394" s="523"/>
      <c r="C394" t="s" s="524">
        <v>513</v>
      </c>
      <c r="D394" s="525"/>
      <c r="E394" s="525"/>
      <c r="F394" s="525"/>
      <c r="G394" s="525"/>
      <c r="H394" s="525"/>
      <c r="I394" s="525"/>
      <c r="J394" s="525"/>
      <c r="K394" s="525"/>
      <c r="L394" s="525"/>
      <c r="M394" s="525"/>
      <c r="N394" s="525"/>
      <c r="O394" s="525"/>
      <c r="P394" s="525"/>
      <c r="Q394" s="525"/>
      <c r="R394" s="525"/>
      <c r="S394" s="526"/>
      <c r="T394" s="407"/>
      <c r="U394" t="s" s="524">
        <v>514</v>
      </c>
      <c r="V394" s="525"/>
      <c r="W394" s="525"/>
      <c r="X394" s="525"/>
      <c r="Y394" s="526"/>
      <c r="Z394" s="407"/>
      <c r="AA394" t="s" s="524">
        <v>515</v>
      </c>
      <c r="AB394" s="525"/>
      <c r="AC394" s="525"/>
      <c r="AD394" s="525"/>
      <c r="AE394" s="526"/>
      <c r="AF394" s="410"/>
      <c r="AG394" s="527"/>
      <c r="AH394" s="410"/>
      <c r="AI394" s="528"/>
      <c r="AJ394" s="410"/>
      <c r="AK394" s="528"/>
      <c r="AL394" s="410"/>
      <c r="AM394" s="528"/>
      <c r="AN394" s="528"/>
      <c r="AO394" s="528"/>
      <c r="AP394" s="529"/>
      <c r="AQ394" s="16"/>
      <c r="AR394" s="18"/>
    </row>
    <row r="395" ht="48" customHeight="1">
      <c r="A395" s="12"/>
      <c r="B395" t="s" s="530">
        <v>517</v>
      </c>
      <c r="C395" t="s" s="531">
        <v>518</v>
      </c>
      <c r="D395" t="s" s="531">
        <v>519</v>
      </c>
      <c r="E395" t="s" s="531">
        <v>520</v>
      </c>
      <c r="F395" t="s" s="532">
        <v>521</v>
      </c>
      <c r="G395" t="s" s="532">
        <v>522</v>
      </c>
      <c r="H395" t="s" s="532">
        <v>524</v>
      </c>
      <c r="I395" t="s" s="532">
        <v>525</v>
      </c>
      <c r="J395" t="s" s="532">
        <v>556</v>
      </c>
      <c r="K395" t="s" s="532">
        <v>587</v>
      </c>
      <c r="L395" t="s" s="532">
        <v>526</v>
      </c>
      <c r="M395" t="s" s="532">
        <v>527</v>
      </c>
      <c r="N395" t="s" s="532">
        <v>528</v>
      </c>
      <c r="O395" t="s" s="532">
        <v>529</v>
      </c>
      <c r="P395" t="s" s="532">
        <v>530</v>
      </c>
      <c r="Q395" t="s" s="532">
        <v>572</v>
      </c>
      <c r="R395" t="s" s="532">
        <v>531</v>
      </c>
      <c r="S395" t="s" s="532">
        <v>532</v>
      </c>
      <c r="T395" s="556"/>
      <c r="U395" t="s" s="532">
        <v>533</v>
      </c>
      <c r="V395" t="s" s="532">
        <v>573</v>
      </c>
      <c r="W395" t="s" s="532">
        <v>534</v>
      </c>
      <c r="X395" t="s" s="532">
        <v>574</v>
      </c>
      <c r="Y395" t="s" s="532">
        <v>535</v>
      </c>
      <c r="Z395" s="556"/>
      <c r="AA395" t="s" s="532">
        <v>536</v>
      </c>
      <c r="AB395" t="s" s="532">
        <v>537</v>
      </c>
      <c r="AC395" t="s" s="532">
        <v>538</v>
      </c>
      <c r="AD395" t="s" s="532">
        <v>575</v>
      </c>
      <c r="AE395" t="s" s="532">
        <v>539</v>
      </c>
      <c r="AF395" s="557"/>
      <c r="AG395" t="s" s="532">
        <v>576</v>
      </c>
      <c r="AH395" s="557"/>
      <c r="AI395" t="s" s="532">
        <v>577</v>
      </c>
      <c r="AJ395" s="557"/>
      <c r="AK395" t="s" s="531">
        <v>578</v>
      </c>
      <c r="AL395" s="557"/>
      <c r="AM395" s="533"/>
      <c r="AN395" s="533"/>
      <c r="AO395" s="533"/>
      <c r="AP395" s="534"/>
      <c r="AQ395" s="16"/>
      <c r="AR395" s="18"/>
    </row>
    <row r="396" ht="16.5" customHeight="1">
      <c r="A396" s="12"/>
      <c r="B396" s="535">
        <v>1</v>
      </c>
      <c r="C396" s="536" cm="1">
        <f t="array" ref="C396">IF(B396&gt;0,IF(VLOOKUP(C393,'Boats Data Sheet 2026'!$C$3:$J$57,8,0)="N/A",0,VLOOKUP(C393,'Boats Data Sheet 2026'!$C$3:$J$57,8,0)),"N/A")</f>
        <v>8000000</v>
      </c>
      <c r="D396" s="537" cm="1">
        <f t="array" ref="D396">IF(B396&gt;7,2,IF(B396=0,"N/A",1))</f>
        <v>1</v>
      </c>
      <c r="E396" s="536" cm="1">
        <f t="array" ref="E396">_xlfn.IFERROR(SUM('Direct Costs 2026'!$C$4:$C$5)*D396,"N/A")</f>
        <v>875500</v>
      </c>
      <c r="F396" s="538" cm="1">
        <f t="array" ref="F396">_xlfn.IFERROR('Direct Costs 2026'!$C$43*B396,"N/A")</f>
        <v>6000</v>
      </c>
      <c r="G396" s="538" cm="1">
        <f t="array" ref="G396">IF(B396&gt;0,'Direct Costs 2026'!$C$25,"N/A")</f>
        <v>90000</v>
      </c>
      <c r="H396" s="538" cm="1">
        <f t="array" ref="H396">IF(B396&gt;0,'Direct Costs 2026'!$C$19+'Direct Costs 2026'!$C$18*B396,"N/A")</f>
        <v>110000</v>
      </c>
      <c r="I396" s="538" cm="1">
        <f t="array" ref="I396">IF(B396&gt;0,SUM('Direct Costs 2026'!$C$20:$C$21),"N/A")</f>
        <v>98333.3333333333</v>
      </c>
      <c r="J396" s="538">
        <v>0</v>
      </c>
      <c r="K396" s="538" cm="1">
        <f t="array" ref="K396">_xlfn.IFERROR((IF(B396&gt;0,'Direct Costs 2026'!$C$15+'Direct Costs 2026'!$C$14,"N/A")),"N/A")</f>
        <v>230000</v>
      </c>
      <c r="L396" s="538" cm="1">
        <f t="array" ref="L396">IF(B396&gt;0,'Direct Costs 2026'!$C$26,"N/A")</f>
        <v>20000</v>
      </c>
      <c r="M396" s="538" cm="1">
        <f t="array" ref="M396">IF(B396&gt;0,'Direct Costs 2026'!$C$23,"N/A")</f>
        <v>140000</v>
      </c>
      <c r="N396" s="538" cm="1">
        <f t="array" ref="N396">IF(B396&gt;0,'Direct Costs 2026'!$C$44*B396,"N/A")</f>
        <v>110000</v>
      </c>
      <c r="O396" t="str" s="547" cm="1">
        <f t="array" ref="O396">IF(B396&gt;0,_xlfn.IFERROR(VLOOKUP(C393,'Boats Data Sheet 2026'!$C$3:$I$57,7,0)*'Direct Costs 2026'!$C$36,"N/A"),"N/A")</f>
        <v>N/A</v>
      </c>
      <c r="P396" t="str" s="547" cm="1">
        <f t="array" ref="P396">IF(B396&gt;0,IF(OR(VLOOKUP(C393,'Boats Data Sheet 2026'!$C$3:$F$57,4,0)="Own",VLOOKUP(C393,'Boats Data Sheet 2026'!$C$3:$F$57,4,0)="Management"),('Direct Costs 2026'!$C$37+'Direct Costs 2026'!$C$39),"N/A"),"N/A")</f>
        <v>N/A</v>
      </c>
      <c r="Q396" s="538" cm="1">
        <f t="array" ref="Q396">_xlfn.IFERROR(IF(B396&gt;5,IF(B396&gt;11,IF(B396&gt;15,4,3),2),IF(B396=0,"N/A",1))*SUM('Direct Costs 2026'!$C$67:$C$68),"N/A")</f>
        <v>489600</v>
      </c>
      <c r="R396" s="538" cm="1">
        <f t="array" ref="R396">_xlfn.IFERROR('Direct Costs 2026'!$C$27*C396,"N/A")</f>
        <v>160000</v>
      </c>
      <c r="S396" s="538" cm="1">
        <f t="array" ref="S396">_xlfn.IFERROR(C396+SUM(E396:R396),"N/A")</f>
        <v>10329433.3333333</v>
      </c>
      <c r="T396" s="424"/>
      <c r="U396" s="538" cm="1">
        <f t="array" ref="U396">IF(B396&gt;0,'Allocation OH and Target 2026'!$E$27,"N/A")</f>
        <v>2134447.30345641</v>
      </c>
      <c r="V396" s="538" cm="1">
        <f t="array" ref="V396">IF(B396&gt;0,'Allocation OH and Target 2026'!$E$28,"N/A")</f>
        <v>200042.323056976</v>
      </c>
      <c r="W396" s="538" cm="1">
        <f t="array" ref="W396">IF(B396&gt;0,VLOOKUP(C393,'Allocation OH and Target 2026'!$C$3:$T$23,17,0),"N/A")</f>
        <v>0</v>
      </c>
      <c r="X396" s="538" cm="1">
        <f t="array" ref="X396">IF(B396&gt;0,VLOOKUP(C393,'Allocation OH and Target 2026'!$C$3:$T$23,18,0),"N/A")</f>
        <v>0</v>
      </c>
      <c r="Y396" s="538" cm="1">
        <f t="array" ref="Y396">_xlfn.IFERROR(B396*(V396+X396),"N/A")</f>
        <v>200042.323056976</v>
      </c>
      <c r="Z396" s="424"/>
      <c r="AA396" s="538" cm="1">
        <f t="array" ref="AA396">_xlfn.IFERROR(Y396+S396,"N/A")</f>
        <v>10529475.6563903</v>
      </c>
      <c r="AB396" s="538" cm="1">
        <f t="array" ref="AB396">_xlfn.IFERROR(AA396*0.5%,"N/A")</f>
        <v>52647.3782819515</v>
      </c>
      <c r="AC396" s="538" cm="1">
        <f t="array" ref="AC396">_xlfn.IFERROR(AA396*25%,"N/A")</f>
        <v>2632368.91409758</v>
      </c>
      <c r="AD396" s="539" cm="1">
        <f t="array" ref="AD396">IF(B396&gt;0,SUM(AA396:AC396),"N/A")</f>
        <v>13214491.9487698</v>
      </c>
      <c r="AE396" s="538" cm="1">
        <f t="array" ref="AE396">_xlfn.IFERROR(AD396/B396,"N/A")</f>
        <v>13214491.9487698</v>
      </c>
      <c r="AF396" s="424"/>
      <c r="AG396" t="s" s="540">
        <v>14</v>
      </c>
      <c r="AH396" s="424" cm="1">
        <f t="array" ref="AH396">IF(AG396="N/A",0,1)</f>
        <v>0</v>
      </c>
      <c r="AI396" t="s" s="541">
        <v>14</v>
      </c>
      <c r="AJ396" s="424" cm="1">
        <f t="array" ref="AJ396">IF(AI396="N/A",0,1)</f>
        <v>0</v>
      </c>
      <c r="AK396" t="str" s="558" cm="1">
        <f t="array" ref="AK396">IF(SUM($AG$120:$AG$137)*B396&lt;SUM(AA396:AB396),"NO GO","GO")</f>
        <v>NO GO</v>
      </c>
      <c r="AL396" s="424"/>
      <c r="AM396" s="538"/>
      <c r="AN396" s="561"/>
      <c r="AO396" s="538"/>
      <c r="AP396" s="542"/>
      <c r="AQ396" s="543" cm="1">
        <f t="array" ref="AQ396">B396</f>
        <v>1</v>
      </c>
      <c r="AR396" s="18"/>
    </row>
    <row r="397" ht="16" customHeight="1">
      <c r="A397" s="12"/>
      <c r="B397" s="544" cm="1">
        <f t="array" ref="B397">IF(B396=0,0,IF(B396&lt;VLOOKUP(C393,'Boats Data Sheet 2026'!$C$3:$H$57,6,0),B396+1,0))</f>
        <v>2</v>
      </c>
      <c r="C397" s="538" cm="1">
        <f t="array" ref="C397">IF(B397&gt;0,IF(VLOOKUP(C393,'Boats Data Sheet 2026'!$C$3:$J$57,8,0)="N/A",0,VLOOKUP(C393,'Boats Data Sheet 2026'!$C$3:$J$57,8,0)),"N/A")</f>
        <v>8000000</v>
      </c>
      <c r="D397" s="545" cm="1">
        <f t="array" ref="D397">IF(B397&gt;7,2,IF(B397=0,"N/A",1))</f>
        <v>1</v>
      </c>
      <c r="E397" s="538" cm="1">
        <f t="array" ref="E397">_xlfn.IFERROR(SUM('Direct Costs 2026'!$C$4:$C$5)*D397,"N/A")</f>
        <v>875500</v>
      </c>
      <c r="F397" s="538" cm="1">
        <f t="array" ref="F397">_xlfn.IFERROR('Direct Costs 2026'!$C$43*B397,"N/A")</f>
        <v>12000</v>
      </c>
      <c r="G397" s="538" cm="1">
        <f t="array" ref="G397">IF(B397&gt;0,'Direct Costs 2026'!$C$25,"N/A")</f>
        <v>90000</v>
      </c>
      <c r="H397" s="538" cm="1">
        <f t="array" ref="H397">IF(B397&gt;0,'Direct Costs 2026'!$C$19+'Direct Costs 2026'!$C$18*B397,"N/A")</f>
        <v>145000</v>
      </c>
      <c r="I397" s="538" cm="1">
        <f t="array" ref="I397">IF(B397&gt;0,SUM('Direct Costs 2026'!$C$20:$C$21),"N/A")</f>
        <v>98333.3333333333</v>
      </c>
      <c r="J397" s="538">
        <v>0</v>
      </c>
      <c r="K397" s="538" cm="1">
        <f t="array" ref="K397">_xlfn.IFERROR((IF(B397&gt;0,'Direct Costs 2026'!$C$15+'Direct Costs 2026'!$C$14,"N/A")),"N/A")</f>
        <v>230000</v>
      </c>
      <c r="L397" s="538" cm="1">
        <f t="array" ref="L397">IF(B397&gt;0,'Direct Costs 2026'!$C$26,"N/A")</f>
        <v>20000</v>
      </c>
      <c r="M397" s="538" cm="1">
        <f t="array" ref="M397">IF(B397&gt;0,'Direct Costs 2026'!$C$23,"N/A")</f>
        <v>140000</v>
      </c>
      <c r="N397" s="538" cm="1">
        <f t="array" ref="N397">IF(B397&gt;0,'Direct Costs 2026'!$C$44*B397,"N/A")</f>
        <v>220000</v>
      </c>
      <c r="O397" t="str" s="547" cm="1">
        <f t="array" ref="O397">IF(B397&gt;0,_xlfn.IFERROR(VLOOKUP(C393,'Boats Data Sheet 2026'!$C$3:$I$57,7,0)*'Direct Costs 2026'!$C$36,"N/A"),"N/A")</f>
        <v>N/A</v>
      </c>
      <c r="P397" t="str" s="547" cm="1">
        <f t="array" ref="P397">IF(B397&gt;0,IF(OR(VLOOKUP(C393,'Boats Data Sheet 2026'!$C$3:$F$57,4,0)="Own",VLOOKUP(C393,'Boats Data Sheet 2026'!$C$3:$F$57,4,0)="Management"),('Direct Costs 2026'!$C$37+'Direct Costs 2026'!$C$39),"N/A"),"N/A")</f>
        <v>N/A</v>
      </c>
      <c r="Q397" s="538" cm="1">
        <f t="array" ref="Q397">_xlfn.IFERROR(IF(B397&gt;5,IF(B397&gt;11,IF(B397&gt;15,4,3),2),IF(B397=0,"N/A",1))*SUM('Direct Costs 2026'!$C$67:$C$68),"N/A")</f>
        <v>489600</v>
      </c>
      <c r="R397" s="538" cm="1">
        <f t="array" ref="R397">_xlfn.IFERROR('Direct Costs 2026'!$C$27*C397,"N/A")</f>
        <v>160000</v>
      </c>
      <c r="S397" s="538" cm="1">
        <f t="array" ref="S397">_xlfn.IFERROR(C397+SUM(E397:R397),"N/A")</f>
        <v>10480433.3333333</v>
      </c>
      <c r="T397" s="424"/>
      <c r="U397" s="538" cm="1">
        <f t="array" ref="U397">IF(B397&gt;0,'Allocation OH and Target 2026'!$E$27,"N/A")</f>
        <v>2134447.30345641</v>
      </c>
      <c r="V397" s="538" cm="1">
        <f t="array" ref="V397">IF(B397&gt;0,'Allocation OH and Target 2026'!$E$28,"N/A")</f>
        <v>200042.323056976</v>
      </c>
      <c r="W397" s="538" cm="1">
        <f t="array" ref="W397">IF(B397&gt;0,VLOOKUP(C393,'Allocation OH and Target 2026'!$C$3:$T$23,17,0),"N/A")</f>
        <v>0</v>
      </c>
      <c r="X397" s="538" cm="1">
        <f t="array" ref="X397">IF(B397&gt;0,VLOOKUP(C393,'Allocation OH and Target 2026'!$C$3:$T$23,18,0),"N/A")</f>
        <v>0</v>
      </c>
      <c r="Y397" s="538" cm="1">
        <f t="array" ref="Y397">_xlfn.IFERROR(B397*(V397+X397),"N/A")</f>
        <v>400084.646113952</v>
      </c>
      <c r="Z397" s="424"/>
      <c r="AA397" s="538" cm="1">
        <f t="array" ref="AA397">_xlfn.IFERROR(Y397+S397,"N/A")</f>
        <v>10880517.9794473</v>
      </c>
      <c r="AB397" s="538" cm="1">
        <f t="array" ref="AB397">_xlfn.IFERROR(AA397*0.5%,"N/A")</f>
        <v>54402.5898972365</v>
      </c>
      <c r="AC397" s="538" cm="1">
        <f t="array" ref="AC397">_xlfn.IFERROR(AA397*25%,"N/A")</f>
        <v>2720129.49486183</v>
      </c>
      <c r="AD397" s="539" cm="1">
        <f t="array" ref="AD397">IF(B397&gt;0,SUM(AA397:AC397),"N/A")</f>
        <v>13655050.0642064</v>
      </c>
      <c r="AE397" s="538" cm="1">
        <f t="array" ref="AE397">_xlfn.IFERROR(AD397/B397,"N/A")</f>
        <v>6827525.0321032</v>
      </c>
      <c r="AF397" s="424"/>
      <c r="AG397" t="str" s="546" cm="1">
        <f t="array" ref="AG397">IF(B397/VLOOKUP(C393,'Boats Data Sheet 2026'!$C$3:$H$57,6,0)&gt;VLOOKUP(C393,'Allocation OH and Target 2026'!$C$3:$J$23,8,0),IF(SUM(AH395:AH396)=0,AE397,"N/A"),"N/A")</f>
        <v>N/A</v>
      </c>
      <c r="AH397" s="424" cm="1">
        <f t="array" ref="AH397">IF(AG397="N/A",0,1)</f>
        <v>0</v>
      </c>
      <c r="AI397" t="str" s="547" cm="1">
        <f t="array" ref="AI397">IF(B397/VLOOKUP(C393,'Boats Data Sheet 2026'!$C$3:$H$57,6,0)&gt;VLOOKUP(C393,'Allocation OH and Target 2026'!$C$3:$J$23,8,0),IF(SUM(AH395:AH396)=0,S397/B397,"N/A"),"N/A")</f>
        <v>N/A</v>
      </c>
      <c r="AJ397" s="424" cm="1">
        <f t="array" ref="AJ397">IF(AI397="N/A",0,1)</f>
        <v>0</v>
      </c>
      <c r="AK397" t="str" s="527" cm="1">
        <f t="array" ref="AK397">IF(SUM($AG$120:$AG$137)*B397&lt;SUM(AA397:AB397),"NO GO","GO")</f>
        <v>NO GO</v>
      </c>
      <c r="AL397" s="424"/>
      <c r="AM397" s="568"/>
      <c r="AN397" s="538"/>
      <c r="AO397" s="538"/>
      <c r="AP397" s="542"/>
      <c r="AQ397" s="543" cm="1">
        <f t="array" ref="AQ397">B397</f>
        <v>2</v>
      </c>
      <c r="AR397" s="18"/>
    </row>
    <row r="398" ht="16" customHeight="1">
      <c r="A398" s="12"/>
      <c r="B398" s="544" cm="1">
        <f t="array" ref="B398">IF(B397=0,0,IF(B397&lt;VLOOKUP(C393,'Boats Data Sheet 2026'!$C$3:$H$57,6,0),B397+1,0))</f>
        <v>3</v>
      </c>
      <c r="C398" s="538" cm="1">
        <f t="array" ref="C398">IF(B398&gt;0,IF(VLOOKUP(C393,'Boats Data Sheet 2026'!$C$3:$J$57,8,0)="N/A",0,VLOOKUP(C393,'Boats Data Sheet 2026'!$C$3:$J$57,8,0)),"N/A")</f>
        <v>8000000</v>
      </c>
      <c r="D398" s="545" cm="1">
        <f t="array" ref="D398">IF(B398&gt;7,2,IF(B398=0,"N/A",1))</f>
        <v>1</v>
      </c>
      <c r="E398" s="538" cm="1">
        <f t="array" ref="E398">_xlfn.IFERROR(SUM('Direct Costs 2026'!$C$4:$C$5)*D398,"N/A")</f>
        <v>875500</v>
      </c>
      <c r="F398" s="538" cm="1">
        <f t="array" ref="F398">_xlfn.IFERROR('Direct Costs 2026'!$C$43*B398,"N/A")</f>
        <v>18000</v>
      </c>
      <c r="G398" s="538" cm="1">
        <f t="array" ref="G398">IF(B398&gt;0,'Direct Costs 2026'!$C$25,"N/A")</f>
        <v>90000</v>
      </c>
      <c r="H398" s="538" cm="1">
        <f t="array" ref="H398">IF(B398&gt;0,'Direct Costs 2026'!$C$19+'Direct Costs 2026'!$C$18*B398,"N/A")</f>
        <v>180000</v>
      </c>
      <c r="I398" s="538" cm="1">
        <f t="array" ref="I398">IF(B398&gt;0,SUM('Direct Costs 2026'!$C$20:$C$21),"N/A")</f>
        <v>98333.3333333333</v>
      </c>
      <c r="J398" s="538">
        <v>0</v>
      </c>
      <c r="K398" s="538" cm="1">
        <f t="array" ref="K398">_xlfn.IFERROR((IF(B398&gt;0,'Direct Costs 2026'!$C$15+'Direct Costs 2026'!$C$14,"N/A")),"N/A")</f>
        <v>230000</v>
      </c>
      <c r="L398" s="538" cm="1">
        <f t="array" ref="L398">IF(B398&gt;0,'Direct Costs 2026'!$C$26,"N/A")</f>
        <v>20000</v>
      </c>
      <c r="M398" s="538" cm="1">
        <f t="array" ref="M398">IF(B398&gt;0,'Direct Costs 2026'!$C$23,"N/A")</f>
        <v>140000</v>
      </c>
      <c r="N398" s="538" cm="1">
        <f t="array" ref="N398">IF(B398&gt;0,'Direct Costs 2026'!$C$44*B398,"N/A")</f>
        <v>330000</v>
      </c>
      <c r="O398" t="str" s="547" cm="1">
        <f t="array" ref="O398">IF(B398&gt;0,_xlfn.IFERROR(VLOOKUP(C393,'Boats Data Sheet 2026'!$C$3:$I$57,7,0)*'Direct Costs 2026'!$C$36,"N/A"),"N/A")</f>
        <v>N/A</v>
      </c>
      <c r="P398" t="str" s="547" cm="1">
        <f t="array" ref="P398">IF(B398&gt;0,IF(OR(VLOOKUP(C393,'Boats Data Sheet 2026'!$C$3:$F$57,4,0)="Own",VLOOKUP(C393,'Boats Data Sheet 2026'!$C$3:$F$57,4,0)="Management"),('Direct Costs 2026'!$C$37+'Direct Costs 2026'!$C$39),"N/A"),"N/A")</f>
        <v>N/A</v>
      </c>
      <c r="Q398" s="538" cm="1">
        <f t="array" ref="Q398">_xlfn.IFERROR(IF(B398&gt;5,IF(B398&gt;11,IF(B398&gt;15,4,3),2),IF(B398=0,"N/A",1))*SUM('Direct Costs 2026'!$C$67:$C$68),"N/A")</f>
        <v>489600</v>
      </c>
      <c r="R398" s="538" cm="1">
        <f t="array" ref="R398">_xlfn.IFERROR('Direct Costs 2026'!$C$27*C398,"N/A")</f>
        <v>160000</v>
      </c>
      <c r="S398" s="538" cm="1">
        <f t="array" ref="S398">_xlfn.IFERROR(C398+SUM(E398:R398),"N/A")</f>
        <v>10631433.3333333</v>
      </c>
      <c r="T398" s="424"/>
      <c r="U398" s="538" cm="1">
        <f t="array" ref="U398">IF(B398&gt;0,'Allocation OH and Target 2026'!$E$27,"N/A")</f>
        <v>2134447.30345641</v>
      </c>
      <c r="V398" s="538" cm="1">
        <f t="array" ref="V398">IF(B398&gt;0,'Allocation OH and Target 2026'!$E$28,"N/A")</f>
        <v>200042.323056976</v>
      </c>
      <c r="W398" s="538" cm="1">
        <f t="array" ref="W398">IF(B398&gt;0,VLOOKUP(C393,'Allocation OH and Target 2026'!$C$3:$T$23,17,0),"N/A")</f>
        <v>0</v>
      </c>
      <c r="X398" s="538" cm="1">
        <f t="array" ref="X398">IF(B398&gt;0,VLOOKUP(C393,'Allocation OH and Target 2026'!$C$3:$T$23,18,0),"N/A")</f>
        <v>0</v>
      </c>
      <c r="Y398" s="538" cm="1">
        <f t="array" ref="Y398">_xlfn.IFERROR(B398*(V398+X398),"N/A")</f>
        <v>600126.969170928</v>
      </c>
      <c r="Z398" s="424"/>
      <c r="AA398" s="538" cm="1">
        <f t="array" ref="AA398">_xlfn.IFERROR(Y398+S398,"N/A")</f>
        <v>11231560.3025042</v>
      </c>
      <c r="AB398" s="538" cm="1">
        <f t="array" ref="AB398">_xlfn.IFERROR(AA398*0.5%,"N/A")</f>
        <v>56157.801512521</v>
      </c>
      <c r="AC398" s="538" cm="1">
        <f t="array" ref="AC398">_xlfn.IFERROR(AA398*25%,"N/A")</f>
        <v>2807890.07562605</v>
      </c>
      <c r="AD398" s="539" cm="1">
        <f t="array" ref="AD398">IF(B398&gt;0,SUM(AA398:AC398),"N/A")</f>
        <v>14095608.1796428</v>
      </c>
      <c r="AE398" s="538" cm="1">
        <f t="array" ref="AE398">_xlfn.IFERROR(AD398/B398,"N/A")</f>
        <v>4698536.05988093</v>
      </c>
      <c r="AF398" s="424"/>
      <c r="AG398" t="str" s="546" cm="1">
        <f t="array" ref="AG398">IF(B398/VLOOKUP(C393,'Boats Data Sheet 2026'!$C$3:$H$57,6,0)&gt;VLOOKUP(C393,'Allocation OH and Target 2026'!$C$3:$J$23,8,0),IF(SUM(AH395:AH397)=0,AE398,"N/A"),"N/A")</f>
        <v>N/A</v>
      </c>
      <c r="AH398" s="424" cm="1">
        <f t="array" ref="AH398">IF(AG398="N/A",0,1)</f>
        <v>0</v>
      </c>
      <c r="AI398" t="str" s="547" cm="1">
        <f t="array" ref="AI398">IF(B398/VLOOKUP(C393,'Boats Data Sheet 2026'!$C$3:$H$57,6,0)&gt;VLOOKUP(C393,'Allocation OH and Target 2026'!$C$3:$J$23,8,0),IF(SUM(AH395:AH397)=0,S398/B398,"N/A"),"N/A")</f>
        <v>N/A</v>
      </c>
      <c r="AJ398" s="424" cm="1">
        <f t="array" ref="AJ398">IF(AI398="N/A",0,1)</f>
        <v>0</v>
      </c>
      <c r="AK398" t="str" s="527" cm="1">
        <f t="array" ref="AK398">IF(SUM($AG$120:$AG$137)*B398&lt;SUM(AA398:AB398),"NO GO","GO")</f>
        <v>NO GO</v>
      </c>
      <c r="AL398" s="424"/>
      <c r="AM398" s="538"/>
      <c r="AN398" s="538"/>
      <c r="AO398" s="538"/>
      <c r="AP398" s="542"/>
      <c r="AQ398" s="543" cm="1">
        <f t="array" ref="AQ398">B398</f>
        <v>3</v>
      </c>
      <c r="AR398" s="18"/>
    </row>
    <row r="399" ht="16" customHeight="1">
      <c r="A399" s="12"/>
      <c r="B399" s="544" cm="1">
        <f t="array" ref="B399">IF(B398=0,0,IF(B398&lt;VLOOKUP(C393,'Boats Data Sheet 2026'!$C$3:$H$57,6,0),B398+1,0))</f>
        <v>4</v>
      </c>
      <c r="C399" s="538" cm="1">
        <f t="array" ref="C399">IF(B399&gt;0,IF(VLOOKUP(C393,'Boats Data Sheet 2026'!$C$3:$J$57,8,0)="N/A",0,VLOOKUP(C393,'Boats Data Sheet 2026'!$C$3:$J$57,8,0)),"N/A")</f>
        <v>8000000</v>
      </c>
      <c r="D399" s="545" cm="1">
        <f t="array" ref="D399">IF(B399&gt;7,2,IF(B399=0,"N/A",1))</f>
        <v>1</v>
      </c>
      <c r="E399" s="538" cm="1">
        <f t="array" ref="E399">_xlfn.IFERROR(SUM('Direct Costs 2026'!$C$4:$C$5)*D399,"N/A")</f>
        <v>875500</v>
      </c>
      <c r="F399" s="538" cm="1">
        <f t="array" ref="F399">_xlfn.IFERROR('Direct Costs 2026'!$C$43*B399,"N/A")</f>
        <v>24000</v>
      </c>
      <c r="G399" s="538" cm="1">
        <f t="array" ref="G399">IF(B399&gt;0,'Direct Costs 2026'!$C$25,"N/A")</f>
        <v>90000</v>
      </c>
      <c r="H399" s="538" cm="1">
        <f t="array" ref="H399">IF(B399&gt;0,'Direct Costs 2026'!$C$19+'Direct Costs 2026'!$C$18*B399,"N/A")</f>
        <v>215000</v>
      </c>
      <c r="I399" s="538" cm="1">
        <f t="array" ref="I399">IF(B399&gt;0,SUM('Direct Costs 2026'!$C$20:$C$21),"N/A")</f>
        <v>98333.3333333333</v>
      </c>
      <c r="J399" s="538">
        <v>0</v>
      </c>
      <c r="K399" s="538" cm="1">
        <f t="array" ref="K399">_xlfn.IFERROR((IF(B399&gt;0,'Direct Costs 2026'!$C$15+'Direct Costs 2026'!$C$14,"N/A")),"N/A")</f>
        <v>230000</v>
      </c>
      <c r="L399" s="538" cm="1">
        <f t="array" ref="L399">IF(B399&gt;0,'Direct Costs 2026'!$C$26,"N/A")</f>
        <v>20000</v>
      </c>
      <c r="M399" s="538" cm="1">
        <f t="array" ref="M399">IF(B399&gt;0,'Direct Costs 2026'!$C$23,"N/A")</f>
        <v>140000</v>
      </c>
      <c r="N399" s="538" cm="1">
        <f t="array" ref="N399">IF(B399&gt;0,'Direct Costs 2026'!$C$44*B399,"N/A")</f>
        <v>440000</v>
      </c>
      <c r="O399" t="str" s="547" cm="1">
        <f t="array" ref="O399">IF(B399&gt;0,_xlfn.IFERROR(VLOOKUP(C393,'Boats Data Sheet 2026'!$C$3:$I$57,7,0)*'Direct Costs 2026'!$C$36,"N/A"),"N/A")</f>
        <v>N/A</v>
      </c>
      <c r="P399" t="str" s="547" cm="1">
        <f t="array" ref="P399">IF(B399&gt;0,IF(OR(VLOOKUP(C393,'Boats Data Sheet 2026'!$C$3:$F$57,4,0)="Own",VLOOKUP(C393,'Boats Data Sheet 2026'!$C$3:$F$57,4,0)="Management"),('Direct Costs 2026'!$C$37+'Direct Costs 2026'!$C$39),"N/A"),"N/A")</f>
        <v>N/A</v>
      </c>
      <c r="Q399" s="538" cm="1">
        <f t="array" ref="Q399">_xlfn.IFERROR(IF(B399&gt;5,IF(B399&gt;11,IF(B399&gt;15,4,3),2),IF(B399=0,"N/A",1))*SUM('Direct Costs 2026'!$C$67:$C$68),"N/A")</f>
        <v>489600</v>
      </c>
      <c r="R399" s="538" cm="1">
        <f t="array" ref="R399">_xlfn.IFERROR('Direct Costs 2026'!$C$27*C399,"N/A")</f>
        <v>160000</v>
      </c>
      <c r="S399" s="538" cm="1">
        <f t="array" ref="S399">_xlfn.IFERROR(C399+SUM(E399:R399),"N/A")</f>
        <v>10782433.3333333</v>
      </c>
      <c r="T399" s="424"/>
      <c r="U399" s="538" cm="1">
        <f t="array" ref="U399">IF(B399&gt;0,'Allocation OH and Target 2026'!$E$27,"N/A")</f>
        <v>2134447.30345641</v>
      </c>
      <c r="V399" s="538" cm="1">
        <f t="array" ref="V399">IF(B399&gt;0,'Allocation OH and Target 2026'!$E$28,"N/A")</f>
        <v>200042.323056976</v>
      </c>
      <c r="W399" s="538" cm="1">
        <f t="array" ref="W399">IF(B399&gt;0,VLOOKUP(C393,'Allocation OH and Target 2026'!$C$3:$T$23,17,0),"N/A")</f>
        <v>0</v>
      </c>
      <c r="X399" s="538" cm="1">
        <f t="array" ref="X399">IF(B399&gt;0,VLOOKUP(C393,'Allocation OH and Target 2026'!$C$3:$T$23,18,0),"N/A")</f>
        <v>0</v>
      </c>
      <c r="Y399" s="538" cm="1">
        <f t="array" ref="Y399">_xlfn.IFERROR(B399*(V399+X399),"N/A")</f>
        <v>800169.292227904</v>
      </c>
      <c r="Z399" s="424"/>
      <c r="AA399" s="538" cm="1">
        <f t="array" ref="AA399">_xlfn.IFERROR(Y399+S399,"N/A")</f>
        <v>11582602.6255612</v>
      </c>
      <c r="AB399" s="538" cm="1">
        <f t="array" ref="AB399">_xlfn.IFERROR(AA399*0.5%,"N/A")</f>
        <v>57913.013127806</v>
      </c>
      <c r="AC399" s="538" cm="1">
        <f t="array" ref="AC399">_xlfn.IFERROR(AA399*25%,"N/A")</f>
        <v>2895650.6563903</v>
      </c>
      <c r="AD399" s="539" cm="1">
        <f t="array" ref="AD399">IF(B399&gt;0,SUM(AA399:AC399),"N/A")</f>
        <v>14536166.2950793</v>
      </c>
      <c r="AE399" s="538" cm="1">
        <f t="array" ref="AE399">_xlfn.IFERROR(AD399/B399,"N/A")</f>
        <v>3634041.57376983</v>
      </c>
      <c r="AF399" s="424"/>
      <c r="AG399" t="str" s="546" cm="1">
        <f t="array" ref="AG399">IF(B399/VLOOKUP(C393,'Boats Data Sheet 2026'!$C$3:$H$57,6,0)&gt;VLOOKUP(C393,'Allocation OH and Target 2026'!$C$3:$J$23,8,0),IF(SUM(AH395:AH398)=0,AE399,"N/A"),"N/A")</f>
        <v>N/A</v>
      </c>
      <c r="AH399" s="424" cm="1">
        <f t="array" ref="AH399">IF(AG399="N/A",0,1)</f>
        <v>0</v>
      </c>
      <c r="AI399" t="str" s="547" cm="1">
        <f t="array" ref="AI399">IF(B399/VLOOKUP(C393,'Boats Data Sheet 2026'!$C$3:$H$57,6,0)&gt;VLOOKUP(C393,'Allocation OH and Target 2026'!$C$3:$J$23,8,0),IF(SUM(AH395:AH398)=0,S399/B399,"N/A"),"N/A")</f>
        <v>N/A</v>
      </c>
      <c r="AJ399" s="424" cm="1">
        <f t="array" ref="AJ399">IF(AI399="N/A",0,1)</f>
        <v>0</v>
      </c>
      <c r="AK399" t="str" s="527" cm="1">
        <f t="array" ref="AK399">IF(SUM($AG$120:$AG$137)*B399&lt;SUM(AA399:AB399),"NO GO","GO")</f>
        <v>NO GO</v>
      </c>
      <c r="AL399" s="424"/>
      <c r="AM399" s="568"/>
      <c r="AN399" s="538"/>
      <c r="AO399" s="538"/>
      <c r="AP399" s="542"/>
      <c r="AQ399" s="543" cm="1">
        <f t="array" ref="AQ399">B399</f>
        <v>4</v>
      </c>
      <c r="AR399" s="18"/>
    </row>
    <row r="400" ht="16" customHeight="1">
      <c r="A400" s="12"/>
      <c r="B400" s="544" cm="1">
        <f t="array" ref="B400">IF(B399=0,0,IF(B399&lt;VLOOKUP(C393,'Boats Data Sheet 2026'!$C$3:$H$57,6,0),B399+1,0))</f>
        <v>5</v>
      </c>
      <c r="C400" s="538" cm="1">
        <f t="array" ref="C400">IF(B400&gt;0,IF(VLOOKUP(C393,'Boats Data Sheet 2026'!$C$3:$J$57,8,0)="N/A",0,VLOOKUP(C393,'Boats Data Sheet 2026'!$C$3:$J$57,8,0)),"N/A")</f>
        <v>8000000</v>
      </c>
      <c r="D400" s="545" cm="1">
        <f t="array" ref="D400">IF(B400&gt;7,2,IF(B400=0,"N/A",1))</f>
        <v>1</v>
      </c>
      <c r="E400" s="538" cm="1">
        <f t="array" ref="E400">_xlfn.IFERROR(SUM('Direct Costs 2026'!$C$4:$C$5)*D400,"N/A")</f>
        <v>875500</v>
      </c>
      <c r="F400" s="538" cm="1">
        <f t="array" ref="F400">_xlfn.IFERROR('Direct Costs 2026'!$C$43*B400,"N/A")</f>
        <v>30000</v>
      </c>
      <c r="G400" s="538" cm="1">
        <f t="array" ref="G400">IF(B400&gt;0,'Direct Costs 2026'!$C$25,"N/A")</f>
        <v>90000</v>
      </c>
      <c r="H400" s="538" cm="1">
        <f t="array" ref="H400">IF(B400&gt;0,'Direct Costs 2026'!$C$19+'Direct Costs 2026'!$C$18*B400,"N/A")</f>
        <v>250000</v>
      </c>
      <c r="I400" s="538" cm="1">
        <f t="array" ref="I400">IF(B400&gt;0,SUM('Direct Costs 2026'!$C$20:$C$21),"N/A")</f>
        <v>98333.3333333333</v>
      </c>
      <c r="J400" s="538">
        <v>0</v>
      </c>
      <c r="K400" s="538" cm="1">
        <f t="array" ref="K400">_xlfn.IFERROR((IF(B400&gt;0,'Direct Costs 2026'!$C$15+'Direct Costs 2026'!$C$14,"N/A")),"N/A")</f>
        <v>230000</v>
      </c>
      <c r="L400" s="538" cm="1">
        <f t="array" ref="L400">IF(B400&gt;0,'Direct Costs 2026'!$C$26,"N/A")</f>
        <v>20000</v>
      </c>
      <c r="M400" s="538" cm="1">
        <f t="array" ref="M400">IF(B400&gt;0,'Direct Costs 2026'!$C$23,"N/A")</f>
        <v>140000</v>
      </c>
      <c r="N400" s="538" cm="1">
        <f t="array" ref="N400">IF(B400&gt;0,'Direct Costs 2026'!$C$44*B400,"N/A")</f>
        <v>550000</v>
      </c>
      <c r="O400" t="str" s="547" cm="1">
        <f t="array" ref="O400">IF(B400&gt;0,_xlfn.IFERROR(VLOOKUP(C393,'Boats Data Sheet 2026'!$C$3:$I$57,7,0)*'Direct Costs 2026'!$C$36,"N/A"),"N/A")</f>
        <v>N/A</v>
      </c>
      <c r="P400" t="str" s="547" cm="1">
        <f t="array" ref="P400">IF(B400&gt;0,IF(OR(VLOOKUP(C393,'Boats Data Sheet 2026'!$C$3:$F$57,4,0)="Own",VLOOKUP(C393,'Boats Data Sheet 2026'!$C$3:$F$57,4,0)="Management"),('Direct Costs 2026'!$C$37+'Direct Costs 2026'!$C$39),"N/A"),"N/A")</f>
        <v>N/A</v>
      </c>
      <c r="Q400" s="538" cm="1">
        <f t="array" ref="Q400">_xlfn.IFERROR(IF(B400&gt;5,IF(B400&gt;11,IF(B400&gt;15,4,3),2),IF(B400=0,"N/A",1))*SUM('Direct Costs 2026'!$C$67:$C$68),"N/A")</f>
        <v>489600</v>
      </c>
      <c r="R400" s="538" cm="1">
        <f t="array" ref="R400">_xlfn.IFERROR('Direct Costs 2026'!$C$27*C400,"N/A")</f>
        <v>160000</v>
      </c>
      <c r="S400" s="538" cm="1">
        <f t="array" ref="S400">_xlfn.IFERROR(C400+SUM(E400:R400),"N/A")</f>
        <v>10933433.3333333</v>
      </c>
      <c r="T400" s="424"/>
      <c r="U400" s="538" cm="1">
        <f t="array" ref="U400">IF(B400&gt;0,'Allocation OH and Target 2026'!$E$27,"N/A")</f>
        <v>2134447.30345641</v>
      </c>
      <c r="V400" s="538" cm="1">
        <f t="array" ref="V400">IF(B400&gt;0,'Allocation OH and Target 2026'!$E$28,"N/A")</f>
        <v>200042.323056976</v>
      </c>
      <c r="W400" s="538" cm="1">
        <f t="array" ref="W400">IF(B400&gt;0,VLOOKUP(C393,'Allocation OH and Target 2026'!$C$3:$T$23,17,0),"N/A")</f>
        <v>0</v>
      </c>
      <c r="X400" s="538" cm="1">
        <f t="array" ref="X400">IF(B400&gt;0,VLOOKUP(C393,'Allocation OH and Target 2026'!$C$3:$T$23,18,0),"N/A")</f>
        <v>0</v>
      </c>
      <c r="Y400" s="538" cm="1">
        <f t="array" ref="Y400">_xlfn.IFERROR(B400*(V400+X400),"N/A")</f>
        <v>1000211.61528488</v>
      </c>
      <c r="Z400" s="424"/>
      <c r="AA400" s="538" cm="1">
        <f t="array" ref="AA400">_xlfn.IFERROR(Y400+S400,"N/A")</f>
        <v>11933644.9486182</v>
      </c>
      <c r="AB400" s="538" cm="1">
        <f t="array" ref="AB400">_xlfn.IFERROR(AA400*0.5%,"N/A")</f>
        <v>59668.224743091</v>
      </c>
      <c r="AC400" s="538" cm="1">
        <f t="array" ref="AC400">_xlfn.IFERROR(AA400*25%,"N/A")</f>
        <v>2983411.23715455</v>
      </c>
      <c r="AD400" s="539" cm="1">
        <f t="array" ref="AD400">IF(B400&gt;0,SUM(AA400:AC400),"N/A")</f>
        <v>14976724.4105158</v>
      </c>
      <c r="AE400" s="538" cm="1">
        <f t="array" ref="AE400">_xlfn.IFERROR(AD400/B400,"N/A")</f>
        <v>2995344.88210316</v>
      </c>
      <c r="AF400" s="424"/>
      <c r="AG400" t="str" s="546" cm="1">
        <f t="array" ref="AG400">IF(B400/VLOOKUP(C393,'Boats Data Sheet 2026'!$C$3:$H$57,6,0)&gt;VLOOKUP(C393,'Allocation OH and Target 2026'!$C$3:$J$23,8,0),IF(SUM(AH395:AH399)=0,AE400,"N/A"),"N/A")</f>
        <v>N/A</v>
      </c>
      <c r="AH400" s="424" cm="1">
        <f t="array" ref="AH400">IF(AG400="N/A",0,1)</f>
        <v>0</v>
      </c>
      <c r="AI400" t="str" s="547" cm="1">
        <f t="array" ref="AI400">IF(B400/VLOOKUP(C393,'Boats Data Sheet 2026'!$C$3:$H$57,6,0)&gt;VLOOKUP(C393,'Allocation OH and Target 2026'!$C$3:$J$23,8,0),IF(SUM(AH395:AH399)=0,S400/B400,"N/A"),"N/A")</f>
        <v>N/A</v>
      </c>
      <c r="AJ400" s="424" cm="1">
        <f t="array" ref="AJ400">IF(AI400="N/A",0,1)</f>
        <v>0</v>
      </c>
      <c r="AK400" t="str" s="527" cm="1">
        <f t="array" ref="AK400">IF(SUM($AG$120:$AG$137)*B400&lt;SUM(AA400:AB400),"NO GO","GO")</f>
        <v>NO GO</v>
      </c>
      <c r="AL400" s="424"/>
      <c r="AM400" s="568"/>
      <c r="AN400" s="538"/>
      <c r="AO400" s="538"/>
      <c r="AP400" s="542"/>
      <c r="AQ400" s="543" cm="1">
        <f t="array" ref="AQ400">B400</f>
        <v>5</v>
      </c>
      <c r="AR400" s="18"/>
    </row>
    <row r="401" ht="16" customHeight="1">
      <c r="A401" s="12"/>
      <c r="B401" s="544" cm="1">
        <f t="array" ref="B401">IF(B400=0,0,IF(B400&lt;VLOOKUP(C393,'Boats Data Sheet 2026'!$C$3:$H$57,6,0),B400+1,0))</f>
        <v>6</v>
      </c>
      <c r="C401" s="538" cm="1">
        <f t="array" ref="C401">IF(B401&gt;0,IF(VLOOKUP(C393,'Boats Data Sheet 2026'!$C$3:$J$57,8,0)="N/A",0,VLOOKUP(C393,'Boats Data Sheet 2026'!$C$3:$J$57,8,0)),"N/A")</f>
        <v>8000000</v>
      </c>
      <c r="D401" s="545" cm="1">
        <f t="array" ref="D401">IF(B401&gt;7,2,IF(B401=0,"N/A",1))</f>
        <v>1</v>
      </c>
      <c r="E401" s="538" cm="1">
        <f t="array" ref="E401">_xlfn.IFERROR(SUM('Direct Costs 2026'!$C$4:$C$5)*D401,"N/A")</f>
        <v>875500</v>
      </c>
      <c r="F401" s="538" cm="1">
        <f t="array" ref="F401">_xlfn.IFERROR('Direct Costs 2026'!$C$43*B401,"N/A")</f>
        <v>36000</v>
      </c>
      <c r="G401" s="538" cm="1">
        <f t="array" ref="G401">IF(B401&gt;0,'Direct Costs 2026'!$C$25,"N/A")</f>
        <v>90000</v>
      </c>
      <c r="H401" s="538" cm="1">
        <f t="array" ref="H401">IF(B401&gt;0,'Direct Costs 2026'!$C$19+'Direct Costs 2026'!$C$18*B401,"N/A")</f>
        <v>285000</v>
      </c>
      <c r="I401" s="538" cm="1">
        <f t="array" ref="I401">IF(B401&gt;0,SUM('Direct Costs 2026'!$C$20:$C$21),"N/A")</f>
        <v>98333.3333333333</v>
      </c>
      <c r="J401" s="538">
        <v>0</v>
      </c>
      <c r="K401" s="538" cm="1">
        <f t="array" ref="K401">_xlfn.IFERROR((IF(B401&gt;0,'Direct Costs 2026'!$C$15+'Direct Costs 2026'!$C$14,"N/A")),"N/A")</f>
        <v>230000</v>
      </c>
      <c r="L401" s="538" cm="1">
        <f t="array" ref="L401">IF(B401&gt;0,'Direct Costs 2026'!$C$26,"N/A")</f>
        <v>20000</v>
      </c>
      <c r="M401" s="538" cm="1">
        <f t="array" ref="M401">IF(B401&gt;0,'Direct Costs 2026'!$C$23,"N/A")</f>
        <v>140000</v>
      </c>
      <c r="N401" s="538" cm="1">
        <f t="array" ref="N401">IF(B401&gt;0,'Direct Costs 2026'!$C$44*B401,"N/A")</f>
        <v>660000</v>
      </c>
      <c r="O401" t="str" s="547" cm="1">
        <f t="array" ref="O401">IF(B401&gt;0,_xlfn.IFERROR(VLOOKUP(C393,'Boats Data Sheet 2026'!$C$3:$I$57,7,0)*'Direct Costs 2026'!$C$36,"N/A"),"N/A")</f>
        <v>N/A</v>
      </c>
      <c r="P401" t="str" s="547" cm="1">
        <f t="array" ref="P401">IF(B401&gt;0,IF(OR(VLOOKUP(C393,'Boats Data Sheet 2026'!$C$3:$F$57,4,0)="Own",VLOOKUP(C393,'Boats Data Sheet 2026'!$C$3:$F$57,4,0)="Management"),('Direct Costs 2026'!$C$37+'Direct Costs 2026'!$C$39),"N/A"),"N/A")</f>
        <v>N/A</v>
      </c>
      <c r="Q401" s="538" cm="1">
        <f t="array" ref="Q401">_xlfn.IFERROR(IF(B401&gt;5,IF(B401&gt;11,IF(B401&gt;15,4,3),2),IF(B401=0,"N/A",1))*SUM('Direct Costs 2026'!$C$67:$C$68),"N/A")</f>
        <v>979200</v>
      </c>
      <c r="R401" s="538" cm="1">
        <f t="array" ref="R401">_xlfn.IFERROR('Direct Costs 2026'!$C$27*C401,"N/A")</f>
        <v>160000</v>
      </c>
      <c r="S401" s="538" cm="1">
        <f t="array" ref="S401">_xlfn.IFERROR(C401+SUM(E401:R401),"N/A")</f>
        <v>11574033.3333333</v>
      </c>
      <c r="T401" s="424"/>
      <c r="U401" s="538" cm="1">
        <f t="array" ref="U401">IF(B401&gt;0,'Allocation OH and Target 2026'!$E$27,"N/A")</f>
        <v>2134447.30345641</v>
      </c>
      <c r="V401" s="538" cm="1">
        <f t="array" ref="V401">IF(B401&gt;0,'Allocation OH and Target 2026'!$E$28,"N/A")</f>
        <v>200042.323056976</v>
      </c>
      <c r="W401" s="538" cm="1">
        <f t="array" ref="W401">IF(B401&gt;0,VLOOKUP(C393,'Allocation OH and Target 2026'!$C$3:$T$23,17,0),"N/A")</f>
        <v>0</v>
      </c>
      <c r="X401" s="538" cm="1">
        <f t="array" ref="X401">IF(B401&gt;0,VLOOKUP(C393,'Allocation OH and Target 2026'!$C$3:$T$23,18,0),"N/A")</f>
        <v>0</v>
      </c>
      <c r="Y401" s="538" cm="1">
        <f t="array" ref="Y401">_xlfn.IFERROR(B401*(V401+X401),"N/A")</f>
        <v>1200253.93834186</v>
      </c>
      <c r="Z401" s="424"/>
      <c r="AA401" s="538" cm="1">
        <f t="array" ref="AA401">_xlfn.IFERROR(Y401+S401,"N/A")</f>
        <v>12774287.2716752</v>
      </c>
      <c r="AB401" s="538" cm="1">
        <f t="array" ref="AB401">_xlfn.IFERROR(AA401*0.5%,"N/A")</f>
        <v>63871.436358376</v>
      </c>
      <c r="AC401" s="538" cm="1">
        <f t="array" ref="AC401">_xlfn.IFERROR(AA401*25%,"N/A")</f>
        <v>3193571.8179188</v>
      </c>
      <c r="AD401" s="539" cm="1">
        <f t="array" ref="AD401">IF(B401&gt;0,SUM(AA401:AC401),"N/A")</f>
        <v>16031730.5259524</v>
      </c>
      <c r="AE401" s="538" cm="1">
        <f t="array" ref="AE401">_xlfn.IFERROR(AD401/B401,"N/A")</f>
        <v>2671955.08765873</v>
      </c>
      <c r="AF401" s="424"/>
      <c r="AG401" t="str" s="546" cm="1">
        <f t="array" ref="AG401">IF(B401/VLOOKUP(C393,'Boats Data Sheet 2026'!$C$3:$H$57,6,0)&gt;VLOOKUP(C393,'Allocation OH and Target 2026'!$C$3:$J$23,8,0),IF(SUM(AH395:AH400)=0,AE401,"N/A"),"N/A")</f>
        <v>N/A</v>
      </c>
      <c r="AH401" s="424" cm="1">
        <f t="array" ref="AH401">IF(AG401="N/A",0,1)</f>
        <v>0</v>
      </c>
      <c r="AI401" t="str" s="547" cm="1">
        <f t="array" ref="AI401">IF(B401/VLOOKUP(C393,'Boats Data Sheet 2026'!$C$3:$H$57,6,0)&gt;VLOOKUP(C393,'Allocation OH and Target 2026'!$C$3:$J$23,8,0),IF(SUM(AH395:AH400)=0,S401/B401,"N/A"),"N/A")</f>
        <v>N/A</v>
      </c>
      <c r="AJ401" s="424" cm="1">
        <f t="array" ref="AJ401">IF(AI401="N/A",0,1)</f>
        <v>0</v>
      </c>
      <c r="AK401" t="str" s="527" cm="1">
        <f t="array" ref="AK401">IF(SUM($AG$120:$AG$137)*B401&lt;SUM(AA401:AB401),"NO GO","GO")</f>
        <v>NO GO</v>
      </c>
      <c r="AL401" s="424"/>
      <c r="AM401" s="568"/>
      <c r="AN401" s="538"/>
      <c r="AO401" s="538"/>
      <c r="AP401" s="542"/>
      <c r="AQ401" s="543" cm="1">
        <f t="array" ref="AQ401">B401</f>
        <v>6</v>
      </c>
      <c r="AR401" s="18"/>
    </row>
    <row r="402" ht="16" customHeight="1">
      <c r="A402" s="12"/>
      <c r="B402" s="544" cm="1">
        <f t="array" ref="B402">IF(B401=0,0,IF(B401&lt;VLOOKUP(C393,'Boats Data Sheet 2026'!$C$3:$H$57,6,0),B401+1,0))</f>
        <v>7</v>
      </c>
      <c r="C402" s="538" cm="1">
        <f t="array" ref="C402">IF(B402&gt;0,IF(VLOOKUP(C393,'Boats Data Sheet 2026'!$C$3:$J$57,8,0)="N/A",0,VLOOKUP(C393,'Boats Data Sheet 2026'!$C$3:$J$57,8,0)),"N/A")</f>
        <v>8000000</v>
      </c>
      <c r="D402" s="545" cm="1">
        <f t="array" ref="D402">IF(B402&gt;7,2,IF(B402=0,"N/A",1))</f>
        <v>1</v>
      </c>
      <c r="E402" s="538" cm="1">
        <f t="array" ref="E402">_xlfn.IFERROR(SUM('Direct Costs 2026'!$C$4:$C$5)*D402,"N/A")</f>
        <v>875500</v>
      </c>
      <c r="F402" s="538" cm="1">
        <f t="array" ref="F402">_xlfn.IFERROR('Direct Costs 2026'!$C$43*B402,"N/A")</f>
        <v>42000</v>
      </c>
      <c r="G402" s="538" cm="1">
        <f t="array" ref="G402">IF(B402&gt;0,'Direct Costs 2026'!$C$25,"N/A")</f>
        <v>90000</v>
      </c>
      <c r="H402" s="538" cm="1">
        <f t="array" ref="H402">IF(B402&gt;0,'Direct Costs 2026'!$C$19+'Direct Costs 2026'!$C$18*B402,"N/A")</f>
        <v>320000</v>
      </c>
      <c r="I402" s="538" cm="1">
        <f t="array" ref="I402">IF(B402&gt;0,SUM('Direct Costs 2026'!$C$20:$C$21),"N/A")</f>
        <v>98333.3333333333</v>
      </c>
      <c r="J402" s="538">
        <v>0</v>
      </c>
      <c r="K402" s="538" cm="1">
        <f t="array" ref="K402">_xlfn.IFERROR((IF(B402&gt;0,'Direct Costs 2026'!$C$15+'Direct Costs 2026'!$C$14,"N/A")),"N/A")</f>
        <v>230000</v>
      </c>
      <c r="L402" s="538" cm="1">
        <f t="array" ref="L402">IF(B402&gt;0,'Direct Costs 2026'!$C$26,"N/A")</f>
        <v>20000</v>
      </c>
      <c r="M402" s="538" cm="1">
        <f t="array" ref="M402">IF(B402&gt;0,'Direct Costs 2026'!$C$23,"N/A")</f>
        <v>140000</v>
      </c>
      <c r="N402" s="538" cm="1">
        <f t="array" ref="N402">IF(B402&gt;0,'Direct Costs 2026'!$C$44*B402,"N/A")</f>
        <v>770000</v>
      </c>
      <c r="O402" t="str" s="547" cm="1">
        <f t="array" ref="O402">IF(B402&gt;0,_xlfn.IFERROR(VLOOKUP(C393,'Boats Data Sheet 2026'!$C$3:$I$57,7,0)*'Direct Costs 2026'!$C$36,"N/A"),"N/A")</f>
        <v>N/A</v>
      </c>
      <c r="P402" t="str" s="547" cm="1">
        <f t="array" ref="P402">IF(B402&gt;0,IF(OR(VLOOKUP(C393,'Boats Data Sheet 2026'!$C$3:$F$57,4,0)="Own",VLOOKUP(C393,'Boats Data Sheet 2026'!$C$3:$F$57,4,0)="Management"),('Direct Costs 2026'!$C$37+'Direct Costs 2026'!$C$39),"N/A"),"N/A")</f>
        <v>N/A</v>
      </c>
      <c r="Q402" s="538" cm="1">
        <f t="array" ref="Q402">_xlfn.IFERROR(IF(B402&gt;5,IF(B402&gt;11,IF(B402&gt;15,4,3),2),IF(B402=0,"N/A",1))*SUM('Direct Costs 2026'!$C$67:$C$68),"N/A")</f>
        <v>979200</v>
      </c>
      <c r="R402" s="538" cm="1">
        <f t="array" ref="R402">_xlfn.IFERROR('Direct Costs 2026'!$C$27*C402,"N/A")</f>
        <v>160000</v>
      </c>
      <c r="S402" s="538" cm="1">
        <f t="array" ref="S402">_xlfn.IFERROR(C402+SUM(E402:R402),"N/A")</f>
        <v>11725033.3333333</v>
      </c>
      <c r="T402" s="424"/>
      <c r="U402" s="538" cm="1">
        <f t="array" ref="U402">IF(B402&gt;0,'Allocation OH and Target 2026'!$E$27,"N/A")</f>
        <v>2134447.30345641</v>
      </c>
      <c r="V402" s="538" cm="1">
        <f t="array" ref="V402">IF(B402&gt;0,'Allocation OH and Target 2026'!$E$28,"N/A")</f>
        <v>200042.323056976</v>
      </c>
      <c r="W402" s="538" cm="1">
        <f t="array" ref="W402">IF(B402&gt;0,VLOOKUP(C393,'Allocation OH and Target 2026'!$C$3:$T$23,17,0),"N/A")</f>
        <v>0</v>
      </c>
      <c r="X402" s="538" cm="1">
        <f t="array" ref="X402">IF(B402&gt;0,VLOOKUP(C393,'Allocation OH and Target 2026'!$C$3:$T$23,18,0),"N/A")</f>
        <v>0</v>
      </c>
      <c r="Y402" s="538" cm="1">
        <f t="array" ref="Y402">_xlfn.IFERROR(B402*(V402+X402),"N/A")</f>
        <v>1400296.26139883</v>
      </c>
      <c r="Z402" s="424"/>
      <c r="AA402" s="538" cm="1">
        <f t="array" ref="AA402">_xlfn.IFERROR(Y402+S402,"N/A")</f>
        <v>13125329.5947321</v>
      </c>
      <c r="AB402" s="538" cm="1">
        <f t="array" ref="AB402">_xlfn.IFERROR(AA402*0.5%,"N/A")</f>
        <v>65626.6479736605</v>
      </c>
      <c r="AC402" s="538" cm="1">
        <f t="array" ref="AC402">_xlfn.IFERROR(AA402*25%,"N/A")</f>
        <v>3281332.39868303</v>
      </c>
      <c r="AD402" s="539" cm="1">
        <f t="array" ref="AD402">IF(B402&gt;0,SUM(AA402:AC402),"N/A")</f>
        <v>16472288.6413888</v>
      </c>
      <c r="AE402" s="538" cm="1">
        <f t="array" ref="AE402">_xlfn.IFERROR(AD402/B402,"N/A")</f>
        <v>2353184.09162697</v>
      </c>
      <c r="AF402" s="424"/>
      <c r="AG402" t="str" s="546" cm="1">
        <f t="array" ref="AG402">IF(B402/VLOOKUP(C393,'Boats Data Sheet 2026'!$C$3:$H$57,6,0)&gt;VLOOKUP(C393,'Allocation OH and Target 2026'!$C$3:$J$23,8,0),IF(SUM(AH395:AH401)=0,AE402,"N/A"),"N/A")</f>
        <v>N/A</v>
      </c>
      <c r="AH402" s="424" cm="1">
        <f t="array" ref="AH402">IF(AG402="N/A",0,1)</f>
        <v>0</v>
      </c>
      <c r="AI402" t="str" s="547" cm="1">
        <f t="array" ref="AI402">IF(B402/VLOOKUP(C393,'Boats Data Sheet 2026'!$C$3:$H$57,6,0)&gt;VLOOKUP(C393,'Allocation OH and Target 2026'!$C$3:$J$23,8,0),IF(SUM(AH395:AH401)=0,S402/B402,"N/A"),"N/A")</f>
        <v>N/A</v>
      </c>
      <c r="AJ402" s="424" cm="1">
        <f t="array" ref="AJ402">IF(AI402="N/A",0,1)</f>
        <v>0</v>
      </c>
      <c r="AK402" t="str" s="527" cm="1">
        <f t="array" ref="AK402">IF(SUM($AG$120:$AG$137)*B402&lt;SUM(AA402:AB402),"NO GO","GO")</f>
        <v>NO GO</v>
      </c>
      <c r="AL402" s="424"/>
      <c r="AM402" s="568"/>
      <c r="AN402" s="538"/>
      <c r="AO402" s="538"/>
      <c r="AP402" s="542"/>
      <c r="AQ402" s="543" cm="1">
        <f t="array" ref="AQ402">B402</f>
        <v>7</v>
      </c>
      <c r="AR402" s="18"/>
    </row>
    <row r="403" ht="16" customHeight="1">
      <c r="A403" s="12"/>
      <c r="B403" s="544" cm="1">
        <f t="array" ref="B403">IF(B402=0,0,IF(B402&lt;VLOOKUP(C393,'Boats Data Sheet 2026'!$C$3:$H$57,6,0),B402+1,0))</f>
        <v>8</v>
      </c>
      <c r="C403" s="538" cm="1">
        <f t="array" ref="C403">IF(B403&gt;0,IF(VLOOKUP(C393,'Boats Data Sheet 2026'!$C$3:$J$57,8,0)="N/A",0,VLOOKUP(C393,'Boats Data Sheet 2026'!$C$3:$J$57,8,0)),"N/A")</f>
        <v>8000000</v>
      </c>
      <c r="D403" s="545" cm="1">
        <f t="array" ref="D403">IF(B403&gt;7,2,IF(B403=0,"N/A",1))</f>
        <v>2</v>
      </c>
      <c r="E403" s="538" cm="1">
        <f t="array" ref="E403">_xlfn.IFERROR(SUM('Direct Costs 2026'!$C$4:$C$5)*D403,"N/A")</f>
        <v>1751000</v>
      </c>
      <c r="F403" s="538" cm="1">
        <f t="array" ref="F403">_xlfn.IFERROR('Direct Costs 2026'!$C$43*B403,"N/A")</f>
        <v>48000</v>
      </c>
      <c r="G403" s="538" cm="1">
        <f t="array" ref="G403">IF(B403&gt;0,'Direct Costs 2026'!$C$25,"N/A")</f>
        <v>90000</v>
      </c>
      <c r="H403" s="538" cm="1">
        <f t="array" ref="H403">IF(B403&gt;0,'Direct Costs 2026'!$C$19+'Direct Costs 2026'!$C$18*B403,"N/A")</f>
        <v>355000</v>
      </c>
      <c r="I403" s="538" cm="1">
        <f t="array" ref="I403">IF(B403&gt;0,SUM('Direct Costs 2026'!$C$20:$C$21),"N/A")</f>
        <v>98333.3333333333</v>
      </c>
      <c r="J403" s="538">
        <v>0</v>
      </c>
      <c r="K403" s="538" cm="1">
        <f t="array" ref="K403">_xlfn.IFERROR((IF(B403&gt;0,'Direct Costs 2026'!$C$15+'Direct Costs 2026'!$C$14,"N/A")),"N/A")</f>
        <v>230000</v>
      </c>
      <c r="L403" s="538" cm="1">
        <f t="array" ref="L403">IF(B403&gt;0,'Direct Costs 2026'!$C$26,"N/A")</f>
        <v>20000</v>
      </c>
      <c r="M403" s="538" cm="1">
        <f t="array" ref="M403">IF(B403&gt;0,'Direct Costs 2026'!$C$23,"N/A")</f>
        <v>140000</v>
      </c>
      <c r="N403" s="538" cm="1">
        <f t="array" ref="N403">IF(B403&gt;0,'Direct Costs 2026'!$C$44*B403,"N/A")</f>
        <v>880000</v>
      </c>
      <c r="O403" t="str" s="547" cm="1">
        <f t="array" ref="O403">IF(B403&gt;0,_xlfn.IFERROR(VLOOKUP(C393,'Boats Data Sheet 2026'!$C$3:$I$57,7,0)*'Direct Costs 2026'!$C$36,"N/A"),"N/A")</f>
        <v>N/A</v>
      </c>
      <c r="P403" t="str" s="547" cm="1">
        <f t="array" ref="P403">IF(B403&gt;0,IF(OR(VLOOKUP(C393,'Boats Data Sheet 2026'!$C$3:$F$57,4,0)="Own",VLOOKUP(C393,'Boats Data Sheet 2026'!$C$3:$F$57,4,0)="Management"),('Direct Costs 2026'!$C$37+'Direct Costs 2026'!$C$39),"N/A"),"N/A")</f>
        <v>N/A</v>
      </c>
      <c r="Q403" s="538" cm="1">
        <f t="array" ref="Q403">_xlfn.IFERROR(IF(B403&gt;5,IF(B403&gt;11,IF(B403&gt;15,4,3),2),IF(B403=0,"N/A",1))*SUM('Direct Costs 2026'!$C$67:$C$68),"N/A")</f>
        <v>979200</v>
      </c>
      <c r="R403" s="538" cm="1">
        <f t="array" ref="R403">_xlfn.IFERROR('Direct Costs 2026'!$C$27*C403,"N/A")</f>
        <v>160000</v>
      </c>
      <c r="S403" s="538" cm="1">
        <f t="array" ref="S403">_xlfn.IFERROR(C403+SUM(E403:R403),"N/A")</f>
        <v>12751533.3333333</v>
      </c>
      <c r="T403" s="424"/>
      <c r="U403" s="538" cm="1">
        <f t="array" ref="U403">IF(B403&gt;0,'Allocation OH and Target 2026'!$E$27,"N/A")</f>
        <v>2134447.30345641</v>
      </c>
      <c r="V403" s="538" cm="1">
        <f t="array" ref="V403">IF(B403&gt;0,'Allocation OH and Target 2026'!$E$28,"N/A")</f>
        <v>200042.323056976</v>
      </c>
      <c r="W403" s="538" cm="1">
        <f t="array" ref="W403">IF(B403&gt;0,VLOOKUP(C393,'Allocation OH and Target 2026'!$C$3:$T$23,17,0),"N/A")</f>
        <v>0</v>
      </c>
      <c r="X403" s="538" cm="1">
        <f t="array" ref="X403">IF(B403&gt;0,VLOOKUP(C393,'Allocation OH and Target 2026'!$C$3:$T$23,18,0),"N/A")</f>
        <v>0</v>
      </c>
      <c r="Y403" s="538" cm="1">
        <f t="array" ref="Y403">_xlfn.IFERROR(B403*(V403+X403),"N/A")</f>
        <v>1600338.58445581</v>
      </c>
      <c r="Z403" s="424"/>
      <c r="AA403" s="538" cm="1">
        <f t="array" ref="AA403">_xlfn.IFERROR(Y403+S403,"N/A")</f>
        <v>14351871.9177891</v>
      </c>
      <c r="AB403" s="538" cm="1">
        <f t="array" ref="AB403">_xlfn.IFERROR(AA403*0.5%,"N/A")</f>
        <v>71759.3595889455</v>
      </c>
      <c r="AC403" s="538" cm="1">
        <f t="array" ref="AC403">_xlfn.IFERROR(AA403*25%,"N/A")</f>
        <v>3587967.97944728</v>
      </c>
      <c r="AD403" s="539" cm="1">
        <f t="array" ref="AD403">IF(B403&gt;0,SUM(AA403:AC403),"N/A")</f>
        <v>18011599.2568253</v>
      </c>
      <c r="AE403" s="538" cm="1">
        <f t="array" ref="AE403">_xlfn.IFERROR(AD403/B403,"N/A")</f>
        <v>2251449.90710316</v>
      </c>
      <c r="AF403" s="424"/>
      <c r="AG403" t="str" s="546" cm="1">
        <f t="array" ref="AG403">IF(B403/VLOOKUP(C393,'Boats Data Sheet 2026'!$C$3:$H$57,6,0)&gt;VLOOKUP(C393,'Allocation OH and Target 2026'!$C$3:$J$23,8,0),IF(SUM(AH395:AH402)=0,AE403,"N/A"),"N/A")</f>
        <v>N/A</v>
      </c>
      <c r="AH403" s="424" cm="1">
        <f t="array" ref="AH403">IF(AG403="N/A",0,1)</f>
        <v>0</v>
      </c>
      <c r="AI403" t="str" s="547" cm="1">
        <f t="array" ref="AI403">IF(B403/VLOOKUP(C393,'Boats Data Sheet 2026'!$C$3:$H$57,6,0)&gt;VLOOKUP(C393,'Allocation OH and Target 2026'!$C$3:$J$23,8,0),IF(SUM(AH395:AH402)=0,S403/B403,"N/A"),"N/A")</f>
        <v>N/A</v>
      </c>
      <c r="AJ403" s="424" cm="1">
        <f t="array" ref="AJ403">IF(AI403="N/A",0,1)</f>
        <v>0</v>
      </c>
      <c r="AK403" t="str" s="527" cm="1">
        <f t="array" ref="AK403">IF(SUM($AG$120:$AG$137)*B403&lt;SUM(AA403:AB403),"NO GO","GO")</f>
        <v>NO GO</v>
      </c>
      <c r="AL403" s="424"/>
      <c r="AM403" s="568"/>
      <c r="AN403" s="538"/>
      <c r="AO403" s="538"/>
      <c r="AP403" s="542"/>
      <c r="AQ403" s="543" cm="1">
        <f t="array" ref="AQ403">B403</f>
        <v>8</v>
      </c>
      <c r="AR403" s="18"/>
    </row>
    <row r="404" ht="16" customHeight="1">
      <c r="A404" s="12"/>
      <c r="B404" s="544" cm="1">
        <f t="array" ref="B404">IF(B403=0,0,IF(B403&lt;VLOOKUP(C393,'Boats Data Sheet 2026'!$C$3:$H$57,6,0),B403+1,0))</f>
        <v>9</v>
      </c>
      <c r="C404" s="538" cm="1">
        <f t="array" ref="C404">IF(B404&gt;0,IF(VLOOKUP(C393,'Boats Data Sheet 2026'!$C$3:$J$57,8,0)="N/A",0,VLOOKUP(C393,'Boats Data Sheet 2026'!$C$3:$J$57,8,0)),"N/A")</f>
        <v>8000000</v>
      </c>
      <c r="D404" s="545" cm="1">
        <f t="array" ref="D404">IF(B404&gt;7,2,IF(B404=0,"N/A",1))</f>
        <v>2</v>
      </c>
      <c r="E404" s="538" cm="1">
        <f t="array" ref="E404">_xlfn.IFERROR(SUM('Direct Costs 2026'!$C$4:$C$5)*D404,"N/A")</f>
        <v>1751000</v>
      </c>
      <c r="F404" s="538" cm="1">
        <f t="array" ref="F404">_xlfn.IFERROR('Direct Costs 2026'!$C$43*B404,"N/A")</f>
        <v>54000</v>
      </c>
      <c r="G404" s="538" cm="1">
        <f t="array" ref="G404">IF(B404&gt;0,'Direct Costs 2026'!$C$25,"N/A")</f>
        <v>90000</v>
      </c>
      <c r="H404" s="538" cm="1">
        <f t="array" ref="H404">IF(B404&gt;0,'Direct Costs 2026'!$C$19+'Direct Costs 2026'!$C$18*B404,"N/A")</f>
        <v>390000</v>
      </c>
      <c r="I404" s="538" cm="1">
        <f t="array" ref="I404">IF(B404&gt;0,SUM('Direct Costs 2026'!$C$20:$C$21),"N/A")</f>
        <v>98333.3333333333</v>
      </c>
      <c r="J404" s="538">
        <v>0</v>
      </c>
      <c r="K404" s="538" cm="1">
        <f t="array" ref="K404">_xlfn.IFERROR((IF(B404&gt;0,'Direct Costs 2026'!$C$15+'Direct Costs 2026'!$C$14,"N/A")),"N/A")</f>
        <v>230000</v>
      </c>
      <c r="L404" s="538" cm="1">
        <f t="array" ref="L404">IF(B404&gt;0,'Direct Costs 2026'!$C$26,"N/A")</f>
        <v>20000</v>
      </c>
      <c r="M404" s="538" cm="1">
        <f t="array" ref="M404">IF(B404&gt;0,'Direct Costs 2026'!$C$23,"N/A")</f>
        <v>140000</v>
      </c>
      <c r="N404" s="538" cm="1">
        <f t="array" ref="N404">IF(B404&gt;0,'Direct Costs 2026'!$C$44*B404,"N/A")</f>
        <v>990000</v>
      </c>
      <c r="O404" t="str" s="547" cm="1">
        <f t="array" ref="O404">IF(B404&gt;0,_xlfn.IFERROR(VLOOKUP(C393,'Boats Data Sheet 2026'!$C$3:$I$57,7,0)*'Direct Costs 2026'!$C$36,"N/A"),"N/A")</f>
        <v>N/A</v>
      </c>
      <c r="P404" t="str" s="547" cm="1">
        <f t="array" ref="P404">IF(B404&gt;0,IF(OR(VLOOKUP(C393,'Boats Data Sheet 2026'!$C$3:$F$57,4,0)="Own",VLOOKUP(C393,'Boats Data Sheet 2026'!$C$3:$F$57,4,0)="Management"),('Direct Costs 2026'!$C$37+'Direct Costs 2026'!$C$39),"N/A"),"N/A")</f>
        <v>N/A</v>
      </c>
      <c r="Q404" s="538" cm="1">
        <f t="array" ref="Q404">_xlfn.IFERROR(IF(B404&gt;5,IF(B404&gt;11,IF(B404&gt;15,4,3),2),IF(B404=0,"N/A",1))*SUM('Direct Costs 2026'!$C$67:$C$68),"N/A")</f>
        <v>979200</v>
      </c>
      <c r="R404" s="538" cm="1">
        <f t="array" ref="R404">_xlfn.IFERROR('Direct Costs 2026'!$C$27*C404,"N/A")</f>
        <v>160000</v>
      </c>
      <c r="S404" s="538" cm="1">
        <f t="array" ref="S404">_xlfn.IFERROR(C404+SUM(E404:R404),"N/A")</f>
        <v>12902533.3333333</v>
      </c>
      <c r="T404" s="424"/>
      <c r="U404" s="538" cm="1">
        <f t="array" ref="U404">IF(B404&gt;0,'Allocation OH and Target 2026'!$E$27,"N/A")</f>
        <v>2134447.30345641</v>
      </c>
      <c r="V404" s="538" cm="1">
        <f t="array" ref="V404">IF(B404&gt;0,'Allocation OH and Target 2026'!$E$28,"N/A")</f>
        <v>200042.323056976</v>
      </c>
      <c r="W404" s="538" cm="1">
        <f t="array" ref="W404">IF(B404&gt;0,VLOOKUP(C393,'Allocation OH and Target 2026'!$C$3:$T$23,17,0),"N/A")</f>
        <v>0</v>
      </c>
      <c r="X404" s="538" cm="1">
        <f t="array" ref="X404">IF(B404&gt;0,VLOOKUP(C393,'Allocation OH and Target 2026'!$C$3:$T$23,18,0),"N/A")</f>
        <v>0</v>
      </c>
      <c r="Y404" s="538" cm="1">
        <f t="array" ref="Y404">_xlfn.IFERROR(B404*(V404+X404),"N/A")</f>
        <v>1800380.90751278</v>
      </c>
      <c r="Z404" s="424"/>
      <c r="AA404" s="538" cm="1">
        <f t="array" ref="AA404">_xlfn.IFERROR(Y404+S404,"N/A")</f>
        <v>14702914.2408461</v>
      </c>
      <c r="AB404" s="538" cm="1">
        <f t="array" ref="AB404">_xlfn.IFERROR(AA404*0.5%,"N/A")</f>
        <v>73514.571204230495</v>
      </c>
      <c r="AC404" s="538" cm="1">
        <f t="array" ref="AC404">_xlfn.IFERROR(AA404*25%,"N/A")</f>
        <v>3675728.56021153</v>
      </c>
      <c r="AD404" s="539" cm="1">
        <f t="array" ref="AD404">IF(B404&gt;0,SUM(AA404:AC404),"N/A")</f>
        <v>18452157.3722619</v>
      </c>
      <c r="AE404" s="538" cm="1">
        <f t="array" ref="AE404">_xlfn.IFERROR(AD404/B404,"N/A")</f>
        <v>2050239.7080291</v>
      </c>
      <c r="AF404" s="424"/>
      <c r="AG404" t="str" s="546" cm="1">
        <f t="array" ref="AG404">IF(B404/VLOOKUP(C393,'Boats Data Sheet 2026'!$C$3:$H$57,6,0)&gt;VLOOKUP(C393,'Allocation OH and Target 2026'!$C$3:$J$23,8,0),IF(SUM(AH395:AH403)=0,AE404,"N/A"),"N/A")</f>
        <v>N/A</v>
      </c>
      <c r="AH404" s="424" cm="1">
        <f t="array" ref="AH404">IF(AG404="N/A",0,1)</f>
        <v>0</v>
      </c>
      <c r="AI404" t="str" s="547" cm="1">
        <f t="array" ref="AI404">IF(B404/VLOOKUP(C393,'Boats Data Sheet 2026'!$C$3:$H$57,6,0)&gt;VLOOKUP(C393,'Allocation OH and Target 2026'!$C$3:$J$23,8,0),IF(SUM(AH395:AH403)=0,S404/B404,"N/A"),"N/A")</f>
        <v>N/A</v>
      </c>
      <c r="AJ404" s="424" cm="1">
        <f t="array" ref="AJ404">IF(AI404="N/A",0,1)</f>
        <v>0</v>
      </c>
      <c r="AK404" t="str" s="527" cm="1">
        <f t="array" ref="AK404">IF(SUM($AG$120:$AG$137)*B404&lt;SUM(AA404:AB404),"NO GO","GO")</f>
        <v>NO GO</v>
      </c>
      <c r="AL404" s="424"/>
      <c r="AM404" s="538"/>
      <c r="AN404" s="538"/>
      <c r="AO404" s="538"/>
      <c r="AP404" s="542"/>
      <c r="AQ404" s="543" cm="1">
        <f t="array" ref="AQ404">B404</f>
        <v>9</v>
      </c>
      <c r="AR404" s="18"/>
    </row>
    <row r="405" ht="16" customHeight="1">
      <c r="A405" s="12"/>
      <c r="B405" s="544" cm="1">
        <f t="array" ref="B405">IF(B404=0,0,IF(B404&lt;VLOOKUP(C393,'Boats Data Sheet 2026'!$C$3:$H$57,6,0),B404+1,0))</f>
        <v>10</v>
      </c>
      <c r="C405" s="538" cm="1">
        <f t="array" ref="C405">IF(B405&gt;0,IF(VLOOKUP(C393,'Boats Data Sheet 2026'!$C$3:$J$57,8,0)="N/A",0,VLOOKUP(C393,'Boats Data Sheet 2026'!$C$3:$J$57,8,0)),"N/A")</f>
        <v>8000000</v>
      </c>
      <c r="D405" s="545" cm="1">
        <f t="array" ref="D405">IF(B405&gt;7,2,IF(B405=0,"N/A",1))</f>
        <v>2</v>
      </c>
      <c r="E405" s="538" cm="1">
        <f t="array" ref="E405">_xlfn.IFERROR(SUM('Direct Costs 2026'!$C$4:$C$5)*D405,"N/A")</f>
        <v>1751000</v>
      </c>
      <c r="F405" s="538" cm="1">
        <f t="array" ref="F405">_xlfn.IFERROR('Direct Costs 2026'!$C$43*B405,"N/A")</f>
        <v>60000</v>
      </c>
      <c r="G405" s="538" cm="1">
        <f t="array" ref="G405">IF(B405&gt;0,'Direct Costs 2026'!$C$25,"N/A")</f>
        <v>90000</v>
      </c>
      <c r="H405" s="538" cm="1">
        <f t="array" ref="H405">IF(B405&gt;0,'Direct Costs 2026'!$C$19+'Direct Costs 2026'!$C$18*B405,"N/A")</f>
        <v>425000</v>
      </c>
      <c r="I405" s="538" cm="1">
        <f t="array" ref="I405">IF(B405&gt;0,SUM('Direct Costs 2026'!$C$20:$C$21),"N/A")</f>
        <v>98333.3333333333</v>
      </c>
      <c r="J405" s="538">
        <v>0</v>
      </c>
      <c r="K405" s="538" cm="1">
        <f t="array" ref="K405">_xlfn.IFERROR((IF(B405&gt;0,'Direct Costs 2026'!$C$15+'Direct Costs 2026'!$C$14,"N/A")),"N/A")</f>
        <v>230000</v>
      </c>
      <c r="L405" s="538" cm="1">
        <f t="array" ref="L405">IF(B405&gt;0,'Direct Costs 2026'!$C$26,"N/A")</f>
        <v>20000</v>
      </c>
      <c r="M405" s="538" cm="1">
        <f t="array" ref="M405">IF(B405&gt;0,'Direct Costs 2026'!$C$23,"N/A")</f>
        <v>140000</v>
      </c>
      <c r="N405" s="538" cm="1">
        <f t="array" ref="N405">IF(B405&gt;0,'Direct Costs 2026'!$C$44*B405,"N/A")</f>
        <v>1100000</v>
      </c>
      <c r="O405" t="str" s="547" cm="1">
        <f t="array" ref="O405">IF(B405&gt;0,_xlfn.IFERROR(VLOOKUP(C393,'Boats Data Sheet 2026'!$C$3:$I$57,7,0)*'Direct Costs 2026'!$C$36,"N/A"),"N/A")</f>
        <v>N/A</v>
      </c>
      <c r="P405" t="str" s="547" cm="1">
        <f t="array" ref="P405">IF(B405&gt;0,IF(OR(VLOOKUP(C393,'Boats Data Sheet 2026'!$C$3:$F$57,4,0)="Own",VLOOKUP(C393,'Boats Data Sheet 2026'!$C$3:$F$57,4,0)="Management"),('Direct Costs 2026'!$C$37+'Direct Costs 2026'!$C$39),"N/A"),"N/A")</f>
        <v>N/A</v>
      </c>
      <c r="Q405" s="538" cm="1">
        <f t="array" ref="Q405">_xlfn.IFERROR(IF(B405&gt;5,IF(B405&gt;11,IF(B405&gt;15,4,3),2),IF(B405=0,"N/A",1))*SUM('Direct Costs 2026'!$C$67:$C$68),"N/A")</f>
        <v>979200</v>
      </c>
      <c r="R405" s="538" cm="1">
        <f t="array" ref="R405">_xlfn.IFERROR('Direct Costs 2026'!$C$27*C405,"N/A")</f>
        <v>160000</v>
      </c>
      <c r="S405" s="538" cm="1">
        <f t="array" ref="S405">_xlfn.IFERROR(C405+SUM(E405:R405),"N/A")</f>
        <v>13053533.3333333</v>
      </c>
      <c r="T405" s="424"/>
      <c r="U405" s="538" cm="1">
        <f t="array" ref="U405">IF(B405&gt;0,'Allocation OH and Target 2026'!$E$27,"N/A")</f>
        <v>2134447.30345641</v>
      </c>
      <c r="V405" s="538" cm="1">
        <f t="array" ref="V405">IF(B405&gt;0,'Allocation OH and Target 2026'!$E$28,"N/A")</f>
        <v>200042.323056976</v>
      </c>
      <c r="W405" s="538" cm="1">
        <f t="array" ref="W405">IF(B405&gt;0,VLOOKUP(C393,'Allocation OH and Target 2026'!$C$3:$T$23,17,0),"N/A")</f>
        <v>0</v>
      </c>
      <c r="X405" s="538" cm="1">
        <f t="array" ref="X405">IF(B405&gt;0,VLOOKUP(C393,'Allocation OH and Target 2026'!$C$3:$T$23,18,0),"N/A")</f>
        <v>0</v>
      </c>
      <c r="Y405" s="538" cm="1">
        <f t="array" ref="Y405">_xlfn.IFERROR(B405*(V405+X405),"N/A")</f>
        <v>2000423.23056976</v>
      </c>
      <c r="Z405" s="424"/>
      <c r="AA405" s="538" cm="1">
        <f t="array" ref="AA405">_xlfn.IFERROR(Y405+S405,"N/A")</f>
        <v>15053956.5639031</v>
      </c>
      <c r="AB405" s="538" cm="1">
        <f t="array" ref="AB405">_xlfn.IFERROR(AA405*0.5%,"N/A")</f>
        <v>75269.7828195155</v>
      </c>
      <c r="AC405" s="538" cm="1">
        <f t="array" ref="AC405">_xlfn.IFERROR(AA405*25%,"N/A")</f>
        <v>3763489.14097578</v>
      </c>
      <c r="AD405" s="539" cm="1">
        <f t="array" ref="AD405">IF(B405&gt;0,SUM(AA405:AC405),"N/A")</f>
        <v>18892715.4876984</v>
      </c>
      <c r="AE405" s="538" cm="1">
        <f t="array" ref="AE405">_xlfn.IFERROR(AD405/B405,"N/A")</f>
        <v>1889271.54876984</v>
      </c>
      <c r="AF405" s="424"/>
      <c r="AG405" t="str" s="546" cm="1">
        <f t="array" ref="AG405">IF(B405/VLOOKUP(C393,'Boats Data Sheet 2026'!$C$3:$H$57,6,0)&gt;VLOOKUP(C393,'Allocation OH and Target 2026'!$C$3:$J$23,8,0),IF(SUM(AH395:AH404)=0,AE405,"N/A"),"N/A")</f>
        <v>N/A</v>
      </c>
      <c r="AH405" s="424" cm="1">
        <f t="array" ref="AH405">IF(AG405="N/A",0,1)</f>
        <v>0</v>
      </c>
      <c r="AI405" t="str" s="547" cm="1">
        <f t="array" ref="AI405">IF(B405/VLOOKUP(C393,'Boats Data Sheet 2026'!$C$3:$H$57,6,0)&gt;VLOOKUP(C393,'Allocation OH and Target 2026'!$C$3:$J$23,8,0),IF(SUM(AH395:AH404)=0,S405/B405,"N/A"),"N/A")</f>
        <v>N/A</v>
      </c>
      <c r="AJ405" s="424" cm="1">
        <f t="array" ref="AJ405">IF(AI405="N/A",0,1)</f>
        <v>0</v>
      </c>
      <c r="AK405" t="str" s="527" cm="1">
        <f t="array" ref="AK405">IF(SUM($AG$120:$AG$137)*B405&lt;SUM(AA405:AB405),"NO GO","GO")</f>
        <v>NO GO</v>
      </c>
      <c r="AL405" s="424"/>
      <c r="AM405" s="538"/>
      <c r="AN405" s="538"/>
      <c r="AO405" s="538"/>
      <c r="AP405" s="542"/>
      <c r="AQ405" s="543" cm="1">
        <f t="array" ref="AQ405">B405</f>
        <v>10</v>
      </c>
      <c r="AR405" s="18"/>
    </row>
    <row r="406" ht="16" customHeight="1">
      <c r="A406" s="12"/>
      <c r="B406" s="544" cm="1">
        <f t="array" ref="B406">IF(B405=0,0,IF(B405&lt;VLOOKUP(C393,'Boats Data Sheet 2026'!$C$3:$H$57,6,0),B405+1,0))</f>
        <v>11</v>
      </c>
      <c r="C406" s="538" cm="1">
        <f t="array" ref="C406">IF(B406&gt;0,IF(VLOOKUP(C393,'Boats Data Sheet 2026'!$C$3:$J$57,8,0)="N/A",0,VLOOKUP(C393,'Boats Data Sheet 2026'!$C$3:$J$57,8,0)),"N/A")</f>
        <v>8000000</v>
      </c>
      <c r="D406" s="545" cm="1">
        <f t="array" ref="D406">IF(B406&gt;7,2,IF(B406=0,"N/A",1))</f>
        <v>2</v>
      </c>
      <c r="E406" s="538" cm="1">
        <f t="array" ref="E406">_xlfn.IFERROR(SUM('Direct Costs 2026'!$C$4:$C$5)*D406,"N/A")</f>
        <v>1751000</v>
      </c>
      <c r="F406" s="538" cm="1">
        <f t="array" ref="F406">_xlfn.IFERROR('Direct Costs 2026'!$C$43*B406,"N/A")</f>
        <v>66000</v>
      </c>
      <c r="G406" s="538" cm="1">
        <f t="array" ref="G406">IF(B406&gt;0,'Direct Costs 2026'!$C$25,"N/A")</f>
        <v>90000</v>
      </c>
      <c r="H406" s="538" cm="1">
        <f t="array" ref="H406">IF(B406&gt;0,'Direct Costs 2026'!$C$19+'Direct Costs 2026'!$C$18*B406,"N/A")</f>
        <v>460000</v>
      </c>
      <c r="I406" s="538" cm="1">
        <f t="array" ref="I406">IF(B406&gt;0,SUM('Direct Costs 2026'!$C$20:$C$21),"N/A")</f>
        <v>98333.3333333333</v>
      </c>
      <c r="J406" s="538">
        <v>0</v>
      </c>
      <c r="K406" s="538" cm="1">
        <f t="array" ref="K406">_xlfn.IFERROR((IF(B406&gt;0,'Direct Costs 2026'!$C$15+'Direct Costs 2026'!$C$14,"N/A")),"N/A")</f>
        <v>230000</v>
      </c>
      <c r="L406" s="538" cm="1">
        <f t="array" ref="L406">IF(B406&gt;0,'Direct Costs 2026'!$C$26,"N/A")</f>
        <v>20000</v>
      </c>
      <c r="M406" s="538" cm="1">
        <f t="array" ref="M406">IF(B406&gt;0,'Direct Costs 2026'!$C$23,"N/A")</f>
        <v>140000</v>
      </c>
      <c r="N406" s="538" cm="1">
        <f t="array" ref="N406">IF(B406&gt;0,'Direct Costs 2026'!$C$44*B406,"N/A")</f>
        <v>1210000</v>
      </c>
      <c r="O406" t="str" s="547" cm="1">
        <f t="array" ref="O406">IF(B406&gt;0,_xlfn.IFERROR(VLOOKUP(C393,'Boats Data Sheet 2026'!$C$3:$I$57,7,0)*'Direct Costs 2026'!$C$36,"N/A"),"N/A")</f>
        <v>N/A</v>
      </c>
      <c r="P406" t="str" s="547" cm="1">
        <f t="array" ref="P406">IF(B406&gt;0,IF(OR(VLOOKUP(C393,'Boats Data Sheet 2026'!$C$3:$F$57,4,0)="Own",VLOOKUP(C393,'Boats Data Sheet 2026'!$C$3:$F$57,4,0)="Management"),('Direct Costs 2026'!$C$37+'Direct Costs 2026'!$C$39),"N/A"),"N/A")</f>
        <v>N/A</v>
      </c>
      <c r="Q406" s="538" cm="1">
        <f t="array" ref="Q406">_xlfn.IFERROR(IF(B406&gt;5,IF(B406&gt;11,IF(B406&gt;15,4,3),2),IF(B406=0,"N/A",1))*SUM('Direct Costs 2026'!$C$67:$C$68),"N/A")</f>
        <v>979200</v>
      </c>
      <c r="R406" s="538" cm="1">
        <f t="array" ref="R406">_xlfn.IFERROR('Direct Costs 2026'!$C$27*C406,"N/A")</f>
        <v>160000</v>
      </c>
      <c r="S406" s="538" cm="1">
        <f t="array" ref="S406">_xlfn.IFERROR(C406+SUM(E406:R406),"N/A")</f>
        <v>13204533.3333333</v>
      </c>
      <c r="T406" s="424"/>
      <c r="U406" s="538" cm="1">
        <f t="array" ref="U406">IF(B406&gt;0,'Allocation OH and Target 2026'!$E$27,"N/A")</f>
        <v>2134447.30345641</v>
      </c>
      <c r="V406" s="538" cm="1">
        <f t="array" ref="V406">IF(B406&gt;0,'Allocation OH and Target 2026'!$E$28,"N/A")</f>
        <v>200042.323056976</v>
      </c>
      <c r="W406" s="538" cm="1">
        <f t="array" ref="W406">IF(B406&gt;0,VLOOKUP(C393,'Allocation OH and Target 2026'!$C$3:$T$23,17,0),"N/A")</f>
        <v>0</v>
      </c>
      <c r="X406" s="538" cm="1">
        <f t="array" ref="X406">IF(B406&gt;0,VLOOKUP(C393,'Allocation OH and Target 2026'!$C$3:$T$23,18,0),"N/A")</f>
        <v>0</v>
      </c>
      <c r="Y406" s="538" cm="1">
        <f t="array" ref="Y406">_xlfn.IFERROR(B406*(V406+X406),"N/A")</f>
        <v>2200465.55362674</v>
      </c>
      <c r="Z406" s="424"/>
      <c r="AA406" s="538" cm="1">
        <f t="array" ref="AA406">_xlfn.IFERROR(Y406+S406,"N/A")</f>
        <v>15404998.88696</v>
      </c>
      <c r="AB406" s="538" cm="1">
        <f t="array" ref="AB406">_xlfn.IFERROR(AA406*0.5%,"N/A")</f>
        <v>77024.9944348</v>
      </c>
      <c r="AC406" s="538" cm="1">
        <f t="array" ref="AC406">_xlfn.IFERROR(AA406*25%,"N/A")</f>
        <v>3851249.72174</v>
      </c>
      <c r="AD406" s="539" cm="1">
        <f t="array" ref="AD406">IF(B406&gt;0,SUM(AA406:AC406),"N/A")</f>
        <v>19333273.6031348</v>
      </c>
      <c r="AE406" s="538" cm="1">
        <f t="array" ref="AE406">_xlfn.IFERROR(AD406/B406,"N/A")</f>
        <v>1757570.32755771</v>
      </c>
      <c r="AF406" s="424"/>
      <c r="AG406" s="539" cm="1">
        <f t="array" ref="AG406">IF(B406/VLOOKUP(C393,'Boats Data Sheet 2026'!$C$3:$H$57,6,0)&gt;VLOOKUP(C393,'Allocation OH and Target 2026'!$C$3:$J$23,8,0),IF(SUM(AH395:AH405)=0,AE406,"N/A"),"N/A")</f>
        <v>1757570.32755771</v>
      </c>
      <c r="AH406" s="424" cm="1">
        <f t="array" ref="AH406">IF(AG406="N/A",0,1)</f>
        <v>1</v>
      </c>
      <c r="AI406" s="538" cm="1">
        <f t="array" ref="AI406">IF(B406/VLOOKUP(C393,'Boats Data Sheet 2026'!$C$3:$H$57,6,0)&gt;VLOOKUP(C393,'Allocation OH and Target 2026'!$C$3:$J$23,8,0),IF(SUM(AH395:AH405)=0,S406/B406,"N/A"),"N/A")</f>
        <v>1200412.12121212</v>
      </c>
      <c r="AJ406" s="424" cm="1">
        <f t="array" ref="AJ406">IF(AI406="N/A",0,1)</f>
        <v>1</v>
      </c>
      <c r="AK406" t="str" s="527" cm="1">
        <f t="array" ref="AK406">IF(SUM($AG$120:$AG$137)*B406&lt;SUM(AA406:AB406),"NO GO","GO")</f>
        <v>GO</v>
      </c>
      <c r="AL406" s="424"/>
      <c r="AM406" s="538"/>
      <c r="AN406" s="538"/>
      <c r="AO406" s="538"/>
      <c r="AP406" s="542"/>
      <c r="AQ406" s="543" cm="1">
        <f t="array" ref="AQ406">B406</f>
        <v>11</v>
      </c>
      <c r="AR406" s="18"/>
    </row>
    <row r="407" ht="16" customHeight="1">
      <c r="A407" s="12"/>
      <c r="B407" s="544" cm="1">
        <f t="array" ref="B407">IF(B406=0,0,IF(B406&lt;VLOOKUP(C393,'Boats Data Sheet 2026'!$C$3:$H$57,6,0),B406+1,0))</f>
        <v>12</v>
      </c>
      <c r="C407" s="538" cm="1">
        <f t="array" ref="C407">IF(B407&gt;0,IF(VLOOKUP(C393,'Boats Data Sheet 2026'!$C$3:$J$57,8,0)="N/A",0,VLOOKUP(C393,'Boats Data Sheet 2026'!$C$3:$J$57,8,0)),"N/A")</f>
        <v>8000000</v>
      </c>
      <c r="D407" s="545" cm="1">
        <f t="array" ref="D407">IF(B407&gt;7,2,IF(B407=0,"N/A",1))</f>
        <v>2</v>
      </c>
      <c r="E407" s="538" cm="1">
        <f t="array" ref="E407">_xlfn.IFERROR(SUM('Direct Costs 2026'!$C$4:$C$5)*D407,"N/A")</f>
        <v>1751000</v>
      </c>
      <c r="F407" s="538" cm="1">
        <f t="array" ref="F407">_xlfn.IFERROR('Direct Costs 2026'!$C$43*B407,"N/A")</f>
        <v>72000</v>
      </c>
      <c r="G407" s="538" cm="1">
        <f t="array" ref="G407">IF(B407&gt;0,'Direct Costs 2026'!$C$25,"N/A")</f>
        <v>90000</v>
      </c>
      <c r="H407" s="538" cm="1">
        <f t="array" ref="H407">IF(B407&gt;0,'Direct Costs 2026'!$C$19+'Direct Costs 2026'!$C$18*B407,"N/A")</f>
        <v>495000</v>
      </c>
      <c r="I407" s="538" cm="1">
        <f t="array" ref="I407">IF(B407&gt;0,SUM('Direct Costs 2026'!$C$20:$C$21),"N/A")</f>
        <v>98333.3333333333</v>
      </c>
      <c r="J407" s="538">
        <v>0</v>
      </c>
      <c r="K407" s="538" cm="1">
        <f t="array" ref="K407">_xlfn.IFERROR((IF(B407&gt;0,'Direct Costs 2026'!$C$15+'Direct Costs 2026'!$C$14,"N/A")),"N/A")</f>
        <v>230000</v>
      </c>
      <c r="L407" s="538" cm="1">
        <f t="array" ref="L407">IF(B407&gt;0,'Direct Costs 2026'!$C$26,"N/A")</f>
        <v>20000</v>
      </c>
      <c r="M407" s="538" cm="1">
        <f t="array" ref="M407">IF(B407&gt;0,'Direct Costs 2026'!$C$23,"N/A")</f>
        <v>140000</v>
      </c>
      <c r="N407" s="538" cm="1">
        <f t="array" ref="N407">IF(B407&gt;0,'Direct Costs 2026'!$C$44*B407,"N/A")</f>
        <v>1320000</v>
      </c>
      <c r="O407" t="str" s="547" cm="1">
        <f t="array" ref="O407">IF(B407&gt;0,_xlfn.IFERROR(VLOOKUP(C393,'Boats Data Sheet 2026'!$C$3:$I$57,7,0)*'Direct Costs 2026'!$C$36,"N/A"),"N/A")</f>
        <v>N/A</v>
      </c>
      <c r="P407" t="str" s="547" cm="1">
        <f t="array" ref="P407">IF(B407&gt;0,IF(OR(VLOOKUP(C393,'Boats Data Sheet 2026'!$C$3:$F$57,4,0)="Own",VLOOKUP(C393,'Boats Data Sheet 2026'!$C$3:$F$57,4,0)="Management"),('Direct Costs 2026'!$C$37+'Direct Costs 2026'!$C$39),"N/A"),"N/A")</f>
        <v>N/A</v>
      </c>
      <c r="Q407" s="538" cm="1">
        <f t="array" ref="Q407">_xlfn.IFERROR(IF(B407&gt;5,IF(B407&gt;11,IF(B407&gt;15,4,3),2),IF(B407=0,"N/A",1))*SUM('Direct Costs 2026'!$C$67:$C$68),"N/A")</f>
        <v>1468800</v>
      </c>
      <c r="R407" s="538" cm="1">
        <f t="array" ref="R407">_xlfn.IFERROR('Direct Costs 2026'!$C$27*C407,"N/A")</f>
        <v>160000</v>
      </c>
      <c r="S407" s="538" cm="1">
        <f t="array" ref="S407">_xlfn.IFERROR(C407+SUM(E407:R407),"N/A")</f>
        <v>13845133.3333333</v>
      </c>
      <c r="T407" s="424"/>
      <c r="U407" s="538" cm="1">
        <f t="array" ref="U407">IF(B407&gt;0,'Allocation OH and Target 2026'!$E$27,"N/A")</f>
        <v>2134447.30345641</v>
      </c>
      <c r="V407" s="538" cm="1">
        <f t="array" ref="V407">IF(B407&gt;0,'Allocation OH and Target 2026'!$E$28,"N/A")</f>
        <v>200042.323056976</v>
      </c>
      <c r="W407" s="538" cm="1">
        <f t="array" ref="W407">IF(B407&gt;0,VLOOKUP(C393,'Allocation OH and Target 2026'!$C$3:$T$23,17,0),"N/A")</f>
        <v>0</v>
      </c>
      <c r="X407" s="538" cm="1">
        <f t="array" ref="X407">IF(B407&gt;0,VLOOKUP(C393,'Allocation OH and Target 2026'!$C$3:$T$23,18,0),"N/A")</f>
        <v>0</v>
      </c>
      <c r="Y407" s="538" cm="1">
        <f t="array" ref="Y407">_xlfn.IFERROR(B407*(V407+X407),"N/A")</f>
        <v>2400507.87668371</v>
      </c>
      <c r="Z407" s="424"/>
      <c r="AA407" s="538" cm="1">
        <f t="array" ref="AA407">_xlfn.IFERROR(Y407+S407,"N/A")</f>
        <v>16245641.210017</v>
      </c>
      <c r="AB407" s="538" cm="1">
        <f t="array" ref="AB407">_xlfn.IFERROR(AA407*0.5%,"N/A")</f>
        <v>81228.206050085006</v>
      </c>
      <c r="AC407" s="538" cm="1">
        <f t="array" ref="AC407">_xlfn.IFERROR(AA407*25%,"N/A")</f>
        <v>4061410.30250425</v>
      </c>
      <c r="AD407" s="539" cm="1">
        <f t="array" ref="AD407">IF(B407&gt;0,SUM(AA407:AC407),"N/A")</f>
        <v>20388279.7185713</v>
      </c>
      <c r="AE407" s="538" cm="1">
        <f t="array" ref="AE407">_xlfn.IFERROR(AD407/B407,"N/A")</f>
        <v>1699023.30988094</v>
      </c>
      <c r="AF407" s="424"/>
      <c r="AG407" t="str" s="546" cm="1">
        <f t="array" ref="AG407">IF(B407/VLOOKUP(C393,'Boats Data Sheet 2026'!$C$3:$H$57,6,0)&gt;VLOOKUP(C393,'Allocation OH and Target 2026'!$C$3:$J$23,8,0),IF(SUM(AH395:AH406)=0,AE407,"N/A"),"N/A")</f>
        <v>N/A</v>
      </c>
      <c r="AH407" s="424" cm="1">
        <f t="array" ref="AH407">IF(AG407="N/A",0,1)</f>
        <v>0</v>
      </c>
      <c r="AI407" t="str" s="547" cm="1">
        <f t="array" ref="AI407">IF(B407/VLOOKUP(C393,'Boats Data Sheet 2026'!$C$3:$H$57,6,0)&gt;VLOOKUP(C393,'Allocation OH and Target 2026'!$C$3:$J$23,8,0),IF(SUM(AH395:AH406)=0,S407/B407,"N/A"),"N/A")</f>
        <v>N/A</v>
      </c>
      <c r="AJ407" s="424" cm="1">
        <f t="array" ref="AJ407">IF(AI407="N/A",0,1)</f>
        <v>0</v>
      </c>
      <c r="AK407" t="str" s="527" cm="1">
        <f t="array" ref="AK407">IF(SUM($AG$120:$AG$137)*B407&lt;SUM(AA407:AB407),"NO GO","GO")</f>
        <v>GO</v>
      </c>
      <c r="AL407" s="424"/>
      <c r="AM407" s="538"/>
      <c r="AN407" s="538"/>
      <c r="AO407" s="538"/>
      <c r="AP407" s="542"/>
      <c r="AQ407" s="543" cm="1">
        <f t="array" ref="AQ407">B407</f>
        <v>12</v>
      </c>
      <c r="AR407" s="18"/>
    </row>
    <row r="408" ht="16" customHeight="1">
      <c r="A408" s="12"/>
      <c r="B408" s="544" cm="1">
        <f t="array" ref="B408">IF(B407=0,0,IF(B407&lt;VLOOKUP(C393,'Boats Data Sheet 2026'!$C$3:$H$57,6,0),B407+1,0))</f>
        <v>13</v>
      </c>
      <c r="C408" s="538" cm="1">
        <f t="array" ref="C408">IF(B408&gt;0,IF(VLOOKUP(C393,'Boats Data Sheet 2026'!$C$3:$J$57,8,0)="N/A",0,VLOOKUP(C393,'Boats Data Sheet 2026'!$C$3:$J$57,8,0)),"N/A")</f>
        <v>8000000</v>
      </c>
      <c r="D408" s="545" cm="1">
        <f t="array" ref="D408">IF(B408&gt;7,2,IF(B408=0,"N/A",1))</f>
        <v>2</v>
      </c>
      <c r="E408" s="538" cm="1">
        <f t="array" ref="E408">_xlfn.IFERROR(SUM('Direct Costs 2026'!$C$4:$C$5)*D408,"N/A")</f>
        <v>1751000</v>
      </c>
      <c r="F408" s="538" cm="1">
        <f t="array" ref="F408">_xlfn.IFERROR('Direct Costs 2026'!$C$43*B408,"N/A")</f>
        <v>78000</v>
      </c>
      <c r="G408" s="538" cm="1">
        <f t="array" ref="G408">IF(B408&gt;0,'Direct Costs 2026'!$C$25,"N/A")</f>
        <v>90000</v>
      </c>
      <c r="H408" s="538" cm="1">
        <f t="array" ref="H408">IF(B408&gt;0,'Direct Costs 2026'!$C$19+'Direct Costs 2026'!$C$18*B408,"N/A")</f>
        <v>530000</v>
      </c>
      <c r="I408" s="538" cm="1">
        <f t="array" ref="I408">IF(B408&gt;0,SUM('Direct Costs 2026'!$C$20:$C$21),"N/A")</f>
        <v>98333.3333333333</v>
      </c>
      <c r="J408" s="538">
        <v>0</v>
      </c>
      <c r="K408" s="538" cm="1">
        <f t="array" ref="K408">_xlfn.IFERROR((IF(B408&gt;0,'Direct Costs 2026'!$C$15+'Direct Costs 2026'!$C$14,"N/A")),"N/A")</f>
        <v>230000</v>
      </c>
      <c r="L408" s="538" cm="1">
        <f t="array" ref="L408">IF(B408&gt;0,'Direct Costs 2026'!$C$26,"N/A")</f>
        <v>20000</v>
      </c>
      <c r="M408" s="538" cm="1">
        <f t="array" ref="M408">IF(B408&gt;0,'Direct Costs 2026'!$C$23,"N/A")</f>
        <v>140000</v>
      </c>
      <c r="N408" s="538" cm="1">
        <f t="array" ref="N408">IF(B408&gt;0,'Direct Costs 2026'!$C$44*B408,"N/A")</f>
        <v>1430000</v>
      </c>
      <c r="O408" t="str" s="547" cm="1">
        <f t="array" ref="O408">IF(B408&gt;0,_xlfn.IFERROR(VLOOKUP(C393,'Boats Data Sheet 2026'!$C$3:$I$57,7,0)*'Direct Costs 2026'!$C$36,"N/A"),"N/A")</f>
        <v>N/A</v>
      </c>
      <c r="P408" t="str" s="547" cm="1">
        <f t="array" ref="P408">IF(B408&gt;0,IF(OR(VLOOKUP(C393,'Boats Data Sheet 2026'!$C$3:$F$57,4,0)="Own",VLOOKUP(C393,'Boats Data Sheet 2026'!$C$3:$F$57,4,0)="Management"),('Direct Costs 2026'!$C$37+'Direct Costs 2026'!$C$39),"N/A"),"N/A")</f>
        <v>N/A</v>
      </c>
      <c r="Q408" s="538" cm="1">
        <f t="array" ref="Q408">_xlfn.IFERROR(IF(B408&gt;5,IF(B408&gt;11,IF(B408&gt;15,4,3),2),IF(B408=0,"N/A",1))*SUM('Direct Costs 2026'!$C$67:$C$68),"N/A")</f>
        <v>1468800</v>
      </c>
      <c r="R408" s="538" cm="1">
        <f t="array" ref="R408">_xlfn.IFERROR('Direct Costs 2026'!$C$27*C408,"N/A")</f>
        <v>160000</v>
      </c>
      <c r="S408" s="538" cm="1">
        <f t="array" ref="S408">_xlfn.IFERROR(C408+SUM(E408:R408),"N/A")</f>
        <v>13996133.3333333</v>
      </c>
      <c r="T408" s="424"/>
      <c r="U408" s="538" cm="1">
        <f t="array" ref="U408">IF(B408&gt;0,'Allocation OH and Target 2026'!$E$27,"N/A")</f>
        <v>2134447.30345641</v>
      </c>
      <c r="V408" s="538" cm="1">
        <f t="array" ref="V408">IF(B408&gt;0,'Allocation OH and Target 2026'!$E$28,"N/A")</f>
        <v>200042.323056976</v>
      </c>
      <c r="W408" s="538" cm="1">
        <f t="array" ref="W408">IF(B408&gt;0,VLOOKUP(C393,'Allocation OH and Target 2026'!$C$3:$T$23,17,0),"N/A")</f>
        <v>0</v>
      </c>
      <c r="X408" s="538" cm="1">
        <f t="array" ref="X408">IF(B408&gt;0,VLOOKUP(C393,'Allocation OH and Target 2026'!$C$3:$T$23,18,0),"N/A")</f>
        <v>0</v>
      </c>
      <c r="Y408" s="538" cm="1">
        <f t="array" ref="Y408">_xlfn.IFERROR(B408*(V408+X408),"N/A")</f>
        <v>2600550.19974069</v>
      </c>
      <c r="Z408" s="424"/>
      <c r="AA408" s="538" cm="1">
        <f t="array" ref="AA408">_xlfn.IFERROR(Y408+S408,"N/A")</f>
        <v>16596683.533074</v>
      </c>
      <c r="AB408" s="538" cm="1">
        <f t="array" ref="AB408">_xlfn.IFERROR(AA408*0.5%,"N/A")</f>
        <v>82983.41766537</v>
      </c>
      <c r="AC408" s="538" cm="1">
        <f t="array" ref="AC408">_xlfn.IFERROR(AA408*25%,"N/A")</f>
        <v>4149170.8832685</v>
      </c>
      <c r="AD408" s="539" cm="1">
        <f t="array" ref="AD408">IF(B408&gt;0,SUM(AA408:AC408),"N/A")</f>
        <v>20828837.8340079</v>
      </c>
      <c r="AE408" s="538" cm="1">
        <f t="array" ref="AE408">_xlfn.IFERROR(AD408/B408,"N/A")</f>
        <v>1602218.29492368</v>
      </c>
      <c r="AF408" s="424"/>
      <c r="AG408" t="str" s="546" cm="1">
        <f t="array" ref="AG408">IF(B408/VLOOKUP(C393,'Boats Data Sheet 2026'!$C$3:$H$57,6,0)&gt;VLOOKUP(C393,'Allocation OH and Target 2026'!$C$3:$J$23,8,0),IF(SUM(AH395:AH407)=0,AE408,"N/A"),"N/A")</f>
        <v>N/A</v>
      </c>
      <c r="AH408" s="424" cm="1">
        <f t="array" ref="AH408">IF(AG408="N/A",0,1)</f>
        <v>0</v>
      </c>
      <c r="AI408" t="str" s="547" cm="1">
        <f t="array" ref="AI408">IF(B408/VLOOKUP(C393,'Boats Data Sheet 2026'!$C$3:$H$57,6,0)&gt;VLOOKUP(C393,'Allocation OH and Target 2026'!$C$3:$J$23,8,0),IF(SUM(AH395:AH407)=0,S408/B408,"N/A"),"N/A")</f>
        <v>N/A</v>
      </c>
      <c r="AJ408" s="424" cm="1">
        <f t="array" ref="AJ408">IF(AI408="N/A",0,1)</f>
        <v>0</v>
      </c>
      <c r="AK408" t="str" s="527" cm="1">
        <f t="array" ref="AK408">IF(SUM($AG$120:$AG$137)*B408&lt;SUM(AA408:AB408),"NO GO","GO")</f>
        <v>GO</v>
      </c>
      <c r="AL408" s="424"/>
      <c r="AM408" s="538"/>
      <c r="AN408" s="538"/>
      <c r="AO408" s="538"/>
      <c r="AP408" s="542"/>
      <c r="AQ408" s="543" cm="1">
        <f t="array" ref="AQ408">B408</f>
        <v>13</v>
      </c>
      <c r="AR408" s="18"/>
    </row>
    <row r="409" ht="16" customHeight="1">
      <c r="A409" s="12"/>
      <c r="B409" s="544" cm="1">
        <f t="array" ref="B409">IF(B408=0,0,IF(B408&lt;VLOOKUP(C393,'Boats Data Sheet 2026'!$C$3:$H$57,6,0),B408+1,0))</f>
        <v>0</v>
      </c>
      <c r="C409" t="str" s="547" cm="1">
        <f t="array" ref="C409">IF(B409&gt;0,IF(VLOOKUP(C393,'Boats Data Sheet 2026'!$C$3:$J$57,8,0)="N/A",0,VLOOKUP(C393,'Boats Data Sheet 2026'!$C$3:$J$57,8,0)),"N/A")</f>
        <v>N/A</v>
      </c>
      <c r="D409" t="str" s="547" cm="1">
        <f t="array" ref="D409">IF(B409&gt;7,2,IF(B409=0,"N/A",1))</f>
        <v>N/A</v>
      </c>
      <c r="E409" t="str" s="547" cm="1">
        <f t="array" ref="E409">_xlfn.IFERROR(SUM('Direct Costs 2026'!$C$4:$C$5)*D409,"N/A")</f>
        <v>N/A</v>
      </c>
      <c r="F409" s="538" cm="1">
        <f t="array" ref="F409">_xlfn.IFERROR('Direct Costs 2026'!$C$43*B409,"N/A")</f>
        <v>0</v>
      </c>
      <c r="G409" t="str" s="547" cm="1">
        <f t="array" ref="G409">IF(B409&gt;0,'Direct Costs 2026'!$C$25,"N/A")</f>
        <v>N/A</v>
      </c>
      <c r="H409" t="str" s="547" cm="1">
        <f t="array" ref="H409">IF(B409&gt;0,'Direct Costs 2026'!$C$19+'Direct Costs 2026'!$C$18*B409,"N/A")</f>
        <v>N/A</v>
      </c>
      <c r="I409" t="str" s="547" cm="1">
        <f t="array" ref="I409">IF(B409&gt;0,SUM('Direct Costs 2026'!$C$20:$C$21),"N/A")</f>
        <v>N/A</v>
      </c>
      <c r="J409" s="538">
        <v>0</v>
      </c>
      <c r="K409" t="str" s="547" cm="1">
        <f t="array" ref="K409">_xlfn.IFERROR((IF(B409&gt;0,'Direct Costs 2026'!$C$15+'Direct Costs 2026'!$C$14,"N/A")),"N/A")</f>
        <v>N/A</v>
      </c>
      <c r="L409" t="str" s="547" cm="1">
        <f t="array" ref="L409">IF(B409&gt;0,'Direct Costs 2026'!$C$26,"N/A")</f>
        <v>N/A</v>
      </c>
      <c r="M409" t="str" s="547" cm="1">
        <f t="array" ref="M409">IF(B409&gt;0,'Direct Costs 2026'!$C$23,"N/A")</f>
        <v>N/A</v>
      </c>
      <c r="N409" t="str" s="547" cm="1">
        <f t="array" ref="N409">IF(B409&gt;0,'Direct Costs 2026'!$C$44*B409,"N/A")</f>
        <v>N/A</v>
      </c>
      <c r="O409" t="str" s="547" cm="1">
        <f t="array" ref="O409">IF(B409&gt;0,_xlfn.IFERROR(VLOOKUP(C393,'Boats Data Sheet 2026'!$C$3:$I$57,7,0)*'Direct Costs 2026'!$C$36,"N/A"),"N/A")</f>
        <v>N/A</v>
      </c>
      <c r="P409" t="str" s="547" cm="1">
        <f t="array" ref="P409">IF(B409&gt;0,IF(OR(VLOOKUP(C393,'Boats Data Sheet 2026'!$C$3:$F$57,4,0)="Own",VLOOKUP(C393,'Boats Data Sheet 2026'!$C$3:$F$57,4,0)="Management"),('Direct Costs 2026'!$C$37+'Direct Costs 2026'!$C$39),"N/A"),"N/A")</f>
        <v>N/A</v>
      </c>
      <c r="Q409" t="str" s="547" cm="1">
        <f t="array" ref="Q409">_xlfn.IFERROR(IF(B409&gt;5,IF(B409&gt;11,IF(B409&gt;15,4,3),2),IF(B409=0,"N/A",1))*SUM('Direct Costs 2026'!$C$67:$C$68),"N/A")</f>
        <v>N/A</v>
      </c>
      <c r="R409" t="str" s="547" cm="1">
        <f t="array" ref="R409">_xlfn.IFERROR('Direct Costs 2026'!$C$27*C409,"N/A")</f>
        <v>N/A</v>
      </c>
      <c r="S409" t="str" s="547" cm="1">
        <f t="array" ref="S409">_xlfn.IFERROR(C409+SUM(E409:R409),"N/A")</f>
        <v>N/A</v>
      </c>
      <c r="T409" s="424"/>
      <c r="U409" t="str" s="547" cm="1">
        <f t="array" ref="U409">IF(B409&gt;0,'Allocation OH and Target 2026'!$E$27,"N/A")</f>
        <v>N/A</v>
      </c>
      <c r="V409" t="str" s="547" cm="1">
        <f t="array" ref="V409">IF(B409&gt;0,'Allocation OH and Target 2026'!$E$28,"N/A")</f>
        <v>N/A</v>
      </c>
      <c r="W409" t="str" s="547" cm="1">
        <f t="array" ref="W409">IF(B409&gt;0,VLOOKUP(C393,'Allocation OH and Target 2026'!$C$3:$T$23,17,0),"N/A")</f>
        <v>N/A</v>
      </c>
      <c r="X409" t="str" s="547" cm="1">
        <f t="array" ref="X409">IF(B409&gt;0,VLOOKUP(C393,'Allocation OH and Target 2026'!$C$3:$T$23,18,0),"N/A")</f>
        <v>N/A</v>
      </c>
      <c r="Y409" t="str" s="547" cm="1">
        <f t="array" ref="Y409">_xlfn.IFERROR(B409*(V409+X409),"N/A")</f>
        <v>N/A</v>
      </c>
      <c r="Z409" s="424"/>
      <c r="AA409" t="str" s="547" cm="1">
        <f t="array" ref="AA409">_xlfn.IFERROR(Y409+S409,"N/A")</f>
        <v>N/A</v>
      </c>
      <c r="AB409" t="str" s="547" cm="1">
        <f t="array" ref="AB409">_xlfn.IFERROR(AA409*0.5%,"N/A")</f>
        <v>N/A</v>
      </c>
      <c r="AC409" t="str" s="547" cm="1">
        <f t="array" ref="AC409">_xlfn.IFERROR(AA409*25%,"N/A")</f>
        <v>N/A</v>
      </c>
      <c r="AD409" t="str" s="546" cm="1">
        <f t="array" ref="AD409">IF(B409&gt;0,SUM(AA409:AC409),"N/A")</f>
        <v>N/A</v>
      </c>
      <c r="AE409" t="str" s="547" cm="1">
        <f t="array" ref="AE409">_xlfn.IFERROR(AD409/B409,"N/A")</f>
        <v>N/A</v>
      </c>
      <c r="AF409" s="424"/>
      <c r="AG409" t="str" s="546" cm="1">
        <f t="array" ref="AG409">IF(B409/VLOOKUP(C393,'Boats Data Sheet 2026'!$C$3:$H$57,6,0)&gt;VLOOKUP(C393,'Allocation OH and Target 2026'!$C$3:$J$23,8,0),IF(SUM(AH395:AH408)=0,AE409,"N/A"),"N/A")</f>
        <v>N/A</v>
      </c>
      <c r="AH409" s="424" cm="1">
        <f t="array" ref="AH409">IF(AG409="N/A",0,1)</f>
        <v>0</v>
      </c>
      <c r="AI409" t="str" s="547" cm="1">
        <f t="array" ref="AI409">IF(B409/VLOOKUP(C393,'Boats Data Sheet 2026'!$C$3:$H$57,6,0)&gt;VLOOKUP(C393,'Allocation OH and Target 2026'!$C$3:$J$23,8,0),IF(SUM(AH395:AH408)=0,S409/B409,"N/A"),"N/A")</f>
        <v>N/A</v>
      </c>
      <c r="AJ409" s="424" cm="1">
        <f t="array" ref="AJ409">IF(AI409="N/A",0,1)</f>
        <v>0</v>
      </c>
      <c r="AK409" t="str" s="527" cm="1">
        <f t="array" ref="AK409">IF(SUM($AG$120:$AG$137)*B409&lt;SUM(AA409:AB409),"NO GO","GO")</f>
        <v>GO</v>
      </c>
      <c r="AL409" s="424"/>
      <c r="AM409" s="538"/>
      <c r="AN409" s="538"/>
      <c r="AO409" s="538"/>
      <c r="AP409" s="542"/>
      <c r="AQ409" s="543" cm="1">
        <f t="array" ref="AQ409">B409</f>
        <v>0</v>
      </c>
      <c r="AR409" s="18"/>
    </row>
    <row r="410" ht="16" customHeight="1">
      <c r="A410" s="12"/>
      <c r="B410" s="544" cm="1">
        <f t="array" ref="B410">IF(B409=0,0,IF(B409&lt;VLOOKUP(C393,'Boats Data Sheet 2026'!$C$3:$H$57,6,0),B409+1,0))</f>
        <v>0</v>
      </c>
      <c r="C410" t="str" s="547" cm="1">
        <f t="array" ref="C410">IF(B410&gt;0,IF(VLOOKUP(C393,'Boats Data Sheet 2026'!$C$3:$J$57,8,0)="N/A",0,VLOOKUP(C393,'Boats Data Sheet 2026'!$C$3:$J$57,8,0)),"N/A")</f>
        <v>N/A</v>
      </c>
      <c r="D410" t="str" s="547" cm="1">
        <f t="array" ref="D410">IF(B410&gt;7,2,IF(B410=0,"N/A",1))</f>
        <v>N/A</v>
      </c>
      <c r="E410" t="str" s="547" cm="1">
        <f t="array" ref="E410">_xlfn.IFERROR(SUM('Direct Costs 2026'!$C$4:$C$5)*D410,"N/A")</f>
        <v>N/A</v>
      </c>
      <c r="F410" s="538" cm="1">
        <f t="array" ref="F410">_xlfn.IFERROR('Direct Costs 2026'!$C$43*B410,"N/A")</f>
        <v>0</v>
      </c>
      <c r="G410" t="str" s="547" cm="1">
        <f t="array" ref="G410">IF(B410&gt;0,'Direct Costs 2026'!$C$25,"N/A")</f>
        <v>N/A</v>
      </c>
      <c r="H410" t="str" s="547" cm="1">
        <f t="array" ref="H410">IF(B410&gt;0,'Direct Costs 2026'!$C$19+'Direct Costs 2026'!$C$18*B410,"N/A")</f>
        <v>N/A</v>
      </c>
      <c r="I410" t="str" s="547" cm="1">
        <f t="array" ref="I410">IF(B410&gt;0,SUM('Direct Costs 2026'!$C$20:$C$21),"N/A")</f>
        <v>N/A</v>
      </c>
      <c r="J410" s="538">
        <v>0</v>
      </c>
      <c r="K410" t="str" s="547" cm="1">
        <f t="array" ref="K410">_xlfn.IFERROR((IF(B410&gt;0,'Direct Costs 2026'!$C$15+'Direct Costs 2026'!$C$14,"N/A")),"N/A")</f>
        <v>N/A</v>
      </c>
      <c r="L410" t="str" s="547" cm="1">
        <f t="array" ref="L410">IF(B410&gt;0,'Direct Costs 2026'!$C$26,"N/A")</f>
        <v>N/A</v>
      </c>
      <c r="M410" t="str" s="547" cm="1">
        <f t="array" ref="M410">IF(B410&gt;0,'Direct Costs 2026'!$C$23,"N/A")</f>
        <v>N/A</v>
      </c>
      <c r="N410" t="str" s="547" cm="1">
        <f t="array" ref="N410">IF(B410&gt;0,'Direct Costs 2026'!$C$44*B410,"N/A")</f>
        <v>N/A</v>
      </c>
      <c r="O410" t="str" s="547" cm="1">
        <f t="array" ref="O410">IF(B410&gt;0,_xlfn.IFERROR(VLOOKUP(C393,'Boats Data Sheet 2026'!$C$3:$I$57,7,0)*'Direct Costs 2026'!$C$36,"N/A"),"N/A")</f>
        <v>N/A</v>
      </c>
      <c r="P410" t="str" s="547" cm="1">
        <f t="array" ref="P410">IF(B410&gt;0,IF(OR(VLOOKUP(C398,'Boats Data Sheet 2026'!$C$3:$F$57,4,0)="Own",VLOOKUP(C398,'Boats Data Sheet 2026'!$C$3:$F$57,4,0)="Management"),('Direct Costs 2026'!$C$37+'Direct Costs 2026'!$C$39),"N/A"),"N/A")</f>
        <v>N/A</v>
      </c>
      <c r="Q410" t="str" s="547" cm="1">
        <f t="array" ref="Q410">_xlfn.IFERROR(IF(B410&gt;5,IF(B410&gt;11,IF(B410&gt;15,4,3),2),IF(B410=0,"N/A",1))*SUM('Direct Costs 2026'!$C$67:$C$68),"N/A")</f>
        <v>N/A</v>
      </c>
      <c r="R410" t="str" s="547" cm="1">
        <f t="array" ref="R410">_xlfn.IFERROR('Direct Costs 2026'!$C$27*C410,"N/A")</f>
        <v>N/A</v>
      </c>
      <c r="S410" t="str" s="547" cm="1">
        <f t="array" ref="S410">_xlfn.IFERROR(C410+SUM(E410:R410),"N/A")</f>
        <v>N/A</v>
      </c>
      <c r="T410" s="424"/>
      <c r="U410" t="str" s="547" cm="1">
        <f t="array" ref="U410">IF(B410&gt;0,'Allocation OH and Target 2026'!$E$27,"N/A")</f>
        <v>N/A</v>
      </c>
      <c r="V410" t="str" s="547" cm="1">
        <f t="array" ref="V410">IF(B410&gt;0,'Allocation OH and Target 2026'!$E$28,"N/A")</f>
        <v>N/A</v>
      </c>
      <c r="W410" t="str" s="547" cm="1">
        <f t="array" ref="W410">IF(B410&gt;0,VLOOKUP(C393,'Allocation OH and Target 2026'!$C$3:$T$23,17,0),"N/A")</f>
        <v>N/A</v>
      </c>
      <c r="X410" t="str" s="547" cm="1">
        <f t="array" ref="X410">IF(B410&gt;0,VLOOKUP(C393,'Allocation OH and Target 2026'!$C$3:$T$23,18,0),"N/A")</f>
        <v>N/A</v>
      </c>
      <c r="Y410" t="str" s="547" cm="1">
        <f t="array" ref="Y410">_xlfn.IFERROR(V410*B410+X410,"N/A")</f>
        <v>N/A</v>
      </c>
      <c r="Z410" s="424"/>
      <c r="AA410" t="str" s="547" cm="1">
        <f t="array" ref="AA410">_xlfn.IFERROR(Y410+S410,"N/A")</f>
        <v>N/A</v>
      </c>
      <c r="AB410" t="str" s="547" cm="1">
        <f t="array" ref="AB410">_xlfn.IFERROR(AA410*0.5%,"N/A")</f>
        <v>N/A</v>
      </c>
      <c r="AC410" t="str" s="547" cm="1">
        <f t="array" ref="AC410">_xlfn.IFERROR(AA410*25%,"N/A")</f>
        <v>N/A</v>
      </c>
      <c r="AD410" t="str" s="546" cm="1">
        <f t="array" ref="AD410">IF(B410&gt;0,SUM(AA410:AC410),"N/A")</f>
        <v>N/A</v>
      </c>
      <c r="AE410" t="str" s="547" cm="1">
        <f t="array" ref="AE410">_xlfn.IFERROR(AD410/B410,"N/A")</f>
        <v>N/A</v>
      </c>
      <c r="AF410" s="424"/>
      <c r="AG410" t="str" s="546" cm="1">
        <f t="array" ref="AG410">IF(B410/VLOOKUP(C393,'Boats Data Sheet 2026'!$C$3:$H$57,6,0)&gt;VLOOKUP(C393,'Allocation OH and Target 2026'!$C$3:$J$23,8,0),IF(SUM(AH395:AH409)=0,AE410,"N/A"),"N/A")</f>
        <v>N/A</v>
      </c>
      <c r="AH410" s="424" cm="1">
        <f t="array" ref="AH410">IF(AG410="N/A",0,1)</f>
        <v>0</v>
      </c>
      <c r="AI410" t="str" s="547" cm="1">
        <f t="array" ref="AI410">IF(B410/VLOOKUP(C393,'Boats Data Sheet 2026'!$C$3:$H$57,6,0)&gt;VLOOKUP(C393,'Allocation OH and Target 2026'!$C$3:$J$23,8,0),IF(SUM(AH395:AH409)=0,S410/B410,"N/A"),"N/A")</f>
        <v>N/A</v>
      </c>
      <c r="AJ410" s="424" cm="1">
        <f t="array" ref="AJ410">IF(AI410="N/A",0,1)</f>
        <v>0</v>
      </c>
      <c r="AK410" t="str" s="527" cm="1">
        <f t="array" ref="AK410">IF(SUM($AG$120:$AG$137)*B410&lt;SUM(AA410:AB410),"NO GO","GO")</f>
        <v>GO</v>
      </c>
      <c r="AL410" s="424"/>
      <c r="AM410" s="538"/>
      <c r="AN410" s="538"/>
      <c r="AO410" s="538"/>
      <c r="AP410" s="542"/>
      <c r="AQ410" s="543" cm="1">
        <f t="array" ref="AQ410">B410</f>
        <v>0</v>
      </c>
      <c r="AR410" s="18"/>
    </row>
    <row r="411" ht="16" customHeight="1">
      <c r="A411" s="12"/>
      <c r="B411" s="544" cm="1">
        <f t="array" ref="B411">IF(B410=0,0,IF(B410&lt;VLOOKUP(C393,'Boats Data Sheet 2026'!$C$3:$H$57,6,0),B410+1,0))</f>
        <v>0</v>
      </c>
      <c r="C411" t="str" s="547" cm="1">
        <f t="array" ref="C411">IF(B411&gt;0,IF(VLOOKUP(C393,'Boats Data Sheet 2026'!$C$3:$J$57,8,0)="N/A",0,VLOOKUP(C393,'Boats Data Sheet 2026'!$C$3:$J$57,8,0)),"N/A")</f>
        <v>N/A</v>
      </c>
      <c r="D411" t="str" s="547" cm="1">
        <f t="array" ref="D411">IF(B411&gt;7,2,IF(B411=0,"N/A",1))</f>
        <v>N/A</v>
      </c>
      <c r="E411" t="str" s="547" cm="1">
        <f t="array" ref="E411">_xlfn.IFERROR(SUM('Direct Costs 2026'!$C$4:$C$5)*D411,"N/A")</f>
        <v>N/A</v>
      </c>
      <c r="F411" s="538" cm="1">
        <f t="array" ref="F411">_xlfn.IFERROR('Direct Costs 2026'!$C$43*B411,"N/A")</f>
        <v>0</v>
      </c>
      <c r="G411" t="str" s="547" cm="1">
        <f t="array" ref="G411">IF(B411&gt;0,'Direct Costs 2026'!$C$25,"N/A")</f>
        <v>N/A</v>
      </c>
      <c r="H411" t="str" s="547" cm="1">
        <f t="array" ref="H411">IF(B411&gt;0,'Direct Costs 2026'!$C$19+'Direct Costs 2026'!$C$18*B411,"N/A")</f>
        <v>N/A</v>
      </c>
      <c r="I411" t="str" s="547" cm="1">
        <f t="array" ref="I411">IF(B411&gt;0,SUM('Direct Costs 2026'!$C$20:$C$21),"N/A")</f>
        <v>N/A</v>
      </c>
      <c r="J411" s="538">
        <v>0</v>
      </c>
      <c r="K411" t="str" s="547" cm="1">
        <f t="array" ref="K411">_xlfn.IFERROR((IF(B411&gt;0,'Direct Costs 2026'!$C$15+'Direct Costs 2026'!$C$14,"N/A")),"N/A")</f>
        <v>N/A</v>
      </c>
      <c r="L411" t="str" s="547" cm="1">
        <f t="array" ref="L411">IF(B411&gt;0,'Direct Costs 2026'!$C$26,"N/A")</f>
        <v>N/A</v>
      </c>
      <c r="M411" t="str" s="547" cm="1">
        <f t="array" ref="M411">IF(B411&gt;0,'Direct Costs 2026'!$C$23,"N/A")</f>
        <v>N/A</v>
      </c>
      <c r="N411" t="str" s="547" cm="1">
        <f t="array" ref="N411">IF(B411&gt;0,'Direct Costs 2026'!$C$44*B411,"N/A")</f>
        <v>N/A</v>
      </c>
      <c r="O411" t="str" s="547" cm="1">
        <f t="array" ref="O411">IF(B411&gt;0,_xlfn.IFERROR(VLOOKUP(C393,'Boats Data Sheet 2026'!$C$3:$I$57,7,0)*'Direct Costs 2026'!$C$36,"N/A"),"N/A")</f>
        <v>N/A</v>
      </c>
      <c r="P411" t="str" s="547" cm="1">
        <f t="array" ref="P411">IF(B411&gt;0,IF(OR(VLOOKUP(C399,'Boats Data Sheet 2026'!$C$3:$F$57,4,0)="Own",VLOOKUP(C399,'Boats Data Sheet 2026'!$C$3:$F$57,4,0)="Management"),('Direct Costs 2026'!$C$37+'Direct Costs 2026'!$C$39),"N/A"),"N/A")</f>
        <v>N/A</v>
      </c>
      <c r="Q411" t="str" s="547" cm="1">
        <f t="array" ref="Q411">_xlfn.IFERROR(IF(B411&gt;5,IF(B411&gt;11,IF(B411&gt;15,4,3),2),IF(B411=0,"N/A",1))*SUM('Direct Costs 2026'!$C$67:$C$68),"N/A")</f>
        <v>N/A</v>
      </c>
      <c r="R411" t="str" s="547" cm="1">
        <f t="array" ref="R411">_xlfn.IFERROR('Direct Costs 2026'!$C$27*C411,"N/A")</f>
        <v>N/A</v>
      </c>
      <c r="S411" t="str" s="547" cm="1">
        <f t="array" ref="S411">_xlfn.IFERROR(C411+SUM(E411:R411),"N/A")</f>
        <v>N/A</v>
      </c>
      <c r="T411" s="424"/>
      <c r="U411" t="str" s="547" cm="1">
        <f t="array" ref="U411">IF(B411&gt;0,'Allocation OH and Target 2026'!$E$27,"N/A")</f>
        <v>N/A</v>
      </c>
      <c r="V411" t="str" s="547" cm="1">
        <f t="array" ref="V411">IF(B411&gt;0,'Allocation OH and Target 2026'!$E$28,"N/A")</f>
        <v>N/A</v>
      </c>
      <c r="W411" t="str" s="547" cm="1">
        <f t="array" ref="W411">IF(B411&gt;0,VLOOKUP(C393,'Allocation OH and Target 2026'!$C$3:$T$23,17,0),"N/A")</f>
        <v>N/A</v>
      </c>
      <c r="X411" t="str" s="547" cm="1">
        <f t="array" ref="X411">IF(B411&gt;0,VLOOKUP(C393,'Allocation OH and Target 2026'!$C$3:$T$23,18,0),"N/A")</f>
        <v>N/A</v>
      </c>
      <c r="Y411" t="str" s="547" cm="1">
        <f t="array" ref="Y411">_xlfn.IFERROR(V411*B411+X411,"N/A")</f>
        <v>N/A</v>
      </c>
      <c r="Z411" s="424"/>
      <c r="AA411" t="str" s="547" cm="1">
        <f t="array" ref="AA411">_xlfn.IFERROR(Y411+S411,"N/A")</f>
        <v>N/A</v>
      </c>
      <c r="AB411" t="str" s="547" cm="1">
        <f t="array" ref="AB411">_xlfn.IFERROR(AA411*0.5%,"N/A")</f>
        <v>N/A</v>
      </c>
      <c r="AC411" t="str" s="547" cm="1">
        <f t="array" ref="AC411">_xlfn.IFERROR(AA411*25%,"N/A")</f>
        <v>N/A</v>
      </c>
      <c r="AD411" t="str" s="546" cm="1">
        <f t="array" ref="AD411">IF(B411&gt;0,SUM(AA411:AC411),"N/A")</f>
        <v>N/A</v>
      </c>
      <c r="AE411" t="str" s="547" cm="1">
        <f t="array" ref="AE411">_xlfn.IFERROR(AD411/B411,"N/A")</f>
        <v>N/A</v>
      </c>
      <c r="AF411" s="424"/>
      <c r="AG411" t="str" s="546" cm="1">
        <f t="array" ref="AG411">IF(B411/VLOOKUP(C393,'Boats Data Sheet 2026'!$C$3:$H$57,6,0)&gt;VLOOKUP(C393,'Allocation OH and Target 2026'!$C$3:$J$23,8,0),IF(SUM(AH395:AH410)=0,AE411,"N/A"),"N/A")</f>
        <v>N/A</v>
      </c>
      <c r="AH411" s="424" cm="1">
        <f t="array" ref="AH411">IF(AG411="N/A",0,1)</f>
        <v>0</v>
      </c>
      <c r="AI411" t="str" s="547" cm="1">
        <f t="array" ref="AI411">IF(B411/VLOOKUP(C393,'Boats Data Sheet 2026'!$C$3:$H$57,6,0)&gt;VLOOKUP(C393,'Allocation OH and Target 2026'!$C$3:$J$23,8,0),IF(SUM(AH395:AH410)=0,S411/B411,"N/A"),"N/A")</f>
        <v>N/A</v>
      </c>
      <c r="AJ411" s="424" cm="1">
        <f t="array" ref="AJ411">IF(AI411="N/A",0,1)</f>
        <v>0</v>
      </c>
      <c r="AK411" t="str" s="527" cm="1">
        <f t="array" ref="AK411">IF(SUM($AG$120:$AG$137)*B411&lt;SUM(AA411:AB411),"NO GO","GO")</f>
        <v>GO</v>
      </c>
      <c r="AL411" s="424"/>
      <c r="AM411" s="538"/>
      <c r="AN411" s="538"/>
      <c r="AO411" s="538"/>
      <c r="AP411" s="542"/>
      <c r="AQ411" s="543" cm="1">
        <f t="array" ref="AQ411">B411</f>
        <v>0</v>
      </c>
      <c r="AR411" s="18"/>
    </row>
    <row r="412" ht="16" customHeight="1">
      <c r="A412" s="12"/>
      <c r="B412" s="544" cm="1">
        <f t="array" ref="B412">IF(B411=0,0,IF(B411&lt;VLOOKUP(C393,'Boats Data Sheet 2026'!$C$3:$H$57,6,0),B411+1,0))</f>
        <v>0</v>
      </c>
      <c r="C412" t="str" s="547" cm="1">
        <f t="array" ref="C412">IF(B412&gt;0,IF(VLOOKUP(C393,'Boats Data Sheet 2026'!$C$3:$J$57,8,0)="N/A",0,VLOOKUP(C393,'Boats Data Sheet 2026'!$C$3:$J$57,8,0)),"N/A")</f>
        <v>N/A</v>
      </c>
      <c r="D412" t="str" s="547" cm="1">
        <f t="array" ref="D412">IF(B412&gt;7,2,IF(B412=0,"N/A",1))</f>
        <v>N/A</v>
      </c>
      <c r="E412" t="str" s="547" cm="1">
        <f t="array" ref="E412">_xlfn.IFERROR(SUM('Direct Costs 2026'!$C$4:$C$5)*D412,"N/A")</f>
        <v>N/A</v>
      </c>
      <c r="F412" s="538" cm="1">
        <f t="array" ref="F412">_xlfn.IFERROR('Direct Costs 2026'!$C$43*B412,"N/A")</f>
        <v>0</v>
      </c>
      <c r="G412" t="str" s="547" cm="1">
        <f t="array" ref="G412">IF(B412&gt;0,'Direct Costs 2026'!$C$25,"N/A")</f>
        <v>N/A</v>
      </c>
      <c r="H412" t="str" s="547" cm="1">
        <f t="array" ref="H412">IF(B412&gt;0,'Direct Costs 2026'!$C$19+'Direct Costs 2026'!$C$18*B412,"N/A")</f>
        <v>N/A</v>
      </c>
      <c r="I412" t="str" s="547" cm="1">
        <f t="array" ref="I412">IF(B412&gt;0,SUM('Direct Costs 2026'!$C$20:$C$21),"N/A")</f>
        <v>N/A</v>
      </c>
      <c r="J412" s="538">
        <v>0</v>
      </c>
      <c r="K412" t="str" s="547" cm="1">
        <f t="array" ref="K412">_xlfn.IFERROR((IF(B412&gt;0,'Direct Costs 2026'!$C$15+'Direct Costs 2026'!$C$14,"N/A")),"N/A")</f>
        <v>N/A</v>
      </c>
      <c r="L412" t="str" s="547" cm="1">
        <f t="array" ref="L412">IF(B412&gt;0,'Direct Costs 2026'!$C$26,"N/A")</f>
        <v>N/A</v>
      </c>
      <c r="M412" t="str" s="547" cm="1">
        <f t="array" ref="M412">IF(B412&gt;0,'Direct Costs 2026'!$C$23,"N/A")</f>
        <v>N/A</v>
      </c>
      <c r="N412" t="str" s="547" cm="1">
        <f t="array" ref="N412">IF(B412&gt;0,'Direct Costs 2026'!$C$44*B412,"N/A")</f>
        <v>N/A</v>
      </c>
      <c r="O412" t="str" s="547" cm="1">
        <f t="array" ref="O412">IF(B412&gt;0,_xlfn.IFERROR(VLOOKUP(C393,'Boats Data Sheet 2026'!$C$3:$I$57,7,0)*'Direct Costs 2026'!$C$36,"N/A"),"N/A")</f>
        <v>N/A</v>
      </c>
      <c r="P412" t="str" s="547" cm="1">
        <f t="array" ref="P412">IF(B412&gt;0,IF(OR(VLOOKUP(C400,'Boats Data Sheet 2026'!$C$3:$F$57,4,0)="Own",VLOOKUP(C400,'Boats Data Sheet 2026'!$C$3:$F$57,4,0)="Management"),('Direct Costs 2026'!$C$37+'Direct Costs 2026'!$C$39),"N/A"),"N/A")</f>
        <v>N/A</v>
      </c>
      <c r="Q412" t="str" s="547" cm="1">
        <f t="array" ref="Q412">_xlfn.IFERROR(IF(B412&gt;5,IF(B412&gt;11,IF(B412&gt;15,4,3),2),IF(B412=0,"N/A",1))*SUM('Direct Costs 2026'!$C$67:$C$68),"N/A")</f>
        <v>N/A</v>
      </c>
      <c r="R412" t="str" s="547" cm="1">
        <f t="array" ref="R412">_xlfn.IFERROR('Direct Costs 2026'!$C$27*C412,"N/A")</f>
        <v>N/A</v>
      </c>
      <c r="S412" t="str" s="547" cm="1">
        <f t="array" ref="S412">_xlfn.IFERROR(C412+SUM(E412:R412),"N/A")</f>
        <v>N/A</v>
      </c>
      <c r="T412" s="424"/>
      <c r="U412" t="str" s="547" cm="1">
        <f t="array" ref="U412">IF(B412&gt;0,'Allocation OH and Target 2026'!$E$27,"N/A")</f>
        <v>N/A</v>
      </c>
      <c r="V412" t="str" s="547" cm="1">
        <f t="array" ref="V412">IF(B412&gt;0,'Allocation OH and Target 2026'!$E$28,"N/A")</f>
        <v>N/A</v>
      </c>
      <c r="W412" t="str" s="547" cm="1">
        <f t="array" ref="W412">IF(B412&gt;0,VLOOKUP(C393,'Allocation OH and Target 2026'!$C$3:$T$23,17,0),"N/A")</f>
        <v>N/A</v>
      </c>
      <c r="X412" t="str" s="547" cm="1">
        <f t="array" ref="X412">IF(B412&gt;0,VLOOKUP(C393,'Allocation OH and Target 2026'!$C$3:$T$23,18,0),"N/A")</f>
        <v>N/A</v>
      </c>
      <c r="Y412" t="str" s="547" cm="1">
        <f t="array" ref="Y412">_xlfn.IFERROR(V412*B412+X412,"N/A")</f>
        <v>N/A</v>
      </c>
      <c r="Z412" s="424"/>
      <c r="AA412" t="str" s="547" cm="1">
        <f t="array" ref="AA412">_xlfn.IFERROR(Y412+S412,"N/A")</f>
        <v>N/A</v>
      </c>
      <c r="AB412" t="str" s="547" cm="1">
        <f t="array" ref="AB412">_xlfn.IFERROR(AA412*0.5%,"N/A")</f>
        <v>N/A</v>
      </c>
      <c r="AC412" t="str" s="547" cm="1">
        <f t="array" ref="AC412">_xlfn.IFERROR(AA412*25%,"N/A")</f>
        <v>N/A</v>
      </c>
      <c r="AD412" t="str" s="546" cm="1">
        <f t="array" ref="AD412">IF(B412&gt;0,SUM(AA412:AC412),"N/A")</f>
        <v>N/A</v>
      </c>
      <c r="AE412" t="str" s="547" cm="1">
        <f t="array" ref="AE412">_xlfn.IFERROR(AD412/B412,"N/A")</f>
        <v>N/A</v>
      </c>
      <c r="AF412" s="424"/>
      <c r="AG412" t="str" s="546" cm="1">
        <f t="array" ref="AG412">IF(B412/VLOOKUP(C393,'Boats Data Sheet 2026'!$C$3:$H$57,6,0)&gt;VLOOKUP(C393,'Allocation OH and Target 2026'!$C$3:$J$23,8,0),IF(SUM(AH395:AH411)=0,AE412,"N/A"),"N/A")</f>
        <v>N/A</v>
      </c>
      <c r="AH412" s="424" cm="1">
        <f t="array" ref="AH412">IF(AG412="N/A",0,1)</f>
        <v>0</v>
      </c>
      <c r="AI412" t="str" s="547" cm="1">
        <f t="array" ref="AI412">IF(B412/VLOOKUP(C393,'Boats Data Sheet 2026'!$C$3:$H$57,6,0)&gt;VLOOKUP(C393,'Allocation OH and Target 2026'!$C$3:$J$23,8,0),IF(SUM(AH395:AH411)=0,S412/B412,"N/A"),"N/A")</f>
        <v>N/A</v>
      </c>
      <c r="AJ412" s="424" cm="1">
        <f t="array" ref="AJ412">IF(AI412="N/A",0,1)</f>
        <v>0</v>
      </c>
      <c r="AK412" t="str" s="527" cm="1">
        <f t="array" ref="AK412">IF(SUM($AG$120:$AG$137)*B412&lt;SUM(AA412:AB412),"NO GO","GO")</f>
        <v>GO</v>
      </c>
      <c r="AL412" s="424"/>
      <c r="AM412" s="538"/>
      <c r="AN412" s="538"/>
      <c r="AO412" s="538"/>
      <c r="AP412" s="542"/>
      <c r="AQ412" s="543" cm="1">
        <f t="array" ref="AQ412">B412</f>
        <v>0</v>
      </c>
      <c r="AR412" s="18"/>
    </row>
    <row r="413" ht="15.5" customHeight="1">
      <c r="A413" s="12"/>
      <c r="B413" s="550" cm="1">
        <f t="array" ref="B413">IF(B412=0,0,IF(B412&lt;VLOOKUP(C393,'Boats Data Sheet 2026'!$C$3:$H$57,6,0),B412+1,0))</f>
        <v>0</v>
      </c>
      <c r="C413" t="str" s="551" cm="1">
        <f t="array" ref="C413">IF(B413&gt;0,IF(VLOOKUP(C393,'Boats Data Sheet 2026'!$C$3:$J$57,8,0)="N/A",0,VLOOKUP(C393,'Boats Data Sheet 2026'!$C$3:$J$57,8,0)),"N/A")</f>
        <v>N/A</v>
      </c>
      <c r="D413" t="str" s="551" cm="1">
        <f t="array" ref="D413">IF(B413&gt;7,2,IF(B413=0,"N/A",1))</f>
        <v>N/A</v>
      </c>
      <c r="E413" t="str" s="551" cm="1">
        <f t="array" ref="E413">_xlfn.IFERROR(SUM('Direct Costs 2026'!$C$4:$C$5)*D413,"N/A")</f>
        <v>N/A</v>
      </c>
      <c r="F413" s="552" cm="1">
        <f t="array" ref="F413">_xlfn.IFERROR('Direct Costs 2026'!$C$43*B413,"N/A")</f>
        <v>0</v>
      </c>
      <c r="G413" t="str" s="551" cm="1">
        <f t="array" ref="G413">IF(B413&gt;0,'Direct Costs 2026'!$C$25,"N/A")</f>
        <v>N/A</v>
      </c>
      <c r="H413" t="str" s="551" cm="1">
        <f t="array" ref="H413">IF(B413&gt;0,'Direct Costs 2026'!$C$19+'Direct Costs 2026'!$C$18*B413,"N/A")</f>
        <v>N/A</v>
      </c>
      <c r="I413" t="str" s="551" cm="1">
        <f t="array" ref="I413">IF(B413&gt;0,SUM('Direct Costs 2026'!$C$20:$C$21),"N/A")</f>
        <v>N/A</v>
      </c>
      <c r="J413" s="552">
        <v>0</v>
      </c>
      <c r="K413" t="str" s="551" cm="1">
        <f t="array" ref="K413">_xlfn.IFERROR((IF(B413&gt;0,'Direct Costs 2026'!$C$15+'Direct Costs 2026'!$C$14,"N/A")),"N/A")</f>
        <v>N/A</v>
      </c>
      <c r="L413" t="str" s="551" cm="1">
        <f t="array" ref="L413">IF(B413&gt;0,'Direct Costs 2026'!$C$26,"N/A")</f>
        <v>N/A</v>
      </c>
      <c r="M413" t="str" s="551" cm="1">
        <f t="array" ref="M413">IF(B413&gt;0,'Direct Costs 2026'!$C$23,"N/A")</f>
        <v>N/A</v>
      </c>
      <c r="N413" t="str" s="551" cm="1">
        <f t="array" ref="N413">IF(B413&gt;0,'Direct Costs 2026'!$C$44*B413,"N/A")</f>
        <v>N/A</v>
      </c>
      <c r="O413" t="str" s="551" cm="1">
        <f t="array" ref="O413">IF(B413&gt;0,_xlfn.IFERROR(VLOOKUP(C393,'Boats Data Sheet 2026'!$C$3:$I$57,7,0)*'Direct Costs 2026'!$C$36,"N/A"),"N/A")</f>
        <v>N/A</v>
      </c>
      <c r="P413" t="str" s="551" cm="1">
        <f t="array" ref="P413">IF(B413&gt;0,IF(OR(VLOOKUP(C401,'Boats Data Sheet 2026'!$C$3:$F$57,4,0)="Own",VLOOKUP(C401,'Boats Data Sheet 2026'!$C$3:$F$57,4,0)="Management"),('Direct Costs 2026'!$C$37+'Direct Costs 2026'!$C$39),"N/A"),"N/A")</f>
        <v>N/A</v>
      </c>
      <c r="Q413" t="str" s="551" cm="1">
        <f t="array" ref="Q413">_xlfn.IFERROR(IF(B413&gt;5,IF(B413&gt;11,IF(B413&gt;15,4,3),2),IF(B413=0,"N/A",1))*SUM('Direct Costs 2026'!$C$67:$C$68),"N/A")</f>
        <v>N/A</v>
      </c>
      <c r="R413" t="str" s="551" cm="1">
        <f t="array" ref="R413">_xlfn.IFERROR('Direct Costs 2026'!$C$27*C413,"N/A")</f>
        <v>N/A</v>
      </c>
      <c r="S413" t="str" s="551" cm="1">
        <f t="array" ref="S413">_xlfn.IFERROR(C413+SUM(E413:R413),"N/A")</f>
        <v>N/A</v>
      </c>
      <c r="T413" s="435"/>
      <c r="U413" t="str" s="551" cm="1">
        <f t="array" ref="U413">IF(B413&gt;0,'Allocation OH and Target 2026'!$E$27,"N/A")</f>
        <v>N/A</v>
      </c>
      <c r="V413" t="str" s="551" cm="1">
        <f t="array" ref="V413">IF(B413&gt;0,'Allocation OH and Target 2026'!$E$28,"N/A")</f>
        <v>N/A</v>
      </c>
      <c r="W413" t="str" s="551" cm="1">
        <f t="array" ref="W413">IF(B413&gt;0,VLOOKUP(C393,'Allocation OH and Target 2026'!$C$3:$T$23,17,0),"N/A")</f>
        <v>N/A</v>
      </c>
      <c r="X413" t="str" s="551" cm="1">
        <f t="array" ref="X413">IF(B413&gt;0,VLOOKUP(C393,'Allocation OH and Target 2026'!$C$3:$T$23,18,0),"N/A")</f>
        <v>N/A</v>
      </c>
      <c r="Y413" t="str" s="551" cm="1">
        <f t="array" ref="Y413">_xlfn.IFERROR(V413*B413+X413,"N/A")</f>
        <v>N/A</v>
      </c>
      <c r="Z413" s="435"/>
      <c r="AA413" t="str" s="551" cm="1">
        <f t="array" ref="AA413">_xlfn.IFERROR(Y413+S413,"N/A")</f>
        <v>N/A</v>
      </c>
      <c r="AB413" t="str" s="551" cm="1">
        <f t="array" ref="AB413">_xlfn.IFERROR(AA413*0.5%,"N/A")</f>
        <v>N/A</v>
      </c>
      <c r="AC413" t="str" s="551" cm="1">
        <f t="array" ref="AC413">_xlfn.IFERROR(AA413*25%,"N/A")</f>
        <v>N/A</v>
      </c>
      <c r="AD413" t="str" s="553" cm="1">
        <f t="array" ref="AD413">IF(B413&gt;0,SUM(AA413:AC413),"N/A")</f>
        <v>N/A</v>
      </c>
      <c r="AE413" t="str" s="551" cm="1">
        <f t="array" ref="AE413">_xlfn.IFERROR(AD413/B413,"N/A")</f>
        <v>N/A</v>
      </c>
      <c r="AF413" s="435"/>
      <c r="AG413" t="str" s="553" cm="1">
        <f t="array" ref="AG413">IF(B413/VLOOKUP(C393,'Boats Data Sheet 2026'!$C$3:$H$57,6,0)&gt;VLOOKUP(C393,'Allocation OH and Target 2026'!$C$3:$J$23,8,0),IF(SUM(AH395:AH412)=0,AE413,"N/A"),"N/A")</f>
        <v>N/A</v>
      </c>
      <c r="AH413" s="435" cm="1">
        <f t="array" ref="AH413">IF(AG413="N/A",0,1)</f>
        <v>0</v>
      </c>
      <c r="AI413" t="str" s="551" cm="1">
        <f t="array" ref="AI413">IF(B413/VLOOKUP(C393,'Boats Data Sheet 2026'!$C$3:$H$57,6,0)&gt;VLOOKUP(C393,'Allocation OH and Target 2026'!$C$3:$J$23,8,0),IF(SUM(AH395:AH412)=0,S413/B413,"N/A"),"N/A")</f>
        <v>N/A</v>
      </c>
      <c r="AJ413" s="435" cm="1">
        <f t="array" ref="AJ413">IF(AI413="N/A",0,1)</f>
        <v>0</v>
      </c>
      <c r="AK413" t="str" s="554" cm="1">
        <f t="array" ref="AK413">IF(SUM($AG$120:$AG$137)*B413&lt;SUM(AA413:AB413),"NO GO","GO")</f>
        <v>GO</v>
      </c>
      <c r="AL413" s="435"/>
      <c r="AM413" s="552"/>
      <c r="AN413" s="552"/>
      <c r="AO413" s="552"/>
      <c r="AP413" s="555"/>
      <c r="AQ413" s="543" cm="1">
        <f t="array" ref="AQ413">B413</f>
        <v>0</v>
      </c>
      <c r="AR413" s="18"/>
    </row>
    <row r="414" ht="15.5" customHeight="1">
      <c r="A414" s="32"/>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c r="AH414" s="124"/>
      <c r="AI414" s="124"/>
      <c r="AJ414" s="124"/>
      <c r="AK414" s="124"/>
      <c r="AL414" s="124"/>
      <c r="AM414" s="124"/>
      <c r="AN414" s="124"/>
      <c r="AO414" s="124"/>
      <c r="AP414" s="124"/>
      <c r="AQ414" s="17"/>
      <c r="AR414" s="18"/>
    </row>
    <row r="415" ht="15.5" customHeight="1">
      <c r="A415" s="32"/>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17"/>
      <c r="AR415" s="18"/>
    </row>
    <row r="416" ht="15.5" customHeight="1">
      <c r="A416" s="395">
        <v>10</v>
      </c>
      <c r="B416" t="s" s="517">
        <v>506</v>
      </c>
      <c r="C416" t="s" s="518">
        <v>58</v>
      </c>
      <c r="D416" s="519"/>
      <c r="E416" s="519"/>
      <c r="F416" s="519"/>
      <c r="G416" s="519"/>
      <c r="H416" s="519"/>
      <c r="I416" s="519"/>
      <c r="J416" s="519"/>
      <c r="K416" s="519"/>
      <c r="L416" s="519"/>
      <c r="M416" s="519"/>
      <c r="N416" s="519"/>
      <c r="O416" s="519"/>
      <c r="P416" s="519"/>
      <c r="Q416" s="519"/>
      <c r="R416" s="519"/>
      <c r="S416" s="519"/>
      <c r="T416" s="399"/>
      <c r="U416" s="519"/>
      <c r="V416" s="519"/>
      <c r="W416" s="519"/>
      <c r="X416" s="519"/>
      <c r="Y416" s="519"/>
      <c r="Z416" s="399"/>
      <c r="AA416" s="519"/>
      <c r="AB416" s="519"/>
      <c r="AC416" s="519"/>
      <c r="AD416" s="519"/>
      <c r="AE416" s="519"/>
      <c r="AF416" s="399"/>
      <c r="AG416" s="521"/>
      <c r="AH416" s="399"/>
      <c r="AI416" s="519"/>
      <c r="AJ416" s="399"/>
      <c r="AK416" s="519"/>
      <c r="AL416" s="399"/>
      <c r="AM416" t="s" s="518">
        <v>508</v>
      </c>
      <c r="AN416" s="560" cm="1">
        <f t="array" ref="AN416">AVERAGE(S419:S424)</f>
        <v>7065933.33333333</v>
      </c>
      <c r="AO416" s="519"/>
      <c r="AP416" s="522"/>
      <c r="AQ416" s="16"/>
      <c r="AR416" s="18"/>
    </row>
    <row r="417" ht="16" customHeight="1">
      <c r="A417" s="12"/>
      <c r="B417" s="523"/>
      <c r="C417" t="s" s="524">
        <v>513</v>
      </c>
      <c r="D417" s="525"/>
      <c r="E417" s="525"/>
      <c r="F417" s="525"/>
      <c r="G417" s="525"/>
      <c r="H417" s="525"/>
      <c r="I417" s="525"/>
      <c r="J417" s="525"/>
      <c r="K417" s="525"/>
      <c r="L417" s="525"/>
      <c r="M417" s="525"/>
      <c r="N417" s="525"/>
      <c r="O417" s="525"/>
      <c r="P417" s="525"/>
      <c r="Q417" s="525"/>
      <c r="R417" s="525"/>
      <c r="S417" s="526"/>
      <c r="T417" s="407"/>
      <c r="U417" t="s" s="524">
        <v>514</v>
      </c>
      <c r="V417" s="525"/>
      <c r="W417" s="525"/>
      <c r="X417" s="525"/>
      <c r="Y417" s="526"/>
      <c r="Z417" s="407"/>
      <c r="AA417" t="s" s="524">
        <v>515</v>
      </c>
      <c r="AB417" s="525"/>
      <c r="AC417" s="525"/>
      <c r="AD417" s="525"/>
      <c r="AE417" s="526"/>
      <c r="AF417" s="410"/>
      <c r="AG417" s="527"/>
      <c r="AH417" s="410"/>
      <c r="AI417" s="528"/>
      <c r="AJ417" s="410"/>
      <c r="AK417" s="528"/>
      <c r="AL417" s="410"/>
      <c r="AM417" s="528"/>
      <c r="AN417" s="528"/>
      <c r="AO417" s="528"/>
      <c r="AP417" s="529"/>
      <c r="AQ417" s="16"/>
      <c r="AR417" s="18"/>
    </row>
    <row r="418" ht="48" customHeight="1">
      <c r="A418" s="12"/>
      <c r="B418" t="s" s="530">
        <v>517</v>
      </c>
      <c r="C418" t="s" s="531">
        <v>518</v>
      </c>
      <c r="D418" t="s" s="531">
        <v>519</v>
      </c>
      <c r="E418" t="s" s="531">
        <v>520</v>
      </c>
      <c r="F418" t="s" s="532">
        <v>521</v>
      </c>
      <c r="G418" t="s" s="532">
        <v>522</v>
      </c>
      <c r="H418" t="s" s="532">
        <v>524</v>
      </c>
      <c r="I418" t="s" s="532">
        <v>525</v>
      </c>
      <c r="J418" t="s" s="532">
        <v>556</v>
      </c>
      <c r="K418" t="s" s="532">
        <v>587</v>
      </c>
      <c r="L418" t="s" s="532">
        <v>526</v>
      </c>
      <c r="M418" t="s" s="532">
        <v>527</v>
      </c>
      <c r="N418" t="s" s="532">
        <v>528</v>
      </c>
      <c r="O418" t="s" s="532">
        <v>529</v>
      </c>
      <c r="P418" t="s" s="532">
        <v>530</v>
      </c>
      <c r="Q418" t="s" s="532">
        <v>572</v>
      </c>
      <c r="R418" t="s" s="532">
        <v>531</v>
      </c>
      <c r="S418" t="s" s="532">
        <v>532</v>
      </c>
      <c r="T418" s="556"/>
      <c r="U418" t="s" s="532">
        <v>533</v>
      </c>
      <c r="V418" t="s" s="532">
        <v>573</v>
      </c>
      <c r="W418" t="s" s="532">
        <v>534</v>
      </c>
      <c r="X418" t="s" s="532">
        <v>574</v>
      </c>
      <c r="Y418" t="s" s="532">
        <v>535</v>
      </c>
      <c r="Z418" s="556"/>
      <c r="AA418" t="s" s="532">
        <v>536</v>
      </c>
      <c r="AB418" t="s" s="532">
        <v>537</v>
      </c>
      <c r="AC418" t="s" s="532">
        <v>538</v>
      </c>
      <c r="AD418" t="s" s="532">
        <v>575</v>
      </c>
      <c r="AE418" t="s" s="532">
        <v>539</v>
      </c>
      <c r="AF418" s="557"/>
      <c r="AG418" t="s" s="532">
        <v>576</v>
      </c>
      <c r="AH418" s="557"/>
      <c r="AI418" t="s" s="532">
        <v>577</v>
      </c>
      <c r="AJ418" s="557"/>
      <c r="AK418" t="s" s="531">
        <v>578</v>
      </c>
      <c r="AL418" s="557"/>
      <c r="AM418" t="s" s="532">
        <v>569</v>
      </c>
      <c r="AN418" t="s" s="532">
        <v>544</v>
      </c>
      <c r="AO418" s="533"/>
      <c r="AP418" s="534"/>
      <c r="AQ418" s="16"/>
      <c r="AR418" s="18"/>
    </row>
    <row r="419" ht="16.5" customHeight="1">
      <c r="A419" s="12"/>
      <c r="B419" s="535">
        <v>1</v>
      </c>
      <c r="C419" s="536" cm="1">
        <f t="array" ref="C419">IF(B419&gt;0,IF(VLOOKUP(C416,'Boats Data Sheet 2026'!$C$3:$J$57,8,0)="N/A",0,VLOOKUP(C416,'Boats Data Sheet 2026'!$C$3:$J$57,8,0)),"N/A")</f>
        <v>0</v>
      </c>
      <c r="D419" s="537" cm="1">
        <f t="array" ref="D419">IF(B419&gt;7,2,IF(B419=0,"N/A",1))</f>
        <v>1</v>
      </c>
      <c r="E419" s="536" cm="1">
        <f t="array" ref="E419">_xlfn.IFERROR(SUM('Direct Costs 2026'!$C$4:$C$5)*D419,"N/A")</f>
        <v>875500</v>
      </c>
      <c r="F419" s="538" cm="1">
        <f t="array" ref="F419">_xlfn.IFERROR('Direct Costs 2026'!$C$43*B419,"N/A")</f>
        <v>6000</v>
      </c>
      <c r="G419" s="538" cm="1">
        <f t="array" ref="G419">IF(B419&gt;0,'Direct Costs 2026'!$C$25,"N/A")</f>
        <v>90000</v>
      </c>
      <c r="H419" s="538" cm="1">
        <f t="array" ref="H419">IF(B419&gt;0,'Direct Costs 2026'!$C$19+'Direct Costs 2026'!$C$18*B419,"N/A")</f>
        <v>110000</v>
      </c>
      <c r="I419" s="538" cm="1">
        <f t="array" ref="I419">IF(B419&gt;0,SUM('Direct Costs 2026'!$C$20:$C$21),"N/A")</f>
        <v>98333.3333333333</v>
      </c>
      <c r="J419" s="538">
        <v>0</v>
      </c>
      <c r="K419" s="538" cm="1">
        <f t="array" ref="K419">_xlfn.IFERROR((IF(B419&gt;0,'Direct Costs 2026'!$C$15+'Direct Costs 2026'!$C$14,"N/A")),"N/A")</f>
        <v>230000</v>
      </c>
      <c r="L419" s="538" cm="1">
        <f t="array" ref="L419">IF(B419&gt;0,'Direct Costs 2026'!$C$26,"N/A")</f>
        <v>20000</v>
      </c>
      <c r="M419" s="538" cm="1">
        <f t="array" ref="M419">IF(B419&gt;0,'Direct Costs 2026'!$C$23,"N/A")</f>
        <v>140000</v>
      </c>
      <c r="N419" s="538" cm="1">
        <f t="array" ref="N419">IF(B419&gt;0,'Direct Costs 2026'!$C$44*B419,"N/A")</f>
        <v>110000</v>
      </c>
      <c r="O419" s="538" cm="1">
        <f t="array" ref="O419">IF(B419&gt;0,_xlfn.IFERROR(VLOOKUP(C416,'Boats Data Sheet 2026'!$C$3:$I$57,7,0)*'Direct Costs 2026'!$C$36,"N/A"),"N/A")</f>
        <v>3325000</v>
      </c>
      <c r="P419" s="538" cm="1">
        <f t="array" ref="P419">IF(B419&gt;0,IF(OR(VLOOKUP(C416,'Boats Data Sheet 2026'!$C$3:$F$57,4,0)="Own",VLOOKUP(C416,'Boats Data Sheet 2026'!$C$3:$F$57,4,0)="Management"),('Direct Costs 2026'!$C$37+'Direct Costs 2026'!$C$39),"N/A"),"N/A")</f>
        <v>1112400</v>
      </c>
      <c r="Q419" s="538" cm="1">
        <f t="array" ref="Q419">_xlfn.IFERROR(IF(B419&gt;5,IF(B419&gt;11,IF(B419&gt;15,4,3),2),IF(B419=0,"N/A",1))*SUM('Direct Costs 2026'!$C$67:$C$68),"N/A")</f>
        <v>489600</v>
      </c>
      <c r="R419" s="538" cm="1">
        <f t="array" ref="R419">_xlfn.IFERROR('Direct Costs 2026'!$C$27*C419,"N/A")</f>
        <v>0</v>
      </c>
      <c r="S419" s="538" cm="1">
        <f t="array" ref="S419">_xlfn.IFERROR(C419+SUM(E419:R419),"N/A")</f>
        <v>6606833.33333333</v>
      </c>
      <c r="T419" s="424"/>
      <c r="U419" s="538" cm="1">
        <f t="array" ref="U419">IF(B419&gt;0,'Allocation OH and Target 2026'!$E$27,"N/A")</f>
        <v>2134447.30345641</v>
      </c>
      <c r="V419" s="538" cm="1">
        <f t="array" ref="V419">IF(B419&gt;0,'Allocation OH and Target 2026'!$E$28,"N/A")</f>
        <v>200042.323056976</v>
      </c>
      <c r="W419" s="538" cm="1">
        <f t="array" ref="W419">IF(B419&gt;0,VLOOKUP(C416,'Allocation OH and Target 2026'!$C$3:$T$23,17,0),"N/A")</f>
        <v>0</v>
      </c>
      <c r="X419" s="538" cm="1">
        <f t="array" ref="X419">IF(B419&gt;0,VLOOKUP(C416,'Allocation OH and Target 2026'!$C$3:$T$23,18,0),"N/A")</f>
        <v>0</v>
      </c>
      <c r="Y419" s="538" cm="1">
        <f t="array" ref="Y419">_xlfn.IFERROR(B419*(V419+X419),"N/A")</f>
        <v>200042.323056976</v>
      </c>
      <c r="Z419" s="424"/>
      <c r="AA419" s="538" cm="1">
        <f t="array" ref="AA419">_xlfn.IFERROR(Y419+S419,"N/A")</f>
        <v>6806875.65639031</v>
      </c>
      <c r="AB419" s="538" cm="1">
        <f t="array" ref="AB419">_xlfn.IFERROR(AA419*0.5%,"N/A")</f>
        <v>34034.3782819516</v>
      </c>
      <c r="AC419" s="538" cm="1">
        <f t="array" ref="AC419">_xlfn.IFERROR(AA419*25%,"N/A")</f>
        <v>1701718.91409758</v>
      </c>
      <c r="AD419" s="539" cm="1">
        <f t="array" ref="AD419">IF(B419&gt;0,SUM(AA419:AC419),"N/A")</f>
        <v>8542628.948769839</v>
      </c>
      <c r="AE419" s="538" cm="1">
        <f t="array" ref="AE419">_xlfn.IFERROR(AD419/B419,"N/A")</f>
        <v>8542628.948769839</v>
      </c>
      <c r="AF419" s="424"/>
      <c r="AG419" t="s" s="540">
        <v>14</v>
      </c>
      <c r="AH419" s="424" cm="1">
        <f t="array" ref="AH419">IF(AG419="N/A",0,1)</f>
        <v>0</v>
      </c>
      <c r="AI419" t="s" s="541">
        <v>14</v>
      </c>
      <c r="AJ419" s="424" cm="1">
        <f t="array" ref="AJ419">IF(AI419="N/A",0,1)</f>
        <v>0</v>
      </c>
      <c r="AK419" t="str" s="558" cm="1">
        <f t="array" ref="AK419">IF(SUM($AG$120:$AG$137)*B419&lt;SUM(AA419:AB419),"NO GO","GO")</f>
        <v>NO GO</v>
      </c>
      <c r="AL419" s="424"/>
      <c r="AM419" t="s" s="541">
        <v>589</v>
      </c>
      <c r="AN419" s="561" cm="1">
        <f t="array" ref="AN419">'Allocation OH and Target 2026'!M12</f>
        <v>1060</v>
      </c>
      <c r="AO419" s="538"/>
      <c r="AP419" s="542"/>
      <c r="AQ419" s="543" cm="1">
        <f t="array" ref="AQ419">B419</f>
        <v>1</v>
      </c>
      <c r="AR419" s="18"/>
    </row>
    <row r="420" ht="16" customHeight="1">
      <c r="A420" s="12"/>
      <c r="B420" s="544" cm="1">
        <f t="array" ref="B420">IF(B419=0,0,IF(B419&lt;VLOOKUP(C416,'Boats Data Sheet 2026'!$C$3:$H$57,6,0),B419+1,0))</f>
        <v>2</v>
      </c>
      <c r="C420" s="538" cm="1">
        <f t="array" ref="C420">IF(B420&gt;0,IF(VLOOKUP(C416,'Boats Data Sheet 2026'!$C$3:$J$57,8,0)="N/A",0,VLOOKUP(C416,'Boats Data Sheet 2026'!$C$3:$J$57,8,0)),"N/A")</f>
        <v>0</v>
      </c>
      <c r="D420" s="545" cm="1">
        <f t="array" ref="D420">IF(B420&gt;7,2,IF(B420=0,"N/A",1))</f>
        <v>1</v>
      </c>
      <c r="E420" s="538" cm="1">
        <f t="array" ref="E420">_xlfn.IFERROR(SUM('Direct Costs 2026'!$C$4:$C$5)*D420,"N/A")</f>
        <v>875500</v>
      </c>
      <c r="F420" s="538" cm="1">
        <f t="array" ref="F420">_xlfn.IFERROR('Direct Costs 2026'!$C$43*B420,"N/A")</f>
        <v>12000</v>
      </c>
      <c r="G420" s="538" cm="1">
        <f t="array" ref="G420">IF(B420&gt;0,'Direct Costs 2026'!$C$25,"N/A")</f>
        <v>90000</v>
      </c>
      <c r="H420" s="538" cm="1">
        <f t="array" ref="H420">IF(B420&gt;0,'Direct Costs 2026'!$C$19+'Direct Costs 2026'!$C$18*B420,"N/A")</f>
        <v>145000</v>
      </c>
      <c r="I420" s="538" cm="1">
        <f t="array" ref="I420">IF(B420&gt;0,SUM('Direct Costs 2026'!$C$20:$C$21),"N/A")</f>
        <v>98333.3333333333</v>
      </c>
      <c r="J420" s="538">
        <v>0</v>
      </c>
      <c r="K420" s="538" cm="1">
        <f t="array" ref="K420">_xlfn.IFERROR((IF(B420&gt;0,'Direct Costs 2026'!$C$15+'Direct Costs 2026'!$C$14,"N/A")),"N/A")</f>
        <v>230000</v>
      </c>
      <c r="L420" s="538" cm="1">
        <f t="array" ref="L420">IF(B420&gt;0,'Direct Costs 2026'!$C$26,"N/A")</f>
        <v>20000</v>
      </c>
      <c r="M420" s="538" cm="1">
        <f t="array" ref="M420">IF(B420&gt;0,'Direct Costs 2026'!$C$23,"N/A")</f>
        <v>140000</v>
      </c>
      <c r="N420" s="538" cm="1">
        <f t="array" ref="N420">IF(B420&gt;0,'Direct Costs 2026'!$C$44*B420,"N/A")</f>
        <v>220000</v>
      </c>
      <c r="O420" s="538" cm="1">
        <f t="array" ref="O420">IF(B420&gt;0,_xlfn.IFERROR(VLOOKUP(C416,'Boats Data Sheet 2026'!$C$3:$I$57,7,0)*'Direct Costs 2026'!$C$36,"N/A"),"N/A")</f>
        <v>3325000</v>
      </c>
      <c r="P420" s="538" cm="1">
        <f t="array" ref="P420">IF(B420&gt;0,IF(OR(VLOOKUP(C416,'Boats Data Sheet 2026'!$C$3:$F$57,4,0)="Own",VLOOKUP(C416,'Boats Data Sheet 2026'!$C$3:$F$57,4,0)="Management"),('Direct Costs 2026'!$C$37+'Direct Costs 2026'!$C$39),"N/A"),"N/A")</f>
        <v>1112400</v>
      </c>
      <c r="Q420" s="538" cm="1">
        <f t="array" ref="Q420">_xlfn.IFERROR(IF(B420&gt;5,IF(B420&gt;11,IF(B420&gt;15,4,3),2),IF(B420=0,"N/A",1))*SUM('Direct Costs 2026'!$C$67:$C$68),"N/A")</f>
        <v>489600</v>
      </c>
      <c r="R420" s="538" cm="1">
        <f t="array" ref="R420">_xlfn.IFERROR('Direct Costs 2026'!$C$27*C420,"N/A")</f>
        <v>0</v>
      </c>
      <c r="S420" s="538" cm="1">
        <f t="array" ref="S420">_xlfn.IFERROR(C420+SUM(E420:R420),"N/A")</f>
        <v>6757833.33333333</v>
      </c>
      <c r="T420" s="424"/>
      <c r="U420" s="538" cm="1">
        <f t="array" ref="U420">IF(B420&gt;0,'Allocation OH and Target 2026'!$E$27,"N/A")</f>
        <v>2134447.30345641</v>
      </c>
      <c r="V420" s="538" cm="1">
        <f t="array" ref="V420">IF(B420&gt;0,'Allocation OH and Target 2026'!$E$28,"N/A")</f>
        <v>200042.323056976</v>
      </c>
      <c r="W420" s="538" cm="1">
        <f t="array" ref="W420">IF(B420&gt;0,VLOOKUP(C416,'Allocation OH and Target 2026'!$C$3:$T$23,17,0),"N/A")</f>
        <v>0</v>
      </c>
      <c r="X420" s="538" cm="1">
        <f t="array" ref="X420">IF(B420&gt;0,VLOOKUP(C416,'Allocation OH and Target 2026'!$C$3:$T$23,18,0),"N/A")</f>
        <v>0</v>
      </c>
      <c r="Y420" s="538" cm="1">
        <f t="array" ref="Y420">_xlfn.IFERROR(B420*(V420+X420),"N/A")</f>
        <v>400084.646113952</v>
      </c>
      <c r="Z420" s="424"/>
      <c r="AA420" s="538" cm="1">
        <f t="array" ref="AA420">_xlfn.IFERROR(Y420+S420,"N/A")</f>
        <v>7157917.97944728</v>
      </c>
      <c r="AB420" s="538" cm="1">
        <f t="array" ref="AB420">_xlfn.IFERROR(AA420*0.5%,"N/A")</f>
        <v>35789.5898972364</v>
      </c>
      <c r="AC420" s="538" cm="1">
        <f t="array" ref="AC420">_xlfn.IFERROR(AA420*25%,"N/A")</f>
        <v>1789479.49486182</v>
      </c>
      <c r="AD420" s="539" cm="1">
        <f t="array" ref="AD420">IF(B420&gt;0,SUM(AA420:AC420),"N/A")</f>
        <v>8983187.064206339</v>
      </c>
      <c r="AE420" s="538" cm="1">
        <f t="array" ref="AE420">_xlfn.IFERROR(AD420/B420,"N/A")</f>
        <v>4491593.53210317</v>
      </c>
      <c r="AF420" s="424"/>
      <c r="AG420" t="str" s="546" cm="1">
        <f t="array" ref="AG420">IF(B420/VLOOKUP(C416,'Boats Data Sheet 2026'!$C$3:$H$57,6,0)&gt;VLOOKUP(C416,'Allocation OH and Target 2026'!$C$3:$J$23,8,0),IF(SUM(AH418:AH419)=0,AE420,"N/A"),"N/A")</f>
        <v>N/A</v>
      </c>
      <c r="AH420" s="424" cm="1">
        <f t="array" ref="AH420">IF(AG420="N/A",0,1)</f>
        <v>0</v>
      </c>
      <c r="AI420" t="str" s="547" cm="1">
        <f t="array" ref="AI420">IF(B420/VLOOKUP(C416,'Boats Data Sheet 2026'!$C$3:$H$57,6,0)&gt;VLOOKUP(C416,'Allocation OH and Target 2026'!$C$3:$J$23,8,0),IF(SUM(AH418:AH419)=0,S420/B420,"N/A"),"N/A")</f>
        <v>N/A</v>
      </c>
      <c r="AJ420" s="424" cm="1">
        <f t="array" ref="AJ420">IF(AI420="N/A",0,1)</f>
        <v>0</v>
      </c>
      <c r="AK420" t="str" s="527" cm="1">
        <f t="array" ref="AK420">IF(SUM($AG$120:$AG$137)*B420&lt;SUM(AA420:AB420),"NO GO","GO")</f>
        <v>NO GO</v>
      </c>
      <c r="AL420" s="424"/>
      <c r="AM420" t="s" s="562">
        <v>546</v>
      </c>
      <c r="AN420" s="538"/>
      <c r="AO420" s="538"/>
      <c r="AP420" s="542"/>
      <c r="AQ420" s="543" cm="1">
        <f t="array" ref="AQ420">B420</f>
        <v>2</v>
      </c>
      <c r="AR420" s="18"/>
    </row>
    <row r="421" ht="16" customHeight="1">
      <c r="A421" s="12"/>
      <c r="B421" s="544" cm="1">
        <f t="array" ref="B421">IF(B420=0,0,IF(B420&lt;VLOOKUP(C416,'Boats Data Sheet 2026'!$C$3:$H$57,6,0),B420+1,0))</f>
        <v>3</v>
      </c>
      <c r="C421" s="538" cm="1">
        <f t="array" ref="C421">IF(B421&gt;0,IF(VLOOKUP(C416,'Boats Data Sheet 2026'!$C$3:$J$57,8,0)="N/A",0,VLOOKUP(C416,'Boats Data Sheet 2026'!$C$3:$J$57,8,0)),"N/A")</f>
        <v>0</v>
      </c>
      <c r="D421" s="545" cm="1">
        <f t="array" ref="D421">IF(B421&gt;7,2,IF(B421=0,"N/A",1))</f>
        <v>1</v>
      </c>
      <c r="E421" s="538" cm="1">
        <f t="array" ref="E421">_xlfn.IFERROR(SUM('Direct Costs 2026'!$C$4:$C$5)*D421,"N/A")</f>
        <v>875500</v>
      </c>
      <c r="F421" s="538" cm="1">
        <f t="array" ref="F421">_xlfn.IFERROR('Direct Costs 2026'!$C$43*B421,"N/A")</f>
        <v>18000</v>
      </c>
      <c r="G421" s="538" cm="1">
        <f t="array" ref="G421">IF(B421&gt;0,'Direct Costs 2026'!$C$25,"N/A")</f>
        <v>90000</v>
      </c>
      <c r="H421" s="538" cm="1">
        <f t="array" ref="H421">IF(B421&gt;0,'Direct Costs 2026'!$C$19+'Direct Costs 2026'!$C$18*B421,"N/A")</f>
        <v>180000</v>
      </c>
      <c r="I421" s="538" cm="1">
        <f t="array" ref="I421">IF(B421&gt;0,SUM('Direct Costs 2026'!$C$20:$C$21),"N/A")</f>
        <v>98333.3333333333</v>
      </c>
      <c r="J421" s="538">
        <v>0</v>
      </c>
      <c r="K421" s="538" cm="1">
        <f t="array" ref="K421">_xlfn.IFERROR((IF(B421&gt;0,'Direct Costs 2026'!$C$15+'Direct Costs 2026'!$C$14,"N/A")),"N/A")</f>
        <v>230000</v>
      </c>
      <c r="L421" s="538" cm="1">
        <f t="array" ref="L421">IF(B421&gt;0,'Direct Costs 2026'!$C$26,"N/A")</f>
        <v>20000</v>
      </c>
      <c r="M421" s="538" cm="1">
        <f t="array" ref="M421">IF(B421&gt;0,'Direct Costs 2026'!$C$23,"N/A")</f>
        <v>140000</v>
      </c>
      <c r="N421" s="538" cm="1">
        <f t="array" ref="N421">IF(B421&gt;0,'Direct Costs 2026'!$C$44*B421,"N/A")</f>
        <v>330000</v>
      </c>
      <c r="O421" s="538" cm="1">
        <f t="array" ref="O421">IF(B421&gt;0,_xlfn.IFERROR(VLOOKUP(C416,'Boats Data Sheet 2026'!$C$3:$I$57,7,0)*'Direct Costs 2026'!$C$36,"N/A"),"N/A")</f>
        <v>3325000</v>
      </c>
      <c r="P421" s="538" cm="1">
        <f t="array" ref="P421">IF(B421&gt;0,IF(OR(VLOOKUP(C416,'Boats Data Sheet 2026'!$C$3:$F$57,4,0)="Own",VLOOKUP(C416,'Boats Data Sheet 2026'!$C$3:$F$57,4,0)="Management"),('Direct Costs 2026'!$C$37+'Direct Costs 2026'!$C$39),"N/A"),"N/A")</f>
        <v>1112400</v>
      </c>
      <c r="Q421" s="538" cm="1">
        <f t="array" ref="Q421">_xlfn.IFERROR(IF(B421&gt;5,IF(B421&gt;11,IF(B421&gt;15,4,3),2),IF(B421=0,"N/A",1))*SUM('Direct Costs 2026'!$C$67:$C$68),"N/A")</f>
        <v>489600</v>
      </c>
      <c r="R421" s="538" cm="1">
        <f t="array" ref="R421">_xlfn.IFERROR('Direct Costs 2026'!$C$27*C421,"N/A")</f>
        <v>0</v>
      </c>
      <c r="S421" s="538" cm="1">
        <f t="array" ref="S421">_xlfn.IFERROR(C421+SUM(E421:R421),"N/A")</f>
        <v>6908833.33333333</v>
      </c>
      <c r="T421" s="424"/>
      <c r="U421" s="538" cm="1">
        <f t="array" ref="U421">IF(B421&gt;0,'Allocation OH and Target 2026'!$E$27,"N/A")</f>
        <v>2134447.30345641</v>
      </c>
      <c r="V421" s="538" cm="1">
        <f t="array" ref="V421">IF(B421&gt;0,'Allocation OH and Target 2026'!$E$28,"N/A")</f>
        <v>200042.323056976</v>
      </c>
      <c r="W421" s="538" cm="1">
        <f t="array" ref="W421">IF(B421&gt;0,VLOOKUP(C416,'Allocation OH and Target 2026'!$C$3:$T$23,17,0),"N/A")</f>
        <v>0</v>
      </c>
      <c r="X421" s="538" cm="1">
        <f t="array" ref="X421">IF(B421&gt;0,VLOOKUP(C416,'Allocation OH and Target 2026'!$C$3:$T$23,18,0),"N/A")</f>
        <v>0</v>
      </c>
      <c r="Y421" s="538" cm="1">
        <f t="array" ref="Y421">_xlfn.IFERROR(B421*(V421+X421),"N/A")</f>
        <v>600126.969170928</v>
      </c>
      <c r="Z421" s="424"/>
      <c r="AA421" s="538" cm="1">
        <f t="array" ref="AA421">_xlfn.IFERROR(Y421+S421,"N/A")</f>
        <v>7508960.30250426</v>
      </c>
      <c r="AB421" s="538" cm="1">
        <f t="array" ref="AB421">_xlfn.IFERROR(AA421*0.5%,"N/A")</f>
        <v>37544.8015125213</v>
      </c>
      <c r="AC421" s="538" cm="1">
        <f t="array" ref="AC421">_xlfn.IFERROR(AA421*25%,"N/A")</f>
        <v>1877240.07562607</v>
      </c>
      <c r="AD421" s="539" cm="1">
        <f t="array" ref="AD421">IF(B421&gt;0,SUM(AA421:AC421),"N/A")</f>
        <v>9423745.179642851</v>
      </c>
      <c r="AE421" s="538" cm="1">
        <f t="array" ref="AE421">_xlfn.IFERROR(AD421/B421,"N/A")</f>
        <v>3141248.39321428</v>
      </c>
      <c r="AF421" s="424"/>
      <c r="AG421" t="str" s="546" cm="1">
        <f t="array" ref="AG421">IF(B421/VLOOKUP(C416,'Boats Data Sheet 2026'!$C$3:$H$57,6,0)&gt;VLOOKUP(C416,'Allocation OH and Target 2026'!$C$3:$J$23,8,0),IF(SUM(AH418:AH420)=0,AE421,"N/A"),"N/A")</f>
        <v>N/A</v>
      </c>
      <c r="AH421" s="424" cm="1">
        <f t="array" ref="AH421">IF(AG421="N/A",0,1)</f>
        <v>0</v>
      </c>
      <c r="AI421" t="str" s="547" cm="1">
        <f t="array" ref="AI421">IF(B421/VLOOKUP(C416,'Boats Data Sheet 2026'!$C$3:$H$57,6,0)&gt;VLOOKUP(C416,'Allocation OH and Target 2026'!$C$3:$J$23,8,0),IF(SUM(AH418:AH420)=0,S421/B421,"N/A"),"N/A")</f>
        <v>N/A</v>
      </c>
      <c r="AJ421" s="424" cm="1">
        <f t="array" ref="AJ421">IF(AI421="N/A",0,1)</f>
        <v>0</v>
      </c>
      <c r="AK421" t="str" s="527" cm="1">
        <f t="array" ref="AK421">IF(SUM($AG$120:$AG$137)*B421&lt;SUM(AA421:AB421),"NO GO","GO")</f>
        <v>NO GO</v>
      </c>
      <c r="AL421" s="424"/>
      <c r="AM421" t="s" s="541">
        <v>547</v>
      </c>
      <c r="AN421" s="538" cm="1">
        <f t="array" ref="AN421">AN419*'RECOMMENDED PRICES'!$D$8</f>
        <v>1473400000</v>
      </c>
      <c r="AO421" s="538"/>
      <c r="AP421" s="542"/>
      <c r="AQ421" s="543" cm="1">
        <f t="array" ref="AQ421">B421</f>
        <v>3</v>
      </c>
      <c r="AR421" s="18"/>
    </row>
    <row r="422" ht="16" customHeight="1">
      <c r="A422" s="12"/>
      <c r="B422" s="544" cm="1">
        <f t="array" ref="B422">IF(B421=0,0,IF(B421&lt;VLOOKUP(C416,'Boats Data Sheet 2026'!$C$3:$H$57,6,0),B421+1,0))</f>
        <v>4</v>
      </c>
      <c r="C422" s="538" cm="1">
        <f t="array" ref="C422">IF(B422&gt;0,IF(VLOOKUP(C416,'Boats Data Sheet 2026'!$C$3:$J$57,8,0)="N/A",0,VLOOKUP(C416,'Boats Data Sheet 2026'!$C$3:$J$57,8,0)),"N/A")</f>
        <v>0</v>
      </c>
      <c r="D422" s="545" cm="1">
        <f t="array" ref="D422">IF(B422&gt;7,2,IF(B422=0,"N/A",1))</f>
        <v>1</v>
      </c>
      <c r="E422" s="538" cm="1">
        <f t="array" ref="E422">_xlfn.IFERROR(SUM('Direct Costs 2026'!$C$4:$C$5)*D422,"N/A")</f>
        <v>875500</v>
      </c>
      <c r="F422" s="538" cm="1">
        <f t="array" ref="F422">_xlfn.IFERROR('Direct Costs 2026'!$C$43*B422,"N/A")</f>
        <v>24000</v>
      </c>
      <c r="G422" s="538" cm="1">
        <f t="array" ref="G422">IF(B422&gt;0,'Direct Costs 2026'!$C$25,"N/A")</f>
        <v>90000</v>
      </c>
      <c r="H422" s="538" cm="1">
        <f t="array" ref="H422">IF(B422&gt;0,'Direct Costs 2026'!$C$19+'Direct Costs 2026'!$C$18*B422,"N/A")</f>
        <v>215000</v>
      </c>
      <c r="I422" s="538" cm="1">
        <f t="array" ref="I422">IF(B422&gt;0,SUM('Direct Costs 2026'!$C$20:$C$21),"N/A")</f>
        <v>98333.3333333333</v>
      </c>
      <c r="J422" s="538">
        <v>0</v>
      </c>
      <c r="K422" s="538" cm="1">
        <f t="array" ref="K422">_xlfn.IFERROR((IF(B422&gt;0,'Direct Costs 2026'!$C$15+'Direct Costs 2026'!$C$14,"N/A")),"N/A")</f>
        <v>230000</v>
      </c>
      <c r="L422" s="538" cm="1">
        <f t="array" ref="L422">IF(B422&gt;0,'Direct Costs 2026'!$C$26,"N/A")</f>
        <v>20000</v>
      </c>
      <c r="M422" s="538" cm="1">
        <f t="array" ref="M422">IF(B422&gt;0,'Direct Costs 2026'!$C$23,"N/A")</f>
        <v>140000</v>
      </c>
      <c r="N422" s="538" cm="1">
        <f t="array" ref="N422">IF(B422&gt;0,'Direct Costs 2026'!$C$44*B422,"N/A")</f>
        <v>440000</v>
      </c>
      <c r="O422" s="538" cm="1">
        <f t="array" ref="O422">IF(B422&gt;0,_xlfn.IFERROR(VLOOKUP(C416,'Boats Data Sheet 2026'!$C$3:$I$57,7,0)*'Direct Costs 2026'!$C$36,"N/A"),"N/A")</f>
        <v>3325000</v>
      </c>
      <c r="P422" s="538" cm="1">
        <f t="array" ref="P422">IF(B422&gt;0,IF(OR(VLOOKUP(C416,'Boats Data Sheet 2026'!$C$3:$F$57,4,0)="Own",VLOOKUP(C416,'Boats Data Sheet 2026'!$C$3:$F$57,4,0)="Management"),('Direct Costs 2026'!$C$37+'Direct Costs 2026'!$C$39),"N/A"),"N/A")</f>
        <v>1112400</v>
      </c>
      <c r="Q422" s="538" cm="1">
        <f t="array" ref="Q422">_xlfn.IFERROR(IF(B422&gt;5,IF(B422&gt;11,IF(B422&gt;15,4,3),2),IF(B422=0,"N/A",1))*SUM('Direct Costs 2026'!$C$67:$C$68),"N/A")</f>
        <v>489600</v>
      </c>
      <c r="R422" s="538" cm="1">
        <f t="array" ref="R422">_xlfn.IFERROR('Direct Costs 2026'!$C$27*C422,"N/A")</f>
        <v>0</v>
      </c>
      <c r="S422" s="538" cm="1">
        <f t="array" ref="S422">_xlfn.IFERROR(C422+SUM(E422:R422),"N/A")</f>
        <v>7059833.33333333</v>
      </c>
      <c r="T422" s="424"/>
      <c r="U422" s="538" cm="1">
        <f t="array" ref="U422">IF(B422&gt;0,'Allocation OH and Target 2026'!$E$27,"N/A")</f>
        <v>2134447.30345641</v>
      </c>
      <c r="V422" s="538" cm="1">
        <f t="array" ref="V422">IF(B422&gt;0,'Allocation OH and Target 2026'!$E$28,"N/A")</f>
        <v>200042.323056976</v>
      </c>
      <c r="W422" s="538" cm="1">
        <f t="array" ref="W422">IF(B422&gt;0,VLOOKUP(C416,'Allocation OH and Target 2026'!$C$3:$T$23,17,0),"N/A")</f>
        <v>0</v>
      </c>
      <c r="X422" s="538" cm="1">
        <f t="array" ref="X422">IF(B422&gt;0,VLOOKUP(C416,'Allocation OH and Target 2026'!$C$3:$T$23,18,0),"N/A")</f>
        <v>0</v>
      </c>
      <c r="Y422" s="538" cm="1">
        <f t="array" ref="Y422">_xlfn.IFERROR(B422*(V422+X422),"N/A")</f>
        <v>800169.292227904</v>
      </c>
      <c r="Z422" s="424"/>
      <c r="AA422" s="538" cm="1">
        <f t="array" ref="AA422">_xlfn.IFERROR(Y422+S422,"N/A")</f>
        <v>7860002.62556123</v>
      </c>
      <c r="AB422" s="538" cm="1">
        <f t="array" ref="AB422">_xlfn.IFERROR(AA422*0.5%,"N/A")</f>
        <v>39300.0131278062</v>
      </c>
      <c r="AC422" s="538" cm="1">
        <f t="array" ref="AC422">_xlfn.IFERROR(AA422*25%,"N/A")</f>
        <v>1965000.65639031</v>
      </c>
      <c r="AD422" s="539" cm="1">
        <f t="array" ref="AD422">IF(B422&gt;0,SUM(AA422:AC422),"N/A")</f>
        <v>9864303.29507935</v>
      </c>
      <c r="AE422" s="538" cm="1">
        <f t="array" ref="AE422">_xlfn.IFERROR(AD422/B422,"N/A")</f>
        <v>2466075.82376984</v>
      </c>
      <c r="AF422" s="424"/>
      <c r="AG422" t="str" s="546" cm="1">
        <f t="array" ref="AG422">IF(B422/VLOOKUP(C416,'Boats Data Sheet 2026'!$C$3:$H$57,6,0)&gt;VLOOKUP(C416,'Allocation OH and Target 2026'!$C$3:$J$23,8,0),IF(SUM(AH418:AH421)=0,AE422,"N/A"),"N/A")</f>
        <v>N/A</v>
      </c>
      <c r="AH422" s="424" cm="1">
        <f t="array" ref="AH422">IF(AG422="N/A",0,1)</f>
        <v>0</v>
      </c>
      <c r="AI422" t="str" s="547" cm="1">
        <f t="array" ref="AI422">IF(B422/VLOOKUP(C416,'Boats Data Sheet 2026'!$C$3:$H$57,6,0)&gt;VLOOKUP(C416,'Allocation OH and Target 2026'!$C$3:$J$23,8,0),IF(SUM(AH418:AH421)=0,S422/B422,"N/A"),"N/A")</f>
        <v>N/A</v>
      </c>
      <c r="AJ422" s="424" cm="1">
        <f t="array" ref="AJ422">IF(AI422="N/A",0,1)</f>
        <v>0</v>
      </c>
      <c r="AK422" t="str" s="527" cm="1">
        <f t="array" ref="AK422">IF(SUM($AG$120:$AG$137)*B422&lt;SUM(AA422:AB422),"NO GO","GO")</f>
        <v>NO GO</v>
      </c>
      <c r="AL422" s="424"/>
      <c r="AM422" t="s" s="562">
        <v>550</v>
      </c>
      <c r="AN422" s="538"/>
      <c r="AO422" s="538"/>
      <c r="AP422" s="542"/>
      <c r="AQ422" s="543" cm="1">
        <f t="array" ref="AQ422">B422</f>
        <v>4</v>
      </c>
      <c r="AR422" s="18"/>
    </row>
    <row r="423" ht="16" customHeight="1">
      <c r="A423" s="12"/>
      <c r="B423" s="544" cm="1">
        <f t="array" ref="B423">IF(B422=0,0,IF(B422&lt;VLOOKUP(C416,'Boats Data Sheet 2026'!$C$3:$H$57,6,0),B422+1,0))</f>
        <v>5</v>
      </c>
      <c r="C423" s="538" cm="1">
        <f t="array" ref="C423">IF(B423&gt;0,IF(VLOOKUP(C416,'Boats Data Sheet 2026'!$C$3:$J$57,8,0)="N/A",0,VLOOKUP(C416,'Boats Data Sheet 2026'!$C$3:$J$57,8,0)),"N/A")</f>
        <v>0</v>
      </c>
      <c r="D423" s="545" cm="1">
        <f t="array" ref="D423">IF(B423&gt;7,2,IF(B423=0,"N/A",1))</f>
        <v>1</v>
      </c>
      <c r="E423" s="538" cm="1">
        <f t="array" ref="E423">_xlfn.IFERROR(SUM('Direct Costs 2026'!$C$4:$C$5)*D423,"N/A")</f>
        <v>875500</v>
      </c>
      <c r="F423" s="538" cm="1">
        <f t="array" ref="F423">_xlfn.IFERROR('Direct Costs 2026'!$C$43*B423,"N/A")</f>
        <v>30000</v>
      </c>
      <c r="G423" s="538" cm="1">
        <f t="array" ref="G423">IF(B423&gt;0,'Direct Costs 2026'!$C$25,"N/A")</f>
        <v>90000</v>
      </c>
      <c r="H423" s="538" cm="1">
        <f t="array" ref="H423">IF(B423&gt;0,'Direct Costs 2026'!$C$19+'Direct Costs 2026'!$C$18*B423,"N/A")</f>
        <v>250000</v>
      </c>
      <c r="I423" s="538" cm="1">
        <f t="array" ref="I423">IF(B423&gt;0,SUM('Direct Costs 2026'!$C$20:$C$21),"N/A")</f>
        <v>98333.3333333333</v>
      </c>
      <c r="J423" s="538">
        <v>0</v>
      </c>
      <c r="K423" s="538" cm="1">
        <f t="array" ref="K423">_xlfn.IFERROR((IF(B423&gt;0,'Direct Costs 2026'!$C$15+'Direct Costs 2026'!$C$14,"N/A")),"N/A")</f>
        <v>230000</v>
      </c>
      <c r="L423" s="538" cm="1">
        <f t="array" ref="L423">IF(B423&gt;0,'Direct Costs 2026'!$C$26,"N/A")</f>
        <v>20000</v>
      </c>
      <c r="M423" s="538" cm="1">
        <f t="array" ref="M423">IF(B423&gt;0,'Direct Costs 2026'!$C$23,"N/A")</f>
        <v>140000</v>
      </c>
      <c r="N423" s="538" cm="1">
        <f t="array" ref="N423">IF(B423&gt;0,'Direct Costs 2026'!$C$44*B423,"N/A")</f>
        <v>550000</v>
      </c>
      <c r="O423" s="538" cm="1">
        <f t="array" ref="O423">IF(B423&gt;0,_xlfn.IFERROR(VLOOKUP(C416,'Boats Data Sheet 2026'!$C$3:$I$57,7,0)*'Direct Costs 2026'!$C$36,"N/A"),"N/A")</f>
        <v>3325000</v>
      </c>
      <c r="P423" s="538" cm="1">
        <f t="array" ref="P423">IF(B423&gt;0,IF(OR(VLOOKUP(C416,'Boats Data Sheet 2026'!$C$3:$F$57,4,0)="Own",VLOOKUP(C416,'Boats Data Sheet 2026'!$C$3:$F$57,4,0)="Management"),('Direct Costs 2026'!$C$37+'Direct Costs 2026'!$C$39),"N/A"),"N/A")</f>
        <v>1112400</v>
      </c>
      <c r="Q423" s="538" cm="1">
        <f t="array" ref="Q423">_xlfn.IFERROR(IF(B423&gt;5,IF(B423&gt;11,IF(B423&gt;15,4,3),2),IF(B423=0,"N/A",1))*SUM('Direct Costs 2026'!$C$67:$C$68),"N/A")</f>
        <v>489600</v>
      </c>
      <c r="R423" s="538" cm="1">
        <f t="array" ref="R423">_xlfn.IFERROR('Direct Costs 2026'!$C$27*C423,"N/A")</f>
        <v>0</v>
      </c>
      <c r="S423" s="538" cm="1">
        <f t="array" ref="S423">_xlfn.IFERROR(C423+SUM(E423:R423),"N/A")</f>
        <v>7210833.33333333</v>
      </c>
      <c r="T423" s="424"/>
      <c r="U423" s="538" cm="1">
        <f t="array" ref="U423">IF(B423&gt;0,'Allocation OH and Target 2026'!$E$27,"N/A")</f>
        <v>2134447.30345641</v>
      </c>
      <c r="V423" s="538" cm="1">
        <f t="array" ref="V423">IF(B423&gt;0,'Allocation OH and Target 2026'!$E$28,"N/A")</f>
        <v>200042.323056976</v>
      </c>
      <c r="W423" s="538" cm="1">
        <f t="array" ref="W423">IF(B423&gt;0,VLOOKUP(C416,'Allocation OH and Target 2026'!$C$3:$T$23,17,0),"N/A")</f>
        <v>0</v>
      </c>
      <c r="X423" s="538" cm="1">
        <f t="array" ref="X423">IF(B423&gt;0,VLOOKUP(C416,'Allocation OH and Target 2026'!$C$3:$T$23,18,0),"N/A")</f>
        <v>0</v>
      </c>
      <c r="Y423" s="538" cm="1">
        <f t="array" ref="Y423">_xlfn.IFERROR(B423*(V423+X423),"N/A")</f>
        <v>1000211.61528488</v>
      </c>
      <c r="Z423" s="424"/>
      <c r="AA423" s="538" cm="1">
        <f t="array" ref="AA423">_xlfn.IFERROR(Y423+S423,"N/A")</f>
        <v>8211044.94861821</v>
      </c>
      <c r="AB423" s="538" cm="1">
        <f t="array" ref="AB423">_xlfn.IFERROR(AA423*0.5%,"N/A")</f>
        <v>41055.2247430911</v>
      </c>
      <c r="AC423" s="538" cm="1">
        <f t="array" ref="AC423">_xlfn.IFERROR(AA423*25%,"N/A")</f>
        <v>2052761.23715455</v>
      </c>
      <c r="AD423" s="539" cm="1">
        <f t="array" ref="AD423">IF(B423&gt;0,SUM(AA423:AC423),"N/A")</f>
        <v>10304861.4105159</v>
      </c>
      <c r="AE423" s="538" cm="1">
        <f t="array" ref="AE423">_xlfn.IFERROR(AD423/B423,"N/A")</f>
        <v>2060972.28210318</v>
      </c>
      <c r="AF423" s="424"/>
      <c r="AG423" t="str" s="546" cm="1">
        <f t="array" ref="AG423">IF(B423/VLOOKUP(C416,'Boats Data Sheet 2026'!$C$3:$H$57,6,0)&gt;VLOOKUP(C416,'Allocation OH and Target 2026'!$C$3:$J$23,8,0),IF(SUM(AH418:AH422)=0,AE423,"N/A"),"N/A")</f>
        <v>N/A</v>
      </c>
      <c r="AH423" s="424" cm="1">
        <f t="array" ref="AH423">IF(AG423="N/A",0,1)</f>
        <v>0</v>
      </c>
      <c r="AI423" t="str" s="547" cm="1">
        <f t="array" ref="AI423">IF(B423/VLOOKUP(C416,'Boats Data Sheet 2026'!$C$3:$H$57,6,0)&gt;VLOOKUP(C416,'Allocation OH and Target 2026'!$C$3:$J$23,8,0),IF(SUM(AH418:AH422)=0,S423/B423,"N/A"),"N/A")</f>
        <v>N/A</v>
      </c>
      <c r="AJ423" s="424" cm="1">
        <f t="array" ref="AJ423">IF(AI423="N/A",0,1)</f>
        <v>0</v>
      </c>
      <c r="AK423" t="str" s="527" cm="1">
        <f t="array" ref="AK423">IF(SUM($AG$120:$AG$137)*B423&lt;SUM(AA423:AB423),"NO GO","GO")</f>
        <v>NO GO</v>
      </c>
      <c r="AL423" s="424"/>
      <c r="AM423" t="s" s="541">
        <v>551</v>
      </c>
      <c r="AN423" s="563" cm="1">
        <f t="array" ref="AN423">(AN416/B428)*AN419</f>
        <v>748988933.333333</v>
      </c>
      <c r="AO423" s="538"/>
      <c r="AP423" s="542"/>
      <c r="AQ423" s="543" cm="1">
        <f t="array" ref="AQ423">B423</f>
        <v>5</v>
      </c>
      <c r="AR423" s="18"/>
    </row>
    <row r="424" ht="16" customHeight="1">
      <c r="A424" s="12"/>
      <c r="B424" s="544" cm="1">
        <f t="array" ref="B424">IF(B423=0,0,IF(B423&lt;VLOOKUP(C416,'Boats Data Sheet 2026'!$C$3:$H$57,6,0),B423+1,0))</f>
        <v>6</v>
      </c>
      <c r="C424" s="538" cm="1">
        <f t="array" ref="C424">IF(B424&gt;0,IF(VLOOKUP(C416,'Boats Data Sheet 2026'!$C$3:$J$57,8,0)="N/A",0,VLOOKUP(C416,'Boats Data Sheet 2026'!$C$3:$J$57,8,0)),"N/A")</f>
        <v>0</v>
      </c>
      <c r="D424" s="545" cm="1">
        <f t="array" ref="D424">IF(B424&gt;7,2,IF(B424=0,"N/A",1))</f>
        <v>1</v>
      </c>
      <c r="E424" s="538" cm="1">
        <f t="array" ref="E424">_xlfn.IFERROR(SUM('Direct Costs 2026'!$C$4:$C$5)*D424,"N/A")</f>
        <v>875500</v>
      </c>
      <c r="F424" s="538" cm="1">
        <f t="array" ref="F424">_xlfn.IFERROR('Direct Costs 2026'!$C$43*B424,"N/A")</f>
        <v>36000</v>
      </c>
      <c r="G424" s="538" cm="1">
        <f t="array" ref="G424">IF(B424&gt;0,'Direct Costs 2026'!$C$25,"N/A")</f>
        <v>90000</v>
      </c>
      <c r="H424" s="538" cm="1">
        <f t="array" ref="H424">IF(B424&gt;0,'Direct Costs 2026'!$C$19+'Direct Costs 2026'!$C$18*B424,"N/A")</f>
        <v>285000</v>
      </c>
      <c r="I424" s="538" cm="1">
        <f t="array" ref="I424">IF(B424&gt;0,SUM('Direct Costs 2026'!$C$20:$C$21),"N/A")</f>
        <v>98333.3333333333</v>
      </c>
      <c r="J424" s="538">
        <v>0</v>
      </c>
      <c r="K424" s="538" cm="1">
        <f t="array" ref="K424">_xlfn.IFERROR((IF(B424&gt;0,'Direct Costs 2026'!$C$15+'Direct Costs 2026'!$C$14,"N/A")),"N/A")</f>
        <v>230000</v>
      </c>
      <c r="L424" s="538" cm="1">
        <f t="array" ref="L424">IF(B424&gt;0,'Direct Costs 2026'!$C$26,"N/A")</f>
        <v>20000</v>
      </c>
      <c r="M424" s="538" cm="1">
        <f t="array" ref="M424">IF(B424&gt;0,'Direct Costs 2026'!$C$23,"N/A")</f>
        <v>140000</v>
      </c>
      <c r="N424" s="538" cm="1">
        <f t="array" ref="N424">IF(B424&gt;0,'Direct Costs 2026'!$C$44*B424,"N/A")</f>
        <v>660000</v>
      </c>
      <c r="O424" s="538" cm="1">
        <f t="array" ref="O424">IF(B424&gt;0,_xlfn.IFERROR(VLOOKUP(C416,'Boats Data Sheet 2026'!$C$3:$I$57,7,0)*'Direct Costs 2026'!$C$36,"N/A"),"N/A")</f>
        <v>3325000</v>
      </c>
      <c r="P424" s="538" cm="1">
        <f t="array" ref="P424">IF(B424&gt;0,IF(OR(VLOOKUP(C416,'Boats Data Sheet 2026'!$C$3:$F$57,4,0)="Own",VLOOKUP(C416,'Boats Data Sheet 2026'!$C$3:$F$57,4,0)="Management"),('Direct Costs 2026'!$C$37+'Direct Costs 2026'!$C$39),"N/A"),"N/A")</f>
        <v>1112400</v>
      </c>
      <c r="Q424" s="538" cm="1">
        <f t="array" ref="Q424">_xlfn.IFERROR(IF(B424&gt;5,IF(B424&gt;11,IF(B424&gt;15,4,3),2),IF(B424=0,"N/A",1))*SUM('Direct Costs 2026'!$C$67:$C$68),"N/A")</f>
        <v>979200</v>
      </c>
      <c r="R424" s="538" cm="1">
        <f t="array" ref="R424">_xlfn.IFERROR('Direct Costs 2026'!$C$27*C424,"N/A")</f>
        <v>0</v>
      </c>
      <c r="S424" s="538" cm="1">
        <f t="array" ref="S424">_xlfn.IFERROR(C424+SUM(E424:R424),"N/A")</f>
        <v>7851433.33333333</v>
      </c>
      <c r="T424" s="424"/>
      <c r="U424" s="538" cm="1">
        <f t="array" ref="U424">IF(B424&gt;0,'Allocation OH and Target 2026'!$E$27,"N/A")</f>
        <v>2134447.30345641</v>
      </c>
      <c r="V424" s="538" cm="1">
        <f t="array" ref="V424">IF(B424&gt;0,'Allocation OH and Target 2026'!$E$28,"N/A")</f>
        <v>200042.323056976</v>
      </c>
      <c r="W424" s="538" cm="1">
        <f t="array" ref="W424">IF(B424&gt;0,VLOOKUP(C416,'Allocation OH and Target 2026'!$C$3:$T$23,17,0),"N/A")</f>
        <v>0</v>
      </c>
      <c r="X424" s="538" cm="1">
        <f t="array" ref="X424">IF(B424&gt;0,VLOOKUP(C416,'Allocation OH and Target 2026'!$C$3:$T$23,18,0),"N/A")</f>
        <v>0</v>
      </c>
      <c r="Y424" s="538" cm="1">
        <f t="array" ref="Y424">_xlfn.IFERROR(B424*(V424+X424),"N/A")</f>
        <v>1200253.93834186</v>
      </c>
      <c r="Z424" s="424"/>
      <c r="AA424" s="538" cm="1">
        <f t="array" ref="AA424">_xlfn.IFERROR(Y424+S424,"N/A")</f>
        <v>9051687.27167519</v>
      </c>
      <c r="AB424" s="538" cm="1">
        <f t="array" ref="AB424">_xlfn.IFERROR(AA424*0.5%,"N/A")</f>
        <v>45258.436358376</v>
      </c>
      <c r="AC424" s="538" cm="1">
        <f t="array" ref="AC424">_xlfn.IFERROR(AA424*25%,"N/A")</f>
        <v>2262921.8179188</v>
      </c>
      <c r="AD424" s="539" cm="1">
        <f t="array" ref="AD424">IF(B424&gt;0,SUM(AA424:AC424),"N/A")</f>
        <v>11359867.5259524</v>
      </c>
      <c r="AE424" s="538" cm="1">
        <f t="array" ref="AE424">_xlfn.IFERROR(AD424/B424,"N/A")</f>
        <v>1893311.2543254</v>
      </c>
      <c r="AF424" s="424"/>
      <c r="AG424" t="str" s="546" cm="1">
        <f t="array" ref="AG424">IF(B424/VLOOKUP(C416,'Boats Data Sheet 2026'!$C$3:$H$57,6,0)&gt;VLOOKUP(C416,'Allocation OH and Target 2026'!$C$3:$J$23,8,0),IF(SUM(AH418:AH423)=0,AE424,"N/A"),"N/A")</f>
        <v>N/A</v>
      </c>
      <c r="AH424" s="424" cm="1">
        <f t="array" ref="AH424">IF(AG424="N/A",0,1)</f>
        <v>0</v>
      </c>
      <c r="AI424" t="str" s="547" cm="1">
        <f t="array" ref="AI424">IF(B424/VLOOKUP(C416,'Boats Data Sheet 2026'!$C$3:$H$57,6,0)&gt;VLOOKUP(C416,'Allocation OH and Target 2026'!$C$3:$J$23,8,0),IF(SUM(AH418:AH423)=0,S424/B424,"N/A"),"N/A")</f>
        <v>N/A</v>
      </c>
      <c r="AJ424" s="424" cm="1">
        <f t="array" ref="AJ424">IF(AI424="N/A",0,1)</f>
        <v>0</v>
      </c>
      <c r="AK424" t="str" s="527" cm="1">
        <f t="array" ref="AK424">IF(SUM($AG$120:$AG$137)*B424&lt;SUM(AA424:AB424),"NO GO","GO")</f>
        <v>NO GO</v>
      </c>
      <c r="AL424" s="424"/>
      <c r="AM424" t="s" s="562">
        <v>394</v>
      </c>
      <c r="AN424" s="564" cm="1">
        <f t="array" ref="AN424">AN421-AN423</f>
        <v>724411066.666667</v>
      </c>
      <c r="AO424" s="538"/>
      <c r="AP424" s="542"/>
      <c r="AQ424" s="543" cm="1">
        <f t="array" ref="AQ424">B424</f>
        <v>6</v>
      </c>
      <c r="AR424" s="18"/>
    </row>
    <row r="425" ht="16" customHeight="1">
      <c r="A425" s="12"/>
      <c r="B425" s="544" cm="1">
        <f t="array" ref="B425">IF(B424=0,0,IF(B424&lt;VLOOKUP(C416,'Boats Data Sheet 2026'!$C$3:$H$57,6,0),B424+1,0))</f>
        <v>7</v>
      </c>
      <c r="C425" s="538" cm="1">
        <f t="array" ref="C425">IF(B425&gt;0,IF(VLOOKUP(C416,'Boats Data Sheet 2026'!$C$3:$J$57,8,0)="N/A",0,VLOOKUP(C416,'Boats Data Sheet 2026'!$C$3:$J$57,8,0)),"N/A")</f>
        <v>0</v>
      </c>
      <c r="D425" s="545" cm="1">
        <f t="array" ref="D425">IF(B425&gt;7,2,IF(B425=0,"N/A",1))</f>
        <v>1</v>
      </c>
      <c r="E425" s="538" cm="1">
        <f t="array" ref="E425">_xlfn.IFERROR(SUM('Direct Costs 2026'!$C$4:$C$5)*D425,"N/A")</f>
        <v>875500</v>
      </c>
      <c r="F425" s="538" cm="1">
        <f t="array" ref="F425">_xlfn.IFERROR('Direct Costs 2026'!$C$43*B425,"N/A")</f>
        <v>42000</v>
      </c>
      <c r="G425" s="538" cm="1">
        <f t="array" ref="G425">IF(B425&gt;0,'Direct Costs 2026'!$C$25,"N/A")</f>
        <v>90000</v>
      </c>
      <c r="H425" s="538" cm="1">
        <f t="array" ref="H425">IF(B425&gt;0,'Direct Costs 2026'!$C$19+'Direct Costs 2026'!$C$18*B425,"N/A")</f>
        <v>320000</v>
      </c>
      <c r="I425" s="538" cm="1">
        <f t="array" ref="I425">IF(B425&gt;0,SUM('Direct Costs 2026'!$C$20:$C$21),"N/A")</f>
        <v>98333.3333333333</v>
      </c>
      <c r="J425" s="538">
        <v>0</v>
      </c>
      <c r="K425" s="538" cm="1">
        <f t="array" ref="K425">_xlfn.IFERROR((IF(B425&gt;0,'Direct Costs 2026'!$C$15+'Direct Costs 2026'!$C$14,"N/A")),"N/A")</f>
        <v>230000</v>
      </c>
      <c r="L425" s="538" cm="1">
        <f t="array" ref="L425">IF(B425&gt;0,'Direct Costs 2026'!$C$26,"N/A")</f>
        <v>20000</v>
      </c>
      <c r="M425" s="538" cm="1">
        <f t="array" ref="M425">IF(B425&gt;0,'Direct Costs 2026'!$C$23,"N/A")</f>
        <v>140000</v>
      </c>
      <c r="N425" s="538" cm="1">
        <f t="array" ref="N425">IF(B425&gt;0,'Direct Costs 2026'!$C$44*B425,"N/A")</f>
        <v>770000</v>
      </c>
      <c r="O425" s="538" cm="1">
        <f t="array" ref="O425">IF(B425&gt;0,_xlfn.IFERROR(VLOOKUP(C416,'Boats Data Sheet 2026'!$C$3:$I$57,7,0)*'Direct Costs 2026'!$C$36,"N/A"),"N/A")</f>
        <v>3325000</v>
      </c>
      <c r="P425" s="538" cm="1">
        <f t="array" ref="P425">IF(B425&gt;0,IF(OR(VLOOKUP(C416,'Boats Data Sheet 2026'!$C$3:$F$57,4,0)="Own",VLOOKUP(C416,'Boats Data Sheet 2026'!$C$3:$F$57,4,0)="Management"),('Direct Costs 2026'!$C$37+'Direct Costs 2026'!$C$39),"N/A"),"N/A")</f>
        <v>1112400</v>
      </c>
      <c r="Q425" s="538" cm="1">
        <f t="array" ref="Q425">_xlfn.IFERROR(IF(B425&gt;5,IF(B425&gt;11,IF(B425&gt;15,4,3),2),IF(B425=0,"N/A",1))*SUM('Direct Costs 2026'!$C$67:$C$68),"N/A")</f>
        <v>979200</v>
      </c>
      <c r="R425" s="538" cm="1">
        <f t="array" ref="R425">_xlfn.IFERROR('Direct Costs 2026'!$C$27*C425,"N/A")</f>
        <v>0</v>
      </c>
      <c r="S425" s="538" cm="1">
        <f t="array" ref="S425">_xlfn.IFERROR(C425+SUM(E425:R425),"N/A")</f>
        <v>8002433.33333333</v>
      </c>
      <c r="T425" s="424"/>
      <c r="U425" s="538" cm="1">
        <f t="array" ref="U425">IF(B425&gt;0,'Allocation OH and Target 2026'!$E$27,"N/A")</f>
        <v>2134447.30345641</v>
      </c>
      <c r="V425" s="538" cm="1">
        <f t="array" ref="V425">IF(B425&gt;0,'Allocation OH and Target 2026'!$E$28,"N/A")</f>
        <v>200042.323056976</v>
      </c>
      <c r="W425" s="538" cm="1">
        <f t="array" ref="W425">IF(B425&gt;0,VLOOKUP(C416,'Allocation OH and Target 2026'!$C$3:$T$23,17,0),"N/A")</f>
        <v>0</v>
      </c>
      <c r="X425" s="538" cm="1">
        <f t="array" ref="X425">IF(B425&gt;0,VLOOKUP(C416,'Allocation OH and Target 2026'!$C$3:$T$23,18,0),"N/A")</f>
        <v>0</v>
      </c>
      <c r="Y425" s="538" cm="1">
        <f t="array" ref="Y425">_xlfn.IFERROR(B425*(V425+X425),"N/A")</f>
        <v>1400296.26139883</v>
      </c>
      <c r="Z425" s="424"/>
      <c r="AA425" s="538" cm="1">
        <f t="array" ref="AA425">_xlfn.IFERROR(Y425+S425,"N/A")</f>
        <v>9402729.59473216</v>
      </c>
      <c r="AB425" s="538" cm="1">
        <f t="array" ref="AB425">_xlfn.IFERROR(AA425*0.5%,"N/A")</f>
        <v>47013.6479736608</v>
      </c>
      <c r="AC425" s="538" cm="1">
        <f t="array" ref="AC425">_xlfn.IFERROR(AA425*25%,"N/A")</f>
        <v>2350682.39868304</v>
      </c>
      <c r="AD425" s="539" cm="1">
        <f t="array" ref="AD425">IF(B425&gt;0,SUM(AA425:AC425),"N/A")</f>
        <v>11800425.6413889</v>
      </c>
      <c r="AE425" s="538" cm="1">
        <f t="array" ref="AE425">_xlfn.IFERROR(AD425/B425,"N/A")</f>
        <v>1685775.09162699</v>
      </c>
      <c r="AF425" s="424"/>
      <c r="AG425" t="str" s="546" cm="1">
        <f t="array" ref="AG425">IF(B425/VLOOKUP(C416,'Boats Data Sheet 2026'!$C$3:$H$57,6,0)&gt;VLOOKUP(C416,'Allocation OH and Target 2026'!$C$3:$J$23,8,0),IF(SUM(AH418:AH424)=0,AE425,"N/A"),"N/A")</f>
        <v>N/A</v>
      </c>
      <c r="AH425" s="424" cm="1">
        <f t="array" ref="AH425">IF(AG425="N/A",0,1)</f>
        <v>0</v>
      </c>
      <c r="AI425" t="str" s="547" cm="1">
        <f t="array" ref="AI425">IF(B425/VLOOKUP(C416,'Boats Data Sheet 2026'!$C$3:$H$57,6,0)&gt;VLOOKUP(C416,'Allocation OH and Target 2026'!$C$3:$J$23,8,0),IF(SUM(AH418:AH424)=0,S425/B425,"N/A"),"N/A")</f>
        <v>N/A</v>
      </c>
      <c r="AJ425" s="424" cm="1">
        <f t="array" ref="AJ425">IF(AI425="N/A",0,1)</f>
        <v>0</v>
      </c>
      <c r="AK425" t="str" s="527" cm="1">
        <f t="array" ref="AK425">IF(SUM($AG$120:$AG$137)*B425&lt;SUM(AA425:AB425),"NO GO","GO")</f>
        <v>GO</v>
      </c>
      <c r="AL425" s="424"/>
      <c r="AM425" t="s" s="565">
        <v>569</v>
      </c>
      <c r="AN425" s="566" cm="1">
        <f t="array" ref="AN425">AN424*50%</f>
        <v>362205533.333334</v>
      </c>
      <c r="AO425" s="538"/>
      <c r="AP425" s="542"/>
      <c r="AQ425" s="543" cm="1">
        <f t="array" ref="AQ425">B425</f>
        <v>7</v>
      </c>
      <c r="AR425" s="18"/>
    </row>
    <row r="426" ht="16" customHeight="1">
      <c r="A426" s="12"/>
      <c r="B426" s="544" cm="1">
        <f t="array" ref="B426">IF(B425=0,0,IF(B425&lt;VLOOKUP(C416,'Boats Data Sheet 2026'!$C$3:$H$57,6,0),B425+1,0))</f>
        <v>8</v>
      </c>
      <c r="C426" s="538" cm="1">
        <f t="array" ref="C426">IF(B426&gt;0,IF(VLOOKUP(C416,'Boats Data Sheet 2026'!$C$3:$J$57,8,0)="N/A",0,VLOOKUP(C416,'Boats Data Sheet 2026'!$C$3:$J$57,8,0)),"N/A")</f>
        <v>0</v>
      </c>
      <c r="D426" s="545" cm="1">
        <f t="array" ref="D426">IF(B426&gt;7,2,IF(B426=0,"N/A",1))</f>
        <v>2</v>
      </c>
      <c r="E426" s="538" cm="1">
        <f t="array" ref="E426">_xlfn.IFERROR(SUM('Direct Costs 2026'!$C$4:$C$5)*D426,"N/A")</f>
        <v>1751000</v>
      </c>
      <c r="F426" s="538" cm="1">
        <f t="array" ref="F426">_xlfn.IFERROR('Direct Costs 2026'!$C$43*B426,"N/A")</f>
        <v>48000</v>
      </c>
      <c r="G426" s="538" cm="1">
        <f t="array" ref="G426">IF(B426&gt;0,'Direct Costs 2026'!$C$25,"N/A")</f>
        <v>90000</v>
      </c>
      <c r="H426" s="538" cm="1">
        <f t="array" ref="H426">IF(B426&gt;0,'Direct Costs 2026'!$C$19+'Direct Costs 2026'!$C$18*B426,"N/A")</f>
        <v>355000</v>
      </c>
      <c r="I426" s="538" cm="1">
        <f t="array" ref="I426">IF(B426&gt;0,SUM('Direct Costs 2026'!$C$20:$C$21),"N/A")</f>
        <v>98333.3333333333</v>
      </c>
      <c r="J426" s="538">
        <v>0</v>
      </c>
      <c r="K426" s="538" cm="1">
        <f t="array" ref="K426">_xlfn.IFERROR((IF(B426&gt;0,'Direct Costs 2026'!$C$15+'Direct Costs 2026'!$C$14,"N/A")),"N/A")</f>
        <v>230000</v>
      </c>
      <c r="L426" s="538" cm="1">
        <f t="array" ref="L426">IF(B426&gt;0,'Direct Costs 2026'!$C$26,"N/A")</f>
        <v>20000</v>
      </c>
      <c r="M426" s="538" cm="1">
        <f t="array" ref="M426">IF(B426&gt;0,'Direct Costs 2026'!$C$23,"N/A")</f>
        <v>140000</v>
      </c>
      <c r="N426" s="538" cm="1">
        <f t="array" ref="N426">IF(B426&gt;0,'Direct Costs 2026'!$C$44*B426,"N/A")</f>
        <v>880000</v>
      </c>
      <c r="O426" s="538" cm="1">
        <f t="array" ref="O426">IF(B426&gt;0,_xlfn.IFERROR(VLOOKUP(C416,'Boats Data Sheet 2026'!$C$3:$I$57,7,0)*'Direct Costs 2026'!$C$36,"N/A"),"N/A")</f>
        <v>3325000</v>
      </c>
      <c r="P426" s="538" cm="1">
        <f t="array" ref="P426">IF(B426&gt;0,IF(OR(VLOOKUP(C416,'Boats Data Sheet 2026'!$C$3:$F$57,4,0)="Own",VLOOKUP(C416,'Boats Data Sheet 2026'!$C$3:$F$57,4,0)="Management"),('Direct Costs 2026'!$C$37+'Direct Costs 2026'!$C$39),"N/A"),"N/A")</f>
        <v>1112400</v>
      </c>
      <c r="Q426" s="538" cm="1">
        <f t="array" ref="Q426">_xlfn.IFERROR(IF(B426&gt;5,IF(B426&gt;11,IF(B426&gt;15,4,3),2),IF(B426=0,"N/A",1))*SUM('Direct Costs 2026'!$C$67:$C$68),"N/A")</f>
        <v>979200</v>
      </c>
      <c r="R426" s="538" cm="1">
        <f t="array" ref="R426">_xlfn.IFERROR('Direct Costs 2026'!$C$27*C426,"N/A")</f>
        <v>0</v>
      </c>
      <c r="S426" s="538" cm="1">
        <f t="array" ref="S426">_xlfn.IFERROR(C426+SUM(E426:R426),"N/A")</f>
        <v>9028933.33333333</v>
      </c>
      <c r="T426" s="424"/>
      <c r="U426" s="538" cm="1">
        <f t="array" ref="U426">IF(B426&gt;0,'Allocation OH and Target 2026'!$E$27,"N/A")</f>
        <v>2134447.30345641</v>
      </c>
      <c r="V426" s="538" cm="1">
        <f t="array" ref="V426">IF(B426&gt;0,'Allocation OH and Target 2026'!$E$28,"N/A")</f>
        <v>200042.323056976</v>
      </c>
      <c r="W426" s="538" cm="1">
        <f t="array" ref="W426">IF(B426&gt;0,VLOOKUP(C416,'Allocation OH and Target 2026'!$C$3:$T$23,17,0),"N/A")</f>
        <v>0</v>
      </c>
      <c r="X426" s="538" cm="1">
        <f t="array" ref="X426">IF(B426&gt;0,VLOOKUP(C416,'Allocation OH and Target 2026'!$C$3:$T$23,18,0),"N/A")</f>
        <v>0</v>
      </c>
      <c r="Y426" s="538" cm="1">
        <f t="array" ref="Y426">_xlfn.IFERROR(B426*(V426+X426),"N/A")</f>
        <v>1600338.58445581</v>
      </c>
      <c r="Z426" s="424"/>
      <c r="AA426" s="538" cm="1">
        <f t="array" ref="AA426">_xlfn.IFERROR(Y426+S426,"N/A")</f>
        <v>10629271.9177891</v>
      </c>
      <c r="AB426" s="538" cm="1">
        <f t="array" ref="AB426">_xlfn.IFERROR(AA426*0.5%,"N/A")</f>
        <v>53146.3595889455</v>
      </c>
      <c r="AC426" s="538" cm="1">
        <f t="array" ref="AC426">_xlfn.IFERROR(AA426*25%,"N/A")</f>
        <v>2657317.97944728</v>
      </c>
      <c r="AD426" s="539" cm="1">
        <f t="array" ref="AD426">IF(B426&gt;0,SUM(AA426:AC426),"N/A")</f>
        <v>13339736.2568253</v>
      </c>
      <c r="AE426" s="538" cm="1">
        <f t="array" ref="AE426">_xlfn.IFERROR(AD426/B426,"N/A")</f>
        <v>1667467.03210316</v>
      </c>
      <c r="AF426" s="424"/>
      <c r="AG426" t="str" s="546" cm="1">
        <f t="array" ref="AG426">IF(B426/VLOOKUP(C416,'Boats Data Sheet 2026'!$C$3:$H$57,6,0)&gt;VLOOKUP(C416,'Allocation OH and Target 2026'!$C$3:$J$23,8,0),IF(SUM(AH418:AH425)=0,AE426,"N/A"),"N/A")</f>
        <v>N/A</v>
      </c>
      <c r="AH426" s="424" cm="1">
        <f t="array" ref="AH426">IF(AG426="N/A",0,1)</f>
        <v>0</v>
      </c>
      <c r="AI426" t="str" s="547" cm="1">
        <f t="array" ref="AI426">IF(B426/VLOOKUP(C416,'Boats Data Sheet 2026'!$C$3:$H$57,6,0)&gt;VLOOKUP(C416,'Allocation OH and Target 2026'!$C$3:$J$23,8,0),IF(SUM(AH418:AH425)=0,S426/B426,"N/A"),"N/A")</f>
        <v>N/A</v>
      </c>
      <c r="AJ426" s="424" cm="1">
        <f t="array" ref="AJ426">IF(AI426="N/A",0,1)</f>
        <v>0</v>
      </c>
      <c r="AK426" t="str" s="527" cm="1">
        <f t="array" ref="AK426">IF(SUM($AG$120:$AG$137)*B426&lt;SUM(AA426:AB426),"NO GO","GO")</f>
        <v>GO</v>
      </c>
      <c r="AL426" s="424"/>
      <c r="AM426" s="538"/>
      <c r="AN426" s="538"/>
      <c r="AO426" s="538"/>
      <c r="AP426" s="542"/>
      <c r="AQ426" s="543" cm="1">
        <f t="array" ref="AQ426">B426</f>
        <v>8</v>
      </c>
      <c r="AR426" s="18"/>
    </row>
    <row r="427" ht="16" customHeight="1">
      <c r="A427" s="12"/>
      <c r="B427" s="544" cm="1">
        <f t="array" ref="B427">IF(B426=0,0,IF(B426&lt;VLOOKUP(C416,'Boats Data Sheet 2026'!$C$3:$H$57,6,0),B426+1,0))</f>
        <v>9</v>
      </c>
      <c r="C427" s="538" cm="1">
        <f t="array" ref="C427">IF(B427&gt;0,IF(VLOOKUP(C416,'Boats Data Sheet 2026'!$C$3:$J$57,8,0)="N/A",0,VLOOKUP(C416,'Boats Data Sheet 2026'!$C$3:$J$57,8,0)),"N/A")</f>
        <v>0</v>
      </c>
      <c r="D427" s="545" cm="1">
        <f t="array" ref="D427">IF(B427&gt;7,2,IF(B427=0,"N/A",1))</f>
        <v>2</v>
      </c>
      <c r="E427" s="538" cm="1">
        <f t="array" ref="E427">_xlfn.IFERROR(SUM('Direct Costs 2026'!$C$4:$C$5)*D427,"N/A")</f>
        <v>1751000</v>
      </c>
      <c r="F427" s="538" cm="1">
        <f t="array" ref="F427">_xlfn.IFERROR('Direct Costs 2026'!$C$43*B427,"N/A")</f>
        <v>54000</v>
      </c>
      <c r="G427" s="538" cm="1">
        <f t="array" ref="G427">IF(B427&gt;0,'Direct Costs 2026'!$C$25,"N/A")</f>
        <v>90000</v>
      </c>
      <c r="H427" s="538" cm="1">
        <f t="array" ref="H427">IF(B427&gt;0,'Direct Costs 2026'!$C$19+'Direct Costs 2026'!$C$18*B427,"N/A")</f>
        <v>390000</v>
      </c>
      <c r="I427" s="538" cm="1">
        <f t="array" ref="I427">IF(B427&gt;0,SUM('Direct Costs 2026'!$C$20:$C$21),"N/A")</f>
        <v>98333.3333333333</v>
      </c>
      <c r="J427" s="538">
        <v>0</v>
      </c>
      <c r="K427" s="538" cm="1">
        <f t="array" ref="K427">_xlfn.IFERROR((IF(B427&gt;0,'Direct Costs 2026'!$C$15+'Direct Costs 2026'!$C$14,"N/A")),"N/A")</f>
        <v>230000</v>
      </c>
      <c r="L427" s="538" cm="1">
        <f t="array" ref="L427">IF(B427&gt;0,'Direct Costs 2026'!$C$26,"N/A")</f>
        <v>20000</v>
      </c>
      <c r="M427" s="538" cm="1">
        <f t="array" ref="M427">IF(B427&gt;0,'Direct Costs 2026'!$C$23,"N/A")</f>
        <v>140000</v>
      </c>
      <c r="N427" s="538" cm="1">
        <f t="array" ref="N427">IF(B427&gt;0,'Direct Costs 2026'!$C$44*B427,"N/A")</f>
        <v>990000</v>
      </c>
      <c r="O427" s="538" cm="1">
        <f t="array" ref="O427">IF(B427&gt;0,_xlfn.IFERROR(VLOOKUP(C416,'Boats Data Sheet 2026'!$C$3:$I$57,7,0)*'Direct Costs 2026'!$C$36,"N/A"),"N/A")</f>
        <v>3325000</v>
      </c>
      <c r="P427" s="538" cm="1">
        <f t="array" ref="P427">IF(B427&gt;0,IF(OR(VLOOKUP(C416,'Boats Data Sheet 2026'!$C$3:$F$57,4,0)="Own",VLOOKUP(C416,'Boats Data Sheet 2026'!$C$3:$F$57,4,0)="Management"),('Direct Costs 2026'!$C$37+'Direct Costs 2026'!$C$39),"N/A"),"N/A")</f>
        <v>1112400</v>
      </c>
      <c r="Q427" s="538" cm="1">
        <f t="array" ref="Q427">_xlfn.IFERROR(IF(B427&gt;5,IF(B427&gt;11,IF(B427&gt;15,4,3),2),IF(B427=0,"N/A",1))*SUM('Direct Costs 2026'!$C$67:$C$68),"N/A")</f>
        <v>979200</v>
      </c>
      <c r="R427" s="538" cm="1">
        <f t="array" ref="R427">_xlfn.IFERROR('Direct Costs 2026'!$C$27*C427,"N/A")</f>
        <v>0</v>
      </c>
      <c r="S427" s="538" cm="1">
        <f t="array" ref="S427">_xlfn.IFERROR(C427+SUM(E427:R427),"N/A")</f>
        <v>9179933.33333333</v>
      </c>
      <c r="T427" s="424"/>
      <c r="U427" s="538" cm="1">
        <f t="array" ref="U427">IF(B427&gt;0,'Allocation OH and Target 2026'!$E$27,"N/A")</f>
        <v>2134447.30345641</v>
      </c>
      <c r="V427" s="538" cm="1">
        <f t="array" ref="V427">IF(B427&gt;0,'Allocation OH and Target 2026'!$E$28,"N/A")</f>
        <v>200042.323056976</v>
      </c>
      <c r="W427" s="538" cm="1">
        <f t="array" ref="W427">IF(B427&gt;0,VLOOKUP(C416,'Allocation OH and Target 2026'!$C$3:$T$23,17,0),"N/A")</f>
        <v>0</v>
      </c>
      <c r="X427" s="538" cm="1">
        <f t="array" ref="X427">IF(B427&gt;0,VLOOKUP(C416,'Allocation OH and Target 2026'!$C$3:$T$23,18,0),"N/A")</f>
        <v>0</v>
      </c>
      <c r="Y427" s="538" cm="1">
        <f t="array" ref="Y427">_xlfn.IFERROR(B427*(V427+X427),"N/A")</f>
        <v>1800380.90751278</v>
      </c>
      <c r="Z427" s="424"/>
      <c r="AA427" s="538" cm="1">
        <f t="array" ref="AA427">_xlfn.IFERROR(Y427+S427,"N/A")</f>
        <v>10980314.2408461</v>
      </c>
      <c r="AB427" s="538" cm="1">
        <f t="array" ref="AB427">_xlfn.IFERROR(AA427*0.5%,"N/A")</f>
        <v>54901.5712042305</v>
      </c>
      <c r="AC427" s="538" cm="1">
        <f t="array" ref="AC427">_xlfn.IFERROR(AA427*25%,"N/A")</f>
        <v>2745078.56021153</v>
      </c>
      <c r="AD427" s="539" cm="1">
        <f t="array" ref="AD427">IF(B427&gt;0,SUM(AA427:AC427),"N/A")</f>
        <v>13780294.3722619</v>
      </c>
      <c r="AE427" s="538" cm="1">
        <f t="array" ref="AE427">_xlfn.IFERROR(AD427/B427,"N/A")</f>
        <v>1531143.81914021</v>
      </c>
      <c r="AF427" s="424"/>
      <c r="AG427" t="str" s="546" cm="1">
        <f t="array" ref="AG427">IF(B427/VLOOKUP(C416,'Boats Data Sheet 2026'!$C$3:$H$57,6,0)&gt;VLOOKUP(C416,'Allocation OH and Target 2026'!$C$3:$J$23,8,0),IF(SUM(AH418:AH426)=0,AE427,"N/A"),"N/A")</f>
        <v>N/A</v>
      </c>
      <c r="AH427" s="424" cm="1">
        <f t="array" ref="AH427">IF(AG427="N/A",0,1)</f>
        <v>0</v>
      </c>
      <c r="AI427" t="str" s="547" cm="1">
        <f t="array" ref="AI427">IF(B427/VLOOKUP(C416,'Boats Data Sheet 2026'!$C$3:$H$57,6,0)&gt;VLOOKUP(C416,'Allocation OH and Target 2026'!$C$3:$J$23,8,0),IF(SUM(AH418:AH426)=0,S427/B427,"N/A"),"N/A")</f>
        <v>N/A</v>
      </c>
      <c r="AJ427" s="424" cm="1">
        <f t="array" ref="AJ427">IF(AI427="N/A",0,1)</f>
        <v>0</v>
      </c>
      <c r="AK427" t="str" s="527" cm="1">
        <f t="array" ref="AK427">IF(SUM($AG$120:$AG$137)*B427&lt;SUM(AA427:AB427),"NO GO","GO")</f>
        <v>GO</v>
      </c>
      <c r="AL427" s="424"/>
      <c r="AM427" s="538"/>
      <c r="AN427" s="538"/>
      <c r="AO427" s="538"/>
      <c r="AP427" s="542"/>
      <c r="AQ427" s="543" cm="1">
        <f t="array" ref="AQ427">B427</f>
        <v>9</v>
      </c>
      <c r="AR427" s="18"/>
    </row>
    <row r="428" ht="16" customHeight="1">
      <c r="A428" s="12"/>
      <c r="B428" s="544" cm="1">
        <f t="array" ref="B428">IF(B427=0,0,IF(B427&lt;VLOOKUP(C416,'Boats Data Sheet 2026'!$C$3:$H$57,6,0),B427+1,0))</f>
        <v>10</v>
      </c>
      <c r="C428" s="538" cm="1">
        <f t="array" ref="C428">IF(B428&gt;0,IF(VLOOKUP(C416,'Boats Data Sheet 2026'!$C$3:$J$57,8,0)="N/A",0,VLOOKUP(C416,'Boats Data Sheet 2026'!$C$3:$J$57,8,0)),"N/A")</f>
        <v>0</v>
      </c>
      <c r="D428" s="545" cm="1">
        <f t="array" ref="D428">IF(B428&gt;7,2,IF(B428=0,"N/A",1))</f>
        <v>2</v>
      </c>
      <c r="E428" s="538" cm="1">
        <f t="array" ref="E428">_xlfn.IFERROR(SUM('Direct Costs 2026'!$C$4:$C$5)*D428,"N/A")</f>
        <v>1751000</v>
      </c>
      <c r="F428" s="538" cm="1">
        <f t="array" ref="F428">_xlfn.IFERROR('Direct Costs 2026'!$C$43*B428,"N/A")</f>
        <v>60000</v>
      </c>
      <c r="G428" s="538" cm="1">
        <f t="array" ref="G428">IF(B428&gt;0,'Direct Costs 2026'!$C$25,"N/A")</f>
        <v>90000</v>
      </c>
      <c r="H428" s="538" cm="1">
        <f t="array" ref="H428">IF(B428&gt;0,'Direct Costs 2026'!$C$19+'Direct Costs 2026'!$C$18*B428,"N/A")</f>
        <v>425000</v>
      </c>
      <c r="I428" s="538" cm="1">
        <f t="array" ref="I428">IF(B428&gt;0,SUM('Direct Costs 2026'!$C$20:$C$21),"N/A")</f>
        <v>98333.3333333333</v>
      </c>
      <c r="J428" s="538">
        <v>0</v>
      </c>
      <c r="K428" s="538" cm="1">
        <f t="array" ref="K428">_xlfn.IFERROR((IF(B428&gt;0,'Direct Costs 2026'!$C$15+'Direct Costs 2026'!$C$14,"N/A")),"N/A")</f>
        <v>230000</v>
      </c>
      <c r="L428" s="538" cm="1">
        <f t="array" ref="L428">IF(B428&gt;0,'Direct Costs 2026'!$C$26,"N/A")</f>
        <v>20000</v>
      </c>
      <c r="M428" s="538" cm="1">
        <f t="array" ref="M428">IF(B428&gt;0,'Direct Costs 2026'!$C$23,"N/A")</f>
        <v>140000</v>
      </c>
      <c r="N428" s="538" cm="1">
        <f t="array" ref="N428">IF(B428&gt;0,'Direct Costs 2026'!$C$44*B428,"N/A")</f>
        <v>1100000</v>
      </c>
      <c r="O428" s="538" cm="1">
        <f t="array" ref="O428">IF(B428&gt;0,_xlfn.IFERROR(VLOOKUP(C416,'Boats Data Sheet 2026'!$C$3:$I$57,7,0)*'Direct Costs 2026'!$C$36,"N/A"),"N/A")</f>
        <v>3325000</v>
      </c>
      <c r="P428" s="538" cm="1">
        <f t="array" ref="P428">IF(B428&gt;0,IF(OR(VLOOKUP(C416,'Boats Data Sheet 2026'!$C$3:$F$57,4,0)="Own",VLOOKUP(C416,'Boats Data Sheet 2026'!$C$3:$F$57,4,0)="Management"),('Direct Costs 2026'!$C$37+'Direct Costs 2026'!$C$39),"N/A"),"N/A")</f>
        <v>1112400</v>
      </c>
      <c r="Q428" s="538" cm="1">
        <f t="array" ref="Q428">_xlfn.IFERROR(IF(B428&gt;5,IF(B428&gt;11,IF(B428&gt;15,4,3),2),IF(B428=0,"N/A",1))*SUM('Direct Costs 2026'!$C$67:$C$68),"N/A")</f>
        <v>979200</v>
      </c>
      <c r="R428" s="538" cm="1">
        <f t="array" ref="R428">_xlfn.IFERROR('Direct Costs 2026'!$C$27*C428,"N/A")</f>
        <v>0</v>
      </c>
      <c r="S428" s="538" cm="1">
        <f t="array" ref="S428">_xlfn.IFERROR(C428+SUM(E428:R428),"N/A")</f>
        <v>9330933.33333333</v>
      </c>
      <c r="T428" s="424"/>
      <c r="U428" s="538" cm="1">
        <f t="array" ref="U428">IF(B428&gt;0,'Allocation OH and Target 2026'!$E$27,"N/A")</f>
        <v>2134447.30345641</v>
      </c>
      <c r="V428" s="538" cm="1">
        <f t="array" ref="V428">IF(B428&gt;0,'Allocation OH and Target 2026'!$E$28,"N/A")</f>
        <v>200042.323056976</v>
      </c>
      <c r="W428" s="538" cm="1">
        <f t="array" ref="W428">IF(B428&gt;0,VLOOKUP(C416,'Allocation OH and Target 2026'!$C$3:$T$23,17,0),"N/A")</f>
        <v>0</v>
      </c>
      <c r="X428" s="538" cm="1">
        <f t="array" ref="X428">IF(B428&gt;0,VLOOKUP(C416,'Allocation OH and Target 2026'!$C$3:$T$23,18,0),"N/A")</f>
        <v>0</v>
      </c>
      <c r="Y428" s="538" cm="1">
        <f t="array" ref="Y428">_xlfn.IFERROR(B428*(V428+X428),"N/A")</f>
        <v>2000423.23056976</v>
      </c>
      <c r="Z428" s="424"/>
      <c r="AA428" s="538" cm="1">
        <f t="array" ref="AA428">_xlfn.IFERROR(Y428+S428,"N/A")</f>
        <v>11331356.5639031</v>
      </c>
      <c r="AB428" s="538" cm="1">
        <f t="array" ref="AB428">_xlfn.IFERROR(AA428*0.5%,"N/A")</f>
        <v>56656.7828195155</v>
      </c>
      <c r="AC428" s="538" cm="1">
        <f t="array" ref="AC428">_xlfn.IFERROR(AA428*25%,"N/A")</f>
        <v>2832839.14097578</v>
      </c>
      <c r="AD428" s="539" cm="1">
        <f t="array" ref="AD428">IF(B428&gt;0,SUM(AA428:AC428),"N/A")</f>
        <v>14220852.4876984</v>
      </c>
      <c r="AE428" s="538" cm="1">
        <f t="array" ref="AE428">_xlfn.IFERROR(AD428/B428,"N/A")</f>
        <v>1422085.24876984</v>
      </c>
      <c r="AF428" s="424"/>
      <c r="AG428" t="str" s="546" cm="1">
        <f t="array" ref="AG428">IF(B428/VLOOKUP(C416,'Boats Data Sheet 2026'!$C$3:$H$57,6,0)&gt;VLOOKUP(C416,'Allocation OH and Target 2026'!$C$3:$J$23,8,0),IF(SUM(AH418:AH427)=0,AE428,"N/A"),"N/A")</f>
        <v>N/A</v>
      </c>
      <c r="AH428" s="424" cm="1">
        <f t="array" ref="AH428">IF(AG428="N/A",0,1)</f>
        <v>0</v>
      </c>
      <c r="AI428" t="str" s="547" cm="1">
        <f t="array" ref="AI428">IF(B428/VLOOKUP(C416,'Boats Data Sheet 2026'!$C$3:$H$57,6,0)&gt;VLOOKUP(C416,'Allocation OH and Target 2026'!$C$3:$J$23,8,0),IF(SUM(AH418:AH427)=0,S428/B428,"N/A"),"N/A")</f>
        <v>N/A</v>
      </c>
      <c r="AJ428" s="424" cm="1">
        <f t="array" ref="AJ428">IF(AI428="N/A",0,1)</f>
        <v>0</v>
      </c>
      <c r="AK428" t="str" s="527" cm="1">
        <f t="array" ref="AK428">IF(SUM($AG$120:$AG$137)*B428&lt;SUM(AA428:AB428),"NO GO","GO")</f>
        <v>GO</v>
      </c>
      <c r="AL428" s="424"/>
      <c r="AM428" s="538"/>
      <c r="AN428" s="538"/>
      <c r="AO428" s="538"/>
      <c r="AP428" s="542"/>
      <c r="AQ428" s="543" cm="1">
        <f t="array" ref="AQ428">B428</f>
        <v>10</v>
      </c>
      <c r="AR428" s="18"/>
    </row>
    <row r="429" ht="16" customHeight="1">
      <c r="A429" s="12"/>
      <c r="B429" s="544" cm="1">
        <f t="array" ref="B429">IF(B428=0,0,IF(B428&lt;VLOOKUP(C416,'Boats Data Sheet 2026'!$C$3:$H$57,6,0),B428+1,0))</f>
        <v>11</v>
      </c>
      <c r="C429" s="538" cm="1">
        <f t="array" ref="C429">IF(B429&gt;0,IF(VLOOKUP(C416,'Boats Data Sheet 2026'!$C$3:$J$57,8,0)="N/A",0,VLOOKUP(C416,'Boats Data Sheet 2026'!$C$3:$J$57,8,0)),"N/A")</f>
        <v>0</v>
      </c>
      <c r="D429" s="545" cm="1">
        <f t="array" ref="D429">IF(B429&gt;7,2,IF(B429=0,"N/A",1))</f>
        <v>2</v>
      </c>
      <c r="E429" s="538" cm="1">
        <f t="array" ref="E429">_xlfn.IFERROR(SUM('Direct Costs 2026'!$C$4:$C$5)*D429,"N/A")</f>
        <v>1751000</v>
      </c>
      <c r="F429" s="538" cm="1">
        <f t="array" ref="F429">_xlfn.IFERROR('Direct Costs 2026'!$C$43*B429,"N/A")</f>
        <v>66000</v>
      </c>
      <c r="G429" s="538" cm="1">
        <f t="array" ref="G429">IF(B429&gt;0,'Direct Costs 2026'!$C$25,"N/A")</f>
        <v>90000</v>
      </c>
      <c r="H429" s="538" cm="1">
        <f t="array" ref="H429">IF(B429&gt;0,'Direct Costs 2026'!$C$19+'Direct Costs 2026'!$C$18*B429,"N/A")</f>
        <v>460000</v>
      </c>
      <c r="I429" s="538" cm="1">
        <f t="array" ref="I429">IF(B429&gt;0,SUM('Direct Costs 2026'!$C$20:$C$21),"N/A")</f>
        <v>98333.3333333333</v>
      </c>
      <c r="J429" s="538">
        <v>0</v>
      </c>
      <c r="K429" s="538" cm="1">
        <f t="array" ref="K429">_xlfn.IFERROR((IF(B429&gt;0,'Direct Costs 2026'!$C$15+'Direct Costs 2026'!$C$14,"N/A")),"N/A")</f>
        <v>230000</v>
      </c>
      <c r="L429" s="538" cm="1">
        <f t="array" ref="L429">IF(B429&gt;0,'Direct Costs 2026'!$C$26,"N/A")</f>
        <v>20000</v>
      </c>
      <c r="M429" s="538" cm="1">
        <f t="array" ref="M429">IF(B429&gt;0,'Direct Costs 2026'!$C$23,"N/A")</f>
        <v>140000</v>
      </c>
      <c r="N429" s="538" cm="1">
        <f t="array" ref="N429">IF(B429&gt;0,'Direct Costs 2026'!$C$44*B429,"N/A")</f>
        <v>1210000</v>
      </c>
      <c r="O429" s="538" cm="1">
        <f t="array" ref="O429">IF(B429&gt;0,_xlfn.IFERROR(VLOOKUP(C416,'Boats Data Sheet 2026'!$C$3:$I$57,7,0)*'Direct Costs 2026'!$C$36,"N/A"),"N/A")</f>
        <v>3325000</v>
      </c>
      <c r="P429" s="538" cm="1">
        <f t="array" ref="P429">IF(B429&gt;0,IF(OR(VLOOKUP(C416,'Boats Data Sheet 2026'!$C$3:$F$57,4,0)="Own",VLOOKUP(C416,'Boats Data Sheet 2026'!$C$3:$F$57,4,0)="Management"),('Direct Costs 2026'!$C$37+'Direct Costs 2026'!$C$39),"N/A"),"N/A")</f>
        <v>1112400</v>
      </c>
      <c r="Q429" s="538" cm="1">
        <f t="array" ref="Q429">_xlfn.IFERROR(IF(B429&gt;5,IF(B429&gt;11,IF(B429&gt;15,4,3),2),IF(B429=0,"N/A",1))*SUM('Direct Costs 2026'!$C$67:$C$68),"N/A")</f>
        <v>979200</v>
      </c>
      <c r="R429" s="538" cm="1">
        <f t="array" ref="R429">_xlfn.IFERROR('Direct Costs 2026'!$C$27*C429,"N/A")</f>
        <v>0</v>
      </c>
      <c r="S429" s="538" cm="1">
        <f t="array" ref="S429">_xlfn.IFERROR(C429+SUM(E429:R429),"N/A")</f>
        <v>9481933.33333333</v>
      </c>
      <c r="T429" s="424"/>
      <c r="U429" s="538" cm="1">
        <f t="array" ref="U429">IF(B429&gt;0,'Allocation OH and Target 2026'!$E$27,"N/A")</f>
        <v>2134447.30345641</v>
      </c>
      <c r="V429" s="538" cm="1">
        <f t="array" ref="V429">IF(B429&gt;0,'Allocation OH and Target 2026'!$E$28,"N/A")</f>
        <v>200042.323056976</v>
      </c>
      <c r="W429" s="538" cm="1">
        <f t="array" ref="W429">IF(B429&gt;0,VLOOKUP(C416,'Allocation OH and Target 2026'!$C$3:$T$23,17,0),"N/A")</f>
        <v>0</v>
      </c>
      <c r="X429" s="538" cm="1">
        <f t="array" ref="X429">IF(B429&gt;0,VLOOKUP(C416,'Allocation OH and Target 2026'!$C$3:$T$23,18,0),"N/A")</f>
        <v>0</v>
      </c>
      <c r="Y429" s="538" cm="1">
        <f t="array" ref="Y429">_xlfn.IFERROR(B429*(V429+X429),"N/A")</f>
        <v>2200465.55362674</v>
      </c>
      <c r="Z429" s="424"/>
      <c r="AA429" s="538" cm="1">
        <f t="array" ref="AA429">_xlfn.IFERROR(Y429+S429,"N/A")</f>
        <v>11682398.8869601</v>
      </c>
      <c r="AB429" s="538" cm="1">
        <f t="array" ref="AB429">_xlfn.IFERROR(AA429*0.5%,"N/A")</f>
        <v>58411.9944348005</v>
      </c>
      <c r="AC429" s="538" cm="1">
        <f t="array" ref="AC429">_xlfn.IFERROR(AA429*25%,"N/A")</f>
        <v>2920599.72174003</v>
      </c>
      <c r="AD429" s="539" cm="1">
        <f t="array" ref="AD429">IF(B429&gt;0,SUM(AA429:AC429),"N/A")</f>
        <v>14661410.6031349</v>
      </c>
      <c r="AE429" s="538" cm="1">
        <f t="array" ref="AE429">_xlfn.IFERROR(AD429/B429,"N/A")</f>
        <v>1332855.5093759</v>
      </c>
      <c r="AF429" s="424"/>
      <c r="AG429" s="539" cm="1">
        <f t="array" ref="AG429">IF(B429/VLOOKUP(C416,'Boats Data Sheet 2026'!$C$3:$H$57,6,0)&gt;VLOOKUP(C416,'Allocation OH and Target 2026'!$C$3:$J$23,8,0),IF(SUM(AH418:AH428)=0,AE429,"N/A"),"N/A")</f>
        <v>1332855.5093759</v>
      </c>
      <c r="AH429" s="424" cm="1">
        <f t="array" ref="AH429">IF(AG429="N/A",0,1)</f>
        <v>1</v>
      </c>
      <c r="AI429" s="538" cm="1">
        <f t="array" ref="AI429">IF(B429/VLOOKUP(C416,'Boats Data Sheet 2026'!$C$3:$H$57,6,0)&gt;VLOOKUP(C416,'Allocation OH and Target 2026'!$C$3:$J$23,8,0),IF(SUM(AH418:AH428)=0,S429/B429,"N/A"),"N/A")</f>
        <v>861993.939393939</v>
      </c>
      <c r="AJ429" s="424" cm="1">
        <f t="array" ref="AJ429">IF(AI429="N/A",0,1)</f>
        <v>1</v>
      </c>
      <c r="AK429" t="str" s="527" cm="1">
        <f t="array" ref="AK429">IF(SUM($AG$120:$AG$137)*B429&lt;SUM(AA429:AB429),"NO GO","GO")</f>
        <v>GO</v>
      </c>
      <c r="AL429" s="424"/>
      <c r="AM429" s="538"/>
      <c r="AN429" s="538"/>
      <c r="AO429" s="538"/>
      <c r="AP429" s="542"/>
      <c r="AQ429" s="543" cm="1">
        <f t="array" ref="AQ429">B429</f>
        <v>11</v>
      </c>
      <c r="AR429" s="18"/>
    </row>
    <row r="430" ht="16" customHeight="1">
      <c r="A430" s="12"/>
      <c r="B430" s="544" cm="1">
        <f t="array" ref="B430">IF(B429=0,0,IF(B429&lt;VLOOKUP(C416,'Boats Data Sheet 2026'!$C$3:$H$57,6,0),B429+1,0))</f>
        <v>12</v>
      </c>
      <c r="C430" s="538" cm="1">
        <f t="array" ref="C430">IF(B430&gt;0,IF(VLOOKUP(C416,'Boats Data Sheet 2026'!$C$3:$J$57,8,0)="N/A",0,VLOOKUP(C416,'Boats Data Sheet 2026'!$C$3:$J$57,8,0)),"N/A")</f>
        <v>0</v>
      </c>
      <c r="D430" s="545" cm="1">
        <f t="array" ref="D430">IF(B430&gt;7,2,IF(B430=0,"N/A",1))</f>
        <v>2</v>
      </c>
      <c r="E430" s="538" cm="1">
        <f t="array" ref="E430">_xlfn.IFERROR(SUM('Direct Costs 2026'!$C$4:$C$5)*D430,"N/A")</f>
        <v>1751000</v>
      </c>
      <c r="F430" s="538" cm="1">
        <f t="array" ref="F430">_xlfn.IFERROR('Direct Costs 2026'!$C$43*B430,"N/A")</f>
        <v>72000</v>
      </c>
      <c r="G430" s="538" cm="1">
        <f t="array" ref="G430">IF(B430&gt;0,'Direct Costs 2026'!$C$25,"N/A")</f>
        <v>90000</v>
      </c>
      <c r="H430" s="538" cm="1">
        <f t="array" ref="H430">IF(B430&gt;0,'Direct Costs 2026'!$C$19+'Direct Costs 2026'!$C$18*B430,"N/A")</f>
        <v>495000</v>
      </c>
      <c r="I430" s="538" cm="1">
        <f t="array" ref="I430">IF(B430&gt;0,SUM('Direct Costs 2026'!$C$20:$C$21),"N/A")</f>
        <v>98333.3333333333</v>
      </c>
      <c r="J430" s="538">
        <v>0</v>
      </c>
      <c r="K430" s="538" cm="1">
        <f t="array" ref="K430">_xlfn.IFERROR((IF(B430&gt;0,'Direct Costs 2026'!$C$15+'Direct Costs 2026'!$C$14,"N/A")),"N/A")</f>
        <v>230000</v>
      </c>
      <c r="L430" s="538" cm="1">
        <f t="array" ref="L430">IF(B430&gt;0,'Direct Costs 2026'!$C$26,"N/A")</f>
        <v>20000</v>
      </c>
      <c r="M430" s="538" cm="1">
        <f t="array" ref="M430">IF(B430&gt;0,'Direct Costs 2026'!$C$23,"N/A")</f>
        <v>140000</v>
      </c>
      <c r="N430" s="538" cm="1">
        <f t="array" ref="N430">IF(B430&gt;0,'Direct Costs 2026'!$C$44*B430,"N/A")</f>
        <v>1320000</v>
      </c>
      <c r="O430" s="538" cm="1">
        <f t="array" ref="O430">IF(B430&gt;0,_xlfn.IFERROR(VLOOKUP(C416,'Boats Data Sheet 2026'!$C$3:$I$57,7,0)*'Direct Costs 2026'!$C$36,"N/A"),"N/A")</f>
        <v>3325000</v>
      </c>
      <c r="P430" s="538" cm="1">
        <f t="array" ref="P430">IF(B430&gt;0,IF(OR(VLOOKUP(C416,'Boats Data Sheet 2026'!$C$3:$F$57,4,0)="Own",VLOOKUP(C416,'Boats Data Sheet 2026'!$C$3:$F$57,4,0)="Management"),('Direct Costs 2026'!$C$37+'Direct Costs 2026'!$C$39),"N/A"),"N/A")</f>
        <v>1112400</v>
      </c>
      <c r="Q430" s="538" cm="1">
        <f t="array" ref="Q430">_xlfn.IFERROR(IF(B430&gt;5,IF(B430&gt;11,IF(B430&gt;15,4,3),2),IF(B430=0,"N/A",1))*SUM('Direct Costs 2026'!$C$67:$C$68),"N/A")</f>
        <v>1468800</v>
      </c>
      <c r="R430" s="538" cm="1">
        <f t="array" ref="R430">_xlfn.IFERROR('Direct Costs 2026'!$C$27*C430,"N/A")</f>
        <v>0</v>
      </c>
      <c r="S430" s="538" cm="1">
        <f t="array" ref="S430">_xlfn.IFERROR(C430+SUM(E430:R430),"N/A")</f>
        <v>10122533.3333333</v>
      </c>
      <c r="T430" s="424"/>
      <c r="U430" s="538" cm="1">
        <f t="array" ref="U430">IF(B430&gt;0,'Allocation OH and Target 2026'!$E$27,"N/A")</f>
        <v>2134447.30345641</v>
      </c>
      <c r="V430" s="538" cm="1">
        <f t="array" ref="V430">IF(B430&gt;0,'Allocation OH and Target 2026'!$E$28,"N/A")</f>
        <v>200042.323056976</v>
      </c>
      <c r="W430" s="538" cm="1">
        <f t="array" ref="W430">IF(B430&gt;0,VLOOKUP(C416,'Allocation OH and Target 2026'!$C$3:$T$23,17,0),"N/A")</f>
        <v>0</v>
      </c>
      <c r="X430" s="538" cm="1">
        <f t="array" ref="X430">IF(B430&gt;0,VLOOKUP(C416,'Allocation OH and Target 2026'!$C$3:$T$23,18,0),"N/A")</f>
        <v>0</v>
      </c>
      <c r="Y430" s="538" cm="1">
        <f t="array" ref="Y430">_xlfn.IFERROR(B430*(V430+X430),"N/A")</f>
        <v>2400507.87668371</v>
      </c>
      <c r="Z430" s="424"/>
      <c r="AA430" s="538" cm="1">
        <f t="array" ref="AA430">_xlfn.IFERROR(Y430+S430,"N/A")</f>
        <v>12523041.210017</v>
      </c>
      <c r="AB430" s="538" cm="1">
        <f t="array" ref="AB430">_xlfn.IFERROR(AA430*0.5%,"N/A")</f>
        <v>62615.206050085</v>
      </c>
      <c r="AC430" s="538" cm="1">
        <f t="array" ref="AC430">_xlfn.IFERROR(AA430*25%,"N/A")</f>
        <v>3130760.30250425</v>
      </c>
      <c r="AD430" s="539" cm="1">
        <f t="array" ref="AD430">IF(B430&gt;0,SUM(AA430:AC430),"N/A")</f>
        <v>15716416.7185713</v>
      </c>
      <c r="AE430" s="538" cm="1">
        <f t="array" ref="AE430">_xlfn.IFERROR(AD430/B430,"N/A")</f>
        <v>1309701.39321428</v>
      </c>
      <c r="AF430" s="424"/>
      <c r="AG430" t="str" s="546" cm="1">
        <f t="array" ref="AG430">IF(B430/VLOOKUP(C416,'Boats Data Sheet 2026'!$C$3:$H$57,6,0)&gt;VLOOKUP(C416,'Allocation OH and Target 2026'!$C$3:$J$23,8,0),IF(SUM(AH418:AH429)=0,AE430,"N/A"),"N/A")</f>
        <v>N/A</v>
      </c>
      <c r="AH430" s="424" cm="1">
        <f t="array" ref="AH430">IF(AG430="N/A",0,1)</f>
        <v>0</v>
      </c>
      <c r="AI430" t="str" s="547" cm="1">
        <f t="array" ref="AI430">IF(B430/VLOOKUP(C416,'Boats Data Sheet 2026'!$C$3:$H$57,6,0)&gt;VLOOKUP(C416,'Allocation OH and Target 2026'!$C$3:$J$23,8,0),IF(SUM(AH418:AH429)=0,S430/B430,"N/A"),"N/A")</f>
        <v>N/A</v>
      </c>
      <c r="AJ430" s="424" cm="1">
        <f t="array" ref="AJ430">IF(AI430="N/A",0,1)</f>
        <v>0</v>
      </c>
      <c r="AK430" t="str" s="527" cm="1">
        <f t="array" ref="AK430">IF(SUM($AG$120:$AG$137)*B430&lt;SUM(AA430:AB430),"NO GO","GO")</f>
        <v>GO</v>
      </c>
      <c r="AL430" s="424"/>
      <c r="AM430" s="538"/>
      <c r="AN430" s="538"/>
      <c r="AO430" s="538"/>
      <c r="AP430" s="542"/>
      <c r="AQ430" s="543" cm="1">
        <f t="array" ref="AQ430">B430</f>
        <v>12</v>
      </c>
      <c r="AR430" s="18"/>
    </row>
    <row r="431" ht="16" customHeight="1">
      <c r="A431" s="12"/>
      <c r="B431" s="544" cm="1">
        <f t="array" ref="B431">IF(B430=0,0,IF(B430&lt;VLOOKUP(C416,'Boats Data Sheet 2026'!$C$3:$H$57,6,0),B430+1,0))</f>
        <v>13</v>
      </c>
      <c r="C431" s="538" cm="1">
        <f t="array" ref="C431">IF(B431&gt;0,IF(VLOOKUP(C416,'Boats Data Sheet 2026'!$C$3:$J$57,8,0)="N/A",0,VLOOKUP(C416,'Boats Data Sheet 2026'!$C$3:$J$57,8,0)),"N/A")</f>
        <v>0</v>
      </c>
      <c r="D431" s="545" cm="1">
        <f t="array" ref="D431">IF(B431&gt;7,2,IF(B431=0,"N/A",1))</f>
        <v>2</v>
      </c>
      <c r="E431" s="538" cm="1">
        <f t="array" ref="E431">_xlfn.IFERROR(SUM('Direct Costs 2026'!$C$4:$C$5)*D431,"N/A")</f>
        <v>1751000</v>
      </c>
      <c r="F431" s="538" cm="1">
        <f t="array" ref="F431">_xlfn.IFERROR('Direct Costs 2026'!$C$43*B431,"N/A")</f>
        <v>78000</v>
      </c>
      <c r="G431" s="538" cm="1">
        <f t="array" ref="G431">IF(B431&gt;0,'Direct Costs 2026'!$C$25,"N/A")</f>
        <v>90000</v>
      </c>
      <c r="H431" s="538" cm="1">
        <f t="array" ref="H431">IF(B431&gt;0,'Direct Costs 2026'!$C$19+'Direct Costs 2026'!$C$18*B431,"N/A")</f>
        <v>530000</v>
      </c>
      <c r="I431" s="538" cm="1">
        <f t="array" ref="I431">IF(B431&gt;0,SUM('Direct Costs 2026'!$C$20:$C$21),"N/A")</f>
        <v>98333.3333333333</v>
      </c>
      <c r="J431" s="538">
        <v>0</v>
      </c>
      <c r="K431" s="538" cm="1">
        <f t="array" ref="K431">_xlfn.IFERROR((IF(B431&gt;0,'Direct Costs 2026'!$C$15+'Direct Costs 2026'!$C$14,"N/A")),"N/A")</f>
        <v>230000</v>
      </c>
      <c r="L431" s="538" cm="1">
        <f t="array" ref="L431">IF(B431&gt;0,'Direct Costs 2026'!$C$26,"N/A")</f>
        <v>20000</v>
      </c>
      <c r="M431" s="538" cm="1">
        <f t="array" ref="M431">IF(B431&gt;0,'Direct Costs 2026'!$C$23,"N/A")</f>
        <v>140000</v>
      </c>
      <c r="N431" s="538" cm="1">
        <f t="array" ref="N431">IF(B431&gt;0,'Direct Costs 2026'!$C$44*B431,"N/A")</f>
        <v>1430000</v>
      </c>
      <c r="O431" s="538" cm="1">
        <f t="array" ref="O431">IF(B431&gt;0,_xlfn.IFERROR(VLOOKUP(C416,'Boats Data Sheet 2026'!$C$3:$I$57,7,0)*'Direct Costs 2026'!$C$36,"N/A"),"N/A")</f>
        <v>3325000</v>
      </c>
      <c r="P431" s="538" cm="1">
        <f t="array" ref="P431">IF(B431&gt;0,IF(OR(VLOOKUP(C416,'Boats Data Sheet 2026'!$C$3:$F$57,4,0)="Own",VLOOKUP(C416,'Boats Data Sheet 2026'!$C$3:$F$57,4,0)="Management"),('Direct Costs 2026'!$C$37+'Direct Costs 2026'!$C$39),"N/A"),"N/A")</f>
        <v>1112400</v>
      </c>
      <c r="Q431" s="538" cm="1">
        <f t="array" ref="Q431">_xlfn.IFERROR(IF(B431&gt;5,IF(B431&gt;11,IF(B431&gt;15,4,3),2),IF(B431=0,"N/A",1))*SUM('Direct Costs 2026'!$C$67:$C$68),"N/A")</f>
        <v>1468800</v>
      </c>
      <c r="R431" s="538" cm="1">
        <f t="array" ref="R431">_xlfn.IFERROR('Direct Costs 2026'!$C$27*C431,"N/A")</f>
        <v>0</v>
      </c>
      <c r="S431" s="538" cm="1">
        <f t="array" ref="S431">_xlfn.IFERROR(C431+SUM(E431:R431),"N/A")</f>
        <v>10273533.3333333</v>
      </c>
      <c r="T431" s="424"/>
      <c r="U431" s="538" cm="1">
        <f t="array" ref="U431">IF(B431&gt;0,'Allocation OH and Target 2026'!$E$27,"N/A")</f>
        <v>2134447.30345641</v>
      </c>
      <c r="V431" s="538" cm="1">
        <f t="array" ref="V431">IF(B431&gt;0,'Allocation OH and Target 2026'!$E$28,"N/A")</f>
        <v>200042.323056976</v>
      </c>
      <c r="W431" s="538" cm="1">
        <f t="array" ref="W431">IF(B431&gt;0,VLOOKUP(C416,'Allocation OH and Target 2026'!$C$3:$T$23,17,0),"N/A")</f>
        <v>0</v>
      </c>
      <c r="X431" s="538" cm="1">
        <f t="array" ref="X431">IF(B431&gt;0,VLOOKUP(C416,'Allocation OH and Target 2026'!$C$3:$T$23,18,0),"N/A")</f>
        <v>0</v>
      </c>
      <c r="Y431" s="538" cm="1">
        <f t="array" ref="Y431">_xlfn.IFERROR(B431*(V431+X431),"N/A")</f>
        <v>2600550.19974069</v>
      </c>
      <c r="Z431" s="424"/>
      <c r="AA431" s="538" cm="1">
        <f t="array" ref="AA431">_xlfn.IFERROR(Y431+S431,"N/A")</f>
        <v>12874083.533074</v>
      </c>
      <c r="AB431" s="538" cm="1">
        <f t="array" ref="AB431">_xlfn.IFERROR(AA431*0.5%,"N/A")</f>
        <v>64370.41766537</v>
      </c>
      <c r="AC431" s="538" cm="1">
        <f t="array" ref="AC431">_xlfn.IFERROR(AA431*25%,"N/A")</f>
        <v>3218520.8832685</v>
      </c>
      <c r="AD431" s="539" cm="1">
        <f t="array" ref="AD431">IF(B431&gt;0,SUM(AA431:AC431),"N/A")</f>
        <v>16156974.8340079</v>
      </c>
      <c r="AE431" s="538" cm="1">
        <f t="array" ref="AE431">_xlfn.IFERROR(AD431/B431,"N/A")</f>
        <v>1242844.21800061</v>
      </c>
      <c r="AF431" s="424"/>
      <c r="AG431" t="str" s="546" cm="1">
        <f t="array" ref="AG431">IF(B431/VLOOKUP(C416,'Boats Data Sheet 2026'!$C$3:$H$57,6,0)&gt;VLOOKUP(C416,'Allocation OH and Target 2026'!$C$3:$J$23,8,0),IF(SUM(AH418:AH430)=0,AE431,"N/A"),"N/A")</f>
        <v>N/A</v>
      </c>
      <c r="AH431" s="424" cm="1">
        <f t="array" ref="AH431">IF(AG431="N/A",0,1)</f>
        <v>0</v>
      </c>
      <c r="AI431" t="str" s="547" cm="1">
        <f t="array" ref="AI431">IF(B431/VLOOKUP(C416,'Boats Data Sheet 2026'!$C$3:$H$57,6,0)&gt;VLOOKUP(C416,'Allocation OH and Target 2026'!$C$3:$J$23,8,0),IF(SUM(AH418:AH430)=0,S431/B431,"N/A"),"N/A")</f>
        <v>N/A</v>
      </c>
      <c r="AJ431" s="424" cm="1">
        <f t="array" ref="AJ431">IF(AI431="N/A",0,1)</f>
        <v>0</v>
      </c>
      <c r="AK431" t="str" s="527" cm="1">
        <f t="array" ref="AK431">IF(SUM($AG$120:$AG$137)*B431&lt;SUM(AA431:AB431),"NO GO","GO")</f>
        <v>GO</v>
      </c>
      <c r="AL431" s="424"/>
      <c r="AM431" s="538"/>
      <c r="AN431" s="538"/>
      <c r="AO431" s="538"/>
      <c r="AP431" s="542"/>
      <c r="AQ431" s="543" cm="1">
        <f t="array" ref="AQ431">B431</f>
        <v>13</v>
      </c>
      <c r="AR431" s="18"/>
    </row>
    <row r="432" ht="16" customHeight="1">
      <c r="A432" s="12"/>
      <c r="B432" s="544" cm="1">
        <f t="array" ref="B432">IF(B431=0,0,IF(B431&lt;VLOOKUP(C416,'Boats Data Sheet 2026'!$C$3:$H$57,6,0),B431+1,0))</f>
        <v>0</v>
      </c>
      <c r="C432" t="str" s="547" cm="1">
        <f t="array" ref="C432">IF(B432&gt;0,IF(VLOOKUP(C416,'Boats Data Sheet 2026'!$C$3:$J$57,8,0)="N/A",0,VLOOKUP(C416,'Boats Data Sheet 2026'!$C$3:$J$57,8,0)),"N/A")</f>
        <v>N/A</v>
      </c>
      <c r="D432" t="str" s="547" cm="1">
        <f t="array" ref="D432">IF(B432&gt;7,2,IF(B432=0,"N/A",1))</f>
        <v>N/A</v>
      </c>
      <c r="E432" t="str" s="547" cm="1">
        <f t="array" ref="E432">_xlfn.IFERROR(SUM('Direct Costs 2026'!$C$4:$C$5)*D432,"N/A")</f>
        <v>N/A</v>
      </c>
      <c r="F432" s="538" cm="1">
        <f t="array" ref="F432">_xlfn.IFERROR('Direct Costs 2026'!$C$43*B432,"N/A")</f>
        <v>0</v>
      </c>
      <c r="G432" t="str" s="547" cm="1">
        <f t="array" ref="G432">IF(B432&gt;0,'Direct Costs 2026'!$C$25,"N/A")</f>
        <v>N/A</v>
      </c>
      <c r="H432" t="str" s="547" cm="1">
        <f t="array" ref="H432">IF(B432&gt;0,'Direct Costs 2026'!$C$19+'Direct Costs 2026'!$C$18*B432,"N/A")</f>
        <v>N/A</v>
      </c>
      <c r="I432" t="str" s="547" cm="1">
        <f t="array" ref="I432">IF(B432&gt;0,SUM('Direct Costs 2026'!$C$20:$C$21),"N/A")</f>
        <v>N/A</v>
      </c>
      <c r="J432" s="538">
        <v>0</v>
      </c>
      <c r="K432" t="str" s="547" cm="1">
        <f t="array" ref="K432">_xlfn.IFERROR((IF(B432&gt;0,'Direct Costs 2026'!$C$15+'Direct Costs 2026'!$C$14,"N/A")),"N/A")</f>
        <v>N/A</v>
      </c>
      <c r="L432" t="str" s="547" cm="1">
        <f t="array" ref="L432">IF(B432&gt;0,'Direct Costs 2026'!$C$26,"N/A")</f>
        <v>N/A</v>
      </c>
      <c r="M432" t="str" s="547" cm="1">
        <f t="array" ref="M432">IF(B432&gt;0,'Direct Costs 2026'!$C$23,"N/A")</f>
        <v>N/A</v>
      </c>
      <c r="N432" t="str" s="547" cm="1">
        <f t="array" ref="N432">IF(B432&gt;0,'Direct Costs 2026'!$C$44*B432,"N/A")</f>
        <v>N/A</v>
      </c>
      <c r="O432" t="str" s="547" cm="1">
        <f t="array" ref="O432">IF(B432&gt;0,_xlfn.IFERROR(VLOOKUP(C416,'Boats Data Sheet 2026'!$C$3:$I$57,7,0)*'Direct Costs 2026'!$C$36,"N/A"),"N/A")</f>
        <v>N/A</v>
      </c>
      <c r="P432" t="str" s="547" cm="1">
        <f t="array" ref="P432">IF(B432&gt;0,IF(OR(VLOOKUP(C416,'Boats Data Sheet 2026'!$C$3:$F$57,4,0)="Own",VLOOKUP(C416,'Boats Data Sheet 2026'!$C$3:$F$57,4,0)="Management"),('Direct Costs 2026'!$C$37+'Direct Costs 2026'!$C$39),"N/A"),"N/A")</f>
        <v>N/A</v>
      </c>
      <c r="Q432" t="str" s="547" cm="1">
        <f t="array" ref="Q432">_xlfn.IFERROR(IF(B432&gt;5,IF(B432&gt;11,IF(B432&gt;15,4,3),2),IF(B432=0,"N/A",1))*SUM('Direct Costs 2026'!$C$67:$C$68),"N/A")</f>
        <v>N/A</v>
      </c>
      <c r="R432" t="str" s="547" cm="1">
        <f t="array" ref="R432">_xlfn.IFERROR('Direct Costs 2026'!$C$27*C432,"N/A")</f>
        <v>N/A</v>
      </c>
      <c r="S432" t="str" s="547" cm="1">
        <f t="array" ref="S432">_xlfn.IFERROR(C432+SUM(E432:R432),"N/A")</f>
        <v>N/A</v>
      </c>
      <c r="T432" s="424"/>
      <c r="U432" t="str" s="547" cm="1">
        <f t="array" ref="U432">IF(B432&gt;0,'Allocation OH and Target 2026'!$E$27,"N/A")</f>
        <v>N/A</v>
      </c>
      <c r="V432" t="str" s="547" cm="1">
        <f t="array" ref="V432">IF(B432&gt;0,'Allocation OH and Target 2026'!$E$28,"N/A")</f>
        <v>N/A</v>
      </c>
      <c r="W432" t="str" s="547" cm="1">
        <f t="array" ref="W432">IF(B432&gt;0,VLOOKUP(C416,'Allocation OH and Target 2026'!$C$3:$T$23,17,0),"N/A")</f>
        <v>N/A</v>
      </c>
      <c r="X432" t="str" s="547" cm="1">
        <f t="array" ref="X432">IF(B432&gt;0,VLOOKUP(C416,'Allocation OH and Target 2026'!$C$3:$T$23,18,0),"N/A")</f>
        <v>N/A</v>
      </c>
      <c r="Y432" t="str" s="547" cm="1">
        <f t="array" ref="Y432">_xlfn.IFERROR(B432*(V432+X432),"N/A")</f>
        <v>N/A</v>
      </c>
      <c r="Z432" s="424"/>
      <c r="AA432" t="str" s="547" cm="1">
        <f t="array" ref="AA432">_xlfn.IFERROR(Y432+S432,"N/A")</f>
        <v>N/A</v>
      </c>
      <c r="AB432" t="str" s="547" cm="1">
        <f t="array" ref="AB432">_xlfn.IFERROR(AA432*0.5%,"N/A")</f>
        <v>N/A</v>
      </c>
      <c r="AC432" t="str" s="547" cm="1">
        <f t="array" ref="AC432">_xlfn.IFERROR(AA432*25%,"N/A")</f>
        <v>N/A</v>
      </c>
      <c r="AD432" t="str" s="546" cm="1">
        <f t="array" ref="AD432">IF(B432&gt;0,SUM(AA432:AC432),"N/A")</f>
        <v>N/A</v>
      </c>
      <c r="AE432" t="str" s="547" cm="1">
        <f t="array" ref="AE432">_xlfn.IFERROR(AD432/B432,"N/A")</f>
        <v>N/A</v>
      </c>
      <c r="AF432" s="424"/>
      <c r="AG432" t="str" s="546" cm="1">
        <f t="array" ref="AG432">IF(B432/VLOOKUP(C416,'Boats Data Sheet 2026'!$C$3:$H$57,6,0)&gt;VLOOKUP(C416,'Allocation OH and Target 2026'!$C$3:$J$23,8,0),IF(SUM(AH418:AH431)=0,AE432,"N/A"),"N/A")</f>
        <v>N/A</v>
      </c>
      <c r="AH432" s="424" cm="1">
        <f t="array" ref="AH432">IF(AG432="N/A",0,1)</f>
        <v>0</v>
      </c>
      <c r="AI432" t="str" s="547" cm="1">
        <f t="array" ref="AI432">IF(B432/VLOOKUP(C416,'Boats Data Sheet 2026'!$C$3:$H$57,6,0)&gt;VLOOKUP(C416,'Allocation OH and Target 2026'!$C$3:$J$23,8,0),IF(SUM(AH418:AH431)=0,S432/B432,"N/A"),"N/A")</f>
        <v>N/A</v>
      </c>
      <c r="AJ432" s="424" cm="1">
        <f t="array" ref="AJ432">IF(AI432="N/A",0,1)</f>
        <v>0</v>
      </c>
      <c r="AK432" t="str" s="527" cm="1">
        <f t="array" ref="AK432">IF(SUM($AG$120:$AG$137)*B432&lt;SUM(AA432:AB432),"NO GO","GO")</f>
        <v>GO</v>
      </c>
      <c r="AL432" s="424"/>
      <c r="AM432" s="538"/>
      <c r="AN432" s="538"/>
      <c r="AO432" s="538"/>
      <c r="AP432" s="542"/>
      <c r="AQ432" s="543" cm="1">
        <f t="array" ref="AQ432">B432</f>
        <v>0</v>
      </c>
      <c r="AR432" s="18"/>
    </row>
    <row r="433" ht="16" customHeight="1">
      <c r="A433" s="12"/>
      <c r="B433" s="544" cm="1">
        <f t="array" ref="B433">IF(B432=0,0,IF(B432&lt;VLOOKUP(C416,'Boats Data Sheet 2026'!$C$3:$H$57,6,0),B432+1,0))</f>
        <v>0</v>
      </c>
      <c r="C433" t="str" s="547" cm="1">
        <f t="array" ref="C433">IF(B433&gt;0,IF(VLOOKUP(C416,'Boats Data Sheet 2026'!$C$3:$J$57,8,0)="N/A",0,VLOOKUP(C416,'Boats Data Sheet 2026'!$C$3:$J$57,8,0)),"N/A")</f>
        <v>N/A</v>
      </c>
      <c r="D433" t="str" s="547" cm="1">
        <f t="array" ref="D433">IF(B433&gt;7,2,IF(B433=0,"N/A",1))</f>
        <v>N/A</v>
      </c>
      <c r="E433" t="str" s="547" cm="1">
        <f t="array" ref="E433">_xlfn.IFERROR(SUM('Direct Costs 2026'!$C$4:$C$5)*D433,"N/A")</f>
        <v>N/A</v>
      </c>
      <c r="F433" s="538" cm="1">
        <f t="array" ref="F433">_xlfn.IFERROR('Direct Costs 2026'!$C$43*B433,"N/A")</f>
        <v>0</v>
      </c>
      <c r="G433" t="str" s="547" cm="1">
        <f t="array" ref="G433">IF(B433&gt;0,'Direct Costs 2026'!$C$25,"N/A")</f>
        <v>N/A</v>
      </c>
      <c r="H433" t="str" s="547" cm="1">
        <f t="array" ref="H433">IF(B433&gt;0,'Direct Costs 2026'!$C$19+'Direct Costs 2026'!$C$18*B433,"N/A")</f>
        <v>N/A</v>
      </c>
      <c r="I433" t="str" s="547" cm="1">
        <f t="array" ref="I433">IF(B433&gt;0,SUM('Direct Costs 2026'!$C$20:$C$21),"N/A")</f>
        <v>N/A</v>
      </c>
      <c r="J433" s="538">
        <v>0</v>
      </c>
      <c r="K433" t="str" s="547" cm="1">
        <f t="array" ref="K433">_xlfn.IFERROR((IF(B433&gt;0,'Direct Costs 2026'!$C$15+'Direct Costs 2026'!$C$14,"N/A")),"N/A")</f>
        <v>N/A</v>
      </c>
      <c r="L433" t="str" s="547" cm="1">
        <f t="array" ref="L433">IF(B433&gt;0,'Direct Costs 2026'!$C$26,"N/A")</f>
        <v>N/A</v>
      </c>
      <c r="M433" t="str" s="547" cm="1">
        <f t="array" ref="M433">IF(B433&gt;0,'Direct Costs 2026'!$C$23,"N/A")</f>
        <v>N/A</v>
      </c>
      <c r="N433" t="str" s="547" cm="1">
        <f t="array" ref="N433">IF(B433&gt;0,'Direct Costs 2026'!$C$44*B433,"N/A")</f>
        <v>N/A</v>
      </c>
      <c r="O433" t="str" s="547" cm="1">
        <f t="array" ref="O433">IF(B433&gt;0,_xlfn.IFERROR(VLOOKUP(C416,'Boats Data Sheet 2026'!$C$3:$I$57,7,0)*'Direct Costs 2026'!$C$36,"N/A"),"N/A")</f>
        <v>N/A</v>
      </c>
      <c r="P433" t="str" s="547" cm="1">
        <f t="array" ref="P433">IF(B433&gt;0,IF(OR(VLOOKUP(C421,'Boats Data Sheet 2026'!$C$3:$F$57,4,0)="Own",VLOOKUP(C421,'Boats Data Sheet 2026'!$C$3:$F$57,4,0)="Management"),('Direct Costs 2026'!$C$37+'Direct Costs 2026'!$C$39),"N/A"),"N/A")</f>
        <v>N/A</v>
      </c>
      <c r="Q433" t="str" s="547" cm="1">
        <f t="array" ref="Q433">_xlfn.IFERROR(IF(B433&gt;5,IF(B433&gt;11,IF(B433&gt;15,4,3),2),IF(B433=0,"N/A",1))*SUM('Direct Costs 2026'!$C$67:$C$68),"N/A")</f>
        <v>N/A</v>
      </c>
      <c r="R433" t="str" s="547" cm="1">
        <f t="array" ref="R433">_xlfn.IFERROR('Direct Costs 2026'!$C$27*C433,"N/A")</f>
        <v>N/A</v>
      </c>
      <c r="S433" t="str" s="547" cm="1">
        <f t="array" ref="S433">_xlfn.IFERROR(C433+SUM(E433:R433),"N/A")</f>
        <v>N/A</v>
      </c>
      <c r="T433" s="424"/>
      <c r="U433" t="str" s="547" cm="1">
        <f t="array" ref="U433">IF(B433&gt;0,'Allocation OH and Target 2026'!$E$27,"N/A")</f>
        <v>N/A</v>
      </c>
      <c r="V433" t="str" s="547" cm="1">
        <f t="array" ref="V433">IF(B433&gt;0,'Allocation OH and Target 2026'!$E$28,"N/A")</f>
        <v>N/A</v>
      </c>
      <c r="W433" t="str" s="547" cm="1">
        <f t="array" ref="W433">IF(B433&gt;0,VLOOKUP(C416,'Allocation OH and Target 2026'!$C$3:$T$23,17,0),"N/A")</f>
        <v>N/A</v>
      </c>
      <c r="X433" t="str" s="547" cm="1">
        <f t="array" ref="X433">IF(B433&gt;0,VLOOKUP(C416,'Allocation OH and Target 2026'!$C$3:$T$23,18,0),"N/A")</f>
        <v>N/A</v>
      </c>
      <c r="Y433" t="str" s="547" cm="1">
        <f t="array" ref="Y433">_xlfn.IFERROR(V433*B433+X433,"N/A")</f>
        <v>N/A</v>
      </c>
      <c r="Z433" s="424"/>
      <c r="AA433" t="str" s="547" cm="1">
        <f t="array" ref="AA433">_xlfn.IFERROR(Y433+S433,"N/A")</f>
        <v>N/A</v>
      </c>
      <c r="AB433" t="str" s="547" cm="1">
        <f t="array" ref="AB433">_xlfn.IFERROR(AA433*0.5%,"N/A")</f>
        <v>N/A</v>
      </c>
      <c r="AC433" t="str" s="547" cm="1">
        <f t="array" ref="AC433">_xlfn.IFERROR(AA433*25%,"N/A")</f>
        <v>N/A</v>
      </c>
      <c r="AD433" t="str" s="546" cm="1">
        <f t="array" ref="AD433">IF(B433&gt;0,SUM(AA433:AC433),"N/A")</f>
        <v>N/A</v>
      </c>
      <c r="AE433" t="str" s="547" cm="1">
        <f t="array" ref="AE433">_xlfn.IFERROR(AD433/B433,"N/A")</f>
        <v>N/A</v>
      </c>
      <c r="AF433" s="424"/>
      <c r="AG433" t="str" s="546" cm="1">
        <f t="array" ref="AG433">IF(B433/VLOOKUP(C416,'Boats Data Sheet 2026'!$C$3:$H$57,6,0)&gt;VLOOKUP(C416,'Allocation OH and Target 2026'!$C$3:$J$23,8,0),IF(SUM(AH418:AH432)=0,AE433,"N/A"),"N/A")</f>
        <v>N/A</v>
      </c>
      <c r="AH433" s="424" cm="1">
        <f t="array" ref="AH433">IF(AG433="N/A",0,1)</f>
        <v>0</v>
      </c>
      <c r="AI433" t="str" s="547" cm="1">
        <f t="array" ref="AI433">IF(B433/VLOOKUP(C416,'Boats Data Sheet 2026'!$C$3:$H$57,6,0)&gt;VLOOKUP(C416,'Allocation OH and Target 2026'!$C$3:$J$23,8,0),IF(SUM(AH418:AH432)=0,S433/B433,"N/A"),"N/A")</f>
        <v>N/A</v>
      </c>
      <c r="AJ433" s="424" cm="1">
        <f t="array" ref="AJ433">IF(AI433="N/A",0,1)</f>
        <v>0</v>
      </c>
      <c r="AK433" t="str" s="527" cm="1">
        <f t="array" ref="AK433">IF(SUM($AG$120:$AG$137)*B433&lt;SUM(AA433:AB433),"NO GO","GO")</f>
        <v>GO</v>
      </c>
      <c r="AL433" s="424"/>
      <c r="AM433" s="538"/>
      <c r="AN433" s="538"/>
      <c r="AO433" s="538"/>
      <c r="AP433" s="542"/>
      <c r="AQ433" s="543" cm="1">
        <f t="array" ref="AQ433">B433</f>
        <v>0</v>
      </c>
      <c r="AR433" s="18"/>
    </row>
    <row r="434" ht="16" customHeight="1">
      <c r="A434" s="12"/>
      <c r="B434" s="544" cm="1">
        <f t="array" ref="B434">IF(B433=0,0,IF(B433&lt;VLOOKUP(C416,'Boats Data Sheet 2026'!$C$3:$H$57,6,0),B433+1,0))</f>
        <v>0</v>
      </c>
      <c r="C434" t="str" s="547" cm="1">
        <f t="array" ref="C434">IF(B434&gt;0,IF(VLOOKUP(C416,'Boats Data Sheet 2026'!$C$3:$J$57,8,0)="N/A",0,VLOOKUP(C416,'Boats Data Sheet 2026'!$C$3:$J$57,8,0)),"N/A")</f>
        <v>N/A</v>
      </c>
      <c r="D434" t="str" s="547" cm="1">
        <f t="array" ref="D434">IF(B434&gt;7,2,IF(B434=0,"N/A",1))</f>
        <v>N/A</v>
      </c>
      <c r="E434" t="str" s="547" cm="1">
        <f t="array" ref="E434">_xlfn.IFERROR(SUM('Direct Costs 2026'!$C$4:$C$5)*D434,"N/A")</f>
        <v>N/A</v>
      </c>
      <c r="F434" s="538" cm="1">
        <f t="array" ref="F434">_xlfn.IFERROR('Direct Costs 2026'!$C$43*B434,"N/A")</f>
        <v>0</v>
      </c>
      <c r="G434" t="str" s="547" cm="1">
        <f t="array" ref="G434">IF(B434&gt;0,'Direct Costs 2026'!$C$25,"N/A")</f>
        <v>N/A</v>
      </c>
      <c r="H434" t="str" s="547" cm="1">
        <f t="array" ref="H434">IF(B434&gt;0,'Direct Costs 2026'!$C$19+'Direct Costs 2026'!$C$18*B434,"N/A")</f>
        <v>N/A</v>
      </c>
      <c r="I434" t="str" s="547" cm="1">
        <f t="array" ref="I434">IF(B434&gt;0,SUM('Direct Costs 2026'!$C$20:$C$21),"N/A")</f>
        <v>N/A</v>
      </c>
      <c r="J434" s="538">
        <v>0</v>
      </c>
      <c r="K434" t="str" s="547" cm="1">
        <f t="array" ref="K434">_xlfn.IFERROR((IF(B434&gt;0,'Direct Costs 2026'!$C$15+'Direct Costs 2026'!$C$14,"N/A")),"N/A")</f>
        <v>N/A</v>
      </c>
      <c r="L434" t="str" s="547" cm="1">
        <f t="array" ref="L434">IF(B434&gt;0,'Direct Costs 2026'!$C$26,"N/A")</f>
        <v>N/A</v>
      </c>
      <c r="M434" t="str" s="547" cm="1">
        <f t="array" ref="M434">IF(B434&gt;0,'Direct Costs 2026'!$C$23,"N/A")</f>
        <v>N/A</v>
      </c>
      <c r="N434" t="str" s="547" cm="1">
        <f t="array" ref="N434">IF(B434&gt;0,'Direct Costs 2026'!$C$44*B434,"N/A")</f>
        <v>N/A</v>
      </c>
      <c r="O434" t="str" s="547" cm="1">
        <f t="array" ref="O434">IF(B434&gt;0,_xlfn.IFERROR(VLOOKUP(C416,'Boats Data Sheet 2026'!$C$3:$I$57,7,0)*'Direct Costs 2026'!$C$36,"N/A"),"N/A")</f>
        <v>N/A</v>
      </c>
      <c r="P434" t="str" s="547" cm="1">
        <f t="array" ref="P434">IF(B434&gt;0,IF(OR(VLOOKUP(C422,'Boats Data Sheet 2026'!$C$3:$F$57,4,0)="Own",VLOOKUP(C422,'Boats Data Sheet 2026'!$C$3:$F$57,4,0)="Management"),('Direct Costs 2026'!$C$37+'Direct Costs 2026'!$C$39),"N/A"),"N/A")</f>
        <v>N/A</v>
      </c>
      <c r="Q434" t="str" s="547" cm="1">
        <f t="array" ref="Q434">_xlfn.IFERROR(IF(B434&gt;5,IF(B434&gt;11,IF(B434&gt;15,4,3),2),IF(B434=0,"N/A",1))*SUM('Direct Costs 2026'!$C$67:$C$68),"N/A")</f>
        <v>N/A</v>
      </c>
      <c r="R434" t="str" s="547" cm="1">
        <f t="array" ref="R434">_xlfn.IFERROR('Direct Costs 2026'!$C$27*C434,"N/A")</f>
        <v>N/A</v>
      </c>
      <c r="S434" t="str" s="547" cm="1">
        <f t="array" ref="S434">_xlfn.IFERROR(C434+SUM(E434:R434),"N/A")</f>
        <v>N/A</v>
      </c>
      <c r="T434" s="424"/>
      <c r="U434" t="str" s="547" cm="1">
        <f t="array" ref="U434">IF(B434&gt;0,'Allocation OH and Target 2026'!$E$27,"N/A")</f>
        <v>N/A</v>
      </c>
      <c r="V434" t="str" s="547" cm="1">
        <f t="array" ref="V434">IF(B434&gt;0,'Allocation OH and Target 2026'!$E$28,"N/A")</f>
        <v>N/A</v>
      </c>
      <c r="W434" t="str" s="547" cm="1">
        <f t="array" ref="W434">IF(B434&gt;0,VLOOKUP(C416,'Allocation OH and Target 2026'!$C$3:$T$23,17,0),"N/A")</f>
        <v>N/A</v>
      </c>
      <c r="X434" t="str" s="547" cm="1">
        <f t="array" ref="X434">IF(B434&gt;0,VLOOKUP(C416,'Allocation OH and Target 2026'!$C$3:$T$23,18,0),"N/A")</f>
        <v>N/A</v>
      </c>
      <c r="Y434" t="str" s="547" cm="1">
        <f t="array" ref="Y434">_xlfn.IFERROR(V434*B434+X434,"N/A")</f>
        <v>N/A</v>
      </c>
      <c r="Z434" s="424"/>
      <c r="AA434" t="str" s="547" cm="1">
        <f t="array" ref="AA434">_xlfn.IFERROR(Y434+S434,"N/A")</f>
        <v>N/A</v>
      </c>
      <c r="AB434" t="str" s="547" cm="1">
        <f t="array" ref="AB434">_xlfn.IFERROR(AA434*0.5%,"N/A")</f>
        <v>N/A</v>
      </c>
      <c r="AC434" t="str" s="547" cm="1">
        <f t="array" ref="AC434">_xlfn.IFERROR(AA434*25%,"N/A")</f>
        <v>N/A</v>
      </c>
      <c r="AD434" t="str" s="546" cm="1">
        <f t="array" ref="AD434">IF(B434&gt;0,SUM(AA434:AC434),"N/A")</f>
        <v>N/A</v>
      </c>
      <c r="AE434" t="str" s="547" cm="1">
        <f t="array" ref="AE434">_xlfn.IFERROR(AD434/B434,"N/A")</f>
        <v>N/A</v>
      </c>
      <c r="AF434" s="424"/>
      <c r="AG434" t="str" s="546" cm="1">
        <f t="array" ref="AG434">IF(B434/VLOOKUP(C416,'Boats Data Sheet 2026'!$C$3:$H$57,6,0)&gt;VLOOKUP(C416,'Allocation OH and Target 2026'!$C$3:$J$23,8,0),IF(SUM(AH418:AH433)=0,AE434,"N/A"),"N/A")</f>
        <v>N/A</v>
      </c>
      <c r="AH434" s="424" cm="1">
        <f t="array" ref="AH434">IF(AG434="N/A",0,1)</f>
        <v>0</v>
      </c>
      <c r="AI434" t="str" s="547" cm="1">
        <f t="array" ref="AI434">IF(B434/VLOOKUP(C416,'Boats Data Sheet 2026'!$C$3:$H$57,6,0)&gt;VLOOKUP(C416,'Allocation OH and Target 2026'!$C$3:$J$23,8,0),IF(SUM(AH418:AH433)=0,S434/B434,"N/A"),"N/A")</f>
        <v>N/A</v>
      </c>
      <c r="AJ434" s="424" cm="1">
        <f t="array" ref="AJ434">IF(AI434="N/A",0,1)</f>
        <v>0</v>
      </c>
      <c r="AK434" t="str" s="527" cm="1">
        <f t="array" ref="AK434">IF(SUM($AG$120:$AG$137)*B434&lt;SUM(AA434:AB434),"NO GO","GO")</f>
        <v>GO</v>
      </c>
      <c r="AL434" s="424"/>
      <c r="AM434" s="538"/>
      <c r="AN434" s="538"/>
      <c r="AO434" s="538"/>
      <c r="AP434" s="542"/>
      <c r="AQ434" s="543" cm="1">
        <f t="array" ref="AQ434">B434</f>
        <v>0</v>
      </c>
      <c r="AR434" s="18"/>
    </row>
    <row r="435" ht="16" customHeight="1">
      <c r="A435" s="12"/>
      <c r="B435" s="544" cm="1">
        <f t="array" ref="B435">IF(B434=0,0,IF(B434&lt;VLOOKUP(C416,'Boats Data Sheet 2026'!$C$3:$H$57,6,0),B434+1,0))</f>
        <v>0</v>
      </c>
      <c r="C435" t="str" s="547" cm="1">
        <f t="array" ref="C435">IF(B435&gt;0,IF(VLOOKUP(C416,'Boats Data Sheet 2026'!$C$3:$J$57,8,0)="N/A",0,VLOOKUP(C416,'Boats Data Sheet 2026'!$C$3:$J$57,8,0)),"N/A")</f>
        <v>N/A</v>
      </c>
      <c r="D435" t="str" s="547" cm="1">
        <f t="array" ref="D435">IF(B435&gt;7,2,IF(B435=0,"N/A",1))</f>
        <v>N/A</v>
      </c>
      <c r="E435" t="str" s="547" cm="1">
        <f t="array" ref="E435">_xlfn.IFERROR(SUM('Direct Costs 2026'!$C$4:$C$5)*D435,"N/A")</f>
        <v>N/A</v>
      </c>
      <c r="F435" s="538" cm="1">
        <f t="array" ref="F435">_xlfn.IFERROR('Direct Costs 2026'!$C$43*B435,"N/A")</f>
        <v>0</v>
      </c>
      <c r="G435" t="str" s="547" cm="1">
        <f t="array" ref="G435">IF(B435&gt;0,'Direct Costs 2026'!$C$25,"N/A")</f>
        <v>N/A</v>
      </c>
      <c r="H435" t="str" s="547" cm="1">
        <f t="array" ref="H435">IF(B435&gt;0,'Direct Costs 2026'!$C$19+'Direct Costs 2026'!$C$18*B435,"N/A")</f>
        <v>N/A</v>
      </c>
      <c r="I435" t="str" s="547" cm="1">
        <f t="array" ref="I435">IF(B435&gt;0,SUM('Direct Costs 2026'!$C$20:$C$21),"N/A")</f>
        <v>N/A</v>
      </c>
      <c r="J435" s="538">
        <v>0</v>
      </c>
      <c r="K435" t="str" s="547" cm="1">
        <f t="array" ref="K435">_xlfn.IFERROR((IF(B435&gt;0,'Direct Costs 2026'!$C$15+'Direct Costs 2026'!$C$14,"N/A")),"N/A")</f>
        <v>N/A</v>
      </c>
      <c r="L435" t="str" s="547" cm="1">
        <f t="array" ref="L435">IF(B435&gt;0,'Direct Costs 2026'!$C$26,"N/A")</f>
        <v>N/A</v>
      </c>
      <c r="M435" t="str" s="547" cm="1">
        <f t="array" ref="M435">IF(B435&gt;0,'Direct Costs 2026'!$C$23,"N/A")</f>
        <v>N/A</v>
      </c>
      <c r="N435" t="str" s="547" cm="1">
        <f t="array" ref="N435">IF(B435&gt;0,'Direct Costs 2026'!$C$44*B435,"N/A")</f>
        <v>N/A</v>
      </c>
      <c r="O435" t="str" s="547" cm="1">
        <f t="array" ref="O435">IF(B435&gt;0,_xlfn.IFERROR(VLOOKUP(C416,'Boats Data Sheet 2026'!$C$3:$I$57,7,0)*'Direct Costs 2026'!$C$36,"N/A"),"N/A")</f>
        <v>N/A</v>
      </c>
      <c r="P435" t="str" s="547" cm="1">
        <f t="array" ref="P435">IF(B435&gt;0,IF(OR(VLOOKUP(C423,'Boats Data Sheet 2026'!$C$3:$F$57,4,0)="Own",VLOOKUP(C423,'Boats Data Sheet 2026'!$C$3:$F$57,4,0)="Management"),('Direct Costs 2026'!$C$37+'Direct Costs 2026'!$C$39),"N/A"),"N/A")</f>
        <v>N/A</v>
      </c>
      <c r="Q435" t="str" s="547" cm="1">
        <f t="array" ref="Q435">_xlfn.IFERROR(IF(B435&gt;5,IF(B435&gt;11,IF(B435&gt;15,4,3),2),IF(B435=0,"N/A",1))*SUM('Direct Costs 2026'!$C$67:$C$68),"N/A")</f>
        <v>N/A</v>
      </c>
      <c r="R435" t="str" s="547" cm="1">
        <f t="array" ref="R435">_xlfn.IFERROR('Direct Costs 2026'!$C$27*C435,"N/A")</f>
        <v>N/A</v>
      </c>
      <c r="S435" t="str" s="547" cm="1">
        <f t="array" ref="S435">_xlfn.IFERROR(C435+SUM(E435:R435),"N/A")</f>
        <v>N/A</v>
      </c>
      <c r="T435" s="424"/>
      <c r="U435" t="str" s="547" cm="1">
        <f t="array" ref="U435">IF(B435&gt;0,'Allocation OH and Target 2026'!$E$27,"N/A")</f>
        <v>N/A</v>
      </c>
      <c r="V435" t="str" s="547" cm="1">
        <f t="array" ref="V435">IF(B435&gt;0,'Allocation OH and Target 2026'!$E$28,"N/A")</f>
        <v>N/A</v>
      </c>
      <c r="W435" t="str" s="547" cm="1">
        <f t="array" ref="W435">IF(B435&gt;0,VLOOKUP(C416,'Allocation OH and Target 2026'!$C$3:$T$23,17,0),"N/A")</f>
        <v>N/A</v>
      </c>
      <c r="X435" t="str" s="547" cm="1">
        <f t="array" ref="X435">IF(B435&gt;0,VLOOKUP(C416,'Allocation OH and Target 2026'!$C$3:$T$23,18,0),"N/A")</f>
        <v>N/A</v>
      </c>
      <c r="Y435" t="str" s="547" cm="1">
        <f t="array" ref="Y435">_xlfn.IFERROR(V435*B435+X435,"N/A")</f>
        <v>N/A</v>
      </c>
      <c r="Z435" s="424"/>
      <c r="AA435" t="str" s="547" cm="1">
        <f t="array" ref="AA435">_xlfn.IFERROR(Y435+S435,"N/A")</f>
        <v>N/A</v>
      </c>
      <c r="AB435" t="str" s="547" cm="1">
        <f t="array" ref="AB435">_xlfn.IFERROR(AA435*0.5%,"N/A")</f>
        <v>N/A</v>
      </c>
      <c r="AC435" t="str" s="547" cm="1">
        <f t="array" ref="AC435">_xlfn.IFERROR(AA435*25%,"N/A")</f>
        <v>N/A</v>
      </c>
      <c r="AD435" t="str" s="546" cm="1">
        <f t="array" ref="AD435">IF(B435&gt;0,SUM(AA435:AC435),"N/A")</f>
        <v>N/A</v>
      </c>
      <c r="AE435" t="str" s="547" cm="1">
        <f t="array" ref="AE435">_xlfn.IFERROR(AD435/B435,"N/A")</f>
        <v>N/A</v>
      </c>
      <c r="AF435" s="424"/>
      <c r="AG435" t="str" s="546" cm="1">
        <f t="array" ref="AG435">IF(B435/VLOOKUP(C416,'Boats Data Sheet 2026'!$C$3:$H$57,6,0)&gt;VLOOKUP(C416,'Allocation OH and Target 2026'!$C$3:$J$23,8,0),IF(SUM(AH418:AH434)=0,AE435,"N/A"),"N/A")</f>
        <v>N/A</v>
      </c>
      <c r="AH435" s="424" cm="1">
        <f t="array" ref="AH435">IF(AG435="N/A",0,1)</f>
        <v>0</v>
      </c>
      <c r="AI435" t="str" s="547" cm="1">
        <f t="array" ref="AI435">IF(B435/VLOOKUP(C416,'Boats Data Sheet 2026'!$C$3:$H$57,6,0)&gt;VLOOKUP(C416,'Allocation OH and Target 2026'!$C$3:$J$23,8,0),IF(SUM(AH418:AH434)=0,S435/B435,"N/A"),"N/A")</f>
        <v>N/A</v>
      </c>
      <c r="AJ435" s="424" cm="1">
        <f t="array" ref="AJ435">IF(AI435="N/A",0,1)</f>
        <v>0</v>
      </c>
      <c r="AK435" t="str" s="527" cm="1">
        <f t="array" ref="AK435">IF(SUM($AG$120:$AG$137)*B435&lt;SUM(AA435:AB435),"NO GO","GO")</f>
        <v>GO</v>
      </c>
      <c r="AL435" s="424"/>
      <c r="AM435" s="538"/>
      <c r="AN435" s="538"/>
      <c r="AO435" s="538"/>
      <c r="AP435" s="542"/>
      <c r="AQ435" s="543" cm="1">
        <f t="array" ref="AQ435">B435</f>
        <v>0</v>
      </c>
      <c r="AR435" s="18"/>
    </row>
    <row r="436" ht="15.5" customHeight="1">
      <c r="A436" s="570"/>
      <c r="B436" s="550" cm="1">
        <f t="array" ref="B436">IF(B435=0,0,IF(B435&lt;VLOOKUP(C416,'Boats Data Sheet 2026'!$C$3:$H$57,6,0),B435+1,0))</f>
        <v>0</v>
      </c>
      <c r="C436" t="str" s="551" cm="1">
        <f t="array" ref="C436">IF(B436&gt;0,IF(VLOOKUP(C416,'Boats Data Sheet 2026'!$C$3:$J$57,8,0)="N/A",0,VLOOKUP(C416,'Boats Data Sheet 2026'!$C$3:$J$57,8,0)),"N/A")</f>
        <v>N/A</v>
      </c>
      <c r="D436" t="str" s="551" cm="1">
        <f t="array" ref="D436">IF(B436&gt;7,2,IF(B436=0,"N/A",1))</f>
        <v>N/A</v>
      </c>
      <c r="E436" t="str" s="551" cm="1">
        <f t="array" ref="E436">_xlfn.IFERROR(SUM('Direct Costs 2026'!$C$4:$C$5)*D436,"N/A")</f>
        <v>N/A</v>
      </c>
      <c r="F436" s="552" cm="1">
        <f t="array" ref="F436">_xlfn.IFERROR('Direct Costs 2026'!$C$43*B436,"N/A")</f>
        <v>0</v>
      </c>
      <c r="G436" t="str" s="551" cm="1">
        <f t="array" ref="G436">IF(B436&gt;0,'Direct Costs 2026'!$C$25,"N/A")</f>
        <v>N/A</v>
      </c>
      <c r="H436" t="str" s="551" cm="1">
        <f t="array" ref="H436">IF(B436&gt;0,'Direct Costs 2026'!$C$19+'Direct Costs 2026'!$C$18*B436,"N/A")</f>
        <v>N/A</v>
      </c>
      <c r="I436" t="str" s="551" cm="1">
        <f t="array" ref="I436">IF(B436&gt;0,SUM('Direct Costs 2026'!$C$20:$C$21),"N/A")</f>
        <v>N/A</v>
      </c>
      <c r="J436" s="552">
        <v>0</v>
      </c>
      <c r="K436" t="str" s="551" cm="1">
        <f t="array" ref="K436">_xlfn.IFERROR((IF(B436&gt;0,'Direct Costs 2026'!$C$15+'Direct Costs 2026'!$C$14,"N/A")),"N/A")</f>
        <v>N/A</v>
      </c>
      <c r="L436" t="str" s="551" cm="1">
        <f t="array" ref="L436">IF(B436&gt;0,'Direct Costs 2026'!$C$26,"N/A")</f>
        <v>N/A</v>
      </c>
      <c r="M436" t="str" s="551" cm="1">
        <f t="array" ref="M436">IF(B436&gt;0,'Direct Costs 2026'!$C$23,"N/A")</f>
        <v>N/A</v>
      </c>
      <c r="N436" t="str" s="551" cm="1">
        <f t="array" ref="N436">IF(B436&gt;0,'Direct Costs 2026'!$C$44*B436,"N/A")</f>
        <v>N/A</v>
      </c>
      <c r="O436" t="str" s="551" cm="1">
        <f t="array" ref="O436">IF(B436&gt;0,_xlfn.IFERROR(VLOOKUP(C416,'Boats Data Sheet 2026'!$C$3:$I$57,7,0)*'Direct Costs 2026'!$C$36,"N/A"),"N/A")</f>
        <v>N/A</v>
      </c>
      <c r="P436" t="str" s="551" cm="1">
        <f t="array" ref="P436">IF(B436&gt;0,IF(OR(VLOOKUP(C424,'Boats Data Sheet 2026'!$C$3:$F$57,4,0)="Own",VLOOKUP(C424,'Boats Data Sheet 2026'!$C$3:$F$57,4,0)="Management"),('Direct Costs 2026'!$C$37+'Direct Costs 2026'!$C$39),"N/A"),"N/A")</f>
        <v>N/A</v>
      </c>
      <c r="Q436" t="str" s="551" cm="1">
        <f t="array" ref="Q436">_xlfn.IFERROR(IF(B436&gt;5,IF(B436&gt;11,IF(B436&gt;15,4,3),2),IF(B436=0,"N/A",1))*SUM('Direct Costs 2026'!$C$67:$C$68),"N/A")</f>
        <v>N/A</v>
      </c>
      <c r="R436" t="str" s="551" cm="1">
        <f t="array" ref="R436">_xlfn.IFERROR('Direct Costs 2026'!$C$27*C436,"N/A")</f>
        <v>N/A</v>
      </c>
      <c r="S436" t="str" s="551" cm="1">
        <f t="array" ref="S436">_xlfn.IFERROR(C436+SUM(E436:R436),"N/A")</f>
        <v>N/A</v>
      </c>
      <c r="T436" s="435"/>
      <c r="U436" t="str" s="551" cm="1">
        <f t="array" ref="U436">IF(B436&gt;0,'Allocation OH and Target 2026'!$E$27,"N/A")</f>
        <v>N/A</v>
      </c>
      <c r="V436" t="str" s="551" cm="1">
        <f t="array" ref="V436">IF(B436&gt;0,'Allocation OH and Target 2026'!$E$28,"N/A")</f>
        <v>N/A</v>
      </c>
      <c r="W436" t="str" s="551" cm="1">
        <f t="array" ref="W436">IF(B436&gt;0,VLOOKUP(C416,'Allocation OH and Target 2026'!$C$3:$T$23,17,0),"N/A")</f>
        <v>N/A</v>
      </c>
      <c r="X436" t="str" s="551" cm="1">
        <f t="array" ref="X436">IF(B436&gt;0,VLOOKUP(C416,'Allocation OH and Target 2026'!$C$3:$T$23,18,0),"N/A")</f>
        <v>N/A</v>
      </c>
      <c r="Y436" t="str" s="551" cm="1">
        <f t="array" ref="Y436">_xlfn.IFERROR(V436*B436+X436,"N/A")</f>
        <v>N/A</v>
      </c>
      <c r="Z436" s="435"/>
      <c r="AA436" t="str" s="551" cm="1">
        <f t="array" ref="AA436">_xlfn.IFERROR(Y436+S436,"N/A")</f>
        <v>N/A</v>
      </c>
      <c r="AB436" t="str" s="551" cm="1">
        <f t="array" ref="AB436">_xlfn.IFERROR(AA436*0.5%,"N/A")</f>
        <v>N/A</v>
      </c>
      <c r="AC436" t="str" s="551" cm="1">
        <f t="array" ref="AC436">_xlfn.IFERROR(AA436*25%,"N/A")</f>
        <v>N/A</v>
      </c>
      <c r="AD436" t="str" s="553" cm="1">
        <f t="array" ref="AD436">IF(B436&gt;0,SUM(AA436:AC436),"N/A")</f>
        <v>N/A</v>
      </c>
      <c r="AE436" t="str" s="551" cm="1">
        <f t="array" ref="AE436">_xlfn.IFERROR(AD436/B436,"N/A")</f>
        <v>N/A</v>
      </c>
      <c r="AF436" s="435"/>
      <c r="AG436" t="str" s="553" cm="1">
        <f t="array" ref="AG436">IF(B436/VLOOKUP(C416,'Boats Data Sheet 2026'!$C$3:$H$57,6,0)&gt;VLOOKUP(C416,'Allocation OH and Target 2026'!$C$3:$J$23,8,0),IF(SUM(AH418:AH435)=0,AE436,"N/A"),"N/A")</f>
        <v>N/A</v>
      </c>
      <c r="AH436" s="435" cm="1">
        <f t="array" ref="AH436">IF(AG436="N/A",0,1)</f>
        <v>0</v>
      </c>
      <c r="AI436" t="str" s="551" cm="1">
        <f t="array" ref="AI436">IF(B436/VLOOKUP(C416,'Boats Data Sheet 2026'!$C$3:$H$57,6,0)&gt;VLOOKUP(C416,'Allocation OH and Target 2026'!$C$3:$J$23,8,0),IF(SUM(AH418:AH435)=0,S436/B436,"N/A"),"N/A")</f>
        <v>N/A</v>
      </c>
      <c r="AJ436" s="435" cm="1">
        <f t="array" ref="AJ436">IF(AI436="N/A",0,1)</f>
        <v>0</v>
      </c>
      <c r="AK436" t="str" s="554" cm="1">
        <f t="array" ref="AK436">IF(SUM($AG$120:$AG$137)*B436&lt;SUM(AA436:AB436),"NO GO","GO")</f>
        <v>GO</v>
      </c>
      <c r="AL436" s="435"/>
      <c r="AM436" s="552"/>
      <c r="AN436" s="552"/>
      <c r="AO436" s="552"/>
      <c r="AP436" s="555"/>
      <c r="AQ436" s="571" cm="1">
        <f t="array" ref="AQ436">B436</f>
        <v>0</v>
      </c>
      <c r="AR436" s="195"/>
    </row>
  </sheetData>
  <mergeCells count="57">
    <mergeCell ref="C417:S417"/>
    <mergeCell ref="U417:Y417"/>
    <mergeCell ref="AA417:AE417"/>
    <mergeCell ref="C371:S371"/>
    <mergeCell ref="U371:Y371"/>
    <mergeCell ref="AA371:AE371"/>
    <mergeCell ref="C394:S394"/>
    <mergeCell ref="U394:Y394"/>
    <mergeCell ref="AA394:AE394"/>
    <mergeCell ref="C348:S348"/>
    <mergeCell ref="U348:Y348"/>
    <mergeCell ref="AA348:AE348"/>
    <mergeCell ref="C302:S302"/>
    <mergeCell ref="U302:Y302"/>
    <mergeCell ref="AA302:AE302"/>
    <mergeCell ref="C325:S325"/>
    <mergeCell ref="U325:Y325"/>
    <mergeCell ref="AA325:AE325"/>
    <mergeCell ref="C256:S256"/>
    <mergeCell ref="U256:Y256"/>
    <mergeCell ref="AA256:AE256"/>
    <mergeCell ref="C279:S279"/>
    <mergeCell ref="U279:Y279"/>
    <mergeCell ref="AA279:AE279"/>
    <mergeCell ref="C210:S210"/>
    <mergeCell ref="U210:Y210"/>
    <mergeCell ref="AA210:AE210"/>
    <mergeCell ref="C233:S233"/>
    <mergeCell ref="U233:Y233"/>
    <mergeCell ref="AA233:AE233"/>
    <mergeCell ref="C3:S3"/>
    <mergeCell ref="U3:Y3"/>
    <mergeCell ref="AA3:AE3"/>
    <mergeCell ref="C26:S26"/>
    <mergeCell ref="U26:Y26"/>
    <mergeCell ref="AA26:AE26"/>
    <mergeCell ref="C141:S141"/>
    <mergeCell ref="U141:Y141"/>
    <mergeCell ref="AA141:AE141"/>
    <mergeCell ref="C49:S49"/>
    <mergeCell ref="U49:Y49"/>
    <mergeCell ref="AA49:AE49"/>
    <mergeCell ref="C118:S118"/>
    <mergeCell ref="U118:Y118"/>
    <mergeCell ref="AA118:AE118"/>
    <mergeCell ref="C72:S72"/>
    <mergeCell ref="U72:Y72"/>
    <mergeCell ref="AA72:AE72"/>
    <mergeCell ref="C95:S95"/>
    <mergeCell ref="U95:Y95"/>
    <mergeCell ref="AA95:AE95"/>
    <mergeCell ref="C187:S187"/>
    <mergeCell ref="U187:Y187"/>
    <mergeCell ref="AA187:AE187"/>
    <mergeCell ref="C164:S164"/>
    <mergeCell ref="U164:Y164"/>
    <mergeCell ref="AA164:AE164"/>
  </mergeCells>
  <conditionalFormatting sqref="AK5:AK22 AK28:AK45 AK51:AK68 AK74:AK91 AK97:AK114 AK120:AK137 AK143:AK160 AK166:AK183 AK189:AK206 AK212:AK229 AK235:AK252 AK258:AK275 AK281:AK298 AK304:AK321 AK327:AK344 AK350:AK367 AK373:AK390 AK396:AK413 AK419:AK436">
    <cfRule type="cellIs" dxfId="3" priority="1" operator="equal" stopIfTrue="1">
      <formula>"NO GO"</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AS183"/>
  <sheetViews>
    <sheetView workbookViewId="0" showGridLines="0" defaultGridColor="1"/>
  </sheetViews>
  <sheetFormatPr defaultColWidth="8.83333" defaultRowHeight="15" customHeight="1" outlineLevelRow="0" outlineLevelCol="0"/>
  <cols>
    <col min="1" max="1" width="3.5" style="572" customWidth="1"/>
    <col min="2" max="2" width="9.5" style="572" customWidth="1"/>
    <col min="3" max="3" width="14" style="572" customWidth="1"/>
    <col min="4" max="4" width="8" style="572" customWidth="1"/>
    <col min="5" max="5" width="14" style="572" customWidth="1"/>
    <col min="6" max="6" width="12.1719" style="572" customWidth="1"/>
    <col min="7" max="9" width="11.8516" style="572" customWidth="1"/>
    <col min="10" max="10" width="11.6719" style="572" customWidth="1"/>
    <col min="11" max="11" width="10.8516" style="572" customWidth="1"/>
    <col min="12" max="12" width="12.1719" style="572" customWidth="1"/>
    <col min="13" max="13" width="13.5" style="572" customWidth="1"/>
    <col min="14" max="14" width="14.8516" style="572" customWidth="1"/>
    <col min="15" max="15" width="13.5" style="572" customWidth="1"/>
    <col min="16" max="16" width="14.5" style="572" customWidth="1"/>
    <col min="17" max="17" width="12.6719" style="572" customWidth="1"/>
    <col min="18" max="18" width="12.5" style="572" customWidth="1"/>
    <col min="19" max="19" width="14.1719" style="572" customWidth="1"/>
    <col min="20" max="20" width="13.3516" style="572" customWidth="1"/>
    <col min="21" max="21" width="14.6719" style="572" customWidth="1"/>
    <col min="22" max="22" width="1.5" style="572" customWidth="1"/>
    <col min="23" max="23" width="14.5" style="572" customWidth="1"/>
    <col min="24" max="24" width="16.1719" style="572" customWidth="1"/>
    <col min="25" max="25" width="18.1719" style="572" customWidth="1"/>
    <col min="26" max="26" width="18.3516" style="572" customWidth="1"/>
    <col min="27" max="27" width="14" style="572" customWidth="1"/>
    <col min="28" max="28" width="1.85156" style="572" customWidth="1"/>
    <col min="29" max="29" width="14.5" style="572" customWidth="1"/>
    <col min="30" max="30" width="11.8516" style="572" customWidth="1"/>
    <col min="31" max="31" width="14.1719" style="572" customWidth="1"/>
    <col min="32" max="32" width="16.6719" style="572" customWidth="1"/>
    <col min="33" max="33" width="14.8516" style="572" customWidth="1"/>
    <col min="34" max="34" width="1.85156" style="572" customWidth="1"/>
    <col min="35" max="35" width="24" style="572" customWidth="1"/>
    <col min="36" max="36" width="1.67188" style="572" customWidth="1"/>
    <col min="37" max="37" width="21.8516" style="572" customWidth="1"/>
    <col min="38" max="38" width="1.67188" style="572" customWidth="1"/>
    <col min="39" max="39" width="20.1719" style="572" customWidth="1"/>
    <col min="40" max="40" width="1.85156" style="572" customWidth="1"/>
    <col min="41" max="41" width="25.8516" style="572" customWidth="1"/>
    <col min="42" max="44" width="20.5" style="572" customWidth="1"/>
    <col min="45" max="45" width="8.85156" style="572" customWidth="1"/>
    <col min="46" max="16384" width="8.85156" style="572" customWidth="1"/>
  </cols>
  <sheetData>
    <row r="1" ht="15.5" customHeight="1">
      <c r="A1" s="7"/>
      <c r="B1" s="8"/>
      <c r="C1" s="8"/>
      <c r="D1" s="8"/>
      <c r="E1" s="8"/>
      <c r="F1" s="8"/>
      <c r="G1" s="8"/>
      <c r="H1" s="8"/>
      <c r="I1" s="8"/>
      <c r="J1" s="8"/>
      <c r="K1" s="8"/>
      <c r="L1" s="8"/>
      <c r="M1" s="8"/>
      <c r="N1" s="8"/>
      <c r="O1" s="8"/>
      <c r="P1" s="8"/>
      <c r="Q1" s="8"/>
      <c r="R1" s="515"/>
      <c r="S1" s="8"/>
      <c r="T1" s="516"/>
      <c r="U1" s="516"/>
      <c r="V1" s="8"/>
      <c r="W1" s="8"/>
      <c r="X1" s="8"/>
      <c r="Y1" s="8"/>
      <c r="Z1" s="8"/>
      <c r="AA1" s="8"/>
      <c r="AB1" s="8"/>
      <c r="AC1" s="8"/>
      <c r="AD1" s="8"/>
      <c r="AE1" s="8"/>
      <c r="AF1" s="8"/>
      <c r="AG1" s="8"/>
      <c r="AH1" s="8"/>
      <c r="AI1" s="8"/>
      <c r="AJ1" s="8"/>
      <c r="AK1" s="8"/>
      <c r="AL1" s="8"/>
      <c r="AM1" s="8"/>
      <c r="AN1" s="8"/>
      <c r="AO1" s="8"/>
      <c r="AP1" s="8"/>
      <c r="AQ1" s="8"/>
      <c r="AR1" s="8"/>
      <c r="AS1" s="11"/>
    </row>
    <row r="2" ht="15.5" customHeight="1">
      <c r="A2" s="395">
        <v>3</v>
      </c>
      <c r="B2" t="s" s="573">
        <v>506</v>
      </c>
      <c r="C2" t="s" s="574">
        <v>592</v>
      </c>
      <c r="D2" t="s" s="574">
        <v>593</v>
      </c>
      <c r="E2" s="575"/>
      <c r="F2" s="575"/>
      <c r="G2" s="575"/>
      <c r="H2" s="575"/>
      <c r="I2" s="575"/>
      <c r="J2" s="575"/>
      <c r="K2" s="575"/>
      <c r="L2" s="575"/>
      <c r="M2" s="575"/>
      <c r="N2" s="575"/>
      <c r="O2" s="575"/>
      <c r="P2" s="575"/>
      <c r="Q2" s="575"/>
      <c r="R2" s="575"/>
      <c r="S2" s="575"/>
      <c r="T2" s="575"/>
      <c r="U2" s="575"/>
      <c r="V2" s="399"/>
      <c r="W2" s="575"/>
      <c r="X2" s="575"/>
      <c r="Y2" s="575"/>
      <c r="Z2" s="575"/>
      <c r="AA2" s="575"/>
      <c r="AB2" s="399"/>
      <c r="AC2" s="575"/>
      <c r="AD2" s="575"/>
      <c r="AE2" s="575"/>
      <c r="AF2" s="575"/>
      <c r="AG2" s="575"/>
      <c r="AH2" s="399"/>
      <c r="AI2" s="576"/>
      <c r="AJ2" s="399"/>
      <c r="AK2" s="575"/>
      <c r="AL2" s="399"/>
      <c r="AM2" s="575"/>
      <c r="AN2" s="399"/>
      <c r="AO2" s="575"/>
      <c r="AP2" s="575"/>
      <c r="AQ2" s="575"/>
      <c r="AR2" s="577"/>
      <c r="AS2" s="578"/>
    </row>
    <row r="3" ht="16" customHeight="1">
      <c r="A3" s="12"/>
      <c r="B3" s="579"/>
      <c r="C3" t="s" s="580">
        <v>513</v>
      </c>
      <c r="D3" s="581"/>
      <c r="E3" s="581"/>
      <c r="F3" s="581"/>
      <c r="G3" s="581"/>
      <c r="H3" s="581"/>
      <c r="I3" s="581"/>
      <c r="J3" s="581"/>
      <c r="K3" s="581"/>
      <c r="L3" s="581"/>
      <c r="M3" s="581"/>
      <c r="N3" s="581"/>
      <c r="O3" s="581"/>
      <c r="P3" s="581"/>
      <c r="Q3" s="581"/>
      <c r="R3" s="581"/>
      <c r="S3" s="581"/>
      <c r="T3" s="581"/>
      <c r="U3" s="582"/>
      <c r="V3" s="407"/>
      <c r="W3" t="s" s="580">
        <v>514</v>
      </c>
      <c r="X3" s="581"/>
      <c r="Y3" s="581"/>
      <c r="Z3" s="581"/>
      <c r="AA3" s="582"/>
      <c r="AB3" s="407"/>
      <c r="AC3" t="s" s="580">
        <v>515</v>
      </c>
      <c r="AD3" s="581"/>
      <c r="AE3" s="581"/>
      <c r="AF3" s="581"/>
      <c r="AG3" s="582"/>
      <c r="AH3" s="410"/>
      <c r="AI3" s="583"/>
      <c r="AJ3" s="410"/>
      <c r="AK3" s="584"/>
      <c r="AL3" s="410"/>
      <c r="AM3" s="584"/>
      <c r="AN3" s="410"/>
      <c r="AO3" s="584"/>
      <c r="AP3" s="584"/>
      <c r="AQ3" s="584"/>
      <c r="AR3" s="585"/>
      <c r="AS3" s="578"/>
    </row>
    <row r="4" ht="63" customHeight="1">
      <c r="A4" s="12"/>
      <c r="B4" t="s" s="586">
        <v>517</v>
      </c>
      <c r="C4" t="s" s="587">
        <v>518</v>
      </c>
      <c r="D4" t="s" s="587">
        <v>519</v>
      </c>
      <c r="E4" t="s" s="587">
        <v>520</v>
      </c>
      <c r="F4" t="s" s="588">
        <v>521</v>
      </c>
      <c r="G4" t="s" s="588">
        <v>522</v>
      </c>
      <c r="H4" t="s" s="588">
        <v>524</v>
      </c>
      <c r="I4" t="s" s="588">
        <v>525</v>
      </c>
      <c r="J4" t="s" s="588">
        <v>553</v>
      </c>
      <c r="K4" t="s" s="588">
        <v>526</v>
      </c>
      <c r="L4" t="s" s="588">
        <v>527</v>
      </c>
      <c r="M4" t="s" s="588">
        <v>528</v>
      </c>
      <c r="N4" t="s" s="588">
        <v>602</v>
      </c>
      <c r="O4" t="s" s="588">
        <v>603</v>
      </c>
      <c r="P4" t="s" s="588">
        <v>604</v>
      </c>
      <c r="Q4" t="s" s="588">
        <v>529</v>
      </c>
      <c r="R4" t="s" s="588">
        <v>530</v>
      </c>
      <c r="S4" t="s" s="588">
        <v>572</v>
      </c>
      <c r="T4" t="s" s="588">
        <v>531</v>
      </c>
      <c r="U4" t="s" s="588">
        <v>532</v>
      </c>
      <c r="V4" s="556"/>
      <c r="W4" t="s" s="588">
        <v>533</v>
      </c>
      <c r="X4" t="s" s="588">
        <v>573</v>
      </c>
      <c r="Y4" t="s" s="588">
        <v>534</v>
      </c>
      <c r="Z4" t="s" s="588">
        <v>574</v>
      </c>
      <c r="AA4" t="s" s="588">
        <v>535</v>
      </c>
      <c r="AB4" s="556"/>
      <c r="AC4" t="s" s="588">
        <v>536</v>
      </c>
      <c r="AD4" t="s" s="588">
        <v>537</v>
      </c>
      <c r="AE4" t="s" s="588">
        <v>538</v>
      </c>
      <c r="AF4" t="s" s="588">
        <v>575</v>
      </c>
      <c r="AG4" t="s" s="588">
        <v>539</v>
      </c>
      <c r="AH4" s="557"/>
      <c r="AI4" t="s" s="588">
        <v>576</v>
      </c>
      <c r="AJ4" s="557"/>
      <c r="AK4" t="s" s="588">
        <v>577</v>
      </c>
      <c r="AL4" s="557"/>
      <c r="AM4" t="s" s="587">
        <v>578</v>
      </c>
      <c r="AN4" s="557"/>
      <c r="AO4" s="589"/>
      <c r="AP4" s="589"/>
      <c r="AQ4" s="589"/>
      <c r="AR4" s="590"/>
      <c r="AS4" s="578"/>
    </row>
    <row r="5" ht="16.5" customHeight="1">
      <c r="A5" s="12"/>
      <c r="B5" s="591">
        <v>1</v>
      </c>
      <c r="C5" s="592" cm="1">
        <f t="array" ref="C5">IF(B5&gt;0,IF(VLOOKUP(C2,'Boats Data Sheet 2026'!$C$3:$J$57,8,0)="N/A",0,VLOOKUP(C2,'Boats Data Sheet 2026'!$C$3:$J$57,8,0)),"N/A")</f>
        <v>7500000</v>
      </c>
      <c r="D5" s="593" cm="1">
        <f t="array" ref="D5">IF(B5&gt;7,2,IF(B5=0,"N/A",1))</f>
        <v>1</v>
      </c>
      <c r="E5" s="592" cm="1">
        <f t="array" ref="E5">_xlfn.IFERROR(SUM('Direct Costs 2026'!$C$4:$C$6)*D5,"N/A")</f>
        <v>975500</v>
      </c>
      <c r="F5" s="594" cm="1">
        <f t="array" ref="F5">_xlfn.IFERROR('Direct Costs 2026'!$C$43*B5,"N/A")</f>
        <v>6000</v>
      </c>
      <c r="G5" s="594" cm="1">
        <f t="array" ref="G5">IF(B5&gt;0,'Direct Costs 2026'!$C$25,"N/A")</f>
        <v>90000</v>
      </c>
      <c r="H5" s="594" cm="1">
        <f t="array" ref="H5">IF(B5&gt;0,'Direct Costs 2026'!$C$19+'Direct Costs 2026'!$C$18*B5,"N/A")</f>
        <v>110000</v>
      </c>
      <c r="I5" s="594" cm="1">
        <f t="array" ref="I5">IF(B5&gt;0,SUM('Direct Costs 2026'!$C$20:$C$21),"N/A")</f>
        <v>98333.3333333333</v>
      </c>
      <c r="J5" s="594" cm="1">
        <f t="array" ref="J5">IF(B5&gt;0,'Direct Costs 2026'!$C$14,"N/A")</f>
        <v>60000</v>
      </c>
      <c r="K5" s="594" cm="1">
        <f t="array" ref="K5">IF(B5&gt;0,'Direct Costs 2026'!$C$26,"N/A")</f>
        <v>20000</v>
      </c>
      <c r="L5" s="594" cm="1">
        <f t="array" ref="L5">IF(B5&gt;0,SUM('Direct Costs 2026'!$C$23:$C$24),"N/A")</f>
        <v>160000</v>
      </c>
      <c r="M5" s="594" cm="1">
        <f t="array" ref="M5">IF(B5&gt;0,'Direct Costs 2026'!$C$47*B5,"N/A")</f>
        <v>180000</v>
      </c>
      <c r="N5" s="594" cm="1">
        <f t="array" ref="N5">IF($B5&gt;0,'Direct Costs 2026'!$C$30,"N/A")</f>
        <v>440000</v>
      </c>
      <c r="O5" s="594" cm="1">
        <f t="array" ref="O5">IF($B5&gt;0,'Direct Costs 2026'!$C$31,"N/A")</f>
        <v>870000</v>
      </c>
      <c r="P5" s="594" cm="1">
        <f t="array" ref="P5">IF(B5&gt;0,'Direct Costs 2026'!$C$59*B5,"N/A")</f>
        <v>41000</v>
      </c>
      <c r="Q5" t="str" s="595" cm="1">
        <f t="array" ref="Q5">IF(B5&gt;0,_xlfn.IFERROR(VLOOKUP(C2,'Boats Data Sheet 2026'!$C$3:$I$57,7,0)*'Direct Costs 2026'!$C$36,"N/A"),"N/A")</f>
        <v>N/A</v>
      </c>
      <c r="R5" t="str" s="595" cm="1">
        <f t="array" ref="R5">IF(B5&gt;0,IF(OR(VLOOKUP(C2,'Boats Data Sheet 2026'!$C$3:$F$57,4,0)="Own",VLOOKUP(C2,'Boats Data Sheet 2026'!$C$3:$F$57,4,0)="Management"),('Direct Costs 2026'!$C$37+'Direct Costs 2026'!$C$39),"N/A"),"N/A")</f>
        <v>N/A</v>
      </c>
      <c r="S5" s="594" cm="1">
        <f t="array" ref="S5">_xlfn.IFERROR(IF(B5&gt;5,IF(B5&gt;11,IF(B5&gt;15,4,3),2),IF(B5=0,"N/A",1))*SUM('Direct Costs 2026'!$C$67:$C$68),"N/A")</f>
        <v>489600</v>
      </c>
      <c r="T5" s="594" cm="1">
        <f t="array" ref="T5">_xlfn.IFERROR('Direct Costs 2026'!$C$27*C5,"N/A")</f>
        <v>150000</v>
      </c>
      <c r="U5" s="594" cm="1">
        <f t="array" ref="U5">_xlfn.IFERROR(C5+SUM(E5:T5),"N/A")</f>
        <v>11190433.3333333</v>
      </c>
      <c r="V5" s="424"/>
      <c r="W5" s="594" cm="1">
        <f t="array" ref="W5">IF(B5&gt;0,'Allocation OH and Target 2026'!$E$27,"N/A")</f>
        <v>2134447.30345641</v>
      </c>
      <c r="X5" s="594" cm="1">
        <f t="array" ref="X5">IF(B5&gt;0,'Allocation OH and Target 2026'!$E$28,"N/A")</f>
        <v>200042.323056976</v>
      </c>
      <c r="Y5" s="594" cm="1">
        <f t="array" ref="Y5">IF(B5&gt;0,VLOOKUP(C2,'Allocation OH and Target 2026'!$C$5:$T$23,17,0),"N/A")</f>
        <v>0</v>
      </c>
      <c r="Z5" s="594" cm="1">
        <f t="array" ref="Z5">IF(B5&gt;0,VLOOKUP(C2,'Allocation OH and Target 2026'!$C$5:$T$23,18,0),"N/A")</f>
        <v>0</v>
      </c>
      <c r="AA5" s="594" cm="1">
        <f t="array" ref="AA5">_xlfn.IFERROR(B5*(X5+Z5),"N/A")</f>
        <v>200042.323056976</v>
      </c>
      <c r="AB5" s="424"/>
      <c r="AC5" s="594" cm="1">
        <f t="array" ref="AC5">_xlfn.IFERROR(AA5+U5,"N/A")</f>
        <v>11390475.6563903</v>
      </c>
      <c r="AD5" s="594" cm="1">
        <f t="array" ref="AD5">_xlfn.IFERROR(AC5*0.5%,"N/A")</f>
        <v>56952.3782819515</v>
      </c>
      <c r="AE5" s="594" cm="1">
        <f t="array" ref="AE5">_xlfn.IFERROR(AC5*25%,"N/A")</f>
        <v>2847618.91409758</v>
      </c>
      <c r="AF5" s="596" cm="1">
        <f t="array" ref="AF5">IF(B5&gt;0,SUM(AC5:AE5),"N/A")</f>
        <v>14295046.9487698</v>
      </c>
      <c r="AG5" s="594" cm="1">
        <f t="array" ref="AG5">_xlfn.IFERROR(AF5/B5,"N/A")</f>
        <v>14295046.9487698</v>
      </c>
      <c r="AH5" s="424"/>
      <c r="AI5" t="s" s="597">
        <v>14</v>
      </c>
      <c r="AJ5" s="424" cm="1">
        <f t="array" ref="AJ5">IF(AI5="N/A",0,1)</f>
        <v>0</v>
      </c>
      <c r="AK5" t="s" s="598">
        <v>14</v>
      </c>
      <c r="AL5" s="424" cm="1">
        <f t="array" ref="AL5">IF(AK5="N/A",0,1)</f>
        <v>0</v>
      </c>
      <c r="AM5" t="str" s="599" cm="1">
        <f t="array" ref="AM5">IF(SUM(1250000+700000)*B5&lt;SUM(AC5:AD5),"NO GO","GO")</f>
        <v>NO GO</v>
      </c>
      <c r="AN5" s="424"/>
      <c r="AO5" s="594"/>
      <c r="AP5" s="594"/>
      <c r="AQ5" s="594"/>
      <c r="AR5" s="600"/>
      <c r="AS5" s="601" cm="1">
        <f t="array" ref="AS5">B5</f>
        <v>1</v>
      </c>
    </row>
    <row r="6" ht="16" customHeight="1">
      <c r="A6" s="12"/>
      <c r="B6" s="602" cm="1">
        <f t="array" ref="B6">IF(B5=0,0,IF(B5&lt;VLOOKUP(C2,'Boats Data Sheet 2026'!$C$3:$H$57,6,0),B5+1,0))</f>
        <v>2</v>
      </c>
      <c r="C6" s="594" cm="1">
        <f t="array" ref="C6">IF(B6&gt;0,IF(VLOOKUP(C2,'Boats Data Sheet 2026'!$C$3:$J$57,8,0)="N/A",0,VLOOKUP(C2,'Boats Data Sheet 2026'!$C$3:$J$57,8,0)),"N/A")</f>
        <v>7500000</v>
      </c>
      <c r="D6" s="603" cm="1">
        <f t="array" ref="D6">IF(B6&gt;7,2,IF(B6=0,"N/A",1))</f>
        <v>1</v>
      </c>
      <c r="E6" s="594" cm="1">
        <f t="array" ref="E6">_xlfn.IFERROR(SUM('Direct Costs 2026'!$C$4:$C$6)*D6,"N/A")</f>
        <v>975500</v>
      </c>
      <c r="F6" s="594" cm="1">
        <f t="array" ref="F6">_xlfn.IFERROR('Direct Costs 2026'!$C$43*B6,"N/A")</f>
        <v>12000</v>
      </c>
      <c r="G6" s="594" cm="1">
        <f t="array" ref="G6">IF(B6&gt;0,'Direct Costs 2026'!$C$25,"N/A")</f>
        <v>90000</v>
      </c>
      <c r="H6" s="594" cm="1">
        <f t="array" ref="H6">IF(B6&gt;0,'Direct Costs 2026'!$C$19+'Direct Costs 2026'!$C$18*B6,"N/A")</f>
        <v>145000</v>
      </c>
      <c r="I6" s="594" cm="1">
        <f t="array" ref="I6">IF(B6&gt;0,SUM('Direct Costs 2026'!$C$20:$C$21),"N/A")</f>
        <v>98333.3333333333</v>
      </c>
      <c r="J6" s="594" cm="1">
        <f t="array" ref="J6">IF(B6&gt;0,'Direct Costs 2026'!$C$14,"N/A")</f>
        <v>60000</v>
      </c>
      <c r="K6" s="594" cm="1">
        <f t="array" ref="K6">IF(B6&gt;0,'Direct Costs 2026'!$C$26,"N/A")</f>
        <v>20000</v>
      </c>
      <c r="L6" s="594" cm="1">
        <f t="array" ref="L6">IF(B6&gt;0,SUM('Direct Costs 2026'!$C$23:$C$24),"N/A")</f>
        <v>160000</v>
      </c>
      <c r="M6" s="594" cm="1">
        <f t="array" ref="M6">IF(B6&gt;0,'Direct Costs 2026'!$C$47*B6,"N/A")</f>
        <v>360000</v>
      </c>
      <c r="N6" s="594" cm="1">
        <f t="array" ref="N6">IF($B6&gt;0,'Direct Costs 2026'!$C$30,"N/A")</f>
        <v>440000</v>
      </c>
      <c r="O6" s="594" cm="1">
        <f t="array" ref="O6">IF($B6&gt;0,'Direct Costs 2026'!$C$31,"N/A")</f>
        <v>870000</v>
      </c>
      <c r="P6" s="594" cm="1">
        <f t="array" ref="P6">IF(B6&gt;0,'Direct Costs 2026'!$C$59*B6,"N/A")</f>
        <v>82000</v>
      </c>
      <c r="Q6" t="str" s="595" cm="1">
        <f t="array" ref="Q6">IF(B6&gt;0,_xlfn.IFERROR(VLOOKUP(C2,'Boats Data Sheet 2026'!$C$3:$I$57,7,0)*'Direct Costs 2026'!$C$36,"N/A"),"N/A")</f>
        <v>N/A</v>
      </c>
      <c r="R6" t="str" s="595" cm="1">
        <f t="array" ref="R6">IF(B6&gt;0,IF(OR(VLOOKUP(C2,'Boats Data Sheet 2026'!$C$3:$F$57,4,0)="Own",VLOOKUP(C2,'Boats Data Sheet 2026'!$C$3:$F$57,4,0)="Management"),('Direct Costs 2026'!$C$37+'Direct Costs 2026'!$C$39),"N/A"),"N/A")</f>
        <v>N/A</v>
      </c>
      <c r="S6" s="594" cm="1">
        <f t="array" ref="S6">_xlfn.IFERROR(IF(B6&gt;5,IF(B6&gt;11,IF(B6&gt;15,4,3),2),IF(B6=0,"N/A",1))*SUM('Direct Costs 2026'!$C$67:$C$68),"N/A")</f>
        <v>489600</v>
      </c>
      <c r="T6" s="594" cm="1">
        <f t="array" ref="T6">_xlfn.IFERROR('Direct Costs 2026'!$C$27*C6,"N/A")</f>
        <v>150000</v>
      </c>
      <c r="U6" s="594" cm="1">
        <f t="array" ref="U6">_xlfn.IFERROR(C6+SUM(E6:T6),"N/A")</f>
        <v>11452433.3333333</v>
      </c>
      <c r="V6" s="424"/>
      <c r="W6" s="594" cm="1">
        <f t="array" ref="W6">IF(B6&gt;0,'Allocation OH and Target 2026'!$E$27,"N/A")</f>
        <v>2134447.30345641</v>
      </c>
      <c r="X6" s="594" cm="1">
        <f t="array" ref="X6">IF(B6&gt;0,'Allocation OH and Target 2026'!$E$28,"N/A")</f>
        <v>200042.323056976</v>
      </c>
      <c r="Y6" s="594" cm="1">
        <f t="array" ref="Y6">IF(B6&gt;0,VLOOKUP(C2,'Allocation OH and Target 2026'!$C$5:$T$23,17,0),"N/A")</f>
        <v>0</v>
      </c>
      <c r="Z6" s="594" cm="1">
        <f t="array" ref="Z6">IF(B6&gt;0,VLOOKUP(C2,'Allocation OH and Target 2026'!$C$5:$T$23,18,0),"N/A")</f>
        <v>0</v>
      </c>
      <c r="AA6" s="594" cm="1">
        <f t="array" ref="AA6">_xlfn.IFERROR(B6*(X6+Z6),"N/A")</f>
        <v>400084.646113952</v>
      </c>
      <c r="AB6" s="424"/>
      <c r="AC6" s="594" cm="1">
        <f t="array" ref="AC6">_xlfn.IFERROR(AA6+U6,"N/A")</f>
        <v>11852517.9794473</v>
      </c>
      <c r="AD6" s="594" cm="1">
        <f t="array" ref="AD6">_xlfn.IFERROR(AC6*0.5%,"N/A")</f>
        <v>59262.5898972365</v>
      </c>
      <c r="AE6" s="594" cm="1">
        <f t="array" ref="AE6">_xlfn.IFERROR(AC6*25%,"N/A")</f>
        <v>2963129.49486183</v>
      </c>
      <c r="AF6" s="596" cm="1">
        <f t="array" ref="AF6">IF(B6&gt;0,SUM(AC6:AE6),"N/A")</f>
        <v>14874910.0642064</v>
      </c>
      <c r="AG6" s="594" cm="1">
        <f t="array" ref="AG6">_xlfn.IFERROR(AF6/B6,"N/A")</f>
        <v>7437455.0321032</v>
      </c>
      <c r="AH6" s="424"/>
      <c r="AI6" t="str" s="604" cm="1">
        <f t="array" ref="AI6">IF(B6/VLOOKUP(C2,'Boats Data Sheet 2026'!$C$3:$H$57,6,0)&gt;VLOOKUP(C2,'Allocation OH and Target 2026'!$C$5:$J$23,8,0),IF(SUM(AJ4:AJ5)=0,AG6,"N/A"),"N/A")</f>
        <v>N/A</v>
      </c>
      <c r="AJ6" s="424" cm="1">
        <f t="array" ref="AJ6">IF(AI6="N/A",0,1)</f>
        <v>0</v>
      </c>
      <c r="AK6" t="str" s="595" cm="1">
        <f t="array" ref="AK6">IF(B6/VLOOKUP(C2,'Boats Data Sheet 2026'!$C$3:$H$57,6,0)&gt;VLOOKUP(C2,'Allocation OH and Target 2026'!$C$5:$J$23,8,0),IF(SUM(AJ4:AJ5)=0,U6/B6,"N/A"),"N/A")</f>
        <v>N/A</v>
      </c>
      <c r="AL6" s="424" cm="1">
        <f t="array" ref="AL6">IF(AK6="N/A",0,1)</f>
        <v>0</v>
      </c>
      <c r="AM6" t="str" s="605" cm="1">
        <f t="array" ref="AM6">IF(SUM(1250000+700000)*B6&lt;SUM(AC6:AD6),"NO GO","GO")</f>
        <v>NO GO</v>
      </c>
      <c r="AN6" s="424"/>
      <c r="AO6" s="594"/>
      <c r="AP6" s="594"/>
      <c r="AQ6" s="594"/>
      <c r="AR6" s="600"/>
      <c r="AS6" s="601" cm="1">
        <f t="array" ref="AS6">B6</f>
        <v>2</v>
      </c>
    </row>
    <row r="7" ht="16" customHeight="1">
      <c r="A7" s="12"/>
      <c r="B7" s="602" cm="1">
        <f t="array" ref="B7">IF(B6=0,0,IF(B6&lt;VLOOKUP(C2,'Boats Data Sheet 2026'!$C$3:$H$57,6,0),B6+1,0))</f>
        <v>3</v>
      </c>
      <c r="C7" s="594" cm="1">
        <f t="array" ref="C7">IF(B7&gt;0,IF(VLOOKUP(C2,'Boats Data Sheet 2026'!$C$3:$J$57,8,0)="N/A",0,VLOOKUP(C2,'Boats Data Sheet 2026'!$C$3:$J$57,8,0)),"N/A")</f>
        <v>7500000</v>
      </c>
      <c r="D7" s="603" cm="1">
        <f t="array" ref="D7">IF(B7&gt;7,2,IF(B7=0,"N/A",1))</f>
        <v>1</v>
      </c>
      <c r="E7" s="594" cm="1">
        <f t="array" ref="E7">_xlfn.IFERROR(SUM('Direct Costs 2026'!$C$4:$C$6)*D7,"N/A")</f>
        <v>975500</v>
      </c>
      <c r="F7" s="594" cm="1">
        <f t="array" ref="F7">_xlfn.IFERROR('Direct Costs 2026'!$C$43*B7,"N/A")</f>
        <v>18000</v>
      </c>
      <c r="G7" s="594" cm="1">
        <f t="array" ref="G7">IF(B7&gt;0,'Direct Costs 2026'!$C$25,"N/A")</f>
        <v>90000</v>
      </c>
      <c r="H7" s="594" cm="1">
        <f t="array" ref="H7">IF(B7&gt;0,'Direct Costs 2026'!$C$19+'Direct Costs 2026'!$C$18*B7,"N/A")</f>
        <v>180000</v>
      </c>
      <c r="I7" s="594" cm="1">
        <f t="array" ref="I7">IF(B7&gt;0,SUM('Direct Costs 2026'!$C$20:$C$21),"N/A")</f>
        <v>98333.3333333333</v>
      </c>
      <c r="J7" s="594" cm="1">
        <f t="array" ref="J7">IF(B7&gt;0,'Direct Costs 2026'!$C$14,"N/A")</f>
        <v>60000</v>
      </c>
      <c r="K7" s="594" cm="1">
        <f t="array" ref="K7">IF(B7&gt;0,'Direct Costs 2026'!$C$26,"N/A")</f>
        <v>20000</v>
      </c>
      <c r="L7" s="594" cm="1">
        <f t="array" ref="L7">IF(B7&gt;0,SUM('Direct Costs 2026'!$C$23:$C$24),"N/A")</f>
        <v>160000</v>
      </c>
      <c r="M7" s="594" cm="1">
        <f t="array" ref="M7">IF(B7&gt;0,'Direct Costs 2026'!$C$47*B7,"N/A")</f>
        <v>540000</v>
      </c>
      <c r="N7" s="594" cm="1">
        <f t="array" ref="N7">IF($B7&gt;0,'Direct Costs 2026'!$C$30,"N/A")</f>
        <v>440000</v>
      </c>
      <c r="O7" s="594" cm="1">
        <f t="array" ref="O7">IF($B7&gt;0,'Direct Costs 2026'!$C$31,"N/A")</f>
        <v>870000</v>
      </c>
      <c r="P7" s="594" cm="1">
        <f t="array" ref="P7">IF(B7&gt;0,'Direct Costs 2026'!$C$59*B7,"N/A")</f>
        <v>123000</v>
      </c>
      <c r="Q7" t="str" s="595" cm="1">
        <f t="array" ref="Q7">IF(B7&gt;0,_xlfn.IFERROR(VLOOKUP(C2,'Boats Data Sheet 2026'!$C$3:$I$57,7,0)*'Direct Costs 2026'!$C$36,"N/A"),"N/A")</f>
        <v>N/A</v>
      </c>
      <c r="R7" t="str" s="595" cm="1">
        <f t="array" ref="R7">IF(B7&gt;0,IF(OR(VLOOKUP(C2,'Boats Data Sheet 2026'!$C$3:$F$57,4,0)="Own",VLOOKUP(C2,'Boats Data Sheet 2026'!$C$3:$F$57,4,0)="Management"),('Direct Costs 2026'!$C$37+'Direct Costs 2026'!$C$39),"N/A"),"N/A")</f>
        <v>N/A</v>
      </c>
      <c r="S7" s="594" cm="1">
        <f t="array" ref="S7">_xlfn.IFERROR(IF(B7&gt;5,IF(B7&gt;11,IF(B7&gt;15,4,3),2),IF(B7=0,"N/A",1))*SUM('Direct Costs 2026'!$C$67:$C$68),"N/A")</f>
        <v>489600</v>
      </c>
      <c r="T7" s="594" cm="1">
        <f t="array" ref="T7">_xlfn.IFERROR('Direct Costs 2026'!$C$27*C7,"N/A")</f>
        <v>150000</v>
      </c>
      <c r="U7" s="594" cm="1">
        <f t="array" ref="U7">_xlfn.IFERROR(C7+SUM(E7:T7),"N/A")</f>
        <v>11714433.3333333</v>
      </c>
      <c r="V7" s="424"/>
      <c r="W7" s="594" cm="1">
        <f t="array" ref="W7">IF(B7&gt;0,'Allocation OH and Target 2026'!$E$27,"N/A")</f>
        <v>2134447.30345641</v>
      </c>
      <c r="X7" s="594" cm="1">
        <f t="array" ref="X7">IF(B7&gt;0,'Allocation OH and Target 2026'!$E$28,"N/A")</f>
        <v>200042.323056976</v>
      </c>
      <c r="Y7" s="594" cm="1">
        <f t="array" ref="Y7">IF(B7&gt;0,VLOOKUP(C2,'Allocation OH and Target 2026'!$C$5:$T$23,17,0),"N/A")</f>
        <v>0</v>
      </c>
      <c r="Z7" s="594" cm="1">
        <f t="array" ref="Z7">IF(B7&gt;0,VLOOKUP(C2,'Allocation OH and Target 2026'!$C$5:$T$23,18,0),"N/A")</f>
        <v>0</v>
      </c>
      <c r="AA7" s="594" cm="1">
        <f t="array" ref="AA7">_xlfn.IFERROR(B7*(X7+Z7),"N/A")</f>
        <v>600126.969170928</v>
      </c>
      <c r="AB7" s="424"/>
      <c r="AC7" s="594" cm="1">
        <f t="array" ref="AC7">_xlfn.IFERROR(AA7+U7,"N/A")</f>
        <v>12314560.3025042</v>
      </c>
      <c r="AD7" s="594" cm="1">
        <f t="array" ref="AD7">_xlfn.IFERROR(AC7*0.5%,"N/A")</f>
        <v>61572.801512521</v>
      </c>
      <c r="AE7" s="594" cm="1">
        <f t="array" ref="AE7">_xlfn.IFERROR(AC7*25%,"N/A")</f>
        <v>3078640.07562605</v>
      </c>
      <c r="AF7" s="596" cm="1">
        <f t="array" ref="AF7">IF(B7&gt;0,SUM(AC7:AE7),"N/A")</f>
        <v>15454773.1796428</v>
      </c>
      <c r="AG7" s="594" cm="1">
        <f t="array" ref="AG7">_xlfn.IFERROR(AF7/B7,"N/A")</f>
        <v>5151591.05988093</v>
      </c>
      <c r="AH7" s="424"/>
      <c r="AI7" t="str" s="604" cm="1">
        <f t="array" ref="AI7">IF(B7/VLOOKUP(C2,'Boats Data Sheet 2026'!$C$3:$H$57,6,0)&gt;VLOOKUP(C2,'Allocation OH and Target 2026'!$C$5:$J$23,8,0),IF(SUM(AJ4:AJ6)=0,AG7,"N/A"),"N/A")</f>
        <v>N/A</v>
      </c>
      <c r="AJ7" s="424" cm="1">
        <f t="array" ref="AJ7">IF(AI7="N/A",0,1)</f>
        <v>0</v>
      </c>
      <c r="AK7" t="str" s="595" cm="1">
        <f t="array" ref="AK7">IF(B7/VLOOKUP(C2,'Boats Data Sheet 2026'!$C$3:$H$57,6,0)&gt;VLOOKUP(C2,'Allocation OH and Target 2026'!$C$5:$J$23,8,0),IF(SUM(AJ4:AJ6)=0,U7/B7,"N/A"),"N/A")</f>
        <v>N/A</v>
      </c>
      <c r="AL7" s="424" cm="1">
        <f t="array" ref="AL7">IF(AK7="N/A",0,1)</f>
        <v>0</v>
      </c>
      <c r="AM7" t="str" s="605" cm="1">
        <f t="array" ref="AM7">IF(SUM(1250000+700000)*B7&lt;SUM(AC7:AD7),"NO GO","GO")</f>
        <v>NO GO</v>
      </c>
      <c r="AN7" s="424"/>
      <c r="AO7" s="594"/>
      <c r="AP7" s="594"/>
      <c r="AQ7" s="594"/>
      <c r="AR7" s="600"/>
      <c r="AS7" s="601" cm="1">
        <f t="array" ref="AS7">B7</f>
        <v>3</v>
      </c>
    </row>
    <row r="8" ht="16" customHeight="1">
      <c r="A8" s="12"/>
      <c r="B8" s="602" cm="1">
        <f t="array" ref="B8">IF(B7=0,0,IF(B7&lt;VLOOKUP(C2,'Boats Data Sheet 2026'!$C$3:$H$57,6,0),B7+1,0))</f>
        <v>4</v>
      </c>
      <c r="C8" s="594" cm="1">
        <f t="array" ref="C8">IF(B8&gt;0,IF(VLOOKUP(C2,'Boats Data Sheet 2026'!$C$3:$J$57,8,0)="N/A",0,VLOOKUP(C2,'Boats Data Sheet 2026'!$C$3:$J$57,8,0)),"N/A")</f>
        <v>7500000</v>
      </c>
      <c r="D8" s="603" cm="1">
        <f t="array" ref="D8">IF(B8&gt;7,2,IF(B8=0,"N/A",1))</f>
        <v>1</v>
      </c>
      <c r="E8" s="594" cm="1">
        <f t="array" ref="E8">_xlfn.IFERROR(SUM('Direct Costs 2026'!$C$4:$C$6)*D8,"N/A")</f>
        <v>975500</v>
      </c>
      <c r="F8" s="594" cm="1">
        <f t="array" ref="F8">_xlfn.IFERROR('Direct Costs 2026'!$C$43*B8,"N/A")</f>
        <v>24000</v>
      </c>
      <c r="G8" s="594" cm="1">
        <f t="array" ref="G8">IF(B8&gt;0,'Direct Costs 2026'!$C$25,"N/A")</f>
        <v>90000</v>
      </c>
      <c r="H8" s="594" cm="1">
        <f t="array" ref="H8">IF(B8&gt;0,'Direct Costs 2026'!$C$19+'Direct Costs 2026'!$C$18*B8,"N/A")</f>
        <v>215000</v>
      </c>
      <c r="I8" s="594" cm="1">
        <f t="array" ref="I8">IF(B8&gt;0,SUM('Direct Costs 2026'!$C$20:$C$21),"N/A")</f>
        <v>98333.3333333333</v>
      </c>
      <c r="J8" s="594" cm="1">
        <f t="array" ref="J8">IF(B8&gt;0,'Direct Costs 2026'!$C$14,"N/A")</f>
        <v>60000</v>
      </c>
      <c r="K8" s="594" cm="1">
        <f t="array" ref="K8">IF(B8&gt;0,'Direct Costs 2026'!$C$26,"N/A")</f>
        <v>20000</v>
      </c>
      <c r="L8" s="594" cm="1">
        <f t="array" ref="L8">IF(B8&gt;0,SUM('Direct Costs 2026'!$C$23:$C$24),"N/A")</f>
        <v>160000</v>
      </c>
      <c r="M8" s="594" cm="1">
        <f t="array" ref="M8">IF(B8&gt;0,'Direct Costs 2026'!$C$47*B8,"N/A")</f>
        <v>720000</v>
      </c>
      <c r="N8" s="594" cm="1">
        <f t="array" ref="N8">IF($B8&gt;0,'Direct Costs 2026'!$C$30,"N/A")</f>
        <v>440000</v>
      </c>
      <c r="O8" s="594" cm="1">
        <f t="array" ref="O8">IF($B8&gt;0,'Direct Costs 2026'!$C$31,"N/A")</f>
        <v>870000</v>
      </c>
      <c r="P8" s="594" cm="1">
        <f t="array" ref="P8">IF(B8&gt;0,'Direct Costs 2026'!$C$59*B8,"N/A")</f>
        <v>164000</v>
      </c>
      <c r="Q8" t="str" s="595" cm="1">
        <f t="array" ref="Q8">IF(B8&gt;0,_xlfn.IFERROR(VLOOKUP(C2,'Boats Data Sheet 2026'!$C$3:$I$57,7,0)*'Direct Costs 2026'!$C$36,"N/A"),"N/A")</f>
        <v>N/A</v>
      </c>
      <c r="R8" t="str" s="595" cm="1">
        <f t="array" ref="R8">IF(B8&gt;0,IF(OR(VLOOKUP(C2,'Boats Data Sheet 2026'!$C$3:$F$57,4,0)="Own",VLOOKUP(C2,'Boats Data Sheet 2026'!$C$3:$F$57,4,0)="Management"),('Direct Costs 2026'!$C$37+'Direct Costs 2026'!$C$39),"N/A"),"N/A")</f>
        <v>N/A</v>
      </c>
      <c r="S8" s="594" cm="1">
        <f t="array" ref="S8">_xlfn.IFERROR(IF(B8&gt;5,IF(B8&gt;11,IF(B8&gt;15,4,3),2),IF(B8=0,"N/A",1))*SUM('Direct Costs 2026'!$C$67:$C$68),"N/A")</f>
        <v>489600</v>
      </c>
      <c r="T8" s="594" cm="1">
        <f t="array" ref="T8">_xlfn.IFERROR('Direct Costs 2026'!$C$27*C8,"N/A")</f>
        <v>150000</v>
      </c>
      <c r="U8" s="594" cm="1">
        <f t="array" ref="U8">_xlfn.IFERROR(C8+SUM(E8:T8),"N/A")</f>
        <v>11976433.3333333</v>
      </c>
      <c r="V8" s="424"/>
      <c r="W8" s="594" cm="1">
        <f t="array" ref="W8">IF(B8&gt;0,'Allocation OH and Target 2026'!$E$27,"N/A")</f>
        <v>2134447.30345641</v>
      </c>
      <c r="X8" s="594" cm="1">
        <f t="array" ref="X8">IF(B8&gt;0,'Allocation OH and Target 2026'!$E$28,"N/A")</f>
        <v>200042.323056976</v>
      </c>
      <c r="Y8" s="594" cm="1">
        <f t="array" ref="Y8">IF(B8&gt;0,VLOOKUP(C2,'Allocation OH and Target 2026'!$C$5:$T$23,17,0),"N/A")</f>
        <v>0</v>
      </c>
      <c r="Z8" s="594" cm="1">
        <f t="array" ref="Z8">IF(B8&gt;0,VLOOKUP(C2,'Allocation OH and Target 2026'!$C$5:$T$23,18,0),"N/A")</f>
        <v>0</v>
      </c>
      <c r="AA8" s="594" cm="1">
        <f t="array" ref="AA8">_xlfn.IFERROR(B8*(X8+Z8),"N/A")</f>
        <v>800169.292227904</v>
      </c>
      <c r="AB8" s="424"/>
      <c r="AC8" s="594" cm="1">
        <f t="array" ref="AC8">_xlfn.IFERROR(AA8+U8,"N/A")</f>
        <v>12776602.6255612</v>
      </c>
      <c r="AD8" s="594" cm="1">
        <f t="array" ref="AD8">_xlfn.IFERROR(AC8*0.5%,"N/A")</f>
        <v>63883.013127806</v>
      </c>
      <c r="AE8" s="594" cm="1">
        <f t="array" ref="AE8">_xlfn.IFERROR(AC8*25%,"N/A")</f>
        <v>3194150.6563903</v>
      </c>
      <c r="AF8" s="596" cm="1">
        <f t="array" ref="AF8">IF(B8&gt;0,SUM(AC8:AE8),"N/A")</f>
        <v>16034636.2950793</v>
      </c>
      <c r="AG8" s="594" cm="1">
        <f t="array" ref="AG8">_xlfn.IFERROR(AF8/B8,"N/A")</f>
        <v>4008659.07376983</v>
      </c>
      <c r="AH8" s="424"/>
      <c r="AI8" t="str" s="604" cm="1">
        <f t="array" ref="AI8">IF(B8/VLOOKUP(C2,'Boats Data Sheet 2026'!$C$3:$H$57,6,0)&gt;VLOOKUP(C2,'Allocation OH and Target 2026'!$C$5:$J$23,8,0),IF(SUM(AJ4:AJ7)=0,AG8,"N/A"),"N/A")</f>
        <v>N/A</v>
      </c>
      <c r="AJ8" s="424" cm="1">
        <f t="array" ref="AJ8">IF(AI8="N/A",0,1)</f>
        <v>0</v>
      </c>
      <c r="AK8" t="str" s="595" cm="1">
        <f t="array" ref="AK8">IF(B8/VLOOKUP(C2,'Boats Data Sheet 2026'!$C$3:$H$57,6,0)&gt;VLOOKUP(C2,'Allocation OH and Target 2026'!$C$5:$J$23,8,0),IF(SUM(AJ4:AJ7)=0,U8/B8,"N/A"),"N/A")</f>
        <v>N/A</v>
      </c>
      <c r="AL8" s="424" cm="1">
        <f t="array" ref="AL8">IF(AK8="N/A",0,1)</f>
        <v>0</v>
      </c>
      <c r="AM8" t="str" s="605" cm="1">
        <f t="array" ref="AM8">IF(SUM(1250000+700000)*B8&lt;SUM(AC8:AD8),"NO GO","GO")</f>
        <v>NO GO</v>
      </c>
      <c r="AN8" s="424"/>
      <c r="AO8" s="594"/>
      <c r="AP8" s="594"/>
      <c r="AQ8" s="594"/>
      <c r="AR8" s="600"/>
      <c r="AS8" s="601" cm="1">
        <f t="array" ref="AS8">B8</f>
        <v>4</v>
      </c>
    </row>
    <row r="9" ht="16" customHeight="1">
      <c r="A9" s="12"/>
      <c r="B9" s="602" cm="1">
        <f t="array" ref="B9">IF(B8=0,0,IF(B8&lt;VLOOKUP(C2,'Boats Data Sheet 2026'!$C$3:$H$57,6,0),B8+1,0))</f>
        <v>5</v>
      </c>
      <c r="C9" s="594" cm="1">
        <f t="array" ref="C9">IF(B9&gt;0,IF(VLOOKUP(C2,'Boats Data Sheet 2026'!$C$3:$J$57,8,0)="N/A",0,VLOOKUP(C2,'Boats Data Sheet 2026'!$C$3:$J$57,8,0)),"N/A")</f>
        <v>7500000</v>
      </c>
      <c r="D9" s="603" cm="1">
        <f t="array" ref="D9">IF(B9&gt;7,2,IF(B9=0,"N/A",1))</f>
        <v>1</v>
      </c>
      <c r="E9" s="594" cm="1">
        <f t="array" ref="E9">_xlfn.IFERROR(SUM('Direct Costs 2026'!$C$4:$C$6)*D9,"N/A")</f>
        <v>975500</v>
      </c>
      <c r="F9" s="594" cm="1">
        <f t="array" ref="F9">_xlfn.IFERROR('Direct Costs 2026'!$C$43*B9,"N/A")</f>
        <v>30000</v>
      </c>
      <c r="G9" s="594" cm="1">
        <f t="array" ref="G9">IF(B9&gt;0,'Direct Costs 2026'!$C$25,"N/A")</f>
        <v>90000</v>
      </c>
      <c r="H9" s="594" cm="1">
        <f t="array" ref="H9">IF(B9&gt;0,'Direct Costs 2026'!$C$19+'Direct Costs 2026'!$C$18*B9,"N/A")</f>
        <v>250000</v>
      </c>
      <c r="I9" s="594" cm="1">
        <f t="array" ref="I9">IF(B9&gt;0,SUM('Direct Costs 2026'!$C$20:$C$21),"N/A")</f>
        <v>98333.3333333333</v>
      </c>
      <c r="J9" s="594" cm="1">
        <f t="array" ref="J9">IF(B9&gt;0,'Direct Costs 2026'!$C$14,"N/A")</f>
        <v>60000</v>
      </c>
      <c r="K9" s="594" cm="1">
        <f t="array" ref="K9">IF(B9&gt;0,'Direct Costs 2026'!$C$26,"N/A")</f>
        <v>20000</v>
      </c>
      <c r="L9" s="594" cm="1">
        <f t="array" ref="L9">IF(B9&gt;0,SUM('Direct Costs 2026'!$C$23:$C$24),"N/A")</f>
        <v>160000</v>
      </c>
      <c r="M9" s="594" cm="1">
        <f t="array" ref="M9">IF(B9&gt;0,'Direct Costs 2026'!$C$47*B9,"N/A")</f>
        <v>900000</v>
      </c>
      <c r="N9" s="594" cm="1">
        <f t="array" ref="N9">IF($B9&gt;0,'Direct Costs 2026'!$C$30,"N/A")</f>
        <v>440000</v>
      </c>
      <c r="O9" s="594" cm="1">
        <f t="array" ref="O9">IF($B9&gt;0,'Direct Costs 2026'!$C$31,"N/A")</f>
        <v>870000</v>
      </c>
      <c r="P9" s="594" cm="1">
        <f t="array" ref="P9">IF(B9&gt;0,'Direct Costs 2026'!$C$59*B9,"N/A")</f>
        <v>205000</v>
      </c>
      <c r="Q9" t="str" s="595" cm="1">
        <f t="array" ref="Q9">IF(B9&gt;0,_xlfn.IFERROR(VLOOKUP(C2,'Boats Data Sheet 2026'!$C$3:$I$57,7,0)*'Direct Costs 2026'!$C$36,"N/A"),"N/A")</f>
        <v>N/A</v>
      </c>
      <c r="R9" t="str" s="595" cm="1">
        <f t="array" ref="R9">IF(B9&gt;0,IF(OR(VLOOKUP(C2,'Boats Data Sheet 2026'!$C$3:$F$57,4,0)="Own",VLOOKUP(C2,'Boats Data Sheet 2026'!$C$3:$F$57,4,0)="Management"),('Direct Costs 2026'!$C$37+'Direct Costs 2026'!$C$39),"N/A"),"N/A")</f>
        <v>N/A</v>
      </c>
      <c r="S9" s="594" cm="1">
        <f t="array" ref="S9">_xlfn.IFERROR(IF(B9&gt;5,IF(B9&gt;11,IF(B9&gt;15,4,3),2),IF(B9=0,"N/A",1))*SUM('Direct Costs 2026'!$C$67:$C$68),"N/A")</f>
        <v>489600</v>
      </c>
      <c r="T9" s="594" cm="1">
        <f t="array" ref="T9">_xlfn.IFERROR('Direct Costs 2026'!$C$27*C9,"N/A")</f>
        <v>150000</v>
      </c>
      <c r="U9" s="594" cm="1">
        <f t="array" ref="U9">_xlfn.IFERROR(C9+SUM(E9:T9),"N/A")</f>
        <v>12238433.3333333</v>
      </c>
      <c r="V9" s="424"/>
      <c r="W9" s="594" cm="1">
        <f t="array" ref="W9">IF(B9&gt;0,'Allocation OH and Target 2026'!$E$27,"N/A")</f>
        <v>2134447.30345641</v>
      </c>
      <c r="X9" s="594" cm="1">
        <f t="array" ref="X9">IF(B9&gt;0,'Allocation OH and Target 2026'!$E$28,"N/A")</f>
        <v>200042.323056976</v>
      </c>
      <c r="Y9" s="594" cm="1">
        <f t="array" ref="Y9">IF(B9&gt;0,VLOOKUP(C2,'Allocation OH and Target 2026'!$C$5:$T$23,17,0),"N/A")</f>
        <v>0</v>
      </c>
      <c r="Z9" s="594" cm="1">
        <f t="array" ref="Z9">IF(B9&gt;0,VLOOKUP(C2,'Allocation OH and Target 2026'!$C$5:$T$23,18,0),"N/A")</f>
        <v>0</v>
      </c>
      <c r="AA9" s="594" cm="1">
        <f t="array" ref="AA9">_xlfn.IFERROR(B9*(X9+Z9),"N/A")</f>
        <v>1000211.61528488</v>
      </c>
      <c r="AB9" s="424"/>
      <c r="AC9" s="594" cm="1">
        <f t="array" ref="AC9">_xlfn.IFERROR(AA9+U9,"N/A")</f>
        <v>13238644.9486182</v>
      </c>
      <c r="AD9" s="594" cm="1">
        <f t="array" ref="AD9">_xlfn.IFERROR(AC9*0.5%,"N/A")</f>
        <v>66193.224743091007</v>
      </c>
      <c r="AE9" s="594" cm="1">
        <f t="array" ref="AE9">_xlfn.IFERROR(AC9*25%,"N/A")</f>
        <v>3309661.23715455</v>
      </c>
      <c r="AF9" s="596" cm="1">
        <f t="array" ref="AF9">IF(B9&gt;0,SUM(AC9:AE9),"N/A")</f>
        <v>16614499.4105158</v>
      </c>
      <c r="AG9" s="594" cm="1">
        <f t="array" ref="AG9">_xlfn.IFERROR(AF9/B9,"N/A")</f>
        <v>3322899.88210316</v>
      </c>
      <c r="AH9" s="424"/>
      <c r="AI9" t="str" s="604" cm="1">
        <f t="array" ref="AI9">IF(B9/VLOOKUP(C2,'Boats Data Sheet 2026'!$C$3:$H$57,6,0)&gt;VLOOKUP(C2,'Allocation OH and Target 2026'!$C$5:$J$23,8,0),IF(SUM(AJ4:AJ8)=0,AG9,"N/A"),"N/A")</f>
        <v>N/A</v>
      </c>
      <c r="AJ9" s="424" cm="1">
        <f t="array" ref="AJ9">IF(AI9="N/A",0,1)</f>
        <v>0</v>
      </c>
      <c r="AK9" t="str" s="595" cm="1">
        <f t="array" ref="AK9">IF(B9/VLOOKUP(C2,'Boats Data Sheet 2026'!$C$3:$H$57,6,0)&gt;VLOOKUP(C2,'Allocation OH and Target 2026'!$C$5:$J$23,8,0),IF(SUM(AJ4:AJ8)=0,U9/B9,"N/A"),"N/A")</f>
        <v>N/A</v>
      </c>
      <c r="AL9" s="424" cm="1">
        <f t="array" ref="AL9">IF(AK9="N/A",0,1)</f>
        <v>0</v>
      </c>
      <c r="AM9" t="str" s="605" cm="1">
        <f t="array" ref="AM9">IF(SUM(1250000+700000)*B9&lt;SUM(AC9:AD9),"NO GO","GO")</f>
        <v>NO GO</v>
      </c>
      <c r="AN9" s="424"/>
      <c r="AO9" s="594"/>
      <c r="AP9" s="594"/>
      <c r="AQ9" s="594"/>
      <c r="AR9" s="600"/>
      <c r="AS9" s="601" cm="1">
        <f t="array" ref="AS9">B9</f>
        <v>5</v>
      </c>
    </row>
    <row r="10" ht="16" customHeight="1">
      <c r="A10" s="12"/>
      <c r="B10" s="602" cm="1">
        <f t="array" ref="B10">IF(B9=0,0,IF(B9&lt;VLOOKUP(C2,'Boats Data Sheet 2026'!$C$3:$H$57,6,0),B9+1,0))</f>
        <v>6</v>
      </c>
      <c r="C10" s="594" cm="1">
        <f t="array" ref="C10">IF(B10&gt;0,IF(VLOOKUP(C2,'Boats Data Sheet 2026'!$C$3:$J$57,8,0)="N/A",0,VLOOKUP(C2,'Boats Data Sheet 2026'!$C$3:$J$57,8,0)),"N/A")</f>
        <v>7500000</v>
      </c>
      <c r="D10" s="603" cm="1">
        <f t="array" ref="D10">IF(B10&gt;7,2,IF(B10=0,"N/A",1))</f>
        <v>1</v>
      </c>
      <c r="E10" s="594" cm="1">
        <f t="array" ref="E10">_xlfn.IFERROR(SUM('Direct Costs 2026'!$C$4:$C$6)*D10,"N/A")</f>
        <v>975500</v>
      </c>
      <c r="F10" s="594" cm="1">
        <f t="array" ref="F10">_xlfn.IFERROR('Direct Costs 2026'!$C$43*B10,"N/A")</f>
        <v>36000</v>
      </c>
      <c r="G10" s="594" cm="1">
        <f t="array" ref="G10">IF(B10&gt;0,'Direct Costs 2026'!$C$25,"N/A")</f>
        <v>90000</v>
      </c>
      <c r="H10" s="594" cm="1">
        <f t="array" ref="H10">IF(B10&gt;0,'Direct Costs 2026'!$C$19+'Direct Costs 2026'!$C$18*B10,"N/A")</f>
        <v>285000</v>
      </c>
      <c r="I10" s="594" cm="1">
        <f t="array" ref="I10">IF(B10&gt;0,SUM('Direct Costs 2026'!$C$20:$C$21),"N/A")</f>
        <v>98333.3333333333</v>
      </c>
      <c r="J10" s="594" cm="1">
        <f t="array" ref="J10">IF(B10&gt;0,'Direct Costs 2026'!$C$14,"N/A")</f>
        <v>60000</v>
      </c>
      <c r="K10" s="594" cm="1">
        <f t="array" ref="K10">IF(B10&gt;0,'Direct Costs 2026'!$C$26,"N/A")</f>
        <v>20000</v>
      </c>
      <c r="L10" s="594" cm="1">
        <f t="array" ref="L10">IF(B10&gt;0,SUM('Direct Costs 2026'!$C$23:$C$24),"N/A")</f>
        <v>160000</v>
      </c>
      <c r="M10" s="594" cm="1">
        <f t="array" ref="M10">IF(B10&gt;0,'Direct Costs 2026'!$C$47*B10,"N/A")</f>
        <v>1080000</v>
      </c>
      <c r="N10" s="594" cm="1">
        <f t="array" ref="N10">IF($B10&gt;0,'Direct Costs 2026'!$C$30,"N/A")</f>
        <v>440000</v>
      </c>
      <c r="O10" s="594" cm="1">
        <f t="array" ref="O10">IF($B10&gt;0,'Direct Costs 2026'!$C$31,"N/A")</f>
        <v>870000</v>
      </c>
      <c r="P10" s="594" cm="1">
        <f t="array" ref="P10">IF(B10&gt;0,'Direct Costs 2026'!$C$59*B10,"N/A")</f>
        <v>246000</v>
      </c>
      <c r="Q10" t="str" s="595" cm="1">
        <f t="array" ref="Q10">IF(B10&gt;0,_xlfn.IFERROR(VLOOKUP(C2,'Boats Data Sheet 2026'!$C$3:$I$57,7,0)*'Direct Costs 2026'!$C$36,"N/A"),"N/A")</f>
        <v>N/A</v>
      </c>
      <c r="R10" t="str" s="595" cm="1">
        <f t="array" ref="R10">IF(B10&gt;0,IF(OR(VLOOKUP(C2,'Boats Data Sheet 2026'!$C$3:$F$57,4,0)="Own",VLOOKUP(C2,'Boats Data Sheet 2026'!$C$3:$F$57,4,0)="Management"),('Direct Costs 2026'!$C$37+'Direct Costs 2026'!$C$39),"N/A"),"N/A")</f>
        <v>N/A</v>
      </c>
      <c r="S10" s="594" cm="1">
        <f t="array" ref="S10">_xlfn.IFERROR(IF(B10&gt;5,IF(B10&gt;11,IF(B10&gt;15,4,3),2),IF(B10=0,"N/A",1))*SUM('Direct Costs 2026'!$C$67:$C$68),"N/A")</f>
        <v>979200</v>
      </c>
      <c r="T10" s="594" cm="1">
        <f t="array" ref="T10">_xlfn.IFERROR('Direct Costs 2026'!$C$27*C10,"N/A")</f>
        <v>150000</v>
      </c>
      <c r="U10" s="594" cm="1">
        <f t="array" ref="U10">_xlfn.IFERROR(C10+SUM(E10:T10),"N/A")</f>
        <v>12990033.3333333</v>
      </c>
      <c r="V10" s="424"/>
      <c r="W10" s="594" cm="1">
        <f t="array" ref="W10">IF(B10&gt;0,'Allocation OH and Target 2026'!$E$27,"N/A")</f>
        <v>2134447.30345641</v>
      </c>
      <c r="X10" s="594" cm="1">
        <f t="array" ref="X10">IF(B10&gt;0,'Allocation OH and Target 2026'!$E$28,"N/A")</f>
        <v>200042.323056976</v>
      </c>
      <c r="Y10" s="594" cm="1">
        <f t="array" ref="Y10">IF(B10&gt;0,VLOOKUP(C2,'Allocation OH and Target 2026'!$C$5:$T$23,17,0),"N/A")</f>
        <v>0</v>
      </c>
      <c r="Z10" s="594" cm="1">
        <f t="array" ref="Z10">IF(B10&gt;0,VLOOKUP(C2,'Allocation OH and Target 2026'!$C$5:$T$23,18,0),"N/A")</f>
        <v>0</v>
      </c>
      <c r="AA10" s="594" cm="1">
        <f t="array" ref="AA10">_xlfn.IFERROR(B10*(X10+Z10),"N/A")</f>
        <v>1200253.93834186</v>
      </c>
      <c r="AB10" s="424"/>
      <c r="AC10" s="594" cm="1">
        <f t="array" ref="AC10">_xlfn.IFERROR(AA10+U10,"N/A")</f>
        <v>14190287.2716752</v>
      </c>
      <c r="AD10" s="594" cm="1">
        <f t="array" ref="AD10">_xlfn.IFERROR(AC10*0.5%,"N/A")</f>
        <v>70951.436358376</v>
      </c>
      <c r="AE10" s="594" cm="1">
        <f t="array" ref="AE10">_xlfn.IFERROR(AC10*25%,"N/A")</f>
        <v>3547571.8179188</v>
      </c>
      <c r="AF10" s="596" cm="1">
        <f t="array" ref="AF10">IF(B10&gt;0,SUM(AC10:AE10),"N/A")</f>
        <v>17808810.5259524</v>
      </c>
      <c r="AG10" s="594" cm="1">
        <f t="array" ref="AG10">_xlfn.IFERROR(AF10/B10,"N/A")</f>
        <v>2968135.08765873</v>
      </c>
      <c r="AH10" s="424"/>
      <c r="AI10" t="str" s="604" cm="1">
        <f t="array" ref="AI10">IF(B10/VLOOKUP(C2,'Boats Data Sheet 2026'!$C$3:$H$57,6,0)&gt;VLOOKUP(C2,'Allocation OH and Target 2026'!$C$5:$J$23,8,0),IF(SUM(AJ4:AJ9)=0,AG10,"N/A"),"N/A")</f>
        <v>N/A</v>
      </c>
      <c r="AJ10" s="424" cm="1">
        <f t="array" ref="AJ10">IF(AI10="N/A",0,1)</f>
        <v>0</v>
      </c>
      <c r="AK10" t="str" s="595" cm="1">
        <f t="array" ref="AK10">IF(B10/VLOOKUP(C2,'Boats Data Sheet 2026'!$C$3:$H$57,6,0)&gt;VLOOKUP(C2,'Allocation OH and Target 2026'!$C$5:$J$23,8,0),IF(SUM(AJ4:AJ9)=0,U10/B10,"N/A"),"N/A")</f>
        <v>N/A</v>
      </c>
      <c r="AL10" s="424" cm="1">
        <f t="array" ref="AL10">IF(AK10="N/A",0,1)</f>
        <v>0</v>
      </c>
      <c r="AM10" t="str" s="605" cm="1">
        <f t="array" ref="AM10">IF(SUM(1250000+700000)*B10&lt;SUM(AC10:AD10),"NO GO","GO")</f>
        <v>NO GO</v>
      </c>
      <c r="AN10" s="424"/>
      <c r="AO10" s="594"/>
      <c r="AP10" s="594"/>
      <c r="AQ10" s="594"/>
      <c r="AR10" s="600"/>
      <c r="AS10" s="601" cm="1">
        <f t="array" ref="AS10">B10</f>
        <v>6</v>
      </c>
    </row>
    <row r="11" ht="16" customHeight="1">
      <c r="A11" s="12"/>
      <c r="B11" s="602" cm="1">
        <f t="array" ref="B11">IF(B10=0,0,IF(B10&lt;VLOOKUP(C2,'Boats Data Sheet 2026'!$C$3:$H$57,6,0),B10+1,0))</f>
        <v>7</v>
      </c>
      <c r="C11" s="594" cm="1">
        <f t="array" ref="C11">IF(B11&gt;0,IF(VLOOKUP(C2,'Boats Data Sheet 2026'!$C$3:$J$57,8,0)="N/A",0,VLOOKUP(C2,'Boats Data Sheet 2026'!$C$3:$J$57,8,0)),"N/A")</f>
        <v>7500000</v>
      </c>
      <c r="D11" s="603" cm="1">
        <f t="array" ref="D11">IF(B11&gt;7,2,IF(B11=0,"N/A",1))</f>
        <v>1</v>
      </c>
      <c r="E11" s="594" cm="1">
        <f t="array" ref="E11">_xlfn.IFERROR(SUM('Direct Costs 2026'!$C$4:$C$6)*D11,"N/A")</f>
        <v>975500</v>
      </c>
      <c r="F11" s="594" cm="1">
        <f t="array" ref="F11">_xlfn.IFERROR('Direct Costs 2026'!$C$43*B11,"N/A")</f>
        <v>42000</v>
      </c>
      <c r="G11" s="594" cm="1">
        <f t="array" ref="G11">IF(B11&gt;0,'Direct Costs 2026'!$C$25,"N/A")</f>
        <v>90000</v>
      </c>
      <c r="H11" s="594" cm="1">
        <f t="array" ref="H11">IF(B11&gt;0,'Direct Costs 2026'!$C$19+'Direct Costs 2026'!$C$18*B11,"N/A")</f>
        <v>320000</v>
      </c>
      <c r="I11" s="594" cm="1">
        <f t="array" ref="I11">IF(B11&gt;0,SUM('Direct Costs 2026'!$C$20:$C$21),"N/A")</f>
        <v>98333.3333333333</v>
      </c>
      <c r="J11" s="594" cm="1">
        <f t="array" ref="J11">IF(B11&gt;0,'Direct Costs 2026'!$C$14,"N/A")</f>
        <v>60000</v>
      </c>
      <c r="K11" s="594" cm="1">
        <f t="array" ref="K11">IF(B11&gt;0,'Direct Costs 2026'!$C$26,"N/A")</f>
        <v>20000</v>
      </c>
      <c r="L11" s="594" cm="1">
        <f t="array" ref="L11">IF(B11&gt;0,SUM('Direct Costs 2026'!$C$23:$C$24),"N/A")</f>
        <v>160000</v>
      </c>
      <c r="M11" s="594" cm="1">
        <f t="array" ref="M11">IF(B11&gt;0,'Direct Costs 2026'!$C$47*B11,"N/A")</f>
        <v>1260000</v>
      </c>
      <c r="N11" s="594" cm="1">
        <f t="array" ref="N11">IF($B11&gt;0,'Direct Costs 2026'!$C$30,"N/A")</f>
        <v>440000</v>
      </c>
      <c r="O11" s="594" cm="1">
        <f t="array" ref="O11">IF($B11&gt;0,'Direct Costs 2026'!$C$31,"N/A")</f>
        <v>870000</v>
      </c>
      <c r="P11" s="594" cm="1">
        <f t="array" ref="P11">IF(B11&gt;0,'Direct Costs 2026'!$C$59*B11,"N/A")</f>
        <v>287000</v>
      </c>
      <c r="Q11" t="str" s="595" cm="1">
        <f t="array" ref="Q11">IF(B11&gt;0,_xlfn.IFERROR(VLOOKUP(C2,'Boats Data Sheet 2026'!$C$3:$I$57,7,0)*'Direct Costs 2026'!$C$36,"N/A"),"N/A")</f>
        <v>N/A</v>
      </c>
      <c r="R11" t="str" s="595" cm="1">
        <f t="array" ref="R11">IF(B11&gt;0,IF(OR(VLOOKUP(C2,'Boats Data Sheet 2026'!$C$3:$F$57,4,0)="Own",VLOOKUP(C2,'Boats Data Sheet 2026'!$C$3:$F$57,4,0)="Management"),('Direct Costs 2026'!$C$37+'Direct Costs 2026'!$C$39),"N/A"),"N/A")</f>
        <v>N/A</v>
      </c>
      <c r="S11" s="594" cm="1">
        <f t="array" ref="S11">_xlfn.IFERROR(IF(B11&gt;5,IF(B11&gt;11,IF(B11&gt;15,4,3),2),IF(B11=0,"N/A",1))*SUM('Direct Costs 2026'!$C$67:$C$68),"N/A")</f>
        <v>979200</v>
      </c>
      <c r="T11" s="594" cm="1">
        <f t="array" ref="T11">_xlfn.IFERROR('Direct Costs 2026'!$C$27*C11,"N/A")</f>
        <v>150000</v>
      </c>
      <c r="U11" s="594" cm="1">
        <f t="array" ref="U11">_xlfn.IFERROR(C11+SUM(E11:T11),"N/A")</f>
        <v>13252033.3333333</v>
      </c>
      <c r="V11" s="424"/>
      <c r="W11" s="594" cm="1">
        <f t="array" ref="W11">IF(B11&gt;0,'Allocation OH and Target 2026'!$E$27,"N/A")</f>
        <v>2134447.30345641</v>
      </c>
      <c r="X11" s="594" cm="1">
        <f t="array" ref="X11">IF(B11&gt;0,'Allocation OH and Target 2026'!$E$28,"N/A")</f>
        <v>200042.323056976</v>
      </c>
      <c r="Y11" s="594" cm="1">
        <f t="array" ref="Y11">IF(B11&gt;0,VLOOKUP(C2,'Allocation OH and Target 2026'!$C$5:$T$23,17,0),"N/A")</f>
        <v>0</v>
      </c>
      <c r="Z11" s="594" cm="1">
        <f t="array" ref="Z11">IF(B11&gt;0,VLOOKUP(C2,'Allocation OH and Target 2026'!$C$5:$T$23,18,0),"N/A")</f>
        <v>0</v>
      </c>
      <c r="AA11" s="594" cm="1">
        <f t="array" ref="AA11">_xlfn.IFERROR(B11*(X11+Z11),"N/A")</f>
        <v>1400296.26139883</v>
      </c>
      <c r="AB11" s="424"/>
      <c r="AC11" s="594" cm="1">
        <f t="array" ref="AC11">_xlfn.IFERROR(AA11+U11,"N/A")</f>
        <v>14652329.5947321</v>
      </c>
      <c r="AD11" s="594" cm="1">
        <f t="array" ref="AD11">_xlfn.IFERROR(AC11*0.5%,"N/A")</f>
        <v>73261.6479736605</v>
      </c>
      <c r="AE11" s="594" cm="1">
        <f t="array" ref="AE11">_xlfn.IFERROR(AC11*25%,"N/A")</f>
        <v>3663082.39868303</v>
      </c>
      <c r="AF11" s="596" cm="1">
        <f t="array" ref="AF11">IF(B11&gt;0,SUM(AC11:AE11),"N/A")</f>
        <v>18388673.6413888</v>
      </c>
      <c r="AG11" s="594" cm="1">
        <f t="array" ref="AG11">_xlfn.IFERROR(AF11/B11,"N/A")</f>
        <v>2626953.37734126</v>
      </c>
      <c r="AH11" s="424"/>
      <c r="AI11" t="str" s="604" cm="1">
        <f t="array" ref="AI11">IF(B11/VLOOKUP(C2,'Boats Data Sheet 2026'!$C$3:$H$57,6,0)&gt;VLOOKUP(C2,'Allocation OH and Target 2026'!$C$5:$J$23,8,0),IF(SUM(AJ4:AJ10)=0,AG11,"N/A"),"N/A")</f>
        <v>N/A</v>
      </c>
      <c r="AJ11" s="424" cm="1">
        <f t="array" ref="AJ11">IF(AI11="N/A",0,1)</f>
        <v>0</v>
      </c>
      <c r="AK11" t="str" s="595" cm="1">
        <f t="array" ref="AK11">IF(B11/VLOOKUP(C2,'Boats Data Sheet 2026'!$C$3:$H$57,6,0)&gt;VLOOKUP(C2,'Allocation OH and Target 2026'!$C$5:$J$23,8,0),IF(SUM(AJ4:AJ10)=0,U11/B11,"N/A"),"N/A")</f>
        <v>N/A</v>
      </c>
      <c r="AL11" s="424" cm="1">
        <f t="array" ref="AL11">IF(AK11="N/A",0,1)</f>
        <v>0</v>
      </c>
      <c r="AM11" t="str" s="605" cm="1">
        <f t="array" ref="AM11">IF(SUM(1250000+700000)*B11&lt;SUM(AC11:AD11),"NO GO","GO")</f>
        <v>NO GO</v>
      </c>
      <c r="AN11" s="424"/>
      <c r="AO11" s="594"/>
      <c r="AP11" s="594"/>
      <c r="AQ11" s="594"/>
      <c r="AR11" s="600"/>
      <c r="AS11" s="601" cm="1">
        <f t="array" ref="AS11">B11</f>
        <v>7</v>
      </c>
    </row>
    <row r="12" ht="16" customHeight="1">
      <c r="A12" s="12"/>
      <c r="B12" s="602" cm="1">
        <f t="array" ref="B12">IF(B11=0,0,IF(B11&lt;VLOOKUP(C2,'Boats Data Sheet 2026'!$C$3:$H$57,6,0),B11+1,0))</f>
        <v>8</v>
      </c>
      <c r="C12" s="594" cm="1">
        <f t="array" ref="C12">IF(B12&gt;0,IF(VLOOKUP(C2,'Boats Data Sheet 2026'!$C$3:$J$57,8,0)="N/A",0,VLOOKUP(C2,'Boats Data Sheet 2026'!$C$3:$J$57,8,0)),"N/A")</f>
        <v>7500000</v>
      </c>
      <c r="D12" s="603" cm="1">
        <f t="array" ref="D12">IF(B12&gt;7,2,IF(B12=0,"N/A",1))</f>
        <v>2</v>
      </c>
      <c r="E12" s="594" cm="1">
        <f t="array" ref="E12">_xlfn.IFERROR(SUM('Direct Costs 2026'!$C$4:$C$6)*D12,"N/A")</f>
        <v>1951000</v>
      </c>
      <c r="F12" s="594" cm="1">
        <f t="array" ref="F12">_xlfn.IFERROR('Direct Costs 2026'!$C$43*B12,"N/A")</f>
        <v>48000</v>
      </c>
      <c r="G12" s="594" cm="1">
        <f t="array" ref="G12">IF(B12&gt;0,'Direct Costs 2026'!$C$25,"N/A")</f>
        <v>90000</v>
      </c>
      <c r="H12" s="594" cm="1">
        <f t="array" ref="H12">IF(B12&gt;0,'Direct Costs 2026'!$C$19+'Direct Costs 2026'!$C$18*B12,"N/A")</f>
        <v>355000</v>
      </c>
      <c r="I12" s="594" cm="1">
        <f t="array" ref="I12">IF(B12&gt;0,SUM('Direct Costs 2026'!$C$20:$C$21),"N/A")</f>
        <v>98333.3333333333</v>
      </c>
      <c r="J12" s="594" cm="1">
        <f t="array" ref="J12">IF(B12&gt;0,'Direct Costs 2026'!$C$14,"N/A")</f>
        <v>60000</v>
      </c>
      <c r="K12" s="594" cm="1">
        <f t="array" ref="K12">IF(B12&gt;0,'Direct Costs 2026'!$C$26,"N/A")</f>
        <v>20000</v>
      </c>
      <c r="L12" s="594" cm="1">
        <f t="array" ref="L12">IF(B12&gt;0,SUM('Direct Costs 2026'!$C$23:$C$24),"N/A")</f>
        <v>160000</v>
      </c>
      <c r="M12" s="594" cm="1">
        <f t="array" ref="M12">IF(B12&gt;0,'Direct Costs 2026'!$C$47*B12,"N/A")</f>
        <v>1440000</v>
      </c>
      <c r="N12" s="594" cm="1">
        <f t="array" ref="N12">IF($B12&gt;0,'Direct Costs 2026'!$C$30,"N/A")</f>
        <v>440000</v>
      </c>
      <c r="O12" s="594" cm="1">
        <f t="array" ref="O12">IF($B12&gt;0,'Direct Costs 2026'!$C$31,"N/A")</f>
        <v>870000</v>
      </c>
      <c r="P12" s="594" cm="1">
        <f t="array" ref="P12">IF(B12&gt;0,'Direct Costs 2026'!$C$59*B12,"N/A")</f>
        <v>328000</v>
      </c>
      <c r="Q12" t="str" s="595" cm="1">
        <f t="array" ref="Q12">IF(B12&gt;0,_xlfn.IFERROR(VLOOKUP(C2,'Boats Data Sheet 2026'!$C$3:$I$57,7,0)*'Direct Costs 2026'!$C$36,"N/A"),"N/A")</f>
        <v>N/A</v>
      </c>
      <c r="R12" t="str" s="595" cm="1">
        <f t="array" ref="R12">IF(B12&gt;0,IF(OR(VLOOKUP(C2,'Boats Data Sheet 2026'!$C$3:$F$57,4,0)="Own",VLOOKUP(C2,'Boats Data Sheet 2026'!$C$3:$F$57,4,0)="Management"),('Direct Costs 2026'!$C$37+'Direct Costs 2026'!$C$39),"N/A"),"N/A")</f>
        <v>N/A</v>
      </c>
      <c r="S12" s="594" cm="1">
        <f t="array" ref="S12">_xlfn.IFERROR(IF(B12&gt;5,IF(B12&gt;11,IF(B12&gt;15,4,3),2),IF(B12=0,"N/A",1))*SUM('Direct Costs 2026'!$C$67:$C$68),"N/A")</f>
        <v>979200</v>
      </c>
      <c r="T12" s="594" cm="1">
        <f t="array" ref="T12">_xlfn.IFERROR('Direct Costs 2026'!$C$27*C12,"N/A")</f>
        <v>150000</v>
      </c>
      <c r="U12" s="594" cm="1">
        <f t="array" ref="U12">_xlfn.IFERROR(C12+SUM(E12:T12),"N/A")</f>
        <v>14489533.3333333</v>
      </c>
      <c r="V12" s="424"/>
      <c r="W12" s="594" cm="1">
        <f t="array" ref="W12">IF(B12&gt;0,'Allocation OH and Target 2026'!$E$27,"N/A")</f>
        <v>2134447.30345641</v>
      </c>
      <c r="X12" s="594" cm="1">
        <f t="array" ref="X12">IF(B12&gt;0,'Allocation OH and Target 2026'!$E$28,"N/A")</f>
        <v>200042.323056976</v>
      </c>
      <c r="Y12" s="594" cm="1">
        <f t="array" ref="Y12">IF(B12&gt;0,VLOOKUP(C2,'Allocation OH and Target 2026'!$C$5:$T$23,17,0),"N/A")</f>
        <v>0</v>
      </c>
      <c r="Z12" s="594" cm="1">
        <f t="array" ref="Z12">IF(B12&gt;0,VLOOKUP(C2,'Allocation OH and Target 2026'!$C$5:$T$23,18,0),"N/A")</f>
        <v>0</v>
      </c>
      <c r="AA12" s="594" cm="1">
        <f t="array" ref="AA12">_xlfn.IFERROR(B12*(X12+Z12),"N/A")</f>
        <v>1600338.58445581</v>
      </c>
      <c r="AB12" s="424"/>
      <c r="AC12" s="594" cm="1">
        <f t="array" ref="AC12">_xlfn.IFERROR(AA12+U12,"N/A")</f>
        <v>16089871.9177891</v>
      </c>
      <c r="AD12" s="594" cm="1">
        <f t="array" ref="AD12">_xlfn.IFERROR(AC12*0.5%,"N/A")</f>
        <v>80449.3595889455</v>
      </c>
      <c r="AE12" s="594" cm="1">
        <f t="array" ref="AE12">_xlfn.IFERROR(AC12*25%,"N/A")</f>
        <v>4022467.97944728</v>
      </c>
      <c r="AF12" s="596" cm="1">
        <f t="array" ref="AF12">IF(B12&gt;0,SUM(AC12:AE12),"N/A")</f>
        <v>20192789.2568253</v>
      </c>
      <c r="AG12" s="594" cm="1">
        <f t="array" ref="AG12">_xlfn.IFERROR(AF12/B12,"N/A")</f>
        <v>2524098.65710316</v>
      </c>
      <c r="AH12" s="424"/>
      <c r="AI12" t="str" s="604" cm="1">
        <f t="array" ref="AI12">IF(B12/VLOOKUP(C2,'Boats Data Sheet 2026'!$C$3:$H$57,6,0)&gt;VLOOKUP(C2,'Allocation OH and Target 2026'!$C$5:$J$23,8,0),IF(SUM(AJ4:AJ11)=0,AG12,"N/A"),"N/A")</f>
        <v>N/A</v>
      </c>
      <c r="AJ12" s="424" cm="1">
        <f t="array" ref="AJ12">IF(AI12="N/A",0,1)</f>
        <v>0</v>
      </c>
      <c r="AK12" t="str" s="595" cm="1">
        <f t="array" ref="AK12">IF(B12/VLOOKUP(C2,'Boats Data Sheet 2026'!$C$3:$H$57,6,0)&gt;VLOOKUP(C2,'Allocation OH and Target 2026'!$C$5:$J$23,8,0),IF(SUM(AJ4:AJ11)=0,U12/B12,"N/A"),"N/A")</f>
        <v>N/A</v>
      </c>
      <c r="AL12" s="424" cm="1">
        <f t="array" ref="AL12">IF(AK12="N/A",0,1)</f>
        <v>0</v>
      </c>
      <c r="AM12" t="str" s="605" cm="1">
        <f t="array" ref="AM12">IF(SUM(1250000+700000)*B12&lt;SUM(AC12:AD12),"NO GO","GO")</f>
        <v>NO GO</v>
      </c>
      <c r="AN12" s="424"/>
      <c r="AO12" s="594"/>
      <c r="AP12" s="594"/>
      <c r="AQ12" s="594"/>
      <c r="AR12" s="600"/>
      <c r="AS12" s="601" cm="1">
        <f t="array" ref="AS12">B12</f>
        <v>8</v>
      </c>
    </row>
    <row r="13" ht="16" customHeight="1">
      <c r="A13" s="12"/>
      <c r="B13" s="602" cm="1">
        <f t="array" ref="B13">IF(B12=0,0,IF(B12&lt;VLOOKUP(C2,'Boats Data Sheet 2026'!$C$3:$H$57,6,0),B12+1,0))</f>
        <v>9</v>
      </c>
      <c r="C13" s="594" cm="1">
        <f t="array" ref="C13">IF(B13&gt;0,IF(VLOOKUP(C2,'Boats Data Sheet 2026'!$C$3:$J$57,8,0)="N/A",0,VLOOKUP(C2,'Boats Data Sheet 2026'!$C$3:$J$57,8,0)),"N/A")</f>
        <v>7500000</v>
      </c>
      <c r="D13" s="603" cm="1">
        <f t="array" ref="D13">IF(B13&gt;7,2,IF(B13=0,"N/A",1))</f>
        <v>2</v>
      </c>
      <c r="E13" s="594" cm="1">
        <f t="array" ref="E13">_xlfn.IFERROR(SUM('Direct Costs 2026'!$C$4:$C$6)*D13,"N/A")</f>
        <v>1951000</v>
      </c>
      <c r="F13" s="594" cm="1">
        <f t="array" ref="F13">_xlfn.IFERROR('Direct Costs 2026'!$C$43*B13,"N/A")</f>
        <v>54000</v>
      </c>
      <c r="G13" s="594" cm="1">
        <f t="array" ref="G13">IF(B13&gt;0,'Direct Costs 2026'!$C$25,"N/A")</f>
        <v>90000</v>
      </c>
      <c r="H13" s="594" cm="1">
        <f t="array" ref="H13">IF(B13&gt;0,'Direct Costs 2026'!$C$19+'Direct Costs 2026'!$C$18*B13,"N/A")</f>
        <v>390000</v>
      </c>
      <c r="I13" s="594" cm="1">
        <f t="array" ref="I13">IF(B13&gt;0,SUM('Direct Costs 2026'!$C$20:$C$21),"N/A")</f>
        <v>98333.3333333333</v>
      </c>
      <c r="J13" s="594" cm="1">
        <f t="array" ref="J13">IF(B13&gt;0,'Direct Costs 2026'!$C$14,"N/A")</f>
        <v>60000</v>
      </c>
      <c r="K13" s="594" cm="1">
        <f t="array" ref="K13">IF(B13&gt;0,'Direct Costs 2026'!$C$26,"N/A")</f>
        <v>20000</v>
      </c>
      <c r="L13" s="594" cm="1">
        <f t="array" ref="L13">IF(B13&gt;0,SUM('Direct Costs 2026'!$C$23:$C$24),"N/A")</f>
        <v>160000</v>
      </c>
      <c r="M13" s="594" cm="1">
        <f t="array" ref="M13">IF(B13&gt;0,'Direct Costs 2026'!$C$47*B13,"N/A")</f>
        <v>1620000</v>
      </c>
      <c r="N13" s="594" cm="1">
        <f t="array" ref="N13">IF($B13&gt;0,'Direct Costs 2026'!$C$30,"N/A")</f>
        <v>440000</v>
      </c>
      <c r="O13" s="594" cm="1">
        <f t="array" ref="O13">IF($B13&gt;0,'Direct Costs 2026'!$C$31,"N/A")</f>
        <v>870000</v>
      </c>
      <c r="P13" s="594" cm="1">
        <f t="array" ref="P13">IF(B13&gt;0,'Direct Costs 2026'!$C$59*B13,"N/A")</f>
        <v>369000</v>
      </c>
      <c r="Q13" t="str" s="595" cm="1">
        <f t="array" ref="Q13">IF(B13&gt;0,_xlfn.IFERROR(VLOOKUP(C2,'Boats Data Sheet 2026'!$C$3:$I$57,7,0)*'Direct Costs 2026'!$C$36,"N/A"),"N/A")</f>
        <v>N/A</v>
      </c>
      <c r="R13" t="str" s="595" cm="1">
        <f t="array" ref="R13">IF(B13&gt;0,IF(OR(VLOOKUP(C2,'Boats Data Sheet 2026'!$C$3:$F$57,4,0)="Own",VLOOKUP(C2,'Boats Data Sheet 2026'!$C$3:$F$57,4,0)="Management"),('Direct Costs 2026'!$C$37+'Direct Costs 2026'!$C$39),"N/A"),"N/A")</f>
        <v>N/A</v>
      </c>
      <c r="S13" s="594" cm="1">
        <f t="array" ref="S13">_xlfn.IFERROR(IF(B13&gt;5,IF(B13&gt;11,IF(B13&gt;15,4,3),2),IF(B13=0,"N/A",1))*SUM('Direct Costs 2026'!$C$67:$C$68),"N/A")</f>
        <v>979200</v>
      </c>
      <c r="T13" s="594" cm="1">
        <f t="array" ref="T13">_xlfn.IFERROR('Direct Costs 2026'!$C$27*C13,"N/A")</f>
        <v>150000</v>
      </c>
      <c r="U13" s="594" cm="1">
        <f t="array" ref="U13">_xlfn.IFERROR(C13+SUM(E13:T13),"N/A")</f>
        <v>14751533.3333333</v>
      </c>
      <c r="V13" s="424"/>
      <c r="W13" s="594" cm="1">
        <f t="array" ref="W13">IF(B13&gt;0,'Allocation OH and Target 2026'!$E$27,"N/A")</f>
        <v>2134447.30345641</v>
      </c>
      <c r="X13" s="594" cm="1">
        <f t="array" ref="X13">IF(B13&gt;0,'Allocation OH and Target 2026'!$E$28,"N/A")</f>
        <v>200042.323056976</v>
      </c>
      <c r="Y13" s="594" cm="1">
        <f t="array" ref="Y13">IF(B13&gt;0,VLOOKUP(C2,'Allocation OH and Target 2026'!$C$5:$T$23,17,0),"N/A")</f>
        <v>0</v>
      </c>
      <c r="Z13" s="594" cm="1">
        <f t="array" ref="Z13">IF(B13&gt;0,VLOOKUP(C2,'Allocation OH and Target 2026'!$C$5:$T$23,18,0),"N/A")</f>
        <v>0</v>
      </c>
      <c r="AA13" s="594" cm="1">
        <f t="array" ref="AA13">_xlfn.IFERROR(B13*(X13+Z13),"N/A")</f>
        <v>1800380.90751278</v>
      </c>
      <c r="AB13" s="424"/>
      <c r="AC13" s="594" cm="1">
        <f t="array" ref="AC13">_xlfn.IFERROR(AA13+U13,"N/A")</f>
        <v>16551914.2408461</v>
      </c>
      <c r="AD13" s="594" cm="1">
        <f t="array" ref="AD13">_xlfn.IFERROR(AC13*0.5%,"N/A")</f>
        <v>82759.571204230495</v>
      </c>
      <c r="AE13" s="594" cm="1">
        <f t="array" ref="AE13">_xlfn.IFERROR(AC13*25%,"N/A")</f>
        <v>4137978.56021153</v>
      </c>
      <c r="AF13" s="596" cm="1">
        <f t="array" ref="AF13">IF(B13&gt;0,SUM(AC13:AE13),"N/A")</f>
        <v>20772652.3722619</v>
      </c>
      <c r="AG13" s="594" cm="1">
        <f t="array" ref="AG13">_xlfn.IFERROR(AF13/B13,"N/A")</f>
        <v>2308072.48580688</v>
      </c>
      <c r="AH13" s="424"/>
      <c r="AI13" t="str" s="604" cm="1">
        <f t="array" ref="AI13">IF(B13/VLOOKUP(C2,'Boats Data Sheet 2026'!$C$3:$H$57,6,0)&gt;VLOOKUP(C2,'Allocation OH and Target 2026'!$C$5:$J$23,8,0),IF(SUM(AJ4:AJ12)=0,AG13,"N/A"),"N/A")</f>
        <v>N/A</v>
      </c>
      <c r="AJ13" s="424" cm="1">
        <f t="array" ref="AJ13">IF(AI13="N/A",0,1)</f>
        <v>0</v>
      </c>
      <c r="AK13" t="str" s="595" cm="1">
        <f t="array" ref="AK13">IF(B13/VLOOKUP(C2,'Boats Data Sheet 2026'!$C$3:$H$57,6,0)&gt;VLOOKUP(C2,'Allocation OH and Target 2026'!$C$5:$J$23,8,0),IF(SUM(AJ4:AJ12)=0,U13/B13,"N/A"),"N/A")</f>
        <v>N/A</v>
      </c>
      <c r="AL13" s="424" cm="1">
        <f t="array" ref="AL13">IF(AK13="N/A",0,1)</f>
        <v>0</v>
      </c>
      <c r="AM13" t="str" s="605" cm="1">
        <f t="array" ref="AM13">IF(SUM(1250000+700000)*B13&lt;SUM(AC13:AD13),"NO GO","GO")</f>
        <v>GO</v>
      </c>
      <c r="AN13" s="424"/>
      <c r="AO13" s="594"/>
      <c r="AP13" s="594"/>
      <c r="AQ13" s="594"/>
      <c r="AR13" s="600"/>
      <c r="AS13" s="601" cm="1">
        <f t="array" ref="AS13">B13</f>
        <v>9</v>
      </c>
    </row>
    <row r="14" ht="16" customHeight="1">
      <c r="A14" s="12"/>
      <c r="B14" s="602" cm="1">
        <f t="array" ref="B14">IF(B13=0,0,IF(B13&lt;VLOOKUP(C2,'Boats Data Sheet 2026'!$C$3:$H$57,6,0),B13+1,0))</f>
        <v>10</v>
      </c>
      <c r="C14" s="594" cm="1">
        <f t="array" ref="C14">IF(B14&gt;0,IF(VLOOKUP(C2,'Boats Data Sheet 2026'!$C$3:$J$57,8,0)="N/A",0,VLOOKUP(C2,'Boats Data Sheet 2026'!$C$3:$J$57,8,0)),"N/A")</f>
        <v>7500000</v>
      </c>
      <c r="D14" s="603" cm="1">
        <f t="array" ref="D14">IF(B14&gt;7,2,IF(B14=0,"N/A",1))</f>
        <v>2</v>
      </c>
      <c r="E14" s="594" cm="1">
        <f t="array" ref="E14">_xlfn.IFERROR(SUM('Direct Costs 2026'!$C$4:$C$6)*D14,"N/A")</f>
        <v>1951000</v>
      </c>
      <c r="F14" s="594" cm="1">
        <f t="array" ref="F14">_xlfn.IFERROR('Direct Costs 2026'!$C$43*B14,"N/A")</f>
        <v>60000</v>
      </c>
      <c r="G14" s="594" cm="1">
        <f t="array" ref="G14">IF(B14&gt;0,'Direct Costs 2026'!$C$25,"N/A")</f>
        <v>90000</v>
      </c>
      <c r="H14" s="594" cm="1">
        <f t="array" ref="H14">IF(B14&gt;0,'Direct Costs 2026'!$C$19+'Direct Costs 2026'!$C$18*B14,"N/A")</f>
        <v>425000</v>
      </c>
      <c r="I14" s="594" cm="1">
        <f t="array" ref="I14">IF(B14&gt;0,SUM('Direct Costs 2026'!$C$20:$C$21),"N/A")</f>
        <v>98333.3333333333</v>
      </c>
      <c r="J14" s="594" cm="1">
        <f t="array" ref="J14">IF(B14&gt;0,'Direct Costs 2026'!$C$14,"N/A")</f>
        <v>60000</v>
      </c>
      <c r="K14" s="594" cm="1">
        <f t="array" ref="K14">IF(B14&gt;0,'Direct Costs 2026'!$C$26,"N/A")</f>
        <v>20000</v>
      </c>
      <c r="L14" s="594" cm="1">
        <f t="array" ref="L14">IF(B14&gt;0,SUM('Direct Costs 2026'!$C$23:$C$24),"N/A")</f>
        <v>160000</v>
      </c>
      <c r="M14" s="594" cm="1">
        <f t="array" ref="M14">IF(B14&gt;0,'Direct Costs 2026'!$C$47*B14,"N/A")</f>
        <v>1800000</v>
      </c>
      <c r="N14" s="594" cm="1">
        <f t="array" ref="N14">IF($B14&gt;0,'Direct Costs 2026'!$C$30,"N/A")</f>
        <v>440000</v>
      </c>
      <c r="O14" s="594" cm="1">
        <f t="array" ref="O14">IF($B14&gt;0,'Direct Costs 2026'!$C$31,"N/A")</f>
        <v>870000</v>
      </c>
      <c r="P14" s="594" cm="1">
        <f t="array" ref="P14">IF(B14&gt;0,'Direct Costs 2026'!$C$59*B14,"N/A")</f>
        <v>410000</v>
      </c>
      <c r="Q14" t="str" s="595" cm="1">
        <f t="array" ref="Q14">IF(B14&gt;0,_xlfn.IFERROR(VLOOKUP(C2,'Boats Data Sheet 2026'!$C$3:$I$57,7,0)*'Direct Costs 2026'!$C$36,"N/A"),"N/A")</f>
        <v>N/A</v>
      </c>
      <c r="R14" t="str" s="595" cm="1">
        <f t="array" ref="R14">IF(B14&gt;0,IF(OR(VLOOKUP(C2,'Boats Data Sheet 2026'!$C$3:$F$57,4,0)="Own",VLOOKUP(C2,'Boats Data Sheet 2026'!$C$3:$F$57,4,0)="Management"),('Direct Costs 2026'!$C$37+'Direct Costs 2026'!$C$39),"N/A"),"N/A")</f>
        <v>N/A</v>
      </c>
      <c r="S14" s="594" cm="1">
        <f t="array" ref="S14">_xlfn.IFERROR(IF(B14&gt;5,IF(B14&gt;11,IF(B14&gt;15,4,3),2),IF(B14=0,"N/A",1))*SUM('Direct Costs 2026'!$C$67:$C$68),"N/A")</f>
        <v>979200</v>
      </c>
      <c r="T14" s="594" cm="1">
        <f t="array" ref="T14">_xlfn.IFERROR('Direct Costs 2026'!$C$27*C14,"N/A")</f>
        <v>150000</v>
      </c>
      <c r="U14" s="594" cm="1">
        <f t="array" ref="U14">_xlfn.IFERROR(C14+SUM(E14:T14),"N/A")</f>
        <v>15013533.3333333</v>
      </c>
      <c r="V14" s="424"/>
      <c r="W14" s="594" cm="1">
        <f t="array" ref="W14">IF(B14&gt;0,'Allocation OH and Target 2026'!$E$27,"N/A")</f>
        <v>2134447.30345641</v>
      </c>
      <c r="X14" s="594" cm="1">
        <f t="array" ref="X14">IF(B14&gt;0,'Allocation OH and Target 2026'!$E$28,"N/A")</f>
        <v>200042.323056976</v>
      </c>
      <c r="Y14" s="594" cm="1">
        <f t="array" ref="Y14">IF(B14&gt;0,VLOOKUP(C2,'Allocation OH and Target 2026'!$C$5:$T$23,17,0),"N/A")</f>
        <v>0</v>
      </c>
      <c r="Z14" s="594" cm="1">
        <f t="array" ref="Z14">IF(B14&gt;0,VLOOKUP(C2,'Allocation OH and Target 2026'!$C$5:$T$23,18,0),"N/A")</f>
        <v>0</v>
      </c>
      <c r="AA14" s="594" cm="1">
        <f t="array" ref="AA14">_xlfn.IFERROR(B14*(X14+Z14),"N/A")</f>
        <v>2000423.23056976</v>
      </c>
      <c r="AB14" s="424"/>
      <c r="AC14" s="594" cm="1">
        <f t="array" ref="AC14">_xlfn.IFERROR(AA14+U14,"N/A")</f>
        <v>17013956.5639031</v>
      </c>
      <c r="AD14" s="594" cm="1">
        <f t="array" ref="AD14">_xlfn.IFERROR(AC14*0.5%,"N/A")</f>
        <v>85069.7828195155</v>
      </c>
      <c r="AE14" s="594" cm="1">
        <f t="array" ref="AE14">_xlfn.IFERROR(AC14*25%,"N/A")</f>
        <v>4253489.14097578</v>
      </c>
      <c r="AF14" s="596" cm="1">
        <f t="array" ref="AF14">IF(B14&gt;0,SUM(AC14:AE14),"N/A")</f>
        <v>21352515.4876984</v>
      </c>
      <c r="AG14" s="594" cm="1">
        <f t="array" ref="AG14">_xlfn.IFERROR(AF14/B14,"N/A")</f>
        <v>2135251.54876984</v>
      </c>
      <c r="AH14" s="424"/>
      <c r="AI14" t="str" s="604" cm="1">
        <f t="array" ref="AI14">IF(B14/VLOOKUP(C2,'Boats Data Sheet 2026'!$C$3:$H$57,6,0)&gt;VLOOKUP(C2,'Allocation OH and Target 2026'!$C$5:$J$23,8,0),IF(SUM(AJ4:AJ13)=0,AG14,"N/A"),"N/A")</f>
        <v>N/A</v>
      </c>
      <c r="AJ14" s="424" cm="1">
        <f t="array" ref="AJ14">IF(AI14="N/A",0,1)</f>
        <v>0</v>
      </c>
      <c r="AK14" t="str" s="595" cm="1">
        <f t="array" ref="AK14">IF(B14/VLOOKUP(C2,'Boats Data Sheet 2026'!$C$3:$H$57,6,0)&gt;VLOOKUP(C2,'Allocation OH and Target 2026'!$C$5:$J$23,8,0),IF(SUM(AJ4:AJ13)=0,U14/B14,"N/A"),"N/A")</f>
        <v>N/A</v>
      </c>
      <c r="AL14" s="424" cm="1">
        <f t="array" ref="AL14">IF(AK14="N/A",0,1)</f>
        <v>0</v>
      </c>
      <c r="AM14" t="str" s="605" cm="1">
        <f t="array" ref="AM14">IF(SUM(1250000+700000)*B14&lt;SUM(AC14:AD14),"NO GO","GO")</f>
        <v>GO</v>
      </c>
      <c r="AN14" s="424"/>
      <c r="AO14" s="594"/>
      <c r="AP14" s="594"/>
      <c r="AQ14" s="594"/>
      <c r="AR14" s="600"/>
      <c r="AS14" s="601" cm="1">
        <f t="array" ref="AS14">B14</f>
        <v>10</v>
      </c>
    </row>
    <row r="15" ht="16" customHeight="1">
      <c r="A15" s="12"/>
      <c r="B15" s="602" cm="1">
        <f t="array" ref="B15">IF(B14=0,0,IF(B14&lt;VLOOKUP(C2,'Boats Data Sheet 2026'!$C$3:$H$57,6,0),B14+1,0))</f>
        <v>11</v>
      </c>
      <c r="C15" s="594" cm="1">
        <f t="array" ref="C15">IF(B15&gt;0,IF(VLOOKUP(C2,'Boats Data Sheet 2026'!$C$3:$J$57,8,0)="N/A",0,VLOOKUP(C2,'Boats Data Sheet 2026'!$C$3:$J$57,8,0)),"N/A")</f>
        <v>7500000</v>
      </c>
      <c r="D15" s="603" cm="1">
        <f t="array" ref="D15">IF(B15&gt;7,2,IF(B15=0,"N/A",1))</f>
        <v>2</v>
      </c>
      <c r="E15" s="594" cm="1">
        <f t="array" ref="E15">_xlfn.IFERROR(SUM('Direct Costs 2026'!$C$4:$C$6)*D15,"N/A")</f>
        <v>1951000</v>
      </c>
      <c r="F15" s="594" cm="1">
        <f t="array" ref="F15">_xlfn.IFERROR('Direct Costs 2026'!$C$43*B15,"N/A")</f>
        <v>66000</v>
      </c>
      <c r="G15" s="594" cm="1">
        <f t="array" ref="G15">IF(B15&gt;0,'Direct Costs 2026'!$C$25,"N/A")</f>
        <v>90000</v>
      </c>
      <c r="H15" s="594" cm="1">
        <f t="array" ref="H15">IF(B15&gt;0,'Direct Costs 2026'!$C$19+'Direct Costs 2026'!$C$18*B15,"N/A")</f>
        <v>460000</v>
      </c>
      <c r="I15" s="594" cm="1">
        <f t="array" ref="I15">IF(B15&gt;0,SUM('Direct Costs 2026'!$C$20:$C$21),"N/A")</f>
        <v>98333.3333333333</v>
      </c>
      <c r="J15" s="594" cm="1">
        <f t="array" ref="J15">IF(B15&gt;0,'Direct Costs 2026'!$C$14,"N/A")</f>
        <v>60000</v>
      </c>
      <c r="K15" s="594" cm="1">
        <f t="array" ref="K15">IF(B15&gt;0,'Direct Costs 2026'!$C$26,"N/A")</f>
        <v>20000</v>
      </c>
      <c r="L15" s="594" cm="1">
        <f t="array" ref="L15">IF(B15&gt;0,SUM('Direct Costs 2026'!$C$23:$C$24),"N/A")</f>
        <v>160000</v>
      </c>
      <c r="M15" s="594" cm="1">
        <f t="array" ref="M15">IF(B15&gt;0,'Direct Costs 2026'!$C$47*B15,"N/A")</f>
        <v>1980000</v>
      </c>
      <c r="N15" s="594" cm="1">
        <f t="array" ref="N15">IF($B15&gt;0,'Direct Costs 2026'!$C$30,"N/A")</f>
        <v>440000</v>
      </c>
      <c r="O15" s="594" cm="1">
        <f t="array" ref="O15">IF($B15&gt;0,'Direct Costs 2026'!$C$31,"N/A")</f>
        <v>870000</v>
      </c>
      <c r="P15" s="594" cm="1">
        <f t="array" ref="P15">IF(B15&gt;0,'Direct Costs 2026'!$C$59*B15,"N/A")</f>
        <v>451000</v>
      </c>
      <c r="Q15" t="str" s="595" cm="1">
        <f t="array" ref="Q15">IF(B15&gt;0,_xlfn.IFERROR(VLOOKUP(C2,'Boats Data Sheet 2026'!$C$3:$I$57,7,0)*'Direct Costs 2026'!$C$36,"N/A"),"N/A")</f>
        <v>N/A</v>
      </c>
      <c r="R15" t="str" s="595" cm="1">
        <f t="array" ref="R15">IF(B15&gt;0,IF(OR(VLOOKUP(C2,'Boats Data Sheet 2026'!$C$3:$F$57,4,0)="Own",VLOOKUP(C2,'Boats Data Sheet 2026'!$C$3:$F$57,4,0)="Management"),('Direct Costs 2026'!$C$37+'Direct Costs 2026'!$C$39),"N/A"),"N/A")</f>
        <v>N/A</v>
      </c>
      <c r="S15" s="594" cm="1">
        <f t="array" ref="S15">_xlfn.IFERROR(IF(B15&gt;5,IF(B15&gt;11,IF(B15&gt;15,4,3),2),IF(B15=0,"N/A",1))*SUM('Direct Costs 2026'!$C$67:$C$68),"N/A")</f>
        <v>979200</v>
      </c>
      <c r="T15" s="594" cm="1">
        <f t="array" ref="T15">_xlfn.IFERROR('Direct Costs 2026'!$C$27*C15,"N/A")</f>
        <v>150000</v>
      </c>
      <c r="U15" s="594" cm="1">
        <f t="array" ref="U15">_xlfn.IFERROR(C15+SUM(E15:T15),"N/A")</f>
        <v>15275533.3333333</v>
      </c>
      <c r="V15" s="424"/>
      <c r="W15" s="594" cm="1">
        <f t="array" ref="W15">IF(B15&gt;0,'Allocation OH and Target 2026'!$E$27,"N/A")</f>
        <v>2134447.30345641</v>
      </c>
      <c r="X15" s="594" cm="1">
        <f t="array" ref="X15">IF(B15&gt;0,'Allocation OH and Target 2026'!$E$28,"N/A")</f>
        <v>200042.323056976</v>
      </c>
      <c r="Y15" s="594" cm="1">
        <f t="array" ref="Y15">IF(B15&gt;0,VLOOKUP(C2,'Allocation OH and Target 2026'!$C$5:$T$23,17,0),"N/A")</f>
        <v>0</v>
      </c>
      <c r="Z15" s="594" cm="1">
        <f t="array" ref="Z15">IF(B15&gt;0,VLOOKUP(C2,'Allocation OH and Target 2026'!$C$5:$T$23,18,0),"N/A")</f>
        <v>0</v>
      </c>
      <c r="AA15" s="594" cm="1">
        <f t="array" ref="AA15">_xlfn.IFERROR(B15*(X15+Z15),"N/A")</f>
        <v>2200465.55362674</v>
      </c>
      <c r="AB15" s="424"/>
      <c r="AC15" s="594" cm="1">
        <f t="array" ref="AC15">_xlfn.IFERROR(AA15+U15,"N/A")</f>
        <v>17475998.88696</v>
      </c>
      <c r="AD15" s="594" cm="1">
        <f t="array" ref="AD15">_xlfn.IFERROR(AC15*0.5%,"N/A")</f>
        <v>87379.9944348</v>
      </c>
      <c r="AE15" s="594" cm="1">
        <f t="array" ref="AE15">_xlfn.IFERROR(AC15*25%,"N/A")</f>
        <v>4368999.72174</v>
      </c>
      <c r="AF15" s="596" cm="1">
        <f t="array" ref="AF15">IF(B15&gt;0,SUM(AC15:AE15),"N/A")</f>
        <v>21932378.6031348</v>
      </c>
      <c r="AG15" s="594" cm="1">
        <f t="array" ref="AG15">_xlfn.IFERROR(AF15/B15,"N/A")</f>
        <v>1993852.60028498</v>
      </c>
      <c r="AH15" s="424"/>
      <c r="AI15" s="596" cm="1">
        <f t="array" ref="AI15">IF(B15/VLOOKUP(C2,'Boats Data Sheet 2026'!$C$3:$H$57,6,0)&gt;VLOOKUP(C2,'Allocation OH and Target 2026'!$C$5:$J$23,8,0),IF(SUM(AJ4:AJ14)=0,AG15,"N/A"),"N/A")</f>
        <v>1993852.60028498</v>
      </c>
      <c r="AJ15" s="424" cm="1">
        <f t="array" ref="AJ15">IF(AI15="N/A",0,1)</f>
        <v>1</v>
      </c>
      <c r="AK15" s="594" cm="1">
        <f t="array" ref="AK15">IF(B15/VLOOKUP(C2,'Boats Data Sheet 2026'!$C$3:$H$57,6,0)&gt;VLOOKUP(C2,'Allocation OH and Target 2026'!$C$5:$J$23,8,0),IF(SUM(AJ4:AJ14)=0,U15/B15,"N/A"),"N/A")</f>
        <v>1388684.84848485</v>
      </c>
      <c r="AL15" s="424" cm="1">
        <f t="array" ref="AL15">IF(AK15="N/A",0,1)</f>
        <v>1</v>
      </c>
      <c r="AM15" t="str" s="605" cm="1">
        <f t="array" ref="AM15">IF(SUM(1250000+700000)*B15&lt;SUM(AC15:AD15),"NO GO","GO")</f>
        <v>GO</v>
      </c>
      <c r="AN15" s="424"/>
      <c r="AO15" s="594"/>
      <c r="AP15" s="594"/>
      <c r="AQ15" s="594"/>
      <c r="AR15" s="600"/>
      <c r="AS15" s="601" cm="1">
        <f t="array" ref="AS15">B15</f>
        <v>11</v>
      </c>
    </row>
    <row r="16" ht="16" customHeight="1">
      <c r="A16" s="12"/>
      <c r="B16" s="602" cm="1">
        <f t="array" ref="B16">IF(B15=0,0,IF(B15&lt;VLOOKUP(C2,'Boats Data Sheet 2026'!$C$3:$H$57,6,0),B15+1,0))</f>
        <v>12</v>
      </c>
      <c r="C16" s="594" cm="1">
        <f t="array" ref="C16">IF(B16&gt;0,IF(VLOOKUP(C2,'Boats Data Sheet 2026'!$C$3:$J$57,8,0)="N/A",0,VLOOKUP(C2,'Boats Data Sheet 2026'!$C$3:$J$57,8,0)),"N/A")</f>
        <v>7500000</v>
      </c>
      <c r="D16" s="603" cm="1">
        <f t="array" ref="D16">IF(B16&gt;7,2,IF(B16=0,"N/A",1))</f>
        <v>2</v>
      </c>
      <c r="E16" s="594" cm="1">
        <f t="array" ref="E16">_xlfn.IFERROR(SUM('Direct Costs 2026'!$C$4:$C$6)*D16,"N/A")</f>
        <v>1951000</v>
      </c>
      <c r="F16" s="594" cm="1">
        <f t="array" ref="F16">_xlfn.IFERROR('Direct Costs 2026'!$C$43*B16,"N/A")</f>
        <v>72000</v>
      </c>
      <c r="G16" s="594" cm="1">
        <f t="array" ref="G16">IF(B16&gt;0,'Direct Costs 2026'!$C$25,"N/A")</f>
        <v>90000</v>
      </c>
      <c r="H16" s="594" cm="1">
        <f t="array" ref="H16">IF(B16&gt;0,'Direct Costs 2026'!$C$19+'Direct Costs 2026'!$C$18*B16,"N/A")</f>
        <v>495000</v>
      </c>
      <c r="I16" s="594" cm="1">
        <f t="array" ref="I16">IF(B16&gt;0,SUM('Direct Costs 2026'!$C$20:$C$21),"N/A")</f>
        <v>98333.3333333333</v>
      </c>
      <c r="J16" s="594" cm="1">
        <f t="array" ref="J16">IF(B16&gt;0,'Direct Costs 2026'!$C$14,"N/A")</f>
        <v>60000</v>
      </c>
      <c r="K16" s="594" cm="1">
        <f t="array" ref="K16">IF(B16&gt;0,'Direct Costs 2026'!$C$26,"N/A")</f>
        <v>20000</v>
      </c>
      <c r="L16" s="594" cm="1">
        <f t="array" ref="L16">IF(B16&gt;0,SUM('Direct Costs 2026'!$C$23:$C$24),"N/A")</f>
        <v>160000</v>
      </c>
      <c r="M16" s="594" cm="1">
        <f t="array" ref="M16">IF(B16&gt;0,'Direct Costs 2026'!$C$47*B16,"N/A")</f>
        <v>2160000</v>
      </c>
      <c r="N16" s="594" cm="1">
        <f t="array" ref="N16">IF($B16&gt;0,'Direct Costs 2026'!$C$30,"N/A")</f>
        <v>440000</v>
      </c>
      <c r="O16" s="594" cm="1">
        <f t="array" ref="O16">IF($B16&gt;0,'Direct Costs 2026'!$C$31,"N/A")</f>
        <v>870000</v>
      </c>
      <c r="P16" s="594" cm="1">
        <f t="array" ref="P16">IF(B16&gt;0,'Direct Costs 2026'!$C$59*B16,"N/A")</f>
        <v>492000</v>
      </c>
      <c r="Q16" t="str" s="595" cm="1">
        <f t="array" ref="Q16">IF(B16&gt;0,_xlfn.IFERROR(VLOOKUP(C2,'Boats Data Sheet 2026'!$C$3:$I$57,7,0)*'Direct Costs 2026'!$C$36,"N/A"),"N/A")</f>
        <v>N/A</v>
      </c>
      <c r="R16" t="str" s="595" cm="1">
        <f t="array" ref="R16">IF(B16&gt;0,IF(OR(VLOOKUP(C2,'Boats Data Sheet 2026'!$C$3:$F$57,4,0)="Own",VLOOKUP(C2,'Boats Data Sheet 2026'!$C$3:$F$57,4,0)="Management"),('Direct Costs 2026'!$C$37+'Direct Costs 2026'!$C$39),"N/A"),"N/A")</f>
        <v>N/A</v>
      </c>
      <c r="S16" s="594" cm="1">
        <f t="array" ref="S16">_xlfn.IFERROR(IF(B16&gt;5,IF(B16&gt;11,IF(B16&gt;15,4,3),2),IF(B16=0,"N/A",1))*SUM('Direct Costs 2026'!$C$67:$C$68),"N/A")</f>
        <v>1468800</v>
      </c>
      <c r="T16" s="594" cm="1">
        <f t="array" ref="T16">_xlfn.IFERROR('Direct Costs 2026'!$C$27*C16,"N/A")</f>
        <v>150000</v>
      </c>
      <c r="U16" s="594" cm="1">
        <f t="array" ref="U16">_xlfn.IFERROR(C16+SUM(E16:T16),"N/A")</f>
        <v>16027133.3333333</v>
      </c>
      <c r="V16" s="424"/>
      <c r="W16" s="594" cm="1">
        <f t="array" ref="W16">IF(B16&gt;0,'Allocation OH and Target 2026'!$E$27,"N/A")</f>
        <v>2134447.30345641</v>
      </c>
      <c r="X16" s="594" cm="1">
        <f t="array" ref="X16">IF(B16&gt;0,'Allocation OH and Target 2026'!$E$28,"N/A")</f>
        <v>200042.323056976</v>
      </c>
      <c r="Y16" s="594" cm="1">
        <f t="array" ref="Y16">IF(B17&gt;0,VLOOKUP(C2,'Allocation OH and Target 2026'!$C$5:$T$23,17,0),"N/A")</f>
        <v>0</v>
      </c>
      <c r="Z16" s="594" cm="1">
        <f t="array" ref="Z16">IF(B16&gt;0,VLOOKUP(C2,'Allocation OH and Target 2026'!$C$5:$T$23,18,0),"N/A")</f>
        <v>0</v>
      </c>
      <c r="AA16" s="594" cm="1">
        <f t="array" ref="AA16">_xlfn.IFERROR(B16*(X16+Z16),"N/A")</f>
        <v>2400507.87668371</v>
      </c>
      <c r="AB16" s="424"/>
      <c r="AC16" s="594" cm="1">
        <f t="array" ref="AC16">_xlfn.IFERROR(AA16+U16,"N/A")</f>
        <v>18427641.210017</v>
      </c>
      <c r="AD16" s="594" cm="1">
        <f t="array" ref="AD16">_xlfn.IFERROR(AC16*0.5%,"N/A")</f>
        <v>92138.206050085006</v>
      </c>
      <c r="AE16" s="594" cm="1">
        <f t="array" ref="AE16">_xlfn.IFERROR(AC16*25%,"N/A")</f>
        <v>4606910.30250425</v>
      </c>
      <c r="AF16" s="596" cm="1">
        <f t="array" ref="AF16">IF(B16&gt;0,SUM(AC16:AE16),"N/A")</f>
        <v>23126689.7185713</v>
      </c>
      <c r="AG16" s="594" cm="1">
        <f t="array" ref="AG16">_xlfn.IFERROR(AF16/B16,"N/A")</f>
        <v>1927224.14321428</v>
      </c>
      <c r="AH16" s="424"/>
      <c r="AI16" t="str" s="604" cm="1">
        <f t="array" ref="AI16">IF(B16/VLOOKUP(C2,'Boats Data Sheet 2026'!$C$3:$H$57,6,0)&gt;VLOOKUP(C2,'Allocation OH and Target 2026'!$C$5:$J$23,8,0),IF(SUM(AJ4:AJ15)=0,AG16,"N/A"),"N/A")</f>
        <v>N/A</v>
      </c>
      <c r="AJ16" s="424" cm="1">
        <f t="array" ref="AJ16">IF(AI16="N/A",0,1)</f>
        <v>0</v>
      </c>
      <c r="AK16" t="str" s="595" cm="1">
        <f t="array" ref="AK16">IF(B16/VLOOKUP(C2,'Boats Data Sheet 2026'!$C$3:$H$57,6,0)&gt;VLOOKUP(C2,'Allocation OH and Target 2026'!$C$5:$J$23,8,0),IF(SUM(AJ4:AJ15)=0,U16/B16,"N/A"),"N/A")</f>
        <v>N/A</v>
      </c>
      <c r="AL16" s="424" cm="1">
        <f t="array" ref="AL16">IF(AK16="N/A",0,1)</f>
        <v>0</v>
      </c>
      <c r="AM16" t="str" s="605" cm="1">
        <f t="array" ref="AM16">IF(SUM(1250000+700000)*B16&lt;SUM(AC16:AD16),"NO GO","GO")</f>
        <v>GO</v>
      </c>
      <c r="AN16" s="424"/>
      <c r="AO16" s="594"/>
      <c r="AP16" s="594"/>
      <c r="AQ16" s="594"/>
      <c r="AR16" s="600"/>
      <c r="AS16" s="601" cm="1">
        <f t="array" ref="AS16">B16</f>
        <v>12</v>
      </c>
    </row>
    <row r="17" ht="16" customHeight="1">
      <c r="A17" s="12"/>
      <c r="B17" s="602" cm="1">
        <f t="array" ref="B17">IF(B16=0,0,IF(B16&lt;VLOOKUP(C2,'Boats Data Sheet 2026'!$C$3:$H$57,6,0),B16+1,0))</f>
        <v>13</v>
      </c>
      <c r="C17" s="594" cm="1">
        <f t="array" ref="C17">IF(B17&gt;0,IF(VLOOKUP(C2,'Boats Data Sheet 2026'!$C$3:$J$57,8,0)="N/A",0,VLOOKUP(C2,'Boats Data Sheet 2026'!$C$3:$J$57,8,0)),"N/A")</f>
        <v>7500000</v>
      </c>
      <c r="D17" s="603" cm="1">
        <f t="array" ref="D17">IF(B17&gt;7,2,IF(B17=0,"N/A",1))</f>
        <v>2</v>
      </c>
      <c r="E17" s="594" cm="1">
        <f t="array" ref="E17">_xlfn.IFERROR(SUM('Direct Costs 2026'!$C$4:$C$6)*D17,"N/A")</f>
        <v>1951000</v>
      </c>
      <c r="F17" s="594" cm="1">
        <f t="array" ref="F17">_xlfn.IFERROR('Direct Costs 2026'!$C$43*B17,"N/A")</f>
        <v>78000</v>
      </c>
      <c r="G17" s="594" cm="1">
        <f t="array" ref="G17">IF(B17&gt;0,'Direct Costs 2026'!$C$25,"N/A")</f>
        <v>90000</v>
      </c>
      <c r="H17" s="594" cm="1">
        <f t="array" ref="H17">IF(B17&gt;0,'Direct Costs 2026'!$C$19+'Direct Costs 2026'!$C$18*B17,"N/A")</f>
        <v>530000</v>
      </c>
      <c r="I17" s="594" cm="1">
        <f t="array" ref="I17">IF(B17&gt;0,SUM('Direct Costs 2026'!$C$20:$C$21),"N/A")</f>
        <v>98333.3333333333</v>
      </c>
      <c r="J17" s="594" cm="1">
        <f t="array" ref="J17">IF(B17&gt;0,'Direct Costs 2026'!$C$14,"N/A")</f>
        <v>60000</v>
      </c>
      <c r="K17" s="594" cm="1">
        <f t="array" ref="K17">IF(B17&gt;0,'Direct Costs 2026'!$C$26,"N/A")</f>
        <v>20000</v>
      </c>
      <c r="L17" s="594" cm="1">
        <f t="array" ref="L17">IF(B17&gt;0,SUM('Direct Costs 2026'!$C$23:$C$24),"N/A")</f>
        <v>160000</v>
      </c>
      <c r="M17" s="594" cm="1">
        <f t="array" ref="M17">IF(B17&gt;0,'Direct Costs 2026'!$C$47*B17,"N/A")</f>
        <v>2340000</v>
      </c>
      <c r="N17" s="594" cm="1">
        <f t="array" ref="N17">IF($B17&gt;0,'Direct Costs 2026'!$C$30,"N/A")</f>
        <v>440000</v>
      </c>
      <c r="O17" s="594" cm="1">
        <f t="array" ref="O17">IF($B17&gt;0,'Direct Costs 2026'!$C$31,"N/A")</f>
        <v>870000</v>
      </c>
      <c r="P17" s="594" cm="1">
        <f t="array" ref="P17">IF(B17&gt;0,'Direct Costs 2026'!$C$59*B17,"N/A")</f>
        <v>533000</v>
      </c>
      <c r="Q17" t="str" s="595" cm="1">
        <f t="array" ref="Q17">IF(B17&gt;0,_xlfn.IFERROR(VLOOKUP(C2,'Boats Data Sheet 2026'!$C$3:$I$57,7,0)*'Direct Costs 2026'!$C$36,"N/A"),"N/A")</f>
        <v>N/A</v>
      </c>
      <c r="R17" t="str" s="595" cm="1">
        <f t="array" ref="R17">IF(B17&gt;0,IF(OR(VLOOKUP(C2,'Boats Data Sheet 2026'!$C$3:$F$57,4,0)="Own",VLOOKUP(C2,'Boats Data Sheet 2026'!$C$3:$F$57,4,0)="Management"),('Direct Costs 2026'!$C$37+'Direct Costs 2026'!$C$39),"N/A"),"N/A")</f>
        <v>N/A</v>
      </c>
      <c r="S17" s="594" cm="1">
        <f t="array" ref="S17">_xlfn.IFERROR(IF(B17&gt;5,IF(B17&gt;11,IF(B17&gt;15,4,3),2),IF(B17=0,"N/A",1))*SUM('Direct Costs 2026'!$C$67:$C$68),"N/A")</f>
        <v>1468800</v>
      </c>
      <c r="T17" s="594" cm="1">
        <f t="array" ref="T17">_xlfn.IFERROR('Direct Costs 2026'!$C$27*C17,"N/A")</f>
        <v>150000</v>
      </c>
      <c r="U17" s="594" cm="1">
        <f t="array" ref="U17">_xlfn.IFERROR(C17+SUM(E17:T17),"N/A")</f>
        <v>16289133.3333333</v>
      </c>
      <c r="V17" s="424"/>
      <c r="W17" s="594" cm="1">
        <f t="array" ref="W17">IF(B17&gt;0,'Allocation OH and Target 2026'!$E$27,"N/A")</f>
        <v>2134447.30345641</v>
      </c>
      <c r="X17" s="594" cm="1">
        <f t="array" ref="X17">IF(B17&gt;0,'Allocation OH and Target 2026'!$E$28,"N/A")</f>
        <v>200042.323056976</v>
      </c>
      <c r="Y17" s="594" cm="1">
        <f t="array" ref="Y17">IF(B17&gt;0,VLOOKUP(C2,'Allocation OH and Target 2026'!$C$5:$T$23,17,0),"N/A")</f>
        <v>0</v>
      </c>
      <c r="Z17" t="str" s="595" cm="1">
        <f t="array" ref="Z17">IF(B18&gt;0,VLOOKUP(C2,'Allocation OH and Target 2026'!$C$5:$T$23,18,0),"N/A")</f>
        <v>N/A</v>
      </c>
      <c r="AA17" t="str" s="595" cm="1">
        <f t="array" ref="AA17">_xlfn.IFERROR(B17*(X17+Z17),"N/A")</f>
        <v>N/A</v>
      </c>
      <c r="AB17" s="424"/>
      <c r="AC17" t="str" s="595" cm="1">
        <f t="array" ref="AC17">_xlfn.IFERROR(AA17+U17,"N/A")</f>
        <v>N/A</v>
      </c>
      <c r="AD17" t="str" s="595" cm="1">
        <f t="array" ref="AD17">_xlfn.IFERROR(AC17*0.5%,"N/A")</f>
        <v>N/A</v>
      </c>
      <c r="AE17" t="str" s="595" cm="1">
        <f t="array" ref="AE17">_xlfn.IFERROR(AC17*25%,"N/A")</f>
        <v>N/A</v>
      </c>
      <c r="AF17" s="596" cm="1">
        <f t="array" ref="AF17">IF(B17&gt;0,SUM(AC17:AE17),"N/A")</f>
        <v>0</v>
      </c>
      <c r="AG17" s="594" cm="1">
        <f t="array" ref="AG17">_xlfn.IFERROR(AF17/B17,"N/A")</f>
        <v>0</v>
      </c>
      <c r="AH17" s="424"/>
      <c r="AI17" t="str" s="604" cm="1">
        <f t="array" ref="AI17">IF(B17/VLOOKUP(C2,'Boats Data Sheet 2026'!$C$3:$H$57,6,0)&gt;VLOOKUP(C2,'Allocation OH and Target 2026'!$C$5:$J$23,8,0),IF(SUM(AJ4:AJ16)=0,AG17,"N/A"),"N/A")</f>
        <v>N/A</v>
      </c>
      <c r="AJ17" s="424" cm="1">
        <f t="array" ref="AJ17">IF(AI17="N/A",0,1)</f>
        <v>0</v>
      </c>
      <c r="AK17" t="str" s="595" cm="1">
        <f t="array" ref="AK17">IF(B17/VLOOKUP(C2,'Boats Data Sheet 2026'!$C$3:$H$57,6,0)&gt;VLOOKUP(C2,'Allocation OH and Target 2026'!$C$5:$J$23,8,0),IF(SUM(AJ4:AJ16)=0,U17/B17,"N/A"),"N/A")</f>
        <v>N/A</v>
      </c>
      <c r="AL17" s="424" cm="1">
        <f t="array" ref="AL17">IF(AK17="N/A",0,1)</f>
        <v>0</v>
      </c>
      <c r="AM17" t="str" s="605" cm="1">
        <f t="array" ref="AM17">IF(SUM(1250000+700000)*B17&lt;SUM(AC17:AD17),"NO GO","GO")</f>
        <v>GO</v>
      </c>
      <c r="AN17" s="424"/>
      <c r="AO17" s="594"/>
      <c r="AP17" s="594"/>
      <c r="AQ17" s="594"/>
      <c r="AR17" s="600"/>
      <c r="AS17" s="601" cm="1">
        <f t="array" ref="AS17">B17</f>
        <v>13</v>
      </c>
    </row>
    <row r="18" ht="16" customHeight="1">
      <c r="A18" s="12"/>
      <c r="B18" s="602" cm="1">
        <f t="array" ref="B18">IF(B17=0,0,IF(B17&lt;VLOOKUP(C2,'Boats Data Sheet 2026'!$C$3:$H$57,6,0),B17+1,0))</f>
        <v>0</v>
      </c>
      <c r="C18" t="str" s="595" cm="1">
        <f t="array" ref="C18">IF(B18&gt;0,IF(VLOOKUP(C2,'Boats Data Sheet 2026'!$C$3:$J$57,8,0)="N/A",0,VLOOKUP(C2,'Boats Data Sheet 2026'!$C$3:$J$57,8,0)),"N/A")</f>
        <v>N/A</v>
      </c>
      <c r="D18" t="str" s="595" cm="1">
        <f t="array" ref="D18">IF(B18&gt;7,2,IF(B18=0,"N/A",1))</f>
        <v>N/A</v>
      </c>
      <c r="E18" t="str" s="595" cm="1">
        <f t="array" ref="E18">_xlfn.IFERROR(SUM('Direct Costs 2026'!$C$4:$C$6)*D18,"N/A")</f>
        <v>N/A</v>
      </c>
      <c r="F18" s="594" cm="1">
        <f t="array" ref="F18">_xlfn.IFERROR('Direct Costs 2026'!$C$43*B18,"N/A")</f>
        <v>0</v>
      </c>
      <c r="G18" t="str" s="595" cm="1">
        <f t="array" ref="G18">IF(B18&gt;0,'Direct Costs 2026'!$C$25,"N/A")</f>
        <v>N/A</v>
      </c>
      <c r="H18" t="str" s="595" cm="1">
        <f t="array" ref="H18">IF(B18&gt;0,'Direct Costs 2026'!$C$19+'Direct Costs 2026'!$C$18*B18,"N/A")</f>
        <v>N/A</v>
      </c>
      <c r="I18" t="str" s="595" cm="1">
        <f t="array" ref="I18">IF(B18&gt;0,SUM('Direct Costs 2026'!$C$20:$C$21),"N/A")</f>
        <v>N/A</v>
      </c>
      <c r="J18" t="str" s="595" cm="1">
        <f t="array" ref="J18">IF(B18&gt;0,'Direct Costs 2026'!$C$14,"N/A")</f>
        <v>N/A</v>
      </c>
      <c r="K18" t="str" s="595" cm="1">
        <f t="array" ref="K18">IF(B18&gt;0,'Direct Costs 2026'!$C$26,"N/A")</f>
        <v>N/A</v>
      </c>
      <c r="L18" t="str" s="595" cm="1">
        <f t="array" ref="L18">IF(B18&gt;0,SUM('Direct Costs 2026'!$C$23:$C$24),"N/A")</f>
        <v>N/A</v>
      </c>
      <c r="M18" t="str" s="595" cm="1">
        <f t="array" ref="M18">IF(B18&gt;0,'Direct Costs 2026'!$C$47*B18,"N/A")</f>
        <v>N/A</v>
      </c>
      <c r="N18" t="str" s="595" cm="1">
        <f t="array" ref="N18">IF($B18&gt;0,'Direct Costs 2026'!$C$30,"N/A")</f>
        <v>N/A</v>
      </c>
      <c r="O18" t="str" s="595" cm="1">
        <f t="array" ref="O18">IF($B18&gt;0,'Direct Costs 2026'!$C$31,"N/A")</f>
        <v>N/A</v>
      </c>
      <c r="P18" t="str" s="595" cm="1">
        <f t="array" ref="P18">IF(B18&gt;0,'Direct Costs 2026'!$C$59*B18,"N/A")</f>
        <v>N/A</v>
      </c>
      <c r="Q18" t="str" s="595" cm="1">
        <f t="array" ref="Q18">IF(B18&gt;0,_xlfn.IFERROR(VLOOKUP(C2,'Boats Data Sheet 2026'!$C$3:$I$57,7,0)*'Direct Costs 2026'!$C$36,"N/A"),"N/A")</f>
        <v>N/A</v>
      </c>
      <c r="R18" t="str" s="595" cm="1">
        <f t="array" ref="R18">IF(B18&gt;0,IF(OR(VLOOKUP(C2,'Boats Data Sheet 2026'!$C$3:$F$57,4,0)="Own",VLOOKUP(C2,'Boats Data Sheet 2026'!$C$3:$F$57,4,0)="Management"),('Direct Costs 2026'!$C$37+'Direct Costs 2026'!$C$39),"N/A"),"N/A")</f>
        <v>N/A</v>
      </c>
      <c r="S18" t="str" s="595" cm="1">
        <f t="array" ref="S18">_xlfn.IFERROR(IF(B18&gt;5,IF(B18&gt;11,IF(B18&gt;15,4,3),2),IF(B18=0,"N/A",1))*SUM('Direct Costs 2026'!$C$67:$C$68),"N/A")</f>
        <v>N/A</v>
      </c>
      <c r="T18" t="str" s="595" cm="1">
        <f t="array" ref="T18">_xlfn.IFERROR('Direct Costs 2026'!$C$27*C18,"N/A")</f>
        <v>N/A</v>
      </c>
      <c r="U18" t="str" s="595" cm="1">
        <f t="array" ref="U18">_xlfn.IFERROR(C18+SUM(E18:T18),"N/A")</f>
        <v>N/A</v>
      </c>
      <c r="V18" s="424"/>
      <c r="W18" t="str" s="595" cm="1">
        <f t="array" ref="W18">IF(B18&gt;0,'Allocation OH and Target 2026'!$E$27,"N/A")</f>
        <v>N/A</v>
      </c>
      <c r="X18" t="str" s="595" cm="1">
        <f t="array" ref="X18">IF(B18&gt;0,'Allocation OH and Target 2026'!$E$28,"N/A")</f>
        <v>N/A</v>
      </c>
      <c r="Y18" t="str" s="595" cm="1">
        <f t="array" ref="Y18">IF(B18&gt;0,VLOOKUP(C2,'Allocation OH and Target 2026'!$C$5:$T$23,17,0),"N/A")</f>
        <v>N/A</v>
      </c>
      <c r="Z18" t="str" s="595" cm="1">
        <f t="array" ref="Z18">IF(B18&gt;0,VLOOKUP(C2,'Allocation OH and Target 2026'!$C$5:$T$23,18,0),"N/A")</f>
        <v>N/A</v>
      </c>
      <c r="AA18" t="str" s="595" cm="1">
        <f t="array" ref="AA18">_xlfn.IFERROR(B18*(X18+Z18),"N/A")</f>
        <v>N/A</v>
      </c>
      <c r="AB18" s="424"/>
      <c r="AC18" t="str" s="595" cm="1">
        <f t="array" ref="AC18">_xlfn.IFERROR(AA18+U18,"N/A")</f>
        <v>N/A</v>
      </c>
      <c r="AD18" t="str" s="595" cm="1">
        <f t="array" ref="AD18">_xlfn.IFERROR(AC18*0.5%,"N/A")</f>
        <v>N/A</v>
      </c>
      <c r="AE18" t="str" s="595" cm="1">
        <f t="array" ref="AE18">_xlfn.IFERROR(AC18*25%,"N/A")</f>
        <v>N/A</v>
      </c>
      <c r="AF18" t="str" s="604" cm="1">
        <f t="array" ref="AF18">IF(B18&gt;0,SUM(AC18:AE18),"N/A")</f>
        <v>N/A</v>
      </c>
      <c r="AG18" t="str" s="595" cm="1">
        <f t="array" ref="AG18">_xlfn.IFERROR(AF18/B18,"N/A")</f>
        <v>N/A</v>
      </c>
      <c r="AH18" s="424"/>
      <c r="AI18" t="str" s="604" cm="1">
        <f t="array" ref="AI18">IF(B18/VLOOKUP(C2,'Boats Data Sheet 2026'!$C$3:$H$57,6,0)&gt;VLOOKUP(C2,'Allocation OH and Target 2026'!$C$5:$J$23,8,0),IF(SUM(AJ4:AJ17)=0,AG18,"N/A"),"N/A")</f>
        <v>N/A</v>
      </c>
      <c r="AJ18" s="424" cm="1">
        <f t="array" ref="AJ18">IF(AI18="N/A",0,1)</f>
        <v>0</v>
      </c>
      <c r="AK18" t="str" s="595" cm="1">
        <f t="array" ref="AK18">IF(B18/VLOOKUP(C2,'Boats Data Sheet 2026'!$C$3:$H$57,6,0)&gt;VLOOKUP(C2,'Allocation OH and Target 2026'!$C$5:$J$23,8,0),IF(SUM(AJ4:AJ17)=0,U18/B18,"N/A"),"N/A")</f>
        <v>N/A</v>
      </c>
      <c r="AL18" s="424" cm="1">
        <f t="array" ref="AL18">IF(AK18="N/A",0,1)</f>
        <v>0</v>
      </c>
      <c r="AM18" t="str" s="605" cm="1">
        <f t="array" ref="AM18">IF(SUM(1250000+700000)*B18&lt;SUM(AC18:AD18),"NO GO","GO")</f>
        <v>GO</v>
      </c>
      <c r="AN18" s="424"/>
      <c r="AO18" s="594"/>
      <c r="AP18" s="594"/>
      <c r="AQ18" s="594"/>
      <c r="AR18" s="600"/>
      <c r="AS18" s="601" cm="1">
        <f t="array" ref="AS18">B18</f>
        <v>0</v>
      </c>
    </row>
    <row r="19" ht="16" customHeight="1">
      <c r="A19" s="12"/>
      <c r="B19" s="602" cm="1">
        <f t="array" ref="B19">IF(B18=0,0,IF(B18&lt;VLOOKUP(C2,'Boats Data Sheet 2026'!$C$3:$H$57,6,0),B18+1,0))</f>
        <v>0</v>
      </c>
      <c r="C19" t="str" s="595" cm="1">
        <f t="array" ref="C19">IF(B19&gt;0,IF(VLOOKUP(C2,'Boats Data Sheet 2026'!$C$3:$J$57,8,0)="N/A",0,VLOOKUP(C2,'Boats Data Sheet 2026'!$C$3:$J$57,8,0)),"N/A")</f>
        <v>N/A</v>
      </c>
      <c r="D19" t="str" s="595" cm="1">
        <f t="array" ref="D19">IF(B19&gt;7,2,IF(B19=0,"N/A",1))</f>
        <v>N/A</v>
      </c>
      <c r="E19" t="str" s="595" cm="1">
        <f t="array" ref="E19">_xlfn.IFERROR(SUM('Direct Costs 2026'!$C$4:$C$6)*D19,"N/A")</f>
        <v>N/A</v>
      </c>
      <c r="F19" s="594" cm="1">
        <f t="array" ref="F19">_xlfn.IFERROR('Direct Costs 2026'!$C$43*B19,"N/A")</f>
        <v>0</v>
      </c>
      <c r="G19" t="str" s="595" cm="1">
        <f t="array" ref="G19">IF(B19&gt;0,'Direct Costs 2026'!$C$25,"N/A")</f>
        <v>N/A</v>
      </c>
      <c r="H19" t="str" s="595" cm="1">
        <f t="array" ref="H19">IF(B19&gt;0,'Direct Costs 2026'!$C$19+'Direct Costs 2026'!$C$18*B19,"N/A")</f>
        <v>N/A</v>
      </c>
      <c r="I19" t="str" s="595" cm="1">
        <f t="array" ref="I19">IF(B19&gt;0,SUM('Direct Costs 2026'!$C$20:$C$21),"N/A")</f>
        <v>N/A</v>
      </c>
      <c r="J19" t="str" s="595" cm="1">
        <f t="array" ref="J19">IF(B19&gt;0,'Direct Costs 2026'!$C$14,"N/A")</f>
        <v>N/A</v>
      </c>
      <c r="K19" t="str" s="595" cm="1">
        <f t="array" ref="K19">IF(B19&gt;0,'Direct Costs 2026'!$C$26,"N/A")</f>
        <v>N/A</v>
      </c>
      <c r="L19" t="str" s="595" cm="1">
        <f t="array" ref="L19">IF(B19&gt;0,SUM('Direct Costs 2026'!$C$23:$C$24),"N/A")</f>
        <v>N/A</v>
      </c>
      <c r="M19" t="str" s="595" cm="1">
        <f t="array" ref="M19">IF(B19&gt;0,'Direct Costs 2026'!$C$47*B19,"N/A")</f>
        <v>N/A</v>
      </c>
      <c r="N19" t="str" s="595" cm="1">
        <f t="array" ref="N19">IF($B19&gt;0,'Direct Costs 2026'!$C$30,"N/A")</f>
        <v>N/A</v>
      </c>
      <c r="O19" t="str" s="595" cm="1">
        <f t="array" ref="O19">IF($B19&gt;0,'Direct Costs 2026'!$C$31,"N/A")</f>
        <v>N/A</v>
      </c>
      <c r="P19" t="str" s="595" cm="1">
        <f t="array" ref="P19">IF(B19&gt;0,'Direct Costs 2026'!$C$59*B19,"N/A")</f>
        <v>N/A</v>
      </c>
      <c r="Q19" t="str" s="595" cm="1">
        <f t="array" ref="Q19">IF(B19&gt;0,_xlfn.IFERROR(VLOOKUP(C2,'Boats Data Sheet 2026'!$C$3:$I$57,7,0)*'Direct Costs 2026'!$C$36,"N/A"),"N/A")</f>
        <v>N/A</v>
      </c>
      <c r="R19" t="str" s="595" cm="1">
        <f t="array" ref="R19">IF(B19&gt;0,IF(OR(VLOOKUP(C2,'Boats Data Sheet 2026'!$C$3:$F$57,4,0)="Own",VLOOKUP(C2,'Boats Data Sheet 2026'!$C$3:$F$57,4,0)="Management"),('Direct Costs 2026'!$C$37+'Direct Costs 2026'!$C$39),"N/A"),"N/A")</f>
        <v>N/A</v>
      </c>
      <c r="S19" t="str" s="595" cm="1">
        <f t="array" ref="S19">_xlfn.IFERROR(IF(B19&gt;5,IF(B19&gt;11,IF(B19&gt;15,4,3),2),IF(B19=0,"N/A",1))*SUM('Direct Costs 2026'!$C$67:$C$68),"N/A")</f>
        <v>N/A</v>
      </c>
      <c r="T19" t="str" s="595" cm="1">
        <f t="array" ref="T19">_xlfn.IFERROR('Direct Costs 2026'!$C$27*C19,"N/A")</f>
        <v>N/A</v>
      </c>
      <c r="U19" t="str" s="595" cm="1">
        <f t="array" ref="U19">_xlfn.IFERROR(C19+SUM(E19:T19),"N/A")</f>
        <v>N/A</v>
      </c>
      <c r="V19" s="424"/>
      <c r="W19" t="str" s="595" cm="1">
        <f t="array" ref="W19">IF(B19&gt;0,'Allocation OH and Target 2026'!$E$27,"N/A")</f>
        <v>N/A</v>
      </c>
      <c r="X19" t="str" s="595" cm="1">
        <f t="array" ref="X19">IF(B19&gt;0,'Allocation OH and Target 2026'!$E$28,"N/A")</f>
        <v>N/A</v>
      </c>
      <c r="Y19" t="str" s="595" cm="1">
        <f t="array" ref="Y19">IF(B19&gt;0,VLOOKUP(C2,'Allocation OH and Target 2026'!$C$5:$T$23,17,0),"N/A")</f>
        <v>N/A</v>
      </c>
      <c r="Z19" t="str" s="595" cm="1">
        <f t="array" ref="Z19">IF(B19&gt;0,VLOOKUP(C2,'Allocation OH and Target 2026'!$C$5:$T$23,18,0),"N/A")</f>
        <v>N/A</v>
      </c>
      <c r="AA19" t="str" s="595" cm="1">
        <f t="array" ref="AA19">_xlfn.IFERROR(X19*B19+Z19,"N/A")</f>
        <v>N/A</v>
      </c>
      <c r="AB19" s="424"/>
      <c r="AC19" t="str" s="595" cm="1">
        <f t="array" ref="AC19">_xlfn.IFERROR(AA19+U19,"N/A")</f>
        <v>N/A</v>
      </c>
      <c r="AD19" t="str" s="595" cm="1">
        <f t="array" ref="AD19">_xlfn.IFERROR(AC19*0.5%,"N/A")</f>
        <v>N/A</v>
      </c>
      <c r="AE19" t="str" s="595" cm="1">
        <f t="array" ref="AE19">_xlfn.IFERROR(AC19*25%,"N/A")</f>
        <v>N/A</v>
      </c>
      <c r="AF19" t="str" s="604" cm="1">
        <f t="array" ref="AF19">IF(B19&gt;0,SUM(AC19:AE19),"N/A")</f>
        <v>N/A</v>
      </c>
      <c r="AG19" t="str" s="595" cm="1">
        <f t="array" ref="AG19">_xlfn.IFERROR(AF19/B19,"N/A")</f>
        <v>N/A</v>
      </c>
      <c r="AH19" s="424"/>
      <c r="AI19" t="str" s="604" cm="1">
        <f t="array" ref="AI19">IF(B19/VLOOKUP(C2,'Boats Data Sheet 2026'!$C$3:$H$57,6,0)&gt;VLOOKUP(C2,'Allocation OH and Target 2026'!$C$5:$J$23,8,0),IF(SUM(AJ4:AJ18)=0,AG19,"N/A"),"N/A")</f>
        <v>N/A</v>
      </c>
      <c r="AJ19" s="424" cm="1">
        <f t="array" ref="AJ19">IF(AI19="N/A",0,1)</f>
        <v>0</v>
      </c>
      <c r="AK19" t="str" s="595" cm="1">
        <f t="array" ref="AK19">IF(B19/VLOOKUP(C2,'Boats Data Sheet 2026'!$C$3:$H$57,6,0)&gt;VLOOKUP(C2,'Allocation OH and Target 2026'!$C$5:$J$23,8,0),IF(SUM(AJ4:AJ18)=0,U19/B19,"N/A"),"N/A")</f>
        <v>N/A</v>
      </c>
      <c r="AL19" s="424" cm="1">
        <f t="array" ref="AL19">IF(AK19="N/A",0,1)</f>
        <v>0</v>
      </c>
      <c r="AM19" t="str" s="605" cm="1">
        <f t="array" ref="AM19">IF(SUM(1250000+700000)*B19&lt;SUM(AC19:AD19),"NO GO","GO")</f>
        <v>GO</v>
      </c>
      <c r="AN19" s="424"/>
      <c r="AO19" s="594"/>
      <c r="AP19" s="594"/>
      <c r="AQ19" s="594"/>
      <c r="AR19" s="600"/>
      <c r="AS19" s="601" cm="1">
        <f t="array" ref="AS19">B19</f>
        <v>0</v>
      </c>
    </row>
    <row r="20" ht="16" customHeight="1">
      <c r="A20" s="12"/>
      <c r="B20" s="602" cm="1">
        <f t="array" ref="B20">IF(B19=0,0,IF(B19&lt;VLOOKUP(C2,'Boats Data Sheet 2026'!$C$3:$H$57,6,0),B19+1,0))</f>
        <v>0</v>
      </c>
      <c r="C20" t="str" s="595" cm="1">
        <f t="array" ref="C20">IF(B20&gt;0,IF(VLOOKUP(C2,'Boats Data Sheet 2026'!$C$3:$J$57,8,0)="N/A",0,VLOOKUP(C2,'Boats Data Sheet 2026'!$C$3:$J$57,8,0)),"N/A")</f>
        <v>N/A</v>
      </c>
      <c r="D20" t="str" s="595" cm="1">
        <f t="array" ref="D20">IF(B20&gt;7,2,IF(B20=0,"N/A",1))</f>
        <v>N/A</v>
      </c>
      <c r="E20" t="str" s="595" cm="1">
        <f t="array" ref="E20">_xlfn.IFERROR(SUM('Direct Costs 2026'!$C$4:$C$6)*D20,"N/A")</f>
        <v>N/A</v>
      </c>
      <c r="F20" s="594" cm="1">
        <f t="array" ref="F20">_xlfn.IFERROR('Direct Costs 2026'!$C$43*B20,"N/A")</f>
        <v>0</v>
      </c>
      <c r="G20" t="str" s="595" cm="1">
        <f t="array" ref="G20">IF(B20&gt;0,'Direct Costs 2026'!$C$25,"N/A")</f>
        <v>N/A</v>
      </c>
      <c r="H20" t="str" s="595" cm="1">
        <f t="array" ref="H20">IF(B20&gt;0,'Direct Costs 2026'!$C$19+'Direct Costs 2026'!$C$18*B20,"N/A")</f>
        <v>N/A</v>
      </c>
      <c r="I20" t="str" s="595" cm="1">
        <f t="array" ref="I20">IF(B20&gt;0,SUM('Direct Costs 2026'!$C$20:$C$21),"N/A")</f>
        <v>N/A</v>
      </c>
      <c r="J20" t="str" s="595" cm="1">
        <f t="array" ref="J20">IF(B20&gt;0,'Direct Costs 2026'!$C$14,"N/A")</f>
        <v>N/A</v>
      </c>
      <c r="K20" t="str" s="595" cm="1">
        <f t="array" ref="K20">IF(B20&gt;0,'Direct Costs 2026'!$C$26,"N/A")</f>
        <v>N/A</v>
      </c>
      <c r="L20" t="str" s="595" cm="1">
        <f t="array" ref="L20">IF(B20&gt;0,SUM('Direct Costs 2026'!$C$23:$C$24),"N/A")</f>
        <v>N/A</v>
      </c>
      <c r="M20" t="str" s="595" cm="1">
        <f t="array" ref="M20">IF(B20&gt;0,'Direct Costs 2026'!$C$47*B20,"N/A")</f>
        <v>N/A</v>
      </c>
      <c r="N20" t="str" s="595" cm="1">
        <f t="array" ref="N20">IF($B20&gt;0,'Direct Costs 2026'!$C$30,"N/A")</f>
        <v>N/A</v>
      </c>
      <c r="O20" t="str" s="595" cm="1">
        <f t="array" ref="O20">IF($B20&gt;0,'Direct Costs 2026'!$C$31,"N/A")</f>
        <v>N/A</v>
      </c>
      <c r="P20" t="str" s="595" cm="1">
        <f t="array" ref="P20">IF(B20&gt;0,'Direct Costs 2026'!$C$59*B20,"N/A")</f>
        <v>N/A</v>
      </c>
      <c r="Q20" t="str" s="595" cm="1">
        <f t="array" ref="Q20">IF(B20&gt;0,_xlfn.IFERROR(VLOOKUP(C2,'Boats Data Sheet 2026'!$C$3:$I$57,7,0)*'Direct Costs 2026'!$C$36,"N/A"),"N/A")</f>
        <v>N/A</v>
      </c>
      <c r="R20" t="str" s="595" cm="1">
        <f t="array" ref="R20">IF(B20&gt;0,IF(OR(VLOOKUP(C2,'Boats Data Sheet 2026'!$C$3:$F$57,4,0)="Own",VLOOKUP(C2,'Boats Data Sheet 2026'!$C$3:$F$57,4,0)="Management"),('Direct Costs 2026'!$C$37+'Direct Costs 2026'!$C$39),"N/A"),"N/A")</f>
        <v>N/A</v>
      </c>
      <c r="S20" t="str" s="595" cm="1">
        <f t="array" ref="S20">_xlfn.IFERROR(IF(B20&gt;5,IF(B20&gt;11,IF(B20&gt;15,4,3),2),IF(B20=0,"N/A",1))*SUM('Direct Costs 2026'!$C$67:$C$68),"N/A")</f>
        <v>N/A</v>
      </c>
      <c r="T20" t="str" s="595" cm="1">
        <f t="array" ref="T20">_xlfn.IFERROR('Direct Costs 2026'!$C$27*C20,"N/A")</f>
        <v>N/A</v>
      </c>
      <c r="U20" t="str" s="595" cm="1">
        <f t="array" ref="U20">_xlfn.IFERROR(C20+SUM(E20:T20),"N/A")</f>
        <v>N/A</v>
      </c>
      <c r="V20" s="424"/>
      <c r="W20" t="str" s="595" cm="1">
        <f t="array" ref="W20">IF(B20&gt;0,'Allocation OH and Target 2026'!$E$27,"N/A")</f>
        <v>N/A</v>
      </c>
      <c r="X20" t="str" s="595" cm="1">
        <f t="array" ref="X20">IF(B20&gt;0,'Allocation OH and Target 2026'!$E$28,"N/A")</f>
        <v>N/A</v>
      </c>
      <c r="Y20" t="str" s="595" cm="1">
        <f t="array" ref="Y20">IF(B20&gt;0,VLOOKUP(C2,'Allocation OH and Target 2026'!$C$5:$T$23,17,0),"N/A")</f>
        <v>N/A</v>
      </c>
      <c r="Z20" t="str" s="595" cm="1">
        <f t="array" ref="Z20">IF(B20&gt;0,VLOOKUP(C2,'Allocation OH and Target 2026'!$C$5:$T$23,18,0),"N/A")</f>
        <v>N/A</v>
      </c>
      <c r="AA20" t="str" s="595" cm="1">
        <f t="array" ref="AA20">_xlfn.IFERROR(X20*B20+Z20,"N/A")</f>
        <v>N/A</v>
      </c>
      <c r="AB20" s="424"/>
      <c r="AC20" t="str" s="595" cm="1">
        <f t="array" ref="AC20">_xlfn.IFERROR(AA20+U20,"N/A")</f>
        <v>N/A</v>
      </c>
      <c r="AD20" t="str" s="595" cm="1">
        <f t="array" ref="AD20">_xlfn.IFERROR(AC20*0.5%,"N/A")</f>
        <v>N/A</v>
      </c>
      <c r="AE20" t="str" s="595" cm="1">
        <f t="array" ref="AE20">_xlfn.IFERROR(AC20*25%,"N/A")</f>
        <v>N/A</v>
      </c>
      <c r="AF20" t="str" s="604" cm="1">
        <f t="array" ref="AF20">IF(B20&gt;0,SUM(AC20:AE20),"N/A")</f>
        <v>N/A</v>
      </c>
      <c r="AG20" t="str" s="595" cm="1">
        <f t="array" ref="AG20">_xlfn.IFERROR(AF20/B20,"N/A")</f>
        <v>N/A</v>
      </c>
      <c r="AH20" s="424"/>
      <c r="AI20" t="str" s="604" cm="1">
        <f t="array" ref="AI20">IF(B20/VLOOKUP(C2,'Boats Data Sheet 2026'!$C$3:$H$57,6,0)&gt;VLOOKUP(C2,'Allocation OH and Target 2026'!$C$5:$J$23,8,0),IF(SUM(AJ4:AJ19)=0,AG20,"N/A"),"N/A")</f>
        <v>N/A</v>
      </c>
      <c r="AJ20" s="424" cm="1">
        <f t="array" ref="AJ20">IF(AI20="N/A",0,1)</f>
        <v>0</v>
      </c>
      <c r="AK20" t="str" s="595" cm="1">
        <f t="array" ref="AK20">IF(B20/VLOOKUP(C2,'Boats Data Sheet 2026'!$C$3:$H$57,6,0)&gt;VLOOKUP(C2,'Allocation OH and Target 2026'!$C$5:$J$23,8,0),IF(SUM(AJ4:AJ19)=0,U20/B20,"N/A"),"N/A")</f>
        <v>N/A</v>
      </c>
      <c r="AL20" s="424" cm="1">
        <f t="array" ref="AL20">IF(AK20="N/A",0,1)</f>
        <v>0</v>
      </c>
      <c r="AM20" t="str" s="605" cm="1">
        <f t="array" ref="AM20">IF(SUM(1250000+700000)*B20&lt;SUM(AC20:AD20),"NO GO","GO")</f>
        <v>GO</v>
      </c>
      <c r="AN20" s="424"/>
      <c r="AO20" s="594"/>
      <c r="AP20" s="594"/>
      <c r="AQ20" s="594"/>
      <c r="AR20" s="600"/>
      <c r="AS20" s="601" cm="1">
        <f t="array" ref="AS20">B20</f>
        <v>0</v>
      </c>
    </row>
    <row r="21" ht="16" customHeight="1">
      <c r="A21" s="12"/>
      <c r="B21" s="602" cm="1">
        <f t="array" ref="B21">IF(B20=0,0,IF(B20&lt;VLOOKUP(C2,'Boats Data Sheet 2026'!$C$3:$H$57,6,0),B20+1,0))</f>
        <v>0</v>
      </c>
      <c r="C21" t="str" s="595" cm="1">
        <f t="array" ref="C21">IF(B21&gt;0,IF(VLOOKUP(C2,'Boats Data Sheet 2026'!$C$3:$J$57,8,0)="N/A",0,VLOOKUP(C2,'Boats Data Sheet 2026'!$C$3:$J$57,8,0)),"N/A")</f>
        <v>N/A</v>
      </c>
      <c r="D21" t="str" s="595" cm="1">
        <f t="array" ref="D21">IF(B21&gt;7,2,IF(B21=0,"N/A",1))</f>
        <v>N/A</v>
      </c>
      <c r="E21" t="str" s="595" cm="1">
        <f t="array" ref="E21">_xlfn.IFERROR(SUM('Direct Costs 2026'!$C$4:$C$6)*D21,"N/A")</f>
        <v>N/A</v>
      </c>
      <c r="F21" s="594" cm="1">
        <f t="array" ref="F21">_xlfn.IFERROR('Direct Costs 2026'!$C$43*B21,"N/A")</f>
        <v>0</v>
      </c>
      <c r="G21" t="str" s="595" cm="1">
        <f t="array" ref="G21">IF(B21&gt;0,'Direct Costs 2026'!$C$25,"N/A")</f>
        <v>N/A</v>
      </c>
      <c r="H21" t="str" s="595" cm="1">
        <f t="array" ref="H21">IF(B21&gt;0,'Direct Costs 2026'!$C$19+'Direct Costs 2026'!$C$18*B21,"N/A")</f>
        <v>N/A</v>
      </c>
      <c r="I21" t="str" s="595" cm="1">
        <f t="array" ref="I21">IF(B21&gt;0,SUM('Direct Costs 2026'!$C$20:$C$21),"N/A")</f>
        <v>N/A</v>
      </c>
      <c r="J21" t="str" s="595" cm="1">
        <f t="array" ref="J21">IF(B21&gt;0,'Direct Costs 2026'!$C$14,"N/A")</f>
        <v>N/A</v>
      </c>
      <c r="K21" t="str" s="595" cm="1">
        <f t="array" ref="K21">IF(B21&gt;0,'Direct Costs 2026'!$C$26,"N/A")</f>
        <v>N/A</v>
      </c>
      <c r="L21" t="str" s="595" cm="1">
        <f t="array" ref="L21">IF(B21&gt;0,SUM('Direct Costs 2026'!$C$23:$C$24),"N/A")</f>
        <v>N/A</v>
      </c>
      <c r="M21" t="str" s="595" cm="1">
        <f t="array" ref="M21">IF(B21&gt;0,'Direct Costs 2026'!$C$47*B21,"N/A")</f>
        <v>N/A</v>
      </c>
      <c r="N21" t="str" s="595" cm="1">
        <f t="array" ref="N21">IF($B21&gt;0,'Direct Costs 2026'!$C$30,"N/A")</f>
        <v>N/A</v>
      </c>
      <c r="O21" t="str" s="595" cm="1">
        <f t="array" ref="O21">IF($B21&gt;0,'Direct Costs 2026'!$C$31,"N/A")</f>
        <v>N/A</v>
      </c>
      <c r="P21" t="str" s="595" cm="1">
        <f t="array" ref="P21">IF(B21&gt;0,'Direct Costs 2026'!$C$59*B21,"N/A")</f>
        <v>N/A</v>
      </c>
      <c r="Q21" t="str" s="595" cm="1">
        <f t="array" ref="Q21">IF(B21&gt;0,_xlfn.IFERROR(VLOOKUP(C2,'Boats Data Sheet 2026'!$C$3:$I$57,7,0)*'Direct Costs 2026'!$C$36,"N/A"),"N/A")</f>
        <v>N/A</v>
      </c>
      <c r="R21" t="str" s="595" cm="1">
        <f t="array" ref="R21">IF(B21&gt;0,IF(OR(VLOOKUP(C2,'Boats Data Sheet 2026'!$C$3:$F$57,4,0)="Own",VLOOKUP(C2,'Boats Data Sheet 2026'!$C$3:$F$57,4,0)="Management"),('Direct Costs 2026'!$C$37+'Direct Costs 2026'!$C$39),"N/A"),"N/A")</f>
        <v>N/A</v>
      </c>
      <c r="S21" t="str" s="595" cm="1">
        <f t="array" ref="S21">_xlfn.IFERROR(IF(B21&gt;5,IF(B21&gt;11,IF(B21&gt;15,4,3),2),IF(B21=0,"N/A",1))*SUM('Direct Costs 2026'!$C$67:$C$68),"N/A")</f>
        <v>N/A</v>
      </c>
      <c r="T21" t="str" s="595" cm="1">
        <f t="array" ref="T21">_xlfn.IFERROR('Direct Costs 2026'!$C$27*C21,"N/A")</f>
        <v>N/A</v>
      </c>
      <c r="U21" t="str" s="595" cm="1">
        <f t="array" ref="U21">_xlfn.IFERROR(C21+SUM(E21:T21),"N/A")</f>
        <v>N/A</v>
      </c>
      <c r="V21" s="424"/>
      <c r="W21" t="str" s="595" cm="1">
        <f t="array" ref="W21">IF(B21&gt;0,'Allocation OH and Target 2026'!$E$27,"N/A")</f>
        <v>N/A</v>
      </c>
      <c r="X21" t="str" s="595" cm="1">
        <f t="array" ref="X21">IF(B21&gt;0,'Allocation OH and Target 2026'!$E$28,"N/A")</f>
        <v>N/A</v>
      </c>
      <c r="Y21" t="str" s="595" cm="1">
        <f t="array" ref="Y21">IF(B21&gt;0,VLOOKUP(C2,'Allocation OH and Target 2026'!$C$5:$T$23,17,0),"N/A")</f>
        <v>N/A</v>
      </c>
      <c r="Z21" t="str" s="595" cm="1">
        <f t="array" ref="Z21">IF(B21&gt;0,VLOOKUP(C2,'Allocation OH and Target 2026'!$C$5:$T$23,18,0),"N/A")</f>
        <v>N/A</v>
      </c>
      <c r="AA21" t="str" s="595" cm="1">
        <f t="array" ref="AA21">_xlfn.IFERROR(X21*B21+Z21,"N/A")</f>
        <v>N/A</v>
      </c>
      <c r="AB21" s="424"/>
      <c r="AC21" t="str" s="595" cm="1">
        <f t="array" ref="AC21">_xlfn.IFERROR(AA21+U21,"N/A")</f>
        <v>N/A</v>
      </c>
      <c r="AD21" t="str" s="595" cm="1">
        <f t="array" ref="AD21">_xlfn.IFERROR(AC21*0.5%,"N/A")</f>
        <v>N/A</v>
      </c>
      <c r="AE21" t="str" s="595" cm="1">
        <f t="array" ref="AE21">_xlfn.IFERROR(AC21*25%,"N/A")</f>
        <v>N/A</v>
      </c>
      <c r="AF21" t="str" s="604" cm="1">
        <f t="array" ref="AF21">IF(B21&gt;0,SUM(AC21:AE21),"N/A")</f>
        <v>N/A</v>
      </c>
      <c r="AG21" t="str" s="595" cm="1">
        <f t="array" ref="AG21">_xlfn.IFERROR(AF21/B21,"N/A")</f>
        <v>N/A</v>
      </c>
      <c r="AH21" s="424"/>
      <c r="AI21" t="str" s="604" cm="1">
        <f t="array" ref="AI21">IF(B21/VLOOKUP(C2,'Boats Data Sheet 2026'!$C$3:$H$57,6,0)&gt;VLOOKUP(C2,'Allocation OH and Target 2026'!$C$5:$J$23,8,0),IF(SUM(AJ4:AJ20)=0,AG21,"N/A"),"N/A")</f>
        <v>N/A</v>
      </c>
      <c r="AJ21" s="424" cm="1">
        <f t="array" ref="AJ21">IF(AI21="N/A",0,1)</f>
        <v>0</v>
      </c>
      <c r="AK21" t="str" s="595" cm="1">
        <f t="array" ref="AK21">IF(B21/VLOOKUP(C2,'Boats Data Sheet 2026'!$C$3:$H$57,6,0)&gt;VLOOKUP(C2,'Allocation OH and Target 2026'!$C$5:$J$23,8,0),IF(SUM(AJ4:AJ20)=0,U21/B21,"N/A"),"N/A")</f>
        <v>N/A</v>
      </c>
      <c r="AL21" s="424" cm="1">
        <f t="array" ref="AL21">IF(AK21="N/A",0,1)</f>
        <v>0</v>
      </c>
      <c r="AM21" t="str" s="605" cm="1">
        <f t="array" ref="AM21">IF(SUM(1250000+700000)*B21&lt;SUM(AC21:AD21),"NO GO","GO")</f>
        <v>GO</v>
      </c>
      <c r="AN21" s="424"/>
      <c r="AO21" s="594"/>
      <c r="AP21" s="594"/>
      <c r="AQ21" s="594"/>
      <c r="AR21" s="600"/>
      <c r="AS21" s="601" cm="1">
        <f t="array" ref="AS21">B21</f>
        <v>0</v>
      </c>
    </row>
    <row r="22" ht="15.5" customHeight="1">
      <c r="A22" s="12"/>
      <c r="B22" s="606" cm="1">
        <f t="array" ref="B22">IF(B21=0,0,IF(B21&lt;VLOOKUP(C2,'Boats Data Sheet 2026'!$C$3:$H$57,6,0),B21+1,0))</f>
        <v>0</v>
      </c>
      <c r="C22" t="str" s="607" cm="1">
        <f t="array" ref="C22">IF(B22&gt;0,IF(VLOOKUP(C2,'Boats Data Sheet 2026'!$C$3:$J$57,8,0)="N/A",0,VLOOKUP(C2,'Boats Data Sheet 2026'!$C$3:$J$57,8,0)),"N/A")</f>
        <v>N/A</v>
      </c>
      <c r="D22" t="str" s="607" cm="1">
        <f t="array" ref="D22">IF(B22&gt;7,2,IF(B22=0,"N/A",1))</f>
        <v>N/A</v>
      </c>
      <c r="E22" t="str" s="607" cm="1">
        <f t="array" ref="E22">_xlfn.IFERROR(SUM('Direct Costs 2026'!$C$4:$C$6)*D22,"N/A")</f>
        <v>N/A</v>
      </c>
      <c r="F22" s="608" cm="1">
        <f t="array" ref="F22">_xlfn.IFERROR('Direct Costs 2026'!$C$43*B22,"N/A")</f>
        <v>0</v>
      </c>
      <c r="G22" t="str" s="607" cm="1">
        <f t="array" ref="G22">IF(B22&gt;0,'Direct Costs 2026'!$C$25,"N/A")</f>
        <v>N/A</v>
      </c>
      <c r="H22" t="str" s="607" cm="1">
        <f t="array" ref="H22">IF(B22&gt;0,'Direct Costs 2026'!$C$19+'Direct Costs 2026'!$C$18*B22,"N/A")</f>
        <v>N/A</v>
      </c>
      <c r="I22" t="str" s="607" cm="1">
        <f t="array" ref="I22">IF(B22&gt;0,SUM('Direct Costs 2026'!$C$20:$C$21),"N/A")</f>
        <v>N/A</v>
      </c>
      <c r="J22" t="str" s="607" cm="1">
        <f t="array" ref="J22">IF(B22&gt;0,'Direct Costs 2026'!$C$14,"N/A")</f>
        <v>N/A</v>
      </c>
      <c r="K22" t="str" s="607" cm="1">
        <f t="array" ref="K22">IF(B22&gt;0,'Direct Costs 2026'!$C$26,"N/A")</f>
        <v>N/A</v>
      </c>
      <c r="L22" t="str" s="607" cm="1">
        <f t="array" ref="L22">IF(B22&gt;0,SUM('Direct Costs 2026'!$C$23:$C$24),"N/A")</f>
        <v>N/A</v>
      </c>
      <c r="M22" t="str" s="607" cm="1">
        <f t="array" ref="M22">IF(B22&gt;0,'Direct Costs 2026'!$C$47*B22,"N/A")</f>
        <v>N/A</v>
      </c>
      <c r="N22" t="str" s="607" cm="1">
        <f t="array" ref="N22">IF($B22&gt;0,'Direct Costs 2026'!$C$30,"N/A")</f>
        <v>N/A</v>
      </c>
      <c r="O22" t="str" s="607" cm="1">
        <f t="array" ref="O22">IF($B22&gt;0,'Direct Costs 2026'!$C$31,"N/A")</f>
        <v>N/A</v>
      </c>
      <c r="P22" t="str" s="607" cm="1">
        <f t="array" ref="P22">IF(B22&gt;0,'Direct Costs 2026'!$C$59*B22,"N/A")</f>
        <v>N/A</v>
      </c>
      <c r="Q22" t="str" s="607" cm="1">
        <f t="array" ref="Q22">IF(B22&gt;0,_xlfn.IFERROR(VLOOKUP(C2,'Boats Data Sheet 2026'!$C$3:$I$57,7,0)*'Direct Costs 2026'!$C$36,"N/A"),"N/A")</f>
        <v>N/A</v>
      </c>
      <c r="R22" t="str" s="607" cm="1">
        <f t="array" ref="R22">IF(B22&gt;0,IF(OR(VLOOKUP(C2,'Boats Data Sheet 2026'!$C$3:$F$57,4,0)="Own",VLOOKUP(C2,'Boats Data Sheet 2026'!$C$3:$F$57,4,0)="Management"),('Direct Costs 2026'!$C$37+'Direct Costs 2026'!$C$39),"N/A"),"N/A")</f>
        <v>N/A</v>
      </c>
      <c r="S22" t="str" s="607" cm="1">
        <f t="array" ref="S22">_xlfn.IFERROR(IF(B22&gt;5,IF(B22&gt;11,IF(B22&gt;15,4,3),2),IF(B22=0,"N/A",1))*SUM('Direct Costs 2026'!$C$67:$C$68),"N/A")</f>
        <v>N/A</v>
      </c>
      <c r="T22" t="str" s="607" cm="1">
        <f t="array" ref="T22">_xlfn.IFERROR('Direct Costs 2026'!$C$27*C22,"N/A")</f>
        <v>N/A</v>
      </c>
      <c r="U22" t="str" s="607" cm="1">
        <f t="array" ref="U22">_xlfn.IFERROR(C22+SUM(E22:T22),"N/A")</f>
        <v>N/A</v>
      </c>
      <c r="V22" s="435"/>
      <c r="W22" t="str" s="607" cm="1">
        <f t="array" ref="W22">IF(B22&gt;0,'Allocation OH and Target 2026'!$E$27,"N/A")</f>
        <v>N/A</v>
      </c>
      <c r="X22" t="str" s="607" cm="1">
        <f t="array" ref="X22">IF(B22&gt;0,'Allocation OH and Target 2026'!$E$28,"N/A")</f>
        <v>N/A</v>
      </c>
      <c r="Y22" t="str" s="607" cm="1">
        <f t="array" ref="Y22">IF(B22&gt;0,VLOOKUP(C2,'Allocation OH and Target 2026'!$C$5:$T$23,17,0),"N/A")</f>
        <v>N/A</v>
      </c>
      <c r="Z22" t="str" s="607" cm="1">
        <f t="array" ref="Z22">IF(B22&gt;0,VLOOKUP(C2,'Allocation OH and Target 2026'!$C$5:$T$23,18,0),"N/A")</f>
        <v>N/A</v>
      </c>
      <c r="AA22" t="str" s="607" cm="1">
        <f t="array" ref="AA22">_xlfn.IFERROR(X22*B22+Z22,"N/A")</f>
        <v>N/A</v>
      </c>
      <c r="AB22" s="435"/>
      <c r="AC22" t="str" s="607" cm="1">
        <f t="array" ref="AC22">_xlfn.IFERROR(AA22+U22,"N/A")</f>
        <v>N/A</v>
      </c>
      <c r="AD22" t="str" s="607" cm="1">
        <f t="array" ref="AD22">_xlfn.IFERROR(AC22*0.5%,"N/A")</f>
        <v>N/A</v>
      </c>
      <c r="AE22" t="str" s="607" cm="1">
        <f t="array" ref="AE22">_xlfn.IFERROR(AC22*25%,"N/A")</f>
        <v>N/A</v>
      </c>
      <c r="AF22" t="str" s="609" cm="1">
        <f t="array" ref="AF22">IF(B22&gt;0,SUM(AC22:AE22),"N/A")</f>
        <v>N/A</v>
      </c>
      <c r="AG22" t="str" s="607" cm="1">
        <f t="array" ref="AG22">_xlfn.IFERROR(AF22/B22,"N/A")</f>
        <v>N/A</v>
      </c>
      <c r="AH22" s="435"/>
      <c r="AI22" t="str" s="609" cm="1">
        <f t="array" ref="AI22">IF(B22/VLOOKUP(C2,'Boats Data Sheet 2026'!$C$3:$H$57,6,0)&gt;VLOOKUP(C2,'Allocation OH and Target 2026'!$C$5:$J$23,8,0),IF(SUM(AJ4:AJ21)=0,AG22,"N/A"),"N/A")</f>
        <v>N/A</v>
      </c>
      <c r="AJ22" s="435" cm="1">
        <f t="array" ref="AJ22">IF(AI22="N/A",0,1)</f>
        <v>0</v>
      </c>
      <c r="AK22" t="str" s="607" cm="1">
        <f t="array" ref="AK22">IF(B22/VLOOKUP(C2,'Boats Data Sheet 2026'!$C$3:$H$57,6,0)&gt;VLOOKUP(C2,'Allocation OH and Target 2026'!$C$5:$J$23,8,0),IF(SUM(AJ4:AJ21)=0,U22/B22,"N/A"),"N/A")</f>
        <v>N/A</v>
      </c>
      <c r="AL22" s="435" cm="1">
        <f t="array" ref="AL22">IF(AK22="N/A",0,1)</f>
        <v>0</v>
      </c>
      <c r="AM22" t="str" s="610" cm="1">
        <f t="array" ref="AM22">IF(SUM(1250000+700000)*B22&lt;SUM(AC22:AD22),"NO GO","GO")</f>
        <v>GO</v>
      </c>
      <c r="AN22" s="435"/>
      <c r="AO22" s="608"/>
      <c r="AP22" s="608"/>
      <c r="AQ22" s="608"/>
      <c r="AR22" s="611"/>
      <c r="AS22" s="601" cm="1">
        <f t="array" ref="AS22">B22</f>
        <v>0</v>
      </c>
    </row>
    <row r="23" ht="15.5" customHeight="1">
      <c r="A23" s="32"/>
      <c r="B23" s="124"/>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8"/>
    </row>
    <row r="24" ht="15.5" customHeight="1">
      <c r="A24" s="32"/>
      <c r="B24" s="35"/>
      <c r="C24" s="35"/>
      <c r="D24" s="35"/>
      <c r="E24" s="35"/>
      <c r="F24" s="35"/>
      <c r="G24" s="35"/>
      <c r="H24" s="35"/>
      <c r="I24" s="35"/>
      <c r="J24" s="35"/>
      <c r="K24" s="35"/>
      <c r="L24" s="35"/>
      <c r="M24" s="35"/>
      <c r="N24" s="35"/>
      <c r="O24" s="35"/>
      <c r="P24" s="35"/>
      <c r="Q24" s="35"/>
      <c r="R24" s="35"/>
      <c r="S24" s="35"/>
      <c r="T24" s="35"/>
      <c r="U24" s="35"/>
      <c r="V24" s="35"/>
      <c r="W24" s="35"/>
      <c r="X24" s="35"/>
      <c r="Y24" s="493"/>
      <c r="Z24" s="35"/>
      <c r="AA24" s="35"/>
      <c r="AB24" s="35"/>
      <c r="AC24" s="35"/>
      <c r="AD24" s="35"/>
      <c r="AE24" s="35"/>
      <c r="AF24" s="35"/>
      <c r="AG24" s="35"/>
      <c r="AH24" s="35"/>
      <c r="AI24" s="440"/>
      <c r="AJ24" s="35"/>
      <c r="AK24" s="35"/>
      <c r="AL24" s="35"/>
      <c r="AM24" s="35"/>
      <c r="AN24" s="35"/>
      <c r="AO24" s="35"/>
      <c r="AP24" s="35"/>
      <c r="AQ24" s="35"/>
      <c r="AR24" s="35"/>
      <c r="AS24" s="18"/>
    </row>
    <row r="25" ht="15.5" customHeight="1">
      <c r="A25" s="395">
        <v>3</v>
      </c>
      <c r="B25" t="s" s="573">
        <v>506</v>
      </c>
      <c r="C25" t="s" s="574">
        <v>111</v>
      </c>
      <c r="D25" s="576"/>
      <c r="E25" s="575"/>
      <c r="F25" s="575"/>
      <c r="G25" s="575"/>
      <c r="H25" s="575"/>
      <c r="I25" s="575"/>
      <c r="J25" s="575"/>
      <c r="K25" s="575"/>
      <c r="L25" s="575"/>
      <c r="M25" s="575"/>
      <c r="N25" s="575"/>
      <c r="O25" s="575"/>
      <c r="P25" s="575"/>
      <c r="Q25" s="575"/>
      <c r="R25" s="575"/>
      <c r="S25" s="575"/>
      <c r="T25" s="575"/>
      <c r="U25" s="575"/>
      <c r="V25" s="399"/>
      <c r="W25" s="575"/>
      <c r="X25" s="575"/>
      <c r="Y25" s="575"/>
      <c r="Z25" s="575"/>
      <c r="AA25" s="575"/>
      <c r="AB25" s="399"/>
      <c r="AC25" s="575"/>
      <c r="AD25" s="575"/>
      <c r="AE25" s="575"/>
      <c r="AF25" s="575"/>
      <c r="AG25" s="575"/>
      <c r="AH25" s="399"/>
      <c r="AI25" s="576"/>
      <c r="AJ25" s="399"/>
      <c r="AK25" s="575"/>
      <c r="AL25" s="399"/>
      <c r="AM25" s="575"/>
      <c r="AN25" s="399"/>
      <c r="AO25" s="575"/>
      <c r="AP25" s="575"/>
      <c r="AQ25" s="575"/>
      <c r="AR25" s="577"/>
      <c r="AS25" s="578"/>
    </row>
    <row r="26" ht="16" customHeight="1">
      <c r="A26" s="12"/>
      <c r="B26" s="579"/>
      <c r="C26" t="s" s="580">
        <v>513</v>
      </c>
      <c r="D26" s="581"/>
      <c r="E26" s="581"/>
      <c r="F26" s="581"/>
      <c r="G26" s="581"/>
      <c r="H26" s="581"/>
      <c r="I26" s="581"/>
      <c r="J26" s="581"/>
      <c r="K26" s="581"/>
      <c r="L26" s="581"/>
      <c r="M26" s="581"/>
      <c r="N26" s="581"/>
      <c r="O26" s="581"/>
      <c r="P26" s="581"/>
      <c r="Q26" s="581"/>
      <c r="R26" s="581"/>
      <c r="S26" s="581"/>
      <c r="T26" s="581"/>
      <c r="U26" s="582"/>
      <c r="V26" s="407"/>
      <c r="W26" t="s" s="580">
        <v>514</v>
      </c>
      <c r="X26" s="581"/>
      <c r="Y26" s="581"/>
      <c r="Z26" s="581"/>
      <c r="AA26" s="582"/>
      <c r="AB26" s="407"/>
      <c r="AC26" t="s" s="580">
        <v>515</v>
      </c>
      <c r="AD26" s="581"/>
      <c r="AE26" s="581"/>
      <c r="AF26" s="581"/>
      <c r="AG26" s="582"/>
      <c r="AH26" s="410"/>
      <c r="AI26" s="605"/>
      <c r="AJ26" s="410"/>
      <c r="AK26" s="584"/>
      <c r="AL26" s="410"/>
      <c r="AM26" s="584"/>
      <c r="AN26" s="410"/>
      <c r="AO26" s="584"/>
      <c r="AP26" s="584"/>
      <c r="AQ26" s="584"/>
      <c r="AR26" s="585"/>
      <c r="AS26" s="578"/>
    </row>
    <row r="27" ht="63" customHeight="1">
      <c r="A27" s="12"/>
      <c r="B27" t="s" s="586">
        <v>517</v>
      </c>
      <c r="C27" t="s" s="587">
        <v>518</v>
      </c>
      <c r="D27" t="s" s="587">
        <v>519</v>
      </c>
      <c r="E27" t="s" s="587">
        <v>520</v>
      </c>
      <c r="F27" t="s" s="588">
        <v>521</v>
      </c>
      <c r="G27" t="s" s="588">
        <v>522</v>
      </c>
      <c r="H27" t="s" s="588">
        <v>524</v>
      </c>
      <c r="I27" t="s" s="588">
        <v>525</v>
      </c>
      <c r="J27" t="s" s="588">
        <v>553</v>
      </c>
      <c r="K27" t="s" s="588">
        <v>526</v>
      </c>
      <c r="L27" t="s" s="588">
        <v>527</v>
      </c>
      <c r="M27" t="s" s="588">
        <v>528</v>
      </c>
      <c r="N27" t="s" s="588">
        <v>602</v>
      </c>
      <c r="O27" t="s" s="588">
        <v>603</v>
      </c>
      <c r="P27" t="s" s="588">
        <v>604</v>
      </c>
      <c r="Q27" t="s" s="588">
        <v>529</v>
      </c>
      <c r="R27" t="s" s="588">
        <v>530</v>
      </c>
      <c r="S27" t="s" s="588">
        <v>572</v>
      </c>
      <c r="T27" t="s" s="588">
        <v>531</v>
      </c>
      <c r="U27" t="s" s="588">
        <v>532</v>
      </c>
      <c r="V27" s="556"/>
      <c r="W27" t="s" s="588">
        <v>533</v>
      </c>
      <c r="X27" t="s" s="588">
        <v>573</v>
      </c>
      <c r="Y27" t="s" s="588">
        <v>534</v>
      </c>
      <c r="Z27" t="s" s="588">
        <v>574</v>
      </c>
      <c r="AA27" t="s" s="588">
        <v>535</v>
      </c>
      <c r="AB27" s="556"/>
      <c r="AC27" t="s" s="588">
        <v>536</v>
      </c>
      <c r="AD27" t="s" s="588">
        <v>537</v>
      </c>
      <c r="AE27" t="s" s="588">
        <v>538</v>
      </c>
      <c r="AF27" t="s" s="588">
        <v>575</v>
      </c>
      <c r="AG27" t="s" s="588">
        <v>539</v>
      </c>
      <c r="AH27" s="557"/>
      <c r="AI27" t="s" s="588">
        <v>576</v>
      </c>
      <c r="AJ27" s="557"/>
      <c r="AK27" t="s" s="588">
        <v>577</v>
      </c>
      <c r="AL27" s="557"/>
      <c r="AM27" t="s" s="587">
        <v>578</v>
      </c>
      <c r="AN27" s="557"/>
      <c r="AO27" s="589"/>
      <c r="AP27" s="589"/>
      <c r="AQ27" s="589"/>
      <c r="AR27" s="590"/>
      <c r="AS27" s="578"/>
    </row>
    <row r="28" ht="16.5" customHeight="1">
      <c r="A28" s="12"/>
      <c r="B28" s="591">
        <v>1</v>
      </c>
      <c r="C28" s="592" cm="1">
        <f t="array" ref="C28">IF(B28&gt;0,IF(VLOOKUP(C25,'Boats Data Sheet 2026'!$C$3:$J$57,8,0)="N/A",0,VLOOKUP(C25,'Boats Data Sheet 2026'!$C$3:$J$57,8,0)),"N/A")</f>
        <v>8500000</v>
      </c>
      <c r="D28" s="593" cm="1">
        <f t="array" ref="D28">IF(B28&gt;7,2,IF(B28=0,"N/A",1))</f>
        <v>1</v>
      </c>
      <c r="E28" s="592" cm="1">
        <f t="array" ref="E28">_xlfn.IFERROR(SUM('Direct Costs 2026'!$C$4:$C$6)*D28,"N/A")</f>
        <v>975500</v>
      </c>
      <c r="F28" s="594" cm="1">
        <f t="array" ref="F28">_xlfn.IFERROR('Direct Costs 2026'!$C$43*B28,"N/A")</f>
        <v>6000</v>
      </c>
      <c r="G28" s="594" cm="1">
        <f t="array" ref="G28">IF(B28&gt;0,'Direct Costs 2026'!$C$25,"N/A")</f>
        <v>90000</v>
      </c>
      <c r="H28" s="594" cm="1">
        <f t="array" ref="H28">IF(B28&gt;0,'Direct Costs 2026'!$C$19+'Direct Costs 2026'!$C$18*B28,"N/A")</f>
        <v>110000</v>
      </c>
      <c r="I28" s="594" cm="1">
        <f t="array" ref="I28">IF(B28&gt;0,SUM('Direct Costs 2026'!$C$20:$C$21),"N/A")</f>
        <v>98333.3333333333</v>
      </c>
      <c r="J28" s="594" cm="1">
        <f t="array" ref="J28">IF(B28&gt;0,'Direct Costs 2026'!$C$14,"N/A")</f>
        <v>60000</v>
      </c>
      <c r="K28" s="594" cm="1">
        <f t="array" ref="K28">IF(B28&gt;0,'Direct Costs 2026'!$C$26,"N/A")</f>
        <v>20000</v>
      </c>
      <c r="L28" s="594" cm="1">
        <f t="array" ref="L28">IF(B28&gt;0,SUM('Direct Costs 2026'!$C$23:$C$24),"N/A")</f>
        <v>160000</v>
      </c>
      <c r="M28" s="594" cm="1">
        <f t="array" ref="M28">IF(B28&gt;0,'Direct Costs 2026'!$C$47*B28,"N/A")</f>
        <v>180000</v>
      </c>
      <c r="N28" s="594" cm="1">
        <f t="array" ref="N28">IF($B28&gt;0,'Direct Costs 2026'!$C$30,"N/A")</f>
        <v>440000</v>
      </c>
      <c r="O28" s="594" cm="1">
        <f t="array" ref="O28">IF($B28&gt;0,'Direct Costs 2026'!$C$31,"N/A")</f>
        <v>870000</v>
      </c>
      <c r="P28" s="594" cm="1">
        <f t="array" ref="P28">IF(B28&gt;0,'Direct Costs 2026'!$C$59*B28,"N/A")</f>
        <v>41000</v>
      </c>
      <c r="Q28" t="str" s="595" cm="1">
        <f t="array" ref="Q28">IF(B28&gt;0,_xlfn.IFERROR(VLOOKUP(C25,'Boats Data Sheet 2026'!$C$3:$I$57,7,0)*'Direct Costs 2026'!$C$36,"N/A"),"N/A")</f>
        <v>N/A</v>
      </c>
      <c r="R28" t="str" s="595" cm="1">
        <f t="array" ref="R28">IF(B28&gt;0,IF(OR(VLOOKUP(C25,'Boats Data Sheet 2026'!$C$3:$F$57,4,0)="Own",VLOOKUP(C25,'Boats Data Sheet 2026'!$C$3:$F$57,4,0)="Management"),('Direct Costs 2026'!$C$37+'Direct Costs 2026'!$C$39),"N/A"),"N/A")</f>
        <v>N/A</v>
      </c>
      <c r="S28" s="594" cm="1">
        <f t="array" ref="S28">_xlfn.IFERROR(IF(B28&gt;5,IF(B28&gt;11,IF(B28&gt;15,4,3),2),IF(B28=0,"N/A",1))*SUM('Direct Costs 2026'!$C$67:$C$68),"N/A")</f>
        <v>489600</v>
      </c>
      <c r="T28" s="594" cm="1">
        <f t="array" ref="T28">_xlfn.IFERROR('Direct Costs 2026'!$C$27*C28,"N/A")</f>
        <v>170000</v>
      </c>
      <c r="U28" s="594" cm="1">
        <f t="array" ref="U28">_xlfn.IFERROR(C28+SUM(E28:T28),"N/A")</f>
        <v>12210433.3333333</v>
      </c>
      <c r="V28" s="424"/>
      <c r="W28" s="594" cm="1">
        <f t="array" ref="W28">IF(B28&gt;0,'Allocation OH and Target 2026'!$E$27,"N/A")</f>
        <v>2134447.30345641</v>
      </c>
      <c r="X28" s="594" cm="1">
        <f t="array" ref="X28">IF(B28&gt;0,'Allocation OH and Target 2026'!$E$28,"N/A")</f>
        <v>200042.323056976</v>
      </c>
      <c r="Y28" s="594" cm="1">
        <f t="array" ref="Y28">IF(B28&gt;0,VLOOKUP(C25,'Allocation OH and Target 2026'!$C$5:$T$23,17,0),"N/A")</f>
        <v>0</v>
      </c>
      <c r="Z28" s="594" cm="1">
        <f t="array" ref="Z28">IF(B28&gt;0,VLOOKUP(C25,'Allocation OH and Target 2026'!$C$5:$T$23,18,0),"N/A")</f>
        <v>0</v>
      </c>
      <c r="AA28" s="594" cm="1">
        <f t="array" ref="AA28">_xlfn.IFERROR(B28*(X28+Z28),"N/A")</f>
        <v>200042.323056976</v>
      </c>
      <c r="AB28" s="424"/>
      <c r="AC28" s="594" cm="1">
        <f t="array" ref="AC28">_xlfn.IFERROR(AA28+U28,"N/A")</f>
        <v>12410475.6563903</v>
      </c>
      <c r="AD28" s="594" cm="1">
        <f t="array" ref="AD28">_xlfn.IFERROR(AC28*0.5%,"N/A")</f>
        <v>62052.3782819515</v>
      </c>
      <c r="AE28" s="594" cm="1">
        <f t="array" ref="AE28">_xlfn.IFERROR(AC28*25%,"N/A")</f>
        <v>3102618.91409758</v>
      </c>
      <c r="AF28" s="596" cm="1">
        <f t="array" ref="AF28">IF(B28&gt;0,SUM(AC28:AE28),"N/A")</f>
        <v>15575146.9487698</v>
      </c>
      <c r="AG28" s="594" cm="1">
        <f t="array" ref="AG28">_xlfn.IFERROR(AF28/B28,"N/A")</f>
        <v>15575146.9487698</v>
      </c>
      <c r="AH28" s="424"/>
      <c r="AI28" t="s" s="597">
        <v>14</v>
      </c>
      <c r="AJ28" s="424" cm="1">
        <f t="array" ref="AJ28">IF(AI28="N/A",0,1)</f>
        <v>0</v>
      </c>
      <c r="AK28" t="s" s="598">
        <v>14</v>
      </c>
      <c r="AL28" s="424" cm="1">
        <f t="array" ref="AL28">IF(AK28="N/A",0,1)</f>
        <v>0</v>
      </c>
      <c r="AM28" t="str" s="599" cm="1">
        <f t="array" ref="AM28">IF(SUM(1250000+700000)*B28&lt;SUM(AC28:AD28),"NO GO","GO")</f>
        <v>NO GO</v>
      </c>
      <c r="AN28" s="424"/>
      <c r="AO28" s="594"/>
      <c r="AP28" s="594"/>
      <c r="AQ28" s="594"/>
      <c r="AR28" s="600"/>
      <c r="AS28" s="601" cm="1">
        <f t="array" ref="AS28">B28</f>
        <v>1</v>
      </c>
    </row>
    <row r="29" ht="16" customHeight="1">
      <c r="A29" s="12"/>
      <c r="B29" s="602" cm="1">
        <f t="array" ref="B29">IF(B28=0,0,IF(B28&lt;VLOOKUP(C25,'Boats Data Sheet 2026'!$C$3:$H$57,6,0),B28+1,0))</f>
        <v>2</v>
      </c>
      <c r="C29" s="594" cm="1">
        <f t="array" ref="C29">IF(B29&gt;0,IF(VLOOKUP(C25,'Boats Data Sheet 2026'!$C$3:$J$57,8,0)="N/A",0,VLOOKUP(C25,'Boats Data Sheet 2026'!$C$3:$J$57,8,0)),"N/A")</f>
        <v>8500000</v>
      </c>
      <c r="D29" s="603" cm="1">
        <f t="array" ref="D29">IF(B29&gt;7,2,IF(B29=0,"N/A",1))</f>
        <v>1</v>
      </c>
      <c r="E29" s="594" cm="1">
        <f t="array" ref="E29">_xlfn.IFERROR(SUM('Direct Costs 2026'!$C$4:$C$6)*D29,"N/A")</f>
        <v>975500</v>
      </c>
      <c r="F29" s="594" cm="1">
        <f t="array" ref="F29">_xlfn.IFERROR('Direct Costs 2026'!$C$43*B29,"N/A")</f>
        <v>12000</v>
      </c>
      <c r="G29" s="594" cm="1">
        <f t="array" ref="G29">IF(B29&gt;0,'Direct Costs 2026'!$C$25,"N/A")</f>
        <v>90000</v>
      </c>
      <c r="H29" s="594" cm="1">
        <f t="array" ref="H29">IF(B29&gt;0,'Direct Costs 2026'!$C$19+'Direct Costs 2026'!$C$18*B29,"N/A")</f>
        <v>145000</v>
      </c>
      <c r="I29" s="594" cm="1">
        <f t="array" ref="I29">IF(B29&gt;0,SUM('Direct Costs 2026'!$C$20:$C$21),"N/A")</f>
        <v>98333.3333333333</v>
      </c>
      <c r="J29" s="594" cm="1">
        <f t="array" ref="J29">IF(B29&gt;0,'Direct Costs 2026'!$C$14,"N/A")</f>
        <v>60000</v>
      </c>
      <c r="K29" s="594" cm="1">
        <f t="array" ref="K29">IF(B29&gt;0,'Direct Costs 2026'!$C$26,"N/A")</f>
        <v>20000</v>
      </c>
      <c r="L29" s="594" cm="1">
        <f t="array" ref="L29">IF(B29&gt;0,SUM('Direct Costs 2026'!$C$23:$C$24),"N/A")</f>
        <v>160000</v>
      </c>
      <c r="M29" s="594" cm="1">
        <f t="array" ref="M29">IF(B29&gt;0,'Direct Costs 2026'!$C$47*B29,"N/A")</f>
        <v>360000</v>
      </c>
      <c r="N29" s="594" cm="1">
        <f t="array" ref="N29">IF($B30&gt;0,'Direct Costs 2026'!$C$30,"N/A")</f>
        <v>440000</v>
      </c>
      <c r="O29" s="594" cm="1">
        <f t="array" ref="O29">IF($B29&gt;0,'Direct Costs 2026'!$C$31,"N/A")</f>
        <v>870000</v>
      </c>
      <c r="P29" s="594" cm="1">
        <f t="array" ref="P29">IF(B29&gt;0,'Direct Costs 2026'!$C$59*B29,"N/A")</f>
        <v>82000</v>
      </c>
      <c r="Q29" t="str" s="595" cm="1">
        <f t="array" ref="Q29">IF(B29&gt;0,_xlfn.IFERROR(VLOOKUP(C25,'Boats Data Sheet 2026'!$C$3:$I$57,7,0)*'Direct Costs 2026'!$C$36,"N/A"),"N/A")</f>
        <v>N/A</v>
      </c>
      <c r="R29" t="str" s="595" cm="1">
        <f t="array" ref="R29">IF(B29&gt;0,IF(OR(VLOOKUP(C25,'Boats Data Sheet 2026'!$C$3:$F$57,4,0)="Own",VLOOKUP(C25,'Boats Data Sheet 2026'!$C$3:$F$57,4,0)="Management"),('Direct Costs 2026'!$C$37+'Direct Costs 2026'!$C$39),"N/A"),"N/A")</f>
        <v>N/A</v>
      </c>
      <c r="S29" s="594" cm="1">
        <f t="array" ref="S29">_xlfn.IFERROR(IF(B29&gt;5,IF(B29&gt;11,IF(B29&gt;15,4,3),2),IF(B29=0,"N/A",1))*SUM('Direct Costs 2026'!$C$67:$C$68),"N/A")</f>
        <v>489600</v>
      </c>
      <c r="T29" s="594" cm="1">
        <f t="array" ref="T29">_xlfn.IFERROR('Direct Costs 2026'!$C$27*C29,"N/A")</f>
        <v>170000</v>
      </c>
      <c r="U29" s="594" cm="1">
        <f t="array" ref="U29">_xlfn.IFERROR(C29+SUM(E29:T29),"N/A")</f>
        <v>12472433.3333333</v>
      </c>
      <c r="V29" s="424"/>
      <c r="W29" s="594" cm="1">
        <f t="array" ref="W29">IF(B29&gt;0,'Allocation OH and Target 2026'!$E$27,"N/A")</f>
        <v>2134447.30345641</v>
      </c>
      <c r="X29" s="594" cm="1">
        <f t="array" ref="X29">IF(B29&gt;0,'Allocation OH and Target 2026'!$E$28,"N/A")</f>
        <v>200042.323056976</v>
      </c>
      <c r="Y29" s="594" cm="1">
        <f t="array" ref="Y29">IF(B29&gt;0,VLOOKUP(C25,'Allocation OH and Target 2026'!$C$5:$T$23,17,0),"N/A")</f>
        <v>0</v>
      </c>
      <c r="Z29" s="594" cm="1">
        <f t="array" ref="Z29">IF(B29&gt;0,VLOOKUP(C25,'Allocation OH and Target 2026'!$C$5:$T$23,18,0),"N/A")</f>
        <v>0</v>
      </c>
      <c r="AA29" s="594" cm="1">
        <f t="array" ref="AA29">_xlfn.IFERROR(B29*(X29+Z29),"N/A")</f>
        <v>400084.646113952</v>
      </c>
      <c r="AB29" s="424"/>
      <c r="AC29" s="594" cm="1">
        <f t="array" ref="AC29">_xlfn.IFERROR(AA29+U29,"N/A")</f>
        <v>12872517.9794473</v>
      </c>
      <c r="AD29" s="594" cm="1">
        <f t="array" ref="AD29">_xlfn.IFERROR(AC29*0.5%,"N/A")</f>
        <v>64362.5898972365</v>
      </c>
      <c r="AE29" s="594" cm="1">
        <f t="array" ref="AE29">_xlfn.IFERROR(AC29*25%,"N/A")</f>
        <v>3218129.49486183</v>
      </c>
      <c r="AF29" s="596" cm="1">
        <f t="array" ref="AF29">IF(B29&gt;0,SUM(AC29:AE29),"N/A")</f>
        <v>16155010.0642064</v>
      </c>
      <c r="AG29" s="594" cm="1">
        <f t="array" ref="AG29">_xlfn.IFERROR(AF29/B29,"N/A")</f>
        <v>8077505.0321032</v>
      </c>
      <c r="AH29" s="424"/>
      <c r="AI29" t="str" s="604" cm="1">
        <f t="array" ref="AI29">IF(B29/VLOOKUP(C25,'Boats Data Sheet 2026'!$C$3:$H$57,6,0)&gt;VLOOKUP(C25,'Allocation OH and Target 2026'!$C$5:$J$23,8,0),IF(SUM(AJ27:AJ28)=0,AG29,"N/A"),"N/A")</f>
        <v>N/A</v>
      </c>
      <c r="AJ29" s="424" cm="1">
        <f t="array" ref="AJ29">IF(AI29="N/A",0,1)</f>
        <v>0</v>
      </c>
      <c r="AK29" t="str" s="595" cm="1">
        <f t="array" ref="AK29">IF(B29/VLOOKUP(C25,'Boats Data Sheet 2026'!$C$3:$H$57,6,0)&gt;VLOOKUP(C25,'Allocation OH and Target 2026'!$C$5:$J$23,8,0),IF(SUM(AJ27:AJ28)=0,U29/B29,"N/A"),"N/A")</f>
        <v>N/A</v>
      </c>
      <c r="AL29" s="424" cm="1">
        <f t="array" ref="AL29">IF(AK29="N/A",0,1)</f>
        <v>0</v>
      </c>
      <c r="AM29" t="str" s="605" cm="1">
        <f t="array" ref="AM29">IF(SUM(1250000+700000)*B29&lt;SUM(AC29:AD29),"NO GO","GO")</f>
        <v>NO GO</v>
      </c>
      <c r="AN29" s="424"/>
      <c r="AO29" s="594"/>
      <c r="AP29" s="594"/>
      <c r="AQ29" s="594"/>
      <c r="AR29" s="600"/>
      <c r="AS29" s="601" cm="1">
        <f t="array" ref="AS29">B29</f>
        <v>2</v>
      </c>
    </row>
    <row r="30" ht="16" customHeight="1">
      <c r="A30" s="12"/>
      <c r="B30" s="602" cm="1">
        <f t="array" ref="B30">IF(B29=0,0,IF(B29&lt;VLOOKUP(C25,'Boats Data Sheet 2026'!$C$3:$H$57,6,0),B29+1,0))</f>
        <v>3</v>
      </c>
      <c r="C30" s="594" cm="1">
        <f t="array" ref="C30">IF(B30&gt;0,IF(VLOOKUP(C25,'Boats Data Sheet 2026'!$C$3:$J$57,8,0)="N/A",0,VLOOKUP(C25,'Boats Data Sheet 2026'!$C$3:$J$57,8,0)),"N/A")</f>
        <v>8500000</v>
      </c>
      <c r="D30" s="603" cm="1">
        <f t="array" ref="D30">IF(B30&gt;7,2,IF(B30=0,"N/A",1))</f>
        <v>1</v>
      </c>
      <c r="E30" s="594" cm="1">
        <f t="array" ref="E30">_xlfn.IFERROR(SUM('Direct Costs 2026'!$C$4:$C$6)*D30,"N/A")</f>
        <v>975500</v>
      </c>
      <c r="F30" s="594" cm="1">
        <f t="array" ref="F30">_xlfn.IFERROR('Direct Costs 2026'!$C$43*B30,"N/A")</f>
        <v>18000</v>
      </c>
      <c r="G30" s="594" cm="1">
        <f t="array" ref="G30">IF(B30&gt;0,'Direct Costs 2026'!$C$25,"N/A")</f>
        <v>90000</v>
      </c>
      <c r="H30" s="594" cm="1">
        <f t="array" ref="H30">IF(B30&gt;0,'Direct Costs 2026'!$C$19+'Direct Costs 2026'!$C$18*B30,"N/A")</f>
        <v>180000</v>
      </c>
      <c r="I30" s="594" cm="1">
        <f t="array" ref="I30">IF(B30&gt;0,SUM('Direct Costs 2026'!$C$20:$C$21),"N/A")</f>
        <v>98333.3333333333</v>
      </c>
      <c r="J30" s="594" cm="1">
        <f t="array" ref="J30">IF(B30&gt;0,'Direct Costs 2026'!$C$14,"N/A")</f>
        <v>60000</v>
      </c>
      <c r="K30" s="594" cm="1">
        <f t="array" ref="K30">IF(B30&gt;0,'Direct Costs 2026'!$C$26,"N/A")</f>
        <v>20000</v>
      </c>
      <c r="L30" s="594" cm="1">
        <f t="array" ref="L30">IF(B30&gt;0,SUM('Direct Costs 2026'!$C$23:$C$24),"N/A")</f>
        <v>160000</v>
      </c>
      <c r="M30" s="594" cm="1">
        <f t="array" ref="M30">IF(B30&gt;0,'Direct Costs 2026'!$C$47*B30,"N/A")</f>
        <v>540000</v>
      </c>
      <c r="N30" s="594" cm="1">
        <f t="array" ref="N30">IF($B30&gt;0,'Direct Costs 2026'!$C$30,"N/A")</f>
        <v>440000</v>
      </c>
      <c r="O30" s="594" cm="1">
        <f t="array" ref="O30">IF($B30&gt;0,'Direct Costs 2026'!$C$31,"N/A")</f>
        <v>870000</v>
      </c>
      <c r="P30" s="594" cm="1">
        <f t="array" ref="P30">IF(B30&gt;0,'Direct Costs 2026'!$C$59*B30,"N/A")</f>
        <v>123000</v>
      </c>
      <c r="Q30" t="str" s="595" cm="1">
        <f t="array" ref="Q30">IF(B30&gt;0,_xlfn.IFERROR(VLOOKUP(C25,'Boats Data Sheet 2026'!$C$3:$I$57,7,0)*'Direct Costs 2026'!$C$36,"N/A"),"N/A")</f>
        <v>N/A</v>
      </c>
      <c r="R30" t="str" s="595" cm="1">
        <f t="array" ref="R30">IF(B30&gt;0,IF(OR(VLOOKUP(C25,'Boats Data Sheet 2026'!$C$3:$F$57,4,0)="Own",VLOOKUP(C25,'Boats Data Sheet 2026'!$C$3:$F$57,4,0)="Management"),('Direct Costs 2026'!$C$37+'Direct Costs 2026'!$C$39),"N/A"),"N/A")</f>
        <v>N/A</v>
      </c>
      <c r="S30" s="594" cm="1">
        <f t="array" ref="S30">_xlfn.IFERROR(IF(B30&gt;5,IF(B30&gt;11,IF(B30&gt;15,4,3),2),IF(B30=0,"N/A",1))*SUM('Direct Costs 2026'!$C$67:$C$68),"N/A")</f>
        <v>489600</v>
      </c>
      <c r="T30" s="594" cm="1">
        <f t="array" ref="T30">_xlfn.IFERROR('Direct Costs 2026'!$C$27*C30,"N/A")</f>
        <v>170000</v>
      </c>
      <c r="U30" s="594" cm="1">
        <f t="array" ref="U30">_xlfn.IFERROR(C30+SUM(E30:T30),"N/A")</f>
        <v>12734433.3333333</v>
      </c>
      <c r="V30" s="424"/>
      <c r="W30" s="594" cm="1">
        <f t="array" ref="W30">IF(B30&gt;0,'Allocation OH and Target 2026'!$E$27,"N/A")</f>
        <v>2134447.30345641</v>
      </c>
      <c r="X30" s="594" cm="1">
        <f t="array" ref="X30">IF(B30&gt;0,'Allocation OH and Target 2026'!$E$28,"N/A")</f>
        <v>200042.323056976</v>
      </c>
      <c r="Y30" s="594" cm="1">
        <f t="array" ref="Y30">IF(B30&gt;0,VLOOKUP(C25,'Allocation OH and Target 2026'!$C$5:$T$23,17,0),"N/A")</f>
        <v>0</v>
      </c>
      <c r="Z30" s="594" cm="1">
        <f t="array" ref="Z30">IF(B30&gt;0,VLOOKUP(C25,'Allocation OH and Target 2026'!$C$5:$T$23,18,0),"N/A")</f>
        <v>0</v>
      </c>
      <c r="AA30" s="594" cm="1">
        <f t="array" ref="AA30">_xlfn.IFERROR(B30*(X30+Z30),"N/A")</f>
        <v>600126.969170928</v>
      </c>
      <c r="AB30" s="424"/>
      <c r="AC30" s="594" cm="1">
        <f t="array" ref="AC30">_xlfn.IFERROR(AA30+U30,"N/A")</f>
        <v>13334560.3025042</v>
      </c>
      <c r="AD30" s="594" cm="1">
        <f t="array" ref="AD30">_xlfn.IFERROR(AC30*0.5%,"N/A")</f>
        <v>66672.801512520993</v>
      </c>
      <c r="AE30" s="594" cm="1">
        <f t="array" ref="AE30">_xlfn.IFERROR(AC30*25%,"N/A")</f>
        <v>3333640.07562605</v>
      </c>
      <c r="AF30" s="596" cm="1">
        <f t="array" ref="AF30">IF(B30&gt;0,SUM(AC30:AE30),"N/A")</f>
        <v>16734873.1796428</v>
      </c>
      <c r="AG30" s="594" cm="1">
        <f t="array" ref="AG30">_xlfn.IFERROR(AF30/B30,"N/A")</f>
        <v>5578291.05988093</v>
      </c>
      <c r="AH30" s="424"/>
      <c r="AI30" t="str" s="604" cm="1">
        <f t="array" ref="AI30">IF(B30/VLOOKUP(C25,'Boats Data Sheet 2026'!$C$3:$H$57,6,0)&gt;VLOOKUP(C25,'Allocation OH and Target 2026'!$C$5:$J$23,8,0),IF(SUM(AJ27:AJ29)=0,AG30,"N/A"),"N/A")</f>
        <v>N/A</v>
      </c>
      <c r="AJ30" s="424" cm="1">
        <f t="array" ref="AJ30">IF(AI30="N/A",0,1)</f>
        <v>0</v>
      </c>
      <c r="AK30" t="str" s="595" cm="1">
        <f t="array" ref="AK30">IF(B30/VLOOKUP(C25,'Boats Data Sheet 2026'!$C$3:$H$57,6,0)&gt;VLOOKUP(C25,'Allocation OH and Target 2026'!$C$5:$J$23,8,0),IF(SUM(AJ27:AJ29)=0,U30/B30,"N/A"),"N/A")</f>
        <v>N/A</v>
      </c>
      <c r="AL30" s="424" cm="1">
        <f t="array" ref="AL30">IF(AK30="N/A",0,1)</f>
        <v>0</v>
      </c>
      <c r="AM30" t="str" s="605" cm="1">
        <f t="array" ref="AM30">IF(SUM(1250000+700000)*B30&lt;SUM(AC30:AD30),"NO GO","GO")</f>
        <v>NO GO</v>
      </c>
      <c r="AN30" s="424"/>
      <c r="AO30" s="594"/>
      <c r="AP30" s="594"/>
      <c r="AQ30" s="594"/>
      <c r="AR30" s="600"/>
      <c r="AS30" s="601" cm="1">
        <f t="array" ref="AS30">B30</f>
        <v>3</v>
      </c>
    </row>
    <row r="31" ht="16" customHeight="1">
      <c r="A31" s="12"/>
      <c r="B31" s="602" cm="1">
        <f t="array" ref="B31">IF(B30=0,0,IF(B30&lt;VLOOKUP(C25,'Boats Data Sheet 2026'!$C$3:$H$57,6,0),B30+1,0))</f>
        <v>4</v>
      </c>
      <c r="C31" s="594" cm="1">
        <f t="array" ref="C31">IF(B31&gt;0,IF(VLOOKUP(C25,'Boats Data Sheet 2026'!$C$3:$J$57,8,0)="N/A",0,VLOOKUP(C25,'Boats Data Sheet 2026'!$C$3:$J$57,8,0)),"N/A")</f>
        <v>8500000</v>
      </c>
      <c r="D31" s="603" cm="1">
        <f t="array" ref="D31">IF(B31&gt;7,2,IF(B31=0,"N/A",1))</f>
        <v>1</v>
      </c>
      <c r="E31" s="594" cm="1">
        <f t="array" ref="E31">_xlfn.IFERROR(SUM('Direct Costs 2026'!$C$4:$C$6)*D31,"N/A")</f>
        <v>975500</v>
      </c>
      <c r="F31" s="594" cm="1">
        <f t="array" ref="F31">_xlfn.IFERROR('Direct Costs 2026'!$C$43*B31,"N/A")</f>
        <v>24000</v>
      </c>
      <c r="G31" s="594" cm="1">
        <f t="array" ref="G31">IF(B31&gt;0,'Direct Costs 2026'!$C$25,"N/A")</f>
        <v>90000</v>
      </c>
      <c r="H31" s="594" cm="1">
        <f t="array" ref="H31">IF(B31&gt;0,'Direct Costs 2026'!$C$19+'Direct Costs 2026'!$C$18*B31,"N/A")</f>
        <v>215000</v>
      </c>
      <c r="I31" s="594" cm="1">
        <f t="array" ref="I31">IF(B31&gt;0,SUM('Direct Costs 2026'!$C$20:$C$21),"N/A")</f>
        <v>98333.3333333333</v>
      </c>
      <c r="J31" s="594" cm="1">
        <f t="array" ref="J31">IF(B31&gt;0,'Direct Costs 2026'!$C$14,"N/A")</f>
        <v>60000</v>
      </c>
      <c r="K31" s="594" cm="1">
        <f t="array" ref="K31">IF(B31&gt;0,'Direct Costs 2026'!$C$26,"N/A")</f>
        <v>20000</v>
      </c>
      <c r="L31" s="594" cm="1">
        <f t="array" ref="L31">IF(B31&gt;0,SUM('Direct Costs 2026'!$C$23:$C$24),"N/A")</f>
        <v>160000</v>
      </c>
      <c r="M31" s="594" cm="1">
        <f t="array" ref="M31">IF(B31&gt;0,'Direct Costs 2026'!$C$47*B31,"N/A")</f>
        <v>720000</v>
      </c>
      <c r="N31" s="594" cm="1">
        <f t="array" ref="N31">IF($B31&gt;0,'Direct Costs 2026'!$C$30,"N/A")</f>
        <v>440000</v>
      </c>
      <c r="O31" s="594" cm="1">
        <f t="array" ref="O31">IF($B31&gt;0,'Direct Costs 2026'!$C$31,"N/A")</f>
        <v>870000</v>
      </c>
      <c r="P31" s="594" cm="1">
        <f t="array" ref="P31">IF(B31&gt;0,'Direct Costs 2026'!$C$59*B31,"N/A")</f>
        <v>164000</v>
      </c>
      <c r="Q31" t="str" s="595" cm="1">
        <f t="array" ref="Q31">IF(B31&gt;0,_xlfn.IFERROR(VLOOKUP(C25,'Boats Data Sheet 2026'!$C$3:$I$57,7,0)*'Direct Costs 2026'!$C$36,"N/A"),"N/A")</f>
        <v>N/A</v>
      </c>
      <c r="R31" t="str" s="595" cm="1">
        <f t="array" ref="R31">IF(B31&gt;0,IF(OR(VLOOKUP(C25,'Boats Data Sheet 2026'!$C$3:$F$57,4,0)="Own",VLOOKUP(C25,'Boats Data Sheet 2026'!$C$3:$F$57,4,0)="Management"),('Direct Costs 2026'!$C$37+'Direct Costs 2026'!$C$39),"N/A"),"N/A")</f>
        <v>N/A</v>
      </c>
      <c r="S31" s="594" cm="1">
        <f t="array" ref="S31">_xlfn.IFERROR(IF(B31&gt;5,IF(B31&gt;11,IF(B31&gt;15,4,3),2),IF(B31=0,"N/A",1))*SUM('Direct Costs 2026'!$C$67:$C$68),"N/A")</f>
        <v>489600</v>
      </c>
      <c r="T31" s="594" cm="1">
        <f t="array" ref="T31">_xlfn.IFERROR('Direct Costs 2026'!$C$27*C31,"N/A")</f>
        <v>170000</v>
      </c>
      <c r="U31" s="594" cm="1">
        <f t="array" ref="U31">_xlfn.IFERROR(C31+SUM(E31:T31),"N/A")</f>
        <v>12996433.3333333</v>
      </c>
      <c r="V31" s="424"/>
      <c r="W31" s="594" cm="1">
        <f t="array" ref="W31">IF(B31&gt;0,'Allocation OH and Target 2026'!$E$27,"N/A")</f>
        <v>2134447.30345641</v>
      </c>
      <c r="X31" s="594" cm="1">
        <f t="array" ref="X31">IF(B31&gt;0,'Allocation OH and Target 2026'!$E$28,"N/A")</f>
        <v>200042.323056976</v>
      </c>
      <c r="Y31" s="594" cm="1">
        <f t="array" ref="Y31">IF(B31&gt;0,VLOOKUP(C25,'Allocation OH and Target 2026'!$C$5:$T$23,17,0),"N/A")</f>
        <v>0</v>
      </c>
      <c r="Z31" s="594" cm="1">
        <f t="array" ref="Z31">IF(B31&gt;0,VLOOKUP(C25,'Allocation OH and Target 2026'!$C$5:$T$23,18,0),"N/A")</f>
        <v>0</v>
      </c>
      <c r="AA31" s="594" cm="1">
        <f t="array" ref="AA31">_xlfn.IFERROR(B31*(X31+Z31),"N/A")</f>
        <v>800169.292227904</v>
      </c>
      <c r="AB31" s="424"/>
      <c r="AC31" s="594" cm="1">
        <f t="array" ref="AC31">_xlfn.IFERROR(AA31+U31,"N/A")</f>
        <v>13796602.6255612</v>
      </c>
      <c r="AD31" s="594" cm="1">
        <f t="array" ref="AD31">_xlfn.IFERROR(AC31*0.5%,"N/A")</f>
        <v>68983.013127806</v>
      </c>
      <c r="AE31" s="594" cm="1">
        <f t="array" ref="AE31">_xlfn.IFERROR(AC31*25%,"N/A")</f>
        <v>3449150.6563903</v>
      </c>
      <c r="AF31" s="596" cm="1">
        <f t="array" ref="AF31">IF(B31&gt;0,SUM(AC31:AE31),"N/A")</f>
        <v>17314736.2950793</v>
      </c>
      <c r="AG31" s="594" cm="1">
        <f t="array" ref="AG31">_xlfn.IFERROR(AF31/B31,"N/A")</f>
        <v>4328684.07376983</v>
      </c>
      <c r="AH31" s="424"/>
      <c r="AI31" t="str" s="604" cm="1">
        <f t="array" ref="AI31">IF(B31/VLOOKUP(C25,'Boats Data Sheet 2026'!$C$3:$H$57,6,0)&gt;VLOOKUP(C25,'Allocation OH and Target 2026'!$C$5:$J$23,8,0),IF(SUM(AJ27:AJ30)=0,AG31,"N/A"),"N/A")</f>
        <v>N/A</v>
      </c>
      <c r="AJ31" s="424" cm="1">
        <f t="array" ref="AJ31">IF(AI31="N/A",0,1)</f>
        <v>0</v>
      </c>
      <c r="AK31" t="str" s="595" cm="1">
        <f t="array" ref="AK31">IF(B31/VLOOKUP(C25,'Boats Data Sheet 2026'!$C$3:$H$57,6,0)&gt;VLOOKUP(C25,'Allocation OH and Target 2026'!$C$5:$J$23,8,0),IF(SUM(AJ27:AJ30)=0,U31/B31,"N/A"),"N/A")</f>
        <v>N/A</v>
      </c>
      <c r="AL31" s="424" cm="1">
        <f t="array" ref="AL31">IF(AK31="N/A",0,1)</f>
        <v>0</v>
      </c>
      <c r="AM31" t="str" s="605" cm="1">
        <f t="array" ref="AM31">IF(SUM(1250000+700000)*B31&lt;SUM(AC31:AD31),"NO GO","GO")</f>
        <v>NO GO</v>
      </c>
      <c r="AN31" s="424"/>
      <c r="AO31" s="594"/>
      <c r="AP31" s="594"/>
      <c r="AQ31" s="594"/>
      <c r="AR31" s="600"/>
      <c r="AS31" s="601" cm="1">
        <f t="array" ref="AS31">B31</f>
        <v>4</v>
      </c>
    </row>
    <row r="32" ht="16" customHeight="1">
      <c r="A32" s="12"/>
      <c r="B32" s="602" cm="1">
        <f t="array" ref="B32">IF(B31=0,0,IF(B31&lt;VLOOKUP(C25,'Boats Data Sheet 2026'!$C$3:$H$57,6,0),B31+1,0))</f>
        <v>5</v>
      </c>
      <c r="C32" s="594" cm="1">
        <f t="array" ref="C32">IF(B32&gt;0,IF(VLOOKUP(C25,'Boats Data Sheet 2026'!$C$3:$J$57,8,0)="N/A",0,VLOOKUP(C25,'Boats Data Sheet 2026'!$C$3:$J$57,8,0)),"N/A")</f>
        <v>8500000</v>
      </c>
      <c r="D32" s="603" cm="1">
        <f t="array" ref="D32">IF(B32&gt;7,2,IF(B32=0,"N/A",1))</f>
        <v>1</v>
      </c>
      <c r="E32" s="594" cm="1">
        <f t="array" ref="E32">_xlfn.IFERROR(SUM('Direct Costs 2026'!$C$4:$C$6)*D32,"N/A")</f>
        <v>975500</v>
      </c>
      <c r="F32" s="594" cm="1">
        <f t="array" ref="F32">_xlfn.IFERROR('Direct Costs 2026'!$C$43*B32,"N/A")</f>
        <v>30000</v>
      </c>
      <c r="G32" s="594" cm="1">
        <f t="array" ref="G32">IF(B32&gt;0,'Direct Costs 2026'!$C$25,"N/A")</f>
        <v>90000</v>
      </c>
      <c r="H32" s="594" cm="1">
        <f t="array" ref="H32">IF(B32&gt;0,'Direct Costs 2026'!$C$19+'Direct Costs 2026'!$C$18*B32,"N/A")</f>
        <v>250000</v>
      </c>
      <c r="I32" s="594" cm="1">
        <f t="array" ref="I32">IF(B32&gt;0,SUM('Direct Costs 2026'!$C$20:$C$21),"N/A")</f>
        <v>98333.3333333333</v>
      </c>
      <c r="J32" s="594" cm="1">
        <f t="array" ref="J32">IF(B32&gt;0,'Direct Costs 2026'!$C$14,"N/A")</f>
        <v>60000</v>
      </c>
      <c r="K32" s="594" cm="1">
        <f t="array" ref="K32">IF(B32&gt;0,'Direct Costs 2026'!$C$26,"N/A")</f>
        <v>20000</v>
      </c>
      <c r="L32" s="594" cm="1">
        <f t="array" ref="L32">IF(B32&gt;0,SUM('Direct Costs 2026'!$C$23:$C$24),"N/A")</f>
        <v>160000</v>
      </c>
      <c r="M32" s="594" cm="1">
        <f t="array" ref="M32">IF(B32&gt;0,'Direct Costs 2026'!$C$47*B32,"N/A")</f>
        <v>900000</v>
      </c>
      <c r="N32" s="594" cm="1">
        <f t="array" ref="N32">IF($B32&gt;0,'Direct Costs 2026'!$C$30,"N/A")</f>
        <v>440000</v>
      </c>
      <c r="O32" s="594" cm="1">
        <f t="array" ref="O32">IF($B32&gt;0,'Direct Costs 2026'!$C$31,"N/A")</f>
        <v>870000</v>
      </c>
      <c r="P32" s="594" cm="1">
        <f t="array" ref="P32">IF(B32&gt;0,'Direct Costs 2026'!$C$59*B32,"N/A")</f>
        <v>205000</v>
      </c>
      <c r="Q32" t="str" s="595" cm="1">
        <f t="array" ref="Q32">IF(B32&gt;0,_xlfn.IFERROR(VLOOKUP(C25,'Boats Data Sheet 2026'!$C$3:$I$57,7,0)*'Direct Costs 2026'!$C$36,"N/A"),"N/A")</f>
        <v>N/A</v>
      </c>
      <c r="R32" t="str" s="595" cm="1">
        <f t="array" ref="R32">IF(B32&gt;0,IF(OR(VLOOKUP(C25,'Boats Data Sheet 2026'!$C$3:$F$57,4,0)="Own",VLOOKUP(C25,'Boats Data Sheet 2026'!$C$3:$F$57,4,0)="Management"),('Direct Costs 2026'!$C$37+'Direct Costs 2026'!$C$39),"N/A"),"N/A")</f>
        <v>N/A</v>
      </c>
      <c r="S32" s="594" cm="1">
        <f t="array" ref="S32">_xlfn.IFERROR(IF(B32&gt;5,IF(B32&gt;11,IF(B32&gt;15,4,3),2),IF(B32=0,"N/A",1))*SUM('Direct Costs 2026'!$C$67:$C$68),"N/A")</f>
        <v>489600</v>
      </c>
      <c r="T32" s="594" cm="1">
        <f t="array" ref="T32">_xlfn.IFERROR('Direct Costs 2026'!$C$27*C32,"N/A")</f>
        <v>170000</v>
      </c>
      <c r="U32" s="594" cm="1">
        <f t="array" ref="U32">_xlfn.IFERROR(C32+SUM(E32:T32),"N/A")</f>
        <v>13258433.3333333</v>
      </c>
      <c r="V32" s="424"/>
      <c r="W32" s="594" cm="1">
        <f t="array" ref="W32">IF(B32&gt;0,'Allocation OH and Target 2026'!$E$27,"N/A")</f>
        <v>2134447.30345641</v>
      </c>
      <c r="X32" s="594" cm="1">
        <f t="array" ref="X32">IF(B32&gt;0,'Allocation OH and Target 2026'!$E$28,"N/A")</f>
        <v>200042.323056976</v>
      </c>
      <c r="Y32" s="594" cm="1">
        <f t="array" ref="Y32">IF(B32&gt;0,VLOOKUP(C25,'Allocation OH and Target 2026'!$C$5:$T$23,17,0),"N/A")</f>
        <v>0</v>
      </c>
      <c r="Z32" s="594" cm="1">
        <f t="array" ref="Z32">IF(B32&gt;0,VLOOKUP(C25,'Allocation OH and Target 2026'!$C$5:$T$23,18,0),"N/A")</f>
        <v>0</v>
      </c>
      <c r="AA32" s="594" cm="1">
        <f t="array" ref="AA32">_xlfn.IFERROR(B32*(X32+Z32),"N/A")</f>
        <v>1000211.61528488</v>
      </c>
      <c r="AB32" s="424"/>
      <c r="AC32" s="594" cm="1">
        <f t="array" ref="AC32">_xlfn.IFERROR(AA32+U32,"N/A")</f>
        <v>14258644.9486182</v>
      </c>
      <c r="AD32" s="594" cm="1">
        <f t="array" ref="AD32">_xlfn.IFERROR(AC32*0.5%,"N/A")</f>
        <v>71293.224743091007</v>
      </c>
      <c r="AE32" s="594" cm="1">
        <f t="array" ref="AE32">_xlfn.IFERROR(AC32*25%,"N/A")</f>
        <v>3564661.23715455</v>
      </c>
      <c r="AF32" s="596" cm="1">
        <f t="array" ref="AF32">IF(B32&gt;0,SUM(AC32:AE32),"N/A")</f>
        <v>17894599.4105158</v>
      </c>
      <c r="AG32" s="594" cm="1">
        <f t="array" ref="AG32">_xlfn.IFERROR(AF32/B32,"N/A")</f>
        <v>3578919.88210316</v>
      </c>
      <c r="AH32" s="424"/>
      <c r="AI32" t="str" s="604" cm="1">
        <f t="array" ref="AI32">IF(B32/VLOOKUP(C25,'Boats Data Sheet 2026'!$C$3:$H$57,6,0)&gt;VLOOKUP(C25,'Allocation OH and Target 2026'!$C$5:$J$23,8,0),IF(SUM(AJ27:AJ31)=0,AG32,"N/A"),"N/A")</f>
        <v>N/A</v>
      </c>
      <c r="AJ32" s="424" cm="1">
        <f t="array" ref="AJ32">IF(AI32="N/A",0,1)</f>
        <v>0</v>
      </c>
      <c r="AK32" t="str" s="595" cm="1">
        <f t="array" ref="AK32">IF(B32/VLOOKUP(C25,'Boats Data Sheet 2026'!$C$3:$H$57,6,0)&gt;VLOOKUP(C25,'Allocation OH and Target 2026'!$C$5:$J$23,8,0),IF(SUM(AJ27:AJ31)=0,U32/B32,"N/A"),"N/A")</f>
        <v>N/A</v>
      </c>
      <c r="AL32" s="424" cm="1">
        <f t="array" ref="AL32">IF(AK32="N/A",0,1)</f>
        <v>0</v>
      </c>
      <c r="AM32" t="str" s="605" cm="1">
        <f t="array" ref="AM32">IF(SUM(1250000+700000)*B32&lt;SUM(AC32:AD32),"NO GO","GO")</f>
        <v>NO GO</v>
      </c>
      <c r="AN32" s="424"/>
      <c r="AO32" s="594"/>
      <c r="AP32" s="594"/>
      <c r="AQ32" s="594"/>
      <c r="AR32" s="600"/>
      <c r="AS32" s="601" cm="1">
        <f t="array" ref="AS32">B32</f>
        <v>5</v>
      </c>
    </row>
    <row r="33" ht="16" customHeight="1">
      <c r="A33" s="12"/>
      <c r="B33" s="602" cm="1">
        <f t="array" ref="B33">IF(B32=0,0,IF(B32&lt;VLOOKUP(C25,'Boats Data Sheet 2026'!$C$3:$H$57,6,0),B32+1,0))</f>
        <v>6</v>
      </c>
      <c r="C33" s="594" cm="1">
        <f t="array" ref="C33">IF(B33&gt;0,IF(VLOOKUP(C25,'Boats Data Sheet 2026'!$C$3:$J$57,8,0)="N/A",0,VLOOKUP(C25,'Boats Data Sheet 2026'!$C$3:$J$57,8,0)),"N/A")</f>
        <v>8500000</v>
      </c>
      <c r="D33" s="603" cm="1">
        <f t="array" ref="D33">IF(B33&gt;7,2,IF(B33=0,"N/A",1))</f>
        <v>1</v>
      </c>
      <c r="E33" s="594" cm="1">
        <f t="array" ref="E33">_xlfn.IFERROR(SUM('Direct Costs 2026'!$C$4:$C$6)*D33,"N/A")</f>
        <v>975500</v>
      </c>
      <c r="F33" s="594" cm="1">
        <f t="array" ref="F33">_xlfn.IFERROR('Direct Costs 2026'!$C$43*B33,"N/A")</f>
        <v>36000</v>
      </c>
      <c r="G33" s="594" cm="1">
        <f t="array" ref="G33">IF(B33&gt;0,'Direct Costs 2026'!$C$25,"N/A")</f>
        <v>90000</v>
      </c>
      <c r="H33" s="594" cm="1">
        <f t="array" ref="H33">IF(B33&gt;0,'Direct Costs 2026'!$C$19+'Direct Costs 2026'!$C$18*B33,"N/A")</f>
        <v>285000</v>
      </c>
      <c r="I33" s="594" cm="1">
        <f t="array" ref="I33">IF(B33&gt;0,SUM('Direct Costs 2026'!$C$20:$C$21),"N/A")</f>
        <v>98333.3333333333</v>
      </c>
      <c r="J33" s="594" cm="1">
        <f t="array" ref="J33">IF(B33&gt;0,'Direct Costs 2026'!$C$14,"N/A")</f>
        <v>60000</v>
      </c>
      <c r="K33" s="594" cm="1">
        <f t="array" ref="K33">IF(B33&gt;0,'Direct Costs 2026'!$C$26,"N/A")</f>
        <v>20000</v>
      </c>
      <c r="L33" s="594" cm="1">
        <f t="array" ref="L33">IF(B33&gt;0,SUM('Direct Costs 2026'!$C$23:$C$24),"N/A")</f>
        <v>160000</v>
      </c>
      <c r="M33" s="594" cm="1">
        <f t="array" ref="M33">IF(B33&gt;0,'Direct Costs 2026'!$C$47*B33,"N/A")</f>
        <v>1080000</v>
      </c>
      <c r="N33" s="594" cm="1">
        <f t="array" ref="N33">IF($B33&gt;0,'Direct Costs 2026'!$C$30,"N/A")</f>
        <v>440000</v>
      </c>
      <c r="O33" s="594" cm="1">
        <f t="array" ref="O33">IF($B33&gt;0,'Direct Costs 2026'!$C$31,"N/A")</f>
        <v>870000</v>
      </c>
      <c r="P33" s="594" cm="1">
        <f t="array" ref="P33">IF(B33&gt;0,'Direct Costs 2026'!$C$59*B33,"N/A")</f>
        <v>246000</v>
      </c>
      <c r="Q33" t="str" s="595" cm="1">
        <f t="array" ref="Q33">IF(B33&gt;0,_xlfn.IFERROR(VLOOKUP(C25,'Boats Data Sheet 2026'!$C$3:$I$57,7,0)*'Direct Costs 2026'!$C$36,"N/A"),"N/A")</f>
        <v>N/A</v>
      </c>
      <c r="R33" t="str" s="595" cm="1">
        <f t="array" ref="R33">IF(B33&gt;0,IF(OR(VLOOKUP(C25,'Boats Data Sheet 2026'!$C$3:$F$57,4,0)="Own",VLOOKUP(C25,'Boats Data Sheet 2026'!$C$3:$F$57,4,0)="Management"),('Direct Costs 2026'!$C$37+'Direct Costs 2026'!$C$39),"N/A"),"N/A")</f>
        <v>N/A</v>
      </c>
      <c r="S33" s="594" cm="1">
        <f t="array" ref="S33">_xlfn.IFERROR(IF(B33&gt;5,IF(B33&gt;11,IF(B33&gt;15,4,3),2),IF(B33=0,"N/A",1))*SUM('Direct Costs 2026'!$C$67:$C$68),"N/A")</f>
        <v>979200</v>
      </c>
      <c r="T33" s="594" cm="1">
        <f t="array" ref="T33">_xlfn.IFERROR('Direct Costs 2026'!$C$27*C33,"N/A")</f>
        <v>170000</v>
      </c>
      <c r="U33" s="594" cm="1">
        <f t="array" ref="U33">_xlfn.IFERROR(C33+SUM(E33:T33),"N/A")</f>
        <v>14010033.3333333</v>
      </c>
      <c r="V33" s="424"/>
      <c r="W33" s="594" cm="1">
        <f t="array" ref="W33">IF(B33&gt;0,'Allocation OH and Target 2026'!$E$27,"N/A")</f>
        <v>2134447.30345641</v>
      </c>
      <c r="X33" s="594" cm="1">
        <f t="array" ref="X33">IF(B33&gt;0,'Allocation OH and Target 2026'!$E$28,"N/A")</f>
        <v>200042.323056976</v>
      </c>
      <c r="Y33" s="594" cm="1">
        <f t="array" ref="Y33">IF(B33&gt;0,VLOOKUP(C25,'Allocation OH and Target 2026'!$C$5:$T$23,17,0),"N/A")</f>
        <v>0</v>
      </c>
      <c r="Z33" s="594" cm="1">
        <f t="array" ref="Z33">IF(B33&gt;0,VLOOKUP(C25,'Allocation OH and Target 2026'!$C$5:$T$23,18,0),"N/A")</f>
        <v>0</v>
      </c>
      <c r="AA33" s="594" cm="1">
        <f t="array" ref="AA33">_xlfn.IFERROR(B33*(X33+Z33),"N/A")</f>
        <v>1200253.93834186</v>
      </c>
      <c r="AB33" s="424"/>
      <c r="AC33" s="594" cm="1">
        <f t="array" ref="AC33">_xlfn.IFERROR(AA33+U33,"N/A")</f>
        <v>15210287.2716752</v>
      </c>
      <c r="AD33" s="594" cm="1">
        <f t="array" ref="AD33">_xlfn.IFERROR(AC33*0.5%,"N/A")</f>
        <v>76051.436358376</v>
      </c>
      <c r="AE33" s="594" cm="1">
        <f t="array" ref="AE33">_xlfn.IFERROR(AC33*25%,"N/A")</f>
        <v>3802571.8179188</v>
      </c>
      <c r="AF33" s="596" cm="1">
        <f t="array" ref="AF33">IF(B33&gt;0,SUM(AC33:AE33),"N/A")</f>
        <v>19088910.5259524</v>
      </c>
      <c r="AG33" s="594" cm="1">
        <f t="array" ref="AG33">_xlfn.IFERROR(AF33/B33,"N/A")</f>
        <v>3181485.08765873</v>
      </c>
      <c r="AH33" s="424"/>
      <c r="AI33" t="str" s="604" cm="1">
        <f t="array" ref="AI33">IF(B33/VLOOKUP(C25,'Boats Data Sheet 2026'!$C$3:$H$57,6,0)&gt;VLOOKUP(C25,'Allocation OH and Target 2026'!$C$5:$J$23,8,0),IF(SUM(AJ27:AJ32)=0,AG33,"N/A"),"N/A")</f>
        <v>N/A</v>
      </c>
      <c r="AJ33" s="424" cm="1">
        <f t="array" ref="AJ33">IF(AI33="N/A",0,1)</f>
        <v>0</v>
      </c>
      <c r="AK33" t="str" s="595" cm="1">
        <f t="array" ref="AK33">IF(B33/VLOOKUP(C25,'Boats Data Sheet 2026'!$C$3:$H$57,6,0)&gt;VLOOKUP(C25,'Allocation OH and Target 2026'!$C$5:$J$23,8,0),IF(SUM(AJ27:AJ32)=0,U33/B33,"N/A"),"N/A")</f>
        <v>N/A</v>
      </c>
      <c r="AL33" s="424" cm="1">
        <f t="array" ref="AL33">IF(AK33="N/A",0,1)</f>
        <v>0</v>
      </c>
      <c r="AM33" t="str" s="605" cm="1">
        <f t="array" ref="AM33">IF(SUM(1250000+700000)*B33&lt;SUM(AC33:AD33),"NO GO","GO")</f>
        <v>NO GO</v>
      </c>
      <c r="AN33" s="424"/>
      <c r="AO33" s="594"/>
      <c r="AP33" s="594"/>
      <c r="AQ33" s="594"/>
      <c r="AR33" s="600"/>
      <c r="AS33" s="601" cm="1">
        <f t="array" ref="AS33">B33</f>
        <v>6</v>
      </c>
    </row>
    <row r="34" ht="16" customHeight="1">
      <c r="A34" s="12"/>
      <c r="B34" s="602" cm="1">
        <f t="array" ref="B34">IF(B33=0,0,IF(B33&lt;VLOOKUP(C25,'Boats Data Sheet 2026'!$C$3:$H$57,6,0),B33+1,0))</f>
        <v>7</v>
      </c>
      <c r="C34" s="594" cm="1">
        <f t="array" ref="C34">IF(B34&gt;0,IF(VLOOKUP(C25,'Boats Data Sheet 2026'!$C$3:$J$57,8,0)="N/A",0,VLOOKUP(C25,'Boats Data Sheet 2026'!$C$3:$J$57,8,0)),"N/A")</f>
        <v>8500000</v>
      </c>
      <c r="D34" s="603" cm="1">
        <f t="array" ref="D34">IF(B34&gt;7,2,IF(B34=0,"N/A",1))</f>
        <v>1</v>
      </c>
      <c r="E34" s="594" cm="1">
        <f t="array" ref="E34">_xlfn.IFERROR(SUM('Direct Costs 2026'!$C$4:$C$6)*D34,"N/A")</f>
        <v>975500</v>
      </c>
      <c r="F34" s="594" cm="1">
        <f t="array" ref="F34">_xlfn.IFERROR('Direct Costs 2026'!$C$43*B34,"N/A")</f>
        <v>42000</v>
      </c>
      <c r="G34" s="594" cm="1">
        <f t="array" ref="G34">IF(B34&gt;0,'Direct Costs 2026'!$C$25,"N/A")</f>
        <v>90000</v>
      </c>
      <c r="H34" s="594" cm="1">
        <f t="array" ref="H34">IF(B34&gt;0,'Direct Costs 2026'!$C$19+'Direct Costs 2026'!$C$18*B34,"N/A")</f>
        <v>320000</v>
      </c>
      <c r="I34" s="594" cm="1">
        <f t="array" ref="I34">IF(B34&gt;0,SUM('Direct Costs 2026'!$C$20:$C$21),"N/A")</f>
        <v>98333.3333333333</v>
      </c>
      <c r="J34" s="594" cm="1">
        <f t="array" ref="J34">IF(B34&gt;0,'Direct Costs 2026'!$C$14,"N/A")</f>
        <v>60000</v>
      </c>
      <c r="K34" s="594" cm="1">
        <f t="array" ref="K34">IF(B34&gt;0,'Direct Costs 2026'!$C$26,"N/A")</f>
        <v>20000</v>
      </c>
      <c r="L34" s="594" cm="1">
        <f t="array" ref="L34">IF(B34&gt;0,SUM('Direct Costs 2026'!$C$23:$C$24),"N/A")</f>
        <v>160000</v>
      </c>
      <c r="M34" s="594" cm="1">
        <f t="array" ref="M34">IF(B34&gt;0,'Direct Costs 2026'!$C$47*B34,"N/A")</f>
        <v>1260000</v>
      </c>
      <c r="N34" s="594" cm="1">
        <f t="array" ref="N34">IF($B34&gt;0,'Direct Costs 2026'!$C$30,"N/A")</f>
        <v>440000</v>
      </c>
      <c r="O34" s="594" cm="1">
        <f t="array" ref="O34">IF($B34&gt;0,'Direct Costs 2026'!$C$31,"N/A")</f>
        <v>870000</v>
      </c>
      <c r="P34" s="594" cm="1">
        <f t="array" ref="P34">IF(B34&gt;0,'Direct Costs 2026'!$C$59*B34,"N/A")</f>
        <v>287000</v>
      </c>
      <c r="Q34" t="str" s="595" cm="1">
        <f t="array" ref="Q34">IF(B34&gt;0,_xlfn.IFERROR(VLOOKUP(C25,'Boats Data Sheet 2026'!$C$3:$I$57,7,0)*'Direct Costs 2026'!$C$36,"N/A"),"N/A")</f>
        <v>N/A</v>
      </c>
      <c r="R34" t="str" s="595" cm="1">
        <f t="array" ref="R34">IF(B34&gt;0,IF(OR(VLOOKUP(C25,'Boats Data Sheet 2026'!$C$3:$F$57,4,0)="Own",VLOOKUP(C25,'Boats Data Sheet 2026'!$C$3:$F$57,4,0)="Management"),('Direct Costs 2026'!$C$37+'Direct Costs 2026'!$C$39),"N/A"),"N/A")</f>
        <v>N/A</v>
      </c>
      <c r="S34" s="594" cm="1">
        <f t="array" ref="S34">_xlfn.IFERROR(IF(B34&gt;5,IF(B34&gt;11,IF(B34&gt;15,4,3),2),IF(B34=0,"N/A",1))*SUM('Direct Costs 2026'!$C$67:$C$68),"N/A")</f>
        <v>979200</v>
      </c>
      <c r="T34" s="594" cm="1">
        <f t="array" ref="T34">_xlfn.IFERROR('Direct Costs 2026'!$C$27*C34,"N/A")</f>
        <v>170000</v>
      </c>
      <c r="U34" s="594" cm="1">
        <f t="array" ref="U34">_xlfn.IFERROR(C34+SUM(E34:T34),"N/A")</f>
        <v>14272033.3333333</v>
      </c>
      <c r="V34" s="424"/>
      <c r="W34" s="594" cm="1">
        <f t="array" ref="W34">IF(B34&gt;0,'Allocation OH and Target 2026'!$E$27,"N/A")</f>
        <v>2134447.30345641</v>
      </c>
      <c r="X34" s="594" cm="1">
        <f t="array" ref="X34">IF(B34&gt;0,'Allocation OH and Target 2026'!$E$28,"N/A")</f>
        <v>200042.323056976</v>
      </c>
      <c r="Y34" s="594" cm="1">
        <f t="array" ref="Y34">IF(B34&gt;0,VLOOKUP(C25,'Allocation OH and Target 2026'!$C$5:$T$23,17,0),"N/A")</f>
        <v>0</v>
      </c>
      <c r="Z34" s="594" cm="1">
        <f t="array" ref="Z34">IF(B34&gt;0,VLOOKUP(C25,'Allocation OH and Target 2026'!$C$5:$T$23,18,0),"N/A")</f>
        <v>0</v>
      </c>
      <c r="AA34" s="594" cm="1">
        <f t="array" ref="AA34">_xlfn.IFERROR(B34*(X34+Z34),"N/A")</f>
        <v>1400296.26139883</v>
      </c>
      <c r="AB34" s="424"/>
      <c r="AC34" s="594" cm="1">
        <f t="array" ref="AC34">_xlfn.IFERROR(AA34+U34,"N/A")</f>
        <v>15672329.5947321</v>
      </c>
      <c r="AD34" s="594" cm="1">
        <f t="array" ref="AD34">_xlfn.IFERROR(AC34*0.5%,"N/A")</f>
        <v>78361.6479736605</v>
      </c>
      <c r="AE34" s="594" cm="1">
        <f t="array" ref="AE34">_xlfn.IFERROR(AC34*25%,"N/A")</f>
        <v>3918082.39868303</v>
      </c>
      <c r="AF34" s="596" cm="1">
        <f t="array" ref="AF34">IF(B34&gt;0,SUM(AC34:AE34),"N/A")</f>
        <v>19668773.6413888</v>
      </c>
      <c r="AG34" s="594" cm="1">
        <f t="array" ref="AG34">_xlfn.IFERROR(AF34/B34,"N/A")</f>
        <v>2809824.80591269</v>
      </c>
      <c r="AH34" s="424"/>
      <c r="AI34" t="str" s="604" cm="1">
        <f t="array" ref="AI34">IF(B34/VLOOKUP(C25,'Boats Data Sheet 2026'!$C$3:$H$57,6,0)&gt;VLOOKUP(C25,'Allocation OH and Target 2026'!$C$5:$J$23,8,0),IF(SUM(AJ27:AJ33)=0,AG34,"N/A"),"N/A")</f>
        <v>N/A</v>
      </c>
      <c r="AJ34" s="424" cm="1">
        <f t="array" ref="AJ34">IF(AI34="N/A",0,1)</f>
        <v>0</v>
      </c>
      <c r="AK34" t="str" s="595" cm="1">
        <f t="array" ref="AK34">IF(B34/VLOOKUP(C25,'Boats Data Sheet 2026'!$C$3:$H$57,6,0)&gt;VLOOKUP(C25,'Allocation OH and Target 2026'!$C$5:$J$23,8,0),IF(SUM(AJ27:AJ33)=0,U34/B34,"N/A"),"N/A")</f>
        <v>N/A</v>
      </c>
      <c r="AL34" s="424" cm="1">
        <f t="array" ref="AL34">IF(AK34="N/A",0,1)</f>
        <v>0</v>
      </c>
      <c r="AM34" t="str" s="605" cm="1">
        <f t="array" ref="AM34">IF(SUM(1250000+700000)*B34&lt;SUM(AC34:AD34),"NO GO","GO")</f>
        <v>NO GO</v>
      </c>
      <c r="AN34" s="424"/>
      <c r="AO34" s="594"/>
      <c r="AP34" s="594"/>
      <c r="AQ34" s="594"/>
      <c r="AR34" s="600"/>
      <c r="AS34" s="601" cm="1">
        <f t="array" ref="AS34">B34</f>
        <v>7</v>
      </c>
    </row>
    <row r="35" ht="16" customHeight="1">
      <c r="A35" s="12"/>
      <c r="B35" s="602" cm="1">
        <f t="array" ref="B35">IF(B34=0,0,IF(B34&lt;VLOOKUP(C25,'Boats Data Sheet 2026'!$C$3:$H$57,6,0),B34+1,0))</f>
        <v>8</v>
      </c>
      <c r="C35" s="594" cm="1">
        <f t="array" ref="C35">IF(B35&gt;0,IF(VLOOKUP(C25,'Boats Data Sheet 2026'!$C$3:$J$57,8,0)="N/A",0,VLOOKUP(C25,'Boats Data Sheet 2026'!$C$3:$J$57,8,0)),"N/A")</f>
        <v>8500000</v>
      </c>
      <c r="D35" s="603" cm="1">
        <f t="array" ref="D35">IF(B35&gt;7,2,IF(B35=0,"N/A",1))</f>
        <v>2</v>
      </c>
      <c r="E35" s="594" cm="1">
        <f t="array" ref="E35">_xlfn.IFERROR(SUM('Direct Costs 2026'!$C$4:$C$6)*D35,"N/A")</f>
        <v>1951000</v>
      </c>
      <c r="F35" s="594" cm="1">
        <f t="array" ref="F35">_xlfn.IFERROR('Direct Costs 2026'!$C$43*B35,"N/A")</f>
        <v>48000</v>
      </c>
      <c r="G35" s="594" cm="1">
        <f t="array" ref="G35">IF(B35&gt;0,'Direct Costs 2026'!$C$25,"N/A")</f>
        <v>90000</v>
      </c>
      <c r="H35" s="594" cm="1">
        <f t="array" ref="H35">IF(B35&gt;0,'Direct Costs 2026'!$C$19+'Direct Costs 2026'!$C$18*B35,"N/A")</f>
        <v>355000</v>
      </c>
      <c r="I35" s="594" cm="1">
        <f t="array" ref="I35">IF(B35&gt;0,SUM('Direct Costs 2026'!$C$20:$C$21),"N/A")</f>
        <v>98333.3333333333</v>
      </c>
      <c r="J35" s="594" cm="1">
        <f t="array" ref="J35">IF(B35&gt;0,'Direct Costs 2026'!$C$14,"N/A")</f>
        <v>60000</v>
      </c>
      <c r="K35" s="594" cm="1">
        <f t="array" ref="K35">IF(B35&gt;0,'Direct Costs 2026'!$C$26,"N/A")</f>
        <v>20000</v>
      </c>
      <c r="L35" s="594" cm="1">
        <f t="array" ref="L35">IF(B35&gt;0,SUM('Direct Costs 2026'!$C$23:$C$24),"N/A")</f>
        <v>160000</v>
      </c>
      <c r="M35" s="594" cm="1">
        <f t="array" ref="M35">IF(B35&gt;0,'Direct Costs 2026'!$C$47*B35,"N/A")</f>
        <v>1440000</v>
      </c>
      <c r="N35" s="594" cm="1">
        <f t="array" ref="N35">IF($B35&gt;0,'Direct Costs 2026'!$C$30,"N/A")</f>
        <v>440000</v>
      </c>
      <c r="O35" s="594" cm="1">
        <f t="array" ref="O35">IF($B35&gt;0,'Direct Costs 2026'!$C$31,"N/A")</f>
        <v>870000</v>
      </c>
      <c r="P35" s="594" cm="1">
        <f t="array" ref="P35">IF(B35&gt;0,'Direct Costs 2026'!$C$59*B35,"N/A")</f>
        <v>328000</v>
      </c>
      <c r="Q35" t="str" s="595" cm="1">
        <f t="array" ref="Q35">IF(B35&gt;0,_xlfn.IFERROR(VLOOKUP(C25,'Boats Data Sheet 2026'!$C$3:$I$57,7,0)*'Direct Costs 2026'!$C$36,"N/A"),"N/A")</f>
        <v>N/A</v>
      </c>
      <c r="R35" t="str" s="595" cm="1">
        <f t="array" ref="R35">IF(B35&gt;0,IF(OR(VLOOKUP(C25,'Boats Data Sheet 2026'!$C$3:$F$57,4,0)="Own",VLOOKUP(C25,'Boats Data Sheet 2026'!$C$3:$F$57,4,0)="Management"),('Direct Costs 2026'!$C$37+'Direct Costs 2026'!$C$39),"N/A"),"N/A")</f>
        <v>N/A</v>
      </c>
      <c r="S35" s="594" cm="1">
        <f t="array" ref="S35">_xlfn.IFERROR(IF(B35&gt;5,IF(B35&gt;11,IF(B35&gt;15,4,3),2),IF(B35=0,"N/A",1))*SUM('Direct Costs 2026'!$C$67:$C$68),"N/A")</f>
        <v>979200</v>
      </c>
      <c r="T35" s="594" cm="1">
        <f t="array" ref="T35">_xlfn.IFERROR('Direct Costs 2026'!$C$27*C35,"N/A")</f>
        <v>170000</v>
      </c>
      <c r="U35" s="594" cm="1">
        <f t="array" ref="U35">_xlfn.IFERROR(C35+SUM(E35:T35),"N/A")</f>
        <v>15509533.3333333</v>
      </c>
      <c r="V35" s="424"/>
      <c r="W35" s="594" cm="1">
        <f t="array" ref="W35">IF(B35&gt;0,'Allocation OH and Target 2026'!$E$27,"N/A")</f>
        <v>2134447.30345641</v>
      </c>
      <c r="X35" s="594" cm="1">
        <f t="array" ref="X35">IF(B35&gt;0,'Allocation OH and Target 2026'!$E$28,"N/A")</f>
        <v>200042.323056976</v>
      </c>
      <c r="Y35" s="594" cm="1">
        <f t="array" ref="Y35">IF(B35&gt;0,VLOOKUP(C25,'Allocation OH and Target 2026'!$C$5:$T$23,17,0),"N/A")</f>
        <v>0</v>
      </c>
      <c r="Z35" s="594" cm="1">
        <f t="array" ref="Z35">IF(B35&gt;0,VLOOKUP(C25,'Allocation OH and Target 2026'!$C$5:$T$23,18,0),"N/A")</f>
        <v>0</v>
      </c>
      <c r="AA35" s="594" cm="1">
        <f t="array" ref="AA35">_xlfn.IFERROR(B35*(X35+Z35),"N/A")</f>
        <v>1600338.58445581</v>
      </c>
      <c r="AB35" s="424"/>
      <c r="AC35" s="594" cm="1">
        <f t="array" ref="AC35">_xlfn.IFERROR(AA35+U35,"N/A")</f>
        <v>17109871.9177891</v>
      </c>
      <c r="AD35" s="594" cm="1">
        <f t="array" ref="AD35">_xlfn.IFERROR(AC35*0.5%,"N/A")</f>
        <v>85549.3595889455</v>
      </c>
      <c r="AE35" s="594" cm="1">
        <f t="array" ref="AE35">_xlfn.IFERROR(AC35*25%,"N/A")</f>
        <v>4277467.97944728</v>
      </c>
      <c r="AF35" s="596" cm="1">
        <f t="array" ref="AF35">IF(B35&gt;0,SUM(AC35:AE35),"N/A")</f>
        <v>21472889.2568253</v>
      </c>
      <c r="AG35" s="594" cm="1">
        <f t="array" ref="AG35">_xlfn.IFERROR(AF35/B35,"N/A")</f>
        <v>2684111.15710316</v>
      </c>
      <c r="AH35" s="424"/>
      <c r="AI35" t="str" s="604" cm="1">
        <f t="array" ref="AI35">IF(B35/VLOOKUP(C25,'Boats Data Sheet 2026'!$C$3:$H$57,6,0)&gt;VLOOKUP(C25,'Allocation OH and Target 2026'!$C$5:$J$23,8,0),IF(SUM(AJ27:AJ34)=0,AG35,"N/A"),"N/A")</f>
        <v>N/A</v>
      </c>
      <c r="AJ35" s="424" cm="1">
        <f t="array" ref="AJ35">IF(AI35="N/A",0,1)</f>
        <v>0</v>
      </c>
      <c r="AK35" t="str" s="595" cm="1">
        <f t="array" ref="AK35">IF(B35/VLOOKUP(C25,'Boats Data Sheet 2026'!$C$3:$H$57,6,0)&gt;VLOOKUP(C25,'Allocation OH and Target 2026'!$C$5:$J$23,8,0),IF(SUM(AJ27:AJ34)=0,U35/B35,"N/A"),"N/A")</f>
        <v>N/A</v>
      </c>
      <c r="AL35" s="424" cm="1">
        <f t="array" ref="AL35">IF(AK35="N/A",0,1)</f>
        <v>0</v>
      </c>
      <c r="AM35" t="str" s="605" cm="1">
        <f t="array" ref="AM35">IF(SUM(1250000+700000)*B35&lt;SUM(AC35:AD35),"NO GO","GO")</f>
        <v>NO GO</v>
      </c>
      <c r="AN35" s="424"/>
      <c r="AO35" s="594"/>
      <c r="AP35" s="594"/>
      <c r="AQ35" s="594"/>
      <c r="AR35" s="600"/>
      <c r="AS35" s="601" cm="1">
        <f t="array" ref="AS35">B35</f>
        <v>8</v>
      </c>
    </row>
    <row r="36" ht="16" customHeight="1">
      <c r="A36" s="12"/>
      <c r="B36" s="602" cm="1">
        <f t="array" ref="B36">IF(B35=0,0,IF(B35&lt;VLOOKUP(C25,'Boats Data Sheet 2026'!$C$3:$H$57,6,0),B35+1,0))</f>
        <v>9</v>
      </c>
      <c r="C36" s="594" cm="1">
        <f t="array" ref="C36">IF(B36&gt;0,IF(VLOOKUP(C25,'Boats Data Sheet 2026'!$C$3:$J$57,8,0)="N/A",0,VLOOKUP(C25,'Boats Data Sheet 2026'!$C$3:$J$57,8,0)),"N/A")</f>
        <v>8500000</v>
      </c>
      <c r="D36" s="603" cm="1">
        <f t="array" ref="D36">IF(B36&gt;7,2,IF(B36=0,"N/A",1))</f>
        <v>2</v>
      </c>
      <c r="E36" s="594" cm="1">
        <f t="array" ref="E36">_xlfn.IFERROR(SUM('Direct Costs 2026'!$C$4:$C$6)*D36,"N/A")</f>
        <v>1951000</v>
      </c>
      <c r="F36" s="594" cm="1">
        <f t="array" ref="F36">_xlfn.IFERROR('Direct Costs 2026'!$C$43*B36,"N/A")</f>
        <v>54000</v>
      </c>
      <c r="G36" s="594" cm="1">
        <f t="array" ref="G36">IF(B36&gt;0,'Direct Costs 2026'!$C$25,"N/A")</f>
        <v>90000</v>
      </c>
      <c r="H36" s="594" cm="1">
        <f t="array" ref="H36">IF(B36&gt;0,'Direct Costs 2026'!$C$19+'Direct Costs 2026'!$C$18*B36,"N/A")</f>
        <v>390000</v>
      </c>
      <c r="I36" s="594" cm="1">
        <f t="array" ref="I36">IF(B36&gt;0,SUM('Direct Costs 2026'!$C$20:$C$21),"N/A")</f>
        <v>98333.3333333333</v>
      </c>
      <c r="J36" s="594" cm="1">
        <f t="array" ref="J36">IF(B36&gt;0,'Direct Costs 2026'!$C$14,"N/A")</f>
        <v>60000</v>
      </c>
      <c r="K36" s="594" cm="1">
        <f t="array" ref="K36">IF(B36&gt;0,'Direct Costs 2026'!$C$26,"N/A")</f>
        <v>20000</v>
      </c>
      <c r="L36" s="594" cm="1">
        <f t="array" ref="L36">IF(B36&gt;0,SUM('Direct Costs 2026'!$C$23:$C$24),"N/A")</f>
        <v>160000</v>
      </c>
      <c r="M36" s="594" cm="1">
        <f t="array" ref="M36">IF(B36&gt;0,'Direct Costs 2026'!$C$47*B36,"N/A")</f>
        <v>1620000</v>
      </c>
      <c r="N36" s="594" cm="1">
        <f t="array" ref="N36">IF($B36&gt;0,'Direct Costs 2026'!$C$30,"N/A")</f>
        <v>440000</v>
      </c>
      <c r="O36" s="594" cm="1">
        <f t="array" ref="O36">IF($B36&gt;0,'Direct Costs 2026'!$C$31,"N/A")</f>
        <v>870000</v>
      </c>
      <c r="P36" s="594" cm="1">
        <f t="array" ref="P36">IF(B36&gt;0,'Direct Costs 2026'!$C$59*B36,"N/A")</f>
        <v>369000</v>
      </c>
      <c r="Q36" t="str" s="595" cm="1">
        <f t="array" ref="Q36">IF(B36&gt;0,_xlfn.IFERROR(VLOOKUP(C25,'Boats Data Sheet 2026'!$C$3:$I$57,7,0)*'Direct Costs 2026'!$C$36,"N/A"),"N/A")</f>
        <v>N/A</v>
      </c>
      <c r="R36" t="str" s="595" cm="1">
        <f t="array" ref="R36">IF(B36&gt;0,IF(OR(VLOOKUP(C25,'Boats Data Sheet 2026'!$C$3:$F$57,4,0)="Own",VLOOKUP(C25,'Boats Data Sheet 2026'!$C$3:$F$57,4,0)="Management"),('Direct Costs 2026'!$C$37+'Direct Costs 2026'!$C$39),"N/A"),"N/A")</f>
        <v>N/A</v>
      </c>
      <c r="S36" s="594" cm="1">
        <f t="array" ref="S36">_xlfn.IFERROR(IF(B36&gt;5,IF(B36&gt;11,IF(B36&gt;15,4,3),2),IF(B36=0,"N/A",1))*SUM('Direct Costs 2026'!$C$67:$C$68),"N/A")</f>
        <v>979200</v>
      </c>
      <c r="T36" s="594" cm="1">
        <f t="array" ref="T36">_xlfn.IFERROR('Direct Costs 2026'!$C$27*C36,"N/A")</f>
        <v>170000</v>
      </c>
      <c r="U36" s="594" cm="1">
        <f t="array" ref="U36">_xlfn.IFERROR(C36+SUM(E36:T36),"N/A")</f>
        <v>15771533.3333333</v>
      </c>
      <c r="V36" s="424"/>
      <c r="W36" s="594" cm="1">
        <f t="array" ref="W36">IF(B36&gt;0,'Allocation OH and Target 2026'!$E$27,"N/A")</f>
        <v>2134447.30345641</v>
      </c>
      <c r="X36" s="594" cm="1">
        <f t="array" ref="X36">IF(B36&gt;0,'Allocation OH and Target 2026'!$E$28,"N/A")</f>
        <v>200042.323056976</v>
      </c>
      <c r="Y36" s="594" cm="1">
        <f t="array" ref="Y36">IF(B36&gt;0,VLOOKUP(C25,'Allocation OH and Target 2026'!$C$5:$T$23,17,0),"N/A")</f>
        <v>0</v>
      </c>
      <c r="Z36" s="594" cm="1">
        <f t="array" ref="Z36">IF(B36&gt;0,VLOOKUP(C25,'Allocation OH and Target 2026'!$C$5:$T$23,18,0),"N/A")</f>
        <v>0</v>
      </c>
      <c r="AA36" s="594" cm="1">
        <f t="array" ref="AA36">_xlfn.IFERROR(B36*(X36+Z36),"N/A")</f>
        <v>1800380.90751278</v>
      </c>
      <c r="AB36" s="424"/>
      <c r="AC36" s="594" cm="1">
        <f t="array" ref="AC36">_xlfn.IFERROR(AA36+U36,"N/A")</f>
        <v>17571914.2408461</v>
      </c>
      <c r="AD36" s="594" cm="1">
        <f t="array" ref="AD36">_xlfn.IFERROR(AC36*0.5%,"N/A")</f>
        <v>87859.571204230495</v>
      </c>
      <c r="AE36" s="594" cm="1">
        <f t="array" ref="AE36">_xlfn.IFERROR(AC36*25%,"N/A")</f>
        <v>4392978.56021153</v>
      </c>
      <c r="AF36" s="596" cm="1">
        <f t="array" ref="AF36">IF(B36&gt;0,SUM(AC36:AE36),"N/A")</f>
        <v>22052752.3722619</v>
      </c>
      <c r="AG36" s="594" cm="1">
        <f t="array" ref="AG36">_xlfn.IFERROR(AF36/B36,"N/A")</f>
        <v>2450305.81914021</v>
      </c>
      <c r="AH36" s="424"/>
      <c r="AI36" t="str" s="604" cm="1">
        <f t="array" ref="AI36">IF(B36/VLOOKUP(C25,'Boats Data Sheet 2026'!$C$3:$H$57,6,0)&gt;VLOOKUP(C25,'Allocation OH and Target 2026'!$C$5:$J$23,8,0),IF(SUM(AJ27:AJ35)=0,AG36,"N/A"),"N/A")</f>
        <v>N/A</v>
      </c>
      <c r="AJ36" s="424" cm="1">
        <f t="array" ref="AJ36">IF(AI36="N/A",0,1)</f>
        <v>0</v>
      </c>
      <c r="AK36" t="str" s="595" cm="1">
        <f t="array" ref="AK36">IF(B36/VLOOKUP(C25,'Boats Data Sheet 2026'!$C$3:$H$57,6,0)&gt;VLOOKUP(C25,'Allocation OH and Target 2026'!$C$5:$J$23,8,0),IF(SUM(AJ27:AJ35)=0,U36/B36,"N/A"),"N/A")</f>
        <v>N/A</v>
      </c>
      <c r="AL36" s="424" cm="1">
        <f t="array" ref="AL36">IF(AK36="N/A",0,1)</f>
        <v>0</v>
      </c>
      <c r="AM36" t="str" s="605" cm="1">
        <f t="array" ref="AM36">IF(SUM(1250000+700000)*B36&lt;SUM(AC36:AD36),"NO GO","GO")</f>
        <v>NO GO</v>
      </c>
      <c r="AN36" s="424"/>
      <c r="AO36" s="594"/>
      <c r="AP36" s="594"/>
      <c r="AQ36" s="594"/>
      <c r="AR36" s="600"/>
      <c r="AS36" s="601" cm="1">
        <f t="array" ref="AS36">B36</f>
        <v>9</v>
      </c>
    </row>
    <row r="37" ht="16" customHeight="1">
      <c r="A37" s="12"/>
      <c r="B37" s="602" cm="1">
        <f t="array" ref="B37">IF(B36=0,0,IF(B36&lt;VLOOKUP(C25,'Boats Data Sheet 2026'!$C$3:$H$57,6,0),B36+1,0))</f>
        <v>10</v>
      </c>
      <c r="C37" s="594" cm="1">
        <f t="array" ref="C37">IF(B37&gt;0,IF(VLOOKUP(C25,'Boats Data Sheet 2026'!$C$3:$J$57,8,0)="N/A",0,VLOOKUP(C25,'Boats Data Sheet 2026'!$C$3:$J$57,8,0)),"N/A")</f>
        <v>8500000</v>
      </c>
      <c r="D37" s="603" cm="1">
        <f t="array" ref="D37">IF(B37&gt;7,2,IF(B37=0,"N/A",1))</f>
        <v>2</v>
      </c>
      <c r="E37" s="594" cm="1">
        <f t="array" ref="E37">_xlfn.IFERROR(SUM('Direct Costs 2026'!$C$4:$C$6)*D37,"N/A")</f>
        <v>1951000</v>
      </c>
      <c r="F37" s="594" cm="1">
        <f t="array" ref="F37">_xlfn.IFERROR('Direct Costs 2026'!$C$43*B37,"N/A")</f>
        <v>60000</v>
      </c>
      <c r="G37" s="594" cm="1">
        <f t="array" ref="G37">IF(B37&gt;0,'Direct Costs 2026'!$C$25,"N/A")</f>
        <v>90000</v>
      </c>
      <c r="H37" s="594" cm="1">
        <f t="array" ref="H37">IF(B37&gt;0,'Direct Costs 2026'!$C$19+'Direct Costs 2026'!$C$18*B37,"N/A")</f>
        <v>425000</v>
      </c>
      <c r="I37" s="594" cm="1">
        <f t="array" ref="I37">IF(B37&gt;0,SUM('Direct Costs 2026'!$C$20:$C$21),"N/A")</f>
        <v>98333.3333333333</v>
      </c>
      <c r="J37" s="594" cm="1">
        <f t="array" ref="J37">IF(B37&gt;0,'Direct Costs 2026'!$C$14,"N/A")</f>
        <v>60000</v>
      </c>
      <c r="K37" s="594" cm="1">
        <f t="array" ref="K37">IF(B37&gt;0,'Direct Costs 2026'!$C$26,"N/A")</f>
        <v>20000</v>
      </c>
      <c r="L37" s="594" cm="1">
        <f t="array" ref="L37">IF(B37&gt;0,SUM('Direct Costs 2026'!$C$23:$C$24),"N/A")</f>
        <v>160000</v>
      </c>
      <c r="M37" s="594" cm="1">
        <f t="array" ref="M37">IF(B37&gt;0,'Direct Costs 2026'!$C$47*B37,"N/A")</f>
        <v>1800000</v>
      </c>
      <c r="N37" s="594" cm="1">
        <f t="array" ref="N37">IF($B37&gt;0,'Direct Costs 2026'!$C$30,"N/A")</f>
        <v>440000</v>
      </c>
      <c r="O37" s="594" cm="1">
        <f t="array" ref="O37">IF($B37&gt;0,'Direct Costs 2026'!$C$31,"N/A")</f>
        <v>870000</v>
      </c>
      <c r="P37" s="594" cm="1">
        <f t="array" ref="P37">IF(B37&gt;0,'Direct Costs 2026'!$C$59*B37,"N/A")</f>
        <v>410000</v>
      </c>
      <c r="Q37" t="str" s="595" cm="1">
        <f t="array" ref="Q37">IF(B37&gt;0,_xlfn.IFERROR(VLOOKUP(C25,'Boats Data Sheet 2026'!$C$3:$I$57,7,0)*'Direct Costs 2026'!$C$36,"N/A"),"N/A")</f>
        <v>N/A</v>
      </c>
      <c r="R37" t="str" s="595" cm="1">
        <f t="array" ref="R37">IF(B37&gt;0,IF(OR(VLOOKUP(C25,'Boats Data Sheet 2026'!$C$3:$F$57,4,0)="Own",VLOOKUP(C25,'Boats Data Sheet 2026'!$C$3:$F$57,4,0)="Management"),('Direct Costs 2026'!$C$37+'Direct Costs 2026'!$C$39),"N/A"),"N/A")</f>
        <v>N/A</v>
      </c>
      <c r="S37" s="594" cm="1">
        <f t="array" ref="S37">_xlfn.IFERROR(IF(B37&gt;5,IF(B37&gt;11,IF(B37&gt;15,4,3),2),IF(B37=0,"N/A",1))*SUM('Direct Costs 2026'!$C$67:$C$68),"N/A")</f>
        <v>979200</v>
      </c>
      <c r="T37" s="594" cm="1">
        <f t="array" ref="T37">_xlfn.IFERROR('Direct Costs 2026'!$C$27*C37,"N/A")</f>
        <v>170000</v>
      </c>
      <c r="U37" s="594" cm="1">
        <f t="array" ref="U37">_xlfn.IFERROR(C37+SUM(E37:T37),"N/A")</f>
        <v>16033533.3333333</v>
      </c>
      <c r="V37" s="424"/>
      <c r="W37" s="594" cm="1">
        <f t="array" ref="W37">IF(B37&gt;0,'Allocation OH and Target 2026'!$E$27,"N/A")</f>
        <v>2134447.30345641</v>
      </c>
      <c r="X37" s="594" cm="1">
        <f t="array" ref="X37">IF(B37&gt;0,'Allocation OH and Target 2026'!$E$28,"N/A")</f>
        <v>200042.323056976</v>
      </c>
      <c r="Y37" s="594" cm="1">
        <f t="array" ref="Y37">IF(B37&gt;0,VLOOKUP(C25,'Allocation OH and Target 2026'!$C$5:$T$23,17,0),"N/A")</f>
        <v>0</v>
      </c>
      <c r="Z37" s="594" cm="1">
        <f t="array" ref="Z37">IF(B37&gt;0,VLOOKUP(C25,'Allocation OH and Target 2026'!$C$5:$T$23,18,0),"N/A")</f>
        <v>0</v>
      </c>
      <c r="AA37" s="594" cm="1">
        <f t="array" ref="AA37">_xlfn.IFERROR(B37*(X37+Z37),"N/A")</f>
        <v>2000423.23056976</v>
      </c>
      <c r="AB37" s="424"/>
      <c r="AC37" s="594" cm="1">
        <f t="array" ref="AC37">_xlfn.IFERROR(AA37+U37,"N/A")</f>
        <v>18033956.5639031</v>
      </c>
      <c r="AD37" s="594" cm="1">
        <f t="array" ref="AD37">_xlfn.IFERROR(AC37*0.5%,"N/A")</f>
        <v>90169.7828195155</v>
      </c>
      <c r="AE37" s="594" cm="1">
        <f t="array" ref="AE37">_xlfn.IFERROR(AC37*25%,"N/A")</f>
        <v>4508489.14097578</v>
      </c>
      <c r="AF37" s="596" cm="1">
        <f t="array" ref="AF37">IF(B37&gt;0,SUM(AC37:AE37),"N/A")</f>
        <v>22632615.4876984</v>
      </c>
      <c r="AG37" s="594" cm="1">
        <f t="array" ref="AG37">_xlfn.IFERROR(AF37/B37,"N/A")</f>
        <v>2263261.54876984</v>
      </c>
      <c r="AH37" s="424"/>
      <c r="AI37" t="str" s="604" cm="1">
        <f t="array" ref="AI37">IF(B37/VLOOKUP(C25,'Boats Data Sheet 2026'!$C$3:$H$57,6,0)&gt;VLOOKUP(C25,'Allocation OH and Target 2026'!$C$5:$J$23,8,0),IF(SUM(AJ27:AJ36)=0,AG37,"N/A"),"N/A")</f>
        <v>N/A</v>
      </c>
      <c r="AJ37" s="424" cm="1">
        <f t="array" ref="AJ37">IF(AI37="N/A",0,1)</f>
        <v>0</v>
      </c>
      <c r="AK37" t="str" s="595" cm="1">
        <f t="array" ref="AK37">IF(B37/VLOOKUP(C25,'Boats Data Sheet 2026'!$C$3:$H$57,6,0)&gt;VLOOKUP(C25,'Allocation OH and Target 2026'!$C$5:$J$23,8,0),IF(SUM(AJ27:AJ36)=0,U37/B37,"N/A"),"N/A")</f>
        <v>N/A</v>
      </c>
      <c r="AL37" s="424" cm="1">
        <f t="array" ref="AL37">IF(AK37="N/A",0,1)</f>
        <v>0</v>
      </c>
      <c r="AM37" t="str" s="605" cm="1">
        <f t="array" ref="AM37">IF(SUM(1250000+700000)*B37&lt;SUM(AC37:AD37),"NO GO","GO")</f>
        <v>GO</v>
      </c>
      <c r="AN37" s="424"/>
      <c r="AO37" s="594"/>
      <c r="AP37" s="594"/>
      <c r="AQ37" s="594"/>
      <c r="AR37" s="600"/>
      <c r="AS37" s="601" cm="1">
        <f t="array" ref="AS37">B37</f>
        <v>10</v>
      </c>
    </row>
    <row r="38" ht="16" customHeight="1">
      <c r="A38" s="12"/>
      <c r="B38" s="602" cm="1">
        <f t="array" ref="B38">IF(B37=0,0,IF(B37&lt;VLOOKUP(C25,'Boats Data Sheet 2026'!$C$3:$H$57,6,0),B37+1,0))</f>
        <v>11</v>
      </c>
      <c r="C38" s="594" cm="1">
        <f t="array" ref="C38">IF(B38&gt;0,IF(VLOOKUP(C25,'Boats Data Sheet 2026'!$C$3:$J$57,8,0)="N/A",0,VLOOKUP(C25,'Boats Data Sheet 2026'!$C$3:$J$57,8,0)),"N/A")</f>
        <v>8500000</v>
      </c>
      <c r="D38" s="603" cm="1">
        <f t="array" ref="D38">IF(B38&gt;7,2,IF(B38=0,"N/A",1))</f>
        <v>2</v>
      </c>
      <c r="E38" s="594" cm="1">
        <f t="array" ref="E38">_xlfn.IFERROR(SUM('Direct Costs 2026'!$C$4:$C$6)*D38,"N/A")</f>
        <v>1951000</v>
      </c>
      <c r="F38" s="594" cm="1">
        <f t="array" ref="F38">_xlfn.IFERROR('Direct Costs 2026'!$C$43*B38,"N/A")</f>
        <v>66000</v>
      </c>
      <c r="G38" s="594" cm="1">
        <f t="array" ref="G38">IF(B38&gt;0,'Direct Costs 2026'!$C$25,"N/A")</f>
        <v>90000</v>
      </c>
      <c r="H38" s="594" cm="1">
        <f t="array" ref="H38">IF(B38&gt;0,'Direct Costs 2026'!$C$19+'Direct Costs 2026'!$C$18*B38,"N/A")</f>
        <v>460000</v>
      </c>
      <c r="I38" s="594" cm="1">
        <f t="array" ref="I38">IF(B38&gt;0,SUM('Direct Costs 2026'!$C$20:$C$21),"N/A")</f>
        <v>98333.3333333333</v>
      </c>
      <c r="J38" s="594" cm="1">
        <f t="array" ref="J38">IF(B38&gt;0,'Direct Costs 2026'!$C$14,"N/A")</f>
        <v>60000</v>
      </c>
      <c r="K38" s="594" cm="1">
        <f t="array" ref="K38">IF(B38&gt;0,'Direct Costs 2026'!$C$26,"N/A")</f>
        <v>20000</v>
      </c>
      <c r="L38" s="594" cm="1">
        <f t="array" ref="L38">IF(B38&gt;0,SUM('Direct Costs 2026'!$C$23:$C$24),"N/A")</f>
        <v>160000</v>
      </c>
      <c r="M38" s="594" cm="1">
        <f t="array" ref="M38">IF(B38&gt;0,'Direct Costs 2026'!$C$47*B38,"N/A")</f>
        <v>1980000</v>
      </c>
      <c r="N38" s="594" cm="1">
        <f t="array" ref="N38">IF($B38&gt;0,'Direct Costs 2026'!$C$30,"N/A")</f>
        <v>440000</v>
      </c>
      <c r="O38" s="594" cm="1">
        <f t="array" ref="O38">IF($B38&gt;0,'Direct Costs 2026'!$C$31,"N/A")</f>
        <v>870000</v>
      </c>
      <c r="P38" s="594" cm="1">
        <f t="array" ref="P38">IF(B38&gt;0,'Direct Costs 2026'!$C$59*B38,"N/A")</f>
        <v>451000</v>
      </c>
      <c r="Q38" t="str" s="595" cm="1">
        <f t="array" ref="Q38">IF(B38&gt;0,_xlfn.IFERROR(VLOOKUP(C25,'Boats Data Sheet 2026'!$C$3:$I$57,7,0)*'Direct Costs 2026'!$C$36,"N/A"),"N/A")</f>
        <v>N/A</v>
      </c>
      <c r="R38" t="str" s="595" cm="1">
        <f t="array" ref="R38">IF(B38&gt;0,IF(OR(VLOOKUP(C25,'Boats Data Sheet 2026'!$C$3:$F$57,4,0)="Own",VLOOKUP(C25,'Boats Data Sheet 2026'!$C$3:$F$57,4,0)="Management"),('Direct Costs 2026'!$C$37+'Direct Costs 2026'!$C$39),"N/A"),"N/A")</f>
        <v>N/A</v>
      </c>
      <c r="S38" s="594" cm="1">
        <f t="array" ref="S38">_xlfn.IFERROR(IF(B38&gt;5,IF(B38&gt;11,IF(B38&gt;15,4,3),2),IF(B38=0,"N/A",1))*SUM('Direct Costs 2026'!$C$67:$C$68),"N/A")</f>
        <v>979200</v>
      </c>
      <c r="T38" s="594" cm="1">
        <f t="array" ref="T38">_xlfn.IFERROR('Direct Costs 2026'!$C$27*C38,"N/A")</f>
        <v>170000</v>
      </c>
      <c r="U38" s="594" cm="1">
        <f t="array" ref="U38">_xlfn.IFERROR(C38+SUM(E38:T38),"N/A")</f>
        <v>16295533.3333333</v>
      </c>
      <c r="V38" s="424"/>
      <c r="W38" s="594" cm="1">
        <f t="array" ref="W38">IF(B38&gt;0,'Allocation OH and Target 2026'!$E$27,"N/A")</f>
        <v>2134447.30345641</v>
      </c>
      <c r="X38" s="594" cm="1">
        <f t="array" ref="X38">IF(B38&gt;0,'Allocation OH and Target 2026'!$E$28,"N/A")</f>
        <v>200042.323056976</v>
      </c>
      <c r="Y38" s="594" cm="1">
        <f t="array" ref="Y38">IF(B38&gt;0,VLOOKUP(C25,'Allocation OH and Target 2026'!$C$5:$T$23,17,0),"N/A")</f>
        <v>0</v>
      </c>
      <c r="Z38" s="594" cm="1">
        <f t="array" ref="Z38">IF(B38&gt;0,VLOOKUP(C25,'Allocation OH and Target 2026'!$C$5:$T$23,18,0),"N/A")</f>
        <v>0</v>
      </c>
      <c r="AA38" s="594" cm="1">
        <f t="array" ref="AA38">_xlfn.IFERROR(B38*(X38+Z38),"N/A")</f>
        <v>2200465.55362674</v>
      </c>
      <c r="AB38" s="424"/>
      <c r="AC38" s="594" cm="1">
        <f t="array" ref="AC38">_xlfn.IFERROR(AA38+U38,"N/A")</f>
        <v>18495998.88696</v>
      </c>
      <c r="AD38" s="594" cm="1">
        <f t="array" ref="AD38">_xlfn.IFERROR(AC38*0.5%,"N/A")</f>
        <v>92479.9944348</v>
      </c>
      <c r="AE38" s="594" cm="1">
        <f t="array" ref="AE38">_xlfn.IFERROR(AC38*25%,"N/A")</f>
        <v>4623999.72174</v>
      </c>
      <c r="AF38" s="596" cm="1">
        <f t="array" ref="AF38">IF(B38&gt;0,SUM(AC38:AE38),"N/A")</f>
        <v>23212478.6031348</v>
      </c>
      <c r="AG38" s="594" cm="1">
        <f t="array" ref="AG38">_xlfn.IFERROR(AF38/B38,"N/A")</f>
        <v>2110225.32755771</v>
      </c>
      <c r="AH38" s="424"/>
      <c r="AI38" s="596" cm="1">
        <f t="array" ref="AI38">IF(B38/VLOOKUP(C25,'Boats Data Sheet 2026'!$C$3:$H$57,6,0)&gt;VLOOKUP(C25,'Allocation OH and Target 2026'!$C$5:$J$23,8,0),IF(SUM(AJ27:AJ37)=0,AG38,"N/A"),"N/A")</f>
        <v>2110225.32755771</v>
      </c>
      <c r="AJ38" s="424" cm="1">
        <f t="array" ref="AJ38">IF(AI38="N/A",0,1)</f>
        <v>1</v>
      </c>
      <c r="AK38" s="594" cm="1">
        <f t="array" ref="AK38">IF(B38/VLOOKUP(C25,'Boats Data Sheet 2026'!$C$3:$H$57,6,0)&gt;VLOOKUP(C25,'Allocation OH and Target 2026'!$C$5:$J$23,8,0),IF(SUM(AJ27:AJ37)=0,U38/B38,"N/A"),"N/A")</f>
        <v>1481412.12121212</v>
      </c>
      <c r="AL38" s="424" cm="1">
        <f t="array" ref="AL38">IF(AK38="N/A",0,1)</f>
        <v>1</v>
      </c>
      <c r="AM38" t="str" s="605" cm="1">
        <f t="array" ref="AM38">IF(SUM(1250000+700000)*B38&lt;SUM(AC38:AD38),"NO GO","GO")</f>
        <v>GO</v>
      </c>
      <c r="AN38" s="424"/>
      <c r="AO38" s="594"/>
      <c r="AP38" s="594"/>
      <c r="AQ38" s="594"/>
      <c r="AR38" s="600"/>
      <c r="AS38" s="601" cm="1">
        <f t="array" ref="AS38">B38</f>
        <v>11</v>
      </c>
    </row>
    <row r="39" ht="16" customHeight="1">
      <c r="A39" s="12"/>
      <c r="B39" s="602" cm="1">
        <f t="array" ref="B39">IF(B38=0,0,IF(B38&lt;VLOOKUP(C25,'Boats Data Sheet 2026'!$C$3:$H$57,6,0),B38+1,0))</f>
        <v>12</v>
      </c>
      <c r="C39" s="594" cm="1">
        <f t="array" ref="C39">IF(B39&gt;0,IF(VLOOKUP(C25,'Boats Data Sheet 2026'!$C$3:$J$57,8,0)="N/A",0,VLOOKUP(C25,'Boats Data Sheet 2026'!$C$3:$J$57,8,0)),"N/A")</f>
        <v>8500000</v>
      </c>
      <c r="D39" s="603" cm="1">
        <f t="array" ref="D39">IF(B39&gt;7,2,IF(B39=0,"N/A",1))</f>
        <v>2</v>
      </c>
      <c r="E39" s="594" cm="1">
        <f t="array" ref="E39">_xlfn.IFERROR(SUM('Direct Costs 2026'!$C$4:$C$6)*D39,"N/A")</f>
        <v>1951000</v>
      </c>
      <c r="F39" s="594" cm="1">
        <f t="array" ref="F39">_xlfn.IFERROR('Direct Costs 2026'!$C$43*B39,"N/A")</f>
        <v>72000</v>
      </c>
      <c r="G39" s="594" cm="1">
        <f t="array" ref="G39">IF(B39&gt;0,'Direct Costs 2026'!$C$25,"N/A")</f>
        <v>90000</v>
      </c>
      <c r="H39" s="594" cm="1">
        <f t="array" ref="H39">IF(B39&gt;0,'Direct Costs 2026'!$C$19+'Direct Costs 2026'!$C$18*B39,"N/A")</f>
        <v>495000</v>
      </c>
      <c r="I39" s="594" cm="1">
        <f t="array" ref="I39">IF(B39&gt;0,SUM('Direct Costs 2026'!$C$20:$C$21),"N/A")</f>
        <v>98333.3333333333</v>
      </c>
      <c r="J39" s="594" cm="1">
        <f t="array" ref="J39">IF(B39&gt;0,'Direct Costs 2026'!$C$14,"N/A")</f>
        <v>60000</v>
      </c>
      <c r="K39" s="594" cm="1">
        <f t="array" ref="K39">IF(B39&gt;0,'Direct Costs 2026'!$C$26,"N/A")</f>
        <v>20000</v>
      </c>
      <c r="L39" s="594" cm="1">
        <f t="array" ref="L39">IF(B39&gt;0,SUM('Direct Costs 2026'!$C$23:$C$24),"N/A")</f>
        <v>160000</v>
      </c>
      <c r="M39" s="594" cm="1">
        <f t="array" ref="M39">IF(B39&gt;0,'Direct Costs 2026'!$C$47*B39,"N/A")</f>
        <v>2160000</v>
      </c>
      <c r="N39" s="594" cm="1">
        <f t="array" ref="N39">IF($B39&gt;0,'Direct Costs 2026'!$C$30,"N/A")</f>
        <v>440000</v>
      </c>
      <c r="O39" s="594" cm="1">
        <f t="array" ref="O39">IF($B39&gt;0,'Direct Costs 2026'!$C$31,"N/A")</f>
        <v>870000</v>
      </c>
      <c r="P39" s="594" cm="1">
        <f t="array" ref="P39">IF(B39&gt;0,'Direct Costs 2026'!$C$59*B39,"N/A")</f>
        <v>492000</v>
      </c>
      <c r="Q39" t="str" s="595" cm="1">
        <f t="array" ref="Q39">IF(B39&gt;0,_xlfn.IFERROR(VLOOKUP(C25,'Boats Data Sheet 2026'!$C$3:$I$57,7,0)*'Direct Costs 2026'!$C$36,"N/A"),"N/A")</f>
        <v>N/A</v>
      </c>
      <c r="R39" t="str" s="595" cm="1">
        <f t="array" ref="R39">IF(B39&gt;0,IF(OR(VLOOKUP(C25,'Boats Data Sheet 2026'!$C$3:$F$57,4,0)="Own",VLOOKUP(C25,'Boats Data Sheet 2026'!$C$3:$F$57,4,0)="Management"),('Direct Costs 2026'!$C$37+'Direct Costs 2026'!$C$39),"N/A"),"N/A")</f>
        <v>N/A</v>
      </c>
      <c r="S39" s="594" cm="1">
        <f t="array" ref="S39">_xlfn.IFERROR(IF(B39&gt;5,IF(B39&gt;11,IF(B39&gt;15,4,3),2),IF(B39=0,"N/A",1))*SUM('Direct Costs 2026'!$C$67:$C$68),"N/A")</f>
        <v>1468800</v>
      </c>
      <c r="T39" s="594" cm="1">
        <f t="array" ref="T39">_xlfn.IFERROR('Direct Costs 2026'!$C$27*C39,"N/A")</f>
        <v>170000</v>
      </c>
      <c r="U39" s="594" cm="1">
        <f t="array" ref="U39">_xlfn.IFERROR(C39+SUM(E39:T39),"N/A")</f>
        <v>17047133.3333333</v>
      </c>
      <c r="V39" s="424"/>
      <c r="W39" s="594" cm="1">
        <f t="array" ref="W39">IF(B39&gt;0,'Allocation OH and Target 2026'!$E$27,"N/A")</f>
        <v>2134447.30345641</v>
      </c>
      <c r="X39" s="594" cm="1">
        <f t="array" ref="X39">IF(B39&gt;0,'Allocation OH and Target 2026'!$E$28,"N/A")</f>
        <v>200042.323056976</v>
      </c>
      <c r="Y39" s="594" cm="1">
        <f t="array" ref="Y39">IF(B39&gt;0,VLOOKUP(C25,'Allocation OH and Target 2026'!$C$5:$T$23,17,0),"N/A")</f>
        <v>0</v>
      </c>
      <c r="Z39" s="594" cm="1">
        <f t="array" ref="Z39">IF(B39&gt;0,VLOOKUP(C25,'Allocation OH and Target 2026'!$C$5:$T$23,18,0),"N/A")</f>
        <v>0</v>
      </c>
      <c r="AA39" s="594" cm="1">
        <f t="array" ref="AA39">_xlfn.IFERROR(B39*(X39+Z39),"N/A")</f>
        <v>2400507.87668371</v>
      </c>
      <c r="AB39" s="424"/>
      <c r="AC39" s="594" cm="1">
        <f t="array" ref="AC39">_xlfn.IFERROR(AA39+U39,"N/A")</f>
        <v>19447641.210017</v>
      </c>
      <c r="AD39" s="594" cm="1">
        <f t="array" ref="AD39">_xlfn.IFERROR(AC39*0.5%,"N/A")</f>
        <v>97238.206050085006</v>
      </c>
      <c r="AE39" s="594" cm="1">
        <f t="array" ref="AE39">_xlfn.IFERROR(AC39*25%,"N/A")</f>
        <v>4861910.30250425</v>
      </c>
      <c r="AF39" s="596" cm="1">
        <f t="array" ref="AF39">IF(B39&gt;0,SUM(AC39:AE39),"N/A")</f>
        <v>24406789.7185713</v>
      </c>
      <c r="AG39" s="594" cm="1">
        <f t="array" ref="AG39">_xlfn.IFERROR(AF39/B39,"N/A")</f>
        <v>2033899.14321428</v>
      </c>
      <c r="AH39" s="424"/>
      <c r="AI39" t="str" s="604" cm="1">
        <f t="array" ref="AI39">IF(B39/VLOOKUP(C25,'Boats Data Sheet 2026'!$C$3:$H$57,6,0)&gt;VLOOKUP(C25,'Allocation OH and Target 2026'!$C$5:$J$23,8,0),IF(SUM(AJ27:AJ38)=0,AG39,"N/A"),"N/A")</f>
        <v>N/A</v>
      </c>
      <c r="AJ39" s="424" cm="1">
        <f t="array" ref="AJ39">IF(AI39="N/A",0,1)</f>
        <v>0</v>
      </c>
      <c r="AK39" t="str" s="595" cm="1">
        <f t="array" ref="AK39">IF(B39/VLOOKUP(C25,'Boats Data Sheet 2026'!$C$3:$H$57,6,0)&gt;VLOOKUP(C25,'Allocation OH and Target 2026'!$C$5:$J$23,8,0),IF(SUM(AJ27:AJ38)=0,U39/B39,"N/A"),"N/A")</f>
        <v>N/A</v>
      </c>
      <c r="AL39" s="424" cm="1">
        <f t="array" ref="AL39">IF(AK39="N/A",0,1)</f>
        <v>0</v>
      </c>
      <c r="AM39" t="str" s="605" cm="1">
        <f t="array" ref="AM39">IF(SUM(1250000+700000)*B39&lt;SUM(AC39:AD39),"NO GO","GO")</f>
        <v>GO</v>
      </c>
      <c r="AN39" s="424"/>
      <c r="AO39" s="594"/>
      <c r="AP39" s="594"/>
      <c r="AQ39" s="594"/>
      <c r="AR39" s="600"/>
      <c r="AS39" s="601" cm="1">
        <f t="array" ref="AS39">B39</f>
        <v>12</v>
      </c>
    </row>
    <row r="40" ht="16" customHeight="1">
      <c r="A40" s="12"/>
      <c r="B40" s="602" cm="1">
        <f t="array" ref="B40">IF(B39=0,0,IF(B39&lt;VLOOKUP(C25,'Boats Data Sheet 2026'!$C$3:$H$57,6,0),B39+1,0))</f>
        <v>13</v>
      </c>
      <c r="C40" s="594" cm="1">
        <f t="array" ref="C40">IF(B40&gt;0,IF(VLOOKUP(C25,'Boats Data Sheet 2026'!$C$3:$J$57,8,0)="N/A",0,VLOOKUP(C25,'Boats Data Sheet 2026'!$C$3:$J$57,8,0)),"N/A")</f>
        <v>8500000</v>
      </c>
      <c r="D40" s="603" cm="1">
        <f t="array" ref="D40">IF(B40&gt;7,2,IF(B40=0,"N/A",1))</f>
        <v>2</v>
      </c>
      <c r="E40" s="594" cm="1">
        <f t="array" ref="E40">_xlfn.IFERROR(SUM('Direct Costs 2026'!$C$4:$C$6)*D40,"N/A")</f>
        <v>1951000</v>
      </c>
      <c r="F40" s="594" cm="1">
        <f t="array" ref="F40">_xlfn.IFERROR('Direct Costs 2026'!$C$43*B40,"N/A")</f>
        <v>78000</v>
      </c>
      <c r="G40" s="594" cm="1">
        <f t="array" ref="G40">IF(B40&gt;0,'Direct Costs 2026'!$C$25,"N/A")</f>
        <v>90000</v>
      </c>
      <c r="H40" s="594" cm="1">
        <f t="array" ref="H40">IF(B40&gt;0,'Direct Costs 2026'!$C$19+'Direct Costs 2026'!$C$18*B40,"N/A")</f>
        <v>530000</v>
      </c>
      <c r="I40" s="594" cm="1">
        <f t="array" ref="I40">IF(B40&gt;0,SUM('Direct Costs 2026'!$C$20:$C$21),"N/A")</f>
        <v>98333.3333333333</v>
      </c>
      <c r="J40" s="594" cm="1">
        <f t="array" ref="J40">IF(B40&gt;0,'Direct Costs 2026'!$C$14,"N/A")</f>
        <v>60000</v>
      </c>
      <c r="K40" s="594" cm="1">
        <f t="array" ref="K40">IF(B40&gt;0,'Direct Costs 2026'!$C$26,"N/A")</f>
        <v>20000</v>
      </c>
      <c r="L40" s="594" cm="1">
        <f t="array" ref="L40">IF(B40&gt;0,SUM('Direct Costs 2026'!$C$23:$C$24),"N/A")</f>
        <v>160000</v>
      </c>
      <c r="M40" s="594" cm="1">
        <f t="array" ref="M40">IF(B40&gt;0,'Direct Costs 2026'!$C$47*B40,"N/A")</f>
        <v>2340000</v>
      </c>
      <c r="N40" s="594" cm="1">
        <f t="array" ref="N40">IF($B40&gt;0,'Direct Costs 2026'!$C$30,"N/A")</f>
        <v>440000</v>
      </c>
      <c r="O40" s="594" cm="1">
        <f t="array" ref="O40">IF($B40&gt;0,'Direct Costs 2026'!$C$31,"N/A")</f>
        <v>870000</v>
      </c>
      <c r="P40" s="594" cm="1">
        <f t="array" ref="P40">IF(B40&gt;0,'Direct Costs 2026'!$C$59*B40,"N/A")</f>
        <v>533000</v>
      </c>
      <c r="Q40" t="str" s="595" cm="1">
        <f t="array" ref="Q40">IF(B40&gt;0,_xlfn.IFERROR(VLOOKUP(C25,'Boats Data Sheet 2026'!$C$3:$I$57,7,0)*'Direct Costs 2026'!$C$36,"N/A"),"N/A")</f>
        <v>N/A</v>
      </c>
      <c r="R40" t="str" s="595" cm="1">
        <f t="array" ref="R40">IF(B40&gt;0,IF(OR(VLOOKUP(C25,'Boats Data Sheet 2026'!$C$3:$F$57,4,0)="Own",VLOOKUP(C25,'Boats Data Sheet 2026'!$C$3:$F$57,4,0)="Management"),('Direct Costs 2026'!$C$37+'Direct Costs 2026'!$C$39),"N/A"),"N/A")</f>
        <v>N/A</v>
      </c>
      <c r="S40" s="594" cm="1">
        <f t="array" ref="S40">_xlfn.IFERROR(IF(B40&gt;5,IF(B40&gt;11,IF(B40&gt;15,4,3),2),IF(B40=0,"N/A",1))*SUM('Direct Costs 2026'!$C$67:$C$68),"N/A")</f>
        <v>1468800</v>
      </c>
      <c r="T40" s="594" cm="1">
        <f t="array" ref="T40">_xlfn.IFERROR('Direct Costs 2026'!$C$27*C40,"N/A")</f>
        <v>170000</v>
      </c>
      <c r="U40" s="594" cm="1">
        <f t="array" ref="U40">_xlfn.IFERROR(C40+SUM(E40:T40),"N/A")</f>
        <v>17309133.3333333</v>
      </c>
      <c r="V40" s="424"/>
      <c r="W40" s="594" cm="1">
        <f t="array" ref="W40">IF(B40&gt;0,'Allocation OH and Target 2026'!$E$27,"N/A")</f>
        <v>2134447.30345641</v>
      </c>
      <c r="X40" s="594" cm="1">
        <f t="array" ref="X40">IF(B40&gt;0,'Allocation OH and Target 2026'!$E$28,"N/A")</f>
        <v>200042.323056976</v>
      </c>
      <c r="Y40" s="594" cm="1">
        <f t="array" ref="Y40">IF(B40&gt;0,VLOOKUP(C25,'Allocation OH and Target 2026'!$C$5:$T$23,17,0),"N/A")</f>
        <v>0</v>
      </c>
      <c r="Z40" s="594" cm="1">
        <f t="array" ref="Z40">IF(B40&gt;0,VLOOKUP(C25,'Allocation OH and Target 2026'!$C$5:$T$23,18,0),"N/A")</f>
        <v>0</v>
      </c>
      <c r="AA40" s="594" cm="1">
        <f t="array" ref="AA40">_xlfn.IFERROR(B40*(X40+Z40),"N/A")</f>
        <v>2600550.19974069</v>
      </c>
      <c r="AB40" s="424"/>
      <c r="AC40" s="594" cm="1">
        <f t="array" ref="AC40">_xlfn.IFERROR(AA40+U40,"N/A")</f>
        <v>19909683.533074</v>
      </c>
      <c r="AD40" s="594" cm="1">
        <f t="array" ref="AD40">_xlfn.IFERROR(AC40*0.5%,"N/A")</f>
        <v>99548.41766537</v>
      </c>
      <c r="AE40" s="594" cm="1">
        <f t="array" ref="AE40">_xlfn.IFERROR(AC40*25%,"N/A")</f>
        <v>4977420.8832685</v>
      </c>
      <c r="AF40" s="596" cm="1">
        <f t="array" ref="AF40">IF(B40&gt;0,SUM(AC40:AE40),"N/A")</f>
        <v>24986652.8340079</v>
      </c>
      <c r="AG40" s="594" cm="1">
        <f t="array" ref="AG40">_xlfn.IFERROR(AF40/B40,"N/A")</f>
        <v>1922050.21800061</v>
      </c>
      <c r="AH40" s="424"/>
      <c r="AI40" t="str" s="604" cm="1">
        <f t="array" ref="AI40">IF(B40/VLOOKUP(C25,'Boats Data Sheet 2026'!$C$3:$H$57,6,0)&gt;VLOOKUP(C25,'Allocation OH and Target 2026'!$C$5:$J$23,8,0),IF(SUM(AJ27:AJ39)=0,AG40,"N/A"),"N/A")</f>
        <v>N/A</v>
      </c>
      <c r="AJ40" s="424" cm="1">
        <f t="array" ref="AJ40">IF(AI40="N/A",0,1)</f>
        <v>0</v>
      </c>
      <c r="AK40" t="str" s="595" cm="1">
        <f t="array" ref="AK40">IF(B40/VLOOKUP(C25,'Boats Data Sheet 2026'!$C$3:$H$57,6,0)&gt;VLOOKUP(C25,'Allocation OH and Target 2026'!$C$5:$J$23,8,0),IF(SUM(AJ27:AJ39)=0,U40/B40,"N/A"),"N/A")</f>
        <v>N/A</v>
      </c>
      <c r="AL40" s="424" cm="1">
        <f t="array" ref="AL40">IF(AK40="N/A",0,1)</f>
        <v>0</v>
      </c>
      <c r="AM40" t="str" s="605" cm="1">
        <f t="array" ref="AM40">IF(SUM(1250000+700000)*B40&lt;SUM(AC40:AD40),"NO GO","GO")</f>
        <v>GO</v>
      </c>
      <c r="AN40" s="424"/>
      <c r="AO40" s="594"/>
      <c r="AP40" s="594"/>
      <c r="AQ40" s="594"/>
      <c r="AR40" s="600"/>
      <c r="AS40" s="601" cm="1">
        <f t="array" ref="AS40">B40</f>
        <v>13</v>
      </c>
    </row>
    <row r="41" ht="16" customHeight="1">
      <c r="A41" s="12"/>
      <c r="B41" s="602" cm="1">
        <f t="array" ref="B41">IF(B40=0,0,IF(B40&lt;VLOOKUP(C25,'Boats Data Sheet 2026'!$C$3:$H$57,6,0),B40+1,0))</f>
        <v>0</v>
      </c>
      <c r="C41" t="str" s="595" cm="1">
        <f t="array" ref="C41">IF(B41&gt;0,IF(VLOOKUP(C25,'Boats Data Sheet 2026'!$C$3:$J$57,8,0)="N/A",0,VLOOKUP(C25,'Boats Data Sheet 2026'!$C$3:$J$57,8,0)),"N/A")</f>
        <v>N/A</v>
      </c>
      <c r="D41" t="str" s="595" cm="1">
        <f t="array" ref="D41">IF(B41&gt;7,2,IF(B41=0,"N/A",1))</f>
        <v>N/A</v>
      </c>
      <c r="E41" t="str" s="595" cm="1">
        <f t="array" ref="E41">_xlfn.IFERROR(SUM('Direct Costs 2026'!$C$4:$C$6)*D41,"N/A")</f>
        <v>N/A</v>
      </c>
      <c r="F41" s="594" cm="1">
        <f t="array" ref="F41">_xlfn.IFERROR('Direct Costs 2026'!$C$43*B41,"N/A")</f>
        <v>0</v>
      </c>
      <c r="G41" t="str" s="595" cm="1">
        <f t="array" ref="G41">IF(B41&gt;0,'Direct Costs 2026'!$C$25,"N/A")</f>
        <v>N/A</v>
      </c>
      <c r="H41" t="str" s="595" cm="1">
        <f t="array" ref="H41">IF(B41&gt;0,'Direct Costs 2026'!$C$19+'Direct Costs 2026'!$C$18*B41,"N/A")</f>
        <v>N/A</v>
      </c>
      <c r="I41" t="str" s="595" cm="1">
        <f t="array" ref="I41">IF(B41&gt;0,SUM('Direct Costs 2026'!$C$20:$C$21),"N/A")</f>
        <v>N/A</v>
      </c>
      <c r="J41" t="str" s="595" cm="1">
        <f t="array" ref="J41">IF(B41&gt;0,'Direct Costs 2026'!$C$14,"N/A")</f>
        <v>N/A</v>
      </c>
      <c r="K41" t="str" s="595" cm="1">
        <f t="array" ref="K41">IF(B41&gt;0,'Direct Costs 2026'!$C$26,"N/A")</f>
        <v>N/A</v>
      </c>
      <c r="L41" t="str" s="595" cm="1">
        <f t="array" ref="L41">IF(B41&gt;0,SUM('Direct Costs 2026'!$C$23:$C$24),"N/A")</f>
        <v>N/A</v>
      </c>
      <c r="M41" t="str" s="595" cm="1">
        <f t="array" ref="M41">IF(B41&gt;0,'Direct Costs 2026'!$C$47*B41,"N/A")</f>
        <v>N/A</v>
      </c>
      <c r="N41" t="str" s="595" cm="1">
        <f t="array" ref="N41">IF($B41&gt;0,'Direct Costs 2026'!$C$30,"N/A")</f>
        <v>N/A</v>
      </c>
      <c r="O41" t="str" s="595" cm="1">
        <f t="array" ref="O41">IF($B41&gt;0,'Direct Costs 2026'!$C$31,"N/A")</f>
        <v>N/A</v>
      </c>
      <c r="P41" t="str" s="595" cm="1">
        <f t="array" ref="P41">IF(B41&gt;0,'Direct Costs 2026'!$C$59*B41,"N/A")</f>
        <v>N/A</v>
      </c>
      <c r="Q41" t="str" s="595" cm="1">
        <f t="array" ref="Q41">IF(B41&gt;0,_xlfn.IFERROR(VLOOKUP(C25,'Boats Data Sheet 2026'!$C$3:$I$57,7,0)*'Direct Costs 2026'!$C$36,"N/A"),"N/A")</f>
        <v>N/A</v>
      </c>
      <c r="R41" t="str" s="595" cm="1">
        <f t="array" ref="R41">IF(B41&gt;0,IF(OR(VLOOKUP(C25,'Boats Data Sheet 2026'!$C$3:$F$57,4,0)="Own",VLOOKUP(C25,'Boats Data Sheet 2026'!$C$3:$F$57,4,0)="Management"),('Direct Costs 2026'!$C$37+'Direct Costs 2026'!$C$39),"N/A"),"N/A")</f>
        <v>N/A</v>
      </c>
      <c r="S41" t="str" s="595" cm="1">
        <f t="array" ref="S41">_xlfn.IFERROR(IF(B41&gt;5,IF(B41&gt;11,IF(B41&gt;15,4,3),2),IF(B41=0,"N/A",1))*SUM('Direct Costs 2026'!$C$67:$C$68),"N/A")</f>
        <v>N/A</v>
      </c>
      <c r="T41" t="str" s="595" cm="1">
        <f t="array" ref="T41">_xlfn.IFERROR('Direct Costs 2026'!$C$27*C41,"N/A")</f>
        <v>N/A</v>
      </c>
      <c r="U41" t="str" s="595" cm="1">
        <f t="array" ref="U41">_xlfn.IFERROR(C41+SUM(E41:T41),"N/A")</f>
        <v>N/A</v>
      </c>
      <c r="V41" s="424"/>
      <c r="W41" t="str" s="595" cm="1">
        <f t="array" ref="W41">IF(B41&gt;0,'Allocation OH and Target 2026'!$E$27,"N/A")</f>
        <v>N/A</v>
      </c>
      <c r="X41" t="str" s="595" cm="1">
        <f t="array" ref="X41">IF(B41&gt;0,'Allocation OH and Target 2026'!$E$28,"N/A")</f>
        <v>N/A</v>
      </c>
      <c r="Y41" t="str" s="595" cm="1">
        <f t="array" ref="Y41">IF(B41&gt;0,VLOOKUP(C25,'Allocation OH and Target 2026'!$C$5:$T$23,17,0),"N/A")</f>
        <v>N/A</v>
      </c>
      <c r="Z41" t="str" s="595" cm="1">
        <f t="array" ref="Z41">IF(B41&gt;0,VLOOKUP(C25,'Allocation OH and Target 2026'!$C$5:$T$23,18,0),"N/A")</f>
        <v>N/A</v>
      </c>
      <c r="AA41" t="str" s="595" cm="1">
        <f t="array" ref="AA41">_xlfn.IFERROR(B41*(X41+Z41),"N/A")</f>
        <v>N/A</v>
      </c>
      <c r="AB41" s="424"/>
      <c r="AC41" t="str" s="595" cm="1">
        <f t="array" ref="AC41">_xlfn.IFERROR(AA41+U41,"N/A")</f>
        <v>N/A</v>
      </c>
      <c r="AD41" t="str" s="595" cm="1">
        <f t="array" ref="AD41">_xlfn.IFERROR(AC41*0.5%,"N/A")</f>
        <v>N/A</v>
      </c>
      <c r="AE41" t="str" s="595" cm="1">
        <f t="array" ref="AE41">_xlfn.IFERROR(AC41*25%,"N/A")</f>
        <v>N/A</v>
      </c>
      <c r="AF41" t="str" s="604" cm="1">
        <f t="array" ref="AF41">IF(B41&gt;0,SUM(AC41:AE41),"N/A")</f>
        <v>N/A</v>
      </c>
      <c r="AG41" t="str" s="595" cm="1">
        <f t="array" ref="AG41">_xlfn.IFERROR(AF41/B41,"N/A")</f>
        <v>N/A</v>
      </c>
      <c r="AH41" s="424"/>
      <c r="AI41" t="str" s="604" cm="1">
        <f t="array" ref="AI41">IF(B41/VLOOKUP(C25,'Boats Data Sheet 2026'!$C$3:$H$57,6,0)&gt;VLOOKUP(C25,'Allocation OH and Target 2026'!$C$5:$J$23,8,0),IF(SUM(AJ27:AJ40)=0,AG41,"N/A"),"N/A")</f>
        <v>N/A</v>
      </c>
      <c r="AJ41" s="424" cm="1">
        <f t="array" ref="AJ41">IF(AI41="N/A",0,1)</f>
        <v>0</v>
      </c>
      <c r="AK41" t="str" s="595" cm="1">
        <f t="array" ref="AK41">IF(B41/VLOOKUP(C25,'Boats Data Sheet 2026'!$C$3:$H$57,6,0)&gt;VLOOKUP(C25,'Allocation OH and Target 2026'!$C$5:$J$23,8,0),IF(SUM(AJ27:AJ40)=0,U41/B41,"N/A"),"N/A")</f>
        <v>N/A</v>
      </c>
      <c r="AL41" s="424" cm="1">
        <f t="array" ref="AL41">IF(AK41="N/A",0,1)</f>
        <v>0</v>
      </c>
      <c r="AM41" t="str" s="605" cm="1">
        <f t="array" ref="AM41">IF(SUM(1250000+700000)*B41&lt;SUM(AC41:AD41),"NO GO","GO")</f>
        <v>GO</v>
      </c>
      <c r="AN41" s="424"/>
      <c r="AO41" s="594"/>
      <c r="AP41" s="594"/>
      <c r="AQ41" s="594"/>
      <c r="AR41" s="600"/>
      <c r="AS41" s="601" cm="1">
        <f t="array" ref="AS41">B41</f>
        <v>0</v>
      </c>
    </row>
    <row r="42" ht="16" customHeight="1">
      <c r="A42" s="12"/>
      <c r="B42" s="602" cm="1">
        <f t="array" ref="B42">IF(B41=0,0,IF(B41&lt;VLOOKUP(C25,'Boats Data Sheet 2026'!$C$3:$H$57,6,0),B41+1,0))</f>
        <v>0</v>
      </c>
      <c r="C42" t="str" s="595" cm="1">
        <f t="array" ref="C42">IF(B42&gt;0,IF(VLOOKUP(C25,'Boats Data Sheet 2026'!$C$3:$J$57,8,0)="N/A",0,VLOOKUP(C25,'Boats Data Sheet 2026'!$C$3:$J$57,8,0)),"N/A")</f>
        <v>N/A</v>
      </c>
      <c r="D42" t="str" s="595" cm="1">
        <f t="array" ref="D42">IF(B42&gt;7,2,IF(B42=0,"N/A",1))</f>
        <v>N/A</v>
      </c>
      <c r="E42" t="str" s="595" cm="1">
        <f t="array" ref="E42">_xlfn.IFERROR(SUM('Direct Costs 2026'!$C$4:$C$6)*D42,"N/A")</f>
        <v>N/A</v>
      </c>
      <c r="F42" s="594" cm="1">
        <f t="array" ref="F42">_xlfn.IFERROR('Direct Costs 2026'!$C$43*B42,"N/A")</f>
        <v>0</v>
      </c>
      <c r="G42" t="str" s="595" cm="1">
        <f t="array" ref="G42">IF(B42&gt;0,'Direct Costs 2026'!$C$25,"N/A")</f>
        <v>N/A</v>
      </c>
      <c r="H42" t="str" s="595" cm="1">
        <f t="array" ref="H42">IF(B42&gt;0,'Direct Costs 2026'!$C$19+'Direct Costs 2026'!$C$18*B42,"N/A")</f>
        <v>N/A</v>
      </c>
      <c r="I42" t="str" s="595" cm="1">
        <f t="array" ref="I42">IF(B42&gt;0,SUM('Direct Costs 2026'!$C$20:$C$21),"N/A")</f>
        <v>N/A</v>
      </c>
      <c r="J42" t="str" s="595" cm="1">
        <f t="array" ref="J42">IF(B42&gt;0,'Direct Costs 2026'!$C$14,"N/A")</f>
        <v>N/A</v>
      </c>
      <c r="K42" t="str" s="595" cm="1">
        <f t="array" ref="K42">IF(B42&gt;0,'Direct Costs 2026'!$C$26,"N/A")</f>
        <v>N/A</v>
      </c>
      <c r="L42" t="str" s="595" cm="1">
        <f t="array" ref="L42">IF(B42&gt;0,SUM('Direct Costs 2026'!$C$23:$C$24),"N/A")</f>
        <v>N/A</v>
      </c>
      <c r="M42" t="str" s="595" cm="1">
        <f t="array" ref="M42">IF(B42&gt;0,'Direct Costs 2026'!$C$47*B42,"N/A")</f>
        <v>N/A</v>
      </c>
      <c r="N42" t="str" s="595" cm="1">
        <f t="array" ref="N42">IF($B42&gt;0,'Direct Costs 2026'!$C$30,"N/A")</f>
        <v>N/A</v>
      </c>
      <c r="O42" t="str" s="595" cm="1">
        <f t="array" ref="O42">IF($B42&gt;0,'Direct Costs 2026'!$C$31,"N/A")</f>
        <v>N/A</v>
      </c>
      <c r="P42" t="str" s="595" cm="1">
        <f t="array" ref="P42">IF(B42&gt;0,'Direct Costs 2026'!$C$59*B42,"N/A")</f>
        <v>N/A</v>
      </c>
      <c r="Q42" t="str" s="595" cm="1">
        <f t="array" ref="Q42">IF(B42&gt;0,_xlfn.IFERROR(VLOOKUP(C25,'Boats Data Sheet 2026'!$C$3:$I$57,7,0)*'Direct Costs 2026'!$C$36,"N/A"),"N/A")</f>
        <v>N/A</v>
      </c>
      <c r="R42" t="str" s="595" cm="1">
        <f t="array" ref="R42">IF(B42&gt;0,IF(OR(VLOOKUP(C25,'Boats Data Sheet 2026'!$C$3:$F$57,4,0)="Own",VLOOKUP(C25,'Boats Data Sheet 2026'!$C$3:$F$57,4,0)="Management"),('Direct Costs 2026'!$C$37+'Direct Costs 2026'!$C$39),"N/A"),"N/A")</f>
        <v>N/A</v>
      </c>
      <c r="S42" t="str" s="595" cm="1">
        <f t="array" ref="S42">_xlfn.IFERROR(IF(B42&gt;5,IF(B42&gt;11,IF(B42&gt;15,4,3),2),IF(B42=0,"N/A",1))*SUM('Direct Costs 2026'!$C$67:$C$68),"N/A")</f>
        <v>N/A</v>
      </c>
      <c r="T42" t="str" s="595" cm="1">
        <f t="array" ref="T42">_xlfn.IFERROR('Direct Costs 2026'!$C$27*C42,"N/A")</f>
        <v>N/A</v>
      </c>
      <c r="U42" t="str" s="595" cm="1">
        <f t="array" ref="U42">_xlfn.IFERROR(C42+SUM(E42:T42),"N/A")</f>
        <v>N/A</v>
      </c>
      <c r="V42" s="424"/>
      <c r="W42" t="str" s="595" cm="1">
        <f t="array" ref="W42">IF(B42&gt;0,'Allocation OH and Target 2026'!$E$27,"N/A")</f>
        <v>N/A</v>
      </c>
      <c r="X42" t="str" s="595" cm="1">
        <f t="array" ref="X42">IF(B42&gt;0,'Allocation OH and Target 2026'!$E$28,"N/A")</f>
        <v>N/A</v>
      </c>
      <c r="Y42" t="str" s="595" cm="1">
        <f t="array" ref="Y42">IF(B42&gt;0,VLOOKUP(C25,'Allocation OH and Target 2026'!$C$5:$T$23,17,0),"N/A")</f>
        <v>N/A</v>
      </c>
      <c r="Z42" t="str" s="595" cm="1">
        <f t="array" ref="Z42">IF(B42&gt;0,VLOOKUP(C25,'Allocation OH and Target 2026'!$C$5:$T$23,18,0),"N/A")</f>
        <v>N/A</v>
      </c>
      <c r="AA42" t="str" s="595" cm="1">
        <f t="array" ref="AA42">_xlfn.IFERROR(X42*B42+Z42,"N/A")</f>
        <v>N/A</v>
      </c>
      <c r="AB42" s="424"/>
      <c r="AC42" t="str" s="595" cm="1">
        <f t="array" ref="AC42">_xlfn.IFERROR(AA42+U42,"N/A")</f>
        <v>N/A</v>
      </c>
      <c r="AD42" t="str" s="595" cm="1">
        <f t="array" ref="AD42">_xlfn.IFERROR(AC42*0.5%,"N/A")</f>
        <v>N/A</v>
      </c>
      <c r="AE42" t="str" s="595" cm="1">
        <f t="array" ref="AE42">_xlfn.IFERROR(AC42*25%,"N/A")</f>
        <v>N/A</v>
      </c>
      <c r="AF42" t="str" s="604" cm="1">
        <f t="array" ref="AF42">IF(B42&gt;0,SUM(AC42:AE42),"N/A")</f>
        <v>N/A</v>
      </c>
      <c r="AG42" t="str" s="595" cm="1">
        <f t="array" ref="AG42">_xlfn.IFERROR(AF42/B42,"N/A")</f>
        <v>N/A</v>
      </c>
      <c r="AH42" s="424"/>
      <c r="AI42" t="str" s="604" cm="1">
        <f t="array" ref="AI42">IF(B42/VLOOKUP(C25,'Boats Data Sheet 2026'!$C$3:$H$57,6,0)&gt;VLOOKUP(C25,'Allocation OH and Target 2026'!$C$5:$J$23,8,0),IF(SUM(AJ27:AJ41)=0,AG42,"N/A"),"N/A")</f>
        <v>N/A</v>
      </c>
      <c r="AJ42" s="424" cm="1">
        <f t="array" ref="AJ42">IF(AI42="N/A",0,1)</f>
        <v>0</v>
      </c>
      <c r="AK42" t="str" s="595" cm="1">
        <f t="array" ref="AK42">IF(B42/VLOOKUP(C25,'Boats Data Sheet 2026'!$C$3:$H$57,6,0)&gt;VLOOKUP(C25,'Allocation OH and Target 2026'!$C$5:$J$23,8,0),IF(SUM(AJ27:AJ41)=0,U42/B42,"N/A"),"N/A")</f>
        <v>N/A</v>
      </c>
      <c r="AL42" s="424" cm="1">
        <f t="array" ref="AL42">IF(AK42="N/A",0,1)</f>
        <v>0</v>
      </c>
      <c r="AM42" t="str" s="605" cm="1">
        <f t="array" ref="AM42">IF(SUM(1250000+700000)*B42&lt;SUM(AC42:AD42),"NO GO","GO")</f>
        <v>GO</v>
      </c>
      <c r="AN42" s="424"/>
      <c r="AO42" s="594"/>
      <c r="AP42" s="594"/>
      <c r="AQ42" s="594"/>
      <c r="AR42" s="600"/>
      <c r="AS42" s="601" cm="1">
        <f t="array" ref="AS42">B42</f>
        <v>0</v>
      </c>
    </row>
    <row r="43" ht="16" customHeight="1">
      <c r="A43" s="12"/>
      <c r="B43" s="602" cm="1">
        <f t="array" ref="B43">IF(B42=0,0,IF(B42&lt;VLOOKUP(C25,'Boats Data Sheet 2026'!$C$3:$H$57,6,0),B42+1,0))</f>
        <v>0</v>
      </c>
      <c r="C43" t="str" s="595" cm="1">
        <f t="array" ref="C43">IF(B43&gt;0,IF(VLOOKUP(C25,'Boats Data Sheet 2026'!$C$3:$J$57,8,0)="N/A",0,VLOOKUP(C25,'Boats Data Sheet 2026'!$C$3:$J$57,8,0)),"N/A")</f>
        <v>N/A</v>
      </c>
      <c r="D43" t="str" s="595" cm="1">
        <f t="array" ref="D43">IF(B43&gt;7,2,IF(B43=0,"N/A",1))</f>
        <v>N/A</v>
      </c>
      <c r="E43" t="str" s="595" cm="1">
        <f t="array" ref="E43">_xlfn.IFERROR(SUM('Direct Costs 2026'!$C$4:$C$6)*D43,"N/A")</f>
        <v>N/A</v>
      </c>
      <c r="F43" s="594" cm="1">
        <f t="array" ref="F43">_xlfn.IFERROR('Direct Costs 2026'!$C$43*B43,"N/A")</f>
        <v>0</v>
      </c>
      <c r="G43" t="str" s="595" cm="1">
        <f t="array" ref="G43">IF(B43&gt;0,'Direct Costs 2026'!$C$25,"N/A")</f>
        <v>N/A</v>
      </c>
      <c r="H43" t="str" s="595" cm="1">
        <f t="array" ref="H43">IF(B43&gt;0,'Direct Costs 2026'!$C$19+'Direct Costs 2026'!$C$18*B43,"N/A")</f>
        <v>N/A</v>
      </c>
      <c r="I43" t="str" s="595" cm="1">
        <f t="array" ref="I43">IF(B43&gt;0,SUM('Direct Costs 2026'!$C$20:$C$21),"N/A")</f>
        <v>N/A</v>
      </c>
      <c r="J43" t="str" s="595" cm="1">
        <f t="array" ref="J43">IF(B43&gt;0,'Direct Costs 2026'!$C$14,"N/A")</f>
        <v>N/A</v>
      </c>
      <c r="K43" t="str" s="595" cm="1">
        <f t="array" ref="K43">IF(B43&gt;0,'Direct Costs 2026'!$C$26,"N/A")</f>
        <v>N/A</v>
      </c>
      <c r="L43" t="str" s="595" cm="1">
        <f t="array" ref="L43">IF(B43&gt;0,SUM('Direct Costs 2026'!$C$23:$C$24),"N/A")</f>
        <v>N/A</v>
      </c>
      <c r="M43" t="str" s="595" cm="1">
        <f t="array" ref="M43">IF(B43&gt;0,'Direct Costs 2026'!$C$47*B43,"N/A")</f>
        <v>N/A</v>
      </c>
      <c r="N43" t="str" s="595" cm="1">
        <f t="array" ref="N43">IF($B43&gt;0,'Direct Costs 2026'!$C$30,"N/A")</f>
        <v>N/A</v>
      </c>
      <c r="O43" t="str" s="595" cm="1">
        <f t="array" ref="O43">IF($B43&gt;0,'Direct Costs 2026'!$C$31,"N/A")</f>
        <v>N/A</v>
      </c>
      <c r="P43" t="str" s="595" cm="1">
        <f t="array" ref="P43">IF(B43&gt;0,'Direct Costs 2026'!$C$59*B43,"N/A")</f>
        <v>N/A</v>
      </c>
      <c r="Q43" t="str" s="595" cm="1">
        <f t="array" ref="Q43">IF(B43&gt;0,_xlfn.IFERROR(VLOOKUP(C25,'Boats Data Sheet 2026'!$C$3:$I$57,7,0)*'Direct Costs 2026'!$C$36,"N/A"),"N/A")</f>
        <v>N/A</v>
      </c>
      <c r="R43" t="str" s="595" cm="1">
        <f t="array" ref="R43">IF(B43&gt;0,IF(OR(VLOOKUP(C25,'Boats Data Sheet 2026'!$C$3:$F$57,4,0)="Own",VLOOKUP(C25,'Boats Data Sheet 2026'!$C$3:$F$57,4,0)="Management"),('Direct Costs 2026'!$C$37+'Direct Costs 2026'!$C$39),"N/A"),"N/A")</f>
        <v>N/A</v>
      </c>
      <c r="S43" t="str" s="595" cm="1">
        <f t="array" ref="S43">_xlfn.IFERROR(IF(B43&gt;5,IF(B43&gt;11,IF(B43&gt;15,4,3),2),IF(B43=0,"N/A",1))*SUM('Direct Costs 2026'!$C$67:$C$68),"N/A")</f>
        <v>N/A</v>
      </c>
      <c r="T43" t="str" s="595" cm="1">
        <f t="array" ref="T43">_xlfn.IFERROR('Direct Costs 2026'!$C$27*C43,"N/A")</f>
        <v>N/A</v>
      </c>
      <c r="U43" t="str" s="595" cm="1">
        <f t="array" ref="U43">_xlfn.IFERROR(C43+SUM(E43:T43),"N/A")</f>
        <v>N/A</v>
      </c>
      <c r="V43" s="424"/>
      <c r="W43" t="str" s="595" cm="1">
        <f t="array" ref="W43">IF(B43&gt;0,'Allocation OH and Target 2026'!$E$27,"N/A")</f>
        <v>N/A</v>
      </c>
      <c r="X43" t="str" s="595" cm="1">
        <f t="array" ref="X43">IF(B43&gt;0,'Allocation OH and Target 2026'!$E$28,"N/A")</f>
        <v>N/A</v>
      </c>
      <c r="Y43" t="str" s="595" cm="1">
        <f t="array" ref="Y43">IF(B43&gt;0,VLOOKUP(C25,'Allocation OH and Target 2026'!$C$5:$T$23,17,0),"N/A")</f>
        <v>N/A</v>
      </c>
      <c r="Z43" t="str" s="595" cm="1">
        <f t="array" ref="Z43">IF(B43&gt;0,VLOOKUP(C25,'Allocation OH and Target 2026'!$C$5:$T$23,18,0),"N/A")</f>
        <v>N/A</v>
      </c>
      <c r="AA43" t="str" s="595" cm="1">
        <f t="array" ref="AA43">_xlfn.IFERROR(X43*B43+Z43,"N/A")</f>
        <v>N/A</v>
      </c>
      <c r="AB43" s="424"/>
      <c r="AC43" t="str" s="595" cm="1">
        <f t="array" ref="AC43">_xlfn.IFERROR(AA43+U43,"N/A")</f>
        <v>N/A</v>
      </c>
      <c r="AD43" t="str" s="595" cm="1">
        <f t="array" ref="AD43">_xlfn.IFERROR(AC43*0.5%,"N/A")</f>
        <v>N/A</v>
      </c>
      <c r="AE43" t="str" s="595" cm="1">
        <f t="array" ref="AE43">_xlfn.IFERROR(AC43*25%,"N/A")</f>
        <v>N/A</v>
      </c>
      <c r="AF43" t="str" s="604" cm="1">
        <f t="array" ref="AF43">IF(B43&gt;0,SUM(AC43:AE43),"N/A")</f>
        <v>N/A</v>
      </c>
      <c r="AG43" t="str" s="595" cm="1">
        <f t="array" ref="AG43">_xlfn.IFERROR(AF43/B43,"N/A")</f>
        <v>N/A</v>
      </c>
      <c r="AH43" s="424"/>
      <c r="AI43" t="str" s="604" cm="1">
        <f t="array" ref="AI43">IF(B43/VLOOKUP(C25,'Boats Data Sheet 2026'!$C$3:$H$57,6,0)&gt;VLOOKUP(C25,'Allocation OH and Target 2026'!$C$5:$J$23,8,0),IF(SUM(AJ27:AJ42)=0,AG43,"N/A"),"N/A")</f>
        <v>N/A</v>
      </c>
      <c r="AJ43" s="424" cm="1">
        <f t="array" ref="AJ43">IF(AI43="N/A",0,1)</f>
        <v>0</v>
      </c>
      <c r="AK43" t="str" s="595" cm="1">
        <f t="array" ref="AK43">IF(B43/VLOOKUP(C25,'Boats Data Sheet 2026'!$C$3:$H$57,6,0)&gt;VLOOKUP(C25,'Allocation OH and Target 2026'!$C$5:$J$23,8,0),IF(SUM(AJ27:AJ42)=0,U43/B43,"N/A"),"N/A")</f>
        <v>N/A</v>
      </c>
      <c r="AL43" s="424" cm="1">
        <f t="array" ref="AL43">IF(AK43="N/A",0,1)</f>
        <v>0</v>
      </c>
      <c r="AM43" t="str" s="605" cm="1">
        <f t="array" ref="AM43">IF(SUM(1250000+700000)*B43&lt;SUM(AC43:AD43),"NO GO","GO")</f>
        <v>GO</v>
      </c>
      <c r="AN43" s="424"/>
      <c r="AO43" s="594"/>
      <c r="AP43" s="594"/>
      <c r="AQ43" s="594"/>
      <c r="AR43" s="600"/>
      <c r="AS43" s="601" cm="1">
        <f t="array" ref="AS43">B43</f>
        <v>0</v>
      </c>
    </row>
    <row r="44" ht="16" customHeight="1">
      <c r="A44" s="12"/>
      <c r="B44" s="602" cm="1">
        <f t="array" ref="B44">IF(B43=0,0,IF(B43&lt;VLOOKUP(C25,'Boats Data Sheet 2026'!$C$3:$H$57,6,0),B43+1,0))</f>
        <v>0</v>
      </c>
      <c r="C44" t="str" s="595" cm="1">
        <f t="array" ref="C44">IF(B44&gt;0,IF(VLOOKUP(C25,'Boats Data Sheet 2026'!$C$3:$J$57,8,0)="N/A",0,VLOOKUP(C25,'Boats Data Sheet 2026'!$C$3:$J$57,8,0)),"N/A")</f>
        <v>N/A</v>
      </c>
      <c r="D44" t="str" s="595" cm="1">
        <f t="array" ref="D44">IF(B44&gt;7,2,IF(B44=0,"N/A",1))</f>
        <v>N/A</v>
      </c>
      <c r="E44" t="str" s="595" cm="1">
        <f t="array" ref="E44">_xlfn.IFERROR(SUM('Direct Costs 2026'!$C$4:$C$6)*D44,"N/A")</f>
        <v>N/A</v>
      </c>
      <c r="F44" s="594" cm="1">
        <f t="array" ref="F44">_xlfn.IFERROR('Direct Costs 2026'!$C$43*B44,"N/A")</f>
        <v>0</v>
      </c>
      <c r="G44" t="str" s="595" cm="1">
        <f t="array" ref="G44">IF(B44&gt;0,'Direct Costs 2026'!$C$25,"N/A")</f>
        <v>N/A</v>
      </c>
      <c r="H44" t="str" s="595" cm="1">
        <f t="array" ref="H44">IF(B44&gt;0,'Direct Costs 2026'!$C$19+'Direct Costs 2026'!$C$18*B44,"N/A")</f>
        <v>N/A</v>
      </c>
      <c r="I44" t="str" s="595" cm="1">
        <f t="array" ref="I44">IF(B44&gt;0,SUM('Direct Costs 2026'!$C$20:$C$21),"N/A")</f>
        <v>N/A</v>
      </c>
      <c r="J44" t="str" s="595" cm="1">
        <f t="array" ref="J44">IF(B44&gt;0,'Direct Costs 2026'!$C$14,"N/A")</f>
        <v>N/A</v>
      </c>
      <c r="K44" t="str" s="595" cm="1">
        <f t="array" ref="K44">IF(B44&gt;0,'Direct Costs 2026'!$C$26,"N/A")</f>
        <v>N/A</v>
      </c>
      <c r="L44" t="str" s="595" cm="1">
        <f t="array" ref="L44">IF(B44&gt;0,SUM('Direct Costs 2026'!$C$23:$C$24),"N/A")</f>
        <v>N/A</v>
      </c>
      <c r="M44" t="str" s="595" cm="1">
        <f t="array" ref="M44">IF(B44&gt;0,'Direct Costs 2026'!$C$47*B44,"N/A")</f>
        <v>N/A</v>
      </c>
      <c r="N44" t="str" s="595" cm="1">
        <f t="array" ref="N44">IF($B44&gt;0,'Direct Costs 2026'!$C$30,"N/A")</f>
        <v>N/A</v>
      </c>
      <c r="O44" t="str" s="595" cm="1">
        <f t="array" ref="O44">IF($B44&gt;0,'Direct Costs 2026'!$C$31,"N/A")</f>
        <v>N/A</v>
      </c>
      <c r="P44" t="str" s="595" cm="1">
        <f t="array" ref="P44">IF(B44&gt;0,'Direct Costs 2026'!$C$59*B44,"N/A")</f>
        <v>N/A</v>
      </c>
      <c r="Q44" t="str" s="595" cm="1">
        <f t="array" ref="Q44">IF(B44&gt;0,_xlfn.IFERROR(VLOOKUP(C25,'Boats Data Sheet 2026'!$C$3:$I$57,7,0)*'Direct Costs 2026'!$C$36,"N/A"),"N/A")</f>
        <v>N/A</v>
      </c>
      <c r="R44" t="str" s="595" cm="1">
        <f t="array" ref="R44">IF(B44&gt;0,IF(OR(VLOOKUP(C25,'Boats Data Sheet 2026'!$C$3:$F$57,4,0)="Own",VLOOKUP(C25,'Boats Data Sheet 2026'!$C$3:$F$57,4,0)="Management"),('Direct Costs 2026'!$C$37+'Direct Costs 2026'!$C$39),"N/A"),"N/A")</f>
        <v>N/A</v>
      </c>
      <c r="S44" t="str" s="595" cm="1">
        <f t="array" ref="S44">_xlfn.IFERROR(IF(B44&gt;5,IF(B44&gt;11,IF(B44&gt;15,4,3),2),IF(B44=0,"N/A",1))*SUM('Direct Costs 2026'!$C$67:$C$68),"N/A")</f>
        <v>N/A</v>
      </c>
      <c r="T44" t="str" s="595" cm="1">
        <f t="array" ref="T44">_xlfn.IFERROR('Direct Costs 2026'!$C$27*C44,"N/A")</f>
        <v>N/A</v>
      </c>
      <c r="U44" t="str" s="595" cm="1">
        <f t="array" ref="U44">_xlfn.IFERROR(C44+SUM(E44:T44),"N/A")</f>
        <v>N/A</v>
      </c>
      <c r="V44" s="424"/>
      <c r="W44" t="str" s="595" cm="1">
        <f t="array" ref="W44">IF(B44&gt;0,'Allocation OH and Target 2026'!$E$27,"N/A")</f>
        <v>N/A</v>
      </c>
      <c r="X44" t="str" s="595" cm="1">
        <f t="array" ref="X44">IF(B44&gt;0,'Allocation OH and Target 2026'!$E$28,"N/A")</f>
        <v>N/A</v>
      </c>
      <c r="Y44" t="str" s="595" cm="1">
        <f t="array" ref="Y44">IF(B44&gt;0,VLOOKUP(C25,'Allocation OH and Target 2026'!$C$5:$T$23,17,0),"N/A")</f>
        <v>N/A</v>
      </c>
      <c r="Z44" t="str" s="595" cm="1">
        <f t="array" ref="Z44">IF(B44&gt;0,VLOOKUP(C25,'Allocation OH and Target 2026'!$C$5:$T$23,18,0),"N/A")</f>
        <v>N/A</v>
      </c>
      <c r="AA44" t="str" s="595" cm="1">
        <f t="array" ref="AA44">_xlfn.IFERROR(X44*B44+Z44,"N/A")</f>
        <v>N/A</v>
      </c>
      <c r="AB44" s="424"/>
      <c r="AC44" t="str" s="595" cm="1">
        <f t="array" ref="AC44">_xlfn.IFERROR(AA44+U44,"N/A")</f>
        <v>N/A</v>
      </c>
      <c r="AD44" t="str" s="595" cm="1">
        <f t="array" ref="AD44">_xlfn.IFERROR(AC44*0.5%,"N/A")</f>
        <v>N/A</v>
      </c>
      <c r="AE44" t="str" s="595" cm="1">
        <f t="array" ref="AE44">_xlfn.IFERROR(AC44*25%,"N/A")</f>
        <v>N/A</v>
      </c>
      <c r="AF44" t="str" s="604" cm="1">
        <f t="array" ref="AF44">IF(B44&gt;0,SUM(AC44:AE44),"N/A")</f>
        <v>N/A</v>
      </c>
      <c r="AG44" t="str" s="595" cm="1">
        <f t="array" ref="AG44">_xlfn.IFERROR(AF44/B44,"N/A")</f>
        <v>N/A</v>
      </c>
      <c r="AH44" s="424"/>
      <c r="AI44" t="str" s="604" cm="1">
        <f t="array" ref="AI44">IF(B44/VLOOKUP(C25,'Boats Data Sheet 2026'!$C$3:$H$57,6,0)&gt;VLOOKUP(C25,'Allocation OH and Target 2026'!$C$5:$J$23,8,0),IF(SUM(AJ27:AJ43)=0,AG44,"N/A"),"N/A")</f>
        <v>N/A</v>
      </c>
      <c r="AJ44" s="424" cm="1">
        <f t="array" ref="AJ44">IF(AI44="N/A",0,1)</f>
        <v>0</v>
      </c>
      <c r="AK44" t="str" s="595" cm="1">
        <f t="array" ref="AK44">IF(B44/VLOOKUP(C25,'Boats Data Sheet 2026'!$C$3:$H$57,6,0)&gt;VLOOKUP(C25,'Allocation OH and Target 2026'!$C$5:$J$23,8,0),IF(SUM(AJ27:AJ43)=0,U44/B44,"N/A"),"N/A")</f>
        <v>N/A</v>
      </c>
      <c r="AL44" s="424" cm="1">
        <f t="array" ref="AL44">IF(AK44="N/A",0,1)</f>
        <v>0</v>
      </c>
      <c r="AM44" t="str" s="605" cm="1">
        <f t="array" ref="AM44">IF(SUM(1250000+700000)*B44&lt;SUM(AC44:AD44),"NO GO","GO")</f>
        <v>GO</v>
      </c>
      <c r="AN44" s="424"/>
      <c r="AO44" s="594"/>
      <c r="AP44" s="594"/>
      <c r="AQ44" s="594"/>
      <c r="AR44" s="600"/>
      <c r="AS44" s="601" cm="1">
        <f t="array" ref="AS44">B44</f>
        <v>0</v>
      </c>
    </row>
    <row r="45" ht="15.5" customHeight="1">
      <c r="A45" s="12"/>
      <c r="B45" s="606" cm="1">
        <f t="array" ref="B45">IF(B44=0,0,IF(B44&lt;VLOOKUP(C25,'Boats Data Sheet 2026'!$C$3:$H$57,6,0),B44+1,0))</f>
        <v>0</v>
      </c>
      <c r="C45" t="str" s="607" cm="1">
        <f t="array" ref="C45">IF(B45&gt;0,IF(VLOOKUP(C25,'Boats Data Sheet 2026'!$C$3:$J$57,8,0)="N/A",0,VLOOKUP(C25,'Boats Data Sheet 2026'!$C$3:$J$57,8,0)),"N/A")</f>
        <v>N/A</v>
      </c>
      <c r="D45" t="str" s="607" cm="1">
        <f t="array" ref="D45">IF(B45&gt;7,2,IF(B45=0,"N/A",1))</f>
        <v>N/A</v>
      </c>
      <c r="E45" t="str" s="607" cm="1">
        <f t="array" ref="E45">_xlfn.IFERROR(SUM('Direct Costs 2026'!$C$4:$C$6)*D45,"N/A")</f>
        <v>N/A</v>
      </c>
      <c r="F45" s="608" cm="1">
        <f t="array" ref="F45">_xlfn.IFERROR('Direct Costs 2026'!$C$43*B45,"N/A")</f>
        <v>0</v>
      </c>
      <c r="G45" t="str" s="607" cm="1">
        <f t="array" ref="G45">IF(B45&gt;0,'Direct Costs 2026'!$C$25,"N/A")</f>
        <v>N/A</v>
      </c>
      <c r="H45" t="str" s="607" cm="1">
        <f t="array" ref="H45">IF(B45&gt;0,'Direct Costs 2026'!$C$19+'Direct Costs 2026'!$C$18*B45,"N/A")</f>
        <v>N/A</v>
      </c>
      <c r="I45" t="str" s="607" cm="1">
        <f t="array" ref="I45">IF(B45&gt;0,SUM('Direct Costs 2026'!$C$20:$C$21),"N/A")</f>
        <v>N/A</v>
      </c>
      <c r="J45" t="str" s="607" cm="1">
        <f t="array" ref="J45">IF(B45&gt;0,'Direct Costs 2026'!$C$14,"N/A")</f>
        <v>N/A</v>
      </c>
      <c r="K45" t="str" s="607" cm="1">
        <f t="array" ref="K45">IF(B45&gt;0,'Direct Costs 2026'!$C$26,"N/A")</f>
        <v>N/A</v>
      </c>
      <c r="L45" t="str" s="607" cm="1">
        <f t="array" ref="L45">IF(B45&gt;0,SUM('Direct Costs 2026'!$C$23:$C$24),"N/A")</f>
        <v>N/A</v>
      </c>
      <c r="M45" t="str" s="607" cm="1">
        <f t="array" ref="M45">IF(B47&gt;0,'Direct Costs 2026'!$C$47*B47,"N/A")</f>
        <v>N/A</v>
      </c>
      <c r="N45" t="str" s="607" cm="1">
        <f t="array" ref="N45">IF($B45&gt;0,'Direct Costs 2026'!$C$30,"N/A")</f>
        <v>N/A</v>
      </c>
      <c r="O45" t="str" s="607" cm="1">
        <f t="array" ref="O45">IF($B45&gt;0,'Direct Costs 2026'!$C$31,"N/A")</f>
        <v>N/A</v>
      </c>
      <c r="P45" t="str" s="607" cm="1">
        <f t="array" ref="P45">IF(B45&gt;0,'Direct Costs 2026'!$C$59*B45,"N/A")</f>
        <v>N/A</v>
      </c>
      <c r="Q45" t="str" s="607" cm="1">
        <f t="array" ref="Q45">IF(B45&gt;0,_xlfn.IFERROR(VLOOKUP(C25,'Boats Data Sheet 2026'!$C$3:$I$57,7,0)*'Direct Costs 2026'!$C$36,"N/A"),"N/A")</f>
        <v>N/A</v>
      </c>
      <c r="R45" t="str" s="607" cm="1">
        <f t="array" ref="R45">IF(B45&gt;0,IF(OR(VLOOKUP(C25,'Boats Data Sheet 2026'!$C$3:$F$57,4,0)="Own",VLOOKUP(C25,'Boats Data Sheet 2026'!$C$3:$F$57,4,0)="Management"),('Direct Costs 2026'!$C$37+'Direct Costs 2026'!$C$39),"N/A"),"N/A")</f>
        <v>N/A</v>
      </c>
      <c r="S45" t="str" s="607" cm="1">
        <f t="array" ref="S45">_xlfn.IFERROR(IF(B45&gt;5,IF(B45&gt;11,IF(B45&gt;15,4,3),2),IF(B45=0,"N/A",1))*SUM('Direct Costs 2026'!$C$67:$C$68),"N/A")</f>
        <v>N/A</v>
      </c>
      <c r="T45" t="str" s="607" cm="1">
        <f t="array" ref="T45">_xlfn.IFERROR('Direct Costs 2026'!$C$27*C45,"N/A")</f>
        <v>N/A</v>
      </c>
      <c r="U45" t="str" s="607" cm="1">
        <f t="array" ref="U45">_xlfn.IFERROR(C45+SUM(E45:T45),"N/A")</f>
        <v>N/A</v>
      </c>
      <c r="V45" s="435"/>
      <c r="W45" t="str" s="607" cm="1">
        <f t="array" ref="W45">IF(B45&gt;0,'Allocation OH and Target 2026'!$E$27,"N/A")</f>
        <v>N/A</v>
      </c>
      <c r="X45" t="str" s="607" cm="1">
        <f t="array" ref="X45">IF(B45&gt;0,'Allocation OH and Target 2026'!$E$28,"N/A")</f>
        <v>N/A</v>
      </c>
      <c r="Y45" t="str" s="607" cm="1">
        <f t="array" ref="Y45">IF(B45&gt;0,VLOOKUP(C25,'Allocation OH and Target 2026'!$C$5:$T$23,17,0),"N/A")</f>
        <v>N/A</v>
      </c>
      <c r="Z45" t="str" s="607" cm="1">
        <f t="array" ref="Z45">IF(B45&gt;0,VLOOKUP(C25,'Allocation OH and Target 2026'!$C$5:$T$23,18,0),"N/A")</f>
        <v>N/A</v>
      </c>
      <c r="AA45" t="str" s="607" cm="1">
        <f t="array" ref="AA45">_xlfn.IFERROR(X45*B45+Z45,"N/A")</f>
        <v>N/A</v>
      </c>
      <c r="AB45" s="435"/>
      <c r="AC45" t="str" s="607" cm="1">
        <f t="array" ref="AC45">_xlfn.IFERROR(AA45+U45,"N/A")</f>
        <v>N/A</v>
      </c>
      <c r="AD45" t="str" s="607" cm="1">
        <f t="array" ref="AD45">_xlfn.IFERROR(AC45*0.5%,"N/A")</f>
        <v>N/A</v>
      </c>
      <c r="AE45" t="str" s="607" cm="1">
        <f t="array" ref="AE45">_xlfn.IFERROR(AC45*25%,"N/A")</f>
        <v>N/A</v>
      </c>
      <c r="AF45" t="str" s="609" cm="1">
        <f t="array" ref="AF45">IF(B45&gt;0,SUM(AC45:AE45),"N/A")</f>
        <v>N/A</v>
      </c>
      <c r="AG45" t="str" s="607" cm="1">
        <f t="array" ref="AG45">_xlfn.IFERROR(AF45/B45,"N/A")</f>
        <v>N/A</v>
      </c>
      <c r="AH45" s="435"/>
      <c r="AI45" t="str" s="609" cm="1">
        <f t="array" ref="AI45">IF(B45/VLOOKUP(C25,'Boats Data Sheet 2026'!$C$3:$H$57,6,0)&gt;VLOOKUP(C25,'Allocation OH and Target 2026'!$C$5:$J$23,8,0),IF(SUM(AJ27:AJ44)=0,AG45,"N/A"),"N/A")</f>
        <v>N/A</v>
      </c>
      <c r="AJ45" s="435" cm="1">
        <f t="array" ref="AJ45">IF(AI45="N/A",0,1)</f>
        <v>0</v>
      </c>
      <c r="AK45" t="str" s="607" cm="1">
        <f t="array" ref="AK45">IF(B45/VLOOKUP(C25,'Boats Data Sheet 2026'!$C$3:$H$57,6,0)&gt;VLOOKUP(C25,'Allocation OH and Target 2026'!$C$5:$J$23,8,0),IF(SUM(AJ27:AJ44)=0,U45/B45,"N/A"),"N/A")</f>
        <v>N/A</v>
      </c>
      <c r="AL45" s="435" cm="1">
        <f t="array" ref="AL45">IF(AK45="N/A",0,1)</f>
        <v>0</v>
      </c>
      <c r="AM45" t="str" s="610" cm="1">
        <f t="array" ref="AM45">IF(SUM(1250000+700000)*B45&lt;SUM(AC45:AD45),"NO GO","GO")</f>
        <v>GO</v>
      </c>
      <c r="AN45" s="435"/>
      <c r="AO45" s="608"/>
      <c r="AP45" s="608"/>
      <c r="AQ45" s="608"/>
      <c r="AR45" s="611"/>
      <c r="AS45" s="601" cm="1">
        <f t="array" ref="AS45">B45</f>
        <v>0</v>
      </c>
    </row>
    <row r="46" ht="15.5" customHeight="1">
      <c r="A46" s="32"/>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8"/>
    </row>
    <row r="47" ht="15.5" customHeight="1">
      <c r="A47" s="32"/>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18"/>
    </row>
    <row r="48" ht="15.5" customHeight="1">
      <c r="A48" s="395">
        <v>4</v>
      </c>
      <c r="B48" t="s" s="573">
        <v>506</v>
      </c>
      <c r="C48" t="s" s="574">
        <v>52</v>
      </c>
      <c r="D48" s="576"/>
      <c r="E48" s="575"/>
      <c r="F48" s="575"/>
      <c r="G48" s="575"/>
      <c r="H48" s="575"/>
      <c r="I48" s="575"/>
      <c r="J48" s="575"/>
      <c r="K48" s="575"/>
      <c r="L48" s="575"/>
      <c r="M48" s="575"/>
      <c r="N48" s="575"/>
      <c r="O48" s="575"/>
      <c r="P48" s="575"/>
      <c r="Q48" s="575"/>
      <c r="R48" s="575"/>
      <c r="S48" s="575"/>
      <c r="T48" s="575"/>
      <c r="U48" s="575"/>
      <c r="V48" s="399"/>
      <c r="W48" s="575"/>
      <c r="X48" s="575"/>
      <c r="Y48" s="575"/>
      <c r="Z48" s="575"/>
      <c r="AA48" s="575"/>
      <c r="AB48" s="399"/>
      <c r="AC48" s="575"/>
      <c r="AD48" s="575"/>
      <c r="AE48" s="575"/>
      <c r="AF48" s="575"/>
      <c r="AG48" s="575"/>
      <c r="AH48" s="399"/>
      <c r="AI48" s="576"/>
      <c r="AJ48" s="399"/>
      <c r="AK48" s="575"/>
      <c r="AL48" s="399"/>
      <c r="AM48" s="575"/>
      <c r="AN48" s="399"/>
      <c r="AO48" s="575"/>
      <c r="AP48" s="575"/>
      <c r="AQ48" s="575"/>
      <c r="AR48" s="577"/>
      <c r="AS48" s="578"/>
    </row>
    <row r="49" ht="16" customHeight="1">
      <c r="A49" s="12"/>
      <c r="B49" s="579"/>
      <c r="C49" t="s" s="580">
        <v>513</v>
      </c>
      <c r="D49" s="581"/>
      <c r="E49" s="581"/>
      <c r="F49" s="581"/>
      <c r="G49" s="581"/>
      <c r="H49" s="581"/>
      <c r="I49" s="581"/>
      <c r="J49" s="581"/>
      <c r="K49" s="581"/>
      <c r="L49" s="581"/>
      <c r="M49" s="581"/>
      <c r="N49" s="581"/>
      <c r="O49" s="581"/>
      <c r="P49" s="581"/>
      <c r="Q49" s="581"/>
      <c r="R49" s="581"/>
      <c r="S49" s="581"/>
      <c r="T49" s="581"/>
      <c r="U49" s="582"/>
      <c r="V49" s="407"/>
      <c r="W49" t="s" s="580">
        <v>514</v>
      </c>
      <c r="X49" s="581"/>
      <c r="Y49" s="581"/>
      <c r="Z49" s="581"/>
      <c r="AA49" s="582"/>
      <c r="AB49" s="407"/>
      <c r="AC49" t="s" s="580">
        <v>515</v>
      </c>
      <c r="AD49" s="581"/>
      <c r="AE49" s="581"/>
      <c r="AF49" s="581"/>
      <c r="AG49" s="582"/>
      <c r="AH49" s="410"/>
      <c r="AI49" s="605"/>
      <c r="AJ49" s="410"/>
      <c r="AK49" s="584"/>
      <c r="AL49" s="410"/>
      <c r="AM49" s="584"/>
      <c r="AN49" s="410"/>
      <c r="AO49" s="584"/>
      <c r="AP49" s="584"/>
      <c r="AQ49" s="584"/>
      <c r="AR49" s="585"/>
      <c r="AS49" s="578"/>
    </row>
    <row r="50" ht="63" customHeight="1">
      <c r="A50" s="12"/>
      <c r="B50" t="s" s="586">
        <v>517</v>
      </c>
      <c r="C50" t="s" s="587">
        <v>518</v>
      </c>
      <c r="D50" t="s" s="587">
        <v>519</v>
      </c>
      <c r="E50" t="s" s="587">
        <v>520</v>
      </c>
      <c r="F50" t="s" s="588">
        <v>521</v>
      </c>
      <c r="G50" t="s" s="588">
        <v>522</v>
      </c>
      <c r="H50" t="s" s="588">
        <v>524</v>
      </c>
      <c r="I50" t="s" s="588">
        <v>525</v>
      </c>
      <c r="J50" t="s" s="588">
        <v>553</v>
      </c>
      <c r="K50" t="s" s="588">
        <v>526</v>
      </c>
      <c r="L50" t="s" s="588">
        <v>527</v>
      </c>
      <c r="M50" t="s" s="588">
        <v>528</v>
      </c>
      <c r="N50" t="s" s="588">
        <v>602</v>
      </c>
      <c r="O50" t="s" s="588">
        <v>603</v>
      </c>
      <c r="P50" t="s" s="588">
        <v>604</v>
      </c>
      <c r="Q50" t="s" s="588">
        <v>529</v>
      </c>
      <c r="R50" t="s" s="588">
        <v>530</v>
      </c>
      <c r="S50" t="s" s="588">
        <v>572</v>
      </c>
      <c r="T50" t="s" s="588">
        <v>531</v>
      </c>
      <c r="U50" t="s" s="588">
        <v>532</v>
      </c>
      <c r="V50" s="556"/>
      <c r="W50" t="s" s="588">
        <v>533</v>
      </c>
      <c r="X50" t="s" s="588">
        <v>573</v>
      </c>
      <c r="Y50" t="s" s="588">
        <v>534</v>
      </c>
      <c r="Z50" t="s" s="588">
        <v>574</v>
      </c>
      <c r="AA50" t="s" s="588">
        <v>535</v>
      </c>
      <c r="AB50" s="556"/>
      <c r="AC50" t="s" s="588">
        <v>536</v>
      </c>
      <c r="AD50" t="s" s="588">
        <v>537</v>
      </c>
      <c r="AE50" t="s" s="588">
        <v>538</v>
      </c>
      <c r="AF50" t="s" s="588">
        <v>575</v>
      </c>
      <c r="AG50" t="s" s="588">
        <v>539</v>
      </c>
      <c r="AH50" s="557"/>
      <c r="AI50" t="s" s="588">
        <v>576</v>
      </c>
      <c r="AJ50" s="557"/>
      <c r="AK50" t="s" s="588">
        <v>577</v>
      </c>
      <c r="AL50" s="557"/>
      <c r="AM50" t="s" s="587">
        <v>578</v>
      </c>
      <c r="AN50" s="557"/>
      <c r="AO50" s="589"/>
      <c r="AP50" s="589"/>
      <c r="AQ50" s="589"/>
      <c r="AR50" s="590"/>
      <c r="AS50" s="578"/>
    </row>
    <row r="51" ht="16.5" customHeight="1">
      <c r="A51" s="12"/>
      <c r="B51" s="591">
        <v>1</v>
      </c>
      <c r="C51" s="592" cm="1">
        <f t="array" ref="C51">IF(B51&gt;0,IF(VLOOKUP(C48,'Boats Data Sheet 2026'!$C$3:$J$57,8,0)="N/A",0,VLOOKUP(C48,'Boats Data Sheet 2026'!$C$3:$J$57,8,0)),"N/A")</f>
        <v>0</v>
      </c>
      <c r="D51" s="593" cm="1">
        <f t="array" ref="D51">IF(B51&gt;7,2,IF(B51=0,"N/A",1))</f>
        <v>1</v>
      </c>
      <c r="E51" s="592" cm="1">
        <f t="array" ref="E51">_xlfn.IFERROR(SUM('Direct Costs 2026'!$C$4:$C$6)*D51,"N/A")</f>
        <v>975500</v>
      </c>
      <c r="F51" s="594" cm="1">
        <f t="array" ref="F51">_xlfn.IFERROR('Direct Costs 2026'!$C$43*B51,"N/A")</f>
        <v>6000</v>
      </c>
      <c r="G51" s="594" cm="1">
        <f t="array" ref="G51">IF(B51&gt;0,'Direct Costs 2026'!$C$25,"N/A")</f>
        <v>90000</v>
      </c>
      <c r="H51" s="594" cm="1">
        <f t="array" ref="H51">IF(B51&gt;0,'Direct Costs 2026'!$C$19+'Direct Costs 2026'!$C$18*B51,"N/A")</f>
        <v>110000</v>
      </c>
      <c r="I51" s="594" cm="1">
        <f t="array" ref="I51">IF(B51&gt;0,SUM('Direct Costs 2026'!$C$20:$C$21),"N/A")</f>
        <v>98333.3333333333</v>
      </c>
      <c r="J51" s="594" cm="1">
        <f t="array" ref="J51">IF(B51&gt;0,'Direct Costs 2026'!$C$14,"N/A")</f>
        <v>60000</v>
      </c>
      <c r="K51" s="594" cm="1">
        <f t="array" ref="K51">IF(B51&gt;0,'Direct Costs 2026'!$C$26,"N/A")</f>
        <v>20000</v>
      </c>
      <c r="L51" s="594" cm="1">
        <f t="array" ref="L51">IF(B51&gt;0,SUM('Direct Costs 2026'!$C$23:$C$24),"N/A")</f>
        <v>160000</v>
      </c>
      <c r="M51" s="594" cm="1">
        <f t="array" ref="M51">IF(B51&gt;0,'Direct Costs 2026'!$C$47*B51,"N/A")</f>
        <v>180000</v>
      </c>
      <c r="N51" s="594" cm="1">
        <f t="array" ref="N51">IF($B51&gt;0,'Direct Costs 2026'!$C$30,"N/A")</f>
        <v>440000</v>
      </c>
      <c r="O51" s="594" cm="1">
        <f t="array" ref="O51">IF($B51&gt;0,'Direct Costs 2026'!$C$31,"N/A")</f>
        <v>870000</v>
      </c>
      <c r="P51" s="594" cm="1">
        <f t="array" ref="P51">IF(B51&gt;0,'Direct Costs 2026'!$C$59*B51,"N/A")</f>
        <v>41000</v>
      </c>
      <c r="Q51" s="594" cm="1">
        <f t="array" ref="Q51">IF(B51&gt;0,_xlfn.IFERROR(VLOOKUP(C48,'Boats Data Sheet 2026'!$C$3:$I$57,7,0)*'Direct Costs 2026'!$C$36,"N/A"),"N/A")</f>
        <v>3325000</v>
      </c>
      <c r="R51" s="594" cm="1">
        <f t="array" ref="R51">IF(B51&gt;0,IF(OR(VLOOKUP(C48,'Boats Data Sheet 2026'!$C$3:$F$57,4,0)="Own",VLOOKUP(C48,'Boats Data Sheet 2026'!$C$3:$F$57,4,0)="Management"),('Direct Costs 2026'!$C$37+'Direct Costs 2026'!$C$39),"N/A"),"N/A")</f>
        <v>1112400</v>
      </c>
      <c r="S51" s="594" cm="1">
        <f t="array" ref="S51">_xlfn.IFERROR(IF(B51&gt;5,IF(B51&gt;11,IF(B51&gt;15,4,3),2),IF(B51=0,"N/A",1))*SUM('Direct Costs 2026'!$C$67:$C$68),"N/A")</f>
        <v>489600</v>
      </c>
      <c r="T51" s="594" cm="1">
        <f t="array" ref="T51">_xlfn.IFERROR('Direct Costs 2026'!$C$27*C51,"N/A")</f>
        <v>0</v>
      </c>
      <c r="U51" s="594" cm="1">
        <f t="array" ref="U51">_xlfn.IFERROR(C51+SUM(E51:T51),"N/A")</f>
        <v>7977833.33333333</v>
      </c>
      <c r="V51" s="424"/>
      <c r="W51" s="594" cm="1">
        <f t="array" ref="W51">IF(B51&gt;0,'Allocation OH and Target 2026'!$E$27,"N/A")</f>
        <v>2134447.30345641</v>
      </c>
      <c r="X51" s="594" cm="1">
        <f t="array" ref="X51">IF(B51&gt;0,'Allocation OH and Target 2026'!$E$28,"N/A")</f>
        <v>200042.323056976</v>
      </c>
      <c r="Y51" s="594" cm="1">
        <f t="array" ref="Y51">IF(B51&gt;0,VLOOKUP(C48,'Allocation OH and Target 2026'!$C$5:$T$23,17,0),"N/A")</f>
        <v>773816.669767442</v>
      </c>
      <c r="Z51" s="594" cm="1">
        <f t="array" ref="Z51">IF(B51&gt;0,VLOOKUP(C48,'Allocation OH and Target 2026'!$C$5:$T$23,18,0),"N/A")</f>
        <v>74410.9954528513</v>
      </c>
      <c r="AA51" s="594" cm="1">
        <f t="array" ref="AA51">_xlfn.IFERROR(B51*(X51+Z51),"N/A")</f>
        <v>274453.318509827</v>
      </c>
      <c r="AB51" s="424"/>
      <c r="AC51" s="594" cm="1">
        <f t="array" ref="AC51">_xlfn.IFERROR(AA51+U51,"N/A")</f>
        <v>8252286.65184316</v>
      </c>
      <c r="AD51" s="594" cm="1">
        <f t="array" ref="AD51">_xlfn.IFERROR(AC51*0.5%,"N/A")</f>
        <v>41261.4332592158</v>
      </c>
      <c r="AE51" s="594" cm="1">
        <f t="array" ref="AE51">_xlfn.IFERROR(AC51*25%,"N/A")</f>
        <v>2063071.66296079</v>
      </c>
      <c r="AF51" s="596" cm="1">
        <f t="array" ref="AF51">IF(B51&gt;0,SUM(AC51:AE51),"N/A")</f>
        <v>10356619.7480632</v>
      </c>
      <c r="AG51" s="594" cm="1">
        <f t="array" ref="AG51">_xlfn.IFERROR(AF51/B51,"N/A")</f>
        <v>10356619.7480632</v>
      </c>
      <c r="AH51" s="424"/>
      <c r="AI51" t="s" s="597">
        <v>14</v>
      </c>
      <c r="AJ51" s="424" cm="1">
        <f t="array" ref="AJ51">IF(AI51="N/A",0,1)</f>
        <v>0</v>
      </c>
      <c r="AK51" t="s" s="598">
        <v>14</v>
      </c>
      <c r="AL51" s="424" cm="1">
        <f t="array" ref="AL51">IF(AK51="N/A",0,1)</f>
        <v>0</v>
      </c>
      <c r="AM51" t="str" s="599" cm="1">
        <f t="array" ref="AM51">IF(SUM(1250000+700000)*B51&lt;SUM(AC51:AD51),"NO GO","GO")</f>
        <v>NO GO</v>
      </c>
      <c r="AN51" s="424"/>
      <c r="AO51" s="594"/>
      <c r="AP51" s="594"/>
      <c r="AQ51" s="594"/>
      <c r="AR51" s="600"/>
      <c r="AS51" s="601" cm="1">
        <f t="array" ref="AS51">B51</f>
        <v>1</v>
      </c>
    </row>
    <row r="52" ht="16" customHeight="1">
      <c r="A52" s="12"/>
      <c r="B52" s="602" cm="1">
        <f t="array" ref="B52">IF(B51=0,0,IF(B51&lt;VLOOKUP(C48,'Boats Data Sheet 2026'!$C$3:$H$57,6,0),B51+1,0))</f>
        <v>2</v>
      </c>
      <c r="C52" s="594" cm="1">
        <f t="array" ref="C52">IF(B52&gt;0,IF(VLOOKUP(C48,'Boats Data Sheet 2026'!$C$3:$J$57,8,0)="N/A",0,VLOOKUP(C48,'Boats Data Sheet 2026'!$C$3:$J$57,8,0)),"N/A")</f>
        <v>0</v>
      </c>
      <c r="D52" s="603" cm="1">
        <f t="array" ref="D52">IF(B52&gt;7,2,IF(B52=0,"N/A",1))</f>
        <v>1</v>
      </c>
      <c r="E52" s="594" cm="1">
        <f t="array" ref="E52">_xlfn.IFERROR(SUM('Direct Costs 2026'!$C$4:$C$6)*D52,"N/A")</f>
        <v>975500</v>
      </c>
      <c r="F52" s="594" cm="1">
        <f t="array" ref="F52">_xlfn.IFERROR('Direct Costs 2026'!$C$43*B52,"N/A")</f>
        <v>12000</v>
      </c>
      <c r="G52" s="594" cm="1">
        <f t="array" ref="G52">IF(B52&gt;0,'Direct Costs 2026'!$C$25,"N/A")</f>
        <v>90000</v>
      </c>
      <c r="H52" s="594" cm="1">
        <f t="array" ref="H52">IF(B52&gt;0,'Direct Costs 2026'!$C$19+'Direct Costs 2026'!$C$18*B52,"N/A")</f>
        <v>145000</v>
      </c>
      <c r="I52" s="594" cm="1">
        <f t="array" ref="I52">IF(B52&gt;0,SUM('Direct Costs 2026'!$C$20:$C$21),"N/A")</f>
        <v>98333.3333333333</v>
      </c>
      <c r="J52" s="594" cm="1">
        <f t="array" ref="J52">IF(B52&gt;0,'Direct Costs 2026'!$C$14,"N/A")</f>
        <v>60000</v>
      </c>
      <c r="K52" s="594" cm="1">
        <f t="array" ref="K52">IF(B52&gt;0,'Direct Costs 2026'!$C$26,"N/A")</f>
        <v>20000</v>
      </c>
      <c r="L52" s="594" cm="1">
        <f t="array" ref="L52">IF(B52&gt;0,SUM('Direct Costs 2026'!$C$23:$C$24),"N/A")</f>
        <v>160000</v>
      </c>
      <c r="M52" s="594" cm="1">
        <f t="array" ref="M52">IF(B52&gt;0,'Direct Costs 2026'!$C$47*B52,"N/A")</f>
        <v>360000</v>
      </c>
      <c r="N52" s="594" cm="1">
        <f t="array" ref="N52">IF($B52&gt;0,'Direct Costs 2026'!$C$30,"N/A")</f>
        <v>440000</v>
      </c>
      <c r="O52" s="594" cm="1">
        <f t="array" ref="O52">IF($B52&gt;0,'Direct Costs 2026'!$C$31,"N/A")</f>
        <v>870000</v>
      </c>
      <c r="P52" s="594" cm="1">
        <f t="array" ref="P52">IF(B52&gt;0,'Direct Costs 2026'!$C$59*B52,"N/A")</f>
        <v>82000</v>
      </c>
      <c r="Q52" s="594" cm="1">
        <f t="array" ref="Q52">IF(B52&gt;0,_xlfn.IFERROR(VLOOKUP(C48,'Boats Data Sheet 2026'!$C$3:$I$57,7,0)*'Direct Costs 2026'!$C$36,"N/A"),"N/A")</f>
        <v>3325000</v>
      </c>
      <c r="R52" s="594" cm="1">
        <f t="array" ref="R52">IF(B52&gt;0,IF(OR(VLOOKUP(C48,'Boats Data Sheet 2026'!$C$3:$F$57,4,0)="Own",VLOOKUP(C48,'Boats Data Sheet 2026'!$C$3:$F$57,4,0)="Management"),('Direct Costs 2026'!$C$37+'Direct Costs 2026'!$C$39),"N/A"),"N/A")</f>
        <v>1112400</v>
      </c>
      <c r="S52" s="594" cm="1">
        <f t="array" ref="S52">_xlfn.IFERROR(IF(B52&gt;5,IF(B52&gt;11,IF(B52&gt;15,4,3),2),IF(B52=0,"N/A",1))*SUM('Direct Costs 2026'!$C$67:$C$68),"N/A")</f>
        <v>489600</v>
      </c>
      <c r="T52" s="594" cm="1">
        <f t="array" ref="T52">_xlfn.IFERROR('Direct Costs 2026'!$C$27*C52,"N/A")</f>
        <v>0</v>
      </c>
      <c r="U52" s="594" cm="1">
        <f t="array" ref="U52">_xlfn.IFERROR(C52+SUM(E52:T52),"N/A")</f>
        <v>8239833.33333333</v>
      </c>
      <c r="V52" s="424"/>
      <c r="W52" s="594" cm="1">
        <f t="array" ref="W52">IF(B52&gt;0,'Allocation OH and Target 2026'!$E$27,"N/A")</f>
        <v>2134447.30345641</v>
      </c>
      <c r="X52" s="594" cm="1">
        <f t="array" ref="X52">IF(B52&gt;0,'Allocation OH and Target 2026'!$E$28,"N/A")</f>
        <v>200042.323056976</v>
      </c>
      <c r="Y52" s="594" cm="1">
        <f t="array" ref="Y52">IF(B52&gt;0,VLOOKUP(C48,'Allocation OH and Target 2026'!$C$5:$T$23,17,0),"N/A")</f>
        <v>773816.669767442</v>
      </c>
      <c r="Z52" s="594" cm="1">
        <f t="array" ref="Z52">IF(B52&gt;0,VLOOKUP(C48,'Allocation OH and Target 2026'!$C$5:$T$23,18,0),"N/A")</f>
        <v>74410.9954528513</v>
      </c>
      <c r="AA52" s="594" cm="1">
        <f t="array" ref="AA52">_xlfn.IFERROR(B52*(X52+Z52),"N/A")</f>
        <v>548906.637019655</v>
      </c>
      <c r="AB52" s="424"/>
      <c r="AC52" s="594" cm="1">
        <f t="array" ref="AC52">_xlfn.IFERROR(AA52+U52,"N/A")</f>
        <v>8788739.970352991</v>
      </c>
      <c r="AD52" s="594" cm="1">
        <f t="array" ref="AD52">_xlfn.IFERROR(AC52*0.5%,"N/A")</f>
        <v>43943.699851765</v>
      </c>
      <c r="AE52" s="594" cm="1">
        <f t="array" ref="AE52">_xlfn.IFERROR(AC52*25%,"N/A")</f>
        <v>2197184.99258825</v>
      </c>
      <c r="AF52" s="596" cm="1">
        <f t="array" ref="AF52">IF(B52&gt;0,SUM(AC52:AE52),"N/A")</f>
        <v>11029868.662793</v>
      </c>
      <c r="AG52" s="594" cm="1">
        <f t="array" ref="AG52">_xlfn.IFERROR(AF52/B52,"N/A")</f>
        <v>5514934.3313965</v>
      </c>
      <c r="AH52" s="424"/>
      <c r="AI52" t="str" s="604" cm="1">
        <f t="array" ref="AI52">IF(B52/VLOOKUP(C48,'Boats Data Sheet 2026'!$C$3:$H$57,6,0)&gt;VLOOKUP(C48,'Allocation OH and Target 2026'!$C$5:$J$23,8,0),IF(SUM(AJ50:AJ51)=0,AG52,"N/A"),"N/A")</f>
        <v>N/A</v>
      </c>
      <c r="AJ52" s="424" cm="1">
        <f t="array" ref="AJ52">IF(AI52="N/A",0,1)</f>
        <v>0</v>
      </c>
      <c r="AK52" t="str" s="595" cm="1">
        <f t="array" ref="AK52">IF(B52/VLOOKUP(C48,'Boats Data Sheet 2026'!$C$3:$H$57,6,0)&gt;VLOOKUP(C48,'Allocation OH and Target 2026'!$C$5:$J$23,8,0),IF(SUM(AJ50:AJ51)=0,U52/B52,"N/A"),"N/A")</f>
        <v>N/A</v>
      </c>
      <c r="AL52" s="424" cm="1">
        <f t="array" ref="AL52">IF(AK52="N/A",0,1)</f>
        <v>0</v>
      </c>
      <c r="AM52" t="str" s="605" cm="1">
        <f t="array" ref="AM52">IF(SUM(1250000+700000)*B52&lt;SUM(AC52:AD52),"NO GO","GO")</f>
        <v>NO GO</v>
      </c>
      <c r="AN52" s="424"/>
      <c r="AO52" s="594"/>
      <c r="AP52" s="594"/>
      <c r="AQ52" s="594"/>
      <c r="AR52" s="600"/>
      <c r="AS52" s="601" cm="1">
        <f t="array" ref="AS52">B52</f>
        <v>2</v>
      </c>
    </row>
    <row r="53" ht="16" customHeight="1">
      <c r="A53" s="12"/>
      <c r="B53" s="602" cm="1">
        <f t="array" ref="B53">IF(B52=0,0,IF(B52&lt;VLOOKUP(C48,'Boats Data Sheet 2026'!$C$3:$H$57,6,0),B52+1,0))</f>
        <v>3</v>
      </c>
      <c r="C53" s="594" cm="1">
        <f t="array" ref="C53">IF(B53&gt;0,IF(VLOOKUP(C48,'Boats Data Sheet 2026'!$C$3:$J$57,8,0)="N/A",0,VLOOKUP(C48,'Boats Data Sheet 2026'!$C$3:$J$57,8,0)),"N/A")</f>
        <v>0</v>
      </c>
      <c r="D53" s="603" cm="1">
        <f t="array" ref="D53">IF(B53&gt;7,2,IF(B53=0,"N/A",1))</f>
        <v>1</v>
      </c>
      <c r="E53" s="594" cm="1">
        <f t="array" ref="E53">_xlfn.IFERROR(SUM('Direct Costs 2026'!$C$4:$C$6)*D53,"N/A")</f>
        <v>975500</v>
      </c>
      <c r="F53" s="594" cm="1">
        <f t="array" ref="F53">_xlfn.IFERROR('Direct Costs 2026'!$C$43*B53,"N/A")</f>
        <v>18000</v>
      </c>
      <c r="G53" s="594" cm="1">
        <f t="array" ref="G53">IF(B53&gt;0,'Direct Costs 2026'!$C$25,"N/A")</f>
        <v>90000</v>
      </c>
      <c r="H53" s="594" cm="1">
        <f t="array" ref="H53">IF(B53&gt;0,'Direct Costs 2026'!$C$19+'Direct Costs 2026'!$C$18*B53,"N/A")</f>
        <v>180000</v>
      </c>
      <c r="I53" s="594" cm="1">
        <f t="array" ref="I53">IF(B53&gt;0,SUM('Direct Costs 2026'!$C$20:$C$21),"N/A")</f>
        <v>98333.3333333333</v>
      </c>
      <c r="J53" s="594" cm="1">
        <f t="array" ref="J53">IF(B53&gt;0,'Direct Costs 2026'!$C$14,"N/A")</f>
        <v>60000</v>
      </c>
      <c r="K53" s="594" cm="1">
        <f t="array" ref="K53">IF(B53&gt;0,'Direct Costs 2026'!$C$26,"N/A")</f>
        <v>20000</v>
      </c>
      <c r="L53" s="594" cm="1">
        <f t="array" ref="L53">IF(B53&gt;0,SUM('Direct Costs 2026'!$C$23:$C$24),"N/A")</f>
        <v>160000</v>
      </c>
      <c r="M53" s="594" cm="1">
        <f t="array" ref="M53">IF(B53&gt;0,'Direct Costs 2026'!$C$47*B53,"N/A")</f>
        <v>540000</v>
      </c>
      <c r="N53" s="594" cm="1">
        <f t="array" ref="N53">IF($B53&gt;0,'Direct Costs 2026'!$C$30,"N/A")</f>
        <v>440000</v>
      </c>
      <c r="O53" s="594" cm="1">
        <f t="array" ref="O53">IF($B53&gt;0,'Direct Costs 2026'!$C$31,"N/A")</f>
        <v>870000</v>
      </c>
      <c r="P53" s="594" cm="1">
        <f t="array" ref="P53">IF(B53&gt;0,'Direct Costs 2026'!$C$59*B53,"N/A")</f>
        <v>123000</v>
      </c>
      <c r="Q53" s="594" cm="1">
        <f t="array" ref="Q53">IF(B53&gt;0,_xlfn.IFERROR(VLOOKUP(C48,'Boats Data Sheet 2026'!$C$3:$I$57,7,0)*'Direct Costs 2026'!$C$36,"N/A"),"N/A")</f>
        <v>3325000</v>
      </c>
      <c r="R53" s="594" cm="1">
        <f t="array" ref="R53">IF(B53&gt;0,IF(OR(VLOOKUP(C48,'Boats Data Sheet 2026'!$C$3:$F$57,4,0)="Own",VLOOKUP(C48,'Boats Data Sheet 2026'!$C$3:$F$57,4,0)="Management"),('Direct Costs 2026'!$C$37+'Direct Costs 2026'!$C$39),"N/A"),"N/A")</f>
        <v>1112400</v>
      </c>
      <c r="S53" s="594" cm="1">
        <f t="array" ref="S53">_xlfn.IFERROR(IF(B53&gt;5,IF(B53&gt;11,IF(B53&gt;15,4,3),2),IF(B53=0,"N/A",1))*SUM('Direct Costs 2026'!$C$67:$C$68),"N/A")</f>
        <v>489600</v>
      </c>
      <c r="T53" s="594" cm="1">
        <f t="array" ref="T53">_xlfn.IFERROR('Direct Costs 2026'!$C$27*C53,"N/A")</f>
        <v>0</v>
      </c>
      <c r="U53" s="594" cm="1">
        <f t="array" ref="U53">_xlfn.IFERROR(C53+SUM(E53:T53),"N/A")</f>
        <v>8501833.33333333</v>
      </c>
      <c r="V53" s="424"/>
      <c r="W53" s="594" cm="1">
        <f t="array" ref="W53">IF(B53&gt;0,'Allocation OH and Target 2026'!$E$27,"N/A")</f>
        <v>2134447.30345641</v>
      </c>
      <c r="X53" s="594" cm="1">
        <f t="array" ref="X53">IF(B53&gt;0,'Allocation OH and Target 2026'!$E$28,"N/A")</f>
        <v>200042.323056976</v>
      </c>
      <c r="Y53" s="594" cm="1">
        <f t="array" ref="Y53">IF(B53&gt;0,VLOOKUP(C48,'Allocation OH and Target 2026'!$C$5:$T$23,17,0),"N/A")</f>
        <v>773816.669767442</v>
      </c>
      <c r="Z53" s="594" cm="1">
        <f t="array" ref="Z53">IF(B53&gt;0,VLOOKUP(C48,'Allocation OH and Target 2026'!$C$5:$T$23,18,0),"N/A")</f>
        <v>74410.9954528513</v>
      </c>
      <c r="AA53" s="594" cm="1">
        <f t="array" ref="AA53">_xlfn.IFERROR(B53*(X53+Z53),"N/A")</f>
        <v>823359.955529482</v>
      </c>
      <c r="AB53" s="424"/>
      <c r="AC53" s="594" cm="1">
        <f t="array" ref="AC53">_xlfn.IFERROR(AA53+U53,"N/A")</f>
        <v>9325193.28886281</v>
      </c>
      <c r="AD53" s="594" cm="1">
        <f t="array" ref="AD53">_xlfn.IFERROR(AC53*0.5%,"N/A")</f>
        <v>46625.9664443141</v>
      </c>
      <c r="AE53" s="594" cm="1">
        <f t="array" ref="AE53">_xlfn.IFERROR(AC53*25%,"N/A")</f>
        <v>2331298.3222157</v>
      </c>
      <c r="AF53" s="596" cm="1">
        <f t="array" ref="AF53">IF(B53&gt;0,SUM(AC53:AE53),"N/A")</f>
        <v>11703117.5775228</v>
      </c>
      <c r="AG53" s="594" cm="1">
        <f t="array" ref="AG53">_xlfn.IFERROR(AF53/B53,"N/A")</f>
        <v>3901039.1925076</v>
      </c>
      <c r="AH53" s="424"/>
      <c r="AI53" t="str" s="604" cm="1">
        <f t="array" ref="AI53">IF(B53/VLOOKUP(C48,'Boats Data Sheet 2026'!$C$3:$H$57,6,0)&gt;VLOOKUP(C48,'Allocation OH and Target 2026'!$C$5:$J$23,8,0),IF(SUM(AJ50:AJ52)=0,AG53,"N/A"),"N/A")</f>
        <v>N/A</v>
      </c>
      <c r="AJ53" s="424" cm="1">
        <f t="array" ref="AJ53">IF(AI53="N/A",0,1)</f>
        <v>0</v>
      </c>
      <c r="AK53" t="str" s="595" cm="1">
        <f t="array" ref="AK53">IF(B53/VLOOKUP(C48,'Boats Data Sheet 2026'!$C$3:$H$57,6,0)&gt;VLOOKUP(C48,'Allocation OH and Target 2026'!$C$5:$J$23,8,0),IF(SUM(AJ50:AJ52)=0,U53/B53,"N/A"),"N/A")</f>
        <v>N/A</v>
      </c>
      <c r="AL53" s="424" cm="1">
        <f t="array" ref="AL53">IF(AK53="N/A",0,1)</f>
        <v>0</v>
      </c>
      <c r="AM53" t="str" s="605" cm="1">
        <f t="array" ref="AM53">IF(SUM(1250000+700000)*B53&lt;SUM(AC53:AD53),"NO GO","GO")</f>
        <v>NO GO</v>
      </c>
      <c r="AN53" s="424"/>
      <c r="AO53" s="594"/>
      <c r="AP53" s="594"/>
      <c r="AQ53" s="594"/>
      <c r="AR53" s="600"/>
      <c r="AS53" s="601" cm="1">
        <f t="array" ref="AS53">B53</f>
        <v>3</v>
      </c>
    </row>
    <row r="54" ht="16" customHeight="1">
      <c r="A54" s="12"/>
      <c r="B54" s="602" cm="1">
        <f t="array" ref="B54">IF(B53=0,0,IF(B53&lt;VLOOKUP(C48,'Boats Data Sheet 2026'!$C$3:$H$57,6,0),B53+1,0))</f>
        <v>4</v>
      </c>
      <c r="C54" s="594" cm="1">
        <f t="array" ref="C54">IF(B54&gt;0,IF(VLOOKUP(C48,'Boats Data Sheet 2026'!$C$3:$J$57,8,0)="N/A",0,VLOOKUP(C48,'Boats Data Sheet 2026'!$C$3:$J$57,8,0)),"N/A")</f>
        <v>0</v>
      </c>
      <c r="D54" s="603" cm="1">
        <f t="array" ref="D54">IF(B54&gt;7,2,IF(B54=0,"N/A",1))</f>
        <v>1</v>
      </c>
      <c r="E54" s="594" cm="1">
        <f t="array" ref="E54">_xlfn.IFERROR(SUM('Direct Costs 2026'!$C$4:$C$6)*D54,"N/A")</f>
        <v>975500</v>
      </c>
      <c r="F54" s="594" cm="1">
        <f t="array" ref="F54">_xlfn.IFERROR('Direct Costs 2026'!$C$43*B54,"N/A")</f>
        <v>24000</v>
      </c>
      <c r="G54" s="594" cm="1">
        <f t="array" ref="G54">IF(B54&gt;0,'Direct Costs 2026'!$C$25,"N/A")</f>
        <v>90000</v>
      </c>
      <c r="H54" s="594" cm="1">
        <f t="array" ref="H54">IF(B54&gt;0,'Direct Costs 2026'!$C$19+'Direct Costs 2026'!$C$18*B54,"N/A")</f>
        <v>215000</v>
      </c>
      <c r="I54" s="594" cm="1">
        <f t="array" ref="I54">IF(B54&gt;0,SUM('Direct Costs 2026'!$C$20:$C$21),"N/A")</f>
        <v>98333.3333333333</v>
      </c>
      <c r="J54" s="594" cm="1">
        <f t="array" ref="J54">IF(B54&gt;0,'Direct Costs 2026'!$C$14,"N/A")</f>
        <v>60000</v>
      </c>
      <c r="K54" s="594" cm="1">
        <f t="array" ref="K54">IF(B54&gt;0,'Direct Costs 2026'!$C$26,"N/A")</f>
        <v>20000</v>
      </c>
      <c r="L54" s="594" cm="1">
        <f t="array" ref="L54">IF(B54&gt;0,SUM('Direct Costs 2026'!$C$23:$C$24),"N/A")</f>
        <v>160000</v>
      </c>
      <c r="M54" s="594" cm="1">
        <f t="array" ref="M54">IF(B54&gt;0,'Direct Costs 2026'!$C$47*B54,"N/A")</f>
        <v>720000</v>
      </c>
      <c r="N54" s="594" cm="1">
        <f t="array" ref="N54">IF($B54&gt;0,'Direct Costs 2026'!$C$30,"N/A")</f>
        <v>440000</v>
      </c>
      <c r="O54" s="594" cm="1">
        <f t="array" ref="O54">IF($B54&gt;0,'Direct Costs 2026'!$C$31,"N/A")</f>
        <v>870000</v>
      </c>
      <c r="P54" s="594" cm="1">
        <f t="array" ref="P54">IF(B54&gt;0,'Direct Costs 2026'!$C$59*B54,"N/A")</f>
        <v>164000</v>
      </c>
      <c r="Q54" s="594" cm="1">
        <f t="array" ref="Q54">IF(B54&gt;0,_xlfn.IFERROR(VLOOKUP(C48,'Boats Data Sheet 2026'!$C$3:$I$57,7,0)*'Direct Costs 2026'!$C$36,"N/A"),"N/A")</f>
        <v>3325000</v>
      </c>
      <c r="R54" s="594" cm="1">
        <f t="array" ref="R54">IF(B54&gt;0,IF(OR(VLOOKUP(C48,'Boats Data Sheet 2026'!$C$3:$F$57,4,0)="Own",VLOOKUP(C48,'Boats Data Sheet 2026'!$C$3:$F$57,4,0)="Management"),('Direct Costs 2026'!$C$37+'Direct Costs 2026'!$C$39),"N/A"),"N/A")</f>
        <v>1112400</v>
      </c>
      <c r="S54" s="594" cm="1">
        <f t="array" ref="S54">_xlfn.IFERROR(IF(B54&gt;5,IF(B54&gt;11,IF(B54&gt;15,4,3),2),IF(B54=0,"N/A",1))*SUM('Direct Costs 2026'!$C$67:$C$68),"N/A")</f>
        <v>489600</v>
      </c>
      <c r="T54" s="594" cm="1">
        <f t="array" ref="T54">_xlfn.IFERROR('Direct Costs 2026'!$C$27*C54,"N/A")</f>
        <v>0</v>
      </c>
      <c r="U54" s="594" cm="1">
        <f t="array" ref="U54">_xlfn.IFERROR(C54+SUM(E54:T54),"N/A")</f>
        <v>8763833.33333333</v>
      </c>
      <c r="V54" s="424"/>
      <c r="W54" s="594" cm="1">
        <f t="array" ref="W54">IF(B54&gt;0,'Allocation OH and Target 2026'!$E$27,"N/A")</f>
        <v>2134447.30345641</v>
      </c>
      <c r="X54" s="594" cm="1">
        <f t="array" ref="X54">IF(B54&gt;0,'Allocation OH and Target 2026'!$E$28,"N/A")</f>
        <v>200042.323056976</v>
      </c>
      <c r="Y54" s="594" cm="1">
        <f t="array" ref="Y54">IF(B54&gt;0,VLOOKUP(C48,'Allocation OH and Target 2026'!$C$5:$T$23,17,0),"N/A")</f>
        <v>773816.669767442</v>
      </c>
      <c r="Z54" s="594" cm="1">
        <f t="array" ref="Z54">IF(B54&gt;0,VLOOKUP(C48,'Allocation OH and Target 2026'!$C$5:$T$23,18,0),"N/A")</f>
        <v>74410.9954528513</v>
      </c>
      <c r="AA54" s="594" cm="1">
        <f t="array" ref="AA54">_xlfn.IFERROR(B54*(X54+Z54),"N/A")</f>
        <v>1097813.27403931</v>
      </c>
      <c r="AB54" s="424"/>
      <c r="AC54" s="594" cm="1">
        <f t="array" ref="AC54">_xlfn.IFERROR(AA54+U54,"N/A")</f>
        <v>9861646.60737264</v>
      </c>
      <c r="AD54" s="594" cm="1">
        <f t="array" ref="AD54">_xlfn.IFERROR(AC54*0.5%,"N/A")</f>
        <v>49308.2330368632</v>
      </c>
      <c r="AE54" s="594" cm="1">
        <f t="array" ref="AE54">_xlfn.IFERROR(AC54*25%,"N/A")</f>
        <v>2465411.65184316</v>
      </c>
      <c r="AF54" s="596" cm="1">
        <f t="array" ref="AF54">IF(B54&gt;0,SUM(AC54:AE54),"N/A")</f>
        <v>12376366.4922527</v>
      </c>
      <c r="AG54" s="594" cm="1">
        <f t="array" ref="AG54">_xlfn.IFERROR(AF54/B54,"N/A")</f>
        <v>3094091.62306318</v>
      </c>
      <c r="AH54" s="424"/>
      <c r="AI54" t="str" s="604" cm="1">
        <f t="array" ref="AI54">IF(B54/VLOOKUP(C48,'Boats Data Sheet 2026'!$C$3:$H$57,6,0)&gt;VLOOKUP(C48,'Allocation OH and Target 2026'!$C$5:$J$23,8,0),IF(SUM(AJ50:AJ53)=0,AG54,"N/A"),"N/A")</f>
        <v>N/A</v>
      </c>
      <c r="AJ54" s="424" cm="1">
        <f t="array" ref="AJ54">IF(AI54="N/A",0,1)</f>
        <v>0</v>
      </c>
      <c r="AK54" t="str" s="595" cm="1">
        <f t="array" ref="AK54">IF(B54/VLOOKUP(C48,'Boats Data Sheet 2026'!$C$3:$H$57,6,0)&gt;VLOOKUP(C48,'Allocation OH and Target 2026'!$C$5:$J$23,8,0),IF(SUM(AJ50:AJ53)=0,U54/B54,"N/A"),"N/A")</f>
        <v>N/A</v>
      </c>
      <c r="AL54" s="424" cm="1">
        <f t="array" ref="AL54">IF(AK54="N/A",0,1)</f>
        <v>0</v>
      </c>
      <c r="AM54" t="str" s="605" cm="1">
        <f t="array" ref="AM54">IF(SUM(1250000+700000)*B54&lt;SUM(AC54:AD54),"NO GO","GO")</f>
        <v>NO GO</v>
      </c>
      <c r="AN54" s="424"/>
      <c r="AO54" s="594"/>
      <c r="AP54" s="594"/>
      <c r="AQ54" s="594"/>
      <c r="AR54" s="600"/>
      <c r="AS54" s="601" cm="1">
        <f t="array" ref="AS54">B54</f>
        <v>4</v>
      </c>
    </row>
    <row r="55" ht="16" customHeight="1">
      <c r="A55" s="12"/>
      <c r="B55" s="602" cm="1">
        <f t="array" ref="B55">IF(B54=0,0,IF(B54&lt;VLOOKUP(C48,'Boats Data Sheet 2026'!$C$3:$H$57,6,0),B54+1,0))</f>
        <v>5</v>
      </c>
      <c r="C55" s="594" cm="1">
        <f t="array" ref="C55">IF(B55&gt;0,IF(VLOOKUP(C48,'Boats Data Sheet 2026'!$C$3:$J$57,8,0)="N/A",0,VLOOKUP(C48,'Boats Data Sheet 2026'!$C$3:$J$57,8,0)),"N/A")</f>
        <v>0</v>
      </c>
      <c r="D55" s="603" cm="1">
        <f t="array" ref="D55">IF(B55&gt;7,2,IF(B55=0,"N/A",1))</f>
        <v>1</v>
      </c>
      <c r="E55" s="594" cm="1">
        <f t="array" ref="E55">_xlfn.IFERROR(SUM('Direct Costs 2026'!$C$4:$C$6)*D55,"N/A")</f>
        <v>975500</v>
      </c>
      <c r="F55" s="594" cm="1">
        <f t="array" ref="F55">_xlfn.IFERROR('Direct Costs 2026'!$C$43*B55,"N/A")</f>
        <v>30000</v>
      </c>
      <c r="G55" s="594" cm="1">
        <f t="array" ref="G55">IF(B55&gt;0,'Direct Costs 2026'!$C$25,"N/A")</f>
        <v>90000</v>
      </c>
      <c r="H55" s="594" cm="1">
        <f t="array" ref="H55">IF(B55&gt;0,'Direct Costs 2026'!$C$19+'Direct Costs 2026'!$C$18*B55,"N/A")</f>
        <v>250000</v>
      </c>
      <c r="I55" s="594" cm="1">
        <f t="array" ref="I55">IF(B55&gt;0,SUM('Direct Costs 2026'!$C$20:$C$21),"N/A")</f>
        <v>98333.3333333333</v>
      </c>
      <c r="J55" s="594" cm="1">
        <f t="array" ref="J55">IF(B55&gt;0,'Direct Costs 2026'!$C$14,"N/A")</f>
        <v>60000</v>
      </c>
      <c r="K55" s="594" cm="1">
        <f t="array" ref="K55">IF(B55&gt;0,'Direct Costs 2026'!$C$26,"N/A")</f>
        <v>20000</v>
      </c>
      <c r="L55" s="594" cm="1">
        <f t="array" ref="L55">IF(B55&gt;0,SUM('Direct Costs 2026'!$C$23:$C$24),"N/A")</f>
        <v>160000</v>
      </c>
      <c r="M55" s="594" cm="1">
        <f t="array" ref="M55">IF(B55&gt;0,'Direct Costs 2026'!$C$47*B55,"N/A")</f>
        <v>900000</v>
      </c>
      <c r="N55" s="594" cm="1">
        <f t="array" ref="N55">IF($B55&gt;0,'Direct Costs 2026'!$C$30,"N/A")</f>
        <v>440000</v>
      </c>
      <c r="O55" s="594" cm="1">
        <f t="array" ref="O55">IF($B55&gt;0,'Direct Costs 2026'!$C$31,"N/A")</f>
        <v>870000</v>
      </c>
      <c r="P55" s="594" cm="1">
        <f t="array" ref="P55">IF(B55&gt;0,'Direct Costs 2026'!$C$59*B55,"N/A")</f>
        <v>205000</v>
      </c>
      <c r="Q55" s="594" cm="1">
        <f t="array" ref="Q55">IF(B55&gt;0,_xlfn.IFERROR(VLOOKUP(C48,'Boats Data Sheet 2026'!$C$3:$I$57,7,0)*'Direct Costs 2026'!$C$36,"N/A"),"N/A")</f>
        <v>3325000</v>
      </c>
      <c r="R55" s="594" cm="1">
        <f t="array" ref="R55">IF(B55&gt;0,IF(OR(VLOOKUP(C48,'Boats Data Sheet 2026'!$C$3:$F$57,4,0)="Own",VLOOKUP(C48,'Boats Data Sheet 2026'!$C$3:$F$57,4,0)="Management"),('Direct Costs 2026'!$C$37+'Direct Costs 2026'!$C$39),"N/A"),"N/A")</f>
        <v>1112400</v>
      </c>
      <c r="S55" s="594" cm="1">
        <f t="array" ref="S55">_xlfn.IFERROR(IF(B55&gt;5,IF(B55&gt;11,IF(B55&gt;15,4,3),2),IF(B55=0,"N/A",1))*SUM('Direct Costs 2026'!$C$67:$C$68),"N/A")</f>
        <v>489600</v>
      </c>
      <c r="T55" s="594" cm="1">
        <f t="array" ref="T55">_xlfn.IFERROR('Direct Costs 2026'!$C$27*C55,"N/A")</f>
        <v>0</v>
      </c>
      <c r="U55" s="594" cm="1">
        <f t="array" ref="U55">_xlfn.IFERROR(C55+SUM(E55:T55),"N/A")</f>
        <v>9025833.33333333</v>
      </c>
      <c r="V55" s="424"/>
      <c r="W55" s="594" cm="1">
        <f t="array" ref="W55">IF(B55&gt;0,'Allocation OH and Target 2026'!$E$27,"N/A")</f>
        <v>2134447.30345641</v>
      </c>
      <c r="X55" s="594" cm="1">
        <f t="array" ref="X55">IF(B55&gt;0,'Allocation OH and Target 2026'!$E$28,"N/A")</f>
        <v>200042.323056976</v>
      </c>
      <c r="Y55" s="594" cm="1">
        <f t="array" ref="Y55">IF(B55&gt;0,VLOOKUP(C48,'Allocation OH and Target 2026'!$C$5:$T$23,17,0),"N/A")</f>
        <v>773816.669767442</v>
      </c>
      <c r="Z55" s="594" cm="1">
        <f t="array" ref="Z55">IF(B55&gt;0,VLOOKUP(C48,'Allocation OH and Target 2026'!$C$5:$T$23,18,0),"N/A")</f>
        <v>74410.9954528513</v>
      </c>
      <c r="AA55" s="594" cm="1">
        <f t="array" ref="AA55">_xlfn.IFERROR(B55*(X55+Z55),"N/A")</f>
        <v>1372266.59254914</v>
      </c>
      <c r="AB55" s="424"/>
      <c r="AC55" s="594" cm="1">
        <f t="array" ref="AC55">_xlfn.IFERROR(AA55+U55,"N/A")</f>
        <v>10398099.9258825</v>
      </c>
      <c r="AD55" s="594" cm="1">
        <f t="array" ref="AD55">_xlfn.IFERROR(AC55*0.5%,"N/A")</f>
        <v>51990.4996294125</v>
      </c>
      <c r="AE55" s="594" cm="1">
        <f t="array" ref="AE55">_xlfn.IFERROR(AC55*25%,"N/A")</f>
        <v>2599524.98147063</v>
      </c>
      <c r="AF55" s="596" cm="1">
        <f t="array" ref="AF55">IF(B55&gt;0,SUM(AC55:AE55),"N/A")</f>
        <v>13049615.4069825</v>
      </c>
      <c r="AG55" s="594" cm="1">
        <f t="array" ref="AG55">_xlfn.IFERROR(AF55/B55,"N/A")</f>
        <v>2609923.0813965</v>
      </c>
      <c r="AH55" s="424"/>
      <c r="AI55" t="str" s="604" cm="1">
        <f t="array" ref="AI55">IF(B55/VLOOKUP(C48,'Boats Data Sheet 2026'!$C$3:$H$57,6,0)&gt;VLOOKUP(C48,'Allocation OH and Target 2026'!$C$5:$J$23,8,0),IF(SUM(AJ50:AJ54)=0,AG55,"N/A"),"N/A")</f>
        <v>N/A</v>
      </c>
      <c r="AJ55" s="424" cm="1">
        <f t="array" ref="AJ55">IF(AI55="N/A",0,1)</f>
        <v>0</v>
      </c>
      <c r="AK55" t="str" s="595" cm="1">
        <f t="array" ref="AK55">IF(B55/VLOOKUP(C48,'Boats Data Sheet 2026'!$C$3:$H$57,6,0)&gt;VLOOKUP(C48,'Allocation OH and Target 2026'!$C$5:$J$23,8,0),IF(SUM(AJ50:AJ54)=0,U55/B55,"N/A"),"N/A")</f>
        <v>N/A</v>
      </c>
      <c r="AL55" s="424" cm="1">
        <f t="array" ref="AL55">IF(AK55="N/A",0,1)</f>
        <v>0</v>
      </c>
      <c r="AM55" t="str" s="605" cm="1">
        <f t="array" ref="AM55">IF(SUM(1250000+700000)*B55&lt;SUM(AC55:AD55),"NO GO","GO")</f>
        <v>NO GO</v>
      </c>
      <c r="AN55" s="424"/>
      <c r="AO55" s="594"/>
      <c r="AP55" s="594"/>
      <c r="AQ55" s="594"/>
      <c r="AR55" s="600"/>
      <c r="AS55" s="601" cm="1">
        <f t="array" ref="AS55">B55</f>
        <v>5</v>
      </c>
    </row>
    <row r="56" ht="16" customHeight="1">
      <c r="A56" s="12"/>
      <c r="B56" s="602" cm="1">
        <f t="array" ref="B56">IF(B55=0,0,IF(B55&lt;VLOOKUP(C48,'Boats Data Sheet 2026'!$C$3:$H$57,6,0),B55+1,0))</f>
        <v>6</v>
      </c>
      <c r="C56" s="594" cm="1">
        <f t="array" ref="C56">IF(B56&gt;0,IF(VLOOKUP(C48,'Boats Data Sheet 2026'!$C$3:$J$57,8,0)="N/A",0,VLOOKUP(C48,'Boats Data Sheet 2026'!$C$3:$J$57,8,0)),"N/A")</f>
        <v>0</v>
      </c>
      <c r="D56" s="603" cm="1">
        <f t="array" ref="D56">IF(B56&gt;7,2,IF(B56=0,"N/A",1))</f>
        <v>1</v>
      </c>
      <c r="E56" s="594" cm="1">
        <f t="array" ref="E56">_xlfn.IFERROR(SUM('Direct Costs 2026'!$C$4:$C$6)*D56,"N/A")</f>
        <v>975500</v>
      </c>
      <c r="F56" s="594" cm="1">
        <f t="array" ref="F56">_xlfn.IFERROR('Direct Costs 2026'!$C$43*B56,"N/A")</f>
        <v>36000</v>
      </c>
      <c r="G56" s="594" cm="1">
        <f t="array" ref="G56">IF(B56&gt;0,'Direct Costs 2026'!$C$25,"N/A")</f>
        <v>90000</v>
      </c>
      <c r="H56" s="594" cm="1">
        <f t="array" ref="H56">IF(B56&gt;0,'Direct Costs 2026'!$C$19+'Direct Costs 2026'!$C$18*B56,"N/A")</f>
        <v>285000</v>
      </c>
      <c r="I56" s="594" cm="1">
        <f t="array" ref="I56">IF(B56&gt;0,SUM('Direct Costs 2026'!$C$20:$C$21),"N/A")</f>
        <v>98333.3333333333</v>
      </c>
      <c r="J56" s="594" cm="1">
        <f t="array" ref="J56">IF(B56&gt;0,'Direct Costs 2026'!$C$14,"N/A")</f>
        <v>60000</v>
      </c>
      <c r="K56" s="594" cm="1">
        <f t="array" ref="K56">IF(B56&gt;0,'Direct Costs 2026'!$C$26,"N/A")</f>
        <v>20000</v>
      </c>
      <c r="L56" s="594" cm="1">
        <f t="array" ref="L56">IF(B56&gt;0,SUM('Direct Costs 2026'!$C$23:$C$24),"N/A")</f>
        <v>160000</v>
      </c>
      <c r="M56" s="594" cm="1">
        <f t="array" ref="M56">IF(B56&gt;0,'Direct Costs 2026'!$C$47*B56,"N/A")</f>
        <v>1080000</v>
      </c>
      <c r="N56" s="594" cm="1">
        <f t="array" ref="N56">IF($B56&gt;0,'Direct Costs 2026'!$C$30,"N/A")</f>
        <v>440000</v>
      </c>
      <c r="O56" s="594" cm="1">
        <f t="array" ref="O56">IF($B56&gt;0,'Direct Costs 2026'!$C$31,"N/A")</f>
        <v>870000</v>
      </c>
      <c r="P56" s="594" cm="1">
        <f t="array" ref="P56">IF(B56&gt;0,'Direct Costs 2026'!$C$59*B56,"N/A")</f>
        <v>246000</v>
      </c>
      <c r="Q56" s="594" cm="1">
        <f t="array" ref="Q56">IF(B56&gt;0,_xlfn.IFERROR(VLOOKUP(C48,'Boats Data Sheet 2026'!$C$3:$I$57,7,0)*'Direct Costs 2026'!$C$36,"N/A"),"N/A")</f>
        <v>3325000</v>
      </c>
      <c r="R56" s="594" cm="1">
        <f t="array" ref="R56">IF(B56&gt;0,IF(OR(VLOOKUP(C48,'Boats Data Sheet 2026'!$C$3:$F$57,4,0)="Own",VLOOKUP(C48,'Boats Data Sheet 2026'!$C$3:$F$57,4,0)="Management"),('Direct Costs 2026'!$C$37+'Direct Costs 2026'!$C$39),"N/A"),"N/A")</f>
        <v>1112400</v>
      </c>
      <c r="S56" s="594" cm="1">
        <f t="array" ref="S56">_xlfn.IFERROR(IF(B56&gt;5,IF(B56&gt;11,IF(B56&gt;15,4,3),2),IF(B56=0,"N/A",1))*SUM('Direct Costs 2026'!$C$67:$C$68),"N/A")</f>
        <v>979200</v>
      </c>
      <c r="T56" s="594" cm="1">
        <f t="array" ref="T56">_xlfn.IFERROR('Direct Costs 2026'!$C$27*C56,"N/A")</f>
        <v>0</v>
      </c>
      <c r="U56" s="594" cm="1">
        <f t="array" ref="U56">_xlfn.IFERROR(C56+SUM(E56:T56),"N/A")</f>
        <v>9777433.33333333</v>
      </c>
      <c r="V56" s="424"/>
      <c r="W56" s="594" cm="1">
        <f t="array" ref="W56">IF(B56&gt;0,'Allocation OH and Target 2026'!$E$27,"N/A")</f>
        <v>2134447.30345641</v>
      </c>
      <c r="X56" s="594" cm="1">
        <f t="array" ref="X56">IF(B56&gt;0,'Allocation OH and Target 2026'!$E$28,"N/A")</f>
        <v>200042.323056976</v>
      </c>
      <c r="Y56" s="594" cm="1">
        <f t="array" ref="Y56">IF(B56&gt;0,VLOOKUP(C48,'Allocation OH and Target 2026'!$C$5:$T$23,17,0),"N/A")</f>
        <v>773816.669767442</v>
      </c>
      <c r="Z56" s="594" cm="1">
        <f t="array" ref="Z56">IF(B56&gt;0,VLOOKUP(C48,'Allocation OH and Target 2026'!$C$5:$T$23,18,0),"N/A")</f>
        <v>74410.9954528513</v>
      </c>
      <c r="AA56" s="594" cm="1">
        <f t="array" ref="AA56">_xlfn.IFERROR(B56*(X56+Z56),"N/A")</f>
        <v>1646719.91105896</v>
      </c>
      <c r="AB56" s="424"/>
      <c r="AC56" s="594" cm="1">
        <f t="array" ref="AC56">_xlfn.IFERROR(AA56+U56,"N/A")</f>
        <v>11424153.2443923</v>
      </c>
      <c r="AD56" s="594" cm="1">
        <f t="array" ref="AD56">_xlfn.IFERROR(AC56*0.5%,"N/A")</f>
        <v>57120.7662219615</v>
      </c>
      <c r="AE56" s="594" cm="1">
        <f t="array" ref="AE56">_xlfn.IFERROR(AC56*25%,"N/A")</f>
        <v>2856038.31109808</v>
      </c>
      <c r="AF56" s="596" cm="1">
        <f t="array" ref="AF56">IF(B56&gt;0,SUM(AC56:AE56),"N/A")</f>
        <v>14337312.3217123</v>
      </c>
      <c r="AG56" s="594" cm="1">
        <f t="array" ref="AG56">_xlfn.IFERROR(AF56/B56,"N/A")</f>
        <v>2389552.05361872</v>
      </c>
      <c r="AH56" s="424"/>
      <c r="AI56" t="str" s="604" cm="1">
        <f t="array" ref="AI56">IF(B56/VLOOKUP(C48,'Boats Data Sheet 2026'!$C$3:$H$57,6,0)&gt;VLOOKUP(C48,'Allocation OH and Target 2026'!$C$5:$J$23,8,0),IF(SUM(AJ50:AJ55)=0,AG56,"N/A"),"N/A")</f>
        <v>N/A</v>
      </c>
      <c r="AJ56" s="424" cm="1">
        <f t="array" ref="AJ56">IF(AI56="N/A",0,1)</f>
        <v>0</v>
      </c>
      <c r="AK56" t="str" s="595" cm="1">
        <f t="array" ref="AK56">IF(B56/VLOOKUP(C48,'Boats Data Sheet 2026'!$C$3:$H$57,6,0)&gt;VLOOKUP(C48,'Allocation OH and Target 2026'!$C$5:$J$23,8,0),IF(SUM(AJ50:AJ55)=0,U56/B56,"N/A"),"N/A")</f>
        <v>N/A</v>
      </c>
      <c r="AL56" s="424" cm="1">
        <f t="array" ref="AL56">IF(AK56="N/A",0,1)</f>
        <v>0</v>
      </c>
      <c r="AM56" t="str" s="605" cm="1">
        <f t="array" ref="AM56">IF(SUM(1250000+700000)*B56&lt;SUM(AC56:AD56),"NO GO","GO")</f>
        <v>GO</v>
      </c>
      <c r="AN56" s="424"/>
      <c r="AO56" s="594"/>
      <c r="AP56" s="594"/>
      <c r="AQ56" s="594"/>
      <c r="AR56" s="600"/>
      <c r="AS56" s="601" cm="1">
        <f t="array" ref="AS56">B56</f>
        <v>6</v>
      </c>
    </row>
    <row r="57" ht="16" customHeight="1">
      <c r="A57" s="12"/>
      <c r="B57" s="602" cm="1">
        <f t="array" ref="B57">IF(B56=0,0,IF(B56&lt;VLOOKUP(C48,'Boats Data Sheet 2026'!$C$3:$H$57,6,0),B56+1,0))</f>
        <v>7</v>
      </c>
      <c r="C57" s="594" cm="1">
        <f t="array" ref="C57">IF(B57&gt;0,IF(VLOOKUP(C48,'Boats Data Sheet 2026'!$C$3:$J$57,8,0)="N/A",0,VLOOKUP(C48,'Boats Data Sheet 2026'!$C$3:$J$57,8,0)),"N/A")</f>
        <v>0</v>
      </c>
      <c r="D57" s="603" cm="1">
        <f t="array" ref="D57">IF(B57&gt;7,2,IF(B57=0,"N/A",1))</f>
        <v>1</v>
      </c>
      <c r="E57" s="594" cm="1">
        <f t="array" ref="E57">_xlfn.IFERROR(SUM('Direct Costs 2026'!$C$4:$C$6)*D57,"N/A")</f>
        <v>975500</v>
      </c>
      <c r="F57" s="594" cm="1">
        <f t="array" ref="F57">_xlfn.IFERROR('Direct Costs 2026'!$C$43*B57,"N/A")</f>
        <v>42000</v>
      </c>
      <c r="G57" s="594" cm="1">
        <f t="array" ref="G57">IF(B57&gt;0,'Direct Costs 2026'!$C$25,"N/A")</f>
        <v>90000</v>
      </c>
      <c r="H57" s="594" cm="1">
        <f t="array" ref="H57">IF(B57&gt;0,'Direct Costs 2026'!$C$19+'Direct Costs 2026'!$C$18*B57,"N/A")</f>
        <v>320000</v>
      </c>
      <c r="I57" s="594" cm="1">
        <f t="array" ref="I57">IF(B57&gt;0,SUM('Direct Costs 2026'!$C$20:$C$21),"N/A")</f>
        <v>98333.3333333333</v>
      </c>
      <c r="J57" s="594" cm="1">
        <f t="array" ref="J57">IF(B57&gt;0,'Direct Costs 2026'!$C$14,"N/A")</f>
        <v>60000</v>
      </c>
      <c r="K57" s="594" cm="1">
        <f t="array" ref="K57">IF(B57&gt;0,'Direct Costs 2026'!$C$26,"N/A")</f>
        <v>20000</v>
      </c>
      <c r="L57" s="594" cm="1">
        <f t="array" ref="L57">IF(B57&gt;0,SUM('Direct Costs 2026'!$C$23:$C$24),"N/A")</f>
        <v>160000</v>
      </c>
      <c r="M57" s="594" cm="1">
        <f t="array" ref="M57">IF(B57&gt;0,'Direct Costs 2026'!$C$47*B57,"N/A")</f>
        <v>1260000</v>
      </c>
      <c r="N57" s="594" cm="1">
        <f t="array" ref="N57">IF($B57&gt;0,'Direct Costs 2026'!$C$30,"N/A")</f>
        <v>440000</v>
      </c>
      <c r="O57" s="594" cm="1">
        <f t="array" ref="O57">IF($B57&gt;0,'Direct Costs 2026'!$C$31,"N/A")</f>
        <v>870000</v>
      </c>
      <c r="P57" s="594" cm="1">
        <f t="array" ref="P57">IF(B57&gt;0,'Direct Costs 2026'!$C$59*B57,"N/A")</f>
        <v>287000</v>
      </c>
      <c r="Q57" s="594" cm="1">
        <f t="array" ref="Q57">IF(B57&gt;0,_xlfn.IFERROR(VLOOKUP(C48,'Boats Data Sheet 2026'!$C$3:$I$57,7,0)*'Direct Costs 2026'!$C$36,"N/A"),"N/A")</f>
        <v>3325000</v>
      </c>
      <c r="R57" s="594" cm="1">
        <f t="array" ref="R57">IF(B57&gt;0,IF(OR(VLOOKUP(C48,'Boats Data Sheet 2026'!$C$3:$F$57,4,0)="Own",VLOOKUP(C48,'Boats Data Sheet 2026'!$C$3:$F$57,4,0)="Management"),('Direct Costs 2026'!$C$37+'Direct Costs 2026'!$C$39),"N/A"),"N/A")</f>
        <v>1112400</v>
      </c>
      <c r="S57" s="594" cm="1">
        <f t="array" ref="S57">_xlfn.IFERROR(IF(B57&gt;5,IF(B57&gt;11,IF(B57&gt;15,4,3),2),IF(B57=0,"N/A",1))*SUM('Direct Costs 2026'!$C$67:$C$68),"N/A")</f>
        <v>979200</v>
      </c>
      <c r="T57" s="594" cm="1">
        <f t="array" ref="T57">_xlfn.IFERROR('Direct Costs 2026'!$C$27*C57,"N/A")</f>
        <v>0</v>
      </c>
      <c r="U57" s="594" cm="1">
        <f t="array" ref="U57">_xlfn.IFERROR(C57+SUM(E57:T57),"N/A")</f>
        <v>10039433.3333333</v>
      </c>
      <c r="V57" s="424"/>
      <c r="W57" s="594" cm="1">
        <f t="array" ref="W57">IF(B57&gt;0,'Allocation OH and Target 2026'!$E$27,"N/A")</f>
        <v>2134447.30345641</v>
      </c>
      <c r="X57" s="594" cm="1">
        <f t="array" ref="X57">IF(B57&gt;0,'Allocation OH and Target 2026'!$E$28,"N/A")</f>
        <v>200042.323056976</v>
      </c>
      <c r="Y57" s="594" cm="1">
        <f t="array" ref="Y57">IF(B57&gt;0,VLOOKUP(C48,'Allocation OH and Target 2026'!$C$5:$T$23,17,0),"N/A")</f>
        <v>773816.669767442</v>
      </c>
      <c r="Z57" s="594" cm="1">
        <f t="array" ref="Z57">IF(B57&gt;0,VLOOKUP(C48,'Allocation OH and Target 2026'!$C$5:$T$23,18,0),"N/A")</f>
        <v>74410.9954528513</v>
      </c>
      <c r="AA57" s="594" cm="1">
        <f t="array" ref="AA57">_xlfn.IFERROR(B57*(X57+Z57),"N/A")</f>
        <v>1921173.22956879</v>
      </c>
      <c r="AB57" s="424"/>
      <c r="AC57" s="594" cm="1">
        <f t="array" ref="AC57">_xlfn.IFERROR(AA57+U57,"N/A")</f>
        <v>11960606.5629021</v>
      </c>
      <c r="AD57" s="594" cm="1">
        <f t="array" ref="AD57">_xlfn.IFERROR(AC57*0.5%,"N/A")</f>
        <v>59803.0328145105</v>
      </c>
      <c r="AE57" s="594" cm="1">
        <f t="array" ref="AE57">_xlfn.IFERROR(AC57*25%,"N/A")</f>
        <v>2990151.64072553</v>
      </c>
      <c r="AF57" s="596" cm="1">
        <f t="array" ref="AF57">IF(B57&gt;0,SUM(AC57:AE57),"N/A")</f>
        <v>15010561.2364421</v>
      </c>
      <c r="AG57" s="594" cm="1">
        <f t="array" ref="AG57">_xlfn.IFERROR(AF57/B57,"N/A")</f>
        <v>2144365.8909203</v>
      </c>
      <c r="AH57" s="424"/>
      <c r="AI57" t="str" s="604" cm="1">
        <f t="array" ref="AI57">IF(B57/VLOOKUP(C48,'Boats Data Sheet 2026'!$C$3:$H$57,6,0)&gt;VLOOKUP(C48,'Allocation OH and Target 2026'!$C$5:$J$23,8,0),IF(SUM(AJ50:AJ56)=0,AG57,"N/A"),"N/A")</f>
        <v>N/A</v>
      </c>
      <c r="AJ57" s="424" cm="1">
        <f t="array" ref="AJ57">IF(AI57="N/A",0,1)</f>
        <v>0</v>
      </c>
      <c r="AK57" t="str" s="595" cm="1">
        <f t="array" ref="AK57">IF(B57/VLOOKUP(C48,'Boats Data Sheet 2026'!$C$3:$H$57,6,0)&gt;VLOOKUP(C48,'Allocation OH and Target 2026'!$C$5:$J$23,8,0),IF(SUM(AJ50:AJ56)=0,U57/B57,"N/A"),"N/A")</f>
        <v>N/A</v>
      </c>
      <c r="AL57" s="424" cm="1">
        <f t="array" ref="AL57">IF(AK57="N/A",0,1)</f>
        <v>0</v>
      </c>
      <c r="AM57" t="str" s="605" cm="1">
        <f t="array" ref="AM57">IF(SUM(1250000+700000)*B57&lt;SUM(AC57:AD57),"NO GO","GO")</f>
        <v>GO</v>
      </c>
      <c r="AN57" s="424"/>
      <c r="AO57" s="594"/>
      <c r="AP57" s="594"/>
      <c r="AQ57" s="594"/>
      <c r="AR57" s="600"/>
      <c r="AS57" s="601" cm="1">
        <f t="array" ref="AS57">B57</f>
        <v>7</v>
      </c>
    </row>
    <row r="58" ht="16" customHeight="1">
      <c r="A58" s="12"/>
      <c r="B58" s="602" cm="1">
        <f t="array" ref="B58">IF(B57=0,0,IF(B57&lt;VLOOKUP(C48,'Boats Data Sheet 2026'!$C$3:$H$57,6,0),B57+1,0))</f>
        <v>8</v>
      </c>
      <c r="C58" s="594" cm="1">
        <f t="array" ref="C58">IF(B58&gt;0,IF(VLOOKUP(C48,'Boats Data Sheet 2026'!$C$3:$J$57,8,0)="N/A",0,VLOOKUP(C48,'Boats Data Sheet 2026'!$C$3:$J$57,8,0)),"N/A")</f>
        <v>0</v>
      </c>
      <c r="D58" s="603" cm="1">
        <f t="array" ref="D58">IF(B58&gt;7,2,IF(B58=0,"N/A",1))</f>
        <v>2</v>
      </c>
      <c r="E58" s="594" cm="1">
        <f t="array" ref="E58">_xlfn.IFERROR(SUM('Direct Costs 2026'!$C$4:$C$6)*D58,"N/A")</f>
        <v>1951000</v>
      </c>
      <c r="F58" s="594" cm="1">
        <f t="array" ref="F58">_xlfn.IFERROR('Direct Costs 2026'!$C$43*B58,"N/A")</f>
        <v>48000</v>
      </c>
      <c r="G58" s="594" cm="1">
        <f t="array" ref="G58">IF(B58&gt;0,'Direct Costs 2026'!$C$25,"N/A")</f>
        <v>90000</v>
      </c>
      <c r="H58" s="594" cm="1">
        <f t="array" ref="H58">IF(B58&gt;0,'Direct Costs 2026'!$C$19+'Direct Costs 2026'!$C$18*B58,"N/A")</f>
        <v>355000</v>
      </c>
      <c r="I58" s="594" cm="1">
        <f t="array" ref="I58">IF(B58&gt;0,SUM('Direct Costs 2026'!$C$20:$C$21),"N/A")</f>
        <v>98333.3333333333</v>
      </c>
      <c r="J58" s="594" cm="1">
        <f t="array" ref="J58">IF(B58&gt;0,'Direct Costs 2026'!$C$14,"N/A")</f>
        <v>60000</v>
      </c>
      <c r="K58" s="594" cm="1">
        <f t="array" ref="K58">IF(B58&gt;0,'Direct Costs 2026'!$C$26,"N/A")</f>
        <v>20000</v>
      </c>
      <c r="L58" s="594" cm="1">
        <f t="array" ref="L58">IF(B58&gt;0,SUM('Direct Costs 2026'!$C$23:$C$24),"N/A")</f>
        <v>160000</v>
      </c>
      <c r="M58" s="594" cm="1">
        <f t="array" ref="M58">IF(B58&gt;0,'Direct Costs 2026'!$C$47*B58,"N/A")</f>
        <v>1440000</v>
      </c>
      <c r="N58" s="594" cm="1">
        <f t="array" ref="N58">IF($B58&gt;0,'Direct Costs 2026'!$C$30,"N/A")</f>
        <v>440000</v>
      </c>
      <c r="O58" s="594" cm="1">
        <f t="array" ref="O58">IF($B58&gt;0,'Direct Costs 2026'!$C$31,"N/A")</f>
        <v>870000</v>
      </c>
      <c r="P58" s="594" cm="1">
        <f t="array" ref="P58">IF(B58&gt;0,'Direct Costs 2026'!$C$59*B58,"N/A")</f>
        <v>328000</v>
      </c>
      <c r="Q58" s="594" cm="1">
        <f t="array" ref="Q58">IF(B58&gt;0,_xlfn.IFERROR(VLOOKUP(C48,'Boats Data Sheet 2026'!$C$3:$I$57,7,0)*'Direct Costs 2026'!$C$36,"N/A"),"N/A")</f>
        <v>3325000</v>
      </c>
      <c r="R58" s="594" cm="1">
        <f t="array" ref="R58">IF(B58&gt;0,IF(OR(VLOOKUP(C48,'Boats Data Sheet 2026'!$C$3:$F$57,4,0)="Own",VLOOKUP(C48,'Boats Data Sheet 2026'!$C$3:$F$57,4,0)="Management"),('Direct Costs 2026'!$C$37+'Direct Costs 2026'!$C$39),"N/A"),"N/A")</f>
        <v>1112400</v>
      </c>
      <c r="S58" s="594" cm="1">
        <f t="array" ref="S58">_xlfn.IFERROR(IF(B58&gt;5,IF(B58&gt;11,IF(B58&gt;15,4,3),2),IF(B58=0,"N/A",1))*SUM('Direct Costs 2026'!$C$67:$C$68),"N/A")</f>
        <v>979200</v>
      </c>
      <c r="T58" s="594" cm="1">
        <f t="array" ref="T58">_xlfn.IFERROR('Direct Costs 2026'!$C$27*C58,"N/A")</f>
        <v>0</v>
      </c>
      <c r="U58" s="594" cm="1">
        <f t="array" ref="U58">_xlfn.IFERROR(C58+SUM(E58:T58),"N/A")</f>
        <v>11276933.3333333</v>
      </c>
      <c r="V58" s="424"/>
      <c r="W58" s="594" cm="1">
        <f t="array" ref="W58">IF(B58&gt;0,'Allocation OH and Target 2026'!$E$27,"N/A")</f>
        <v>2134447.30345641</v>
      </c>
      <c r="X58" s="594" cm="1">
        <f t="array" ref="X58">IF(B58&gt;0,'Allocation OH and Target 2026'!$E$28,"N/A")</f>
        <v>200042.323056976</v>
      </c>
      <c r="Y58" s="594" cm="1">
        <f t="array" ref="Y58">IF(B58&gt;0,VLOOKUP(C48,'Allocation OH and Target 2026'!$C$5:$T$23,17,0),"N/A")</f>
        <v>773816.669767442</v>
      </c>
      <c r="Z58" s="594" cm="1">
        <f t="array" ref="Z58">IF(B58&gt;0,VLOOKUP(C48,'Allocation OH and Target 2026'!$C$5:$T$23,18,0),"N/A")</f>
        <v>74410.9954528513</v>
      </c>
      <c r="AA58" s="594" cm="1">
        <f t="array" ref="AA58">_xlfn.IFERROR(B58*(X58+Z58),"N/A")</f>
        <v>2195626.54807862</v>
      </c>
      <c r="AB58" s="424"/>
      <c r="AC58" s="594" cm="1">
        <f t="array" ref="AC58">_xlfn.IFERROR(AA58+U58,"N/A")</f>
        <v>13472559.8814119</v>
      </c>
      <c r="AD58" s="594" cm="1">
        <f t="array" ref="AD58">_xlfn.IFERROR(AC58*0.5%,"N/A")</f>
        <v>67362.7994070595</v>
      </c>
      <c r="AE58" s="594" cm="1">
        <f t="array" ref="AE58">_xlfn.IFERROR(AC58*25%,"N/A")</f>
        <v>3368139.97035298</v>
      </c>
      <c r="AF58" s="596" cm="1">
        <f t="array" ref="AF58">IF(B58&gt;0,SUM(AC58:AE58),"N/A")</f>
        <v>16908062.6511719</v>
      </c>
      <c r="AG58" s="594" cm="1">
        <f t="array" ref="AG58">_xlfn.IFERROR(AF58/B58,"N/A")</f>
        <v>2113507.83139649</v>
      </c>
      <c r="AH58" s="424"/>
      <c r="AI58" t="str" s="604" cm="1">
        <f t="array" ref="AI58">IF(B58/VLOOKUP(C48,'Boats Data Sheet 2026'!$C$3:$H$57,6,0)&gt;VLOOKUP(C48,'Allocation OH and Target 2026'!$C$5:$J$23,8,0),IF(SUM(AJ50:AJ57)=0,AG58,"N/A"),"N/A")</f>
        <v>N/A</v>
      </c>
      <c r="AJ58" s="424" cm="1">
        <f t="array" ref="AJ58">IF(AI58="N/A",0,1)</f>
        <v>0</v>
      </c>
      <c r="AK58" t="str" s="595" cm="1">
        <f t="array" ref="AK58">IF(B58/VLOOKUP(C48,'Boats Data Sheet 2026'!$C$3:$H$57,6,0)&gt;VLOOKUP(C48,'Allocation OH and Target 2026'!$C$5:$J$23,8,0),IF(SUM(AJ50:AJ57)=0,U58/B58,"N/A"),"N/A")</f>
        <v>N/A</v>
      </c>
      <c r="AL58" s="424" cm="1">
        <f t="array" ref="AL58">IF(AK58="N/A",0,1)</f>
        <v>0</v>
      </c>
      <c r="AM58" t="str" s="605" cm="1">
        <f t="array" ref="AM58">IF(SUM(1250000+700000)*B58&lt;SUM(AC58:AD58),"NO GO","GO")</f>
        <v>GO</v>
      </c>
      <c r="AN58" s="424"/>
      <c r="AO58" s="594"/>
      <c r="AP58" s="594"/>
      <c r="AQ58" s="594"/>
      <c r="AR58" s="600"/>
      <c r="AS58" s="601" cm="1">
        <f t="array" ref="AS58">B58</f>
        <v>8</v>
      </c>
    </row>
    <row r="59" ht="16" customHeight="1">
      <c r="A59" s="12"/>
      <c r="B59" s="602" cm="1">
        <f t="array" ref="B59">IF(B58=0,0,IF(B58&lt;VLOOKUP(C48,'Boats Data Sheet 2026'!$C$3:$H$57,6,0),B58+1,0))</f>
        <v>9</v>
      </c>
      <c r="C59" s="594" cm="1">
        <f t="array" ref="C59">IF(B59&gt;0,IF(VLOOKUP(C48,'Boats Data Sheet 2026'!$C$3:$J$57,8,0)="N/A",0,VLOOKUP(C48,'Boats Data Sheet 2026'!$C$3:$J$57,8,0)),"N/A")</f>
        <v>0</v>
      </c>
      <c r="D59" s="603" cm="1">
        <f t="array" ref="D59">IF(B59&gt;7,2,IF(B59=0,"N/A",1))</f>
        <v>2</v>
      </c>
      <c r="E59" s="594" cm="1">
        <f t="array" ref="E59">_xlfn.IFERROR(SUM('Direct Costs 2026'!$C$4:$C$6)*D59,"N/A")</f>
        <v>1951000</v>
      </c>
      <c r="F59" s="594" cm="1">
        <f t="array" ref="F59">_xlfn.IFERROR('Direct Costs 2026'!$C$43*B59,"N/A")</f>
        <v>54000</v>
      </c>
      <c r="G59" s="594" cm="1">
        <f t="array" ref="G59">IF(B59&gt;0,'Direct Costs 2026'!$C$25,"N/A")</f>
        <v>90000</v>
      </c>
      <c r="H59" s="594" cm="1">
        <f t="array" ref="H59">IF(B59&gt;0,'Direct Costs 2026'!$C$19+'Direct Costs 2026'!$C$18*B59,"N/A")</f>
        <v>390000</v>
      </c>
      <c r="I59" s="594" cm="1">
        <f t="array" ref="I59">IF(B59&gt;0,SUM('Direct Costs 2026'!$C$20:$C$21),"N/A")</f>
        <v>98333.3333333333</v>
      </c>
      <c r="J59" s="594" cm="1">
        <f t="array" ref="J59">IF(B59&gt;0,'Direct Costs 2026'!$C$14,"N/A")</f>
        <v>60000</v>
      </c>
      <c r="K59" s="594" cm="1">
        <f t="array" ref="K59">IF(B59&gt;0,'Direct Costs 2026'!$C$26,"N/A")</f>
        <v>20000</v>
      </c>
      <c r="L59" s="594" cm="1">
        <f t="array" ref="L59">IF(B59&gt;0,SUM('Direct Costs 2026'!$C$23:$C$24),"N/A")</f>
        <v>160000</v>
      </c>
      <c r="M59" s="594" cm="1">
        <f t="array" ref="M59">IF(B59&gt;0,'Direct Costs 2026'!$C$47*B59,"N/A")</f>
        <v>1620000</v>
      </c>
      <c r="N59" s="594" cm="1">
        <f t="array" ref="N59">IF($B59&gt;0,'Direct Costs 2026'!$C$30,"N/A")</f>
        <v>440000</v>
      </c>
      <c r="O59" s="594" cm="1">
        <f t="array" ref="O59">IF($B59&gt;0,'Direct Costs 2026'!$C$31,"N/A")</f>
        <v>870000</v>
      </c>
      <c r="P59" s="594" cm="1">
        <f t="array" ref="P59">IF(B59&gt;0,'Direct Costs 2026'!$C$59*B59,"N/A")</f>
        <v>369000</v>
      </c>
      <c r="Q59" s="594" cm="1">
        <f t="array" ref="Q59">IF(B59&gt;0,_xlfn.IFERROR(VLOOKUP(C48,'Boats Data Sheet 2026'!$C$3:$I$57,7,0)*'Direct Costs 2026'!$C$36,"N/A"),"N/A")</f>
        <v>3325000</v>
      </c>
      <c r="R59" s="594" cm="1">
        <f t="array" ref="R59">IF(B59&gt;0,IF(OR(VLOOKUP(C48,'Boats Data Sheet 2026'!$C$3:$F$57,4,0)="Own",VLOOKUP(C48,'Boats Data Sheet 2026'!$C$3:$F$57,4,0)="Management"),('Direct Costs 2026'!$C$37+'Direct Costs 2026'!$C$39),"N/A"),"N/A")</f>
        <v>1112400</v>
      </c>
      <c r="S59" s="594" cm="1">
        <f t="array" ref="S59">_xlfn.IFERROR(IF(B59&gt;5,IF(B59&gt;11,IF(B59&gt;15,4,3),2),IF(B59=0,"N/A",1))*SUM('Direct Costs 2026'!$C$67:$C$68),"N/A")</f>
        <v>979200</v>
      </c>
      <c r="T59" s="594" cm="1">
        <f t="array" ref="T59">_xlfn.IFERROR('Direct Costs 2026'!$C$27*C59,"N/A")</f>
        <v>0</v>
      </c>
      <c r="U59" s="594" cm="1">
        <f t="array" ref="U59">_xlfn.IFERROR(C59+SUM(E59:T59),"N/A")</f>
        <v>11538933.3333333</v>
      </c>
      <c r="V59" s="424"/>
      <c r="W59" s="594" cm="1">
        <f t="array" ref="W59">IF(B59&gt;0,'Allocation OH and Target 2026'!$E$27,"N/A")</f>
        <v>2134447.30345641</v>
      </c>
      <c r="X59" s="594" cm="1">
        <f t="array" ref="X59">IF(B59&gt;0,'Allocation OH and Target 2026'!$E$28,"N/A")</f>
        <v>200042.323056976</v>
      </c>
      <c r="Y59" s="594" cm="1">
        <f t="array" ref="Y59">IF(B59&gt;0,VLOOKUP(C48,'Allocation OH and Target 2026'!$C$5:$T$23,17,0),"N/A")</f>
        <v>773816.669767442</v>
      </c>
      <c r="Z59" s="594" cm="1">
        <f t="array" ref="Z59">IF(B59&gt;0,VLOOKUP(C48,'Allocation OH and Target 2026'!$C$5:$T$23,18,0),"N/A")</f>
        <v>74410.9954528513</v>
      </c>
      <c r="AA59" s="594" cm="1">
        <f t="array" ref="AA59">_xlfn.IFERROR(B59*(X59+Z59),"N/A")</f>
        <v>2470079.86658845</v>
      </c>
      <c r="AB59" s="424"/>
      <c r="AC59" s="594" cm="1">
        <f t="array" ref="AC59">_xlfn.IFERROR(AA59+U59,"N/A")</f>
        <v>14009013.1999218</v>
      </c>
      <c r="AD59" s="594" cm="1">
        <f t="array" ref="AD59">_xlfn.IFERROR(AC59*0.5%,"N/A")</f>
        <v>70045.065999609</v>
      </c>
      <c r="AE59" s="594" cm="1">
        <f t="array" ref="AE59">_xlfn.IFERROR(AC59*25%,"N/A")</f>
        <v>3502253.29998045</v>
      </c>
      <c r="AF59" s="596" cm="1">
        <f t="array" ref="AF59">IF(B59&gt;0,SUM(AC59:AE59),"N/A")</f>
        <v>17581311.5659019</v>
      </c>
      <c r="AG59" s="594" cm="1">
        <f t="array" ref="AG59">_xlfn.IFERROR(AF59/B59,"N/A")</f>
        <v>1953479.06287799</v>
      </c>
      <c r="AH59" s="424"/>
      <c r="AI59" t="str" s="604" cm="1">
        <f t="array" ref="AI59">IF(B59/VLOOKUP(C48,'Boats Data Sheet 2026'!$C$3:$H$57,6,0)&gt;VLOOKUP(C48,'Allocation OH and Target 2026'!$C$5:$J$23,8,0),IF(SUM(AJ50:AJ58)=0,AG59,"N/A"),"N/A")</f>
        <v>N/A</v>
      </c>
      <c r="AJ59" s="424" cm="1">
        <f t="array" ref="AJ59">IF(AI59="N/A",0,1)</f>
        <v>0</v>
      </c>
      <c r="AK59" t="str" s="595" cm="1">
        <f t="array" ref="AK59">IF(B59/VLOOKUP(C48,'Boats Data Sheet 2026'!$C$3:$H$57,6,0)&gt;VLOOKUP(C48,'Allocation OH and Target 2026'!$C$5:$J$23,8,0),IF(SUM(AJ50:AJ58)=0,U59/B59,"N/A"),"N/A")</f>
        <v>N/A</v>
      </c>
      <c r="AL59" s="424" cm="1">
        <f t="array" ref="AL59">IF(AK59="N/A",0,1)</f>
        <v>0</v>
      </c>
      <c r="AM59" t="str" s="605" cm="1">
        <f t="array" ref="AM59">IF(SUM(1250000+700000)*B59&lt;SUM(AC59:AD59),"NO GO","GO")</f>
        <v>GO</v>
      </c>
      <c r="AN59" s="424"/>
      <c r="AO59" s="594"/>
      <c r="AP59" s="594"/>
      <c r="AQ59" s="594"/>
      <c r="AR59" s="600"/>
      <c r="AS59" s="601" cm="1">
        <f t="array" ref="AS59">B59</f>
        <v>9</v>
      </c>
    </row>
    <row r="60" ht="16" customHeight="1">
      <c r="A60" s="12"/>
      <c r="B60" s="602" cm="1">
        <f t="array" ref="B60">IF(B59=0,0,IF(B59&lt;VLOOKUP(C48,'Boats Data Sheet 2026'!$C$3:$H$57,6,0),B59+1,0))</f>
        <v>10</v>
      </c>
      <c r="C60" s="594" cm="1">
        <f t="array" ref="C60">IF(B60&gt;0,IF(VLOOKUP(C48,'Boats Data Sheet 2026'!$C$3:$J$57,8,0)="N/A",0,VLOOKUP(C48,'Boats Data Sheet 2026'!$C$3:$J$57,8,0)),"N/A")</f>
        <v>0</v>
      </c>
      <c r="D60" s="603" cm="1">
        <f t="array" ref="D60">IF(B60&gt;7,2,IF(B60=0,"N/A",1))</f>
        <v>2</v>
      </c>
      <c r="E60" s="594" cm="1">
        <f t="array" ref="E60">_xlfn.IFERROR(SUM('Direct Costs 2026'!$C$4:$C$6)*D60,"N/A")</f>
        <v>1951000</v>
      </c>
      <c r="F60" s="594" cm="1">
        <f t="array" ref="F60">_xlfn.IFERROR('Direct Costs 2026'!$C$43*B60,"N/A")</f>
        <v>60000</v>
      </c>
      <c r="G60" s="594" cm="1">
        <f t="array" ref="G60">IF(B60&gt;0,'Direct Costs 2026'!$C$25,"N/A")</f>
        <v>90000</v>
      </c>
      <c r="H60" s="594" cm="1">
        <f t="array" ref="H60">IF(B60&gt;0,'Direct Costs 2026'!$C$19+'Direct Costs 2026'!$C$18*B60,"N/A")</f>
        <v>425000</v>
      </c>
      <c r="I60" s="594" cm="1">
        <f t="array" ref="I60">IF(B60&gt;0,SUM('Direct Costs 2026'!$C$20:$C$21),"N/A")</f>
        <v>98333.3333333333</v>
      </c>
      <c r="J60" s="594" cm="1">
        <f t="array" ref="J60">IF(B60&gt;0,'Direct Costs 2026'!$C$14,"N/A")</f>
        <v>60000</v>
      </c>
      <c r="K60" s="594" cm="1">
        <f t="array" ref="K60">IF(B60&gt;0,'Direct Costs 2026'!$C$26,"N/A")</f>
        <v>20000</v>
      </c>
      <c r="L60" s="594" cm="1">
        <f t="array" ref="L60">IF(B60&gt;0,SUM('Direct Costs 2026'!$C$23:$C$24),"N/A")</f>
        <v>160000</v>
      </c>
      <c r="M60" s="594" cm="1">
        <f t="array" ref="M60">IF(B60&gt;0,'Direct Costs 2026'!$C$47*B60,"N/A")</f>
        <v>1800000</v>
      </c>
      <c r="N60" s="594" cm="1">
        <f t="array" ref="N60">IF($B60&gt;0,'Direct Costs 2026'!$C$30,"N/A")</f>
        <v>440000</v>
      </c>
      <c r="O60" s="594" cm="1">
        <f t="array" ref="O60">IF($B60&gt;0,'Direct Costs 2026'!$C$31,"N/A")</f>
        <v>870000</v>
      </c>
      <c r="P60" s="594" cm="1">
        <f t="array" ref="P60">IF(B60&gt;0,'Direct Costs 2026'!$C$59*B60,"N/A")</f>
        <v>410000</v>
      </c>
      <c r="Q60" s="594" cm="1">
        <f t="array" ref="Q60">IF(B60&gt;0,_xlfn.IFERROR(VLOOKUP(C48,'Boats Data Sheet 2026'!$C$3:$I$57,7,0)*'Direct Costs 2026'!$C$36,"N/A"),"N/A")</f>
        <v>3325000</v>
      </c>
      <c r="R60" s="594" cm="1">
        <f t="array" ref="R60">IF(B60&gt;0,IF(OR(VLOOKUP(C48,'Boats Data Sheet 2026'!$C$3:$F$57,4,0)="Own",VLOOKUP(C48,'Boats Data Sheet 2026'!$C$3:$F$57,4,0)="Management"),('Direct Costs 2026'!$C$37+'Direct Costs 2026'!$C$39),"N/A"),"N/A")</f>
        <v>1112400</v>
      </c>
      <c r="S60" s="594" cm="1">
        <f t="array" ref="S60">_xlfn.IFERROR(IF(B60&gt;5,IF(B60&gt;11,IF(B60&gt;15,4,3),2),IF(B60=0,"N/A",1))*SUM('Direct Costs 2026'!$C$67:$C$68),"N/A")</f>
        <v>979200</v>
      </c>
      <c r="T60" s="594" cm="1">
        <f t="array" ref="T60">_xlfn.IFERROR('Direct Costs 2026'!$C$27*C60,"N/A")</f>
        <v>0</v>
      </c>
      <c r="U60" s="594" cm="1">
        <f t="array" ref="U60">_xlfn.IFERROR(C60+SUM(E60:T60),"N/A")</f>
        <v>11800933.3333333</v>
      </c>
      <c r="V60" s="424"/>
      <c r="W60" s="594" cm="1">
        <f t="array" ref="W60">IF(B60&gt;0,'Allocation OH and Target 2026'!$E$27,"N/A")</f>
        <v>2134447.30345641</v>
      </c>
      <c r="X60" s="594" cm="1">
        <f t="array" ref="X60">IF(B60&gt;0,'Allocation OH and Target 2026'!$E$28,"N/A")</f>
        <v>200042.323056976</v>
      </c>
      <c r="Y60" s="594" cm="1">
        <f t="array" ref="Y60">IF(B60&gt;0,VLOOKUP(C48,'Allocation OH and Target 2026'!$C$5:$T$23,17,0),"N/A")</f>
        <v>773816.669767442</v>
      </c>
      <c r="Z60" s="594" cm="1">
        <f t="array" ref="Z60">IF(B60&gt;0,VLOOKUP(C48,'Allocation OH and Target 2026'!$C$5:$T$23,18,0),"N/A")</f>
        <v>74410.9954528513</v>
      </c>
      <c r="AA60" s="594" cm="1">
        <f t="array" ref="AA60">_xlfn.IFERROR(B60*(X60+Z60),"N/A")</f>
        <v>2744533.18509827</v>
      </c>
      <c r="AB60" s="424"/>
      <c r="AC60" s="594" cm="1">
        <f t="array" ref="AC60">_xlfn.IFERROR(AA60+U60,"N/A")</f>
        <v>14545466.5184316</v>
      </c>
      <c r="AD60" s="594" cm="1">
        <f t="array" ref="AD60">_xlfn.IFERROR(AC60*0.5%,"N/A")</f>
        <v>72727.332592158</v>
      </c>
      <c r="AE60" s="594" cm="1">
        <f t="array" ref="AE60">_xlfn.IFERROR(AC60*25%,"N/A")</f>
        <v>3636366.6296079</v>
      </c>
      <c r="AF60" s="596" cm="1">
        <f t="array" ref="AF60">IF(B60&gt;0,SUM(AC60:AE60),"N/A")</f>
        <v>18254560.4806317</v>
      </c>
      <c r="AG60" s="594" cm="1">
        <f t="array" ref="AG60">_xlfn.IFERROR(AF60/B60,"N/A")</f>
        <v>1825456.04806317</v>
      </c>
      <c r="AH60" s="424"/>
      <c r="AI60" t="str" s="604" cm="1">
        <f t="array" ref="AI60">IF(B60/VLOOKUP(C48,'Boats Data Sheet 2026'!$C$3:$H$57,6,0)&gt;VLOOKUP(C48,'Allocation OH and Target 2026'!$C$5:$J$23,8,0),IF(SUM(AJ50:AJ59)=0,AG60,"N/A"),"N/A")</f>
        <v>N/A</v>
      </c>
      <c r="AJ60" s="424" cm="1">
        <f t="array" ref="AJ60">IF(AI60="N/A",0,1)</f>
        <v>0</v>
      </c>
      <c r="AK60" t="str" s="595" cm="1">
        <f t="array" ref="AK60">IF(B60/VLOOKUP(C48,'Boats Data Sheet 2026'!$C$3:$H$57,6,0)&gt;VLOOKUP(C48,'Allocation OH and Target 2026'!$C$5:$J$23,8,0),IF(SUM(AJ50:AJ59)=0,U60/B60,"N/A"),"N/A")</f>
        <v>N/A</v>
      </c>
      <c r="AL60" s="424" cm="1">
        <f t="array" ref="AL60">IF(AK60="N/A",0,1)</f>
        <v>0</v>
      </c>
      <c r="AM60" t="str" s="605" cm="1">
        <f t="array" ref="AM60">IF(SUM(1250000+700000)*B60&lt;SUM(AC60:AD60),"NO GO","GO")</f>
        <v>GO</v>
      </c>
      <c r="AN60" s="424"/>
      <c r="AO60" s="594"/>
      <c r="AP60" s="594"/>
      <c r="AQ60" s="594"/>
      <c r="AR60" s="600"/>
      <c r="AS60" s="601" cm="1">
        <f t="array" ref="AS60">B60</f>
        <v>10</v>
      </c>
    </row>
    <row r="61" ht="16" customHeight="1">
      <c r="A61" s="12"/>
      <c r="B61" s="602" cm="1">
        <f t="array" ref="B61">IF(B60=0,0,IF(B60&lt;VLOOKUP(C48,'Boats Data Sheet 2026'!$C$3:$H$57,6,0),B60+1,0))</f>
        <v>11</v>
      </c>
      <c r="C61" s="594" cm="1">
        <f t="array" ref="C61">IF(B61&gt;0,IF(VLOOKUP(C48,'Boats Data Sheet 2026'!$C$3:$J$57,8,0)="N/A",0,VLOOKUP(C48,'Boats Data Sheet 2026'!$C$3:$J$57,8,0)),"N/A")</f>
        <v>0</v>
      </c>
      <c r="D61" s="603" cm="1">
        <f t="array" ref="D61">IF(B61&gt;7,2,IF(B61=0,"N/A",1))</f>
        <v>2</v>
      </c>
      <c r="E61" s="594" cm="1">
        <f t="array" ref="E61">_xlfn.IFERROR(SUM('Direct Costs 2026'!$C$4:$C$6)*D61,"N/A")</f>
        <v>1951000</v>
      </c>
      <c r="F61" s="594" cm="1">
        <f t="array" ref="F61">_xlfn.IFERROR('Direct Costs 2026'!$C$43*B61,"N/A")</f>
        <v>66000</v>
      </c>
      <c r="G61" s="594" cm="1">
        <f t="array" ref="G61">IF(B61&gt;0,'Direct Costs 2026'!$C$25,"N/A")</f>
        <v>90000</v>
      </c>
      <c r="H61" s="594" cm="1">
        <f t="array" ref="H61">IF(B61&gt;0,'Direct Costs 2026'!$C$19+'Direct Costs 2026'!$C$18*B61,"N/A")</f>
        <v>460000</v>
      </c>
      <c r="I61" s="594" cm="1">
        <f t="array" ref="I61">IF(B61&gt;0,SUM('Direct Costs 2026'!$C$20:$C$21),"N/A")</f>
        <v>98333.3333333333</v>
      </c>
      <c r="J61" s="594" cm="1">
        <f t="array" ref="J61">IF(B61&gt;0,'Direct Costs 2026'!$C$14,"N/A")</f>
        <v>60000</v>
      </c>
      <c r="K61" s="594" cm="1">
        <f t="array" ref="K61">IF(B61&gt;0,'Direct Costs 2026'!$C$26,"N/A")</f>
        <v>20000</v>
      </c>
      <c r="L61" s="594" cm="1">
        <f t="array" ref="L61">IF(B61&gt;0,SUM('Direct Costs 2026'!$C$23:$C$24),"N/A")</f>
        <v>160000</v>
      </c>
      <c r="M61" s="594" cm="1">
        <f t="array" ref="M61">IF(B61&gt;0,'Direct Costs 2026'!$C$47*B61,"N/A")</f>
        <v>1980000</v>
      </c>
      <c r="N61" s="594" cm="1">
        <f t="array" ref="N61">IF($B61&gt;0,'Direct Costs 2026'!$C$30,"N/A")</f>
        <v>440000</v>
      </c>
      <c r="O61" s="594" cm="1">
        <f t="array" ref="O61">IF($B61&gt;0,'Direct Costs 2026'!$C$31,"N/A")</f>
        <v>870000</v>
      </c>
      <c r="P61" s="594" cm="1">
        <f t="array" ref="P61">IF(B61&gt;0,'Direct Costs 2026'!$C$59*B61,"N/A")</f>
        <v>451000</v>
      </c>
      <c r="Q61" s="594" cm="1">
        <f t="array" ref="Q61">IF(B61&gt;0,_xlfn.IFERROR(VLOOKUP(C48,'Boats Data Sheet 2026'!$C$3:$I$57,7,0)*'Direct Costs 2026'!$C$36,"N/A"),"N/A")</f>
        <v>3325000</v>
      </c>
      <c r="R61" s="594" cm="1">
        <f t="array" ref="R61">IF(B61&gt;0,IF(OR(VLOOKUP(C48,'Boats Data Sheet 2026'!$C$3:$F$57,4,0)="Own",VLOOKUP(C48,'Boats Data Sheet 2026'!$C$3:$F$57,4,0)="Management"),('Direct Costs 2026'!$C$37+'Direct Costs 2026'!$C$39),"N/A"),"N/A")</f>
        <v>1112400</v>
      </c>
      <c r="S61" s="594" cm="1">
        <f t="array" ref="S61">_xlfn.IFERROR(IF(B61&gt;5,IF(B61&gt;11,IF(B61&gt;15,4,3),2),IF(B61=0,"N/A",1))*SUM('Direct Costs 2026'!$C$67:$C$68),"N/A")</f>
        <v>979200</v>
      </c>
      <c r="T61" s="594" cm="1">
        <f t="array" ref="T61">_xlfn.IFERROR('Direct Costs 2026'!$C$27*C61,"N/A")</f>
        <v>0</v>
      </c>
      <c r="U61" s="594" cm="1">
        <f t="array" ref="U61">_xlfn.IFERROR(C61+SUM(E61:T61),"N/A")</f>
        <v>12062933.3333333</v>
      </c>
      <c r="V61" s="424"/>
      <c r="W61" s="594" cm="1">
        <f t="array" ref="W61">IF(B61&gt;0,'Allocation OH and Target 2026'!$E$27,"N/A")</f>
        <v>2134447.30345641</v>
      </c>
      <c r="X61" s="594" cm="1">
        <f t="array" ref="X61">IF(B61&gt;0,'Allocation OH and Target 2026'!$E$28,"N/A")</f>
        <v>200042.323056976</v>
      </c>
      <c r="Y61" s="594" cm="1">
        <f t="array" ref="Y61">IF(B61&gt;0,VLOOKUP(C48,'Allocation OH and Target 2026'!$C$5:$T$23,17,0),"N/A")</f>
        <v>773816.669767442</v>
      </c>
      <c r="Z61" s="594" cm="1">
        <f t="array" ref="Z61">IF(B61&gt;0,VLOOKUP(C48,'Allocation OH and Target 2026'!$C$5:$T$23,18,0),"N/A")</f>
        <v>74410.9954528513</v>
      </c>
      <c r="AA61" s="594" cm="1">
        <f t="array" ref="AA61">_xlfn.IFERROR(B61*(X61+Z61),"N/A")</f>
        <v>3018986.5036081</v>
      </c>
      <c r="AB61" s="424"/>
      <c r="AC61" s="594" cm="1">
        <f t="array" ref="AC61">_xlfn.IFERROR(AA61+U61,"N/A")</f>
        <v>15081919.8369414</v>
      </c>
      <c r="AD61" s="594" cm="1">
        <f t="array" ref="AD61">_xlfn.IFERROR(AC61*0.5%,"N/A")</f>
        <v>75409.599184707</v>
      </c>
      <c r="AE61" s="594" cm="1">
        <f t="array" ref="AE61">_xlfn.IFERROR(AC61*25%,"N/A")</f>
        <v>3770479.95923535</v>
      </c>
      <c r="AF61" s="596" cm="1">
        <f t="array" ref="AF61">IF(B61&gt;0,SUM(AC61:AE61),"N/A")</f>
        <v>18927809.3953615</v>
      </c>
      <c r="AG61" s="594" cm="1">
        <f t="array" ref="AG61">_xlfn.IFERROR(AF61/B61,"N/A")</f>
        <v>1720709.94503286</v>
      </c>
      <c r="AH61" s="424"/>
      <c r="AI61" s="596" cm="1">
        <f t="array" ref="AI61">IF(B61/VLOOKUP(C48,'Boats Data Sheet 2026'!$C$3:$H$57,6,0)&gt;VLOOKUP(C48,'Allocation OH and Target 2026'!$C$5:$J$23,8,0),IF(SUM(AJ50:AJ60)=0,AG61,"N/A"),"N/A")</f>
        <v>1720709.94503286</v>
      </c>
      <c r="AJ61" s="424" cm="1">
        <f t="array" ref="AJ61">IF(AI61="N/A",0,1)</f>
        <v>1</v>
      </c>
      <c r="AK61" s="594" cm="1">
        <f t="array" ref="AK61">IF(B61/VLOOKUP(C48,'Boats Data Sheet 2026'!$C$3:$H$57,6,0)&gt;VLOOKUP(C48,'Allocation OH and Target 2026'!$C$5:$J$23,8,0),IF(SUM(AJ50:AJ60)=0,U61/B61,"N/A"),"N/A")</f>
        <v>1096630.3030303</v>
      </c>
      <c r="AL61" s="424" cm="1">
        <f t="array" ref="AL61">IF(AK61="N/A",0,1)</f>
        <v>1</v>
      </c>
      <c r="AM61" t="str" s="605" cm="1">
        <f t="array" ref="AM61">IF(SUM(1250000+700000)*B61&lt;SUM(AC61:AD61),"NO GO","GO")</f>
        <v>GO</v>
      </c>
      <c r="AN61" s="424"/>
      <c r="AO61" s="594"/>
      <c r="AP61" s="594"/>
      <c r="AQ61" s="594"/>
      <c r="AR61" s="600"/>
      <c r="AS61" s="601" cm="1">
        <f t="array" ref="AS61">B61</f>
        <v>11</v>
      </c>
    </row>
    <row r="62" ht="16" customHeight="1">
      <c r="A62" s="12"/>
      <c r="B62" s="602" cm="1">
        <f t="array" ref="B62">IF(B61=0,0,IF(B61&lt;VLOOKUP(C48,'Boats Data Sheet 2026'!$C$3:$H$57,6,0),B61+1,0))</f>
        <v>12</v>
      </c>
      <c r="C62" s="594" cm="1">
        <f t="array" ref="C62">IF(B62&gt;0,IF(VLOOKUP(C48,'Boats Data Sheet 2026'!$C$3:$J$57,8,0)="N/A",0,VLOOKUP(C48,'Boats Data Sheet 2026'!$C$3:$J$57,8,0)),"N/A")</f>
        <v>0</v>
      </c>
      <c r="D62" s="603" cm="1">
        <f t="array" ref="D62">IF(B62&gt;7,2,IF(B62=0,"N/A",1))</f>
        <v>2</v>
      </c>
      <c r="E62" s="594" cm="1">
        <f t="array" ref="E62">_xlfn.IFERROR(SUM('Direct Costs 2026'!$C$4:$C$6)*D62,"N/A")</f>
        <v>1951000</v>
      </c>
      <c r="F62" s="594" cm="1">
        <f t="array" ref="F62">_xlfn.IFERROR('Direct Costs 2026'!$C$43*B62,"N/A")</f>
        <v>72000</v>
      </c>
      <c r="G62" s="594" cm="1">
        <f t="array" ref="G62">IF(B62&gt;0,'Direct Costs 2026'!$C$25,"N/A")</f>
        <v>90000</v>
      </c>
      <c r="H62" s="594" cm="1">
        <f t="array" ref="H62">IF(B62&gt;0,'Direct Costs 2026'!$C$19+'Direct Costs 2026'!$C$18*B62,"N/A")</f>
        <v>495000</v>
      </c>
      <c r="I62" s="594" cm="1">
        <f t="array" ref="I62">IF(B62&gt;0,SUM('Direct Costs 2026'!$C$20:$C$21),"N/A")</f>
        <v>98333.3333333333</v>
      </c>
      <c r="J62" s="594" cm="1">
        <f t="array" ref="J62">IF(B62&gt;0,'Direct Costs 2026'!$C$14,"N/A")</f>
        <v>60000</v>
      </c>
      <c r="K62" s="594" cm="1">
        <f t="array" ref="K62">IF(B62&gt;0,'Direct Costs 2026'!$C$26,"N/A")</f>
        <v>20000</v>
      </c>
      <c r="L62" s="594" cm="1">
        <f t="array" ref="L62">IF(B62&gt;0,SUM('Direct Costs 2026'!$C$23:$C$24),"N/A")</f>
        <v>160000</v>
      </c>
      <c r="M62" s="594" cm="1">
        <f t="array" ref="M62">IF(B62&gt;0,'Direct Costs 2026'!$C$47*B62,"N/A")</f>
        <v>2160000</v>
      </c>
      <c r="N62" s="594" cm="1">
        <f t="array" ref="N62">IF($B62&gt;0,'Direct Costs 2026'!$C$30,"N/A")</f>
        <v>440000</v>
      </c>
      <c r="O62" s="594" cm="1">
        <f t="array" ref="O62">IF($B62&gt;0,'Direct Costs 2026'!$C$31,"N/A")</f>
        <v>870000</v>
      </c>
      <c r="P62" s="594" cm="1">
        <f t="array" ref="P62">IF(B62&gt;0,'Direct Costs 2026'!$C$59*B62,"N/A")</f>
        <v>492000</v>
      </c>
      <c r="Q62" s="594" cm="1">
        <f t="array" ref="Q62">IF(B62&gt;0,_xlfn.IFERROR(VLOOKUP(C48,'Boats Data Sheet 2026'!$C$3:$I$57,7,0)*'Direct Costs 2026'!$C$36,"N/A"),"N/A")</f>
        <v>3325000</v>
      </c>
      <c r="R62" s="594" cm="1">
        <f t="array" ref="R62">IF(B62&gt;0,IF(OR(VLOOKUP(C48,'Boats Data Sheet 2026'!$C$3:$F$57,4,0)="Own",VLOOKUP(C48,'Boats Data Sheet 2026'!$C$3:$F$57,4,0)="Management"),('Direct Costs 2026'!$C$37+'Direct Costs 2026'!$C$39),"N/A"),"N/A")</f>
        <v>1112400</v>
      </c>
      <c r="S62" s="594" cm="1">
        <f t="array" ref="S62">_xlfn.IFERROR(IF(B62&gt;5,IF(B62&gt;11,IF(B62&gt;15,4,3),2),IF(B62=0,"N/A",1))*SUM('Direct Costs 2026'!$C$67:$C$68),"N/A")</f>
        <v>1468800</v>
      </c>
      <c r="T62" s="594" cm="1">
        <f t="array" ref="T62">_xlfn.IFERROR('Direct Costs 2026'!$C$27*C62,"N/A")</f>
        <v>0</v>
      </c>
      <c r="U62" s="594" cm="1">
        <f t="array" ref="U62">_xlfn.IFERROR(C62+SUM(E62:T62),"N/A")</f>
        <v>12814533.3333333</v>
      </c>
      <c r="V62" s="424"/>
      <c r="W62" s="594" cm="1">
        <f t="array" ref="W62">IF(B62&gt;0,'Allocation OH and Target 2026'!$E$27,"N/A")</f>
        <v>2134447.30345641</v>
      </c>
      <c r="X62" s="594" cm="1">
        <f t="array" ref="X62">IF(B62&gt;0,'Allocation OH and Target 2026'!$E$28,"N/A")</f>
        <v>200042.323056976</v>
      </c>
      <c r="Y62" s="594" cm="1">
        <f t="array" ref="Y62">IF(B62&gt;0,VLOOKUP(C48,'Allocation OH and Target 2026'!$C$5:$T$23,17,0),"N/A")</f>
        <v>773816.669767442</v>
      </c>
      <c r="Z62" s="594" cm="1">
        <f t="array" ref="Z62">IF(B62&gt;0,VLOOKUP(C48,'Allocation OH and Target 2026'!$C$5:$T$23,18,0),"N/A")</f>
        <v>74410.9954528513</v>
      </c>
      <c r="AA62" s="594" cm="1">
        <f t="array" ref="AA62">_xlfn.IFERROR(B62*(X62+Z62),"N/A")</f>
        <v>3293439.82211793</v>
      </c>
      <c r="AB62" s="424"/>
      <c r="AC62" s="594" cm="1">
        <f t="array" ref="AC62">_xlfn.IFERROR(AA62+U62,"N/A")</f>
        <v>16107973.1554512</v>
      </c>
      <c r="AD62" s="594" cm="1">
        <f t="array" ref="AD62">_xlfn.IFERROR(AC62*0.5%,"N/A")</f>
        <v>80539.865777256</v>
      </c>
      <c r="AE62" s="594" cm="1">
        <f t="array" ref="AE62">_xlfn.IFERROR(AC62*25%,"N/A")</f>
        <v>4026993.2888628</v>
      </c>
      <c r="AF62" s="596" cm="1">
        <f t="array" ref="AF62">IF(B62&gt;0,SUM(AC62:AE62),"N/A")</f>
        <v>20215506.3100913</v>
      </c>
      <c r="AG62" s="594" cm="1">
        <f t="array" ref="AG62">_xlfn.IFERROR(AF62/B62,"N/A")</f>
        <v>1684625.52584094</v>
      </c>
      <c r="AH62" s="424"/>
      <c r="AI62" t="str" s="604" cm="1">
        <f t="array" ref="AI62">IF(B62/VLOOKUP(C48,'Boats Data Sheet 2026'!$C$3:$H$57,6,0)&gt;VLOOKUP(C48,'Allocation OH and Target 2026'!$C$5:$J$23,8,0),IF(SUM(AJ50:AJ61)=0,AG62,"N/A"),"N/A")</f>
        <v>N/A</v>
      </c>
      <c r="AJ62" s="424" cm="1">
        <f t="array" ref="AJ62">IF(AI62="N/A",0,1)</f>
        <v>0</v>
      </c>
      <c r="AK62" t="str" s="595" cm="1">
        <f t="array" ref="AK62">IF(B62/VLOOKUP(C48,'Boats Data Sheet 2026'!$C$3:$H$57,6,0)&gt;VLOOKUP(C48,'Allocation OH and Target 2026'!$C$5:$J$23,8,0),IF(SUM(AJ50:AJ61)=0,U62/B62,"N/A"),"N/A")</f>
        <v>N/A</v>
      </c>
      <c r="AL62" s="424" cm="1">
        <f t="array" ref="AL62">IF(AK62="N/A",0,1)</f>
        <v>0</v>
      </c>
      <c r="AM62" t="str" s="605" cm="1">
        <f t="array" ref="AM62">IF(SUM(1250000+700000)*B62&lt;SUM(AC62:AD62),"NO GO","GO")</f>
        <v>GO</v>
      </c>
      <c r="AN62" s="424"/>
      <c r="AO62" s="594"/>
      <c r="AP62" s="594"/>
      <c r="AQ62" s="594"/>
      <c r="AR62" s="600"/>
      <c r="AS62" s="601" cm="1">
        <f t="array" ref="AS62">B62</f>
        <v>12</v>
      </c>
    </row>
    <row r="63" ht="16" customHeight="1">
      <c r="A63" s="12"/>
      <c r="B63" s="602" cm="1">
        <f t="array" ref="B63">IF(B62=0,0,IF(B62&lt;VLOOKUP(C48,'Boats Data Sheet 2026'!$C$3:$H$57,6,0),B62+1,0))</f>
        <v>13</v>
      </c>
      <c r="C63" s="594" cm="1">
        <f t="array" ref="C63">IF(B63&gt;0,IF(VLOOKUP(C48,'Boats Data Sheet 2026'!$C$3:$J$57,8,0)="N/A",0,VLOOKUP(C48,'Boats Data Sheet 2026'!$C$3:$J$57,8,0)),"N/A")</f>
        <v>0</v>
      </c>
      <c r="D63" s="603" cm="1">
        <f t="array" ref="D63">IF(B63&gt;7,2,IF(B63=0,"N/A",1))</f>
        <v>2</v>
      </c>
      <c r="E63" s="594" cm="1">
        <f t="array" ref="E63">_xlfn.IFERROR(SUM('Direct Costs 2026'!$C$4:$C$6)*D63,"N/A")</f>
        <v>1951000</v>
      </c>
      <c r="F63" s="594" cm="1">
        <f t="array" ref="F63">_xlfn.IFERROR('Direct Costs 2026'!$C$43*B63,"N/A")</f>
        <v>78000</v>
      </c>
      <c r="G63" s="594" cm="1">
        <f t="array" ref="G63">IF(B63&gt;0,'Direct Costs 2026'!$C$25,"N/A")</f>
        <v>90000</v>
      </c>
      <c r="H63" s="594" cm="1">
        <f t="array" ref="H63">IF(B63&gt;0,'Direct Costs 2026'!$C$19+'Direct Costs 2026'!$C$18*B63,"N/A")</f>
        <v>530000</v>
      </c>
      <c r="I63" s="594" cm="1">
        <f t="array" ref="I63">IF(B63&gt;0,SUM('Direct Costs 2026'!$C$20:$C$21),"N/A")</f>
        <v>98333.3333333333</v>
      </c>
      <c r="J63" s="594" cm="1">
        <f t="array" ref="J63">IF(B63&gt;0,'Direct Costs 2026'!$C$14,"N/A")</f>
        <v>60000</v>
      </c>
      <c r="K63" s="594" cm="1">
        <f t="array" ref="K63">IF(B63&gt;0,'Direct Costs 2026'!$C$26,"N/A")</f>
        <v>20000</v>
      </c>
      <c r="L63" s="594" cm="1">
        <f t="array" ref="L63">IF(B63&gt;0,SUM('Direct Costs 2026'!$C$23:$C$24),"N/A")</f>
        <v>160000</v>
      </c>
      <c r="M63" s="594" cm="1">
        <f t="array" ref="M63">IF(B63&gt;0,'Direct Costs 2026'!$C$47*B63,"N/A")</f>
        <v>2340000</v>
      </c>
      <c r="N63" s="594" cm="1">
        <f t="array" ref="N63">IF($B63&gt;0,'Direct Costs 2026'!$C$30,"N/A")</f>
        <v>440000</v>
      </c>
      <c r="O63" s="594" cm="1">
        <f t="array" ref="O63">IF($B63&gt;0,'Direct Costs 2026'!$C$31,"N/A")</f>
        <v>870000</v>
      </c>
      <c r="P63" s="594" cm="1">
        <f t="array" ref="P63">IF(B63&gt;0,'Direct Costs 2026'!$C$59*B63,"N/A")</f>
        <v>533000</v>
      </c>
      <c r="Q63" s="594" cm="1">
        <f t="array" ref="Q63">IF(B63&gt;0,_xlfn.IFERROR(VLOOKUP(C48,'Boats Data Sheet 2026'!$C$3:$I$57,7,0)*'Direct Costs 2026'!$C$36,"N/A"),"N/A")</f>
        <v>3325000</v>
      </c>
      <c r="R63" s="594" cm="1">
        <f t="array" ref="R63">IF(B63&gt;0,IF(OR(VLOOKUP(C48,'Boats Data Sheet 2026'!$C$3:$F$57,4,0)="Own",VLOOKUP(C48,'Boats Data Sheet 2026'!$C$3:$F$57,4,0)="Management"),('Direct Costs 2026'!$C$37+'Direct Costs 2026'!$C$39),"N/A"),"N/A")</f>
        <v>1112400</v>
      </c>
      <c r="S63" s="594" cm="1">
        <f t="array" ref="S63">_xlfn.IFERROR(IF(B63&gt;5,IF(B63&gt;11,IF(B63&gt;15,4,3),2),IF(B63=0,"N/A",1))*SUM('Direct Costs 2026'!$C$67:$C$68),"N/A")</f>
        <v>1468800</v>
      </c>
      <c r="T63" s="594" cm="1">
        <f t="array" ref="T63">_xlfn.IFERROR('Direct Costs 2026'!$C$27*C63,"N/A")</f>
        <v>0</v>
      </c>
      <c r="U63" s="594" cm="1">
        <f t="array" ref="U63">_xlfn.IFERROR(C63+SUM(E63:T63),"N/A")</f>
        <v>13076533.3333333</v>
      </c>
      <c r="V63" s="424"/>
      <c r="W63" s="594" cm="1">
        <f t="array" ref="W63">IF(B63&gt;0,'Allocation OH and Target 2026'!$E$27,"N/A")</f>
        <v>2134447.30345641</v>
      </c>
      <c r="X63" s="594" cm="1">
        <f t="array" ref="X63">IF(B63&gt;0,'Allocation OH and Target 2026'!$E$28,"N/A")</f>
        <v>200042.323056976</v>
      </c>
      <c r="Y63" s="594" cm="1">
        <f t="array" ref="Y63">IF(B63&gt;0,VLOOKUP(C48,'Allocation OH and Target 2026'!$C$5:$T$23,17,0),"N/A")</f>
        <v>773816.669767442</v>
      </c>
      <c r="Z63" s="594" cm="1">
        <f t="array" ref="Z63">IF(B63&gt;0,VLOOKUP(C48,'Allocation OH and Target 2026'!$C$5:$T$23,18,0),"N/A")</f>
        <v>74410.9954528513</v>
      </c>
      <c r="AA63" s="594" cm="1">
        <f t="array" ref="AA63">_xlfn.IFERROR(B63*(X63+Z63),"N/A")</f>
        <v>3567893.14062775</v>
      </c>
      <c r="AB63" s="424"/>
      <c r="AC63" s="594" cm="1">
        <f t="array" ref="AC63">_xlfn.IFERROR(AA63+U63,"N/A")</f>
        <v>16644426.4739611</v>
      </c>
      <c r="AD63" s="594" cm="1">
        <f t="array" ref="AD63">_xlfn.IFERROR(AC63*0.5%,"N/A")</f>
        <v>83222.132369805506</v>
      </c>
      <c r="AE63" s="594" cm="1">
        <f t="array" ref="AE63">_xlfn.IFERROR(AC63*25%,"N/A")</f>
        <v>4161106.61849028</v>
      </c>
      <c r="AF63" s="596" cm="1">
        <f t="array" ref="AF63">IF(B63&gt;0,SUM(AC63:AE63),"N/A")</f>
        <v>20888755.2248212</v>
      </c>
      <c r="AG63" s="594" cm="1">
        <f t="array" ref="AG63">_xlfn.IFERROR(AF63/B63,"N/A")</f>
        <v>1606827.32498625</v>
      </c>
      <c r="AH63" s="424"/>
      <c r="AI63" t="str" s="604" cm="1">
        <f t="array" ref="AI63">IF(B63/VLOOKUP(C48,'Boats Data Sheet 2026'!$C$3:$H$57,6,0)&gt;VLOOKUP(C48,'Allocation OH and Target 2026'!$C$5:$J$23,8,0),IF(SUM(AJ50:AJ62)=0,AG63,"N/A"),"N/A")</f>
        <v>N/A</v>
      </c>
      <c r="AJ63" s="424" cm="1">
        <f t="array" ref="AJ63">IF(AI63="N/A",0,1)</f>
        <v>0</v>
      </c>
      <c r="AK63" t="str" s="595" cm="1">
        <f t="array" ref="AK63">IF(B63/VLOOKUP(C48,'Boats Data Sheet 2026'!$C$3:$H$57,6,0)&gt;VLOOKUP(C48,'Allocation OH and Target 2026'!$C$5:$J$23,8,0),IF(SUM(AJ50:AJ62)=0,U63/B63,"N/A"),"N/A")</f>
        <v>N/A</v>
      </c>
      <c r="AL63" s="424" cm="1">
        <f t="array" ref="AL63">IF(AK63="N/A",0,1)</f>
        <v>0</v>
      </c>
      <c r="AM63" t="str" s="605" cm="1">
        <f t="array" ref="AM63">IF(SUM(1250000+700000)*B63&lt;SUM(AC63:AD63),"NO GO","GO")</f>
        <v>GO</v>
      </c>
      <c r="AN63" s="424"/>
      <c r="AO63" s="594"/>
      <c r="AP63" s="594"/>
      <c r="AQ63" s="594"/>
      <c r="AR63" s="600"/>
      <c r="AS63" s="601" cm="1">
        <f t="array" ref="AS63">B63</f>
        <v>13</v>
      </c>
    </row>
    <row r="64" ht="16" customHeight="1">
      <c r="A64" s="12"/>
      <c r="B64" s="602" cm="1">
        <f t="array" ref="B64">IF(B63=0,0,IF(B63&lt;VLOOKUP(C48,'Boats Data Sheet 2026'!$C$3:$H$57,6,0),B63+1,0))</f>
        <v>0</v>
      </c>
      <c r="C64" t="str" s="595" cm="1">
        <f t="array" ref="C64">IF(B64&gt;0,IF(VLOOKUP(C48,'Boats Data Sheet 2026'!$C$3:$J$57,8,0)="N/A",0,VLOOKUP(C48,'Boats Data Sheet 2026'!$C$3:$J$57,8,0)),"N/A")</f>
        <v>N/A</v>
      </c>
      <c r="D64" t="str" s="595" cm="1">
        <f t="array" ref="D64">IF(B64&gt;7,2,IF(B64=0,"N/A",1))</f>
        <v>N/A</v>
      </c>
      <c r="E64" t="str" s="595" cm="1">
        <f t="array" ref="E64">_xlfn.IFERROR(SUM('Direct Costs 2026'!$C$4:$C$6)*D64,"N/A")</f>
        <v>N/A</v>
      </c>
      <c r="F64" s="594" cm="1">
        <f t="array" ref="F64">_xlfn.IFERROR('Direct Costs 2026'!$C$43*B64,"N/A")</f>
        <v>0</v>
      </c>
      <c r="G64" t="str" s="595" cm="1">
        <f t="array" ref="G64">IF(B64&gt;0,'Direct Costs 2026'!$C$25,"N/A")</f>
        <v>N/A</v>
      </c>
      <c r="H64" t="str" s="595" cm="1">
        <f t="array" ref="H64">IF(B64&gt;0,'Direct Costs 2026'!$C$19+'Direct Costs 2026'!$C$18*B64,"N/A")</f>
        <v>N/A</v>
      </c>
      <c r="I64" t="str" s="595" cm="1">
        <f t="array" ref="I64">IF(B64&gt;0,SUM('Direct Costs 2026'!$C$20:$C$21),"N/A")</f>
        <v>N/A</v>
      </c>
      <c r="J64" t="str" s="595" cm="1">
        <f t="array" ref="J64">IF(B64&gt;0,'Direct Costs 2026'!$C$14,"N/A")</f>
        <v>N/A</v>
      </c>
      <c r="K64" t="str" s="595" cm="1">
        <f t="array" ref="K64">IF(B64&gt;0,'Direct Costs 2026'!$C$26,"N/A")</f>
        <v>N/A</v>
      </c>
      <c r="L64" t="str" s="595" cm="1">
        <f t="array" ref="L64">IF(B64&gt;0,SUM('Direct Costs 2026'!$C$23:$C$24),"N/A")</f>
        <v>N/A</v>
      </c>
      <c r="M64" t="str" s="595" cm="1">
        <f t="array" ref="M64">IF(B64&gt;0,'Direct Costs 2026'!$C$47*B64,"N/A")</f>
        <v>N/A</v>
      </c>
      <c r="N64" t="str" s="595" cm="1">
        <f t="array" ref="N64">IF($B64&gt;0,'Direct Costs 2026'!$C$30,"N/A")</f>
        <v>N/A</v>
      </c>
      <c r="O64" t="str" s="595" cm="1">
        <f t="array" ref="O64">IF($B64&gt;0,'Direct Costs 2026'!$C$31,"N/A")</f>
        <v>N/A</v>
      </c>
      <c r="P64" t="str" s="595" cm="1">
        <f t="array" ref="P64">IF(B64&gt;0,'Direct Costs 2026'!$C$59*B64,"N/A")</f>
        <v>N/A</v>
      </c>
      <c r="Q64" t="str" s="595" cm="1">
        <f t="array" ref="Q64">IF(B64&gt;0,_xlfn.IFERROR(VLOOKUP(C48,'Boats Data Sheet 2026'!$C$3:$I$57,7,0)*'Direct Costs 2026'!$C$36,"N/A"),"N/A")</f>
        <v>N/A</v>
      </c>
      <c r="R64" t="str" s="595" cm="1">
        <f t="array" ref="R64">IF(B64&gt;0,IF(OR(VLOOKUP(C48,'Boats Data Sheet 2026'!$C$3:$F$57,4,0)="Own",VLOOKUP(C48,'Boats Data Sheet 2026'!$C$3:$F$57,4,0)="Management"),('Direct Costs 2026'!$C$37+'Direct Costs 2026'!$C$39),"N/A"),"N/A")</f>
        <v>N/A</v>
      </c>
      <c r="S64" t="str" s="595" cm="1">
        <f t="array" ref="S64">_xlfn.IFERROR(IF(B64&gt;5,IF(B64&gt;11,IF(B64&gt;15,4,3),2),IF(B64=0,"N/A",1))*SUM('Direct Costs 2026'!$C$67:$C$68),"N/A")</f>
        <v>N/A</v>
      </c>
      <c r="T64" t="str" s="595" cm="1">
        <f t="array" ref="T64">_xlfn.IFERROR('Direct Costs 2026'!$C$27*C64,"N/A")</f>
        <v>N/A</v>
      </c>
      <c r="U64" t="str" s="595" cm="1">
        <f t="array" ref="U64">_xlfn.IFERROR(C64+SUM(E64:T64),"N/A")</f>
        <v>N/A</v>
      </c>
      <c r="V64" s="424"/>
      <c r="W64" t="str" s="595" cm="1">
        <f t="array" ref="W64">IF(B64&gt;0,'Allocation OH and Target 2026'!$E$27,"N/A")</f>
        <v>N/A</v>
      </c>
      <c r="X64" t="str" s="595" cm="1">
        <f t="array" ref="X64">IF(B64&gt;0,'Allocation OH and Target 2026'!$E$28,"N/A")</f>
        <v>N/A</v>
      </c>
      <c r="Y64" t="str" s="595" cm="1">
        <f t="array" ref="Y64">IF(B64&gt;0,VLOOKUP(C48,'Allocation OH and Target 2026'!$C$5:$T$23,17,0),"N/A")</f>
        <v>N/A</v>
      </c>
      <c r="Z64" t="str" s="595" cm="1">
        <f t="array" ref="Z64">IF(B64&gt;0,VLOOKUP(C48,'Allocation OH and Target 2026'!$C$5:$T$23,18,0),"N/A")</f>
        <v>N/A</v>
      </c>
      <c r="AA64" t="str" s="595" cm="1">
        <f t="array" ref="AA64">_xlfn.IFERROR(B64*(X64+Z64),"N/A")</f>
        <v>N/A</v>
      </c>
      <c r="AB64" s="424"/>
      <c r="AC64" t="str" s="595" cm="1">
        <f t="array" ref="AC64">_xlfn.IFERROR(AA64+U64,"N/A")</f>
        <v>N/A</v>
      </c>
      <c r="AD64" t="str" s="595" cm="1">
        <f t="array" ref="AD64">_xlfn.IFERROR(AC64*0.5%,"N/A")</f>
        <v>N/A</v>
      </c>
      <c r="AE64" t="str" s="595" cm="1">
        <f t="array" ref="AE64">_xlfn.IFERROR(AC64*25%,"N/A")</f>
        <v>N/A</v>
      </c>
      <c r="AF64" t="str" s="604" cm="1">
        <f t="array" ref="AF64">IF(B64&gt;0,SUM(AC64:AE64),"N/A")</f>
        <v>N/A</v>
      </c>
      <c r="AG64" t="str" s="595" cm="1">
        <f t="array" ref="AG64">_xlfn.IFERROR(AF64/B64,"N/A")</f>
        <v>N/A</v>
      </c>
      <c r="AH64" s="424"/>
      <c r="AI64" t="str" s="604" cm="1">
        <f t="array" ref="AI64">IF(B64/VLOOKUP(C48,'Boats Data Sheet 2026'!$C$3:$H$57,6,0)&gt;VLOOKUP(C48,'Allocation OH and Target 2026'!$C$5:$J$23,8,0),IF(SUM(AJ50:AJ63)=0,AG64,"N/A"),"N/A")</f>
        <v>N/A</v>
      </c>
      <c r="AJ64" s="424" cm="1">
        <f t="array" ref="AJ64">IF(AI64="N/A",0,1)</f>
        <v>0</v>
      </c>
      <c r="AK64" t="str" s="595" cm="1">
        <f t="array" ref="AK64">IF(B64/VLOOKUP(C48,'Boats Data Sheet 2026'!$C$3:$H$57,6,0)&gt;VLOOKUP(C48,'Allocation OH and Target 2026'!$C$5:$J$23,8,0),IF(SUM(AJ50:AJ63)=0,U64/B64,"N/A"),"N/A")</f>
        <v>N/A</v>
      </c>
      <c r="AL64" s="424" cm="1">
        <f t="array" ref="AL64">IF(AK64="N/A",0,1)</f>
        <v>0</v>
      </c>
      <c r="AM64" t="str" s="605" cm="1">
        <f t="array" ref="AM64">IF(SUM(1250000+700000)*B64&lt;SUM(AC64:AD64),"NO GO","GO")</f>
        <v>GO</v>
      </c>
      <c r="AN64" s="424"/>
      <c r="AO64" s="594"/>
      <c r="AP64" s="594"/>
      <c r="AQ64" s="594"/>
      <c r="AR64" s="600"/>
      <c r="AS64" s="601" cm="1">
        <f t="array" ref="AS64">B64</f>
        <v>0</v>
      </c>
    </row>
    <row r="65" ht="16" customHeight="1">
      <c r="A65" s="12"/>
      <c r="B65" s="602" cm="1">
        <f t="array" ref="B65">IF(B64=0,0,IF(B64&lt;VLOOKUP(C48,'Boats Data Sheet 2026'!$C$3:$H$57,6,0),B64+1,0))</f>
        <v>0</v>
      </c>
      <c r="C65" t="str" s="595" cm="1">
        <f t="array" ref="C65">IF(B65&gt;0,IF(VLOOKUP(C48,'Boats Data Sheet 2026'!$C$3:$J$57,8,0)="N/A",0,VLOOKUP(C48,'Boats Data Sheet 2026'!$C$3:$J$57,8,0)),"N/A")</f>
        <v>N/A</v>
      </c>
      <c r="D65" t="str" s="595" cm="1">
        <f t="array" ref="D65">IF(B65&gt;7,2,IF(B65=0,"N/A",1))</f>
        <v>N/A</v>
      </c>
      <c r="E65" t="str" s="595" cm="1">
        <f t="array" ref="E65">_xlfn.IFERROR(SUM('Direct Costs 2026'!$C$4:$C$6)*D65,"N/A")</f>
        <v>N/A</v>
      </c>
      <c r="F65" s="594" cm="1">
        <f t="array" ref="F65">_xlfn.IFERROR('Direct Costs 2026'!$C$43*B65,"N/A")</f>
        <v>0</v>
      </c>
      <c r="G65" t="str" s="595" cm="1">
        <f t="array" ref="G65">IF(B65&gt;0,'Direct Costs 2026'!$C$25,"N/A")</f>
        <v>N/A</v>
      </c>
      <c r="H65" t="str" s="595" cm="1">
        <f t="array" ref="H65">IF(B65&gt;0,'Direct Costs 2026'!$C$19+'Direct Costs 2026'!$C$18*B65,"N/A")</f>
        <v>N/A</v>
      </c>
      <c r="I65" t="str" s="595" cm="1">
        <f t="array" ref="I65">IF(B65&gt;0,SUM('Direct Costs 2026'!$C$20:$C$21),"N/A")</f>
        <v>N/A</v>
      </c>
      <c r="J65" t="str" s="595" cm="1">
        <f t="array" ref="J65">IF(B65&gt;0,'Direct Costs 2026'!$C$14,"N/A")</f>
        <v>N/A</v>
      </c>
      <c r="K65" t="str" s="595" cm="1">
        <f t="array" ref="K65">IF(B65&gt;0,'Direct Costs 2026'!$C$26,"N/A")</f>
        <v>N/A</v>
      </c>
      <c r="L65" t="str" s="595" cm="1">
        <f t="array" ref="L65">IF(B65&gt;0,SUM('Direct Costs 2026'!$C$23:$C$24),"N/A")</f>
        <v>N/A</v>
      </c>
      <c r="M65" t="str" s="595" cm="1">
        <f t="array" ref="M65">IF(B65&gt;0,'Direct Costs 2026'!$C$47*B65,"N/A")</f>
        <v>N/A</v>
      </c>
      <c r="N65" t="str" s="595" cm="1">
        <f t="array" ref="N65">IF($B65&gt;0,'Direct Costs 2026'!$C$30,"N/A")</f>
        <v>N/A</v>
      </c>
      <c r="O65" t="str" s="595" cm="1">
        <f t="array" ref="O65">IF($B65&gt;0,'Direct Costs 2026'!$C$31,"N/A")</f>
        <v>N/A</v>
      </c>
      <c r="P65" t="str" s="595" cm="1">
        <f t="array" ref="P65">IF(B65&gt;0,'Direct Costs 2026'!$C$59*B65,"N/A")</f>
        <v>N/A</v>
      </c>
      <c r="Q65" t="str" s="595" cm="1">
        <f t="array" ref="Q65">IF(B65&gt;0,_xlfn.IFERROR(VLOOKUP(C48,'Boats Data Sheet 2026'!$C$3:$I$57,7,0)*'Direct Costs 2026'!$C$36,"N/A"),"N/A")</f>
        <v>N/A</v>
      </c>
      <c r="R65" t="str" s="595" cm="1">
        <f t="array" ref="R65">IF(B65&gt;0,IF(OR(VLOOKUP(C48,'Boats Data Sheet 2026'!$C$3:$F$57,4,0)="Own",VLOOKUP(C48,'Boats Data Sheet 2026'!$C$3:$F$57,4,0)="Management"),('Direct Costs 2026'!$C$37+'Direct Costs 2026'!$C$39),"N/A"),"N/A")</f>
        <v>N/A</v>
      </c>
      <c r="S65" t="str" s="595" cm="1">
        <f t="array" ref="S65">_xlfn.IFERROR(IF(B65&gt;5,IF(B65&gt;11,IF(B65&gt;15,4,3),2),IF(B65=0,"N/A",1))*SUM('Direct Costs 2026'!$C$67:$C$68),"N/A")</f>
        <v>N/A</v>
      </c>
      <c r="T65" t="str" s="595" cm="1">
        <f t="array" ref="T65">_xlfn.IFERROR('Direct Costs 2026'!$C$27*C65,"N/A")</f>
        <v>N/A</v>
      </c>
      <c r="U65" t="str" s="595" cm="1">
        <f t="array" ref="U65">_xlfn.IFERROR(C65+SUM(E65:T65),"N/A")</f>
        <v>N/A</v>
      </c>
      <c r="V65" s="424"/>
      <c r="W65" t="str" s="595" cm="1">
        <f t="array" ref="W65">IF(B65&gt;0,'Allocation OH and Target 2026'!$E$27,"N/A")</f>
        <v>N/A</v>
      </c>
      <c r="X65" t="str" s="595" cm="1">
        <f t="array" ref="X65">IF(B65&gt;0,'Allocation OH and Target 2026'!$E$28,"N/A")</f>
        <v>N/A</v>
      </c>
      <c r="Y65" t="str" s="595" cm="1">
        <f t="array" ref="Y65">IF(B65&gt;0,VLOOKUP(C48,'Allocation OH and Target 2026'!$C$5:$T$23,17,0),"N/A")</f>
        <v>N/A</v>
      </c>
      <c r="Z65" t="str" s="595" cm="1">
        <f t="array" ref="Z65">IF(B65&gt;0,VLOOKUP(C48,'Allocation OH and Target 2026'!$C$5:$T$23,18,0),"N/A")</f>
        <v>N/A</v>
      </c>
      <c r="AA65" t="str" s="595" cm="1">
        <f t="array" ref="AA65">_xlfn.IFERROR(X65*B65+Z65,"N/A")</f>
        <v>N/A</v>
      </c>
      <c r="AB65" s="424"/>
      <c r="AC65" t="str" s="595" cm="1">
        <f t="array" ref="AC65">_xlfn.IFERROR(AA65+U65,"N/A")</f>
        <v>N/A</v>
      </c>
      <c r="AD65" t="str" s="595" cm="1">
        <f t="array" ref="AD65">_xlfn.IFERROR(AC65*0.5%,"N/A")</f>
        <v>N/A</v>
      </c>
      <c r="AE65" t="str" s="595" cm="1">
        <f t="array" ref="AE65">_xlfn.IFERROR(AC65*25%,"N/A")</f>
        <v>N/A</v>
      </c>
      <c r="AF65" t="str" s="604" cm="1">
        <f t="array" ref="AF65">IF(B65&gt;0,SUM(AC65:AE65),"N/A")</f>
        <v>N/A</v>
      </c>
      <c r="AG65" t="str" s="595" cm="1">
        <f t="array" ref="AG65">_xlfn.IFERROR(AF65/B65,"N/A")</f>
        <v>N/A</v>
      </c>
      <c r="AH65" s="424"/>
      <c r="AI65" t="str" s="604" cm="1">
        <f t="array" ref="AI65">IF(B65/VLOOKUP(C48,'Boats Data Sheet 2026'!$C$3:$H$57,6,0)&gt;VLOOKUP(C48,'Allocation OH and Target 2026'!$C$5:$J$23,8,0),IF(SUM(AJ50:AJ64)=0,AG65,"N/A"),"N/A")</f>
        <v>N/A</v>
      </c>
      <c r="AJ65" s="424" cm="1">
        <f t="array" ref="AJ65">IF(AI65="N/A",0,1)</f>
        <v>0</v>
      </c>
      <c r="AK65" t="str" s="595" cm="1">
        <f t="array" ref="AK65">IF(B65/VLOOKUP(C48,'Boats Data Sheet 2026'!$C$3:$H$57,6,0)&gt;VLOOKUP(C48,'Allocation OH and Target 2026'!$C$5:$J$23,8,0),IF(SUM(AJ50:AJ64)=0,U65/B65,"N/A"),"N/A")</f>
        <v>N/A</v>
      </c>
      <c r="AL65" s="424" cm="1">
        <f t="array" ref="AL65">IF(AK65="N/A",0,1)</f>
        <v>0</v>
      </c>
      <c r="AM65" t="str" s="605" cm="1">
        <f t="array" ref="AM65">IF(SUM(1250000+700000)*B65&lt;SUM(AC65:AD65),"NO GO","GO")</f>
        <v>GO</v>
      </c>
      <c r="AN65" s="424"/>
      <c r="AO65" s="594"/>
      <c r="AP65" s="594"/>
      <c r="AQ65" s="594"/>
      <c r="AR65" s="600"/>
      <c r="AS65" s="601" cm="1">
        <f t="array" ref="AS65">B65</f>
        <v>0</v>
      </c>
    </row>
    <row r="66" ht="16" customHeight="1">
      <c r="A66" s="12"/>
      <c r="B66" s="602" cm="1">
        <f t="array" ref="B66">IF(B65=0,0,IF(B65&lt;VLOOKUP(C48,'Boats Data Sheet 2026'!$C$3:$H$57,6,0),B65+1,0))</f>
        <v>0</v>
      </c>
      <c r="C66" t="str" s="595" cm="1">
        <f t="array" ref="C66">IF(B66&gt;0,IF(VLOOKUP(C48,'Boats Data Sheet 2026'!$C$3:$J$57,8,0)="N/A",0,VLOOKUP(C48,'Boats Data Sheet 2026'!$C$3:$J$57,8,0)),"N/A")</f>
        <v>N/A</v>
      </c>
      <c r="D66" t="str" s="595" cm="1">
        <f t="array" ref="D66">IF(B66&gt;7,2,IF(B66=0,"N/A",1))</f>
        <v>N/A</v>
      </c>
      <c r="E66" t="str" s="595" cm="1">
        <f t="array" ref="E66">_xlfn.IFERROR(SUM('Direct Costs 2026'!$C$4:$C$6)*D66,"N/A")</f>
        <v>N/A</v>
      </c>
      <c r="F66" s="594" cm="1">
        <f t="array" ref="F66">_xlfn.IFERROR('Direct Costs 2026'!$C$43*B66,"N/A")</f>
        <v>0</v>
      </c>
      <c r="G66" t="str" s="595" cm="1">
        <f t="array" ref="G66">IF(B66&gt;0,'Direct Costs 2026'!$C$25,"N/A")</f>
        <v>N/A</v>
      </c>
      <c r="H66" t="str" s="595" cm="1">
        <f t="array" ref="H66">IF(B66&gt;0,'Direct Costs 2026'!$C$19+'Direct Costs 2026'!$C$18*B66,"N/A")</f>
        <v>N/A</v>
      </c>
      <c r="I66" t="str" s="595" cm="1">
        <f t="array" ref="I66">IF(B66&gt;0,SUM('Direct Costs 2026'!$C$20:$C$21),"N/A")</f>
        <v>N/A</v>
      </c>
      <c r="J66" t="str" s="595" cm="1">
        <f t="array" ref="J66">IF(B66&gt;0,'Direct Costs 2026'!$C$14,"N/A")</f>
        <v>N/A</v>
      </c>
      <c r="K66" t="str" s="595" cm="1">
        <f t="array" ref="K66">IF(B66&gt;0,'Direct Costs 2026'!$C$26,"N/A")</f>
        <v>N/A</v>
      </c>
      <c r="L66" t="str" s="595" cm="1">
        <f t="array" ref="L66">IF(B66&gt;0,SUM('Direct Costs 2026'!$C$23:$C$24),"N/A")</f>
        <v>N/A</v>
      </c>
      <c r="M66" t="str" s="595" cm="1">
        <f t="array" ref="M66">IF(B66&gt;0,'Direct Costs 2026'!$C$47*B66,"N/A")</f>
        <v>N/A</v>
      </c>
      <c r="N66" t="str" s="595" cm="1">
        <f t="array" ref="N66">IF($B66&gt;0,'Direct Costs 2026'!$C$30,"N/A")</f>
        <v>N/A</v>
      </c>
      <c r="O66" t="str" s="595" cm="1">
        <f t="array" ref="O66">IF($B66&gt;0,'Direct Costs 2026'!$C$31,"N/A")</f>
        <v>N/A</v>
      </c>
      <c r="P66" t="str" s="595" cm="1">
        <f t="array" ref="P66">IF(B66&gt;0,'Direct Costs 2026'!$C$59*B66,"N/A")</f>
        <v>N/A</v>
      </c>
      <c r="Q66" t="str" s="595" cm="1">
        <f t="array" ref="Q66">IF(B66&gt;0,_xlfn.IFERROR(VLOOKUP(C48,'Boats Data Sheet 2026'!$C$3:$I$57,7,0)*'Direct Costs 2026'!$C$36,"N/A"),"N/A")</f>
        <v>N/A</v>
      </c>
      <c r="R66" t="str" s="595" cm="1">
        <f t="array" ref="R66">IF(B66&gt;0,IF(OR(VLOOKUP(C48,'Boats Data Sheet 2026'!$C$3:$F$57,4,0)="Own",VLOOKUP(C48,'Boats Data Sheet 2026'!$C$3:$F$57,4,0)="Management"),('Direct Costs 2026'!$C$37+'Direct Costs 2026'!$C$39),"N/A"),"N/A")</f>
        <v>N/A</v>
      </c>
      <c r="S66" t="str" s="595" cm="1">
        <f t="array" ref="S66">_xlfn.IFERROR(IF(B66&gt;5,IF(B66&gt;11,IF(B66&gt;15,4,3),2),IF(B66=0,"N/A",1))*SUM('Direct Costs 2026'!$C$67:$C$68),"N/A")</f>
        <v>N/A</v>
      </c>
      <c r="T66" t="str" s="595" cm="1">
        <f t="array" ref="T66">_xlfn.IFERROR('Direct Costs 2026'!$C$27*C66,"N/A")</f>
        <v>N/A</v>
      </c>
      <c r="U66" t="str" s="595" cm="1">
        <f t="array" ref="U66">_xlfn.IFERROR(C66+SUM(E66:T66),"N/A")</f>
        <v>N/A</v>
      </c>
      <c r="V66" s="424"/>
      <c r="W66" t="str" s="595" cm="1">
        <f t="array" ref="W66">IF(B66&gt;0,'Allocation OH and Target 2026'!$E$27,"N/A")</f>
        <v>N/A</v>
      </c>
      <c r="X66" t="str" s="595" cm="1">
        <f t="array" ref="X66">IF(B66&gt;0,'Allocation OH and Target 2026'!$E$28,"N/A")</f>
        <v>N/A</v>
      </c>
      <c r="Y66" t="str" s="595" cm="1">
        <f t="array" ref="Y66">IF(B66&gt;0,VLOOKUP(C48,'Allocation OH and Target 2026'!$C$5:$T$23,17,0),"N/A")</f>
        <v>N/A</v>
      </c>
      <c r="Z66" t="str" s="595" cm="1">
        <f t="array" ref="Z66">IF(B66&gt;0,VLOOKUP(C48,'Allocation OH and Target 2026'!$C$5:$T$23,18,0),"N/A")</f>
        <v>N/A</v>
      </c>
      <c r="AA66" t="str" s="595" cm="1">
        <f t="array" ref="AA66">_xlfn.IFERROR(X66*B66+Z66,"N/A")</f>
        <v>N/A</v>
      </c>
      <c r="AB66" s="424"/>
      <c r="AC66" t="str" s="595" cm="1">
        <f t="array" ref="AC66">_xlfn.IFERROR(AA66+U66,"N/A")</f>
        <v>N/A</v>
      </c>
      <c r="AD66" t="str" s="595" cm="1">
        <f t="array" ref="AD66">_xlfn.IFERROR(AC66*0.5%,"N/A")</f>
        <v>N/A</v>
      </c>
      <c r="AE66" t="str" s="595" cm="1">
        <f t="array" ref="AE66">_xlfn.IFERROR(AC66*25%,"N/A")</f>
        <v>N/A</v>
      </c>
      <c r="AF66" t="str" s="604" cm="1">
        <f t="array" ref="AF66">IF(B66&gt;0,SUM(AC66:AE66),"N/A")</f>
        <v>N/A</v>
      </c>
      <c r="AG66" t="str" s="595" cm="1">
        <f t="array" ref="AG66">_xlfn.IFERROR(AF66/B66,"N/A")</f>
        <v>N/A</v>
      </c>
      <c r="AH66" s="424"/>
      <c r="AI66" t="str" s="604" cm="1">
        <f t="array" ref="AI66">IF(B66/VLOOKUP(C48,'Boats Data Sheet 2026'!$C$3:$H$57,6,0)&gt;VLOOKUP(C48,'Allocation OH and Target 2026'!$C$5:$J$23,8,0),IF(SUM(AJ50:AJ65)=0,AG66,"N/A"),"N/A")</f>
        <v>N/A</v>
      </c>
      <c r="AJ66" s="424" cm="1">
        <f t="array" ref="AJ66">IF(AI66="N/A",0,1)</f>
        <v>0</v>
      </c>
      <c r="AK66" t="str" s="595" cm="1">
        <f t="array" ref="AK66">IF(B66/VLOOKUP(C48,'Boats Data Sheet 2026'!$C$3:$H$57,6,0)&gt;VLOOKUP(C48,'Allocation OH and Target 2026'!$C$5:$J$23,8,0),IF(SUM(AJ50:AJ65)=0,U66/B66,"N/A"),"N/A")</f>
        <v>N/A</v>
      </c>
      <c r="AL66" s="424" cm="1">
        <f t="array" ref="AL66">IF(AK66="N/A",0,1)</f>
        <v>0</v>
      </c>
      <c r="AM66" t="str" s="605" cm="1">
        <f t="array" ref="AM66">IF(SUM(1250000+700000)*B66&lt;SUM(AC66:AD66),"NO GO","GO")</f>
        <v>GO</v>
      </c>
      <c r="AN66" s="424"/>
      <c r="AO66" s="594"/>
      <c r="AP66" s="594"/>
      <c r="AQ66" s="594"/>
      <c r="AR66" s="600"/>
      <c r="AS66" s="601" cm="1">
        <f t="array" ref="AS66">B66</f>
        <v>0</v>
      </c>
    </row>
    <row r="67" ht="16" customHeight="1">
      <c r="A67" s="12"/>
      <c r="B67" s="602" cm="1">
        <f t="array" ref="B67">IF(B66=0,0,IF(B66&lt;VLOOKUP(C48,'Boats Data Sheet 2026'!$C$3:$H$57,6,0),B66+1,0))</f>
        <v>0</v>
      </c>
      <c r="C67" t="str" s="595" cm="1">
        <f t="array" ref="C67">IF(B67&gt;0,IF(VLOOKUP(C48,'Boats Data Sheet 2026'!$C$3:$J$57,8,0)="N/A",0,VLOOKUP(C48,'Boats Data Sheet 2026'!$C$3:$J$57,8,0)),"N/A")</f>
        <v>N/A</v>
      </c>
      <c r="D67" t="str" s="595" cm="1">
        <f t="array" ref="D67">IF(B67&gt;7,2,IF(B67=0,"N/A",1))</f>
        <v>N/A</v>
      </c>
      <c r="E67" t="str" s="595" cm="1">
        <f t="array" ref="E67">_xlfn.IFERROR(SUM('Direct Costs 2026'!$C$4:$C$6)*D67,"N/A")</f>
        <v>N/A</v>
      </c>
      <c r="F67" s="594" cm="1">
        <f t="array" ref="F67">_xlfn.IFERROR('Direct Costs 2026'!$C$43*B67,"N/A")</f>
        <v>0</v>
      </c>
      <c r="G67" t="str" s="595" cm="1">
        <f t="array" ref="G67">IF(B67&gt;0,'Direct Costs 2026'!$C$25,"N/A")</f>
        <v>N/A</v>
      </c>
      <c r="H67" t="str" s="595" cm="1">
        <f t="array" ref="H67">IF(B67&gt;0,'Direct Costs 2026'!$C$19+'Direct Costs 2026'!$C$18*B67,"N/A")</f>
        <v>N/A</v>
      </c>
      <c r="I67" t="str" s="595" cm="1">
        <f t="array" ref="I67">IF(B67&gt;0,SUM('Direct Costs 2026'!$C$20:$C$21),"N/A")</f>
        <v>N/A</v>
      </c>
      <c r="J67" t="str" s="595" cm="1">
        <f t="array" ref="J67">IF(B67&gt;0,'Direct Costs 2026'!$C$14,"N/A")</f>
        <v>N/A</v>
      </c>
      <c r="K67" t="str" s="595" cm="1">
        <f t="array" ref="K67">IF(B67&gt;0,'Direct Costs 2026'!$C$26,"N/A")</f>
        <v>N/A</v>
      </c>
      <c r="L67" t="str" s="595" cm="1">
        <f t="array" ref="L67">IF(B67&gt;0,SUM('Direct Costs 2026'!$C$23:$C$24),"N/A")</f>
        <v>N/A</v>
      </c>
      <c r="M67" t="str" s="595" cm="1">
        <f t="array" ref="M67">IF(B67&gt;0,'Direct Costs 2026'!$C$47*B67,"N/A")</f>
        <v>N/A</v>
      </c>
      <c r="N67" t="str" s="595" cm="1">
        <f t="array" ref="N67">IF($B67&gt;0,'Direct Costs 2026'!$C$30,"N/A")</f>
        <v>N/A</v>
      </c>
      <c r="O67" t="str" s="595" cm="1">
        <f t="array" ref="O67">IF($B67&gt;0,'Direct Costs 2026'!$C$31,"N/A")</f>
        <v>N/A</v>
      </c>
      <c r="P67" t="str" s="595" cm="1">
        <f t="array" ref="P67">IF(B67&gt;0,'Direct Costs 2026'!$C$59*B67,"N/A")</f>
        <v>N/A</v>
      </c>
      <c r="Q67" t="str" s="595" cm="1">
        <f t="array" ref="Q67">IF(B67&gt;0,_xlfn.IFERROR(VLOOKUP(C48,'Boats Data Sheet 2026'!$C$3:$I$57,7,0)*'Direct Costs 2026'!$C$36,"N/A"),"N/A")</f>
        <v>N/A</v>
      </c>
      <c r="R67" t="str" s="595" cm="1">
        <f t="array" ref="R67">IF(B67&gt;0,IF(OR(VLOOKUP(C48,'Boats Data Sheet 2026'!$C$3:$F$57,4,0)="Own",VLOOKUP(C48,'Boats Data Sheet 2026'!$C$3:$F$57,4,0)="Management"),('Direct Costs 2026'!$C$37+'Direct Costs 2026'!$C$39),"N/A"),"N/A")</f>
        <v>N/A</v>
      </c>
      <c r="S67" t="str" s="595" cm="1">
        <f t="array" ref="S67">_xlfn.IFERROR(IF(B67&gt;5,IF(B67&gt;11,IF(B67&gt;15,4,3),2),IF(B67=0,"N/A",1))*SUM('Direct Costs 2026'!$C$67:$C$68),"N/A")</f>
        <v>N/A</v>
      </c>
      <c r="T67" t="str" s="595" cm="1">
        <f t="array" ref="T67">_xlfn.IFERROR('Direct Costs 2026'!$C$27*C67,"N/A")</f>
        <v>N/A</v>
      </c>
      <c r="U67" t="str" s="595" cm="1">
        <f t="array" ref="U67">_xlfn.IFERROR(C67+SUM(E67:T67),"N/A")</f>
        <v>N/A</v>
      </c>
      <c r="V67" s="424"/>
      <c r="W67" t="str" s="595" cm="1">
        <f t="array" ref="W67">IF(B67&gt;0,'Allocation OH and Target 2026'!$E$27,"N/A")</f>
        <v>N/A</v>
      </c>
      <c r="X67" t="str" s="595" cm="1">
        <f t="array" ref="X67">IF(B67&gt;0,'Allocation OH and Target 2026'!$E$28,"N/A")</f>
        <v>N/A</v>
      </c>
      <c r="Y67" t="str" s="595" cm="1">
        <f t="array" ref="Y67">IF(B67&gt;0,VLOOKUP(C48,'Allocation OH and Target 2026'!$C$5:$T$23,17,0),"N/A")</f>
        <v>N/A</v>
      </c>
      <c r="Z67" t="str" s="595" cm="1">
        <f t="array" ref="Z67">IF(B67&gt;0,VLOOKUP(C48,'Allocation OH and Target 2026'!$C$5:$T$23,18,0),"N/A")</f>
        <v>N/A</v>
      </c>
      <c r="AA67" t="str" s="595" cm="1">
        <f t="array" ref="AA67">_xlfn.IFERROR(X67*B67+Z67,"N/A")</f>
        <v>N/A</v>
      </c>
      <c r="AB67" s="424"/>
      <c r="AC67" t="str" s="595" cm="1">
        <f t="array" ref="AC67">_xlfn.IFERROR(AA67+U67,"N/A")</f>
        <v>N/A</v>
      </c>
      <c r="AD67" t="str" s="595" cm="1">
        <f t="array" ref="AD67">_xlfn.IFERROR(AC67*0.5%,"N/A")</f>
        <v>N/A</v>
      </c>
      <c r="AE67" t="str" s="595" cm="1">
        <f t="array" ref="AE67">_xlfn.IFERROR(AC67*25%,"N/A")</f>
        <v>N/A</v>
      </c>
      <c r="AF67" t="str" s="604" cm="1">
        <f t="array" ref="AF67">IF(B67&gt;0,SUM(AC67:AE67),"N/A")</f>
        <v>N/A</v>
      </c>
      <c r="AG67" t="str" s="595" cm="1">
        <f t="array" ref="AG67">_xlfn.IFERROR(AF67/B67,"N/A")</f>
        <v>N/A</v>
      </c>
      <c r="AH67" s="424"/>
      <c r="AI67" t="str" s="604" cm="1">
        <f t="array" ref="AI67">IF(B67/VLOOKUP(C48,'Boats Data Sheet 2026'!$C$3:$H$57,6,0)&gt;VLOOKUP(C48,'Allocation OH and Target 2026'!$C$5:$J$23,8,0),IF(SUM(AJ50:AJ66)=0,AG67,"N/A"),"N/A")</f>
        <v>N/A</v>
      </c>
      <c r="AJ67" s="424" cm="1">
        <f t="array" ref="AJ67">IF(AI67="N/A",0,1)</f>
        <v>0</v>
      </c>
      <c r="AK67" t="str" s="595" cm="1">
        <f t="array" ref="AK67">IF(B67/VLOOKUP(C48,'Boats Data Sheet 2026'!$C$3:$H$57,6,0)&gt;VLOOKUP(C48,'Allocation OH and Target 2026'!$C$5:$J$23,8,0),IF(SUM(AJ50:AJ66)=0,U67/B67,"N/A"),"N/A")</f>
        <v>N/A</v>
      </c>
      <c r="AL67" s="424" cm="1">
        <f t="array" ref="AL67">IF(AK67="N/A",0,1)</f>
        <v>0</v>
      </c>
      <c r="AM67" t="str" s="605" cm="1">
        <f t="array" ref="AM67">IF(SUM(1250000+700000)*B67&lt;SUM(AC67:AD67),"NO GO","GO")</f>
        <v>GO</v>
      </c>
      <c r="AN67" s="424"/>
      <c r="AO67" s="594"/>
      <c r="AP67" s="594"/>
      <c r="AQ67" s="594"/>
      <c r="AR67" s="600"/>
      <c r="AS67" s="601" cm="1">
        <f t="array" ref="AS67">B67</f>
        <v>0</v>
      </c>
    </row>
    <row r="68" ht="15.5" customHeight="1">
      <c r="A68" s="12"/>
      <c r="B68" s="606" cm="1">
        <f t="array" ref="B68">IF(B67=0,0,IF(B67&lt;VLOOKUP(C48,'Boats Data Sheet 2026'!$C$3:$H$57,6,0),B67+1,0))</f>
        <v>0</v>
      </c>
      <c r="C68" t="str" s="607" cm="1">
        <f t="array" ref="C68">IF(B68&gt;0,IF(VLOOKUP(C48,'Boats Data Sheet 2026'!$C$3:$J$57,8,0)="N/A",0,VLOOKUP(C48,'Boats Data Sheet 2026'!$C$3:$J$57,8,0)),"N/A")</f>
        <v>N/A</v>
      </c>
      <c r="D68" t="str" s="607" cm="1">
        <f t="array" ref="D68">IF(B68&gt;7,2,IF(B68=0,"N/A",1))</f>
        <v>N/A</v>
      </c>
      <c r="E68" t="str" s="607" cm="1">
        <f t="array" ref="E68">_xlfn.IFERROR(SUM('Direct Costs 2026'!$C$4:$C$6)*D68,"N/A")</f>
        <v>N/A</v>
      </c>
      <c r="F68" s="608" cm="1">
        <f t="array" ref="F68">_xlfn.IFERROR('Direct Costs 2026'!$C$43*B68,"N/A")</f>
        <v>0</v>
      </c>
      <c r="G68" t="str" s="607" cm="1">
        <f t="array" ref="G68">IF(B68&gt;0,'Direct Costs 2026'!$C$25,"N/A")</f>
        <v>N/A</v>
      </c>
      <c r="H68" t="str" s="607" cm="1">
        <f t="array" ref="H68">IF(B68&gt;0,'Direct Costs 2026'!$C$19+'Direct Costs 2026'!$C$18*B68,"N/A")</f>
        <v>N/A</v>
      </c>
      <c r="I68" t="str" s="607" cm="1">
        <f t="array" ref="I68">IF(B68&gt;0,SUM('Direct Costs 2026'!$C$20:$C$21),"N/A")</f>
        <v>N/A</v>
      </c>
      <c r="J68" t="str" s="607" cm="1">
        <f t="array" ref="J68">IF(B68&gt;0,'Direct Costs 2026'!$C$14,"N/A")</f>
        <v>N/A</v>
      </c>
      <c r="K68" t="str" s="607" cm="1">
        <f t="array" ref="K68">IF(B68&gt;0,'Direct Costs 2026'!$C$26,"N/A")</f>
        <v>N/A</v>
      </c>
      <c r="L68" t="str" s="607" cm="1">
        <f t="array" ref="L68">IF(B68&gt;0,SUM('Direct Costs 2026'!$C$23:$C$24),"N/A")</f>
        <v>N/A</v>
      </c>
      <c r="M68" t="str" s="607" cm="1">
        <f t="array" ref="M68">IF(B68&gt;0,'Direct Costs 2026'!$C$47*B68,"N/A")</f>
        <v>N/A</v>
      </c>
      <c r="N68" t="str" s="607" cm="1">
        <f t="array" ref="N68">IF($B68&gt;0,'Direct Costs 2026'!$C$30,"N/A")</f>
        <v>N/A</v>
      </c>
      <c r="O68" t="str" s="607" cm="1">
        <f t="array" ref="O68">IF($B68&gt;0,'Direct Costs 2026'!$C$31,"N/A")</f>
        <v>N/A</v>
      </c>
      <c r="P68" t="str" s="607" cm="1">
        <f t="array" ref="P68">IF(B68&gt;0,'Direct Costs 2026'!$C$59*B68,"N/A")</f>
        <v>N/A</v>
      </c>
      <c r="Q68" t="str" s="607" cm="1">
        <f t="array" ref="Q68">IF(B68&gt;0,_xlfn.IFERROR(VLOOKUP(C48,'Boats Data Sheet 2026'!$C$3:$I$57,7,0)*'Direct Costs 2026'!$C$36,"N/A"),"N/A")</f>
        <v>N/A</v>
      </c>
      <c r="R68" t="str" s="607" cm="1">
        <f t="array" ref="R68">IF(B68&gt;0,IF(OR(VLOOKUP(C48,'Boats Data Sheet 2026'!$C$3:$F$57,4,0)="Own",VLOOKUP(C48,'Boats Data Sheet 2026'!$C$3:$F$57,4,0)="Management"),('Direct Costs 2026'!$C$37+'Direct Costs 2026'!$C$39),"N/A"),"N/A")</f>
        <v>N/A</v>
      </c>
      <c r="S68" t="str" s="607" cm="1">
        <f t="array" ref="S68">_xlfn.IFERROR(IF(B68&gt;5,IF(B68&gt;11,IF(B68&gt;15,4,3),2),IF(B68=0,"N/A",1))*SUM('Direct Costs 2026'!$C$67:$C$68),"N/A")</f>
        <v>N/A</v>
      </c>
      <c r="T68" t="str" s="607" cm="1">
        <f t="array" ref="T68">_xlfn.IFERROR('Direct Costs 2026'!$C$27*C68,"N/A")</f>
        <v>N/A</v>
      </c>
      <c r="U68" t="str" s="607" cm="1">
        <f t="array" ref="U68">_xlfn.IFERROR(C68+SUM(E68:T68),"N/A")</f>
        <v>N/A</v>
      </c>
      <c r="V68" s="435"/>
      <c r="W68" t="str" s="607" cm="1">
        <f t="array" ref="W68">IF(B68&gt;0,'Allocation OH and Target 2026'!$E$27,"N/A")</f>
        <v>N/A</v>
      </c>
      <c r="X68" t="str" s="607" cm="1">
        <f t="array" ref="X68">IF(B68&gt;0,'Allocation OH and Target 2026'!$E$28,"N/A")</f>
        <v>N/A</v>
      </c>
      <c r="Y68" t="str" s="607" cm="1">
        <f t="array" ref="Y68">IF(B68&gt;0,VLOOKUP(C48,'Allocation OH and Target 2026'!$C$5:$T$23,17,0),"N/A")</f>
        <v>N/A</v>
      </c>
      <c r="Z68" t="str" s="607" cm="1">
        <f t="array" ref="Z68">IF(B68&gt;0,VLOOKUP(C48,'Allocation OH and Target 2026'!$C$5:$T$23,18,0),"N/A")</f>
        <v>N/A</v>
      </c>
      <c r="AA68" t="str" s="607" cm="1">
        <f t="array" ref="AA68">_xlfn.IFERROR(X68*B68+Z68,"N/A")</f>
        <v>N/A</v>
      </c>
      <c r="AB68" s="435"/>
      <c r="AC68" t="str" s="607" cm="1">
        <f t="array" ref="AC68">_xlfn.IFERROR(AA68+U68,"N/A")</f>
        <v>N/A</v>
      </c>
      <c r="AD68" t="str" s="607" cm="1">
        <f t="array" ref="AD68">_xlfn.IFERROR(AC68*0.5%,"N/A")</f>
        <v>N/A</v>
      </c>
      <c r="AE68" t="str" s="607" cm="1">
        <f t="array" ref="AE68">_xlfn.IFERROR(AC68*25%,"N/A")</f>
        <v>N/A</v>
      </c>
      <c r="AF68" t="str" s="609" cm="1">
        <f t="array" ref="AF68">IF(B68&gt;0,SUM(AC68:AE68),"N/A")</f>
        <v>N/A</v>
      </c>
      <c r="AG68" t="str" s="607" cm="1">
        <f t="array" ref="AG68">_xlfn.IFERROR(AF68/B68,"N/A")</f>
        <v>N/A</v>
      </c>
      <c r="AH68" s="435"/>
      <c r="AI68" t="str" s="609" cm="1">
        <f t="array" ref="AI68">IF(B68/VLOOKUP(C48,'Boats Data Sheet 2026'!$C$3:$H$57,6,0)&gt;VLOOKUP(C48,'Allocation OH and Target 2026'!$C$5:$J$23,8,0),IF(SUM(AJ50:AJ67)=0,AG68,"N/A"),"N/A")</f>
        <v>N/A</v>
      </c>
      <c r="AJ68" s="435" cm="1">
        <f t="array" ref="AJ68">IF(AI68="N/A",0,1)</f>
        <v>0</v>
      </c>
      <c r="AK68" t="str" s="607" cm="1">
        <f t="array" ref="AK68">IF(B68/VLOOKUP(C48,'Boats Data Sheet 2026'!$C$3:$H$57,6,0)&gt;VLOOKUP(C48,'Allocation OH and Target 2026'!$C$5:$J$23,8,0),IF(SUM(AJ50:AJ67)=0,U68/B68,"N/A"),"N/A")</f>
        <v>N/A</v>
      </c>
      <c r="AL68" s="435" cm="1">
        <f t="array" ref="AL68">IF(AK68="N/A",0,1)</f>
        <v>0</v>
      </c>
      <c r="AM68" t="str" s="610" cm="1">
        <f t="array" ref="AM68">IF(SUM(1250000+700000)*B68&lt;SUM(AC68:AD68),"NO GO","GO")</f>
        <v>GO</v>
      </c>
      <c r="AN68" s="435"/>
      <c r="AO68" s="608"/>
      <c r="AP68" s="608"/>
      <c r="AQ68" s="608"/>
      <c r="AR68" s="611"/>
      <c r="AS68" s="601" cm="1">
        <f t="array" ref="AS68">B68</f>
        <v>0</v>
      </c>
    </row>
    <row r="69" ht="15.5" customHeight="1">
      <c r="A69" s="32"/>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8"/>
    </row>
    <row r="70" ht="15.5" customHeight="1">
      <c r="A70" s="32"/>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18"/>
    </row>
    <row r="71" ht="15.5" customHeight="1">
      <c r="A71" s="395">
        <v>5</v>
      </c>
      <c r="B71" t="s" s="573">
        <v>506</v>
      </c>
      <c r="C71" t="s" s="574">
        <v>53</v>
      </c>
      <c r="D71" s="576"/>
      <c r="E71" s="575"/>
      <c r="F71" s="575"/>
      <c r="G71" s="575"/>
      <c r="H71" s="575"/>
      <c r="I71" s="575"/>
      <c r="J71" s="575"/>
      <c r="K71" s="575"/>
      <c r="L71" s="575"/>
      <c r="M71" s="575"/>
      <c r="N71" s="575"/>
      <c r="O71" s="575"/>
      <c r="P71" s="575"/>
      <c r="Q71" s="575"/>
      <c r="R71" s="575"/>
      <c r="S71" s="575"/>
      <c r="T71" s="575"/>
      <c r="U71" s="575"/>
      <c r="V71" s="399"/>
      <c r="W71" s="575"/>
      <c r="X71" s="575"/>
      <c r="Y71" s="575"/>
      <c r="Z71" s="575"/>
      <c r="AA71" s="575"/>
      <c r="AB71" s="399"/>
      <c r="AC71" s="575"/>
      <c r="AD71" s="575"/>
      <c r="AE71" s="575"/>
      <c r="AF71" s="575"/>
      <c r="AG71" s="575"/>
      <c r="AH71" s="399"/>
      <c r="AI71" s="576"/>
      <c r="AJ71" s="399"/>
      <c r="AK71" s="575"/>
      <c r="AL71" s="399"/>
      <c r="AM71" s="575"/>
      <c r="AN71" s="399"/>
      <c r="AO71" t="s" s="612">
        <v>508</v>
      </c>
      <c r="AP71" s="613" cm="1">
        <f t="array" ref="AP71">AVERAGE(U74:U79)</f>
        <v>8714433.33333333</v>
      </c>
      <c r="AQ71" s="575"/>
      <c r="AR71" s="577"/>
      <c r="AS71" s="578"/>
    </row>
    <row r="72" ht="16" customHeight="1">
      <c r="A72" s="12"/>
      <c r="B72" s="579"/>
      <c r="C72" t="s" s="580">
        <v>513</v>
      </c>
      <c r="D72" s="581"/>
      <c r="E72" s="581"/>
      <c r="F72" s="581"/>
      <c r="G72" s="581"/>
      <c r="H72" s="581"/>
      <c r="I72" s="581"/>
      <c r="J72" s="581"/>
      <c r="K72" s="581"/>
      <c r="L72" s="581"/>
      <c r="M72" s="581"/>
      <c r="N72" s="581"/>
      <c r="O72" s="581"/>
      <c r="P72" s="581"/>
      <c r="Q72" s="581"/>
      <c r="R72" s="581"/>
      <c r="S72" s="581"/>
      <c r="T72" s="581"/>
      <c r="U72" s="582"/>
      <c r="V72" s="407"/>
      <c r="W72" t="s" s="580">
        <v>514</v>
      </c>
      <c r="X72" s="581"/>
      <c r="Y72" s="581"/>
      <c r="Z72" s="581"/>
      <c r="AA72" s="582"/>
      <c r="AB72" s="407"/>
      <c r="AC72" t="s" s="580">
        <v>515</v>
      </c>
      <c r="AD72" s="581"/>
      <c r="AE72" s="581"/>
      <c r="AF72" s="581"/>
      <c r="AG72" s="582"/>
      <c r="AH72" s="410"/>
      <c r="AI72" s="605"/>
      <c r="AJ72" s="410"/>
      <c r="AK72" s="584"/>
      <c r="AL72" s="410"/>
      <c r="AM72" s="584"/>
      <c r="AN72" s="410"/>
      <c r="AO72" s="584"/>
      <c r="AP72" s="584"/>
      <c r="AQ72" s="584"/>
      <c r="AR72" s="585"/>
      <c r="AS72" s="578"/>
    </row>
    <row r="73" ht="63" customHeight="1">
      <c r="A73" s="12"/>
      <c r="B73" t="s" s="586">
        <v>517</v>
      </c>
      <c r="C73" t="s" s="587">
        <v>518</v>
      </c>
      <c r="D73" t="s" s="587">
        <v>519</v>
      </c>
      <c r="E73" t="s" s="587">
        <v>520</v>
      </c>
      <c r="F73" t="s" s="588">
        <v>521</v>
      </c>
      <c r="G73" t="s" s="588">
        <v>522</v>
      </c>
      <c r="H73" t="s" s="588">
        <v>524</v>
      </c>
      <c r="I73" t="s" s="588">
        <v>525</v>
      </c>
      <c r="J73" t="s" s="588">
        <v>553</v>
      </c>
      <c r="K73" t="s" s="588">
        <v>526</v>
      </c>
      <c r="L73" t="s" s="588">
        <v>527</v>
      </c>
      <c r="M73" t="s" s="588">
        <v>528</v>
      </c>
      <c r="N73" t="s" s="588">
        <v>602</v>
      </c>
      <c r="O73" t="s" s="588">
        <v>603</v>
      </c>
      <c r="P73" t="s" s="588">
        <v>604</v>
      </c>
      <c r="Q73" t="s" s="588">
        <v>529</v>
      </c>
      <c r="R73" t="s" s="588">
        <v>530</v>
      </c>
      <c r="S73" t="s" s="588">
        <v>572</v>
      </c>
      <c r="T73" t="s" s="588">
        <v>531</v>
      </c>
      <c r="U73" t="s" s="588">
        <v>532</v>
      </c>
      <c r="V73" s="556"/>
      <c r="W73" t="s" s="588">
        <v>533</v>
      </c>
      <c r="X73" t="s" s="588">
        <v>573</v>
      </c>
      <c r="Y73" t="s" s="588">
        <v>534</v>
      </c>
      <c r="Z73" t="s" s="588">
        <v>574</v>
      </c>
      <c r="AA73" t="s" s="588">
        <v>535</v>
      </c>
      <c r="AB73" s="556"/>
      <c r="AC73" t="s" s="588">
        <v>536</v>
      </c>
      <c r="AD73" t="s" s="588">
        <v>537</v>
      </c>
      <c r="AE73" t="s" s="588">
        <v>538</v>
      </c>
      <c r="AF73" t="s" s="588">
        <v>575</v>
      </c>
      <c r="AG73" t="s" s="588">
        <v>539</v>
      </c>
      <c r="AH73" s="557"/>
      <c r="AI73" t="s" s="588">
        <v>576</v>
      </c>
      <c r="AJ73" s="557"/>
      <c r="AK73" t="s" s="588">
        <v>577</v>
      </c>
      <c r="AL73" s="557"/>
      <c r="AM73" t="s" s="587">
        <v>578</v>
      </c>
      <c r="AN73" s="557"/>
      <c r="AO73" t="s" s="588">
        <v>590</v>
      </c>
      <c r="AP73" t="s" s="588">
        <v>544</v>
      </c>
      <c r="AQ73" s="589"/>
      <c r="AR73" s="590"/>
      <c r="AS73" s="578"/>
    </row>
    <row r="74" ht="16.5" customHeight="1">
      <c r="A74" s="12"/>
      <c r="B74" s="591">
        <v>1</v>
      </c>
      <c r="C74" s="592" cm="1">
        <f t="array" ref="C74">IF(B74&gt;0,IF(VLOOKUP(C71,'Boats Data Sheet 2026'!$C$3:$J$57,8,0)="N/A",0,VLOOKUP(C71,'Boats Data Sheet 2026'!$C$3:$J$57,8,0)),"N/A")</f>
        <v>0</v>
      </c>
      <c r="D74" s="593" cm="1">
        <f t="array" ref="D74">IF(B74&gt;7,2,IF(B74=0,"N/A",1))</f>
        <v>1</v>
      </c>
      <c r="E74" s="592" cm="1">
        <f t="array" ref="E74">_xlfn.IFERROR(SUM('Direct Costs 2026'!$C$4:$C$6)*D74,"N/A")</f>
        <v>975500</v>
      </c>
      <c r="F74" s="594" cm="1">
        <f t="array" ref="F74">_xlfn.IFERROR('Direct Costs 2026'!$C$43*B74,"N/A")</f>
        <v>6000</v>
      </c>
      <c r="G74" s="594" cm="1">
        <f t="array" ref="G74">IF(B74&gt;0,'Direct Costs 2026'!$C$25,"N/A")</f>
        <v>90000</v>
      </c>
      <c r="H74" s="594" cm="1">
        <f t="array" ref="H74">IF(B74&gt;0,'Direct Costs 2026'!$C$19+'Direct Costs 2026'!$C$18*B74,"N/A")</f>
        <v>110000</v>
      </c>
      <c r="I74" s="594" cm="1">
        <f t="array" ref="I74">IF(B74&gt;0,SUM('Direct Costs 2026'!$C$20:$C$21),"N/A")</f>
        <v>98333.3333333333</v>
      </c>
      <c r="J74" s="594" cm="1">
        <f t="array" ref="J74">IF(B74&gt;0,'Direct Costs 2026'!$C$14,"N/A")</f>
        <v>60000</v>
      </c>
      <c r="K74" s="594" cm="1">
        <f t="array" ref="K74">IF(B74&gt;0,'Direct Costs 2026'!$C$26,"N/A")</f>
        <v>20000</v>
      </c>
      <c r="L74" s="594" cm="1">
        <f t="array" ref="L74">IF(B74&gt;0,SUM('Direct Costs 2026'!$C$23:$C$24),"N/A")</f>
        <v>160000</v>
      </c>
      <c r="M74" s="594" cm="1">
        <f t="array" ref="M74">IF(B74&gt;0,'Direct Costs 2026'!$C$47*B74,"N/A")</f>
        <v>180000</v>
      </c>
      <c r="N74" s="594" cm="1">
        <f t="array" ref="N74">IF($B74&gt;0,'Direct Costs 2026'!$C$30,"N/A")</f>
        <v>440000</v>
      </c>
      <c r="O74" s="594" cm="1">
        <f t="array" ref="O74">IF($B74&gt;0,'Direct Costs 2026'!$C$31,"N/A")</f>
        <v>870000</v>
      </c>
      <c r="P74" s="594" cm="1">
        <f t="array" ref="P74">IF(B74&gt;0,'Direct Costs 2026'!$C$59*B74,"N/A")</f>
        <v>41000</v>
      </c>
      <c r="Q74" s="594" cm="1">
        <f t="array" ref="Q74">IF(B74&gt;0,_xlfn.IFERROR(VLOOKUP(C71,'Boats Data Sheet 2026'!$C$3:$I$57,7,0)*'Direct Costs 2026'!$C$36,"N/A"),"N/A")</f>
        <v>3325000</v>
      </c>
      <c r="R74" s="594" cm="1">
        <f t="array" ref="R74">IF(B74&gt;0,IF(OR(VLOOKUP(C71,'Boats Data Sheet 2026'!$C$3:$F$57,4,0)="Own",VLOOKUP(C71,'Boats Data Sheet 2026'!$C$3:$F$57,4,0)="Management"),('Direct Costs 2026'!$C$37+'Direct Costs 2026'!$C$39),"N/A"),"N/A")</f>
        <v>1112400</v>
      </c>
      <c r="S74" s="594" cm="1">
        <f t="array" ref="S74">_xlfn.IFERROR(IF(B74&gt;5,IF(B74&gt;11,IF(B74&gt;15,4,3),2),IF(B74=0,"N/A",1))*SUM('Direct Costs 2026'!$C$67:$C$68),"N/A")</f>
        <v>489600</v>
      </c>
      <c r="T74" s="594" cm="1">
        <f t="array" ref="T74">_xlfn.IFERROR('Direct Costs 2026'!$C$27*C74,"N/A")</f>
        <v>0</v>
      </c>
      <c r="U74" s="594" cm="1">
        <f t="array" ref="U74">_xlfn.IFERROR(C74+SUM(E74:T74),"N/A")</f>
        <v>7977833.33333333</v>
      </c>
      <c r="V74" s="424"/>
      <c r="W74" s="594" cm="1">
        <f t="array" ref="W74">IF(B74&gt;0,'Allocation OH and Target 2026'!$E$27,"N/A")</f>
        <v>2134447.30345641</v>
      </c>
      <c r="X74" s="594" cm="1">
        <f t="array" ref="X74">IF(B74&gt;0,'Allocation OH and Target 2026'!$E$28,"N/A")</f>
        <v>200042.323056976</v>
      </c>
      <c r="Y74" s="594" cm="1">
        <f t="array" ref="Y74">IF(B74&gt;0,VLOOKUP(C71,'Allocation OH and Target 2026'!$C$5:$T$23,17,0),"N/A")</f>
        <v>965292.639603957</v>
      </c>
      <c r="Z74" s="594" cm="1">
        <f t="array" ref="Z74">IF(B74&gt;0,VLOOKUP(C71,'Allocation OH and Target 2026'!$C$5:$T$23,18,0),"N/A")</f>
        <v>92851.9586666665</v>
      </c>
      <c r="AA74" s="594" cm="1">
        <f t="array" ref="AA74">_xlfn.IFERROR(B74*(X74+Z74),"N/A")</f>
        <v>292894.281723643</v>
      </c>
      <c r="AB74" s="424"/>
      <c r="AC74" s="594" cm="1">
        <f t="array" ref="AC74">_xlfn.IFERROR(AA74+U74,"N/A")</f>
        <v>8270727.61505697</v>
      </c>
      <c r="AD74" s="594" cm="1">
        <f t="array" ref="AD74">_xlfn.IFERROR(AC74*0.5%,"N/A")</f>
        <v>41353.6380752849</v>
      </c>
      <c r="AE74" s="594" cm="1">
        <f t="array" ref="AE74">_xlfn.IFERROR(AC74*25%,"N/A")</f>
        <v>2067681.90376424</v>
      </c>
      <c r="AF74" s="596" cm="1">
        <f t="array" ref="AF74">IF(B74&gt;0,SUM(AC74:AE74),"N/A")</f>
        <v>10379763.1568965</v>
      </c>
      <c r="AG74" s="594" cm="1">
        <f t="array" ref="AG74">_xlfn.IFERROR(AF74/B74,"N/A")</f>
        <v>10379763.1568965</v>
      </c>
      <c r="AH74" s="424"/>
      <c r="AI74" t="s" s="597">
        <v>14</v>
      </c>
      <c r="AJ74" s="424" cm="1">
        <f t="array" ref="AJ74">IF(AI74="N/A",0,1)</f>
        <v>0</v>
      </c>
      <c r="AK74" t="s" s="598">
        <v>14</v>
      </c>
      <c r="AL74" s="424" cm="1">
        <f t="array" ref="AL74">IF(AK74="N/A",0,1)</f>
        <v>0</v>
      </c>
      <c r="AM74" t="str" s="599" cm="1">
        <f t="array" ref="AM74">IF(SUM(1250000+700000)*B74&lt;SUM(AC74:AD74),"NO GO","GO")</f>
        <v>NO GO</v>
      </c>
      <c r="AN74" s="424"/>
      <c r="AO74" t="s" s="598">
        <v>589</v>
      </c>
      <c r="AP74" s="594" cm="1">
        <f t="array" ref="AP74">'Allocation OH and Target 2026'!M16</f>
        <v>1925</v>
      </c>
      <c r="AQ74" s="594"/>
      <c r="AR74" s="600"/>
      <c r="AS74" s="601" cm="1">
        <f t="array" ref="AS74">B74</f>
        <v>1</v>
      </c>
    </row>
    <row r="75" ht="16" customHeight="1">
      <c r="A75" s="12"/>
      <c r="B75" s="602" cm="1">
        <f t="array" ref="B75">IF(B74=0,0,IF(B74&lt;VLOOKUP(C71,'Boats Data Sheet 2026'!$C$3:$H$57,6,0),B74+1,0))</f>
        <v>2</v>
      </c>
      <c r="C75" s="594" cm="1">
        <f t="array" ref="C75">IF(B75&gt;0,IF(VLOOKUP(C71,'Boats Data Sheet 2026'!$C$3:$J$57,8,0)="N/A",0,VLOOKUP(C71,'Boats Data Sheet 2026'!$C$3:$J$57,8,0)),"N/A")</f>
        <v>0</v>
      </c>
      <c r="D75" s="603" cm="1">
        <f t="array" ref="D75">IF(B75&gt;7,2,IF(B75=0,"N/A",1))</f>
        <v>1</v>
      </c>
      <c r="E75" s="594" cm="1">
        <f t="array" ref="E75">_xlfn.IFERROR(SUM('Direct Costs 2026'!$C$4:$C$6)*D75,"N/A")</f>
        <v>975500</v>
      </c>
      <c r="F75" s="594" cm="1">
        <f t="array" ref="F75">_xlfn.IFERROR('Direct Costs 2026'!$C$43*B75,"N/A")</f>
        <v>12000</v>
      </c>
      <c r="G75" s="594" cm="1">
        <f t="array" ref="G75">IF(B75&gt;0,'Direct Costs 2026'!$C$25,"N/A")</f>
        <v>90000</v>
      </c>
      <c r="H75" s="594" cm="1">
        <f t="array" ref="H75">IF(B75&gt;0,'Direct Costs 2026'!$C$19+'Direct Costs 2026'!$C$18*B75,"N/A")</f>
        <v>145000</v>
      </c>
      <c r="I75" s="594" cm="1">
        <f t="array" ref="I75">IF(B75&gt;0,SUM('Direct Costs 2026'!$C$20:$C$21),"N/A")</f>
        <v>98333.3333333333</v>
      </c>
      <c r="J75" s="594" cm="1">
        <f t="array" ref="J75">IF(B75&gt;0,'Direct Costs 2026'!$C$14,"N/A")</f>
        <v>60000</v>
      </c>
      <c r="K75" s="594" cm="1">
        <f t="array" ref="K75">IF(B75&gt;0,'Direct Costs 2026'!$C$26,"N/A")</f>
        <v>20000</v>
      </c>
      <c r="L75" s="594" cm="1">
        <f t="array" ref="L75">IF(B75&gt;0,SUM('Direct Costs 2026'!$C$23:$C$24),"N/A")</f>
        <v>160000</v>
      </c>
      <c r="M75" s="594" cm="1">
        <f t="array" ref="M75">IF(B75&gt;0,'Direct Costs 2026'!$C$47*B75,"N/A")</f>
        <v>360000</v>
      </c>
      <c r="N75" s="594" cm="1">
        <f t="array" ref="N75">IF($B75&gt;0,'Direct Costs 2026'!$C$30,"N/A")</f>
        <v>440000</v>
      </c>
      <c r="O75" s="594" cm="1">
        <f t="array" ref="O75">IF($B75&gt;0,'Direct Costs 2026'!$C$31,"N/A")</f>
        <v>870000</v>
      </c>
      <c r="P75" s="594" cm="1">
        <f t="array" ref="P75">IF(B75&gt;0,'Direct Costs 2026'!$C$59*B75,"N/A")</f>
        <v>82000</v>
      </c>
      <c r="Q75" s="594" cm="1">
        <f t="array" ref="Q75">IF(B75&gt;0,_xlfn.IFERROR(VLOOKUP(C71,'Boats Data Sheet 2026'!$C$3:$I$57,7,0)*'Direct Costs 2026'!$C$36,"N/A"),"N/A")</f>
        <v>3325000</v>
      </c>
      <c r="R75" s="594" cm="1">
        <f t="array" ref="R75">IF(B75&gt;0,IF(OR(VLOOKUP(C71,'Boats Data Sheet 2026'!$C$3:$F$57,4,0)="Own",VLOOKUP(C71,'Boats Data Sheet 2026'!$C$3:$F$57,4,0)="Management"),('Direct Costs 2026'!$C$37+'Direct Costs 2026'!$C$39),"N/A"),"N/A")</f>
        <v>1112400</v>
      </c>
      <c r="S75" s="594" cm="1">
        <f t="array" ref="S75">_xlfn.IFERROR(IF(B75&gt;5,IF(B75&gt;11,IF(B75&gt;15,4,3),2),IF(B75=0,"N/A",1))*SUM('Direct Costs 2026'!$C$67:$C$68),"N/A")</f>
        <v>489600</v>
      </c>
      <c r="T75" s="594" cm="1">
        <f t="array" ref="T75">_xlfn.IFERROR('Direct Costs 2026'!$C$27*C75,"N/A")</f>
        <v>0</v>
      </c>
      <c r="U75" s="594" cm="1">
        <f t="array" ref="U75">_xlfn.IFERROR(C75+SUM(E75:T75),"N/A")</f>
        <v>8239833.33333333</v>
      </c>
      <c r="V75" s="424"/>
      <c r="W75" s="594" cm="1">
        <f t="array" ref="W75">IF(B75&gt;0,'Allocation OH and Target 2026'!$E$27,"N/A")</f>
        <v>2134447.30345641</v>
      </c>
      <c r="X75" s="594" cm="1">
        <f t="array" ref="X75">IF(B75&gt;0,'Allocation OH and Target 2026'!$E$28,"N/A")</f>
        <v>200042.323056976</v>
      </c>
      <c r="Y75" s="594" cm="1">
        <f t="array" ref="Y75">IF(B75&gt;0,VLOOKUP(C71,'Allocation OH and Target 2026'!$C$5:$T$23,17,0),"N/A")</f>
        <v>965292.639603957</v>
      </c>
      <c r="Z75" s="594" cm="1">
        <f t="array" ref="Z75">IF(B75&gt;0,VLOOKUP(C71,'Allocation OH and Target 2026'!$C$5:$T$23,18,0),"N/A")</f>
        <v>92851.9586666665</v>
      </c>
      <c r="AA75" s="594" cm="1">
        <f t="array" ref="AA75">_xlfn.IFERROR(B75*(X75+Z75),"N/A")</f>
        <v>585788.563447285</v>
      </c>
      <c r="AB75" s="424"/>
      <c r="AC75" s="594" cm="1">
        <f t="array" ref="AC75">_xlfn.IFERROR(AA75+U75,"N/A")</f>
        <v>8825621.896780619</v>
      </c>
      <c r="AD75" s="594" cm="1">
        <f t="array" ref="AD75">_xlfn.IFERROR(AC75*0.5%,"N/A")</f>
        <v>44128.1094839031</v>
      </c>
      <c r="AE75" s="594" cm="1">
        <f t="array" ref="AE75">_xlfn.IFERROR(AC75*25%,"N/A")</f>
        <v>2206405.47419516</v>
      </c>
      <c r="AF75" s="596" cm="1">
        <f t="array" ref="AF75">IF(B75&gt;0,SUM(AC75:AE75),"N/A")</f>
        <v>11076155.4804597</v>
      </c>
      <c r="AG75" s="594" cm="1">
        <f t="array" ref="AG75">_xlfn.IFERROR(AF75/B75,"N/A")</f>
        <v>5538077.74022985</v>
      </c>
      <c r="AH75" s="424"/>
      <c r="AI75" t="str" s="604" cm="1">
        <f t="array" ref="AI75">IF(B75/VLOOKUP(C71,'Boats Data Sheet 2026'!$C$3:$H$57,6,0)&gt;VLOOKUP(C71,'Allocation OH and Target 2026'!$C$5:$J$23,8,0),IF(SUM(AJ73:AJ74)=0,AG75,"N/A"),"N/A")</f>
        <v>N/A</v>
      </c>
      <c r="AJ75" s="424" cm="1">
        <f t="array" ref="AJ75">IF(AI75="N/A",0,1)</f>
        <v>0</v>
      </c>
      <c r="AK75" t="str" s="595" cm="1">
        <f t="array" ref="AK75">IF(B75/VLOOKUP(C71,'Boats Data Sheet 2026'!$C$3:$H$57,6,0)&gt;VLOOKUP(C71,'Allocation OH and Target 2026'!$C$5:$J$23,8,0),IF(SUM(AJ73:AJ74)=0,U75/B75,"N/A"),"N/A")</f>
        <v>N/A</v>
      </c>
      <c r="AL75" s="424" cm="1">
        <f t="array" ref="AL75">IF(AK75="N/A",0,1)</f>
        <v>0</v>
      </c>
      <c r="AM75" t="str" s="605" cm="1">
        <f t="array" ref="AM75">IF(SUM(1250000+700000)*B75&lt;SUM(AC75:AD75),"NO GO","GO")</f>
        <v>NO GO</v>
      </c>
      <c r="AN75" s="424"/>
      <c r="AO75" t="s" s="598">
        <v>546</v>
      </c>
      <c r="AP75" s="594"/>
      <c r="AQ75" s="594"/>
      <c r="AR75" s="600"/>
      <c r="AS75" s="601" cm="1">
        <f t="array" ref="AS75">B75</f>
        <v>2</v>
      </c>
    </row>
    <row r="76" ht="16" customHeight="1">
      <c r="A76" s="12"/>
      <c r="B76" s="602" cm="1">
        <f t="array" ref="B76">IF(B75=0,0,IF(B75&lt;VLOOKUP(C71,'Boats Data Sheet 2026'!$C$3:$H$57,6,0),B75+1,0))</f>
        <v>3</v>
      </c>
      <c r="C76" s="594" cm="1">
        <f t="array" ref="C76">IF(B76&gt;0,IF(VLOOKUP(C71,'Boats Data Sheet 2026'!$C$3:$J$57,8,0)="N/A",0,VLOOKUP(C71,'Boats Data Sheet 2026'!$C$3:$J$57,8,0)),"N/A")</f>
        <v>0</v>
      </c>
      <c r="D76" s="603" cm="1">
        <f t="array" ref="D76">IF(B76&gt;7,2,IF(B76=0,"N/A",1))</f>
        <v>1</v>
      </c>
      <c r="E76" s="594" cm="1">
        <f t="array" ref="E76">_xlfn.IFERROR(SUM('Direct Costs 2026'!$C$4:$C$6)*D76,"N/A")</f>
        <v>975500</v>
      </c>
      <c r="F76" s="594" cm="1">
        <f t="array" ref="F76">_xlfn.IFERROR('Direct Costs 2026'!$C$43*B76,"N/A")</f>
        <v>18000</v>
      </c>
      <c r="G76" s="594" cm="1">
        <f t="array" ref="G76">IF(B76&gt;0,'Direct Costs 2026'!$C$25,"N/A")</f>
        <v>90000</v>
      </c>
      <c r="H76" s="594" cm="1">
        <f t="array" ref="H76">IF(B76&gt;0,'Direct Costs 2026'!$C$19+'Direct Costs 2026'!$C$18*B76,"N/A")</f>
        <v>180000</v>
      </c>
      <c r="I76" s="594" cm="1">
        <f t="array" ref="I76">IF(B76&gt;0,SUM('Direct Costs 2026'!$C$20:$C$21),"N/A")</f>
        <v>98333.3333333333</v>
      </c>
      <c r="J76" s="594" cm="1">
        <f t="array" ref="J76">IF(B76&gt;0,'Direct Costs 2026'!$C$14,"N/A")</f>
        <v>60000</v>
      </c>
      <c r="K76" s="594" cm="1">
        <f t="array" ref="K76">IF(B76&gt;0,'Direct Costs 2026'!$C$26,"N/A")</f>
        <v>20000</v>
      </c>
      <c r="L76" s="594" cm="1">
        <f t="array" ref="L76">IF(B76&gt;0,SUM('Direct Costs 2026'!$C$23:$C$24),"N/A")</f>
        <v>160000</v>
      </c>
      <c r="M76" s="594" cm="1">
        <f t="array" ref="M76">IF(B76&gt;0,'Direct Costs 2026'!$C$47*B76,"N/A")</f>
        <v>540000</v>
      </c>
      <c r="N76" s="594" cm="1">
        <f t="array" ref="N76">IF($B76&gt;0,'Direct Costs 2026'!$C$30,"N/A")</f>
        <v>440000</v>
      </c>
      <c r="O76" s="594" cm="1">
        <f t="array" ref="O76">IF($B76&gt;0,'Direct Costs 2026'!$C$31,"N/A")</f>
        <v>870000</v>
      </c>
      <c r="P76" s="594" cm="1">
        <f t="array" ref="P76">IF(B76&gt;0,'Direct Costs 2026'!$C$59*B76,"N/A")</f>
        <v>123000</v>
      </c>
      <c r="Q76" s="594" cm="1">
        <f t="array" ref="Q76">IF(B76&gt;0,_xlfn.IFERROR(VLOOKUP(C71,'Boats Data Sheet 2026'!$C$3:$I$57,7,0)*'Direct Costs 2026'!$C$36,"N/A"),"N/A")</f>
        <v>3325000</v>
      </c>
      <c r="R76" s="594" cm="1">
        <f t="array" ref="R76">IF(B76&gt;0,IF(OR(VLOOKUP(C71,'Boats Data Sheet 2026'!$C$3:$F$57,4,0)="Own",VLOOKUP(C71,'Boats Data Sheet 2026'!$C$3:$F$57,4,0)="Management"),('Direct Costs 2026'!$C$37+'Direct Costs 2026'!$C$39),"N/A"),"N/A")</f>
        <v>1112400</v>
      </c>
      <c r="S76" s="594" cm="1">
        <f t="array" ref="S76">_xlfn.IFERROR(IF(B76&gt;5,IF(B76&gt;11,IF(B76&gt;15,4,3),2),IF(B76=0,"N/A",1))*SUM('Direct Costs 2026'!$C$67:$C$68),"N/A")</f>
        <v>489600</v>
      </c>
      <c r="T76" s="594" cm="1">
        <f t="array" ref="T76">_xlfn.IFERROR('Direct Costs 2026'!$C$27*C76,"N/A")</f>
        <v>0</v>
      </c>
      <c r="U76" s="594" cm="1">
        <f t="array" ref="U76">_xlfn.IFERROR(C76+SUM(E76:T76),"N/A")</f>
        <v>8501833.33333333</v>
      </c>
      <c r="V76" s="424"/>
      <c r="W76" s="594" cm="1">
        <f t="array" ref="W76">IF(B76&gt;0,'Allocation OH and Target 2026'!$E$27,"N/A")</f>
        <v>2134447.30345641</v>
      </c>
      <c r="X76" s="594" cm="1">
        <f t="array" ref="X76">IF(B76&gt;0,'Allocation OH and Target 2026'!$E$28,"N/A")</f>
        <v>200042.323056976</v>
      </c>
      <c r="Y76" s="594" cm="1">
        <f t="array" ref="Y76">IF(B76&gt;0,VLOOKUP(C71,'Allocation OH and Target 2026'!$C$5:$T$23,17,0),"N/A")</f>
        <v>965292.639603957</v>
      </c>
      <c r="Z76" s="594" cm="1">
        <f t="array" ref="Z76">IF(B76&gt;0,VLOOKUP(C71,'Allocation OH and Target 2026'!$C$5:$T$23,18,0),"N/A")</f>
        <v>92851.9586666665</v>
      </c>
      <c r="AA76" s="594" cm="1">
        <f t="array" ref="AA76">_xlfn.IFERROR(B76*(X76+Z76),"N/A")</f>
        <v>878682.845170928</v>
      </c>
      <c r="AB76" s="424"/>
      <c r="AC76" s="594" cm="1">
        <f t="array" ref="AC76">_xlfn.IFERROR(AA76+U76,"N/A")</f>
        <v>9380516.17850426</v>
      </c>
      <c r="AD76" s="594" cm="1">
        <f t="array" ref="AD76">_xlfn.IFERROR(AC76*0.5%,"N/A")</f>
        <v>46902.5808925213</v>
      </c>
      <c r="AE76" s="594" cm="1">
        <f t="array" ref="AE76">_xlfn.IFERROR(AC76*25%,"N/A")</f>
        <v>2345129.04462607</v>
      </c>
      <c r="AF76" s="596" cm="1">
        <f t="array" ref="AF76">IF(B76&gt;0,SUM(AC76:AE76),"N/A")</f>
        <v>11772547.8040229</v>
      </c>
      <c r="AG76" s="594" cm="1">
        <f t="array" ref="AG76">_xlfn.IFERROR(AF76/B76,"N/A")</f>
        <v>3924182.60134097</v>
      </c>
      <c r="AH76" s="424"/>
      <c r="AI76" t="str" s="604" cm="1">
        <f t="array" ref="AI76">IF(B76/VLOOKUP(C71,'Boats Data Sheet 2026'!$C$3:$H$57,6,0)&gt;VLOOKUP(C71,'Allocation OH and Target 2026'!$C$5:$J$23,8,0),IF(SUM(AJ73:AJ75)=0,AG76,"N/A"),"N/A")</f>
        <v>N/A</v>
      </c>
      <c r="AJ76" s="424" cm="1">
        <f t="array" ref="AJ76">IF(AI76="N/A",0,1)</f>
        <v>0</v>
      </c>
      <c r="AK76" t="str" s="595" cm="1">
        <f t="array" ref="AK76">IF(B76/VLOOKUP(C71,'Boats Data Sheet 2026'!$C$3:$H$57,6,0)&gt;VLOOKUP(C71,'Allocation OH and Target 2026'!$C$5:$J$23,8,0),IF(SUM(AJ73:AJ75)=0,U76/B76,"N/A"),"N/A")</f>
        <v>N/A</v>
      </c>
      <c r="AL76" s="424" cm="1">
        <f t="array" ref="AL76">IF(AK76="N/A",0,1)</f>
        <v>0</v>
      </c>
      <c r="AM76" t="str" s="605" cm="1">
        <f t="array" ref="AM76">IF(SUM(1250000+700000)*B76&lt;SUM(AC76:AD76),"NO GO","GO")</f>
        <v>NO GO</v>
      </c>
      <c r="AN76" s="424"/>
      <c r="AO76" t="s" s="598">
        <v>547</v>
      </c>
      <c r="AP76" s="594" cm="1">
        <f t="array" ref="AP76">AP74*'RECOMMENDED PRICES'!$D$12</f>
        <v>3946250000</v>
      </c>
      <c r="AQ76" s="594"/>
      <c r="AR76" s="600"/>
      <c r="AS76" s="601" cm="1">
        <f t="array" ref="AS76">B76</f>
        <v>3</v>
      </c>
    </row>
    <row r="77" ht="16" customHeight="1">
      <c r="A77" s="12"/>
      <c r="B77" s="602" cm="1">
        <f t="array" ref="B77">IF(B76=0,0,IF(B76&lt;VLOOKUP(C71,'Boats Data Sheet 2026'!$C$3:$H$57,6,0),B76+1,0))</f>
        <v>4</v>
      </c>
      <c r="C77" s="594" cm="1">
        <f t="array" ref="C77">IF(B77&gt;0,IF(VLOOKUP(C71,'Boats Data Sheet 2026'!$C$3:$J$57,8,0)="N/A",0,VLOOKUP(C71,'Boats Data Sheet 2026'!$C$3:$J$57,8,0)),"N/A")</f>
        <v>0</v>
      </c>
      <c r="D77" s="603" cm="1">
        <f t="array" ref="D77">IF(B77&gt;7,2,IF(B77=0,"N/A",1))</f>
        <v>1</v>
      </c>
      <c r="E77" s="594" cm="1">
        <f t="array" ref="E77">_xlfn.IFERROR(SUM('Direct Costs 2026'!$C$4:$C$6)*D77,"N/A")</f>
        <v>975500</v>
      </c>
      <c r="F77" s="594" cm="1">
        <f t="array" ref="F77">_xlfn.IFERROR('Direct Costs 2026'!$C$43*B77,"N/A")</f>
        <v>24000</v>
      </c>
      <c r="G77" s="594" cm="1">
        <f t="array" ref="G77">IF(B77&gt;0,'Direct Costs 2026'!$C$25,"N/A")</f>
        <v>90000</v>
      </c>
      <c r="H77" s="594" cm="1">
        <f t="array" ref="H77">IF(B77&gt;0,'Direct Costs 2026'!$C$19+'Direct Costs 2026'!$C$18*B77,"N/A")</f>
        <v>215000</v>
      </c>
      <c r="I77" s="594" cm="1">
        <f t="array" ref="I77">IF(B77&gt;0,SUM('Direct Costs 2026'!$C$20:$C$21),"N/A")</f>
        <v>98333.3333333333</v>
      </c>
      <c r="J77" s="594" cm="1">
        <f t="array" ref="J77">IF(B77&gt;0,'Direct Costs 2026'!$C$14,"N/A")</f>
        <v>60000</v>
      </c>
      <c r="K77" s="594" cm="1">
        <f t="array" ref="K77">IF(B77&gt;0,'Direct Costs 2026'!$C$26,"N/A")</f>
        <v>20000</v>
      </c>
      <c r="L77" s="594" cm="1">
        <f t="array" ref="L77">IF(B77&gt;0,SUM('Direct Costs 2026'!$C$23:$C$24),"N/A")</f>
        <v>160000</v>
      </c>
      <c r="M77" s="594" cm="1">
        <f t="array" ref="M77">IF(B77&gt;0,'Direct Costs 2026'!$C$47*B77,"N/A")</f>
        <v>720000</v>
      </c>
      <c r="N77" s="594" cm="1">
        <f t="array" ref="N77">IF($B77&gt;0,'Direct Costs 2026'!$C$30,"N/A")</f>
        <v>440000</v>
      </c>
      <c r="O77" s="594" cm="1">
        <f t="array" ref="O77">IF($B77&gt;0,'Direct Costs 2026'!$C$31,"N/A")</f>
        <v>870000</v>
      </c>
      <c r="P77" s="594" cm="1">
        <f t="array" ref="P77">IF(B77&gt;0,'Direct Costs 2026'!$C$59*B77,"N/A")</f>
        <v>164000</v>
      </c>
      <c r="Q77" s="594" cm="1">
        <f t="array" ref="Q77">IF(B77&gt;0,_xlfn.IFERROR(VLOOKUP(C71,'Boats Data Sheet 2026'!$C$3:$I$57,7,0)*'Direct Costs 2026'!$C$36,"N/A"),"N/A")</f>
        <v>3325000</v>
      </c>
      <c r="R77" s="594" cm="1">
        <f t="array" ref="R77">IF(B77&gt;0,IF(OR(VLOOKUP(C71,'Boats Data Sheet 2026'!$C$3:$F$57,4,0)="Own",VLOOKUP(C71,'Boats Data Sheet 2026'!$C$3:$F$57,4,0)="Management"),('Direct Costs 2026'!$C$37+'Direct Costs 2026'!$C$39),"N/A"),"N/A")</f>
        <v>1112400</v>
      </c>
      <c r="S77" s="594" cm="1">
        <f t="array" ref="S77">_xlfn.IFERROR(IF(B77&gt;5,IF(B77&gt;11,IF(B77&gt;15,4,3),2),IF(B77=0,"N/A",1))*SUM('Direct Costs 2026'!$C$67:$C$68),"N/A")</f>
        <v>489600</v>
      </c>
      <c r="T77" s="594" cm="1">
        <f t="array" ref="T77">_xlfn.IFERROR('Direct Costs 2026'!$C$27*C77,"N/A")</f>
        <v>0</v>
      </c>
      <c r="U77" s="594" cm="1">
        <f t="array" ref="U77">_xlfn.IFERROR(C77+SUM(E77:T77),"N/A")</f>
        <v>8763833.33333333</v>
      </c>
      <c r="V77" s="424"/>
      <c r="W77" s="594" cm="1">
        <f t="array" ref="W77">IF(B77&gt;0,'Allocation OH and Target 2026'!$E$27,"N/A")</f>
        <v>2134447.30345641</v>
      </c>
      <c r="X77" s="594" cm="1">
        <f t="array" ref="X77">IF(B77&gt;0,'Allocation OH and Target 2026'!$E$28,"N/A")</f>
        <v>200042.323056976</v>
      </c>
      <c r="Y77" s="594" cm="1">
        <f t="array" ref="Y77">IF(B77&gt;0,VLOOKUP(C71,'Allocation OH and Target 2026'!$C$5:$T$23,17,0),"N/A")</f>
        <v>965292.639603957</v>
      </c>
      <c r="Z77" s="594" cm="1">
        <f t="array" ref="Z77">IF(B77&gt;0,VLOOKUP(C71,'Allocation OH and Target 2026'!$C$5:$T$23,18,0),"N/A")</f>
        <v>92851.9586666665</v>
      </c>
      <c r="AA77" s="594" cm="1">
        <f t="array" ref="AA77">_xlfn.IFERROR(B77*(X77+Z77),"N/A")</f>
        <v>1171577.12689457</v>
      </c>
      <c r="AB77" s="424"/>
      <c r="AC77" s="594" cm="1">
        <f t="array" ref="AC77">_xlfn.IFERROR(AA77+U77,"N/A")</f>
        <v>9935410.460227899</v>
      </c>
      <c r="AD77" s="594" cm="1">
        <f t="array" ref="AD77">_xlfn.IFERROR(AC77*0.5%,"N/A")</f>
        <v>49677.0523011395</v>
      </c>
      <c r="AE77" s="594" cm="1">
        <f t="array" ref="AE77">_xlfn.IFERROR(AC77*25%,"N/A")</f>
        <v>2483852.61505698</v>
      </c>
      <c r="AF77" s="596" cm="1">
        <f t="array" ref="AF77">IF(B77&gt;0,SUM(AC77:AE77),"N/A")</f>
        <v>12468940.127586</v>
      </c>
      <c r="AG77" s="594" cm="1">
        <f t="array" ref="AG77">_xlfn.IFERROR(AF77/B77,"N/A")</f>
        <v>3117235.0318965</v>
      </c>
      <c r="AH77" s="424"/>
      <c r="AI77" t="str" s="604" cm="1">
        <f t="array" ref="AI77">IF(B77/VLOOKUP(C71,'Boats Data Sheet 2026'!$C$3:$H$57,6,0)&gt;VLOOKUP(C71,'Allocation OH and Target 2026'!$C$5:$J$23,8,0),IF(SUM(AJ73:AJ76)=0,AG77,"N/A"),"N/A")</f>
        <v>N/A</v>
      </c>
      <c r="AJ77" s="424" cm="1">
        <f t="array" ref="AJ77">IF(AI77="N/A",0,1)</f>
        <v>0</v>
      </c>
      <c r="AK77" t="str" s="595" cm="1">
        <f t="array" ref="AK77">IF(B77/VLOOKUP(C71,'Boats Data Sheet 2026'!$C$3:$H$57,6,0)&gt;VLOOKUP(C71,'Allocation OH and Target 2026'!$C$5:$J$23,8,0),IF(SUM(AJ73:AJ76)=0,U77/B77,"N/A"),"N/A")</f>
        <v>N/A</v>
      </c>
      <c r="AL77" s="424" cm="1">
        <f t="array" ref="AL77">IF(AK77="N/A",0,1)</f>
        <v>0</v>
      </c>
      <c r="AM77" t="str" s="605" cm="1">
        <f t="array" ref="AM77">IF(SUM(1250000+700000)*B77&lt;SUM(AC77:AD77),"NO GO","GO")</f>
        <v>NO GO</v>
      </c>
      <c r="AN77" s="424"/>
      <c r="AO77" t="s" s="598">
        <v>550</v>
      </c>
      <c r="AP77" s="594"/>
      <c r="AQ77" s="594"/>
      <c r="AR77" s="600"/>
      <c r="AS77" s="601" cm="1">
        <f t="array" ref="AS77">B77</f>
        <v>4</v>
      </c>
    </row>
    <row r="78" ht="16" customHeight="1">
      <c r="A78" s="12"/>
      <c r="B78" s="602" cm="1">
        <f t="array" ref="B78">IF(B77=0,0,IF(B77&lt;VLOOKUP(C71,'Boats Data Sheet 2026'!$C$3:$H$57,6,0),B77+1,0))</f>
        <v>5</v>
      </c>
      <c r="C78" s="594" cm="1">
        <f t="array" ref="C78">IF(B78&gt;0,IF(VLOOKUP(C71,'Boats Data Sheet 2026'!$C$3:$J$57,8,0)="N/A",0,VLOOKUP(C71,'Boats Data Sheet 2026'!$C$3:$J$57,8,0)),"N/A")</f>
        <v>0</v>
      </c>
      <c r="D78" s="603" cm="1">
        <f t="array" ref="D78">IF(B78&gt;7,2,IF(B78=0,"N/A",1))</f>
        <v>1</v>
      </c>
      <c r="E78" s="594" cm="1">
        <f t="array" ref="E78">_xlfn.IFERROR(SUM('Direct Costs 2026'!$C$4:$C$6)*D78,"N/A")</f>
        <v>975500</v>
      </c>
      <c r="F78" s="594" cm="1">
        <f t="array" ref="F78">_xlfn.IFERROR('Direct Costs 2026'!$C$43*B78,"N/A")</f>
        <v>30000</v>
      </c>
      <c r="G78" s="594" cm="1">
        <f t="array" ref="G78">IF(B78&gt;0,'Direct Costs 2026'!$C$25,"N/A")</f>
        <v>90000</v>
      </c>
      <c r="H78" s="594" cm="1">
        <f t="array" ref="H78">IF(B78&gt;0,'Direct Costs 2026'!$C$19+'Direct Costs 2026'!$C$18*B78,"N/A")</f>
        <v>250000</v>
      </c>
      <c r="I78" s="594" cm="1">
        <f t="array" ref="I78">IF(B78&gt;0,SUM('Direct Costs 2026'!$C$20:$C$21),"N/A")</f>
        <v>98333.3333333333</v>
      </c>
      <c r="J78" s="594" cm="1">
        <f t="array" ref="J78">IF(B78&gt;0,'Direct Costs 2026'!$C$14,"N/A")</f>
        <v>60000</v>
      </c>
      <c r="K78" s="594" cm="1">
        <f t="array" ref="K78">IF(B78&gt;0,'Direct Costs 2026'!$C$26,"N/A")</f>
        <v>20000</v>
      </c>
      <c r="L78" s="594" cm="1">
        <f t="array" ref="L78">IF(B78&gt;0,SUM('Direct Costs 2026'!$C$23:$C$24),"N/A")</f>
        <v>160000</v>
      </c>
      <c r="M78" s="594" cm="1">
        <f t="array" ref="M78">IF(B78&gt;0,'Direct Costs 2026'!$C$47*B78,"N/A")</f>
        <v>900000</v>
      </c>
      <c r="N78" s="594" cm="1">
        <f t="array" ref="N78">IF($B78&gt;0,'Direct Costs 2026'!$C$30,"N/A")</f>
        <v>440000</v>
      </c>
      <c r="O78" s="594" cm="1">
        <f t="array" ref="O78">IF($B78&gt;0,'Direct Costs 2026'!$C$31,"N/A")</f>
        <v>870000</v>
      </c>
      <c r="P78" s="594" cm="1">
        <f t="array" ref="P78">IF(B78&gt;0,'Direct Costs 2026'!$C$59*B78,"N/A")</f>
        <v>205000</v>
      </c>
      <c r="Q78" s="594" cm="1">
        <f t="array" ref="Q78">IF(B78&gt;0,_xlfn.IFERROR(VLOOKUP(C71,'Boats Data Sheet 2026'!$C$3:$I$57,7,0)*'Direct Costs 2026'!$C$36,"N/A"),"N/A")</f>
        <v>3325000</v>
      </c>
      <c r="R78" s="594" cm="1">
        <f t="array" ref="R78">IF(B78&gt;0,IF(OR(VLOOKUP(C71,'Boats Data Sheet 2026'!$C$3:$F$57,4,0)="Own",VLOOKUP(C71,'Boats Data Sheet 2026'!$C$3:$F$57,4,0)="Management"),('Direct Costs 2026'!$C$37+'Direct Costs 2026'!$C$39),"N/A"),"N/A")</f>
        <v>1112400</v>
      </c>
      <c r="S78" s="594" cm="1">
        <f t="array" ref="S78">_xlfn.IFERROR(IF(B78&gt;5,IF(B78&gt;11,IF(B78&gt;15,4,3),2),IF(B78=0,"N/A",1))*SUM('Direct Costs 2026'!$C$67:$C$68),"N/A")</f>
        <v>489600</v>
      </c>
      <c r="T78" s="594" cm="1">
        <f t="array" ref="T78">_xlfn.IFERROR('Direct Costs 2026'!$C$27*C78,"N/A")</f>
        <v>0</v>
      </c>
      <c r="U78" s="594" cm="1">
        <f t="array" ref="U78">_xlfn.IFERROR(C78+SUM(E78:T78),"N/A")</f>
        <v>9025833.33333333</v>
      </c>
      <c r="V78" s="424"/>
      <c r="W78" s="594" cm="1">
        <f t="array" ref="W78">IF(B78&gt;0,'Allocation OH and Target 2026'!$E$27,"N/A")</f>
        <v>2134447.30345641</v>
      </c>
      <c r="X78" s="594" cm="1">
        <f t="array" ref="X78">IF(B78&gt;0,'Allocation OH and Target 2026'!$E$28,"N/A")</f>
        <v>200042.323056976</v>
      </c>
      <c r="Y78" s="594" cm="1">
        <f t="array" ref="Y78">IF(B78&gt;0,VLOOKUP(C71,'Allocation OH and Target 2026'!$C$5:$T$23,17,0),"N/A")</f>
        <v>965292.639603957</v>
      </c>
      <c r="Z78" s="594" cm="1">
        <f t="array" ref="Z78">IF(B78&gt;0,VLOOKUP(C71,'Allocation OH and Target 2026'!$C$5:$T$23,18,0),"N/A")</f>
        <v>92851.9586666665</v>
      </c>
      <c r="AA78" s="594" cm="1">
        <f t="array" ref="AA78">_xlfn.IFERROR(B78*(X78+Z78),"N/A")</f>
        <v>1464471.40861821</v>
      </c>
      <c r="AB78" s="424"/>
      <c r="AC78" s="594" cm="1">
        <f t="array" ref="AC78">_xlfn.IFERROR(AA78+U78,"N/A")</f>
        <v>10490304.7419515</v>
      </c>
      <c r="AD78" s="594" cm="1">
        <f t="array" ref="AD78">_xlfn.IFERROR(AC78*0.5%,"N/A")</f>
        <v>52451.5237097575</v>
      </c>
      <c r="AE78" s="594" cm="1">
        <f t="array" ref="AE78">_xlfn.IFERROR(AC78*25%,"N/A")</f>
        <v>2622576.18548788</v>
      </c>
      <c r="AF78" s="596" cm="1">
        <f t="array" ref="AF78">IF(B78&gt;0,SUM(AC78:AE78),"N/A")</f>
        <v>13165332.4511491</v>
      </c>
      <c r="AG78" s="594" cm="1">
        <f t="array" ref="AG78">_xlfn.IFERROR(AF78/B78,"N/A")</f>
        <v>2633066.49022982</v>
      </c>
      <c r="AH78" s="424"/>
      <c r="AI78" t="str" s="604" cm="1">
        <f t="array" ref="AI78">IF(B78/VLOOKUP(C71,'Boats Data Sheet 2026'!$C$3:$H$57,6,0)&gt;VLOOKUP(C71,'Allocation OH and Target 2026'!$C$5:$J$23,8,0),IF(SUM(AJ73:AJ77)=0,AG78,"N/A"),"N/A")</f>
        <v>N/A</v>
      </c>
      <c r="AJ78" s="424" cm="1">
        <f t="array" ref="AJ78">IF(AI78="N/A",0,1)</f>
        <v>0</v>
      </c>
      <c r="AK78" t="str" s="595" cm="1">
        <f t="array" ref="AK78">IF(B78/VLOOKUP(C71,'Boats Data Sheet 2026'!$C$3:$H$57,6,0)&gt;VLOOKUP(C71,'Allocation OH and Target 2026'!$C$5:$J$23,8,0),IF(SUM(AJ73:AJ77)=0,U78/B78,"N/A"),"N/A")</f>
        <v>N/A</v>
      </c>
      <c r="AL78" s="424" cm="1">
        <f t="array" ref="AL78">IF(AK78="N/A",0,1)</f>
        <v>0</v>
      </c>
      <c r="AM78" t="str" s="605" cm="1">
        <f t="array" ref="AM78">IF(SUM(1250000+700000)*B78&lt;SUM(AC78:AD78),"NO GO","GO")</f>
        <v>NO GO</v>
      </c>
      <c r="AN78" s="424"/>
      <c r="AO78" t="s" s="598">
        <v>551</v>
      </c>
      <c r="AP78" s="614" cm="1">
        <f t="array" ref="AP78">(AC85/B85)*AP74</f>
        <v>2619486214.54023</v>
      </c>
      <c r="AQ78" s="594"/>
      <c r="AR78" s="600"/>
      <c r="AS78" s="601" cm="1">
        <f t="array" ref="AS78">B78</f>
        <v>5</v>
      </c>
    </row>
    <row r="79" ht="16" customHeight="1">
      <c r="A79" s="12"/>
      <c r="B79" s="602" cm="1">
        <f t="array" ref="B79">IF(B78=0,0,IF(B78&lt;VLOOKUP(C71,'Boats Data Sheet 2026'!$C$3:$H$57,6,0),B78+1,0))</f>
        <v>6</v>
      </c>
      <c r="C79" s="594" cm="1">
        <f t="array" ref="C79">IF(B79&gt;0,IF(VLOOKUP(C71,'Boats Data Sheet 2026'!$C$3:$J$57,8,0)="N/A",0,VLOOKUP(C71,'Boats Data Sheet 2026'!$C$3:$J$57,8,0)),"N/A")</f>
        <v>0</v>
      </c>
      <c r="D79" s="603" cm="1">
        <f t="array" ref="D79">IF(B79&gt;7,2,IF(B79=0,"N/A",1))</f>
        <v>1</v>
      </c>
      <c r="E79" s="594" cm="1">
        <f t="array" ref="E79">_xlfn.IFERROR(SUM('Direct Costs 2026'!$C$4:$C$6)*D79,"N/A")</f>
        <v>975500</v>
      </c>
      <c r="F79" s="594" cm="1">
        <f t="array" ref="F79">_xlfn.IFERROR('Direct Costs 2026'!$C$43*B79,"N/A")</f>
        <v>36000</v>
      </c>
      <c r="G79" s="594" cm="1">
        <f t="array" ref="G79">IF(B79&gt;0,'Direct Costs 2026'!$C$25,"N/A")</f>
        <v>90000</v>
      </c>
      <c r="H79" s="594" cm="1">
        <f t="array" ref="H79">IF(B79&gt;0,'Direct Costs 2026'!$C$19+'Direct Costs 2026'!$C$18*B79,"N/A")</f>
        <v>285000</v>
      </c>
      <c r="I79" s="594" cm="1">
        <f t="array" ref="I79">IF(B79&gt;0,SUM('Direct Costs 2026'!$C$20:$C$21),"N/A")</f>
        <v>98333.3333333333</v>
      </c>
      <c r="J79" s="594" cm="1">
        <f t="array" ref="J79">IF(B79&gt;0,'Direct Costs 2026'!$C$14,"N/A")</f>
        <v>60000</v>
      </c>
      <c r="K79" s="594" cm="1">
        <f t="array" ref="K79">IF(B79&gt;0,'Direct Costs 2026'!$C$26,"N/A")</f>
        <v>20000</v>
      </c>
      <c r="L79" s="594" cm="1">
        <f t="array" ref="L79">IF(B79&gt;0,SUM('Direct Costs 2026'!$C$23:$C$24),"N/A")</f>
        <v>160000</v>
      </c>
      <c r="M79" s="594" cm="1">
        <f t="array" ref="M79">IF(B79&gt;0,'Direct Costs 2026'!$C$47*B79,"N/A")</f>
        <v>1080000</v>
      </c>
      <c r="N79" s="594" cm="1">
        <f t="array" ref="N79">IF($B79&gt;0,'Direct Costs 2026'!$C$30,"N/A")</f>
        <v>440000</v>
      </c>
      <c r="O79" s="594" cm="1">
        <f t="array" ref="O79">IF($B79&gt;0,'Direct Costs 2026'!$C$31,"N/A")</f>
        <v>870000</v>
      </c>
      <c r="P79" s="594" cm="1">
        <f t="array" ref="P79">IF(B79&gt;0,'Direct Costs 2026'!$C$59*B79,"N/A")</f>
        <v>246000</v>
      </c>
      <c r="Q79" s="594" cm="1">
        <f t="array" ref="Q79">IF(B79&gt;0,_xlfn.IFERROR(VLOOKUP(C71,'Boats Data Sheet 2026'!$C$3:$I$57,7,0)*'Direct Costs 2026'!$C$36,"N/A"),"N/A")</f>
        <v>3325000</v>
      </c>
      <c r="R79" s="594" cm="1">
        <f t="array" ref="R79">IF(B79&gt;0,IF(OR(VLOOKUP(C71,'Boats Data Sheet 2026'!$C$3:$F$57,4,0)="Own",VLOOKUP(C71,'Boats Data Sheet 2026'!$C$3:$F$57,4,0)="Management"),('Direct Costs 2026'!$C$37+'Direct Costs 2026'!$C$39),"N/A"),"N/A")</f>
        <v>1112400</v>
      </c>
      <c r="S79" s="594" cm="1">
        <f t="array" ref="S79">_xlfn.IFERROR(IF(B79&gt;5,IF(B79&gt;11,IF(B79&gt;15,4,3),2),IF(B79=0,"N/A",1))*SUM('Direct Costs 2026'!$C$67:$C$68),"N/A")</f>
        <v>979200</v>
      </c>
      <c r="T79" s="594" cm="1">
        <f t="array" ref="T79">_xlfn.IFERROR('Direct Costs 2026'!$C$27*C79,"N/A")</f>
        <v>0</v>
      </c>
      <c r="U79" s="594" cm="1">
        <f t="array" ref="U79">_xlfn.IFERROR(C79+SUM(E79:T79),"N/A")</f>
        <v>9777433.33333333</v>
      </c>
      <c r="V79" s="424"/>
      <c r="W79" s="594" cm="1">
        <f t="array" ref="W79">IF(B79&gt;0,'Allocation OH and Target 2026'!$E$27,"N/A")</f>
        <v>2134447.30345641</v>
      </c>
      <c r="X79" s="594" cm="1">
        <f t="array" ref="X79">IF(B79&gt;0,'Allocation OH and Target 2026'!$E$28,"N/A")</f>
        <v>200042.323056976</v>
      </c>
      <c r="Y79" s="594" cm="1">
        <f t="array" ref="Y79">IF(B79&gt;0,VLOOKUP(C71,'Allocation OH and Target 2026'!$C$5:$T$23,17,0),"N/A")</f>
        <v>965292.639603957</v>
      </c>
      <c r="Z79" s="594" cm="1">
        <f t="array" ref="Z79">IF(B79&gt;0,VLOOKUP(C71,'Allocation OH and Target 2026'!$C$5:$T$23,18,0),"N/A")</f>
        <v>92851.9586666665</v>
      </c>
      <c r="AA79" s="594" cm="1">
        <f t="array" ref="AA79">_xlfn.IFERROR(B79*(X79+Z79),"N/A")</f>
        <v>1757365.69034186</v>
      </c>
      <c r="AB79" s="424"/>
      <c r="AC79" s="594" cm="1">
        <f t="array" ref="AC79">_xlfn.IFERROR(AA79+U79,"N/A")</f>
        <v>11534799.0236752</v>
      </c>
      <c r="AD79" s="594" cm="1">
        <f t="array" ref="AD79">_xlfn.IFERROR(AC79*0.5%,"N/A")</f>
        <v>57673.995118376</v>
      </c>
      <c r="AE79" s="594" cm="1">
        <f t="array" ref="AE79">_xlfn.IFERROR(AC79*25%,"N/A")</f>
        <v>2883699.7559188</v>
      </c>
      <c r="AF79" s="596" cm="1">
        <f t="array" ref="AF79">IF(B79&gt;0,SUM(AC79:AE79),"N/A")</f>
        <v>14476172.7747124</v>
      </c>
      <c r="AG79" s="594" cm="1">
        <f t="array" ref="AG79">_xlfn.IFERROR(AF79/B79,"N/A")</f>
        <v>2412695.46245207</v>
      </c>
      <c r="AH79" s="424"/>
      <c r="AI79" t="str" s="604" cm="1">
        <f t="array" ref="AI79">IF(B79/VLOOKUP(C71,'Boats Data Sheet 2026'!$C$3:$H$57,6,0)&gt;VLOOKUP(C71,'Allocation OH and Target 2026'!$C$5:$J$23,8,0),IF(SUM(AJ73:AJ78)=0,AG79,"N/A"),"N/A")</f>
        <v>N/A</v>
      </c>
      <c r="AJ79" s="424" cm="1">
        <f t="array" ref="AJ79">IF(AI79="N/A",0,1)</f>
        <v>0</v>
      </c>
      <c r="AK79" t="str" s="595" cm="1">
        <f t="array" ref="AK79">IF(B79/VLOOKUP(C71,'Boats Data Sheet 2026'!$C$3:$H$57,6,0)&gt;VLOOKUP(C71,'Allocation OH and Target 2026'!$C$5:$J$23,8,0),IF(SUM(AJ73:AJ78)=0,U79/B79,"N/A"),"N/A")</f>
        <v>N/A</v>
      </c>
      <c r="AL79" s="424" cm="1">
        <f t="array" ref="AL79">IF(AK79="N/A",0,1)</f>
        <v>0</v>
      </c>
      <c r="AM79" t="str" s="605" cm="1">
        <f t="array" ref="AM79">IF(SUM(1250000+700000)*B79&lt;SUM(AC79:AD79),"NO GO","GO")</f>
        <v>GO</v>
      </c>
      <c r="AN79" s="424"/>
      <c r="AO79" t="s" s="598">
        <v>394</v>
      </c>
      <c r="AP79" s="615" cm="1">
        <f t="array" ref="AP79">AP76-AP78</f>
        <v>1326763785.45977</v>
      </c>
      <c r="AQ79" s="594"/>
      <c r="AR79" s="600"/>
      <c r="AS79" s="601" cm="1">
        <f t="array" ref="AS79">B79</f>
        <v>6</v>
      </c>
    </row>
    <row r="80" ht="16" customHeight="1">
      <c r="A80" s="12"/>
      <c r="B80" s="602" cm="1">
        <f t="array" ref="B80">IF(B79=0,0,IF(B79&lt;VLOOKUP(C71,'Boats Data Sheet 2026'!$C$3:$H$57,6,0),B79+1,0))</f>
        <v>7</v>
      </c>
      <c r="C80" s="594" cm="1">
        <f t="array" ref="C80">IF(B80&gt;0,IF(VLOOKUP(C71,'Boats Data Sheet 2026'!$C$3:$J$57,8,0)="N/A",0,VLOOKUP(C71,'Boats Data Sheet 2026'!$C$3:$J$57,8,0)),"N/A")</f>
        <v>0</v>
      </c>
      <c r="D80" s="603" cm="1">
        <f t="array" ref="D80">IF(B80&gt;7,2,IF(B80=0,"N/A",1))</f>
        <v>1</v>
      </c>
      <c r="E80" s="594" cm="1">
        <f t="array" ref="E80">_xlfn.IFERROR(SUM('Direct Costs 2026'!$C$4:$C$6)*D80,"N/A")</f>
        <v>975500</v>
      </c>
      <c r="F80" s="594" cm="1">
        <f t="array" ref="F80">_xlfn.IFERROR('Direct Costs 2026'!$C$43*B80,"N/A")</f>
        <v>42000</v>
      </c>
      <c r="G80" s="594" cm="1">
        <f t="array" ref="G80">IF(B80&gt;0,'Direct Costs 2026'!$C$25,"N/A")</f>
        <v>90000</v>
      </c>
      <c r="H80" s="594" cm="1">
        <f t="array" ref="H80">IF(B80&gt;0,'Direct Costs 2026'!$C$19+'Direct Costs 2026'!$C$18*B80,"N/A")</f>
        <v>320000</v>
      </c>
      <c r="I80" s="594" cm="1">
        <f t="array" ref="I80">IF(B80&gt;0,SUM('Direct Costs 2026'!$C$20:$C$21),"N/A")</f>
        <v>98333.3333333333</v>
      </c>
      <c r="J80" s="594" cm="1">
        <f t="array" ref="J80">IF(B80&gt;0,'Direct Costs 2026'!$C$14,"N/A")</f>
        <v>60000</v>
      </c>
      <c r="K80" s="594" cm="1">
        <f t="array" ref="K80">IF(B80&gt;0,'Direct Costs 2026'!$C$26,"N/A")</f>
        <v>20000</v>
      </c>
      <c r="L80" s="594" cm="1">
        <f t="array" ref="L80">IF(B80&gt;0,SUM('Direct Costs 2026'!$C$23:$C$24),"N/A")</f>
        <v>160000</v>
      </c>
      <c r="M80" s="594" cm="1">
        <f t="array" ref="M80">IF(B80&gt;0,'Direct Costs 2026'!$C$47*B80,"N/A")</f>
        <v>1260000</v>
      </c>
      <c r="N80" s="594" cm="1">
        <f t="array" ref="N80">IF($B80&gt;0,'Direct Costs 2026'!$C$30,"N/A")</f>
        <v>440000</v>
      </c>
      <c r="O80" s="594" cm="1">
        <f t="array" ref="O80">IF($B80&gt;0,'Direct Costs 2026'!$C$31,"N/A")</f>
        <v>870000</v>
      </c>
      <c r="P80" s="594" cm="1">
        <f t="array" ref="P80">IF(B80&gt;0,'Direct Costs 2026'!$C$59*B80,"N/A")</f>
        <v>287000</v>
      </c>
      <c r="Q80" s="594" cm="1">
        <f t="array" ref="Q80">IF(B80&gt;0,_xlfn.IFERROR(VLOOKUP(C71,'Boats Data Sheet 2026'!$C$3:$I$57,7,0)*'Direct Costs 2026'!$C$36,"N/A"),"N/A")</f>
        <v>3325000</v>
      </c>
      <c r="R80" s="594" cm="1">
        <f t="array" ref="R80">IF(B80&gt;0,IF(OR(VLOOKUP(C71,'Boats Data Sheet 2026'!$C$3:$F$57,4,0)="Own",VLOOKUP(C71,'Boats Data Sheet 2026'!$C$3:$F$57,4,0)="Management"),('Direct Costs 2026'!$C$37+'Direct Costs 2026'!$C$39),"N/A"),"N/A")</f>
        <v>1112400</v>
      </c>
      <c r="S80" s="594" cm="1">
        <f t="array" ref="S80">_xlfn.IFERROR(IF(B80&gt;5,IF(B80&gt;11,IF(B80&gt;15,4,3),2),IF(B80=0,"N/A",1))*SUM('Direct Costs 2026'!$C$67:$C$68),"N/A")</f>
        <v>979200</v>
      </c>
      <c r="T80" s="594" cm="1">
        <f t="array" ref="T80">_xlfn.IFERROR('Direct Costs 2026'!$C$27*C80,"N/A")</f>
        <v>0</v>
      </c>
      <c r="U80" s="594" cm="1">
        <f t="array" ref="U80">_xlfn.IFERROR(C80+SUM(E80:T80),"N/A")</f>
        <v>10039433.3333333</v>
      </c>
      <c r="V80" s="424"/>
      <c r="W80" s="594" cm="1">
        <f t="array" ref="W80">IF(B80&gt;0,'Allocation OH and Target 2026'!$E$27,"N/A")</f>
        <v>2134447.30345641</v>
      </c>
      <c r="X80" s="594" cm="1">
        <f t="array" ref="X80">IF(B80&gt;0,'Allocation OH and Target 2026'!$E$28,"N/A")</f>
        <v>200042.323056976</v>
      </c>
      <c r="Y80" s="594" cm="1">
        <f t="array" ref="Y80">IF(B80&gt;0,VLOOKUP(C71,'Allocation OH and Target 2026'!$C$5:$T$23,17,0),"N/A")</f>
        <v>965292.639603957</v>
      </c>
      <c r="Z80" s="594" cm="1">
        <f t="array" ref="Z80">IF(B80&gt;0,VLOOKUP(C71,'Allocation OH and Target 2026'!$C$5:$T$23,18,0),"N/A")</f>
        <v>92851.9586666665</v>
      </c>
      <c r="AA80" s="594" cm="1">
        <f t="array" ref="AA80">_xlfn.IFERROR(B80*(X80+Z80),"N/A")</f>
        <v>2050259.9720655</v>
      </c>
      <c r="AB80" s="424"/>
      <c r="AC80" s="594" cm="1">
        <f t="array" ref="AC80">_xlfn.IFERROR(AA80+U80,"N/A")</f>
        <v>12089693.3053988</v>
      </c>
      <c r="AD80" s="594" cm="1">
        <f t="array" ref="AD80">_xlfn.IFERROR(AC80*0.5%,"N/A")</f>
        <v>60448.466526994</v>
      </c>
      <c r="AE80" s="594" cm="1">
        <f t="array" ref="AE80">_xlfn.IFERROR(AC80*25%,"N/A")</f>
        <v>3022423.3263497</v>
      </c>
      <c r="AF80" s="596" cm="1">
        <f t="array" ref="AF80">IF(B80&gt;0,SUM(AC80:AE80),"N/A")</f>
        <v>15172565.0982755</v>
      </c>
      <c r="AG80" s="594" cm="1">
        <f t="array" ref="AG80">_xlfn.IFERROR(AF80/B80,"N/A")</f>
        <v>2167509.29975364</v>
      </c>
      <c r="AH80" s="424"/>
      <c r="AI80" t="str" s="604" cm="1">
        <f t="array" ref="AI80">IF(B80/VLOOKUP(C71,'Boats Data Sheet 2026'!$C$3:$H$57,6,0)&gt;VLOOKUP(C71,'Allocation OH and Target 2026'!$C$5:$J$23,8,0),IF(SUM(AJ73:AJ79)=0,AG80,"N/A"),"N/A")</f>
        <v>N/A</v>
      </c>
      <c r="AJ80" s="424" cm="1">
        <f t="array" ref="AJ80">IF(AI80="N/A",0,1)</f>
        <v>0</v>
      </c>
      <c r="AK80" t="str" s="595" cm="1">
        <f t="array" ref="AK80">IF(B80/VLOOKUP(C71,'Boats Data Sheet 2026'!$C$3:$H$57,6,0)&gt;VLOOKUP(C71,'Allocation OH and Target 2026'!$C$5:$J$23,8,0),IF(SUM(AJ73:AJ79)=0,U80/B80,"N/A"),"N/A")</f>
        <v>N/A</v>
      </c>
      <c r="AL80" s="424" cm="1">
        <f t="array" ref="AL80">IF(AK80="N/A",0,1)</f>
        <v>0</v>
      </c>
      <c r="AM80" t="str" s="605" cm="1">
        <f t="array" ref="AM80">IF(SUM(1250000+700000)*B80&lt;SUM(AC80:AD80),"NO GO","GO")</f>
        <v>GO</v>
      </c>
      <c r="AN80" s="424"/>
      <c r="AO80" t="s" s="598">
        <v>590</v>
      </c>
      <c r="AP80" s="616" cm="1">
        <f t="array" ref="AP80">AP79*50%</f>
        <v>663381892.729885</v>
      </c>
      <c r="AQ80" s="594"/>
      <c r="AR80" s="600"/>
      <c r="AS80" s="601" cm="1">
        <f t="array" ref="AS80">B80</f>
        <v>7</v>
      </c>
    </row>
    <row r="81" ht="16" customHeight="1">
      <c r="A81" s="12"/>
      <c r="B81" s="602" cm="1">
        <f t="array" ref="B81">IF(B80=0,0,IF(B80&lt;VLOOKUP(C71,'Boats Data Sheet 2026'!$C$3:$H$57,6,0),B80+1,0))</f>
        <v>8</v>
      </c>
      <c r="C81" s="594" cm="1">
        <f t="array" ref="C81">IF(B81&gt;0,IF(VLOOKUP(C71,'Boats Data Sheet 2026'!$C$3:$J$57,8,0)="N/A",0,VLOOKUP(C71,'Boats Data Sheet 2026'!$C$3:$J$57,8,0)),"N/A")</f>
        <v>0</v>
      </c>
      <c r="D81" s="603" cm="1">
        <f t="array" ref="D81">IF(B81&gt;7,2,IF(B81=0,"N/A",1))</f>
        <v>2</v>
      </c>
      <c r="E81" s="594" cm="1">
        <f t="array" ref="E81">_xlfn.IFERROR(SUM('Direct Costs 2026'!$C$4:$C$6)*D81,"N/A")</f>
        <v>1951000</v>
      </c>
      <c r="F81" s="594" cm="1">
        <f t="array" ref="F81">_xlfn.IFERROR('Direct Costs 2026'!$C$43*B81,"N/A")</f>
        <v>48000</v>
      </c>
      <c r="G81" s="594" cm="1">
        <f t="array" ref="G81">IF(B81&gt;0,'Direct Costs 2026'!$C$25,"N/A")</f>
        <v>90000</v>
      </c>
      <c r="H81" s="594" cm="1">
        <f t="array" ref="H81">IF(B81&gt;0,'Direct Costs 2026'!$C$19+'Direct Costs 2026'!$C$18*B81,"N/A")</f>
        <v>355000</v>
      </c>
      <c r="I81" s="594" cm="1">
        <f t="array" ref="I81">IF(B81&gt;0,SUM('Direct Costs 2026'!$C$20:$C$21),"N/A")</f>
        <v>98333.3333333333</v>
      </c>
      <c r="J81" s="594" cm="1">
        <f t="array" ref="J81">IF(B81&gt;0,'Direct Costs 2026'!$C$14,"N/A")</f>
        <v>60000</v>
      </c>
      <c r="K81" s="594" cm="1">
        <f t="array" ref="K81">IF(B81&gt;0,'Direct Costs 2026'!$C$26,"N/A")</f>
        <v>20000</v>
      </c>
      <c r="L81" s="594" cm="1">
        <f t="array" ref="L81">IF(B81&gt;0,SUM('Direct Costs 2026'!$C$23:$C$24),"N/A")</f>
        <v>160000</v>
      </c>
      <c r="M81" s="594" cm="1">
        <f t="array" ref="M81">IF(B81&gt;0,'Direct Costs 2026'!$C$47*B81,"N/A")</f>
        <v>1440000</v>
      </c>
      <c r="N81" s="594" cm="1">
        <f t="array" ref="N81">IF($B81&gt;0,'Direct Costs 2026'!$C$30,"N/A")</f>
        <v>440000</v>
      </c>
      <c r="O81" s="594" cm="1">
        <f t="array" ref="O81">IF($B81&gt;0,'Direct Costs 2026'!$C$31,"N/A")</f>
        <v>870000</v>
      </c>
      <c r="P81" s="594" cm="1">
        <f t="array" ref="P81">IF(B81&gt;0,'Direct Costs 2026'!$C$59*B81,"N/A")</f>
        <v>328000</v>
      </c>
      <c r="Q81" s="594" cm="1">
        <f t="array" ref="Q81">IF(B81&gt;0,_xlfn.IFERROR(VLOOKUP(C71,'Boats Data Sheet 2026'!$C$3:$I$57,7,0)*'Direct Costs 2026'!$C$36,"N/A"),"N/A")</f>
        <v>3325000</v>
      </c>
      <c r="R81" s="594" cm="1">
        <f t="array" ref="R81">IF(B81&gt;0,IF(OR(VLOOKUP(C71,'Boats Data Sheet 2026'!$C$3:$F$57,4,0)="Own",VLOOKUP(C71,'Boats Data Sheet 2026'!$C$3:$F$57,4,0)="Management"),('Direct Costs 2026'!$C$37+'Direct Costs 2026'!$C$39),"N/A"),"N/A")</f>
        <v>1112400</v>
      </c>
      <c r="S81" s="594" cm="1">
        <f t="array" ref="S81">_xlfn.IFERROR(IF(B81&gt;5,IF(B81&gt;11,IF(B81&gt;15,4,3),2),IF(B81=0,"N/A",1))*SUM('Direct Costs 2026'!$C$67:$C$68),"N/A")</f>
        <v>979200</v>
      </c>
      <c r="T81" s="594" cm="1">
        <f t="array" ref="T81">_xlfn.IFERROR('Direct Costs 2026'!$C$27*C81,"N/A")</f>
        <v>0</v>
      </c>
      <c r="U81" s="594" cm="1">
        <f t="array" ref="U81">_xlfn.IFERROR(C81+SUM(E81:T81),"N/A")</f>
        <v>11276933.3333333</v>
      </c>
      <c r="V81" s="424"/>
      <c r="W81" s="594" cm="1">
        <f t="array" ref="W81">IF(B81&gt;0,'Allocation OH and Target 2026'!$E$27,"N/A")</f>
        <v>2134447.30345641</v>
      </c>
      <c r="X81" s="594" cm="1">
        <f t="array" ref="X81">IF(B81&gt;0,'Allocation OH and Target 2026'!$E$28,"N/A")</f>
        <v>200042.323056976</v>
      </c>
      <c r="Y81" s="594" cm="1">
        <f t="array" ref="Y81">IF(B81&gt;0,VLOOKUP(C71,'Allocation OH and Target 2026'!$C$5:$T$23,17,0),"N/A")</f>
        <v>965292.639603957</v>
      </c>
      <c r="Z81" s="594" cm="1">
        <f t="array" ref="Z81">IF(B81&gt;0,VLOOKUP(C71,'Allocation OH and Target 2026'!$C$5:$T$23,18,0),"N/A")</f>
        <v>92851.9586666665</v>
      </c>
      <c r="AA81" s="594" cm="1">
        <f t="array" ref="AA81">_xlfn.IFERROR(B81*(X81+Z81),"N/A")</f>
        <v>2343154.25378914</v>
      </c>
      <c r="AB81" s="424"/>
      <c r="AC81" s="594" cm="1">
        <f t="array" ref="AC81">_xlfn.IFERROR(AA81+U81,"N/A")</f>
        <v>13620087.5871224</v>
      </c>
      <c r="AD81" s="594" cm="1">
        <f t="array" ref="AD81">_xlfn.IFERROR(AC81*0.5%,"N/A")</f>
        <v>68100.437935612</v>
      </c>
      <c r="AE81" s="594" cm="1">
        <f t="array" ref="AE81">_xlfn.IFERROR(AC81*25%,"N/A")</f>
        <v>3405021.8967806</v>
      </c>
      <c r="AF81" s="596" cm="1">
        <f t="array" ref="AF81">IF(B81&gt;0,SUM(AC81:AE81),"N/A")</f>
        <v>17093209.9218386</v>
      </c>
      <c r="AG81" s="594" cm="1">
        <f t="array" ref="AG81">_xlfn.IFERROR(AF81/B81,"N/A")</f>
        <v>2136651.24022983</v>
      </c>
      <c r="AH81" s="424"/>
      <c r="AI81" t="str" s="604" cm="1">
        <f t="array" ref="AI81">IF(B81/VLOOKUP(C71,'Boats Data Sheet 2026'!$C$3:$H$57,6,0)&gt;VLOOKUP(C71,'Allocation OH and Target 2026'!$C$5:$J$23,8,0),IF(SUM(AJ73:AJ80)=0,AG81,"N/A"),"N/A")</f>
        <v>N/A</v>
      </c>
      <c r="AJ81" s="424" cm="1">
        <f t="array" ref="AJ81">IF(AI81="N/A",0,1)</f>
        <v>0</v>
      </c>
      <c r="AK81" t="str" s="595" cm="1">
        <f t="array" ref="AK81">IF(B81/VLOOKUP(C71,'Boats Data Sheet 2026'!$C$3:$H$57,6,0)&gt;VLOOKUP(C71,'Allocation OH and Target 2026'!$C$5:$J$23,8,0),IF(SUM(AJ73:AJ80)=0,U81/B81,"N/A"),"N/A")</f>
        <v>N/A</v>
      </c>
      <c r="AL81" s="424" cm="1">
        <f t="array" ref="AL81">IF(AK81="N/A",0,1)</f>
        <v>0</v>
      </c>
      <c r="AM81" t="str" s="605" cm="1">
        <f t="array" ref="AM81">IF(SUM(1250000+700000)*B81&lt;SUM(AC81:AD81),"NO GO","GO")</f>
        <v>GO</v>
      </c>
      <c r="AN81" s="424"/>
      <c r="AO81" s="594"/>
      <c r="AP81" s="594"/>
      <c r="AQ81" s="594"/>
      <c r="AR81" s="600"/>
      <c r="AS81" s="601" cm="1">
        <f t="array" ref="AS81">B81</f>
        <v>8</v>
      </c>
    </row>
    <row r="82" ht="16" customHeight="1">
      <c r="A82" s="12"/>
      <c r="B82" s="602" cm="1">
        <f t="array" ref="B82">IF(B81=0,0,IF(B81&lt;VLOOKUP(C71,'Boats Data Sheet 2026'!$C$3:$H$57,6,0),B81+1,0))</f>
        <v>9</v>
      </c>
      <c r="C82" s="594" cm="1">
        <f t="array" ref="C82">IF(B82&gt;0,IF(VLOOKUP(C71,'Boats Data Sheet 2026'!$C$3:$J$57,8,0)="N/A",0,VLOOKUP(C71,'Boats Data Sheet 2026'!$C$3:$J$57,8,0)),"N/A")</f>
        <v>0</v>
      </c>
      <c r="D82" s="603" cm="1">
        <f t="array" ref="D82">IF(B82&gt;7,2,IF(B82=0,"N/A",1))</f>
        <v>2</v>
      </c>
      <c r="E82" s="594" cm="1">
        <f t="array" ref="E82">_xlfn.IFERROR(SUM('Direct Costs 2026'!$C$4:$C$6)*D82,"N/A")</f>
        <v>1951000</v>
      </c>
      <c r="F82" s="594" cm="1">
        <f t="array" ref="F82">_xlfn.IFERROR('Direct Costs 2026'!$C$43*B82,"N/A")</f>
        <v>54000</v>
      </c>
      <c r="G82" s="594" cm="1">
        <f t="array" ref="G82">IF(B82&gt;0,'Direct Costs 2026'!$C$25,"N/A")</f>
        <v>90000</v>
      </c>
      <c r="H82" s="594" cm="1">
        <f t="array" ref="H82">IF(B82&gt;0,'Direct Costs 2026'!$C$19+'Direct Costs 2026'!$C$18*B82,"N/A")</f>
        <v>390000</v>
      </c>
      <c r="I82" s="594" cm="1">
        <f t="array" ref="I82">IF(B82&gt;0,SUM('Direct Costs 2026'!$C$20:$C$21),"N/A")</f>
        <v>98333.3333333333</v>
      </c>
      <c r="J82" s="594" cm="1">
        <f t="array" ref="J82">IF(B82&gt;0,'Direct Costs 2026'!$C$14,"N/A")</f>
        <v>60000</v>
      </c>
      <c r="K82" s="594" cm="1">
        <f t="array" ref="K82">IF(B82&gt;0,'Direct Costs 2026'!$C$26,"N/A")</f>
        <v>20000</v>
      </c>
      <c r="L82" s="594" cm="1">
        <f t="array" ref="L82">IF(B82&gt;0,SUM('Direct Costs 2026'!$C$23:$C$24),"N/A")</f>
        <v>160000</v>
      </c>
      <c r="M82" s="594" cm="1">
        <f t="array" ref="M82">IF(B82&gt;0,'Direct Costs 2026'!$C$47*B82,"N/A")</f>
        <v>1620000</v>
      </c>
      <c r="N82" s="594" cm="1">
        <f t="array" ref="N82">IF($B82&gt;0,'Direct Costs 2026'!$C$30,"N/A")</f>
        <v>440000</v>
      </c>
      <c r="O82" s="594" cm="1">
        <f t="array" ref="O82">IF($B82&gt;0,'Direct Costs 2026'!$C$31,"N/A")</f>
        <v>870000</v>
      </c>
      <c r="P82" s="594" cm="1">
        <f t="array" ref="P82">IF(B82&gt;0,'Direct Costs 2026'!$C$59*B82,"N/A")</f>
        <v>369000</v>
      </c>
      <c r="Q82" s="594" cm="1">
        <f t="array" ref="Q82">IF(B82&gt;0,_xlfn.IFERROR(VLOOKUP(C71,'Boats Data Sheet 2026'!$C$3:$I$57,7,0)*'Direct Costs 2026'!$C$36,"N/A"),"N/A")</f>
        <v>3325000</v>
      </c>
      <c r="R82" s="594" cm="1">
        <f t="array" ref="R82">IF(B82&gt;0,IF(OR(VLOOKUP(C71,'Boats Data Sheet 2026'!$C$3:$F$57,4,0)="Own",VLOOKUP(C71,'Boats Data Sheet 2026'!$C$3:$F$57,4,0)="Management"),('Direct Costs 2026'!$C$37+'Direct Costs 2026'!$C$39),"N/A"),"N/A")</f>
        <v>1112400</v>
      </c>
      <c r="S82" s="594" cm="1">
        <f t="array" ref="S82">_xlfn.IFERROR(IF(B82&gt;5,IF(B82&gt;11,IF(B82&gt;15,4,3),2),IF(B82=0,"N/A",1))*SUM('Direct Costs 2026'!$C$67:$C$68),"N/A")</f>
        <v>979200</v>
      </c>
      <c r="T82" s="594" cm="1">
        <f t="array" ref="T82">_xlfn.IFERROR('Direct Costs 2026'!$C$27*C82,"N/A")</f>
        <v>0</v>
      </c>
      <c r="U82" s="594" cm="1">
        <f t="array" ref="U82">_xlfn.IFERROR(C82+SUM(E82:T82),"N/A")</f>
        <v>11538933.3333333</v>
      </c>
      <c r="V82" s="424"/>
      <c r="W82" s="594" cm="1">
        <f t="array" ref="W82">IF(B82&gt;0,'Allocation OH and Target 2026'!$E$27,"N/A")</f>
        <v>2134447.30345641</v>
      </c>
      <c r="X82" s="594" cm="1">
        <f t="array" ref="X82">IF(B82&gt;0,'Allocation OH and Target 2026'!$E$28,"N/A")</f>
        <v>200042.323056976</v>
      </c>
      <c r="Y82" s="594" cm="1">
        <f t="array" ref="Y82">IF(B82&gt;0,VLOOKUP(C71,'Allocation OH and Target 2026'!$C$5:$T$23,17,0),"N/A")</f>
        <v>965292.639603957</v>
      </c>
      <c r="Z82" s="594" cm="1">
        <f t="array" ref="Z82">IF(B82&gt;0,VLOOKUP(C71,'Allocation OH and Target 2026'!$C$5:$T$23,18,0),"N/A")</f>
        <v>92851.9586666665</v>
      </c>
      <c r="AA82" s="594" cm="1">
        <f t="array" ref="AA82">_xlfn.IFERROR(B82*(X82+Z82),"N/A")</f>
        <v>2636048.53551278</v>
      </c>
      <c r="AB82" s="424"/>
      <c r="AC82" s="594" cm="1">
        <f t="array" ref="AC82">_xlfn.IFERROR(AA82+U82,"N/A")</f>
        <v>14174981.8688461</v>
      </c>
      <c r="AD82" s="594" cm="1">
        <f t="array" ref="AD82">_xlfn.IFERROR(AC82*0.5%,"N/A")</f>
        <v>70874.9093442305</v>
      </c>
      <c r="AE82" s="594" cm="1">
        <f t="array" ref="AE82">_xlfn.IFERROR(AC82*25%,"N/A")</f>
        <v>3543745.46721153</v>
      </c>
      <c r="AF82" s="596" cm="1">
        <f t="array" ref="AF82">IF(B82&gt;0,SUM(AC82:AE82),"N/A")</f>
        <v>17789602.2454019</v>
      </c>
      <c r="AG82" s="594" cm="1">
        <f t="array" ref="AG82">_xlfn.IFERROR(AF82/B82,"N/A")</f>
        <v>1976622.47171132</v>
      </c>
      <c r="AH82" s="424"/>
      <c r="AI82" t="str" s="604" cm="1">
        <f t="array" ref="AI82">IF(B82/VLOOKUP(C71,'Boats Data Sheet 2026'!$C$3:$H$57,6,0)&gt;VLOOKUP(C71,'Allocation OH and Target 2026'!$C$5:$J$23,8,0),IF(SUM(AJ73:AJ81)=0,AG82,"N/A"),"N/A")</f>
        <v>N/A</v>
      </c>
      <c r="AJ82" s="424" cm="1">
        <f t="array" ref="AJ82">IF(AI82="N/A",0,1)</f>
        <v>0</v>
      </c>
      <c r="AK82" t="str" s="595" cm="1">
        <f t="array" ref="AK82">IF(B82/VLOOKUP(C71,'Boats Data Sheet 2026'!$C$3:$H$57,6,0)&gt;VLOOKUP(C71,'Allocation OH and Target 2026'!$C$5:$J$23,8,0),IF(SUM(AJ73:AJ81)=0,U82/B82,"N/A"),"N/A")</f>
        <v>N/A</v>
      </c>
      <c r="AL82" s="424" cm="1">
        <f t="array" ref="AL82">IF(AK82="N/A",0,1)</f>
        <v>0</v>
      </c>
      <c r="AM82" t="str" s="605" cm="1">
        <f t="array" ref="AM82">IF(SUM(1250000+700000)*B82&lt;SUM(AC82:AD82),"NO GO","GO")</f>
        <v>GO</v>
      </c>
      <c r="AN82" s="424"/>
      <c r="AO82" s="594"/>
      <c r="AP82" s="594"/>
      <c r="AQ82" s="594"/>
      <c r="AR82" s="600"/>
      <c r="AS82" s="601" cm="1">
        <f t="array" ref="AS82">B82</f>
        <v>9</v>
      </c>
    </row>
    <row r="83" ht="16" customHeight="1">
      <c r="A83" s="12"/>
      <c r="B83" s="602" cm="1">
        <f t="array" ref="B83">IF(B82=0,0,IF(B82&lt;VLOOKUP(C71,'Boats Data Sheet 2026'!$C$3:$H$57,6,0),B82+1,0))</f>
        <v>10</v>
      </c>
      <c r="C83" s="594" cm="1">
        <f t="array" ref="C83">IF(B83&gt;0,IF(VLOOKUP(C71,'Boats Data Sheet 2026'!$C$3:$J$57,8,0)="N/A",0,VLOOKUP(C71,'Boats Data Sheet 2026'!$C$3:$J$57,8,0)),"N/A")</f>
        <v>0</v>
      </c>
      <c r="D83" s="603" cm="1">
        <f t="array" ref="D83">IF(B83&gt;7,2,IF(B83=0,"N/A",1))</f>
        <v>2</v>
      </c>
      <c r="E83" s="594" cm="1">
        <f t="array" ref="E83">_xlfn.IFERROR(SUM('Direct Costs 2026'!$C$4:$C$6)*D83,"N/A")</f>
        <v>1951000</v>
      </c>
      <c r="F83" s="594" cm="1">
        <f t="array" ref="F83">_xlfn.IFERROR('Direct Costs 2026'!$C$43*B83,"N/A")</f>
        <v>60000</v>
      </c>
      <c r="G83" s="594" cm="1">
        <f t="array" ref="G83">IF(B83&gt;0,'Direct Costs 2026'!$C$25,"N/A")</f>
        <v>90000</v>
      </c>
      <c r="H83" s="594" cm="1">
        <f t="array" ref="H83">IF(B83&gt;0,'Direct Costs 2026'!$C$19+'Direct Costs 2026'!$C$18*B83,"N/A")</f>
        <v>425000</v>
      </c>
      <c r="I83" s="594" cm="1">
        <f t="array" ref="I83">IF(B83&gt;0,SUM('Direct Costs 2026'!$C$20:$C$21),"N/A")</f>
        <v>98333.3333333333</v>
      </c>
      <c r="J83" s="594" cm="1">
        <f t="array" ref="J83">IF(B83&gt;0,'Direct Costs 2026'!$C$14,"N/A")</f>
        <v>60000</v>
      </c>
      <c r="K83" s="594" cm="1">
        <f t="array" ref="K83">IF(B83&gt;0,'Direct Costs 2026'!$C$26,"N/A")</f>
        <v>20000</v>
      </c>
      <c r="L83" s="594" cm="1">
        <f t="array" ref="L83">IF(B83&gt;0,SUM('Direct Costs 2026'!$C$23:$C$24),"N/A")</f>
        <v>160000</v>
      </c>
      <c r="M83" s="594" cm="1">
        <f t="array" ref="M83">IF(B83&gt;0,'Direct Costs 2026'!$C$47*B83,"N/A")</f>
        <v>1800000</v>
      </c>
      <c r="N83" s="594" cm="1">
        <f t="array" ref="N83">IF($B83&gt;0,'Direct Costs 2026'!$C$30,"N/A")</f>
        <v>440000</v>
      </c>
      <c r="O83" s="594" cm="1">
        <f t="array" ref="O83">IF($B83&gt;0,'Direct Costs 2026'!$C$31,"N/A")</f>
        <v>870000</v>
      </c>
      <c r="P83" s="594" cm="1">
        <f t="array" ref="P83">IF(B83&gt;0,'Direct Costs 2026'!$C$59*B83,"N/A")</f>
        <v>410000</v>
      </c>
      <c r="Q83" s="594" cm="1">
        <f t="array" ref="Q83">IF(B83&gt;0,_xlfn.IFERROR(VLOOKUP(C71,'Boats Data Sheet 2026'!$C$3:$I$57,7,0)*'Direct Costs 2026'!$C$36,"N/A"),"N/A")</f>
        <v>3325000</v>
      </c>
      <c r="R83" s="594" cm="1">
        <f t="array" ref="R83">IF(B83&gt;0,IF(OR(VLOOKUP(C71,'Boats Data Sheet 2026'!$C$3:$F$57,4,0)="Own",VLOOKUP(C71,'Boats Data Sheet 2026'!$C$3:$F$57,4,0)="Management"),('Direct Costs 2026'!$C$37+'Direct Costs 2026'!$C$39),"N/A"),"N/A")</f>
        <v>1112400</v>
      </c>
      <c r="S83" s="594" cm="1">
        <f t="array" ref="S83">_xlfn.IFERROR(IF(B83&gt;5,IF(B83&gt;11,IF(B83&gt;15,4,3),2),IF(B83=0,"N/A",1))*SUM('Direct Costs 2026'!$C$67:$C$68),"N/A")</f>
        <v>979200</v>
      </c>
      <c r="T83" s="594" cm="1">
        <f t="array" ref="T83">_xlfn.IFERROR('Direct Costs 2026'!$C$27*C83,"N/A")</f>
        <v>0</v>
      </c>
      <c r="U83" s="594" cm="1">
        <f t="array" ref="U83">_xlfn.IFERROR(C83+SUM(E83:T83),"N/A")</f>
        <v>11800933.3333333</v>
      </c>
      <c r="V83" s="424"/>
      <c r="W83" s="594" cm="1">
        <f t="array" ref="W83">IF(B83&gt;0,'Allocation OH and Target 2026'!$E$27,"N/A")</f>
        <v>2134447.30345641</v>
      </c>
      <c r="X83" s="594" cm="1">
        <f t="array" ref="X83">IF(B83&gt;0,'Allocation OH and Target 2026'!$E$28,"N/A")</f>
        <v>200042.323056976</v>
      </c>
      <c r="Y83" s="594" cm="1">
        <f t="array" ref="Y83">IF(B83&gt;0,VLOOKUP(C71,'Allocation OH and Target 2026'!$C$5:$T$23,17,0),"N/A")</f>
        <v>965292.639603957</v>
      </c>
      <c r="Z83" s="594" cm="1">
        <f t="array" ref="Z83">IF(B83&gt;0,VLOOKUP(C71,'Allocation OH and Target 2026'!$C$5:$T$23,18,0),"N/A")</f>
        <v>92851.9586666665</v>
      </c>
      <c r="AA83" s="594" cm="1">
        <f t="array" ref="AA83">_xlfn.IFERROR(B83*(X83+Z83),"N/A")</f>
        <v>2928942.81723643</v>
      </c>
      <c r="AB83" s="424"/>
      <c r="AC83" s="594" cm="1">
        <f t="array" ref="AC83">_xlfn.IFERROR(AA83+U83,"N/A")</f>
        <v>14729876.1505697</v>
      </c>
      <c r="AD83" s="594" cm="1">
        <f t="array" ref="AD83">_xlfn.IFERROR(AC83*0.5%,"N/A")</f>
        <v>73649.3807528485</v>
      </c>
      <c r="AE83" s="594" cm="1">
        <f t="array" ref="AE83">_xlfn.IFERROR(AC83*25%,"N/A")</f>
        <v>3682469.03764243</v>
      </c>
      <c r="AF83" s="596" cm="1">
        <f t="array" ref="AF83">IF(B83&gt;0,SUM(AC83:AE83),"N/A")</f>
        <v>18485994.568965</v>
      </c>
      <c r="AG83" s="594" cm="1">
        <f t="array" ref="AG83">_xlfn.IFERROR(AF83/B83,"N/A")</f>
        <v>1848599.4568965</v>
      </c>
      <c r="AH83" s="424"/>
      <c r="AI83" t="str" s="604" cm="1">
        <f t="array" ref="AI83">IF(B83/VLOOKUP(C71,'Boats Data Sheet 2026'!$C$3:$H$57,6,0)&gt;VLOOKUP(C71,'Allocation OH and Target 2026'!$C$5:$J$23,8,0),IF(SUM(AJ73:AJ82)=0,AG83,"N/A"),"N/A")</f>
        <v>N/A</v>
      </c>
      <c r="AJ83" s="424" cm="1">
        <f t="array" ref="AJ83">IF(AI83="N/A",0,1)</f>
        <v>0</v>
      </c>
      <c r="AK83" t="str" s="595" cm="1">
        <f t="array" ref="AK83">IF(B83/VLOOKUP(C71,'Boats Data Sheet 2026'!$C$3:$H$57,6,0)&gt;VLOOKUP(C71,'Allocation OH and Target 2026'!$C$5:$J$23,8,0),IF(SUM(AJ73:AJ82)=0,U83/B83,"N/A"),"N/A")</f>
        <v>N/A</v>
      </c>
      <c r="AL83" s="424" cm="1">
        <f t="array" ref="AL83">IF(AK83="N/A",0,1)</f>
        <v>0</v>
      </c>
      <c r="AM83" t="str" s="605" cm="1">
        <f t="array" ref="AM83">IF(SUM(1250000+700000)*B83&lt;SUM(AC83:AD83),"NO GO","GO")</f>
        <v>GO</v>
      </c>
      <c r="AN83" s="424"/>
      <c r="AO83" s="594"/>
      <c r="AP83" s="594"/>
      <c r="AQ83" s="594"/>
      <c r="AR83" s="600"/>
      <c r="AS83" s="601" cm="1">
        <f t="array" ref="AS83">B83</f>
        <v>10</v>
      </c>
    </row>
    <row r="84" ht="16" customHeight="1">
      <c r="A84" s="12"/>
      <c r="B84" s="602" cm="1">
        <f t="array" ref="B84">IF(B83=0,0,IF(B83&lt;VLOOKUP(C71,'Boats Data Sheet 2026'!$C$3:$H$57,6,0),B83+1,0))</f>
        <v>11</v>
      </c>
      <c r="C84" s="594" cm="1">
        <f t="array" ref="C84">IF(B84&gt;0,IF(VLOOKUP(C71,'Boats Data Sheet 2026'!$C$3:$J$57,8,0)="N/A",0,VLOOKUP(C71,'Boats Data Sheet 2026'!$C$3:$J$57,8,0)),"N/A")</f>
        <v>0</v>
      </c>
      <c r="D84" s="603" cm="1">
        <f t="array" ref="D84">IF(B84&gt;7,2,IF(B84=0,"N/A",1))</f>
        <v>2</v>
      </c>
      <c r="E84" s="594" cm="1">
        <f t="array" ref="E84">_xlfn.IFERROR(SUM('Direct Costs 2026'!$C$4:$C$6)*D84,"N/A")</f>
        <v>1951000</v>
      </c>
      <c r="F84" s="594" cm="1">
        <f t="array" ref="F84">_xlfn.IFERROR('Direct Costs 2026'!$C$43*B84,"N/A")</f>
        <v>66000</v>
      </c>
      <c r="G84" s="594" cm="1">
        <f t="array" ref="G84">IF(B84&gt;0,'Direct Costs 2026'!$C$25,"N/A")</f>
        <v>90000</v>
      </c>
      <c r="H84" s="594" cm="1">
        <f t="array" ref="H84">IF(B84&gt;0,'Direct Costs 2026'!$C$19+'Direct Costs 2026'!$C$18*B84,"N/A")</f>
        <v>460000</v>
      </c>
      <c r="I84" s="594" cm="1">
        <f t="array" ref="I84">IF(B84&gt;0,SUM('Direct Costs 2026'!$C$20:$C$21),"N/A")</f>
        <v>98333.3333333333</v>
      </c>
      <c r="J84" s="594" cm="1">
        <f t="array" ref="J84">IF(B84&gt;0,'Direct Costs 2026'!$C$14,"N/A")</f>
        <v>60000</v>
      </c>
      <c r="K84" s="594" cm="1">
        <f t="array" ref="K84">IF(B84&gt;0,'Direct Costs 2026'!$C$26,"N/A")</f>
        <v>20000</v>
      </c>
      <c r="L84" s="594" cm="1">
        <f t="array" ref="L84">IF(B84&gt;0,SUM('Direct Costs 2026'!$C$23:$C$24),"N/A")</f>
        <v>160000</v>
      </c>
      <c r="M84" s="594" cm="1">
        <f t="array" ref="M84">IF(B84&gt;0,'Direct Costs 2026'!$C$47*B84,"N/A")</f>
        <v>1980000</v>
      </c>
      <c r="N84" s="594" cm="1">
        <f t="array" ref="N84">IF($B84&gt;0,'Direct Costs 2026'!$C$30,"N/A")</f>
        <v>440000</v>
      </c>
      <c r="O84" s="594" cm="1">
        <f t="array" ref="O84">IF($B84&gt;0,'Direct Costs 2026'!$C$31,"N/A")</f>
        <v>870000</v>
      </c>
      <c r="P84" s="594" cm="1">
        <f t="array" ref="P84">IF(B84&gt;0,'Direct Costs 2026'!$C$59*B84,"N/A")</f>
        <v>451000</v>
      </c>
      <c r="Q84" s="594" cm="1">
        <f t="array" ref="Q84">IF(B84&gt;0,_xlfn.IFERROR(VLOOKUP(C71,'Boats Data Sheet 2026'!$C$3:$I$57,7,0)*'Direct Costs 2026'!$C$36,"N/A"),"N/A")</f>
        <v>3325000</v>
      </c>
      <c r="R84" s="594" cm="1">
        <f t="array" ref="R84">IF(B84&gt;0,IF(OR(VLOOKUP(C71,'Boats Data Sheet 2026'!$C$3:$F$57,4,0)="Own",VLOOKUP(C71,'Boats Data Sheet 2026'!$C$3:$F$57,4,0)="Management"),('Direct Costs 2026'!$C$37+'Direct Costs 2026'!$C$39),"N/A"),"N/A")</f>
        <v>1112400</v>
      </c>
      <c r="S84" s="594" cm="1">
        <f t="array" ref="S84">_xlfn.IFERROR(IF(B84&gt;5,IF(B84&gt;11,IF(B84&gt;15,4,3),2),IF(B84=0,"N/A",1))*SUM('Direct Costs 2026'!$C$67:$C$68),"N/A")</f>
        <v>979200</v>
      </c>
      <c r="T84" s="594" cm="1">
        <f t="array" ref="T84">_xlfn.IFERROR('Direct Costs 2026'!$C$27*C84,"N/A")</f>
        <v>0</v>
      </c>
      <c r="U84" s="594" cm="1">
        <f t="array" ref="U84">_xlfn.IFERROR(C84+SUM(E84:T84),"N/A")</f>
        <v>12062933.3333333</v>
      </c>
      <c r="V84" s="424"/>
      <c r="W84" s="594" cm="1">
        <f t="array" ref="W84">IF(B84&gt;0,'Allocation OH and Target 2026'!$E$27,"N/A")</f>
        <v>2134447.30345641</v>
      </c>
      <c r="X84" s="594" cm="1">
        <f t="array" ref="X84">IF(B84&gt;0,'Allocation OH and Target 2026'!$E$28,"N/A")</f>
        <v>200042.323056976</v>
      </c>
      <c r="Y84" s="594" cm="1">
        <f t="array" ref="Y84">IF(B84&gt;0,VLOOKUP(C71,'Allocation OH and Target 2026'!$C$5:$T$23,17,0),"N/A")</f>
        <v>965292.639603957</v>
      </c>
      <c r="Z84" s="594" cm="1">
        <f t="array" ref="Z84">IF(B84&gt;0,VLOOKUP(C71,'Allocation OH and Target 2026'!$C$5:$T$23,18,0),"N/A")</f>
        <v>92851.9586666665</v>
      </c>
      <c r="AA84" s="594" cm="1">
        <f t="array" ref="AA84">_xlfn.IFERROR(B84*(X84+Z84),"N/A")</f>
        <v>3221837.09896007</v>
      </c>
      <c r="AB84" s="424"/>
      <c r="AC84" s="594" cm="1">
        <f t="array" ref="AC84">_xlfn.IFERROR(AA84+U84,"N/A")</f>
        <v>15284770.4322934</v>
      </c>
      <c r="AD84" s="594" cm="1">
        <f t="array" ref="AD84">_xlfn.IFERROR(AC84*0.5%,"N/A")</f>
        <v>76423.852161467</v>
      </c>
      <c r="AE84" s="594" cm="1">
        <f t="array" ref="AE84">_xlfn.IFERROR(AC84*25%,"N/A")</f>
        <v>3821192.60807335</v>
      </c>
      <c r="AF84" s="596" cm="1">
        <f t="array" ref="AF84">IF(B84&gt;0,SUM(AC84:AE84),"N/A")</f>
        <v>19182386.8925282</v>
      </c>
      <c r="AG84" s="594" cm="1">
        <f t="array" ref="AG84">_xlfn.IFERROR(AF84/B84,"N/A")</f>
        <v>1743853.3538662</v>
      </c>
      <c r="AH84" s="424"/>
      <c r="AI84" s="596" cm="1">
        <f t="array" ref="AI84">IF(B84/VLOOKUP(C71,'Boats Data Sheet 2026'!$C$3:$H$57,6,0)&gt;VLOOKUP(C71,'Allocation OH and Target 2026'!$C$5:$J$23,8,0),IF(SUM(AJ73:AJ83)=0,AG84,"N/A"),"N/A")</f>
        <v>1743853.3538662</v>
      </c>
      <c r="AJ84" s="424" cm="1">
        <f t="array" ref="AJ84">IF(AI84="N/A",0,1)</f>
        <v>1</v>
      </c>
      <c r="AK84" s="594" cm="1">
        <f t="array" ref="AK84">IF(B84/VLOOKUP(C71,'Boats Data Sheet 2026'!$C$3:$H$57,6,0)&gt;VLOOKUP(C71,'Allocation OH and Target 2026'!$C$5:$J$23,8,0),IF(SUM(AJ73:AJ83)=0,U84/B84,"N/A"),"N/A")</f>
        <v>1096630.3030303</v>
      </c>
      <c r="AL84" s="424" cm="1">
        <f t="array" ref="AL84">IF(AK84="N/A",0,1)</f>
        <v>1</v>
      </c>
      <c r="AM84" t="str" s="605" cm="1">
        <f t="array" ref="AM84">IF(SUM(1250000+700000)*B84&lt;SUM(AC84:AD84),"NO GO","GO")</f>
        <v>GO</v>
      </c>
      <c r="AN84" s="424"/>
      <c r="AO84" s="594"/>
      <c r="AP84" s="594"/>
      <c r="AQ84" s="594"/>
      <c r="AR84" s="600"/>
      <c r="AS84" s="601" cm="1">
        <f t="array" ref="AS84">B84</f>
        <v>11</v>
      </c>
    </row>
    <row r="85" ht="16" customHeight="1">
      <c r="A85" s="12"/>
      <c r="B85" s="602" cm="1">
        <f t="array" ref="B85">IF(B84=0,0,IF(B84&lt;VLOOKUP(C71,'Boats Data Sheet 2026'!$C$3:$H$57,6,0),B84+1,0))</f>
        <v>12</v>
      </c>
      <c r="C85" s="594" cm="1">
        <f t="array" ref="C85">IF(B85&gt;0,IF(VLOOKUP(C71,'Boats Data Sheet 2026'!$C$3:$J$57,8,0)="N/A",0,VLOOKUP(C71,'Boats Data Sheet 2026'!$C$3:$J$57,8,0)),"N/A")</f>
        <v>0</v>
      </c>
      <c r="D85" s="603" cm="1">
        <f t="array" ref="D85">IF(B85&gt;7,2,IF(B85=0,"N/A",1))</f>
        <v>2</v>
      </c>
      <c r="E85" s="594" cm="1">
        <f t="array" ref="E85">_xlfn.IFERROR(SUM('Direct Costs 2026'!$C$4:$C$6)*D85,"N/A")</f>
        <v>1951000</v>
      </c>
      <c r="F85" s="594" cm="1">
        <f t="array" ref="F85">_xlfn.IFERROR('Direct Costs 2026'!$C$43*B85,"N/A")</f>
        <v>72000</v>
      </c>
      <c r="G85" s="594" cm="1">
        <f t="array" ref="G85">IF(B85&gt;0,'Direct Costs 2026'!$C$25,"N/A")</f>
        <v>90000</v>
      </c>
      <c r="H85" s="594" cm="1">
        <f t="array" ref="H85">IF(B85&gt;0,'Direct Costs 2026'!$C$19+'Direct Costs 2026'!$C$18*B85,"N/A")</f>
        <v>495000</v>
      </c>
      <c r="I85" s="594" cm="1">
        <f t="array" ref="I85">IF(B85&gt;0,SUM('Direct Costs 2026'!$C$20:$C$21),"N/A")</f>
        <v>98333.3333333333</v>
      </c>
      <c r="J85" s="594" cm="1">
        <f t="array" ref="J85">IF(B85&gt;0,'Direct Costs 2026'!$C$14,"N/A")</f>
        <v>60000</v>
      </c>
      <c r="K85" s="594" cm="1">
        <f t="array" ref="K85">IF(B85&gt;0,'Direct Costs 2026'!$C$26,"N/A")</f>
        <v>20000</v>
      </c>
      <c r="L85" s="594" cm="1">
        <f t="array" ref="L85">IF(B85&gt;0,SUM('Direct Costs 2026'!$C$23:$C$24),"N/A")</f>
        <v>160000</v>
      </c>
      <c r="M85" s="594" cm="1">
        <f t="array" ref="M85">IF(B85&gt;0,'Direct Costs 2026'!$C$47*B85,"N/A")</f>
        <v>2160000</v>
      </c>
      <c r="N85" s="594" cm="1">
        <f t="array" ref="N85">IF($B85&gt;0,'Direct Costs 2026'!$C$30,"N/A")</f>
        <v>440000</v>
      </c>
      <c r="O85" s="594" cm="1">
        <f t="array" ref="O85">IF($B85&gt;0,'Direct Costs 2026'!$C$31,"N/A")</f>
        <v>870000</v>
      </c>
      <c r="P85" s="594" cm="1">
        <f t="array" ref="P85">IF(B85&gt;0,'Direct Costs 2026'!$C$59*B85,"N/A")</f>
        <v>492000</v>
      </c>
      <c r="Q85" s="594" cm="1">
        <f t="array" ref="Q85">IF(B85&gt;0,_xlfn.IFERROR(VLOOKUP(C71,'Boats Data Sheet 2026'!$C$3:$I$57,7,0)*'Direct Costs 2026'!$C$36,"N/A"),"N/A")</f>
        <v>3325000</v>
      </c>
      <c r="R85" s="594" cm="1">
        <f t="array" ref="R85">IF(B85&gt;0,IF(OR(VLOOKUP(C71,'Boats Data Sheet 2026'!$C$3:$F$57,4,0)="Own",VLOOKUP(C71,'Boats Data Sheet 2026'!$C$3:$F$57,4,0)="Management"),('Direct Costs 2026'!$C$37+'Direct Costs 2026'!$C$39),"N/A"),"N/A")</f>
        <v>1112400</v>
      </c>
      <c r="S85" s="594" cm="1">
        <f t="array" ref="S85">_xlfn.IFERROR(IF(B85&gt;5,IF(B85&gt;11,IF(B85&gt;15,4,3),2),IF(B85=0,"N/A",1))*SUM('Direct Costs 2026'!$C$67:$C$68),"N/A")</f>
        <v>1468800</v>
      </c>
      <c r="T85" s="594" cm="1">
        <f t="array" ref="T85">_xlfn.IFERROR('Direct Costs 2026'!$C$27*C85,"N/A")</f>
        <v>0</v>
      </c>
      <c r="U85" s="594" cm="1">
        <f t="array" ref="U85">_xlfn.IFERROR(C85+SUM(E85:T85),"N/A")</f>
        <v>12814533.3333333</v>
      </c>
      <c r="V85" s="424"/>
      <c r="W85" s="594" cm="1">
        <f t="array" ref="W85">IF(B85&gt;0,'Allocation OH and Target 2026'!$E$27,"N/A")</f>
        <v>2134447.30345641</v>
      </c>
      <c r="X85" s="594" cm="1">
        <f t="array" ref="X85">IF(B85&gt;0,'Allocation OH and Target 2026'!$E$28,"N/A")</f>
        <v>200042.323056976</v>
      </c>
      <c r="Y85" s="594" cm="1">
        <f t="array" ref="Y85">IF(B85&gt;0,VLOOKUP(C71,'Allocation OH and Target 2026'!$C$5:$T$23,17,0),"N/A")</f>
        <v>965292.639603957</v>
      </c>
      <c r="Z85" s="594" cm="1">
        <f t="array" ref="Z85">IF(B85&gt;0,VLOOKUP(C71,'Allocation OH and Target 2026'!$C$5:$T$23,18,0),"N/A")</f>
        <v>92851.9586666665</v>
      </c>
      <c r="AA85" s="594" cm="1">
        <f t="array" ref="AA85">_xlfn.IFERROR(B85*(X85+Z85),"N/A")</f>
        <v>3514731.38068371</v>
      </c>
      <c r="AB85" s="424"/>
      <c r="AC85" s="594" cm="1">
        <f t="array" ref="AC85">_xlfn.IFERROR(AA85+U85,"N/A")</f>
        <v>16329264.714017</v>
      </c>
      <c r="AD85" s="594" cm="1">
        <f t="array" ref="AD85">_xlfn.IFERROR(AC85*0.5%,"N/A")</f>
        <v>81646.323570085005</v>
      </c>
      <c r="AE85" s="594" cm="1">
        <f t="array" ref="AE85">_xlfn.IFERROR(AC85*25%,"N/A")</f>
        <v>4082316.17850425</v>
      </c>
      <c r="AF85" s="596" cm="1">
        <f t="array" ref="AF85">IF(B85&gt;0,SUM(AC85:AE85),"N/A")</f>
        <v>20493227.2160913</v>
      </c>
      <c r="AG85" s="594" cm="1">
        <f t="array" ref="AG85">_xlfn.IFERROR(AF85/B85,"N/A")</f>
        <v>1707768.93467428</v>
      </c>
      <c r="AH85" s="424"/>
      <c r="AI85" t="str" s="604" cm="1">
        <f t="array" ref="AI85">IF(B85/VLOOKUP(C71,'Boats Data Sheet 2026'!$C$3:$H$57,6,0)&gt;VLOOKUP(C71,'Allocation OH and Target 2026'!$C$5:$J$23,8,0),IF(SUM(AJ73:AJ84)=0,AG85,"N/A"),"N/A")</f>
        <v>N/A</v>
      </c>
      <c r="AJ85" s="424" cm="1">
        <f t="array" ref="AJ85">IF(AI85="N/A",0,1)</f>
        <v>0</v>
      </c>
      <c r="AK85" t="str" s="595" cm="1">
        <f t="array" ref="AK85">IF(B85/VLOOKUP(C71,'Boats Data Sheet 2026'!$C$3:$H$57,6,0)&gt;VLOOKUP(C71,'Allocation OH and Target 2026'!$C$5:$J$23,8,0),IF(SUM(AJ73:AJ84)=0,U85/B85,"N/A"),"N/A")</f>
        <v>N/A</v>
      </c>
      <c r="AL85" s="424" cm="1">
        <f t="array" ref="AL85">IF(AK85="N/A",0,1)</f>
        <v>0</v>
      </c>
      <c r="AM85" t="str" s="605" cm="1">
        <f t="array" ref="AM85">IF(SUM(1250000+700000)*B85&lt;SUM(AC85:AD85),"NO GO","GO")</f>
        <v>GO</v>
      </c>
      <c r="AN85" s="424"/>
      <c r="AO85" s="594"/>
      <c r="AP85" s="594"/>
      <c r="AQ85" s="594"/>
      <c r="AR85" s="600"/>
      <c r="AS85" s="601" cm="1">
        <f t="array" ref="AS85">B85</f>
        <v>12</v>
      </c>
    </row>
    <row r="86" ht="16" customHeight="1">
      <c r="A86" s="12"/>
      <c r="B86" s="602" cm="1">
        <f t="array" ref="B86">IF(B85=0,0,IF(B85&lt;VLOOKUP(C71,'Boats Data Sheet 2026'!$C$3:$H$57,6,0),B85+1,0))</f>
        <v>13</v>
      </c>
      <c r="C86" s="594" cm="1">
        <f t="array" ref="C86">IF(B86&gt;0,IF(VLOOKUP(C71,'Boats Data Sheet 2026'!$C$3:$J$57,8,0)="N/A",0,VLOOKUP(C71,'Boats Data Sheet 2026'!$C$3:$J$57,8,0)),"N/A")</f>
        <v>0</v>
      </c>
      <c r="D86" s="603" cm="1">
        <f t="array" ref="D86">IF(B86&gt;7,2,IF(B86=0,"N/A",1))</f>
        <v>2</v>
      </c>
      <c r="E86" s="594" cm="1">
        <f t="array" ref="E86">_xlfn.IFERROR(SUM('Direct Costs 2026'!$C$4:$C$6)*D86,"N/A")</f>
        <v>1951000</v>
      </c>
      <c r="F86" s="594" cm="1">
        <f t="array" ref="F86">_xlfn.IFERROR('Direct Costs 2026'!$C$43*B86,"N/A")</f>
        <v>78000</v>
      </c>
      <c r="G86" s="594" cm="1">
        <f t="array" ref="G86">IF(B86&gt;0,'Direct Costs 2026'!$C$25,"N/A")</f>
        <v>90000</v>
      </c>
      <c r="H86" s="594" cm="1">
        <f t="array" ref="H86">IF(B86&gt;0,'Direct Costs 2026'!$C$19+'Direct Costs 2026'!$C$18*B86,"N/A")</f>
        <v>530000</v>
      </c>
      <c r="I86" s="594" cm="1">
        <f t="array" ref="I86">IF(B86&gt;0,SUM('Direct Costs 2026'!$C$20:$C$21),"N/A")</f>
        <v>98333.3333333333</v>
      </c>
      <c r="J86" s="594" cm="1">
        <f t="array" ref="J86">IF(B86&gt;0,'Direct Costs 2026'!$C$14,"N/A")</f>
        <v>60000</v>
      </c>
      <c r="K86" s="594" cm="1">
        <f t="array" ref="K86">IF(B86&gt;0,'Direct Costs 2026'!$C$26,"N/A")</f>
        <v>20000</v>
      </c>
      <c r="L86" s="594" cm="1">
        <f t="array" ref="L86">IF(B86&gt;0,SUM('Direct Costs 2026'!$C$23:$C$24),"N/A")</f>
        <v>160000</v>
      </c>
      <c r="M86" s="594" cm="1">
        <f t="array" ref="M86">IF(B86&gt;0,'Direct Costs 2026'!$C$47*B86,"N/A")</f>
        <v>2340000</v>
      </c>
      <c r="N86" s="594" cm="1">
        <f t="array" ref="N86">IF($B86&gt;0,'Direct Costs 2026'!$C$30,"N/A")</f>
        <v>440000</v>
      </c>
      <c r="O86" s="594" cm="1">
        <f t="array" ref="O86">IF($B86&gt;0,'Direct Costs 2026'!$C$31,"N/A")</f>
        <v>870000</v>
      </c>
      <c r="P86" s="594" cm="1">
        <f t="array" ref="P86">IF(B86&gt;0,'Direct Costs 2026'!$C$59*B86,"N/A")</f>
        <v>533000</v>
      </c>
      <c r="Q86" s="594" cm="1">
        <f t="array" ref="Q86">IF(B86&gt;0,_xlfn.IFERROR(VLOOKUP(C71,'Boats Data Sheet 2026'!$C$3:$I$57,7,0)*'Direct Costs 2026'!$C$36,"N/A"),"N/A")</f>
        <v>3325000</v>
      </c>
      <c r="R86" s="594" cm="1">
        <f t="array" ref="R86">IF(B86&gt;0,IF(OR(VLOOKUP(C71,'Boats Data Sheet 2026'!$C$3:$F$57,4,0)="Own",VLOOKUP(C71,'Boats Data Sheet 2026'!$C$3:$F$57,4,0)="Management"),('Direct Costs 2026'!$C$37+'Direct Costs 2026'!$C$39),"N/A"),"N/A")</f>
        <v>1112400</v>
      </c>
      <c r="S86" s="594" cm="1">
        <f t="array" ref="S86">_xlfn.IFERROR(IF(B86&gt;5,IF(B86&gt;11,IF(B86&gt;15,4,3),2),IF(B86=0,"N/A",1))*SUM('Direct Costs 2026'!$C$67:$C$68),"N/A")</f>
        <v>1468800</v>
      </c>
      <c r="T86" s="594" cm="1">
        <f t="array" ref="T86">_xlfn.IFERROR('Direct Costs 2026'!$C$27*C86,"N/A")</f>
        <v>0</v>
      </c>
      <c r="U86" s="594" cm="1">
        <f t="array" ref="U86">_xlfn.IFERROR(C86+SUM(E86:T86),"N/A")</f>
        <v>13076533.3333333</v>
      </c>
      <c r="V86" s="424"/>
      <c r="W86" s="594" cm="1">
        <f t="array" ref="W86">IF(B86&gt;0,'Allocation OH and Target 2026'!$E$27,"N/A")</f>
        <v>2134447.30345641</v>
      </c>
      <c r="X86" s="594" cm="1">
        <f t="array" ref="X86">IF(B86&gt;0,'Allocation OH and Target 2026'!$E$28,"N/A")</f>
        <v>200042.323056976</v>
      </c>
      <c r="Y86" s="594" cm="1">
        <f t="array" ref="Y86">IF(B86&gt;0,VLOOKUP(C71,'Allocation OH and Target 2026'!$C$5:$T$23,17,0),"N/A")</f>
        <v>965292.639603957</v>
      </c>
      <c r="Z86" s="594" cm="1">
        <f t="array" ref="Z86">IF(B86&gt;0,VLOOKUP(C71,'Allocation OH and Target 2026'!$C$5:$T$23,18,0),"N/A")</f>
        <v>92851.9586666665</v>
      </c>
      <c r="AA86" s="594" cm="1">
        <f t="array" ref="AA86">_xlfn.IFERROR(B86*(X86+Z86),"N/A")</f>
        <v>3807625.66240735</v>
      </c>
      <c r="AB86" s="424"/>
      <c r="AC86" s="594" cm="1">
        <f t="array" ref="AC86">_xlfn.IFERROR(AA86+U86,"N/A")</f>
        <v>16884158.9957407</v>
      </c>
      <c r="AD86" s="594" cm="1">
        <f t="array" ref="AD86">_xlfn.IFERROR(AC86*0.5%,"N/A")</f>
        <v>84420.7949787035</v>
      </c>
      <c r="AE86" s="594" cm="1">
        <f t="array" ref="AE86">_xlfn.IFERROR(AC86*25%,"N/A")</f>
        <v>4221039.74893518</v>
      </c>
      <c r="AF86" s="596" cm="1">
        <f t="array" ref="AF86">IF(B86&gt;0,SUM(AC86:AE86),"N/A")</f>
        <v>21189619.5396546</v>
      </c>
      <c r="AG86" s="594" cm="1">
        <f t="array" ref="AG86">_xlfn.IFERROR(AF86/B86,"N/A")</f>
        <v>1629970.73381958</v>
      </c>
      <c r="AH86" s="424"/>
      <c r="AI86" t="str" s="604" cm="1">
        <f t="array" ref="AI86">IF(B86/VLOOKUP(C71,'Boats Data Sheet 2026'!$C$3:$H$57,6,0)&gt;VLOOKUP(C71,'Allocation OH and Target 2026'!$C$5:$J$23,8,0),IF(SUM(AJ73:AJ85)=0,AG86,"N/A"),"N/A")</f>
        <v>N/A</v>
      </c>
      <c r="AJ86" s="424" cm="1">
        <f t="array" ref="AJ86">IF(AI86="N/A",0,1)</f>
        <v>0</v>
      </c>
      <c r="AK86" t="str" s="595" cm="1">
        <f t="array" ref="AK86">IF(B86/VLOOKUP(C71,'Boats Data Sheet 2026'!$C$3:$H$57,6,0)&gt;VLOOKUP(C71,'Allocation OH and Target 2026'!$C$5:$J$23,8,0),IF(SUM(AJ73:AJ85)=0,U86/B86,"N/A"),"N/A")</f>
        <v>N/A</v>
      </c>
      <c r="AL86" s="424" cm="1">
        <f t="array" ref="AL86">IF(AK86="N/A",0,1)</f>
        <v>0</v>
      </c>
      <c r="AM86" t="str" s="605" cm="1">
        <f t="array" ref="AM86">IF(SUM(1250000+700000)*B86&lt;SUM(AC86:AD86),"NO GO","GO")</f>
        <v>GO</v>
      </c>
      <c r="AN86" s="424"/>
      <c r="AO86" s="594"/>
      <c r="AP86" s="594"/>
      <c r="AQ86" s="594"/>
      <c r="AR86" s="600"/>
      <c r="AS86" s="601" cm="1">
        <f t="array" ref="AS86">B86</f>
        <v>13</v>
      </c>
    </row>
    <row r="87" ht="16" customHeight="1">
      <c r="A87" s="12"/>
      <c r="B87" s="602" cm="1">
        <f t="array" ref="B87">IF(B86=0,0,IF(B86&lt;VLOOKUP(C71,'Boats Data Sheet 2026'!$C$3:$H$57,6,0),B86+1,0))</f>
        <v>0</v>
      </c>
      <c r="C87" t="str" s="595" cm="1">
        <f t="array" ref="C87">IF(B87&gt;0,IF(VLOOKUP(C71,'Boats Data Sheet 2026'!$C$3:$J$57,8,0)="N/A",0,VLOOKUP(C71,'Boats Data Sheet 2026'!$C$3:$J$57,8,0)),"N/A")</f>
        <v>N/A</v>
      </c>
      <c r="D87" t="str" s="595" cm="1">
        <f t="array" ref="D87">IF(B87&gt;7,2,IF(B87=0,"N/A",1))</f>
        <v>N/A</v>
      </c>
      <c r="E87" t="str" s="595" cm="1">
        <f t="array" ref="E87">_xlfn.IFERROR(SUM('Direct Costs 2026'!$C$4:$C$6)*D87,"N/A")</f>
        <v>N/A</v>
      </c>
      <c r="F87" s="594" cm="1">
        <f t="array" ref="F87">_xlfn.IFERROR('Direct Costs 2026'!$C$43*B87,"N/A")</f>
        <v>0</v>
      </c>
      <c r="G87" t="str" s="595" cm="1">
        <f t="array" ref="G87">IF(B87&gt;0,'Direct Costs 2026'!$C$25,"N/A")</f>
        <v>N/A</v>
      </c>
      <c r="H87" t="str" s="595" cm="1">
        <f t="array" ref="H87">IF(B87&gt;0,'Direct Costs 2026'!$C$19+'Direct Costs 2026'!$C$18*B87,"N/A")</f>
        <v>N/A</v>
      </c>
      <c r="I87" t="str" s="595" cm="1">
        <f t="array" ref="I87">IF(B87&gt;0,SUM('Direct Costs 2026'!$C$20:$C$21),"N/A")</f>
        <v>N/A</v>
      </c>
      <c r="J87" t="str" s="595" cm="1">
        <f t="array" ref="J87">IF(B87&gt;0,'Direct Costs 2026'!$C$14,"N/A")</f>
        <v>N/A</v>
      </c>
      <c r="K87" t="str" s="595" cm="1">
        <f t="array" ref="K87">IF(B87&gt;0,'Direct Costs 2026'!$C$26,"N/A")</f>
        <v>N/A</v>
      </c>
      <c r="L87" t="str" s="595" cm="1">
        <f t="array" ref="L87">IF(B87&gt;0,SUM('Direct Costs 2026'!$C$23:$C$24),"N/A")</f>
        <v>N/A</v>
      </c>
      <c r="M87" t="str" s="595" cm="1">
        <f t="array" ref="M87">IF(B87&gt;0,'Direct Costs 2026'!$C$47*B87,"N/A")</f>
        <v>N/A</v>
      </c>
      <c r="N87" t="str" s="595" cm="1">
        <f t="array" ref="N87">IF($B87&gt;0,'Direct Costs 2026'!$C$30,"N/A")</f>
        <v>N/A</v>
      </c>
      <c r="O87" t="str" s="595" cm="1">
        <f t="array" ref="O87">IF($B87&gt;0,'Direct Costs 2026'!$C$31,"N/A")</f>
        <v>N/A</v>
      </c>
      <c r="P87" t="str" s="595" cm="1">
        <f t="array" ref="P87">IF(B87&gt;0,'Direct Costs 2026'!$C$59*B87,"N/A")</f>
        <v>N/A</v>
      </c>
      <c r="Q87" t="str" s="595" cm="1">
        <f t="array" ref="Q87">IF(B87&gt;0,_xlfn.IFERROR(VLOOKUP(C71,'Boats Data Sheet 2026'!$C$3:$I$57,7,0)*'Direct Costs 2026'!$C$36,"N/A"),"N/A")</f>
        <v>N/A</v>
      </c>
      <c r="R87" t="str" s="595" cm="1">
        <f t="array" ref="R87">IF(B87&gt;0,IF(OR(VLOOKUP(C71,'Boats Data Sheet 2026'!$C$3:$F$57,4,0)="Own",VLOOKUP(C71,'Boats Data Sheet 2026'!$C$3:$F$57,4,0)="Management"),('Direct Costs 2026'!$C$37+'Direct Costs 2026'!$C$39),"N/A"),"N/A")</f>
        <v>N/A</v>
      </c>
      <c r="S87" t="str" s="595" cm="1">
        <f t="array" ref="S87">_xlfn.IFERROR(IF(B87&gt;5,IF(B87&gt;11,IF(B87&gt;15,4,3),2),IF(B87=0,"N/A",1))*SUM('Direct Costs 2026'!$C$67:$C$68),"N/A")</f>
        <v>N/A</v>
      </c>
      <c r="T87" t="str" s="595" cm="1">
        <f t="array" ref="T87">_xlfn.IFERROR('Direct Costs 2026'!$C$27*C87,"N/A")</f>
        <v>N/A</v>
      </c>
      <c r="U87" t="str" s="595" cm="1">
        <f t="array" ref="U87">_xlfn.IFERROR(C87+SUM(E87:T87),"N/A")</f>
        <v>N/A</v>
      </c>
      <c r="V87" s="424"/>
      <c r="W87" t="str" s="595" cm="1">
        <f t="array" ref="W87">IF(B87&gt;0,'Allocation OH and Target 2026'!$E$27,"N/A")</f>
        <v>N/A</v>
      </c>
      <c r="X87" t="str" s="595" cm="1">
        <f t="array" ref="X87">IF(B87&gt;0,'Allocation OH and Target 2026'!$E$28,"N/A")</f>
        <v>N/A</v>
      </c>
      <c r="Y87" t="str" s="595" cm="1">
        <f t="array" ref="Y87">IF(B87&gt;0,VLOOKUP(C71,'Allocation OH and Target 2026'!$C$5:$T$23,17,0),"N/A")</f>
        <v>N/A</v>
      </c>
      <c r="Z87" t="str" s="595" cm="1">
        <f t="array" ref="Z87">IF(B87&gt;0,VLOOKUP(C71,'Allocation OH and Target 2026'!$C$5:$T$23,18,0),"N/A")</f>
        <v>N/A</v>
      </c>
      <c r="AA87" t="str" s="595" cm="1">
        <f t="array" ref="AA87">_xlfn.IFERROR(B87*(X87+Z87),"N/A")</f>
        <v>N/A</v>
      </c>
      <c r="AB87" s="424"/>
      <c r="AC87" t="str" s="595" cm="1">
        <f t="array" ref="AC87">_xlfn.IFERROR(AA87+U87,"N/A")</f>
        <v>N/A</v>
      </c>
      <c r="AD87" t="str" s="595" cm="1">
        <f t="array" ref="AD87">_xlfn.IFERROR(AC87*0.5%,"N/A")</f>
        <v>N/A</v>
      </c>
      <c r="AE87" t="str" s="595" cm="1">
        <f t="array" ref="AE87">_xlfn.IFERROR(AC87*25%,"N/A")</f>
        <v>N/A</v>
      </c>
      <c r="AF87" t="str" s="604" cm="1">
        <f t="array" ref="AF87">IF(B87&gt;0,SUM(AC87:AE87),"N/A")</f>
        <v>N/A</v>
      </c>
      <c r="AG87" t="str" s="595" cm="1">
        <f t="array" ref="AG87">_xlfn.IFERROR(AF87/B87,"N/A")</f>
        <v>N/A</v>
      </c>
      <c r="AH87" s="424"/>
      <c r="AI87" t="str" s="604" cm="1">
        <f t="array" ref="AI87">IF(B87/VLOOKUP(C71,'Boats Data Sheet 2026'!$C$3:$H$57,6,0)&gt;VLOOKUP(C71,'Allocation OH and Target 2026'!$C$5:$J$23,8,0),IF(SUM(AJ73:AJ86)=0,AG87,"N/A"),"N/A")</f>
        <v>N/A</v>
      </c>
      <c r="AJ87" s="424" cm="1">
        <f t="array" ref="AJ87">IF(AI87="N/A",0,1)</f>
        <v>0</v>
      </c>
      <c r="AK87" t="str" s="595" cm="1">
        <f t="array" ref="AK87">IF(B87/VLOOKUP(C71,'Boats Data Sheet 2026'!$C$3:$H$57,6,0)&gt;VLOOKUP(C71,'Allocation OH and Target 2026'!$C$5:$J$23,8,0),IF(SUM(AJ73:AJ86)=0,U87/B87,"N/A"),"N/A")</f>
        <v>N/A</v>
      </c>
      <c r="AL87" s="424" cm="1">
        <f t="array" ref="AL87">IF(AK87="N/A",0,1)</f>
        <v>0</v>
      </c>
      <c r="AM87" t="str" s="605" cm="1">
        <f t="array" ref="AM87">IF(SUM(1250000+700000)*B87&lt;SUM(AC87:AD87),"NO GO","GO")</f>
        <v>GO</v>
      </c>
      <c r="AN87" s="424"/>
      <c r="AO87" s="594"/>
      <c r="AP87" s="594"/>
      <c r="AQ87" s="594"/>
      <c r="AR87" s="600"/>
      <c r="AS87" s="601" cm="1">
        <f t="array" ref="AS87">B87</f>
        <v>0</v>
      </c>
    </row>
    <row r="88" ht="16" customHeight="1">
      <c r="A88" s="12"/>
      <c r="B88" s="602" cm="1">
        <f t="array" ref="B88">IF(B87=0,0,IF(B87&lt;VLOOKUP(C71,'Boats Data Sheet 2026'!$C$3:$H$57,6,0),B87+1,0))</f>
        <v>0</v>
      </c>
      <c r="C88" t="str" s="595" cm="1">
        <f t="array" ref="C88">IF(B88&gt;0,IF(VLOOKUP(C71,'Boats Data Sheet 2026'!$C$3:$J$57,8,0)="N/A",0,VLOOKUP(C71,'Boats Data Sheet 2026'!$C$3:$J$57,8,0)),"N/A")</f>
        <v>N/A</v>
      </c>
      <c r="D88" t="str" s="595" cm="1">
        <f t="array" ref="D88">IF(B88&gt;7,2,IF(B88=0,"N/A",1))</f>
        <v>N/A</v>
      </c>
      <c r="E88" t="str" s="595" cm="1">
        <f t="array" ref="E88">_xlfn.IFERROR(SUM('Direct Costs 2026'!$C$4:$C$6)*D88,"N/A")</f>
        <v>N/A</v>
      </c>
      <c r="F88" s="594" cm="1">
        <f t="array" ref="F88">_xlfn.IFERROR('Direct Costs 2026'!$C$43*B88,"N/A")</f>
        <v>0</v>
      </c>
      <c r="G88" t="str" s="595" cm="1">
        <f t="array" ref="G88">IF(B88&gt;0,'Direct Costs 2026'!$C$25,"N/A")</f>
        <v>N/A</v>
      </c>
      <c r="H88" t="str" s="595" cm="1">
        <f t="array" ref="H88">IF(B88&gt;0,'Direct Costs 2026'!$C$19+'Direct Costs 2026'!$C$18*B88,"N/A")</f>
        <v>N/A</v>
      </c>
      <c r="I88" t="str" s="595" cm="1">
        <f t="array" ref="I88">IF(B88&gt;0,SUM('Direct Costs 2026'!$C$20:$C$21),"N/A")</f>
        <v>N/A</v>
      </c>
      <c r="J88" t="str" s="595" cm="1">
        <f t="array" ref="J88">IF(B88&gt;0,'Direct Costs 2026'!$C$14,"N/A")</f>
        <v>N/A</v>
      </c>
      <c r="K88" t="str" s="595" cm="1">
        <f t="array" ref="K88">IF(B88&gt;0,'Direct Costs 2026'!$C$26,"N/A")</f>
        <v>N/A</v>
      </c>
      <c r="L88" t="str" s="595" cm="1">
        <f t="array" ref="L88">IF(B88&gt;0,SUM('Direct Costs 2026'!$C$23:$C$24),"N/A")</f>
        <v>N/A</v>
      </c>
      <c r="M88" t="str" s="595" cm="1">
        <f t="array" ref="M88">IF(B88&gt;0,'Direct Costs 2026'!$C$47*B88,"N/A")</f>
        <v>N/A</v>
      </c>
      <c r="N88" t="str" s="595" cm="1">
        <f t="array" ref="N88">IF($B88&gt;0,'Direct Costs 2026'!$C$30,"N/A")</f>
        <v>N/A</v>
      </c>
      <c r="O88" t="str" s="595" cm="1">
        <f t="array" ref="O88">IF($B88&gt;0,'Direct Costs 2026'!$C$31,"N/A")</f>
        <v>N/A</v>
      </c>
      <c r="P88" t="str" s="595" cm="1">
        <f t="array" ref="P88">IF(B88&gt;0,'Direct Costs 2026'!$C$59*B88,"N/A")</f>
        <v>N/A</v>
      </c>
      <c r="Q88" t="str" s="595" cm="1">
        <f t="array" ref="Q88">IF(B88&gt;0,_xlfn.IFERROR(VLOOKUP(C71,'Boats Data Sheet 2026'!$C$3:$I$57,7,0)*'Direct Costs 2026'!$C$36,"N/A"),"N/A")</f>
        <v>N/A</v>
      </c>
      <c r="R88" t="str" s="595" cm="1">
        <f t="array" ref="R88">IF(B88&gt;0,IF(OR(VLOOKUP(C71,'Boats Data Sheet 2026'!$C$3:$F$57,4,0)="Own",VLOOKUP(C71,'Boats Data Sheet 2026'!$C$3:$F$57,4,0)="Management"),('Direct Costs 2026'!$C$37+'Direct Costs 2026'!$C$39),"N/A"),"N/A")</f>
        <v>N/A</v>
      </c>
      <c r="S88" t="str" s="595" cm="1">
        <f t="array" ref="S88">_xlfn.IFERROR(IF(B88&gt;5,IF(B88&gt;11,IF(B88&gt;15,4,3),2),IF(B88=0,"N/A",1))*SUM('Direct Costs 2026'!$C$67:$C$68),"N/A")</f>
        <v>N/A</v>
      </c>
      <c r="T88" t="str" s="595" cm="1">
        <f t="array" ref="T88">_xlfn.IFERROR('Direct Costs 2026'!$C$27*C88,"N/A")</f>
        <v>N/A</v>
      </c>
      <c r="U88" t="str" s="595" cm="1">
        <f t="array" ref="U88">_xlfn.IFERROR(C88+SUM(E88:T88),"N/A")</f>
        <v>N/A</v>
      </c>
      <c r="V88" s="424"/>
      <c r="W88" t="str" s="595" cm="1">
        <f t="array" ref="W88">IF(B88&gt;0,'Allocation OH and Target 2026'!$E$27,"N/A")</f>
        <v>N/A</v>
      </c>
      <c r="X88" t="str" s="595" cm="1">
        <f t="array" ref="X88">IF(B88&gt;0,'Allocation OH and Target 2026'!$E$28,"N/A")</f>
        <v>N/A</v>
      </c>
      <c r="Y88" t="str" s="595" cm="1">
        <f t="array" ref="Y88">IF(B88&gt;0,VLOOKUP(C71,'Allocation OH and Target 2026'!$C$5:$T$23,17,0),"N/A")</f>
        <v>N/A</v>
      </c>
      <c r="Z88" t="str" s="595" cm="1">
        <f t="array" ref="Z88">IF(B88&gt;0,VLOOKUP(C71,'Allocation OH and Target 2026'!$C$5:$T$23,18,0),"N/A")</f>
        <v>N/A</v>
      </c>
      <c r="AA88" t="str" s="595" cm="1">
        <f t="array" ref="AA88">_xlfn.IFERROR(X88*B88+Z88,"N/A")</f>
        <v>N/A</v>
      </c>
      <c r="AB88" s="424"/>
      <c r="AC88" t="str" s="595" cm="1">
        <f t="array" ref="AC88">_xlfn.IFERROR(AA88+U88,"N/A")</f>
        <v>N/A</v>
      </c>
      <c r="AD88" t="str" s="595" cm="1">
        <f t="array" ref="AD88">_xlfn.IFERROR(AC88*0.5%,"N/A")</f>
        <v>N/A</v>
      </c>
      <c r="AE88" t="str" s="595" cm="1">
        <f t="array" ref="AE88">_xlfn.IFERROR(AC88*25%,"N/A")</f>
        <v>N/A</v>
      </c>
      <c r="AF88" t="str" s="604" cm="1">
        <f t="array" ref="AF88">IF(B88&gt;0,SUM(AC88:AE88),"N/A")</f>
        <v>N/A</v>
      </c>
      <c r="AG88" t="str" s="595" cm="1">
        <f t="array" ref="AG88">_xlfn.IFERROR(AF88/B88,"N/A")</f>
        <v>N/A</v>
      </c>
      <c r="AH88" s="424"/>
      <c r="AI88" t="str" s="604" cm="1">
        <f t="array" ref="AI88">IF(B88/VLOOKUP(C71,'Boats Data Sheet 2026'!$C$3:$H$57,6,0)&gt;VLOOKUP(C71,'Allocation OH and Target 2026'!$C$5:$J$23,8,0),IF(SUM(AJ73:AJ87)=0,AG88,"N/A"),"N/A")</f>
        <v>N/A</v>
      </c>
      <c r="AJ88" s="424" cm="1">
        <f t="array" ref="AJ88">IF(AI88="N/A",0,1)</f>
        <v>0</v>
      </c>
      <c r="AK88" t="str" s="595" cm="1">
        <f t="array" ref="AK88">IF(B88/VLOOKUP(C71,'Boats Data Sheet 2026'!$C$3:$H$57,6,0)&gt;VLOOKUP(C71,'Allocation OH and Target 2026'!$C$5:$J$23,8,0),IF(SUM(AJ73:AJ87)=0,U88/B88,"N/A"),"N/A")</f>
        <v>N/A</v>
      </c>
      <c r="AL88" s="424" cm="1">
        <f t="array" ref="AL88">IF(AK88="N/A",0,1)</f>
        <v>0</v>
      </c>
      <c r="AM88" t="str" s="605" cm="1">
        <f t="array" ref="AM88">IF(SUM(1250000+700000)*B88&lt;SUM(AC88:AD88),"NO GO","GO")</f>
        <v>GO</v>
      </c>
      <c r="AN88" s="424"/>
      <c r="AO88" s="594"/>
      <c r="AP88" s="594"/>
      <c r="AQ88" s="594"/>
      <c r="AR88" s="600"/>
      <c r="AS88" s="601" cm="1">
        <f t="array" ref="AS88">B88</f>
        <v>0</v>
      </c>
    </row>
    <row r="89" ht="16" customHeight="1">
      <c r="A89" s="12"/>
      <c r="B89" s="602" cm="1">
        <f t="array" ref="B89">IF(B88=0,0,IF(B88&lt;VLOOKUP(C71,'Boats Data Sheet 2026'!$C$3:$H$57,6,0),B88+1,0))</f>
        <v>0</v>
      </c>
      <c r="C89" t="str" s="595" cm="1">
        <f t="array" ref="C89">IF(B89&gt;0,IF(VLOOKUP(C71,'Boats Data Sheet 2026'!$C$3:$J$57,8,0)="N/A",0,VLOOKUP(C71,'Boats Data Sheet 2026'!$C$3:$J$57,8,0)),"N/A")</f>
        <v>N/A</v>
      </c>
      <c r="D89" t="str" s="595" cm="1">
        <f t="array" ref="D89">IF(B89&gt;7,2,IF(B89=0,"N/A",1))</f>
        <v>N/A</v>
      </c>
      <c r="E89" t="str" s="595" cm="1">
        <f t="array" ref="E89">_xlfn.IFERROR(SUM('Direct Costs 2026'!$C$4:$C$6)*D89,"N/A")</f>
        <v>N/A</v>
      </c>
      <c r="F89" s="594" cm="1">
        <f t="array" ref="F89">_xlfn.IFERROR('Direct Costs 2026'!$C$43*B89,"N/A")</f>
        <v>0</v>
      </c>
      <c r="G89" t="str" s="595" cm="1">
        <f t="array" ref="G89">IF(B89&gt;0,'Direct Costs 2026'!$C$25,"N/A")</f>
        <v>N/A</v>
      </c>
      <c r="H89" t="str" s="595" cm="1">
        <f t="array" ref="H89">IF(B89&gt;0,'Direct Costs 2026'!$C$19+'Direct Costs 2026'!$C$18*B89,"N/A")</f>
        <v>N/A</v>
      </c>
      <c r="I89" t="str" s="595" cm="1">
        <f t="array" ref="I89">IF(B89&gt;0,SUM('Direct Costs 2026'!$C$20:$C$21),"N/A")</f>
        <v>N/A</v>
      </c>
      <c r="J89" t="str" s="595" cm="1">
        <f t="array" ref="J89">IF(B89&gt;0,'Direct Costs 2026'!$C$14,"N/A")</f>
        <v>N/A</v>
      </c>
      <c r="K89" t="str" s="595" cm="1">
        <f t="array" ref="K89">IF(B89&gt;0,'Direct Costs 2026'!$C$26,"N/A")</f>
        <v>N/A</v>
      </c>
      <c r="L89" t="str" s="595" cm="1">
        <f t="array" ref="L89">IF(B89&gt;0,SUM('Direct Costs 2026'!$C$23:$C$24),"N/A")</f>
        <v>N/A</v>
      </c>
      <c r="M89" t="str" s="595" cm="1">
        <f t="array" ref="M89">IF(B89&gt;0,'Direct Costs 2026'!$C$47*B89,"N/A")</f>
        <v>N/A</v>
      </c>
      <c r="N89" t="str" s="595" cm="1">
        <f t="array" ref="N89">IF($B89&gt;0,'Direct Costs 2026'!$C$30,"N/A")</f>
        <v>N/A</v>
      </c>
      <c r="O89" t="str" s="595" cm="1">
        <f t="array" ref="O89">IF($B89&gt;0,'Direct Costs 2026'!$C$31,"N/A")</f>
        <v>N/A</v>
      </c>
      <c r="P89" t="str" s="595" cm="1">
        <f t="array" ref="P89">IF(B89&gt;0,'Direct Costs 2026'!$C$59*B89,"N/A")</f>
        <v>N/A</v>
      </c>
      <c r="Q89" t="str" s="595" cm="1">
        <f t="array" ref="Q89">IF(B89&gt;0,_xlfn.IFERROR(VLOOKUP(C71,'Boats Data Sheet 2026'!$C$3:$I$57,7,0)*'Direct Costs 2026'!$C$36,"N/A"),"N/A")</f>
        <v>N/A</v>
      </c>
      <c r="R89" t="str" s="595" cm="1">
        <f t="array" ref="R89">IF(B89&gt;0,IF(OR(VLOOKUP(C71,'Boats Data Sheet 2026'!$C$3:$F$57,4,0)="Own",VLOOKUP(C71,'Boats Data Sheet 2026'!$C$3:$F$57,4,0)="Management"),('Direct Costs 2026'!$C$37+'Direct Costs 2026'!$C$39),"N/A"),"N/A")</f>
        <v>N/A</v>
      </c>
      <c r="S89" t="str" s="595" cm="1">
        <f t="array" ref="S89">_xlfn.IFERROR(IF(B89&gt;5,IF(B89&gt;11,IF(B89&gt;15,4,3),2),IF(B89=0,"N/A",1))*SUM('Direct Costs 2026'!$C$67:$C$68),"N/A")</f>
        <v>N/A</v>
      </c>
      <c r="T89" t="str" s="595" cm="1">
        <f t="array" ref="T89">_xlfn.IFERROR('Direct Costs 2026'!$C$27*C89,"N/A")</f>
        <v>N/A</v>
      </c>
      <c r="U89" t="str" s="595" cm="1">
        <f t="array" ref="U89">_xlfn.IFERROR(C89+SUM(E89:T89),"N/A")</f>
        <v>N/A</v>
      </c>
      <c r="V89" s="424"/>
      <c r="W89" t="str" s="595" cm="1">
        <f t="array" ref="W89">IF(B89&gt;0,'Allocation OH and Target 2026'!$E$27,"N/A")</f>
        <v>N/A</v>
      </c>
      <c r="X89" t="str" s="595" cm="1">
        <f t="array" ref="X89">IF(B89&gt;0,'Allocation OH and Target 2026'!$E$28,"N/A")</f>
        <v>N/A</v>
      </c>
      <c r="Y89" t="str" s="595" cm="1">
        <f t="array" ref="Y89">IF(B89&gt;0,VLOOKUP(C71,'Allocation OH and Target 2026'!$C$5:$T$23,17,0),"N/A")</f>
        <v>N/A</v>
      </c>
      <c r="Z89" t="str" s="595" cm="1">
        <f t="array" ref="Z89">IF(B89&gt;0,VLOOKUP(C71,'Allocation OH and Target 2026'!$C$5:$T$23,18,0),"N/A")</f>
        <v>N/A</v>
      </c>
      <c r="AA89" t="str" s="595" cm="1">
        <f t="array" ref="AA89">_xlfn.IFERROR(X89*B89+Z89,"N/A")</f>
        <v>N/A</v>
      </c>
      <c r="AB89" s="424"/>
      <c r="AC89" t="str" s="595" cm="1">
        <f t="array" ref="AC89">_xlfn.IFERROR(AA89+U89,"N/A")</f>
        <v>N/A</v>
      </c>
      <c r="AD89" t="str" s="595" cm="1">
        <f t="array" ref="AD89">_xlfn.IFERROR(AC89*0.5%,"N/A")</f>
        <v>N/A</v>
      </c>
      <c r="AE89" t="str" s="595" cm="1">
        <f t="array" ref="AE89">_xlfn.IFERROR(AC89*25%,"N/A")</f>
        <v>N/A</v>
      </c>
      <c r="AF89" t="str" s="604" cm="1">
        <f t="array" ref="AF89">IF(B89&gt;0,SUM(AC89:AE89),"N/A")</f>
        <v>N/A</v>
      </c>
      <c r="AG89" t="str" s="595" cm="1">
        <f t="array" ref="AG89">_xlfn.IFERROR(AF89/B89,"N/A")</f>
        <v>N/A</v>
      </c>
      <c r="AH89" s="424"/>
      <c r="AI89" t="str" s="604" cm="1">
        <f t="array" ref="AI89">IF(B89/VLOOKUP(C71,'Boats Data Sheet 2026'!$C$3:$H$57,6,0)&gt;VLOOKUP(C71,'Allocation OH and Target 2026'!$C$5:$J$23,8,0),IF(SUM(AJ73:AJ88)=0,AG89,"N/A"),"N/A")</f>
        <v>N/A</v>
      </c>
      <c r="AJ89" s="424" cm="1">
        <f t="array" ref="AJ89">IF(AI89="N/A",0,1)</f>
        <v>0</v>
      </c>
      <c r="AK89" t="str" s="595" cm="1">
        <f t="array" ref="AK89">IF(B89/VLOOKUP(C71,'Boats Data Sheet 2026'!$C$3:$H$57,6,0)&gt;VLOOKUP(C71,'Allocation OH and Target 2026'!$C$5:$J$23,8,0),IF(SUM(AJ73:AJ88)=0,U89/B89,"N/A"),"N/A")</f>
        <v>N/A</v>
      </c>
      <c r="AL89" s="424" cm="1">
        <f t="array" ref="AL89">IF(AK89="N/A",0,1)</f>
        <v>0</v>
      </c>
      <c r="AM89" t="str" s="605" cm="1">
        <f t="array" ref="AM89">IF(SUM(1250000+700000)*B89&lt;SUM(AC89:AD89),"NO GO","GO")</f>
        <v>GO</v>
      </c>
      <c r="AN89" s="424"/>
      <c r="AO89" s="594"/>
      <c r="AP89" s="594"/>
      <c r="AQ89" s="594"/>
      <c r="AR89" s="600"/>
      <c r="AS89" s="601" cm="1">
        <f t="array" ref="AS89">B89</f>
        <v>0</v>
      </c>
    </row>
    <row r="90" ht="16" customHeight="1">
      <c r="A90" s="12"/>
      <c r="B90" s="602" cm="1">
        <f t="array" ref="B90">IF(B89=0,0,IF(B89&lt;VLOOKUP(C71,'Boats Data Sheet 2026'!$C$3:$H$57,6,0),B89+1,0))</f>
        <v>0</v>
      </c>
      <c r="C90" t="str" s="595" cm="1">
        <f t="array" ref="C90">IF(B90&gt;0,IF(VLOOKUP(C71,'Boats Data Sheet 2026'!$C$3:$J$57,8,0)="N/A",0,VLOOKUP(C71,'Boats Data Sheet 2026'!$C$3:$J$57,8,0)),"N/A")</f>
        <v>N/A</v>
      </c>
      <c r="D90" t="str" s="595" cm="1">
        <f t="array" ref="D90">IF(B90&gt;7,2,IF(B90=0,"N/A",1))</f>
        <v>N/A</v>
      </c>
      <c r="E90" t="str" s="595" cm="1">
        <f t="array" ref="E90">_xlfn.IFERROR(SUM('Direct Costs 2026'!$C$4:$C$6)*D90,"N/A")</f>
        <v>N/A</v>
      </c>
      <c r="F90" s="594" cm="1">
        <f t="array" ref="F90">_xlfn.IFERROR('Direct Costs 2026'!$C$43*B90,"N/A")</f>
        <v>0</v>
      </c>
      <c r="G90" t="str" s="595" cm="1">
        <f t="array" ref="G90">IF(B90&gt;0,'Direct Costs 2026'!$C$25,"N/A")</f>
        <v>N/A</v>
      </c>
      <c r="H90" t="str" s="595" cm="1">
        <f t="array" ref="H90">IF(B90&gt;0,'Direct Costs 2026'!$C$19+'Direct Costs 2026'!$C$18*B90,"N/A")</f>
        <v>N/A</v>
      </c>
      <c r="I90" t="str" s="595" cm="1">
        <f t="array" ref="I90">IF(B90&gt;0,SUM('Direct Costs 2026'!$C$20:$C$21),"N/A")</f>
        <v>N/A</v>
      </c>
      <c r="J90" t="str" s="595" cm="1">
        <f t="array" ref="J90">IF(B90&gt;0,'Direct Costs 2026'!$C$14,"N/A")</f>
        <v>N/A</v>
      </c>
      <c r="K90" t="str" s="595" cm="1">
        <f t="array" ref="K90">IF(B90&gt;0,'Direct Costs 2026'!$C$26,"N/A")</f>
        <v>N/A</v>
      </c>
      <c r="L90" t="str" s="595" cm="1">
        <f t="array" ref="L90">IF(B90&gt;0,SUM('Direct Costs 2026'!$C$23:$C$24),"N/A")</f>
        <v>N/A</v>
      </c>
      <c r="M90" t="str" s="595" cm="1">
        <f t="array" ref="M90">IF(B90&gt;0,'Direct Costs 2026'!$C$47*B90,"N/A")</f>
        <v>N/A</v>
      </c>
      <c r="N90" t="str" s="595" cm="1">
        <f t="array" ref="N90">IF($B90&gt;0,'Direct Costs 2026'!$C$30,"N/A")</f>
        <v>N/A</v>
      </c>
      <c r="O90" t="str" s="595" cm="1">
        <f t="array" ref="O90">IF($B90&gt;0,'Direct Costs 2026'!$C$31,"N/A")</f>
        <v>N/A</v>
      </c>
      <c r="P90" t="str" s="595" cm="1">
        <f t="array" ref="P90">IF(B90&gt;0,'Direct Costs 2026'!$C$59*B90,"N/A")</f>
        <v>N/A</v>
      </c>
      <c r="Q90" t="str" s="595" cm="1">
        <f t="array" ref="Q90">IF(B90&gt;0,_xlfn.IFERROR(VLOOKUP(C71,'Boats Data Sheet 2026'!$C$3:$I$57,7,0)*'Direct Costs 2026'!$C$36,"N/A"),"N/A")</f>
        <v>N/A</v>
      </c>
      <c r="R90" t="str" s="595" cm="1">
        <f t="array" ref="R90">IF(B90&gt;0,IF(OR(VLOOKUP(C71,'Boats Data Sheet 2026'!$C$3:$F$57,4,0)="Own",VLOOKUP(C71,'Boats Data Sheet 2026'!$C$3:$F$57,4,0)="Management"),('Direct Costs 2026'!$C$37+'Direct Costs 2026'!$C$39),"N/A"),"N/A")</f>
        <v>N/A</v>
      </c>
      <c r="S90" t="str" s="595" cm="1">
        <f t="array" ref="S90">_xlfn.IFERROR(IF(B90&gt;5,IF(B90&gt;11,IF(B90&gt;15,4,3),2),IF(B90=0,"N/A",1))*SUM('Direct Costs 2026'!$C$67:$C$68),"N/A")</f>
        <v>N/A</v>
      </c>
      <c r="T90" t="str" s="595" cm="1">
        <f t="array" ref="T90">_xlfn.IFERROR('Direct Costs 2026'!$C$27*C90,"N/A")</f>
        <v>N/A</v>
      </c>
      <c r="U90" t="str" s="595" cm="1">
        <f t="array" ref="U90">_xlfn.IFERROR(C90+SUM(E90:T90),"N/A")</f>
        <v>N/A</v>
      </c>
      <c r="V90" s="424"/>
      <c r="W90" t="str" s="595" cm="1">
        <f t="array" ref="W90">IF(B90&gt;0,'Allocation OH and Target 2026'!$E$27,"N/A")</f>
        <v>N/A</v>
      </c>
      <c r="X90" t="str" s="595" cm="1">
        <f t="array" ref="X90">IF(B90&gt;0,'Allocation OH and Target 2026'!$E$28,"N/A")</f>
        <v>N/A</v>
      </c>
      <c r="Y90" t="str" s="595" cm="1">
        <f t="array" ref="Y90">IF(B90&gt;0,VLOOKUP(C71,'Allocation OH and Target 2026'!$C$5:$T$23,17,0),"N/A")</f>
        <v>N/A</v>
      </c>
      <c r="Z90" t="str" s="595" cm="1">
        <f t="array" ref="Z90">IF(B90&gt;0,VLOOKUP(C71,'Allocation OH and Target 2026'!$C$5:$T$23,18,0),"N/A")</f>
        <v>N/A</v>
      </c>
      <c r="AA90" t="str" s="595" cm="1">
        <f t="array" ref="AA90">_xlfn.IFERROR(X90*B90+Z90,"N/A")</f>
        <v>N/A</v>
      </c>
      <c r="AB90" s="424"/>
      <c r="AC90" t="str" s="595" cm="1">
        <f t="array" ref="AC90">_xlfn.IFERROR(AA90+U90,"N/A")</f>
        <v>N/A</v>
      </c>
      <c r="AD90" t="str" s="595" cm="1">
        <f t="array" ref="AD90">_xlfn.IFERROR(AC90*0.5%,"N/A")</f>
        <v>N/A</v>
      </c>
      <c r="AE90" t="str" s="595" cm="1">
        <f t="array" ref="AE90">_xlfn.IFERROR(AC90*25%,"N/A")</f>
        <v>N/A</v>
      </c>
      <c r="AF90" t="str" s="604" cm="1">
        <f t="array" ref="AF90">IF(B90&gt;0,SUM(AC90:AE90),"N/A")</f>
        <v>N/A</v>
      </c>
      <c r="AG90" t="str" s="595" cm="1">
        <f t="array" ref="AG90">_xlfn.IFERROR(AF90/B90,"N/A")</f>
        <v>N/A</v>
      </c>
      <c r="AH90" s="424"/>
      <c r="AI90" t="str" s="604" cm="1">
        <f t="array" ref="AI90">IF(B90/VLOOKUP(C71,'Boats Data Sheet 2026'!$C$3:$H$57,6,0)&gt;VLOOKUP(C71,'Allocation OH and Target 2026'!$C$5:$J$23,8,0),IF(SUM(AJ73:AJ89)=0,AG90,"N/A"),"N/A")</f>
        <v>N/A</v>
      </c>
      <c r="AJ90" s="424" cm="1">
        <f t="array" ref="AJ90">IF(AI90="N/A",0,1)</f>
        <v>0</v>
      </c>
      <c r="AK90" t="str" s="595" cm="1">
        <f t="array" ref="AK90">IF(B90/VLOOKUP(C71,'Boats Data Sheet 2026'!$C$3:$H$57,6,0)&gt;VLOOKUP(C71,'Allocation OH and Target 2026'!$C$5:$J$23,8,0),IF(SUM(AJ73:AJ89)=0,U90/B90,"N/A"),"N/A")</f>
        <v>N/A</v>
      </c>
      <c r="AL90" s="424" cm="1">
        <f t="array" ref="AL90">IF(AK90="N/A",0,1)</f>
        <v>0</v>
      </c>
      <c r="AM90" t="str" s="605" cm="1">
        <f t="array" ref="AM90">IF(SUM(1250000+700000)*B90&lt;SUM(AC90:AD90),"NO GO","GO")</f>
        <v>GO</v>
      </c>
      <c r="AN90" s="424"/>
      <c r="AO90" s="594"/>
      <c r="AP90" s="594"/>
      <c r="AQ90" s="594"/>
      <c r="AR90" s="600"/>
      <c r="AS90" s="601" cm="1">
        <f t="array" ref="AS90">B90</f>
        <v>0</v>
      </c>
    </row>
    <row r="91" ht="15.5" customHeight="1">
      <c r="A91" s="12"/>
      <c r="B91" s="606" cm="1">
        <f t="array" ref="B91">IF(B90=0,0,IF(B90&lt;VLOOKUP(C71,'Boats Data Sheet 2026'!$C$3:$H$57,6,0),B90+1,0))</f>
        <v>0</v>
      </c>
      <c r="C91" t="str" s="607" cm="1">
        <f t="array" ref="C91">IF(B91&gt;0,IF(VLOOKUP(C71,'Boats Data Sheet 2026'!$C$3:$J$57,8,0)="N/A",0,VLOOKUP(C71,'Boats Data Sheet 2026'!$C$3:$J$57,8,0)),"N/A")</f>
        <v>N/A</v>
      </c>
      <c r="D91" t="str" s="607" cm="1">
        <f t="array" ref="D91">IF(B91&gt;7,2,IF(B91=0,"N/A",1))</f>
        <v>N/A</v>
      </c>
      <c r="E91" t="str" s="607" cm="1">
        <f t="array" ref="E91">_xlfn.IFERROR(SUM('Direct Costs 2026'!$C$4:$C$6)*D91,"N/A")</f>
        <v>N/A</v>
      </c>
      <c r="F91" s="608" cm="1">
        <f t="array" ref="F91">_xlfn.IFERROR('Direct Costs 2026'!$C$43*B91,"N/A")</f>
        <v>0</v>
      </c>
      <c r="G91" t="str" s="607" cm="1">
        <f t="array" ref="G91">IF(B91&gt;0,'Direct Costs 2026'!$C$25,"N/A")</f>
        <v>N/A</v>
      </c>
      <c r="H91" t="str" s="607" cm="1">
        <f t="array" ref="H91">IF(B91&gt;0,'Direct Costs 2026'!$C$19+'Direct Costs 2026'!$C$18*B91,"N/A")</f>
        <v>N/A</v>
      </c>
      <c r="I91" t="str" s="607" cm="1">
        <f t="array" ref="I91">IF(B91&gt;0,SUM('Direct Costs 2026'!$C$20:$C$21),"N/A")</f>
        <v>N/A</v>
      </c>
      <c r="J91" t="str" s="607" cm="1">
        <f t="array" ref="J91">IF(B91&gt;0,'Direct Costs 2026'!$C$14,"N/A")</f>
        <v>N/A</v>
      </c>
      <c r="K91" t="str" s="607" cm="1">
        <f t="array" ref="K91">IF(B91&gt;0,'Direct Costs 2026'!$C$26,"N/A")</f>
        <v>N/A</v>
      </c>
      <c r="L91" t="str" s="607" cm="1">
        <f t="array" ref="L91">IF(B91&gt;0,SUM('Direct Costs 2026'!$C$23:$C$24),"N/A")</f>
        <v>N/A</v>
      </c>
      <c r="M91" t="str" s="607" cm="1">
        <f t="array" ref="M91">IF(B91&gt;0,'Direct Costs 2026'!$C$47*B91,"N/A")</f>
        <v>N/A</v>
      </c>
      <c r="N91" t="str" s="607" cm="1">
        <f t="array" ref="N91">IF($B91&gt;0,'Direct Costs 2026'!$C$30,"N/A")</f>
        <v>N/A</v>
      </c>
      <c r="O91" t="str" s="607" cm="1">
        <f t="array" ref="O91">IF($B91&gt;0,'Direct Costs 2026'!$C$31,"N/A")</f>
        <v>N/A</v>
      </c>
      <c r="P91" t="str" s="607" cm="1">
        <f t="array" ref="P91">IF(B91&gt;0,'Direct Costs 2026'!$C$59*B91,"N/A")</f>
        <v>N/A</v>
      </c>
      <c r="Q91" t="str" s="607" cm="1">
        <f t="array" ref="Q91">IF(B91&gt;0,_xlfn.IFERROR(VLOOKUP(C71,'Boats Data Sheet 2026'!$C$3:$I$57,7,0)*'Direct Costs 2026'!$C$36,"N/A"),"N/A")</f>
        <v>N/A</v>
      </c>
      <c r="R91" t="str" s="607" cm="1">
        <f t="array" ref="R91">IF(B91&gt;0,IF(OR(VLOOKUP(C71,'Boats Data Sheet 2026'!$C$3:$F$57,4,0)="Own",VLOOKUP(C71,'Boats Data Sheet 2026'!$C$3:$F$57,4,0)="Management"),('Direct Costs 2026'!$C$37+'Direct Costs 2026'!$C$39),"N/A"),"N/A")</f>
        <v>N/A</v>
      </c>
      <c r="S91" t="str" s="607" cm="1">
        <f t="array" ref="S91">_xlfn.IFERROR(IF(B91&gt;5,IF(B91&gt;11,IF(B91&gt;15,4,3),2),IF(B91=0,"N/A",1))*SUM('Direct Costs 2026'!$C$67:$C$68),"N/A")</f>
        <v>N/A</v>
      </c>
      <c r="T91" t="str" s="607" cm="1">
        <f t="array" ref="T91">_xlfn.IFERROR('Direct Costs 2026'!$C$27*C91,"N/A")</f>
        <v>N/A</v>
      </c>
      <c r="U91" t="str" s="607" cm="1">
        <f t="array" ref="U91">_xlfn.IFERROR(C91+SUM(E91:T91),"N/A")</f>
        <v>N/A</v>
      </c>
      <c r="V91" s="435"/>
      <c r="W91" t="str" s="607" cm="1">
        <f t="array" ref="W91">IF(B91&gt;0,'Allocation OH and Target 2026'!$E$27,"N/A")</f>
        <v>N/A</v>
      </c>
      <c r="X91" t="str" s="607" cm="1">
        <f t="array" ref="X91">IF(B91&gt;0,'Allocation OH and Target 2026'!$E$28,"N/A")</f>
        <v>N/A</v>
      </c>
      <c r="Y91" t="str" s="607" cm="1">
        <f t="array" ref="Y91">IF(B91&gt;0,VLOOKUP(C71,'Allocation OH and Target 2026'!$C$5:$T$23,17,0),"N/A")</f>
        <v>N/A</v>
      </c>
      <c r="Z91" t="str" s="607" cm="1">
        <f t="array" ref="Z91">IF(B91&gt;0,VLOOKUP(C71,'Allocation OH and Target 2026'!$C$5:$T$23,18,0),"N/A")</f>
        <v>N/A</v>
      </c>
      <c r="AA91" t="str" s="607" cm="1">
        <f t="array" ref="AA91">_xlfn.IFERROR(X91*B91+Z91,"N/A")</f>
        <v>N/A</v>
      </c>
      <c r="AB91" s="435"/>
      <c r="AC91" t="str" s="607" cm="1">
        <f t="array" ref="AC91">_xlfn.IFERROR(AA91+U91,"N/A")</f>
        <v>N/A</v>
      </c>
      <c r="AD91" t="str" s="607" cm="1">
        <f t="array" ref="AD91">_xlfn.IFERROR(AC91*0.5%,"N/A")</f>
        <v>N/A</v>
      </c>
      <c r="AE91" t="str" s="607" cm="1">
        <f t="array" ref="AE91">_xlfn.IFERROR(AC91*25%,"N/A")</f>
        <v>N/A</v>
      </c>
      <c r="AF91" t="str" s="609" cm="1">
        <f t="array" ref="AF91">IF(B91&gt;0,SUM(AC91:AE91),"N/A")</f>
        <v>N/A</v>
      </c>
      <c r="AG91" t="str" s="607" cm="1">
        <f t="array" ref="AG91">_xlfn.IFERROR(AF91/B91,"N/A")</f>
        <v>N/A</v>
      </c>
      <c r="AH91" s="435"/>
      <c r="AI91" t="str" s="609" cm="1">
        <f t="array" ref="AI91">IF(B91/VLOOKUP(C71,'Boats Data Sheet 2026'!$C$3:$H$57,6,0)&gt;VLOOKUP(C71,'Allocation OH and Target 2026'!$C$5:$J$23,8,0),IF(SUM(AJ73:AJ90)=0,AG91,"N/A"),"N/A")</f>
        <v>N/A</v>
      </c>
      <c r="AJ91" s="435" cm="1">
        <f t="array" ref="AJ91">IF(AI91="N/A",0,1)</f>
        <v>0</v>
      </c>
      <c r="AK91" t="str" s="607" cm="1">
        <f t="array" ref="AK91">IF(B91/VLOOKUP(C71,'Boats Data Sheet 2026'!$C$3:$H$57,6,0)&gt;VLOOKUP(C71,'Allocation OH and Target 2026'!$C$5:$J$23,8,0),IF(SUM(AJ73:AJ90)=0,U91/B91,"N/A"),"N/A")</f>
        <v>N/A</v>
      </c>
      <c r="AL91" s="435" cm="1">
        <f t="array" ref="AL91">IF(AK91="N/A",0,1)</f>
        <v>0</v>
      </c>
      <c r="AM91" t="str" s="610" cm="1">
        <f t="array" ref="AM91">IF(SUM(1250000+700000)*B91&lt;SUM(AC91:AD91),"NO GO","GO")</f>
        <v>GO</v>
      </c>
      <c r="AN91" s="435"/>
      <c r="AO91" s="608"/>
      <c r="AP91" s="608"/>
      <c r="AQ91" s="608"/>
      <c r="AR91" s="611"/>
      <c r="AS91" s="601" cm="1">
        <f t="array" ref="AS91">B91</f>
        <v>0</v>
      </c>
    </row>
    <row r="92" ht="15.5" customHeight="1">
      <c r="A92" s="32"/>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8"/>
    </row>
    <row r="93" ht="15.5" customHeight="1">
      <c r="A93" s="32"/>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18"/>
    </row>
    <row r="94" ht="15.5" customHeight="1">
      <c r="A94" s="395">
        <v>6</v>
      </c>
      <c r="B94" t="s" s="573">
        <v>506</v>
      </c>
      <c r="C94" t="s" s="574">
        <v>54</v>
      </c>
      <c r="D94" s="576"/>
      <c r="E94" s="575"/>
      <c r="F94" s="575"/>
      <c r="G94" s="575"/>
      <c r="H94" s="575"/>
      <c r="I94" s="575"/>
      <c r="J94" s="575"/>
      <c r="K94" s="575"/>
      <c r="L94" s="575"/>
      <c r="M94" s="575"/>
      <c r="N94" s="575"/>
      <c r="O94" s="575"/>
      <c r="P94" s="575"/>
      <c r="Q94" s="575"/>
      <c r="R94" s="575"/>
      <c r="S94" s="575"/>
      <c r="T94" s="575"/>
      <c r="U94" s="575"/>
      <c r="V94" s="399"/>
      <c r="W94" s="575"/>
      <c r="X94" s="575"/>
      <c r="Y94" s="575"/>
      <c r="Z94" s="575"/>
      <c r="AA94" s="575"/>
      <c r="AB94" s="399"/>
      <c r="AC94" s="575"/>
      <c r="AD94" s="575"/>
      <c r="AE94" s="575"/>
      <c r="AF94" s="575"/>
      <c r="AG94" s="575"/>
      <c r="AH94" s="399"/>
      <c r="AI94" s="576"/>
      <c r="AJ94" s="399"/>
      <c r="AK94" s="575"/>
      <c r="AL94" s="399"/>
      <c r="AM94" s="575"/>
      <c r="AN94" s="399"/>
      <c r="AO94" t="s" s="612">
        <v>508</v>
      </c>
      <c r="AP94" s="613" cm="1">
        <f t="array" ref="AP94">AVERAGE(U97:U102)</f>
        <v>8714433.33333333</v>
      </c>
      <c r="AQ94" s="575"/>
      <c r="AR94" s="577"/>
      <c r="AS94" s="578"/>
    </row>
    <row r="95" ht="16" customHeight="1">
      <c r="A95" s="12"/>
      <c r="B95" s="579"/>
      <c r="C95" t="s" s="580">
        <v>513</v>
      </c>
      <c r="D95" s="581"/>
      <c r="E95" s="581"/>
      <c r="F95" s="581"/>
      <c r="G95" s="581"/>
      <c r="H95" s="581"/>
      <c r="I95" s="581"/>
      <c r="J95" s="581"/>
      <c r="K95" s="581"/>
      <c r="L95" s="581"/>
      <c r="M95" s="581"/>
      <c r="N95" s="581"/>
      <c r="O95" s="581"/>
      <c r="P95" s="581"/>
      <c r="Q95" s="581"/>
      <c r="R95" s="581"/>
      <c r="S95" s="581"/>
      <c r="T95" s="581"/>
      <c r="U95" s="582"/>
      <c r="V95" s="407"/>
      <c r="W95" t="s" s="580">
        <v>514</v>
      </c>
      <c r="X95" s="581"/>
      <c r="Y95" s="581"/>
      <c r="Z95" s="581"/>
      <c r="AA95" s="582"/>
      <c r="AB95" s="407"/>
      <c r="AC95" t="s" s="580">
        <v>515</v>
      </c>
      <c r="AD95" s="581"/>
      <c r="AE95" s="581"/>
      <c r="AF95" s="581"/>
      <c r="AG95" s="582"/>
      <c r="AH95" s="410"/>
      <c r="AI95" s="605"/>
      <c r="AJ95" s="410"/>
      <c r="AK95" s="584"/>
      <c r="AL95" s="410"/>
      <c r="AM95" s="584"/>
      <c r="AN95" s="410"/>
      <c r="AO95" s="584"/>
      <c r="AP95" s="584"/>
      <c r="AQ95" s="584"/>
      <c r="AR95" s="585"/>
      <c r="AS95" s="578"/>
    </row>
    <row r="96" ht="63" customHeight="1">
      <c r="A96" s="12"/>
      <c r="B96" t="s" s="586">
        <v>517</v>
      </c>
      <c r="C96" t="s" s="587">
        <v>518</v>
      </c>
      <c r="D96" t="s" s="587">
        <v>519</v>
      </c>
      <c r="E96" t="s" s="587">
        <v>520</v>
      </c>
      <c r="F96" t="s" s="588">
        <v>521</v>
      </c>
      <c r="G96" t="s" s="588">
        <v>522</v>
      </c>
      <c r="H96" t="s" s="588">
        <v>524</v>
      </c>
      <c r="I96" t="s" s="588">
        <v>525</v>
      </c>
      <c r="J96" t="s" s="588">
        <v>553</v>
      </c>
      <c r="K96" t="s" s="588">
        <v>526</v>
      </c>
      <c r="L96" t="s" s="588">
        <v>527</v>
      </c>
      <c r="M96" t="s" s="588">
        <v>528</v>
      </c>
      <c r="N96" t="s" s="588">
        <v>602</v>
      </c>
      <c r="O96" t="s" s="588">
        <v>603</v>
      </c>
      <c r="P96" t="s" s="588">
        <v>604</v>
      </c>
      <c r="Q96" t="s" s="588">
        <v>529</v>
      </c>
      <c r="R96" t="s" s="588">
        <v>530</v>
      </c>
      <c r="S96" t="s" s="588">
        <v>572</v>
      </c>
      <c r="T96" t="s" s="588">
        <v>531</v>
      </c>
      <c r="U96" t="s" s="588">
        <v>532</v>
      </c>
      <c r="V96" s="556"/>
      <c r="W96" t="s" s="588">
        <v>533</v>
      </c>
      <c r="X96" t="s" s="588">
        <v>573</v>
      </c>
      <c r="Y96" t="s" s="588">
        <v>534</v>
      </c>
      <c r="Z96" t="s" s="588">
        <v>574</v>
      </c>
      <c r="AA96" t="s" s="588">
        <v>535</v>
      </c>
      <c r="AB96" s="556"/>
      <c r="AC96" t="s" s="588">
        <v>536</v>
      </c>
      <c r="AD96" t="s" s="588">
        <v>537</v>
      </c>
      <c r="AE96" t="s" s="588">
        <v>538</v>
      </c>
      <c r="AF96" t="s" s="588">
        <v>575</v>
      </c>
      <c r="AG96" t="s" s="588">
        <v>539</v>
      </c>
      <c r="AH96" s="557"/>
      <c r="AI96" t="s" s="588">
        <v>576</v>
      </c>
      <c r="AJ96" s="557"/>
      <c r="AK96" t="s" s="588">
        <v>577</v>
      </c>
      <c r="AL96" s="557"/>
      <c r="AM96" t="s" s="587">
        <v>578</v>
      </c>
      <c r="AN96" s="557"/>
      <c r="AO96" t="s" s="588">
        <v>605</v>
      </c>
      <c r="AP96" t="s" s="588">
        <v>544</v>
      </c>
      <c r="AQ96" s="589"/>
      <c r="AR96" s="590"/>
      <c r="AS96" s="578"/>
    </row>
    <row r="97" ht="16.5" customHeight="1">
      <c r="A97" s="12"/>
      <c r="B97" s="591">
        <v>1</v>
      </c>
      <c r="C97" s="592" cm="1">
        <f t="array" ref="C97">IF(B97&gt;0,IF(VLOOKUP(C94,'Boats Data Sheet 2026'!$C$3:$J$57,8,0)="N/A",0,VLOOKUP(C94,'Boats Data Sheet 2026'!$C$3:$J$57,8,0)),"N/A")</f>
        <v>0</v>
      </c>
      <c r="D97" s="593" cm="1">
        <f t="array" ref="D97">IF(B97&gt;7,2,IF(B97=0,"N/A",1))</f>
        <v>1</v>
      </c>
      <c r="E97" s="592" cm="1">
        <f t="array" ref="E97">_xlfn.IFERROR(SUM('Direct Costs 2026'!$C$4:$C$6)*D97,"N/A")</f>
        <v>975500</v>
      </c>
      <c r="F97" s="594" cm="1">
        <f t="array" ref="F97">_xlfn.IFERROR('Direct Costs 2026'!$C$43*B97,"N/A")</f>
        <v>6000</v>
      </c>
      <c r="G97" s="594" cm="1">
        <f t="array" ref="G97">IF(B97&gt;0,'Direct Costs 2026'!$C$25,"N/A")</f>
        <v>90000</v>
      </c>
      <c r="H97" s="594" cm="1">
        <f t="array" ref="H97">IF(B97&gt;0,'Direct Costs 2026'!$C$19+'Direct Costs 2026'!$C$18*B97,"N/A")</f>
        <v>110000</v>
      </c>
      <c r="I97" s="594" cm="1">
        <f t="array" ref="I97">IF(B97&gt;0,SUM('Direct Costs 2026'!$C$20:$C$21),"N/A")</f>
        <v>98333.3333333333</v>
      </c>
      <c r="J97" s="594" cm="1">
        <f t="array" ref="J97">IF(B97&gt;0,'Direct Costs 2026'!$C$14,"N/A")</f>
        <v>60000</v>
      </c>
      <c r="K97" s="594" cm="1">
        <f t="array" ref="K97">IF(B97&gt;0,'Direct Costs 2026'!$C$26,"N/A")</f>
        <v>20000</v>
      </c>
      <c r="L97" s="594" cm="1">
        <f t="array" ref="L97">IF(B97&gt;0,SUM('Direct Costs 2026'!$C$23:$C$24),"N/A")</f>
        <v>160000</v>
      </c>
      <c r="M97" s="594" cm="1">
        <f t="array" ref="M97">IF(B97&gt;0,'Direct Costs 2026'!$C$47*B97,"N/A")</f>
        <v>180000</v>
      </c>
      <c r="N97" s="594" cm="1">
        <f t="array" ref="N97">IF($B97&gt;0,'Direct Costs 2026'!$C$30,"N/A")</f>
        <v>440000</v>
      </c>
      <c r="O97" s="594" cm="1">
        <f t="array" ref="O97">IF($B97&gt;0,'Direct Costs 2026'!$C$31,"N/A")</f>
        <v>870000</v>
      </c>
      <c r="P97" s="594" cm="1">
        <f t="array" ref="P97">IF(B97&gt;0,'Direct Costs 2026'!$C$59*B97,"N/A")</f>
        <v>41000</v>
      </c>
      <c r="Q97" s="594" cm="1">
        <f t="array" ref="Q97">IF(B97&gt;0,_xlfn.IFERROR(VLOOKUP(C94,'Boats Data Sheet 2026'!$C$3:$I$57,7,0)*'Direct Costs 2026'!$C$36,"N/A"),"N/A")</f>
        <v>3325000</v>
      </c>
      <c r="R97" s="594" cm="1">
        <f t="array" ref="R97">IF(B97&gt;0,IF(OR(VLOOKUP(C94,'Boats Data Sheet 2026'!$C$3:$F$57,4,0)="Own",VLOOKUP(C94,'Boats Data Sheet 2026'!$C$3:$F$57,4,0)="Management"),('Direct Costs 2026'!$C$37+'Direct Costs 2026'!$C$39),"N/A"),"N/A")</f>
        <v>1112400</v>
      </c>
      <c r="S97" s="594" cm="1">
        <f t="array" ref="S97">_xlfn.IFERROR(IF(B97&gt;5,IF(B97&gt;11,IF(B97&gt;15,4,3),2),IF(B97=0,"N/A",1))*SUM('Direct Costs 2026'!$C$67:$C$68),"N/A")</f>
        <v>489600</v>
      </c>
      <c r="T97" s="594" cm="1">
        <f t="array" ref="T97">_xlfn.IFERROR('Direct Costs 2026'!$C$27*C97,"N/A")</f>
        <v>0</v>
      </c>
      <c r="U97" s="594" cm="1">
        <f t="array" ref="U97">_xlfn.IFERROR(C97+SUM(E97:T97),"N/A")</f>
        <v>7977833.33333333</v>
      </c>
      <c r="V97" s="424"/>
      <c r="W97" s="594" cm="1">
        <f t="array" ref="W97">IF(B97&gt;0,'Allocation OH and Target 2026'!$E$27,"N/A")</f>
        <v>2134447.30345641</v>
      </c>
      <c r="X97" s="594" cm="1">
        <f t="array" ref="X97">IF(B97&gt;0,'Allocation OH and Target 2026'!$E$28,"N/A")</f>
        <v>200042.323056976</v>
      </c>
      <c r="Y97" s="594" cm="1">
        <f t="array" ref="Y97">IF(B97&gt;0,VLOOKUP(C94,'Allocation OH and Target 2026'!$C$5:$T$23,17,0),"N/A")</f>
        <v>965292.6396039641</v>
      </c>
      <c r="Z97" s="594" cm="1">
        <f t="array" ref="Z97">IF(B97&gt;0,VLOOKUP(C94,'Allocation OH and Target 2026'!$C$5:$T$23,18,0),"N/A")</f>
        <v>92851.958666666906</v>
      </c>
      <c r="AA97" s="594" cm="1">
        <f t="array" ref="AA97">_xlfn.IFERROR(B97*(X97+Z97),"N/A")</f>
        <v>292894.281723643</v>
      </c>
      <c r="AB97" s="424"/>
      <c r="AC97" s="594" cm="1">
        <f t="array" ref="AC97">_xlfn.IFERROR(AA97+U97,"N/A")</f>
        <v>8270727.61505697</v>
      </c>
      <c r="AD97" s="594" cm="1">
        <f t="array" ref="AD97">_xlfn.IFERROR(AC97*0.5%,"N/A")</f>
        <v>41353.6380752849</v>
      </c>
      <c r="AE97" s="594" cm="1">
        <f t="array" ref="AE97">_xlfn.IFERROR(AC97*25%,"N/A")</f>
        <v>2067681.90376424</v>
      </c>
      <c r="AF97" s="596" cm="1">
        <f t="array" ref="AF97">IF(B97&gt;0,SUM(AC97:AE97),"N/A")</f>
        <v>10379763.1568965</v>
      </c>
      <c r="AG97" s="594" cm="1">
        <f t="array" ref="AG97">_xlfn.IFERROR(AF97/B97,"N/A")</f>
        <v>10379763.1568965</v>
      </c>
      <c r="AH97" s="424"/>
      <c r="AI97" t="s" s="597">
        <v>14</v>
      </c>
      <c r="AJ97" s="424" cm="1">
        <f t="array" ref="AJ97">IF(AI97="N/A",0,1)</f>
        <v>0</v>
      </c>
      <c r="AK97" t="s" s="598">
        <v>14</v>
      </c>
      <c r="AL97" s="424" cm="1">
        <f t="array" ref="AL97">IF(AK97="N/A",0,1)</f>
        <v>0</v>
      </c>
      <c r="AM97" t="str" s="599" cm="1">
        <f t="array" ref="AM97">IF(SUM(1250000+700000)*B97&lt;SUM(AC97:AD97),"NO GO","GO")</f>
        <v>NO GO</v>
      </c>
      <c r="AN97" s="424"/>
      <c r="AO97" t="s" s="598">
        <v>589</v>
      </c>
      <c r="AP97" s="594" cm="1">
        <f t="array" ref="AP97">'Allocation OH and Target 2026'!M17</f>
        <v>1750</v>
      </c>
      <c r="AQ97" s="594"/>
      <c r="AR97" s="600"/>
      <c r="AS97" s="601" cm="1">
        <f t="array" ref="AS97">B97</f>
        <v>1</v>
      </c>
    </row>
    <row r="98" ht="16" customHeight="1">
      <c r="A98" s="12"/>
      <c r="B98" s="602" cm="1">
        <f t="array" ref="B98">IF(B97=0,0,IF(B97&lt;VLOOKUP(C94,'Boats Data Sheet 2026'!$C$3:$H$57,6,0),B97+1,0))</f>
        <v>2</v>
      </c>
      <c r="C98" s="594" cm="1">
        <f t="array" ref="C98">IF(B98&gt;0,IF(VLOOKUP(C94,'Boats Data Sheet 2026'!$C$3:$J$57,8,0)="N/A",0,VLOOKUP(C94,'Boats Data Sheet 2026'!$C$3:$J$57,8,0)),"N/A")</f>
        <v>0</v>
      </c>
      <c r="D98" s="603" cm="1">
        <f t="array" ref="D98">IF(B98&gt;7,2,IF(B98=0,"N/A",1))</f>
        <v>1</v>
      </c>
      <c r="E98" s="594" cm="1">
        <f t="array" ref="E98">_xlfn.IFERROR(SUM('Direct Costs 2026'!$C$4:$C$6)*D98,"N/A")</f>
        <v>975500</v>
      </c>
      <c r="F98" s="594" cm="1">
        <f t="array" ref="F98">_xlfn.IFERROR('Direct Costs 2026'!$C$43*B98,"N/A")</f>
        <v>12000</v>
      </c>
      <c r="G98" s="594" cm="1">
        <f t="array" ref="G98">IF(B98&gt;0,'Direct Costs 2026'!$C$25,"N/A")</f>
        <v>90000</v>
      </c>
      <c r="H98" s="594" cm="1">
        <f t="array" ref="H98">IF(B98&gt;0,'Direct Costs 2026'!$C$19+'Direct Costs 2026'!$C$18*B98,"N/A")</f>
        <v>145000</v>
      </c>
      <c r="I98" s="594" cm="1">
        <f t="array" ref="I98">IF(B98&gt;0,SUM('Direct Costs 2026'!$C$20:$C$21),"N/A")</f>
        <v>98333.3333333333</v>
      </c>
      <c r="J98" s="594" cm="1">
        <f t="array" ref="J98">IF(B98&gt;0,'Direct Costs 2026'!$C$14,"N/A")</f>
        <v>60000</v>
      </c>
      <c r="K98" s="594" cm="1">
        <f t="array" ref="K98">IF(B98&gt;0,'Direct Costs 2026'!$C$26,"N/A")</f>
        <v>20000</v>
      </c>
      <c r="L98" s="594" cm="1">
        <f t="array" ref="L98">IF(B98&gt;0,SUM('Direct Costs 2026'!$C$23:$C$24),"N/A")</f>
        <v>160000</v>
      </c>
      <c r="M98" s="594" cm="1">
        <f t="array" ref="M98">IF(B98&gt;0,'Direct Costs 2026'!$C$47*B98,"N/A")</f>
        <v>360000</v>
      </c>
      <c r="N98" s="594" cm="1">
        <f t="array" ref="N98">IF($B98&gt;0,'Direct Costs 2026'!$C$30,"N/A")</f>
        <v>440000</v>
      </c>
      <c r="O98" s="594" cm="1">
        <f t="array" ref="O98">IF($B98&gt;0,'Direct Costs 2026'!$C$31,"N/A")</f>
        <v>870000</v>
      </c>
      <c r="P98" s="594" cm="1">
        <f t="array" ref="P98">IF(B98&gt;0,'Direct Costs 2026'!$C$59*B98,"N/A")</f>
        <v>82000</v>
      </c>
      <c r="Q98" s="594" cm="1">
        <f t="array" ref="Q98">IF(B98&gt;0,_xlfn.IFERROR(VLOOKUP(C94,'Boats Data Sheet 2026'!$C$3:$I$57,7,0)*'Direct Costs 2026'!$C$36,"N/A"),"N/A")</f>
        <v>3325000</v>
      </c>
      <c r="R98" s="594" cm="1">
        <f t="array" ref="R98">IF(B98&gt;0,IF(OR(VLOOKUP(C94,'Boats Data Sheet 2026'!$C$3:$F$57,4,0)="Own",VLOOKUP(C94,'Boats Data Sheet 2026'!$C$3:$F$57,4,0)="Management"),('Direct Costs 2026'!$C$37+'Direct Costs 2026'!$C$39),"N/A"),"N/A")</f>
        <v>1112400</v>
      </c>
      <c r="S98" s="594" cm="1">
        <f t="array" ref="S98">_xlfn.IFERROR(IF(B98&gt;5,IF(B98&gt;11,IF(B98&gt;15,4,3),2),IF(B98=0,"N/A",1))*SUM('Direct Costs 2026'!$C$67:$C$68),"N/A")</f>
        <v>489600</v>
      </c>
      <c r="T98" s="594" cm="1">
        <f t="array" ref="T98">_xlfn.IFERROR('Direct Costs 2026'!$C$27*C98,"N/A")</f>
        <v>0</v>
      </c>
      <c r="U98" s="594" cm="1">
        <f t="array" ref="U98">_xlfn.IFERROR(C98+SUM(E98:T98),"N/A")</f>
        <v>8239833.33333333</v>
      </c>
      <c r="V98" s="424"/>
      <c r="W98" s="594" cm="1">
        <f t="array" ref="W98">IF(B98&gt;0,'Allocation OH and Target 2026'!$E$27,"N/A")</f>
        <v>2134447.30345641</v>
      </c>
      <c r="X98" s="594" cm="1">
        <f t="array" ref="X98">IF(B98&gt;0,'Allocation OH and Target 2026'!$E$28,"N/A")</f>
        <v>200042.323056976</v>
      </c>
      <c r="Y98" s="594" cm="1">
        <f t="array" ref="Y98">IF(B98&gt;0,VLOOKUP(C94,'Allocation OH and Target 2026'!$C$5:$T$23,17,0),"N/A")</f>
        <v>965292.6396039641</v>
      </c>
      <c r="Z98" s="594" cm="1">
        <f t="array" ref="Z98">IF(B98&gt;0,VLOOKUP(C94,'Allocation OH and Target 2026'!$C$5:$T$23,18,0),"N/A")</f>
        <v>92851.958666666906</v>
      </c>
      <c r="AA98" s="594" cm="1">
        <f t="array" ref="AA98">_xlfn.IFERROR(B98*(X98+Z98),"N/A")</f>
        <v>585788.563447286</v>
      </c>
      <c r="AB98" s="424"/>
      <c r="AC98" s="594" cm="1">
        <f t="array" ref="AC98">_xlfn.IFERROR(AA98+U98,"N/A")</f>
        <v>8825621.896780619</v>
      </c>
      <c r="AD98" s="594" cm="1">
        <f t="array" ref="AD98">_xlfn.IFERROR(AC98*0.5%,"N/A")</f>
        <v>44128.1094839031</v>
      </c>
      <c r="AE98" s="594" cm="1">
        <f t="array" ref="AE98">_xlfn.IFERROR(AC98*25%,"N/A")</f>
        <v>2206405.47419516</v>
      </c>
      <c r="AF98" s="596" cm="1">
        <f t="array" ref="AF98">IF(B98&gt;0,SUM(AC98:AE98),"N/A")</f>
        <v>11076155.4804597</v>
      </c>
      <c r="AG98" s="594" cm="1">
        <f t="array" ref="AG98">_xlfn.IFERROR(AF98/B98,"N/A")</f>
        <v>5538077.74022985</v>
      </c>
      <c r="AH98" s="424"/>
      <c r="AI98" t="str" s="604" cm="1">
        <f t="array" ref="AI98">IF(B98/VLOOKUP(C94,'Boats Data Sheet 2026'!$C$3:$H$57,6,0)&gt;VLOOKUP(C94,'Allocation OH and Target 2026'!$C$5:$J$23,8,0),IF(SUM(AJ96:AJ97)=0,AG98,"N/A"),"N/A")</f>
        <v>N/A</v>
      </c>
      <c r="AJ98" s="424" cm="1">
        <f t="array" ref="AJ98">IF(AI98="N/A",0,1)</f>
        <v>0</v>
      </c>
      <c r="AK98" t="str" s="595" cm="1">
        <f t="array" ref="AK98">IF(B98/VLOOKUP(C94,'Boats Data Sheet 2026'!$C$3:$H$57,6,0)&gt;VLOOKUP(C94,'Allocation OH and Target 2026'!$C$5:$J$23,8,0),IF(SUM(AJ96:AJ97)=0,U98/B98,"N/A"),"N/A")</f>
        <v>N/A</v>
      </c>
      <c r="AL98" s="424" cm="1">
        <f t="array" ref="AL98">IF(AK98="N/A",0,1)</f>
        <v>0</v>
      </c>
      <c r="AM98" t="str" s="605" cm="1">
        <f t="array" ref="AM98">IF(SUM(1250000+700000)*B98&lt;SUM(AC98:AD98),"NO GO","GO")</f>
        <v>NO GO</v>
      </c>
      <c r="AN98" s="424"/>
      <c r="AO98" t="s" s="598">
        <v>546</v>
      </c>
      <c r="AP98" s="594"/>
      <c r="AQ98" s="594"/>
      <c r="AR98" s="600"/>
      <c r="AS98" s="601" cm="1">
        <f t="array" ref="AS98">B98</f>
        <v>2</v>
      </c>
    </row>
    <row r="99" ht="16" customHeight="1">
      <c r="A99" s="12"/>
      <c r="B99" s="602" cm="1">
        <f t="array" ref="B99">IF(B98=0,0,IF(B98&lt;VLOOKUP(C94,'Boats Data Sheet 2026'!$C$3:$H$57,6,0),B98+1,0))</f>
        <v>3</v>
      </c>
      <c r="C99" s="594" cm="1">
        <f t="array" ref="C99">IF(B99&gt;0,IF(VLOOKUP(C94,'Boats Data Sheet 2026'!$C$3:$J$57,8,0)="N/A",0,VLOOKUP(C94,'Boats Data Sheet 2026'!$C$3:$J$57,8,0)),"N/A")</f>
        <v>0</v>
      </c>
      <c r="D99" s="603" cm="1">
        <f t="array" ref="D99">IF(B99&gt;7,2,IF(B99=0,"N/A",1))</f>
        <v>1</v>
      </c>
      <c r="E99" s="594" cm="1">
        <f t="array" ref="E99">_xlfn.IFERROR(SUM('Direct Costs 2026'!$C$4:$C$6)*D99,"N/A")</f>
        <v>975500</v>
      </c>
      <c r="F99" s="594" cm="1">
        <f t="array" ref="F99">_xlfn.IFERROR('Direct Costs 2026'!$C$43*B99,"N/A")</f>
        <v>18000</v>
      </c>
      <c r="G99" s="594" cm="1">
        <f t="array" ref="G99">IF(B99&gt;0,'Direct Costs 2026'!$C$25,"N/A")</f>
        <v>90000</v>
      </c>
      <c r="H99" s="594" cm="1">
        <f t="array" ref="H99">IF(B99&gt;0,'Direct Costs 2026'!$C$19+'Direct Costs 2026'!$C$18*B99,"N/A")</f>
        <v>180000</v>
      </c>
      <c r="I99" s="594" cm="1">
        <f t="array" ref="I99">IF(B99&gt;0,SUM('Direct Costs 2026'!$C$20:$C$21),"N/A")</f>
        <v>98333.3333333333</v>
      </c>
      <c r="J99" s="594" cm="1">
        <f t="array" ref="J99">IF(B99&gt;0,'Direct Costs 2026'!$C$14,"N/A")</f>
        <v>60000</v>
      </c>
      <c r="K99" s="594" cm="1">
        <f t="array" ref="K99">IF(B99&gt;0,'Direct Costs 2026'!$C$26,"N/A")</f>
        <v>20000</v>
      </c>
      <c r="L99" s="594" cm="1">
        <f t="array" ref="L99">IF(B99&gt;0,SUM('Direct Costs 2026'!$C$23:$C$24),"N/A")</f>
        <v>160000</v>
      </c>
      <c r="M99" s="594" cm="1">
        <f t="array" ref="M99">IF(B99&gt;0,'Direct Costs 2026'!$C$47*B99,"N/A")</f>
        <v>540000</v>
      </c>
      <c r="N99" s="594" cm="1">
        <f t="array" ref="N99">IF($B99&gt;0,'Direct Costs 2026'!$C$30,"N/A")</f>
        <v>440000</v>
      </c>
      <c r="O99" s="594" cm="1">
        <f t="array" ref="O99">IF($B99&gt;0,'Direct Costs 2026'!$C$31,"N/A")</f>
        <v>870000</v>
      </c>
      <c r="P99" s="594" cm="1">
        <f t="array" ref="P99">IF(B99&gt;0,'Direct Costs 2026'!$C$59*B99,"N/A")</f>
        <v>123000</v>
      </c>
      <c r="Q99" s="594" cm="1">
        <f t="array" ref="Q99">IF(B99&gt;0,_xlfn.IFERROR(VLOOKUP(C94,'Boats Data Sheet 2026'!$C$3:$I$57,7,0)*'Direct Costs 2026'!$C$36,"N/A"),"N/A")</f>
        <v>3325000</v>
      </c>
      <c r="R99" s="594" cm="1">
        <f t="array" ref="R99">IF(B99&gt;0,IF(OR(VLOOKUP(C94,'Boats Data Sheet 2026'!$C$3:$F$57,4,0)="Own",VLOOKUP(C94,'Boats Data Sheet 2026'!$C$3:$F$57,4,0)="Management"),('Direct Costs 2026'!$C$37+'Direct Costs 2026'!$C$39),"N/A"),"N/A")</f>
        <v>1112400</v>
      </c>
      <c r="S99" s="594" cm="1">
        <f t="array" ref="S99">_xlfn.IFERROR(IF(B99&gt;5,IF(B99&gt;11,IF(B99&gt;15,4,3),2),IF(B99=0,"N/A",1))*SUM('Direct Costs 2026'!$C$67:$C$68),"N/A")</f>
        <v>489600</v>
      </c>
      <c r="T99" s="594" cm="1">
        <f t="array" ref="T99">_xlfn.IFERROR('Direct Costs 2026'!$C$27*C99,"N/A")</f>
        <v>0</v>
      </c>
      <c r="U99" s="594" cm="1">
        <f t="array" ref="U99">_xlfn.IFERROR(C99+SUM(E99:T99),"N/A")</f>
        <v>8501833.33333333</v>
      </c>
      <c r="V99" s="424"/>
      <c r="W99" s="594" cm="1">
        <f t="array" ref="W99">IF(B99&gt;0,'Allocation OH and Target 2026'!$E$27,"N/A")</f>
        <v>2134447.30345641</v>
      </c>
      <c r="X99" s="594" cm="1">
        <f t="array" ref="X99">IF(B99&gt;0,'Allocation OH and Target 2026'!$E$28,"N/A")</f>
        <v>200042.323056976</v>
      </c>
      <c r="Y99" s="594" cm="1">
        <f t="array" ref="Y99">IF(B99&gt;0,VLOOKUP(C94,'Allocation OH and Target 2026'!$C$5:$T$23,17,0),"N/A")</f>
        <v>965292.6396039641</v>
      </c>
      <c r="Z99" s="594" cm="1">
        <f t="array" ref="Z99">IF(B99&gt;0,VLOOKUP(C94,'Allocation OH and Target 2026'!$C$5:$T$23,18,0),"N/A")</f>
        <v>92851.958666666906</v>
      </c>
      <c r="AA99" s="594" cm="1">
        <f t="array" ref="AA99">_xlfn.IFERROR(B99*(X99+Z99),"N/A")</f>
        <v>878682.845170929</v>
      </c>
      <c r="AB99" s="424"/>
      <c r="AC99" s="594" cm="1">
        <f t="array" ref="AC99">_xlfn.IFERROR(AA99+U99,"N/A")</f>
        <v>9380516.17850426</v>
      </c>
      <c r="AD99" s="594" cm="1">
        <f t="array" ref="AD99">_xlfn.IFERROR(AC99*0.5%,"N/A")</f>
        <v>46902.5808925213</v>
      </c>
      <c r="AE99" s="594" cm="1">
        <f t="array" ref="AE99">_xlfn.IFERROR(AC99*25%,"N/A")</f>
        <v>2345129.04462607</v>
      </c>
      <c r="AF99" s="596" cm="1">
        <f t="array" ref="AF99">IF(B99&gt;0,SUM(AC99:AE99),"N/A")</f>
        <v>11772547.8040229</v>
      </c>
      <c r="AG99" s="594" cm="1">
        <f t="array" ref="AG99">_xlfn.IFERROR(AF99/B99,"N/A")</f>
        <v>3924182.60134097</v>
      </c>
      <c r="AH99" s="424"/>
      <c r="AI99" t="str" s="604" cm="1">
        <f t="array" ref="AI99">IF(B99/VLOOKUP(C94,'Boats Data Sheet 2026'!$C$3:$H$57,6,0)&gt;VLOOKUP(C94,'Allocation OH and Target 2026'!$C$5:$J$23,8,0),IF(SUM(AJ96:AJ98)=0,AG99,"N/A"),"N/A")</f>
        <v>N/A</v>
      </c>
      <c r="AJ99" s="424" cm="1">
        <f t="array" ref="AJ99">IF(AI99="N/A",0,1)</f>
        <v>0</v>
      </c>
      <c r="AK99" t="str" s="595" cm="1">
        <f t="array" ref="AK99">IF(B99/VLOOKUP(C94,'Boats Data Sheet 2026'!$C$3:$H$57,6,0)&gt;VLOOKUP(C94,'Allocation OH and Target 2026'!$C$5:$J$23,8,0),IF(SUM(AJ96:AJ98)=0,U99/B99,"N/A"),"N/A")</f>
        <v>N/A</v>
      </c>
      <c r="AL99" s="424" cm="1">
        <f t="array" ref="AL99">IF(AK99="N/A",0,1)</f>
        <v>0</v>
      </c>
      <c r="AM99" t="str" s="605" cm="1">
        <f t="array" ref="AM99">IF(SUM(1250000+700000)*B99&lt;SUM(AC99:AD99),"NO GO","GO")</f>
        <v>NO GO</v>
      </c>
      <c r="AN99" s="424"/>
      <c r="AO99" t="s" s="598">
        <v>547</v>
      </c>
      <c r="AP99" s="594" cm="1">
        <f t="array" ref="AP99">AP97*'RECOMMENDED PRICES'!$D$12</f>
        <v>3587500000</v>
      </c>
      <c r="AQ99" s="594"/>
      <c r="AR99" s="600"/>
      <c r="AS99" s="601" cm="1">
        <f t="array" ref="AS99">B99</f>
        <v>3</v>
      </c>
    </row>
    <row r="100" ht="16" customHeight="1">
      <c r="A100" s="12"/>
      <c r="B100" s="602" cm="1">
        <f t="array" ref="B100">IF(B99=0,0,IF(B99&lt;VLOOKUP(C94,'Boats Data Sheet 2026'!$C$3:$H$57,6,0),B99+1,0))</f>
        <v>4</v>
      </c>
      <c r="C100" s="594" cm="1">
        <f t="array" ref="C100">IF(B100&gt;0,IF(VLOOKUP(C94,'Boats Data Sheet 2026'!$C$3:$J$57,8,0)="N/A",0,VLOOKUP(C94,'Boats Data Sheet 2026'!$C$3:$J$57,8,0)),"N/A")</f>
        <v>0</v>
      </c>
      <c r="D100" s="603" cm="1">
        <f t="array" ref="D100">IF(B100&gt;7,2,IF(B100=0,"N/A",1))</f>
        <v>1</v>
      </c>
      <c r="E100" s="594" cm="1">
        <f t="array" ref="E100">_xlfn.IFERROR(SUM('Direct Costs 2026'!$C$4:$C$6)*D100,"N/A")</f>
        <v>975500</v>
      </c>
      <c r="F100" s="594" cm="1">
        <f t="array" ref="F100">_xlfn.IFERROR('Direct Costs 2026'!$C$43*B100,"N/A")</f>
        <v>24000</v>
      </c>
      <c r="G100" s="594" cm="1">
        <f t="array" ref="G100">IF(B100&gt;0,'Direct Costs 2026'!$C$25,"N/A")</f>
        <v>90000</v>
      </c>
      <c r="H100" s="594" cm="1">
        <f t="array" ref="H100">IF(B100&gt;0,'Direct Costs 2026'!$C$19+'Direct Costs 2026'!$C$18*B100,"N/A")</f>
        <v>215000</v>
      </c>
      <c r="I100" s="594" cm="1">
        <f t="array" ref="I100">IF(B100&gt;0,SUM('Direct Costs 2026'!$C$20:$C$21),"N/A")</f>
        <v>98333.3333333333</v>
      </c>
      <c r="J100" s="594" cm="1">
        <f t="array" ref="J100">IF(B100&gt;0,'Direct Costs 2026'!$C$14,"N/A")</f>
        <v>60000</v>
      </c>
      <c r="K100" s="594" cm="1">
        <f t="array" ref="K100">IF(B100&gt;0,'Direct Costs 2026'!$C$26,"N/A")</f>
        <v>20000</v>
      </c>
      <c r="L100" s="594" cm="1">
        <f t="array" ref="L100">IF(B100&gt;0,SUM('Direct Costs 2026'!$C$23:$C$24),"N/A")</f>
        <v>160000</v>
      </c>
      <c r="M100" s="594" cm="1">
        <f t="array" ref="M100">IF(B100&gt;0,'Direct Costs 2026'!$C$47*B100,"N/A")</f>
        <v>720000</v>
      </c>
      <c r="N100" s="594" cm="1">
        <f t="array" ref="N100">IF($B100&gt;0,'Direct Costs 2026'!$C$30,"N/A")</f>
        <v>440000</v>
      </c>
      <c r="O100" s="594" cm="1">
        <f t="array" ref="O100">IF($B100&gt;0,'Direct Costs 2026'!$C$31,"N/A")</f>
        <v>870000</v>
      </c>
      <c r="P100" s="594" cm="1">
        <f t="array" ref="P100">IF(B100&gt;0,'Direct Costs 2026'!$C$59*B100,"N/A")</f>
        <v>164000</v>
      </c>
      <c r="Q100" s="594" cm="1">
        <f t="array" ref="Q100">IF(B100&gt;0,_xlfn.IFERROR(VLOOKUP(C94,'Boats Data Sheet 2026'!$C$3:$I$57,7,0)*'Direct Costs 2026'!$C$36,"N/A"),"N/A")</f>
        <v>3325000</v>
      </c>
      <c r="R100" s="594" cm="1">
        <f t="array" ref="R100">IF(B100&gt;0,IF(OR(VLOOKUP(C94,'Boats Data Sheet 2026'!$C$3:$F$57,4,0)="Own",VLOOKUP(C94,'Boats Data Sheet 2026'!$C$3:$F$57,4,0)="Management"),('Direct Costs 2026'!$C$37+'Direct Costs 2026'!$C$39),"N/A"),"N/A")</f>
        <v>1112400</v>
      </c>
      <c r="S100" s="594" cm="1">
        <f t="array" ref="S100">_xlfn.IFERROR(IF(B100&gt;5,IF(B100&gt;11,IF(B100&gt;15,4,3),2),IF(B100=0,"N/A",1))*SUM('Direct Costs 2026'!$C$67:$C$68),"N/A")</f>
        <v>489600</v>
      </c>
      <c r="T100" s="594" cm="1">
        <f t="array" ref="T100">_xlfn.IFERROR('Direct Costs 2026'!$C$27*C100,"N/A")</f>
        <v>0</v>
      </c>
      <c r="U100" s="594" cm="1">
        <f t="array" ref="U100">_xlfn.IFERROR(C100+SUM(E100:T100),"N/A")</f>
        <v>8763833.33333333</v>
      </c>
      <c r="V100" s="424"/>
      <c r="W100" s="594" cm="1">
        <f t="array" ref="W100">IF(B100&gt;0,'Allocation OH and Target 2026'!$E$27,"N/A")</f>
        <v>2134447.30345641</v>
      </c>
      <c r="X100" s="594" cm="1">
        <f t="array" ref="X100">IF(B100&gt;0,'Allocation OH and Target 2026'!$E$28,"N/A")</f>
        <v>200042.323056976</v>
      </c>
      <c r="Y100" s="594" cm="1">
        <f t="array" ref="Y100">IF(B100&gt;0,VLOOKUP(C94,'Allocation OH and Target 2026'!$C$5:$T$23,17,0),"N/A")</f>
        <v>965292.6396039641</v>
      </c>
      <c r="Z100" s="594" cm="1">
        <f t="array" ref="Z100">IF(B100&gt;0,VLOOKUP(C94,'Allocation OH and Target 2026'!$C$5:$T$23,18,0),"N/A")</f>
        <v>92851.958666666906</v>
      </c>
      <c r="AA100" s="594" cm="1">
        <f t="array" ref="AA100">_xlfn.IFERROR(B100*(X100+Z100),"N/A")</f>
        <v>1171577.12689457</v>
      </c>
      <c r="AB100" s="424"/>
      <c r="AC100" s="594" cm="1">
        <f t="array" ref="AC100">_xlfn.IFERROR(AA100+U100,"N/A")</f>
        <v>9935410.460227899</v>
      </c>
      <c r="AD100" s="594" cm="1">
        <f t="array" ref="AD100">_xlfn.IFERROR(AC100*0.5%,"N/A")</f>
        <v>49677.0523011395</v>
      </c>
      <c r="AE100" s="594" cm="1">
        <f t="array" ref="AE100">_xlfn.IFERROR(AC100*25%,"N/A")</f>
        <v>2483852.61505698</v>
      </c>
      <c r="AF100" s="596" cm="1">
        <f t="array" ref="AF100">IF(B100&gt;0,SUM(AC100:AE100),"N/A")</f>
        <v>12468940.127586</v>
      </c>
      <c r="AG100" s="594" cm="1">
        <f t="array" ref="AG100">_xlfn.IFERROR(AF100/B100,"N/A")</f>
        <v>3117235.0318965</v>
      </c>
      <c r="AH100" s="424"/>
      <c r="AI100" t="str" s="604" cm="1">
        <f t="array" ref="AI100">IF(B100/VLOOKUP(C94,'Boats Data Sheet 2026'!$C$3:$H$57,6,0)&gt;VLOOKUP(C94,'Allocation OH and Target 2026'!$C$5:$J$23,8,0),IF(SUM(AJ96:AJ99)=0,AG100,"N/A"),"N/A")</f>
        <v>N/A</v>
      </c>
      <c r="AJ100" s="424" cm="1">
        <f t="array" ref="AJ100">IF(AI100="N/A",0,1)</f>
        <v>0</v>
      </c>
      <c r="AK100" t="str" s="595" cm="1">
        <f t="array" ref="AK100">IF(B100/VLOOKUP(C94,'Boats Data Sheet 2026'!$C$3:$H$57,6,0)&gt;VLOOKUP(C94,'Allocation OH and Target 2026'!$C$5:$J$23,8,0),IF(SUM(AJ96:AJ99)=0,U100/B100,"N/A"),"N/A")</f>
        <v>N/A</v>
      </c>
      <c r="AL100" s="424" cm="1">
        <f t="array" ref="AL100">IF(AK100="N/A",0,1)</f>
        <v>0</v>
      </c>
      <c r="AM100" t="str" s="605" cm="1">
        <f t="array" ref="AM100">IF(SUM(1250000+700000)*B100&lt;SUM(AC100:AD100),"NO GO","GO")</f>
        <v>NO GO</v>
      </c>
      <c r="AN100" s="424"/>
      <c r="AO100" t="s" s="598">
        <v>550</v>
      </c>
      <c r="AP100" s="594"/>
      <c r="AQ100" s="594"/>
      <c r="AR100" s="600"/>
      <c r="AS100" s="601" cm="1">
        <f t="array" ref="AS100">B100</f>
        <v>4</v>
      </c>
    </row>
    <row r="101" ht="16" customHeight="1">
      <c r="A101" s="12"/>
      <c r="B101" s="602" cm="1">
        <f t="array" ref="B101">IF(B100=0,0,IF(B100&lt;VLOOKUP(C94,'Boats Data Sheet 2026'!$C$3:$H$57,6,0),B100+1,0))</f>
        <v>5</v>
      </c>
      <c r="C101" s="594" cm="1">
        <f t="array" ref="C101">IF(B101&gt;0,IF(VLOOKUP(C94,'Boats Data Sheet 2026'!$C$3:$J$57,8,0)="N/A",0,VLOOKUP(C94,'Boats Data Sheet 2026'!$C$3:$J$57,8,0)),"N/A")</f>
        <v>0</v>
      </c>
      <c r="D101" s="603" cm="1">
        <f t="array" ref="D101">IF(B101&gt;7,2,IF(B101=0,"N/A",1))</f>
        <v>1</v>
      </c>
      <c r="E101" s="594" cm="1">
        <f t="array" ref="E101">_xlfn.IFERROR(SUM('Direct Costs 2026'!$C$4:$C$6)*D101,"N/A")</f>
        <v>975500</v>
      </c>
      <c r="F101" s="594" cm="1">
        <f t="array" ref="F101">_xlfn.IFERROR('Direct Costs 2026'!$C$43*B101,"N/A")</f>
        <v>30000</v>
      </c>
      <c r="G101" s="594" cm="1">
        <f t="array" ref="G101">IF(B101&gt;0,'Direct Costs 2026'!$C$25,"N/A")</f>
        <v>90000</v>
      </c>
      <c r="H101" s="594" cm="1">
        <f t="array" ref="H101">IF(B101&gt;0,'Direct Costs 2026'!$C$19+'Direct Costs 2026'!$C$18*B101,"N/A")</f>
        <v>250000</v>
      </c>
      <c r="I101" s="594" cm="1">
        <f t="array" ref="I101">IF(B101&gt;0,SUM('Direct Costs 2026'!$C$20:$C$21),"N/A")</f>
        <v>98333.3333333333</v>
      </c>
      <c r="J101" s="594" cm="1">
        <f t="array" ref="J101">IF(B101&gt;0,'Direct Costs 2026'!$C$14,"N/A")</f>
        <v>60000</v>
      </c>
      <c r="K101" s="594" cm="1">
        <f t="array" ref="K101">IF(B101&gt;0,'Direct Costs 2026'!$C$26,"N/A")</f>
        <v>20000</v>
      </c>
      <c r="L101" s="594" cm="1">
        <f t="array" ref="L101">IF(B101&gt;0,SUM('Direct Costs 2026'!$C$23:$C$24),"N/A")</f>
        <v>160000</v>
      </c>
      <c r="M101" s="594" cm="1">
        <f t="array" ref="M101">IF(B101&gt;0,'Direct Costs 2026'!$C$47*B101,"N/A")</f>
        <v>900000</v>
      </c>
      <c r="N101" s="594" cm="1">
        <f t="array" ref="N101">IF($B101&gt;0,'Direct Costs 2026'!$C$30,"N/A")</f>
        <v>440000</v>
      </c>
      <c r="O101" s="594" cm="1">
        <f t="array" ref="O101">IF($B101&gt;0,'Direct Costs 2026'!$C$31,"N/A")</f>
        <v>870000</v>
      </c>
      <c r="P101" s="594" cm="1">
        <f t="array" ref="P101">IF(B101&gt;0,'Direct Costs 2026'!$C$59*B101,"N/A")</f>
        <v>205000</v>
      </c>
      <c r="Q101" s="594" cm="1">
        <f t="array" ref="Q101">IF(B101&gt;0,_xlfn.IFERROR(VLOOKUP(C94,'Boats Data Sheet 2026'!$C$3:$I$57,7,0)*'Direct Costs 2026'!$C$36,"N/A"),"N/A")</f>
        <v>3325000</v>
      </c>
      <c r="R101" s="594" cm="1">
        <f t="array" ref="R101">IF(B101&gt;0,IF(OR(VLOOKUP(C94,'Boats Data Sheet 2026'!$C$3:$F$57,4,0)="Own",VLOOKUP(C94,'Boats Data Sheet 2026'!$C$3:$F$57,4,0)="Management"),('Direct Costs 2026'!$C$37+'Direct Costs 2026'!$C$39),"N/A"),"N/A")</f>
        <v>1112400</v>
      </c>
      <c r="S101" s="594" cm="1">
        <f t="array" ref="S101">_xlfn.IFERROR(IF(B101&gt;5,IF(B101&gt;11,IF(B101&gt;15,4,3),2),IF(B101=0,"N/A",1))*SUM('Direct Costs 2026'!$C$67:$C$68),"N/A")</f>
        <v>489600</v>
      </c>
      <c r="T101" s="594" cm="1">
        <f t="array" ref="T101">_xlfn.IFERROR('Direct Costs 2026'!$C$27*C101,"N/A")</f>
        <v>0</v>
      </c>
      <c r="U101" s="594" cm="1">
        <f t="array" ref="U101">_xlfn.IFERROR(C101+SUM(E101:T101),"N/A")</f>
        <v>9025833.33333333</v>
      </c>
      <c r="V101" s="424"/>
      <c r="W101" s="594" cm="1">
        <f t="array" ref="W101">IF(B101&gt;0,'Allocation OH and Target 2026'!$E$27,"N/A")</f>
        <v>2134447.30345641</v>
      </c>
      <c r="X101" s="594" cm="1">
        <f t="array" ref="X101">IF(B101&gt;0,'Allocation OH and Target 2026'!$E$28,"N/A")</f>
        <v>200042.323056976</v>
      </c>
      <c r="Y101" s="594" cm="1">
        <f t="array" ref="Y101">IF(B101&gt;0,VLOOKUP(C94,'Allocation OH and Target 2026'!$C$5:$T$23,17,0),"N/A")</f>
        <v>965292.6396039641</v>
      </c>
      <c r="Z101" s="594" cm="1">
        <f t="array" ref="Z101">IF(B101&gt;0,VLOOKUP(C94,'Allocation OH and Target 2026'!$C$5:$T$23,18,0),"N/A")</f>
        <v>92851.958666666906</v>
      </c>
      <c r="AA101" s="594" cm="1">
        <f t="array" ref="AA101">_xlfn.IFERROR(B101*(X101+Z101),"N/A")</f>
        <v>1464471.40861821</v>
      </c>
      <c r="AB101" s="424"/>
      <c r="AC101" s="594" cm="1">
        <f t="array" ref="AC101">_xlfn.IFERROR(AA101+U101,"N/A")</f>
        <v>10490304.7419515</v>
      </c>
      <c r="AD101" s="594" cm="1">
        <f t="array" ref="AD101">_xlfn.IFERROR(AC101*0.5%,"N/A")</f>
        <v>52451.5237097575</v>
      </c>
      <c r="AE101" s="594" cm="1">
        <f t="array" ref="AE101">_xlfn.IFERROR(AC101*25%,"N/A")</f>
        <v>2622576.18548788</v>
      </c>
      <c r="AF101" s="596" cm="1">
        <f t="array" ref="AF101">IF(B101&gt;0,SUM(AC101:AE101),"N/A")</f>
        <v>13165332.4511491</v>
      </c>
      <c r="AG101" s="594" cm="1">
        <f t="array" ref="AG101">_xlfn.IFERROR(AF101/B101,"N/A")</f>
        <v>2633066.49022982</v>
      </c>
      <c r="AH101" s="424"/>
      <c r="AI101" t="str" s="604" cm="1">
        <f t="array" ref="AI101">IF(B101/VLOOKUP(C94,'Boats Data Sheet 2026'!$C$3:$H$57,6,0)&gt;VLOOKUP(C94,'Allocation OH and Target 2026'!$C$5:$J$23,8,0),IF(SUM(AJ96:AJ100)=0,AG101,"N/A"),"N/A")</f>
        <v>N/A</v>
      </c>
      <c r="AJ101" s="424" cm="1">
        <f t="array" ref="AJ101">IF(AI101="N/A",0,1)</f>
        <v>0</v>
      </c>
      <c r="AK101" t="str" s="595" cm="1">
        <f t="array" ref="AK101">IF(B101/VLOOKUP(C94,'Boats Data Sheet 2026'!$C$3:$H$57,6,0)&gt;VLOOKUP(C94,'Allocation OH and Target 2026'!$C$5:$J$23,8,0),IF(SUM(AJ96:AJ100)=0,U101/B101,"N/A"),"N/A")</f>
        <v>N/A</v>
      </c>
      <c r="AL101" s="424" cm="1">
        <f t="array" ref="AL101">IF(AK101="N/A",0,1)</f>
        <v>0</v>
      </c>
      <c r="AM101" t="str" s="605" cm="1">
        <f t="array" ref="AM101">IF(SUM(1250000+700000)*B101&lt;SUM(AC101:AD101),"NO GO","GO")</f>
        <v>NO GO</v>
      </c>
      <c r="AN101" s="424"/>
      <c r="AO101" t="s" s="598">
        <v>551</v>
      </c>
      <c r="AP101" s="614" cm="1">
        <f t="array" ref="AP101">(AC108/B108)*AP97</f>
        <v>2381351104.12748</v>
      </c>
      <c r="AQ101" s="594"/>
      <c r="AR101" s="600"/>
      <c r="AS101" s="601" cm="1">
        <f t="array" ref="AS101">B101</f>
        <v>5</v>
      </c>
    </row>
    <row r="102" ht="16" customHeight="1">
      <c r="A102" s="12"/>
      <c r="B102" s="602" cm="1">
        <f t="array" ref="B102">IF(B101=0,0,IF(B101&lt;VLOOKUP(C94,'Boats Data Sheet 2026'!$C$3:$H$57,6,0),B101+1,0))</f>
        <v>6</v>
      </c>
      <c r="C102" s="594" cm="1">
        <f t="array" ref="C102">IF(B102&gt;0,IF(VLOOKUP(C94,'Boats Data Sheet 2026'!$C$3:$J$57,8,0)="N/A",0,VLOOKUP(C94,'Boats Data Sheet 2026'!$C$3:$J$57,8,0)),"N/A")</f>
        <v>0</v>
      </c>
      <c r="D102" s="603" cm="1">
        <f t="array" ref="D102">IF(B102&gt;7,2,IF(B102=0,"N/A",1))</f>
        <v>1</v>
      </c>
      <c r="E102" s="594" cm="1">
        <f t="array" ref="E102">_xlfn.IFERROR(SUM('Direct Costs 2026'!$C$4:$C$6)*D102,"N/A")</f>
        <v>975500</v>
      </c>
      <c r="F102" s="594" cm="1">
        <f t="array" ref="F102">_xlfn.IFERROR('Direct Costs 2026'!$C$43*B102,"N/A")</f>
        <v>36000</v>
      </c>
      <c r="G102" s="594" cm="1">
        <f t="array" ref="G102">IF(B102&gt;0,'Direct Costs 2026'!$C$25,"N/A")</f>
        <v>90000</v>
      </c>
      <c r="H102" s="594" cm="1">
        <f t="array" ref="H102">IF(B102&gt;0,'Direct Costs 2026'!$C$19+'Direct Costs 2026'!$C$18*B102,"N/A")</f>
        <v>285000</v>
      </c>
      <c r="I102" s="594" cm="1">
        <f t="array" ref="I102">IF(B102&gt;0,SUM('Direct Costs 2026'!$C$20:$C$21),"N/A")</f>
        <v>98333.3333333333</v>
      </c>
      <c r="J102" s="594" cm="1">
        <f t="array" ref="J102">IF(B102&gt;0,'Direct Costs 2026'!$C$14,"N/A")</f>
        <v>60000</v>
      </c>
      <c r="K102" s="594" cm="1">
        <f t="array" ref="K102">IF(B102&gt;0,'Direct Costs 2026'!$C$26,"N/A")</f>
        <v>20000</v>
      </c>
      <c r="L102" s="594" cm="1">
        <f t="array" ref="L102">IF(B102&gt;0,SUM('Direct Costs 2026'!$C$23:$C$24),"N/A")</f>
        <v>160000</v>
      </c>
      <c r="M102" s="594" cm="1">
        <f t="array" ref="M102">IF(B102&gt;0,'Direct Costs 2026'!$C$47*B102,"N/A")</f>
        <v>1080000</v>
      </c>
      <c r="N102" s="594" cm="1">
        <f t="array" ref="N102">IF($B102&gt;0,'Direct Costs 2026'!$C$30,"N/A")</f>
        <v>440000</v>
      </c>
      <c r="O102" s="594" cm="1">
        <f t="array" ref="O102">IF($B102&gt;0,'Direct Costs 2026'!$C$31,"N/A")</f>
        <v>870000</v>
      </c>
      <c r="P102" s="594" cm="1">
        <f t="array" ref="P102">IF(B102&gt;0,'Direct Costs 2026'!$C$59*B102,"N/A")</f>
        <v>246000</v>
      </c>
      <c r="Q102" s="594" cm="1">
        <f t="array" ref="Q102">IF(B102&gt;0,_xlfn.IFERROR(VLOOKUP(C94,'Boats Data Sheet 2026'!$C$3:$I$57,7,0)*'Direct Costs 2026'!$C$36,"N/A"),"N/A")</f>
        <v>3325000</v>
      </c>
      <c r="R102" s="594" cm="1">
        <f t="array" ref="R102">IF(B102&gt;0,IF(OR(VLOOKUP(C94,'Boats Data Sheet 2026'!$C$3:$F$57,4,0)="Own",VLOOKUP(C94,'Boats Data Sheet 2026'!$C$3:$F$57,4,0)="Management"),('Direct Costs 2026'!$C$37+'Direct Costs 2026'!$C$39),"N/A"),"N/A")</f>
        <v>1112400</v>
      </c>
      <c r="S102" s="594" cm="1">
        <f t="array" ref="S102">_xlfn.IFERROR(IF(B102&gt;5,IF(B102&gt;11,IF(B102&gt;15,4,3),2),IF(B102=0,"N/A",1))*SUM('Direct Costs 2026'!$C$67:$C$68),"N/A")</f>
        <v>979200</v>
      </c>
      <c r="T102" s="594" cm="1">
        <f t="array" ref="T102">_xlfn.IFERROR('Direct Costs 2026'!$C$27*C102,"N/A")</f>
        <v>0</v>
      </c>
      <c r="U102" s="594" cm="1">
        <f t="array" ref="U102">_xlfn.IFERROR(C102+SUM(E102:T102),"N/A")</f>
        <v>9777433.33333333</v>
      </c>
      <c r="V102" s="424"/>
      <c r="W102" s="594" cm="1">
        <f t="array" ref="W102">IF(B102&gt;0,'Allocation OH and Target 2026'!$E$27,"N/A")</f>
        <v>2134447.30345641</v>
      </c>
      <c r="X102" s="594" cm="1">
        <f t="array" ref="X102">IF(B102&gt;0,'Allocation OH and Target 2026'!$E$28,"N/A")</f>
        <v>200042.323056976</v>
      </c>
      <c r="Y102" s="594" cm="1">
        <f t="array" ref="Y102">IF(B102&gt;0,VLOOKUP(C94,'Allocation OH and Target 2026'!$C$5:$T$23,17,0),"N/A")</f>
        <v>965292.6396039641</v>
      </c>
      <c r="Z102" s="594" cm="1">
        <f t="array" ref="Z102">IF(B102&gt;0,VLOOKUP(C94,'Allocation OH and Target 2026'!$C$5:$T$23,18,0),"N/A")</f>
        <v>92851.958666666906</v>
      </c>
      <c r="AA102" s="594" cm="1">
        <f t="array" ref="AA102">_xlfn.IFERROR(B102*(X102+Z102),"N/A")</f>
        <v>1757365.69034186</v>
      </c>
      <c r="AB102" s="424"/>
      <c r="AC102" s="594" cm="1">
        <f t="array" ref="AC102">_xlfn.IFERROR(AA102+U102,"N/A")</f>
        <v>11534799.0236752</v>
      </c>
      <c r="AD102" s="594" cm="1">
        <f t="array" ref="AD102">_xlfn.IFERROR(AC102*0.5%,"N/A")</f>
        <v>57673.995118376</v>
      </c>
      <c r="AE102" s="594" cm="1">
        <f t="array" ref="AE102">_xlfn.IFERROR(AC102*25%,"N/A")</f>
        <v>2883699.7559188</v>
      </c>
      <c r="AF102" s="596" cm="1">
        <f t="array" ref="AF102">IF(B102&gt;0,SUM(AC102:AE102),"N/A")</f>
        <v>14476172.7747124</v>
      </c>
      <c r="AG102" s="594" cm="1">
        <f t="array" ref="AG102">_xlfn.IFERROR(AF102/B102,"N/A")</f>
        <v>2412695.46245207</v>
      </c>
      <c r="AH102" s="424"/>
      <c r="AI102" t="str" s="604" cm="1">
        <f t="array" ref="AI102">IF(B102/VLOOKUP(C94,'Boats Data Sheet 2026'!$C$3:$H$57,6,0)&gt;VLOOKUP(C94,'Allocation OH and Target 2026'!$C$5:$J$23,8,0),IF(SUM(AJ96:AJ101)=0,AG102,"N/A"),"N/A")</f>
        <v>N/A</v>
      </c>
      <c r="AJ102" s="424" cm="1">
        <f t="array" ref="AJ102">IF(AI102="N/A",0,1)</f>
        <v>0</v>
      </c>
      <c r="AK102" t="str" s="595" cm="1">
        <f t="array" ref="AK102">IF(B102/VLOOKUP(C94,'Boats Data Sheet 2026'!$C$3:$H$57,6,0)&gt;VLOOKUP(C94,'Allocation OH and Target 2026'!$C$5:$J$23,8,0),IF(SUM(AJ96:AJ101)=0,U102/B102,"N/A"),"N/A")</f>
        <v>N/A</v>
      </c>
      <c r="AL102" s="424" cm="1">
        <f t="array" ref="AL102">IF(AK102="N/A",0,1)</f>
        <v>0</v>
      </c>
      <c r="AM102" t="str" s="605" cm="1">
        <f t="array" ref="AM102">IF(SUM(1250000+700000)*B102&lt;SUM(AC102:AD102),"NO GO","GO")</f>
        <v>GO</v>
      </c>
      <c r="AN102" s="424"/>
      <c r="AO102" t="s" s="598">
        <v>394</v>
      </c>
      <c r="AP102" s="615" cm="1">
        <f t="array" ref="AP102">AP99-AP101</f>
        <v>1206148895.87252</v>
      </c>
      <c r="AQ102" s="594"/>
      <c r="AR102" s="600"/>
      <c r="AS102" s="601" cm="1">
        <f t="array" ref="AS102">B102</f>
        <v>6</v>
      </c>
    </row>
    <row r="103" ht="16" customHeight="1">
      <c r="A103" s="12"/>
      <c r="B103" s="602" cm="1">
        <f t="array" ref="B103">IF(B102=0,0,IF(B102&lt;VLOOKUP(C94,'Boats Data Sheet 2026'!$C$3:$H$57,6,0),B102+1,0))</f>
        <v>7</v>
      </c>
      <c r="C103" s="594" cm="1">
        <f t="array" ref="C103">IF(B103&gt;0,IF(VLOOKUP(C94,'Boats Data Sheet 2026'!$C$3:$J$57,8,0)="N/A",0,VLOOKUP(C94,'Boats Data Sheet 2026'!$C$3:$J$57,8,0)),"N/A")</f>
        <v>0</v>
      </c>
      <c r="D103" s="603" cm="1">
        <f t="array" ref="D103">IF(B103&gt;7,2,IF(B103=0,"N/A",1))</f>
        <v>1</v>
      </c>
      <c r="E103" s="594" cm="1">
        <f t="array" ref="E103">_xlfn.IFERROR(SUM('Direct Costs 2026'!$C$4:$C$6)*D103,"N/A")</f>
        <v>975500</v>
      </c>
      <c r="F103" s="594" cm="1">
        <f t="array" ref="F103">_xlfn.IFERROR('Direct Costs 2026'!$C$43*B103,"N/A")</f>
        <v>42000</v>
      </c>
      <c r="G103" s="594" cm="1">
        <f t="array" ref="G103">IF(B103&gt;0,'Direct Costs 2026'!$C$25,"N/A")</f>
        <v>90000</v>
      </c>
      <c r="H103" s="594" cm="1">
        <f t="array" ref="H103">IF(B103&gt;0,'Direct Costs 2026'!$C$19+'Direct Costs 2026'!$C$18*B103,"N/A")</f>
        <v>320000</v>
      </c>
      <c r="I103" s="594" cm="1">
        <f t="array" ref="I103">IF(B103&gt;0,SUM('Direct Costs 2026'!$C$20:$C$21),"N/A")</f>
        <v>98333.3333333333</v>
      </c>
      <c r="J103" s="594" cm="1">
        <f t="array" ref="J103">IF(B103&gt;0,'Direct Costs 2026'!$C$14,"N/A")</f>
        <v>60000</v>
      </c>
      <c r="K103" s="594" cm="1">
        <f t="array" ref="K103">IF(B103&gt;0,'Direct Costs 2026'!$C$26,"N/A")</f>
        <v>20000</v>
      </c>
      <c r="L103" s="594" cm="1">
        <f t="array" ref="L103">IF(B103&gt;0,SUM('Direct Costs 2026'!$C$23:$C$24),"N/A")</f>
        <v>160000</v>
      </c>
      <c r="M103" s="594" cm="1">
        <f t="array" ref="M103">IF(B103&gt;0,'Direct Costs 2026'!$C$47*B103,"N/A")</f>
        <v>1260000</v>
      </c>
      <c r="N103" s="594" cm="1">
        <f t="array" ref="N103">IF($B103&gt;0,'Direct Costs 2026'!$C$30,"N/A")</f>
        <v>440000</v>
      </c>
      <c r="O103" s="594" cm="1">
        <f t="array" ref="O103">IF($B103&gt;0,'Direct Costs 2026'!$C$31,"N/A")</f>
        <v>870000</v>
      </c>
      <c r="P103" s="594" cm="1">
        <f t="array" ref="P103">IF(B103&gt;0,'Direct Costs 2026'!$C$59*B103,"N/A")</f>
        <v>287000</v>
      </c>
      <c r="Q103" s="594" cm="1">
        <f t="array" ref="Q103">IF(B103&gt;0,_xlfn.IFERROR(VLOOKUP(C94,'Boats Data Sheet 2026'!$C$3:$I$57,7,0)*'Direct Costs 2026'!$C$36,"N/A"),"N/A")</f>
        <v>3325000</v>
      </c>
      <c r="R103" s="594" cm="1">
        <f t="array" ref="R103">IF(B103&gt;0,IF(OR(VLOOKUP(C94,'Boats Data Sheet 2026'!$C$3:$F$57,4,0)="Own",VLOOKUP(C94,'Boats Data Sheet 2026'!$C$3:$F$57,4,0)="Management"),('Direct Costs 2026'!$C$37+'Direct Costs 2026'!$C$39),"N/A"),"N/A")</f>
        <v>1112400</v>
      </c>
      <c r="S103" s="594" cm="1">
        <f t="array" ref="S103">_xlfn.IFERROR(IF(B103&gt;5,IF(B103&gt;11,IF(B103&gt;15,4,3),2),IF(B103=0,"N/A",1))*SUM('Direct Costs 2026'!$C$67:$C$68),"N/A")</f>
        <v>979200</v>
      </c>
      <c r="T103" s="594" cm="1">
        <f t="array" ref="T103">_xlfn.IFERROR('Direct Costs 2026'!$C$27*C103,"N/A")</f>
        <v>0</v>
      </c>
      <c r="U103" s="594" cm="1">
        <f t="array" ref="U103">_xlfn.IFERROR(C103+SUM(E103:T103),"N/A")</f>
        <v>10039433.3333333</v>
      </c>
      <c r="V103" s="424"/>
      <c r="W103" s="594" cm="1">
        <f t="array" ref="W103">IF(B103&gt;0,'Allocation OH and Target 2026'!$E$27,"N/A")</f>
        <v>2134447.30345641</v>
      </c>
      <c r="X103" s="594" cm="1">
        <f t="array" ref="X103">IF(B103&gt;0,'Allocation OH and Target 2026'!$E$28,"N/A")</f>
        <v>200042.323056976</v>
      </c>
      <c r="Y103" s="594" cm="1">
        <f t="array" ref="Y103">IF(B103&gt;0,VLOOKUP(C94,'Allocation OH and Target 2026'!$C$5:$T$23,17,0),"N/A")</f>
        <v>965292.6396039641</v>
      </c>
      <c r="Z103" s="594" cm="1">
        <f t="array" ref="Z103">IF(B103&gt;0,VLOOKUP(C94,'Allocation OH and Target 2026'!$C$5:$T$23,18,0),"N/A")</f>
        <v>92851.958666666906</v>
      </c>
      <c r="AA103" s="594" cm="1">
        <f t="array" ref="AA103">_xlfn.IFERROR(B103*(X103+Z103),"N/A")</f>
        <v>2050259.9720655</v>
      </c>
      <c r="AB103" s="424"/>
      <c r="AC103" s="594" cm="1">
        <f t="array" ref="AC103">_xlfn.IFERROR(AA103+U103,"N/A")</f>
        <v>12089693.3053988</v>
      </c>
      <c r="AD103" s="594" cm="1">
        <f t="array" ref="AD103">_xlfn.IFERROR(AC103*0.5%,"N/A")</f>
        <v>60448.466526994</v>
      </c>
      <c r="AE103" s="594" cm="1">
        <f t="array" ref="AE103">_xlfn.IFERROR(AC103*25%,"N/A")</f>
        <v>3022423.3263497</v>
      </c>
      <c r="AF103" s="596" cm="1">
        <f t="array" ref="AF103">IF(B103&gt;0,SUM(AC103:AE103),"N/A")</f>
        <v>15172565.0982755</v>
      </c>
      <c r="AG103" s="594" cm="1">
        <f t="array" ref="AG103">_xlfn.IFERROR(AF103/B103,"N/A")</f>
        <v>2167509.29975364</v>
      </c>
      <c r="AH103" s="424"/>
      <c r="AI103" t="str" s="604" cm="1">
        <f t="array" ref="AI103">IF(B103/VLOOKUP(C94,'Boats Data Sheet 2026'!$C$3:$H$57,6,0)&gt;VLOOKUP(C94,'Allocation OH and Target 2026'!$C$5:$J$23,8,0),IF(SUM(AJ96:AJ102)=0,AG103,"N/A"),"N/A")</f>
        <v>N/A</v>
      </c>
      <c r="AJ103" s="424" cm="1">
        <f t="array" ref="AJ103">IF(AI103="N/A",0,1)</f>
        <v>0</v>
      </c>
      <c r="AK103" t="str" s="595" cm="1">
        <f t="array" ref="AK103">IF(B103/VLOOKUP(C94,'Boats Data Sheet 2026'!$C$3:$H$57,6,0)&gt;VLOOKUP(C94,'Allocation OH and Target 2026'!$C$5:$J$23,8,0),IF(SUM(AJ96:AJ102)=0,U103/B103,"N/A"),"N/A")</f>
        <v>N/A</v>
      </c>
      <c r="AL103" s="424" cm="1">
        <f t="array" ref="AL103">IF(AK103="N/A",0,1)</f>
        <v>0</v>
      </c>
      <c r="AM103" t="str" s="605" cm="1">
        <f t="array" ref="AM103">IF(SUM(1250000+700000)*B103&lt;SUM(AC103:AD103),"NO GO","GO")</f>
        <v>GO</v>
      </c>
      <c r="AN103" s="424"/>
      <c r="AO103" t="s" s="598">
        <v>605</v>
      </c>
      <c r="AP103" s="616" cm="1">
        <f t="array" ref="AP103">AP102*50%</f>
        <v>603074447.93626</v>
      </c>
      <c r="AQ103" s="594"/>
      <c r="AR103" s="600"/>
      <c r="AS103" s="601" cm="1">
        <f t="array" ref="AS103">B103</f>
        <v>7</v>
      </c>
    </row>
    <row r="104" ht="16" customHeight="1">
      <c r="A104" s="12"/>
      <c r="B104" s="602" cm="1">
        <f t="array" ref="B104">IF(B103=0,0,IF(B103&lt;VLOOKUP(C94,'Boats Data Sheet 2026'!$C$3:$H$57,6,0),B103+1,0))</f>
        <v>8</v>
      </c>
      <c r="C104" s="594" cm="1">
        <f t="array" ref="C104">IF(B104&gt;0,IF(VLOOKUP(C94,'Boats Data Sheet 2026'!$C$3:$J$57,8,0)="N/A",0,VLOOKUP(C94,'Boats Data Sheet 2026'!$C$3:$J$57,8,0)),"N/A")</f>
        <v>0</v>
      </c>
      <c r="D104" s="603" cm="1">
        <f t="array" ref="D104">IF(B104&gt;7,2,IF(B104=0,"N/A",1))</f>
        <v>2</v>
      </c>
      <c r="E104" s="594" cm="1">
        <f t="array" ref="E104">_xlfn.IFERROR(SUM('Direct Costs 2026'!$C$4:$C$6)*D104,"N/A")</f>
        <v>1951000</v>
      </c>
      <c r="F104" s="594" cm="1">
        <f t="array" ref="F104">_xlfn.IFERROR('Direct Costs 2026'!$C$43*B104,"N/A")</f>
        <v>48000</v>
      </c>
      <c r="G104" s="594" cm="1">
        <f t="array" ref="G104">IF(B104&gt;0,'Direct Costs 2026'!$C$25,"N/A")</f>
        <v>90000</v>
      </c>
      <c r="H104" s="594" cm="1">
        <f t="array" ref="H104">IF(B104&gt;0,'Direct Costs 2026'!$C$19+'Direct Costs 2026'!$C$18*B104,"N/A")</f>
        <v>355000</v>
      </c>
      <c r="I104" s="594" cm="1">
        <f t="array" ref="I104">IF(B104&gt;0,SUM('Direct Costs 2026'!$C$20:$C$21),"N/A")</f>
        <v>98333.3333333333</v>
      </c>
      <c r="J104" s="594" cm="1">
        <f t="array" ref="J104">IF(B104&gt;0,'Direct Costs 2026'!$C$14,"N/A")</f>
        <v>60000</v>
      </c>
      <c r="K104" s="594" cm="1">
        <f t="array" ref="K104">IF(B104&gt;0,'Direct Costs 2026'!$C$26,"N/A")</f>
        <v>20000</v>
      </c>
      <c r="L104" s="594" cm="1">
        <f t="array" ref="L104">IF(B104&gt;0,SUM('Direct Costs 2026'!$C$23:$C$24),"N/A")</f>
        <v>160000</v>
      </c>
      <c r="M104" s="594" cm="1">
        <f t="array" ref="M104">IF(B104&gt;0,'Direct Costs 2026'!$C$47*B104,"N/A")</f>
        <v>1440000</v>
      </c>
      <c r="N104" s="594" cm="1">
        <f t="array" ref="N104">IF($B104&gt;0,'Direct Costs 2026'!$C$30,"N/A")</f>
        <v>440000</v>
      </c>
      <c r="O104" s="594" cm="1">
        <f t="array" ref="O104">IF($B104&gt;0,'Direct Costs 2026'!$C$31,"N/A")</f>
        <v>870000</v>
      </c>
      <c r="P104" s="594" cm="1">
        <f t="array" ref="P104">IF(B104&gt;0,'Direct Costs 2026'!$C$59*B104,"N/A")</f>
        <v>328000</v>
      </c>
      <c r="Q104" s="594" cm="1">
        <f t="array" ref="Q104">IF(B104&gt;0,_xlfn.IFERROR(VLOOKUP(C94,'Boats Data Sheet 2026'!$C$3:$I$57,7,0)*'Direct Costs 2026'!$C$36,"N/A"),"N/A")</f>
        <v>3325000</v>
      </c>
      <c r="R104" s="594" cm="1">
        <f t="array" ref="R104">IF(B104&gt;0,IF(OR(VLOOKUP(C94,'Boats Data Sheet 2026'!$C$3:$F$57,4,0)="Own",VLOOKUP(C94,'Boats Data Sheet 2026'!$C$3:$F$57,4,0)="Management"),('Direct Costs 2026'!$C$37+'Direct Costs 2026'!$C$39),"N/A"),"N/A")</f>
        <v>1112400</v>
      </c>
      <c r="S104" s="594" cm="1">
        <f t="array" ref="S104">_xlfn.IFERROR(IF(B104&gt;5,IF(B104&gt;11,IF(B104&gt;15,4,3),2),IF(B104=0,"N/A",1))*SUM('Direct Costs 2026'!$C$67:$C$68),"N/A")</f>
        <v>979200</v>
      </c>
      <c r="T104" s="594" cm="1">
        <f t="array" ref="T104">_xlfn.IFERROR('Direct Costs 2026'!$C$27*C104,"N/A")</f>
        <v>0</v>
      </c>
      <c r="U104" s="594" cm="1">
        <f t="array" ref="U104">_xlfn.IFERROR(C104+SUM(E104:T104),"N/A")</f>
        <v>11276933.3333333</v>
      </c>
      <c r="V104" s="424"/>
      <c r="W104" s="594" cm="1">
        <f t="array" ref="W104">IF(B104&gt;0,'Allocation OH and Target 2026'!$E$27,"N/A")</f>
        <v>2134447.30345641</v>
      </c>
      <c r="X104" s="594" cm="1">
        <f t="array" ref="X104">IF(B104&gt;0,'Allocation OH and Target 2026'!$E$28,"N/A")</f>
        <v>200042.323056976</v>
      </c>
      <c r="Y104" s="594" cm="1">
        <f t="array" ref="Y104">IF(B104&gt;0,VLOOKUP(C94,'Allocation OH and Target 2026'!$C$5:$T$23,17,0),"N/A")</f>
        <v>965292.6396039641</v>
      </c>
      <c r="Z104" s="594" cm="1">
        <f t="array" ref="Z104">IF(B104&gt;0,VLOOKUP(C94,'Allocation OH and Target 2026'!$C$5:$T$23,18,0),"N/A")</f>
        <v>92851.958666666906</v>
      </c>
      <c r="AA104" s="594" cm="1">
        <f t="array" ref="AA104">_xlfn.IFERROR(B104*(X104+Z104),"N/A")</f>
        <v>2343154.25378914</v>
      </c>
      <c r="AB104" s="424"/>
      <c r="AC104" s="594" cm="1">
        <f t="array" ref="AC104">_xlfn.IFERROR(AA104+U104,"N/A")</f>
        <v>13620087.5871224</v>
      </c>
      <c r="AD104" s="594" cm="1">
        <f t="array" ref="AD104">_xlfn.IFERROR(AC104*0.5%,"N/A")</f>
        <v>68100.437935612</v>
      </c>
      <c r="AE104" s="594" cm="1">
        <f t="array" ref="AE104">_xlfn.IFERROR(AC104*25%,"N/A")</f>
        <v>3405021.8967806</v>
      </c>
      <c r="AF104" s="596" cm="1">
        <f t="array" ref="AF104">IF(B104&gt;0,SUM(AC104:AE104),"N/A")</f>
        <v>17093209.9218386</v>
      </c>
      <c r="AG104" s="594" cm="1">
        <f t="array" ref="AG104">_xlfn.IFERROR(AF104/B104,"N/A")</f>
        <v>2136651.24022983</v>
      </c>
      <c r="AH104" s="424"/>
      <c r="AI104" t="str" s="604" cm="1">
        <f t="array" ref="AI104">IF(B104/VLOOKUP(C94,'Boats Data Sheet 2026'!$C$3:$H$57,6,0)&gt;VLOOKUP(C94,'Allocation OH and Target 2026'!$C$5:$J$23,8,0),IF(SUM(AJ96:AJ103)=0,AG104,"N/A"),"N/A")</f>
        <v>N/A</v>
      </c>
      <c r="AJ104" s="424" cm="1">
        <f t="array" ref="AJ104">IF(AI104="N/A",0,1)</f>
        <v>0</v>
      </c>
      <c r="AK104" t="str" s="595" cm="1">
        <f t="array" ref="AK104">IF(B104/VLOOKUP(C94,'Boats Data Sheet 2026'!$C$3:$H$57,6,0)&gt;VLOOKUP(C94,'Allocation OH and Target 2026'!$C$5:$J$23,8,0),IF(SUM(AJ96:AJ103)=0,U104/B104,"N/A"),"N/A")</f>
        <v>N/A</v>
      </c>
      <c r="AL104" s="424" cm="1">
        <f t="array" ref="AL104">IF(AK104="N/A",0,1)</f>
        <v>0</v>
      </c>
      <c r="AM104" t="str" s="605" cm="1">
        <f t="array" ref="AM104">IF(SUM(1250000+700000)*B104&lt;SUM(AC104:AD104),"NO GO","GO")</f>
        <v>GO</v>
      </c>
      <c r="AN104" s="424"/>
      <c r="AO104" s="594"/>
      <c r="AP104" s="594"/>
      <c r="AQ104" s="594"/>
      <c r="AR104" s="600"/>
      <c r="AS104" s="601" cm="1">
        <f t="array" ref="AS104">B104</f>
        <v>8</v>
      </c>
    </row>
    <row r="105" ht="16" customHeight="1">
      <c r="A105" s="12"/>
      <c r="B105" s="602" cm="1">
        <f t="array" ref="B105">IF(B104=0,0,IF(B104&lt;VLOOKUP(C94,'Boats Data Sheet 2026'!$C$3:$H$57,6,0),B104+1,0))</f>
        <v>9</v>
      </c>
      <c r="C105" s="594" cm="1">
        <f t="array" ref="C105">IF(B105&gt;0,IF(VLOOKUP(C94,'Boats Data Sheet 2026'!$C$3:$J$57,8,0)="N/A",0,VLOOKUP(C94,'Boats Data Sheet 2026'!$C$3:$J$57,8,0)),"N/A")</f>
        <v>0</v>
      </c>
      <c r="D105" s="603" cm="1">
        <f t="array" ref="D105">IF(B105&gt;7,2,IF(B105=0,"N/A",1))</f>
        <v>2</v>
      </c>
      <c r="E105" s="594" cm="1">
        <f t="array" ref="E105">_xlfn.IFERROR(SUM('Direct Costs 2026'!$C$4:$C$6)*D105,"N/A")</f>
        <v>1951000</v>
      </c>
      <c r="F105" s="594" cm="1">
        <f t="array" ref="F105">_xlfn.IFERROR('Direct Costs 2026'!$C$43*B105,"N/A")</f>
        <v>54000</v>
      </c>
      <c r="G105" s="594" cm="1">
        <f t="array" ref="G105">IF(B105&gt;0,'Direct Costs 2026'!$C$25,"N/A")</f>
        <v>90000</v>
      </c>
      <c r="H105" s="594" cm="1">
        <f t="array" ref="H105">IF(B105&gt;0,'Direct Costs 2026'!$C$19+'Direct Costs 2026'!$C$18*B105,"N/A")</f>
        <v>390000</v>
      </c>
      <c r="I105" s="594" cm="1">
        <f t="array" ref="I105">IF(B105&gt;0,SUM('Direct Costs 2026'!$C$20:$C$21),"N/A")</f>
        <v>98333.3333333333</v>
      </c>
      <c r="J105" s="594" cm="1">
        <f t="array" ref="J105">IF(B105&gt;0,'Direct Costs 2026'!$C$14,"N/A")</f>
        <v>60000</v>
      </c>
      <c r="K105" s="594" cm="1">
        <f t="array" ref="K105">IF(B105&gt;0,'Direct Costs 2026'!$C$26,"N/A")</f>
        <v>20000</v>
      </c>
      <c r="L105" s="594" cm="1">
        <f t="array" ref="L105">IF(B105&gt;0,SUM('Direct Costs 2026'!$C$23:$C$24),"N/A")</f>
        <v>160000</v>
      </c>
      <c r="M105" s="594" cm="1">
        <f t="array" ref="M105">IF(B105&gt;0,'Direct Costs 2026'!$C$47*B105,"N/A")</f>
        <v>1620000</v>
      </c>
      <c r="N105" s="594" cm="1">
        <f t="array" ref="N105">IF($B105&gt;0,'Direct Costs 2026'!$C$30,"N/A")</f>
        <v>440000</v>
      </c>
      <c r="O105" s="594" cm="1">
        <f t="array" ref="O105">IF($B105&gt;0,'Direct Costs 2026'!$C$31,"N/A")</f>
        <v>870000</v>
      </c>
      <c r="P105" s="594" cm="1">
        <f t="array" ref="P105">IF(B105&gt;0,'Direct Costs 2026'!$C$59*B105,"N/A")</f>
        <v>369000</v>
      </c>
      <c r="Q105" s="594" cm="1">
        <f t="array" ref="Q105">IF(B105&gt;0,_xlfn.IFERROR(VLOOKUP(C94,'Boats Data Sheet 2026'!$C$3:$I$57,7,0)*'Direct Costs 2026'!$C$36,"N/A"),"N/A")</f>
        <v>3325000</v>
      </c>
      <c r="R105" s="594" cm="1">
        <f t="array" ref="R105">IF(B105&gt;0,IF(OR(VLOOKUP(C94,'Boats Data Sheet 2026'!$C$3:$F$57,4,0)="Own",VLOOKUP(C94,'Boats Data Sheet 2026'!$C$3:$F$57,4,0)="Management"),('Direct Costs 2026'!$C$37+'Direct Costs 2026'!$C$39),"N/A"),"N/A")</f>
        <v>1112400</v>
      </c>
      <c r="S105" s="594" cm="1">
        <f t="array" ref="S105">_xlfn.IFERROR(IF(B105&gt;5,IF(B105&gt;11,IF(B105&gt;15,4,3),2),IF(B105=0,"N/A",1))*SUM('Direct Costs 2026'!$C$67:$C$68),"N/A")</f>
        <v>979200</v>
      </c>
      <c r="T105" s="594" cm="1">
        <f t="array" ref="T105">_xlfn.IFERROR('Direct Costs 2026'!$C$27*C105,"N/A")</f>
        <v>0</v>
      </c>
      <c r="U105" s="594" cm="1">
        <f t="array" ref="U105">_xlfn.IFERROR(C105+SUM(E105:T105),"N/A")</f>
        <v>11538933.3333333</v>
      </c>
      <c r="V105" s="424"/>
      <c r="W105" s="594" cm="1">
        <f t="array" ref="W105">IF(B105&gt;0,'Allocation OH and Target 2026'!$E$27,"N/A")</f>
        <v>2134447.30345641</v>
      </c>
      <c r="X105" s="594" cm="1">
        <f t="array" ref="X105">IF(B105&gt;0,'Allocation OH and Target 2026'!$E$28,"N/A")</f>
        <v>200042.323056976</v>
      </c>
      <c r="Y105" s="594" cm="1">
        <f t="array" ref="Y105">IF(B105&gt;0,VLOOKUP(C94,'Allocation OH and Target 2026'!$C$5:$T$23,17,0),"N/A")</f>
        <v>965292.6396039641</v>
      </c>
      <c r="Z105" s="594" cm="1">
        <f t="array" ref="Z105">IF(B105&gt;0,VLOOKUP(C94,'Allocation OH and Target 2026'!$C$5:$T$23,18,0),"N/A")</f>
        <v>92851.958666666906</v>
      </c>
      <c r="AA105" s="594" cm="1">
        <f t="array" ref="AA105">_xlfn.IFERROR(B105*(X105+Z105),"N/A")</f>
        <v>2636048.53551279</v>
      </c>
      <c r="AB105" s="424"/>
      <c r="AC105" s="594" cm="1">
        <f t="array" ref="AC105">_xlfn.IFERROR(AA105+U105,"N/A")</f>
        <v>14174981.8688461</v>
      </c>
      <c r="AD105" s="594" cm="1">
        <f t="array" ref="AD105">_xlfn.IFERROR(AC105*0.5%,"N/A")</f>
        <v>70874.9093442305</v>
      </c>
      <c r="AE105" s="594" cm="1">
        <f t="array" ref="AE105">_xlfn.IFERROR(AC105*25%,"N/A")</f>
        <v>3543745.46721153</v>
      </c>
      <c r="AF105" s="596" cm="1">
        <f t="array" ref="AF105">IF(B105&gt;0,SUM(AC105:AE105),"N/A")</f>
        <v>17789602.2454019</v>
      </c>
      <c r="AG105" s="594" cm="1">
        <f t="array" ref="AG105">_xlfn.IFERROR(AF105/B105,"N/A")</f>
        <v>1976622.47171132</v>
      </c>
      <c r="AH105" s="424"/>
      <c r="AI105" t="str" s="604" cm="1">
        <f t="array" ref="AI105">IF(B105/VLOOKUP(C94,'Boats Data Sheet 2026'!$C$3:$H$57,6,0)&gt;VLOOKUP(C94,'Allocation OH and Target 2026'!$C$5:$J$23,8,0),IF(SUM(AJ96:AJ104)=0,AG105,"N/A"),"N/A")</f>
        <v>N/A</v>
      </c>
      <c r="AJ105" s="424" cm="1">
        <f t="array" ref="AJ105">IF(AI105="N/A",0,1)</f>
        <v>0</v>
      </c>
      <c r="AK105" t="str" s="595" cm="1">
        <f t="array" ref="AK105">IF(B105/VLOOKUP(C94,'Boats Data Sheet 2026'!$C$3:$H$57,6,0)&gt;VLOOKUP(C94,'Allocation OH and Target 2026'!$C$5:$J$23,8,0),IF(SUM(AJ96:AJ104)=0,U105/B105,"N/A"),"N/A")</f>
        <v>N/A</v>
      </c>
      <c r="AL105" s="424" cm="1">
        <f t="array" ref="AL105">IF(AK105="N/A",0,1)</f>
        <v>0</v>
      </c>
      <c r="AM105" t="str" s="605" cm="1">
        <f t="array" ref="AM105">IF(SUM(1250000+700000)*B105&lt;SUM(AC105:AD105),"NO GO","GO")</f>
        <v>GO</v>
      </c>
      <c r="AN105" s="424"/>
      <c r="AO105" s="594"/>
      <c r="AP105" s="594"/>
      <c r="AQ105" s="594"/>
      <c r="AR105" s="600"/>
      <c r="AS105" s="601" cm="1">
        <f t="array" ref="AS105">B105</f>
        <v>9</v>
      </c>
    </row>
    <row r="106" ht="16" customHeight="1">
      <c r="A106" s="12"/>
      <c r="B106" s="602" cm="1">
        <f t="array" ref="B106">IF(B105=0,0,IF(B105&lt;VLOOKUP(C94,'Boats Data Sheet 2026'!$C$3:$H$57,6,0),B105+1,0))</f>
        <v>10</v>
      </c>
      <c r="C106" s="594" cm="1">
        <f t="array" ref="C106">IF(B106&gt;0,IF(VLOOKUP(C94,'Boats Data Sheet 2026'!$C$3:$J$57,8,0)="N/A",0,VLOOKUP(C94,'Boats Data Sheet 2026'!$C$3:$J$57,8,0)),"N/A")</f>
        <v>0</v>
      </c>
      <c r="D106" s="603" cm="1">
        <f t="array" ref="D106">IF(B106&gt;7,2,IF(B106=0,"N/A",1))</f>
        <v>2</v>
      </c>
      <c r="E106" s="594" cm="1">
        <f t="array" ref="E106">_xlfn.IFERROR(SUM('Direct Costs 2026'!$C$4:$C$6)*D106,"N/A")</f>
        <v>1951000</v>
      </c>
      <c r="F106" s="594" cm="1">
        <f t="array" ref="F106">_xlfn.IFERROR('Direct Costs 2026'!$C$43*B106,"N/A")</f>
        <v>60000</v>
      </c>
      <c r="G106" s="594" cm="1">
        <f t="array" ref="G106">IF(B106&gt;0,'Direct Costs 2026'!$C$25,"N/A")</f>
        <v>90000</v>
      </c>
      <c r="H106" s="594" cm="1">
        <f t="array" ref="H106">IF(B106&gt;0,'Direct Costs 2026'!$C$19+'Direct Costs 2026'!$C$18*B106,"N/A")</f>
        <v>425000</v>
      </c>
      <c r="I106" s="594" cm="1">
        <f t="array" ref="I106">IF(B106&gt;0,SUM('Direct Costs 2026'!$C$20:$C$21),"N/A")</f>
        <v>98333.3333333333</v>
      </c>
      <c r="J106" s="594" cm="1">
        <f t="array" ref="J106">IF(B106&gt;0,'Direct Costs 2026'!$C$14,"N/A")</f>
        <v>60000</v>
      </c>
      <c r="K106" s="594" cm="1">
        <f t="array" ref="K106">IF(B106&gt;0,'Direct Costs 2026'!$C$26,"N/A")</f>
        <v>20000</v>
      </c>
      <c r="L106" s="594" cm="1">
        <f t="array" ref="L106">IF(B106&gt;0,SUM('Direct Costs 2026'!$C$23:$C$24),"N/A")</f>
        <v>160000</v>
      </c>
      <c r="M106" s="594" cm="1">
        <f t="array" ref="M106">IF(B106&gt;0,'Direct Costs 2026'!$C$47*B106,"N/A")</f>
        <v>1800000</v>
      </c>
      <c r="N106" s="594" cm="1">
        <f t="array" ref="N106">IF($B106&gt;0,'Direct Costs 2026'!$C$30,"N/A")</f>
        <v>440000</v>
      </c>
      <c r="O106" s="594" cm="1">
        <f t="array" ref="O106">IF($B106&gt;0,'Direct Costs 2026'!$C$31,"N/A")</f>
        <v>870000</v>
      </c>
      <c r="P106" s="594" cm="1">
        <f t="array" ref="P106">IF(B106&gt;0,'Direct Costs 2026'!$C$59*B106,"N/A")</f>
        <v>410000</v>
      </c>
      <c r="Q106" s="594" cm="1">
        <f t="array" ref="Q106">IF(B106&gt;0,_xlfn.IFERROR(VLOOKUP(C94,'Boats Data Sheet 2026'!$C$3:$I$57,7,0)*'Direct Costs 2026'!$C$36,"N/A"),"N/A")</f>
        <v>3325000</v>
      </c>
      <c r="R106" s="594" cm="1">
        <f t="array" ref="R106">IF(B106&gt;0,IF(OR(VLOOKUP(C94,'Boats Data Sheet 2026'!$C$3:$F$57,4,0)="Own",VLOOKUP(C94,'Boats Data Sheet 2026'!$C$3:$F$57,4,0)="Management"),('Direct Costs 2026'!$C$37+'Direct Costs 2026'!$C$39),"N/A"),"N/A")</f>
        <v>1112400</v>
      </c>
      <c r="S106" s="594" cm="1">
        <f t="array" ref="S106">_xlfn.IFERROR(IF(B106&gt;5,IF(B106&gt;11,IF(B106&gt;15,4,3),2),IF(B106=0,"N/A",1))*SUM('Direct Costs 2026'!$C$67:$C$68),"N/A")</f>
        <v>979200</v>
      </c>
      <c r="T106" s="594" cm="1">
        <f t="array" ref="T106">_xlfn.IFERROR('Direct Costs 2026'!$C$27*C106,"N/A")</f>
        <v>0</v>
      </c>
      <c r="U106" s="594" cm="1">
        <f t="array" ref="U106">_xlfn.IFERROR(C106+SUM(E106:T106),"N/A")</f>
        <v>11800933.3333333</v>
      </c>
      <c r="V106" s="424"/>
      <c r="W106" s="594" cm="1">
        <f t="array" ref="W106">IF(B106&gt;0,'Allocation OH and Target 2026'!$E$27,"N/A")</f>
        <v>2134447.30345641</v>
      </c>
      <c r="X106" s="594" cm="1">
        <f t="array" ref="X106">IF(B106&gt;0,'Allocation OH and Target 2026'!$E$28,"N/A")</f>
        <v>200042.323056976</v>
      </c>
      <c r="Y106" s="594" cm="1">
        <f t="array" ref="Y106">IF(B106&gt;0,VLOOKUP(C94,'Allocation OH and Target 2026'!$C$5:$T$23,17,0),"N/A")</f>
        <v>965292.6396039641</v>
      </c>
      <c r="Z106" s="594" cm="1">
        <f t="array" ref="Z106">IF(B106&gt;0,VLOOKUP(C94,'Allocation OH and Target 2026'!$C$5:$T$23,18,0),"N/A")</f>
        <v>92851.958666666906</v>
      </c>
      <c r="AA106" s="594" cm="1">
        <f t="array" ref="AA106">_xlfn.IFERROR(B106*(X106+Z106),"N/A")</f>
        <v>2928942.81723643</v>
      </c>
      <c r="AB106" s="424"/>
      <c r="AC106" s="594" cm="1">
        <f t="array" ref="AC106">_xlfn.IFERROR(AA106+U106,"N/A")</f>
        <v>14729876.1505697</v>
      </c>
      <c r="AD106" s="594" cm="1">
        <f t="array" ref="AD106">_xlfn.IFERROR(AC106*0.5%,"N/A")</f>
        <v>73649.3807528485</v>
      </c>
      <c r="AE106" s="594" cm="1">
        <f t="array" ref="AE106">_xlfn.IFERROR(AC106*25%,"N/A")</f>
        <v>3682469.03764243</v>
      </c>
      <c r="AF106" s="596" cm="1">
        <f t="array" ref="AF106">IF(B106&gt;0,SUM(AC106:AE106),"N/A")</f>
        <v>18485994.568965</v>
      </c>
      <c r="AG106" s="594" cm="1">
        <f t="array" ref="AG106">_xlfn.IFERROR(AF106/B106,"N/A")</f>
        <v>1848599.4568965</v>
      </c>
      <c r="AH106" s="424"/>
      <c r="AI106" t="str" s="604" cm="1">
        <f t="array" ref="AI106">IF(B106/VLOOKUP(C94,'Boats Data Sheet 2026'!$C$3:$H$57,6,0)&gt;VLOOKUP(C94,'Allocation OH and Target 2026'!$C$5:$J$23,8,0),IF(SUM(AJ96:AJ105)=0,AG106,"N/A"),"N/A")</f>
        <v>N/A</v>
      </c>
      <c r="AJ106" s="424" cm="1">
        <f t="array" ref="AJ106">IF(AI106="N/A",0,1)</f>
        <v>0</v>
      </c>
      <c r="AK106" t="str" s="595" cm="1">
        <f t="array" ref="AK106">IF(B106/VLOOKUP(C94,'Boats Data Sheet 2026'!$C$3:$H$57,6,0)&gt;VLOOKUP(C94,'Allocation OH and Target 2026'!$C$5:$J$23,8,0),IF(SUM(AJ96:AJ105)=0,U106/B106,"N/A"),"N/A")</f>
        <v>N/A</v>
      </c>
      <c r="AL106" s="424" cm="1">
        <f t="array" ref="AL106">IF(AK106="N/A",0,1)</f>
        <v>0</v>
      </c>
      <c r="AM106" t="str" s="605" cm="1">
        <f t="array" ref="AM106">IF(SUM(1250000+700000)*B106&lt;SUM(AC106:AD106),"NO GO","GO")</f>
        <v>GO</v>
      </c>
      <c r="AN106" s="424"/>
      <c r="AO106" s="594"/>
      <c r="AP106" s="594"/>
      <c r="AQ106" s="594"/>
      <c r="AR106" s="600"/>
      <c r="AS106" s="601" cm="1">
        <f t="array" ref="AS106">B106</f>
        <v>10</v>
      </c>
    </row>
    <row r="107" ht="16" customHeight="1">
      <c r="A107" s="12"/>
      <c r="B107" s="602" cm="1">
        <f t="array" ref="B107">IF(B106=0,0,IF(B106&lt;VLOOKUP(C94,'Boats Data Sheet 2026'!$C$3:$H$57,6,0),B106+1,0))</f>
        <v>11</v>
      </c>
      <c r="C107" s="594" cm="1">
        <f t="array" ref="C107">IF(B107&gt;0,IF(VLOOKUP(C94,'Boats Data Sheet 2026'!$C$3:$J$57,8,0)="N/A",0,VLOOKUP(C94,'Boats Data Sheet 2026'!$C$3:$J$57,8,0)),"N/A")</f>
        <v>0</v>
      </c>
      <c r="D107" s="603" cm="1">
        <f t="array" ref="D107">IF(B107&gt;7,2,IF(B107=0,"N/A",1))</f>
        <v>2</v>
      </c>
      <c r="E107" s="594" cm="1">
        <f t="array" ref="E107">_xlfn.IFERROR(SUM('Direct Costs 2026'!$C$4:$C$6)*D107,"N/A")</f>
        <v>1951000</v>
      </c>
      <c r="F107" s="594" cm="1">
        <f t="array" ref="F107">_xlfn.IFERROR('Direct Costs 2026'!$C$43*B107,"N/A")</f>
        <v>66000</v>
      </c>
      <c r="G107" s="594" cm="1">
        <f t="array" ref="G107">IF(B107&gt;0,'Direct Costs 2026'!$C$25,"N/A")</f>
        <v>90000</v>
      </c>
      <c r="H107" s="594" cm="1">
        <f t="array" ref="H107">IF(B107&gt;0,'Direct Costs 2026'!$C$19+'Direct Costs 2026'!$C$18*B107,"N/A")</f>
        <v>460000</v>
      </c>
      <c r="I107" s="594" cm="1">
        <f t="array" ref="I107">IF(B107&gt;0,SUM('Direct Costs 2026'!$C$20:$C$21),"N/A")</f>
        <v>98333.3333333333</v>
      </c>
      <c r="J107" s="594" cm="1">
        <f t="array" ref="J107">IF(B107&gt;0,'Direct Costs 2026'!$C$14,"N/A")</f>
        <v>60000</v>
      </c>
      <c r="K107" s="594" cm="1">
        <f t="array" ref="K107">IF(B107&gt;0,'Direct Costs 2026'!$C$26,"N/A")</f>
        <v>20000</v>
      </c>
      <c r="L107" s="594" cm="1">
        <f t="array" ref="L107">IF(B107&gt;0,SUM('Direct Costs 2026'!$C$23:$C$24),"N/A")</f>
        <v>160000</v>
      </c>
      <c r="M107" s="594" cm="1">
        <f t="array" ref="M107">IF(B107&gt;0,'Direct Costs 2026'!$C$47*B107,"N/A")</f>
        <v>1980000</v>
      </c>
      <c r="N107" s="594" cm="1">
        <f t="array" ref="N107">IF($B107&gt;0,'Direct Costs 2026'!$C$30,"N/A")</f>
        <v>440000</v>
      </c>
      <c r="O107" s="594" cm="1">
        <f t="array" ref="O107">IF($B107&gt;0,'Direct Costs 2026'!$C$31,"N/A")</f>
        <v>870000</v>
      </c>
      <c r="P107" s="594" cm="1">
        <f t="array" ref="P107">IF(B107&gt;0,'Direct Costs 2026'!$C$59*B107,"N/A")</f>
        <v>451000</v>
      </c>
      <c r="Q107" s="594" cm="1">
        <f t="array" ref="Q107">IF(B107&gt;0,_xlfn.IFERROR(VLOOKUP(C94,'Boats Data Sheet 2026'!$C$3:$I$57,7,0)*'Direct Costs 2026'!$C$36,"N/A"),"N/A")</f>
        <v>3325000</v>
      </c>
      <c r="R107" s="594" cm="1">
        <f t="array" ref="R107">IF(B107&gt;0,IF(OR(VLOOKUP(C94,'Boats Data Sheet 2026'!$C$3:$F$57,4,0)="Own",VLOOKUP(C94,'Boats Data Sheet 2026'!$C$3:$F$57,4,0)="Management"),('Direct Costs 2026'!$C$37+'Direct Costs 2026'!$C$39),"N/A"),"N/A")</f>
        <v>1112400</v>
      </c>
      <c r="S107" s="594" cm="1">
        <f t="array" ref="S107">_xlfn.IFERROR(IF(B107&gt;5,IF(B107&gt;11,IF(B107&gt;15,4,3),2),IF(B107=0,"N/A",1))*SUM('Direct Costs 2026'!$C$67:$C$68),"N/A")</f>
        <v>979200</v>
      </c>
      <c r="T107" s="594" cm="1">
        <f t="array" ref="T107">_xlfn.IFERROR('Direct Costs 2026'!$C$27*C107,"N/A")</f>
        <v>0</v>
      </c>
      <c r="U107" s="594" cm="1">
        <f t="array" ref="U107">_xlfn.IFERROR(C107+SUM(E107:T107),"N/A")</f>
        <v>12062933.3333333</v>
      </c>
      <c r="V107" s="424"/>
      <c r="W107" s="594" cm="1">
        <f t="array" ref="W107">IF(B107&gt;0,'Allocation OH and Target 2026'!$E$27,"N/A")</f>
        <v>2134447.30345641</v>
      </c>
      <c r="X107" s="594" cm="1">
        <f t="array" ref="X107">IF(B107&gt;0,'Allocation OH and Target 2026'!$E$28,"N/A")</f>
        <v>200042.323056976</v>
      </c>
      <c r="Y107" s="594" cm="1">
        <f t="array" ref="Y107">IF(B107&gt;0,VLOOKUP(C94,'Allocation OH and Target 2026'!$C$5:$T$23,17,0),"N/A")</f>
        <v>965292.6396039641</v>
      </c>
      <c r="Z107" s="594" cm="1">
        <f t="array" ref="Z107">IF(B107&gt;0,VLOOKUP(C94,'Allocation OH and Target 2026'!$C$5:$T$23,18,0),"N/A")</f>
        <v>92851.958666666906</v>
      </c>
      <c r="AA107" s="594" cm="1">
        <f t="array" ref="AA107">_xlfn.IFERROR(B107*(X107+Z107),"N/A")</f>
        <v>3221837.09896007</v>
      </c>
      <c r="AB107" s="424"/>
      <c r="AC107" s="594" cm="1">
        <f t="array" ref="AC107">_xlfn.IFERROR(AA107+U107,"N/A")</f>
        <v>15284770.4322934</v>
      </c>
      <c r="AD107" s="594" cm="1">
        <f t="array" ref="AD107">_xlfn.IFERROR(AC107*0.5%,"N/A")</f>
        <v>76423.852161467</v>
      </c>
      <c r="AE107" s="594" cm="1">
        <f t="array" ref="AE107">_xlfn.IFERROR(AC107*25%,"N/A")</f>
        <v>3821192.60807335</v>
      </c>
      <c r="AF107" s="596" cm="1">
        <f t="array" ref="AF107">IF(B107&gt;0,SUM(AC107:AE107),"N/A")</f>
        <v>19182386.8925282</v>
      </c>
      <c r="AG107" s="594" cm="1">
        <f t="array" ref="AG107">_xlfn.IFERROR(AF107/B107,"N/A")</f>
        <v>1743853.3538662</v>
      </c>
      <c r="AH107" s="424"/>
      <c r="AI107" s="596" cm="1">
        <f t="array" ref="AI107">IF(B107/VLOOKUP(C94,'Boats Data Sheet 2026'!$C$3:$H$57,6,0)&gt;VLOOKUP(C94,'Allocation OH and Target 2026'!$C$5:$J$23,8,0),IF(SUM(AJ96:AJ106)=0,AG107,"N/A"),"N/A")</f>
        <v>1743853.3538662</v>
      </c>
      <c r="AJ107" s="424" cm="1">
        <f t="array" ref="AJ107">IF(AI107="N/A",0,1)</f>
        <v>1</v>
      </c>
      <c r="AK107" s="594" cm="1">
        <f t="array" ref="AK107">IF(B107/VLOOKUP(C94,'Boats Data Sheet 2026'!$C$3:$H$57,6,0)&gt;VLOOKUP(C94,'Allocation OH and Target 2026'!$C$5:$J$23,8,0),IF(SUM(AJ96:AJ106)=0,U107/B107,"N/A"),"N/A")</f>
        <v>1096630.3030303</v>
      </c>
      <c r="AL107" s="424" cm="1">
        <f t="array" ref="AL107">IF(AK107="N/A",0,1)</f>
        <v>1</v>
      </c>
      <c r="AM107" t="str" s="605" cm="1">
        <f t="array" ref="AM107">IF(SUM(1250000+700000)*B107&lt;SUM(AC107:AD107),"NO GO","GO")</f>
        <v>GO</v>
      </c>
      <c r="AN107" s="424"/>
      <c r="AO107" s="594"/>
      <c r="AP107" s="594"/>
      <c r="AQ107" s="594"/>
      <c r="AR107" s="600"/>
      <c r="AS107" s="601" cm="1">
        <f t="array" ref="AS107">B107</f>
        <v>11</v>
      </c>
    </row>
    <row r="108" ht="16" customHeight="1">
      <c r="A108" s="12"/>
      <c r="B108" s="602" cm="1">
        <f t="array" ref="B108">IF(B107=0,0,IF(B107&lt;VLOOKUP(C94,'Boats Data Sheet 2026'!$C$3:$H$57,6,0),B107+1,0))</f>
        <v>12</v>
      </c>
      <c r="C108" s="594" cm="1">
        <f t="array" ref="C108">IF(B108&gt;0,IF(VLOOKUP(C94,'Boats Data Sheet 2026'!$C$3:$J$57,8,0)="N/A",0,VLOOKUP(C94,'Boats Data Sheet 2026'!$C$3:$J$57,8,0)),"N/A")</f>
        <v>0</v>
      </c>
      <c r="D108" s="603" cm="1">
        <f t="array" ref="D108">IF(B108&gt;7,2,IF(B108=0,"N/A",1))</f>
        <v>2</v>
      </c>
      <c r="E108" s="594" cm="1">
        <f t="array" ref="E108">_xlfn.IFERROR(SUM('Direct Costs 2026'!$C$4:$C$6)*D108,"N/A")</f>
        <v>1951000</v>
      </c>
      <c r="F108" s="594" cm="1">
        <f t="array" ref="F108">_xlfn.IFERROR('Direct Costs 2026'!$C$43*B108,"N/A")</f>
        <v>72000</v>
      </c>
      <c r="G108" s="594" cm="1">
        <f t="array" ref="G108">IF(B108&gt;0,'Direct Costs 2026'!$C$25,"N/A")</f>
        <v>90000</v>
      </c>
      <c r="H108" s="594" cm="1">
        <f t="array" ref="H108">IF(B108&gt;0,'Direct Costs 2026'!$C$19+'Direct Costs 2026'!$C$18*B108,"N/A")</f>
        <v>495000</v>
      </c>
      <c r="I108" s="594" cm="1">
        <f t="array" ref="I108">IF(B108&gt;0,SUM('Direct Costs 2026'!$C$20:$C$21),"N/A")</f>
        <v>98333.3333333333</v>
      </c>
      <c r="J108" s="594" cm="1">
        <f t="array" ref="J108">IF(B108&gt;0,'Direct Costs 2026'!$C$14,"N/A")</f>
        <v>60000</v>
      </c>
      <c r="K108" s="594" cm="1">
        <f t="array" ref="K108">IF(B108&gt;0,'Direct Costs 2026'!$C$26,"N/A")</f>
        <v>20000</v>
      </c>
      <c r="L108" s="594" cm="1">
        <f t="array" ref="L108">IF(B108&gt;0,SUM('Direct Costs 2026'!$C$23:$C$24),"N/A")</f>
        <v>160000</v>
      </c>
      <c r="M108" s="594" cm="1">
        <f t="array" ref="M108">IF(B108&gt;0,'Direct Costs 2026'!$C$47*B108,"N/A")</f>
        <v>2160000</v>
      </c>
      <c r="N108" s="594" cm="1">
        <f t="array" ref="N108">IF($B108&gt;0,'Direct Costs 2026'!$C$30,"N/A")</f>
        <v>440000</v>
      </c>
      <c r="O108" s="594" cm="1">
        <f t="array" ref="O108">IF($B108&gt;0,'Direct Costs 2026'!$C$31,"N/A")</f>
        <v>870000</v>
      </c>
      <c r="P108" s="594" cm="1">
        <f t="array" ref="P108">IF(B108&gt;0,'Direct Costs 2026'!$C$59*B108,"N/A")</f>
        <v>492000</v>
      </c>
      <c r="Q108" s="594" cm="1">
        <f t="array" ref="Q108">IF(B108&gt;0,_xlfn.IFERROR(VLOOKUP(C94,'Boats Data Sheet 2026'!$C$3:$I$57,7,0)*'Direct Costs 2026'!$C$36,"N/A"),"N/A")</f>
        <v>3325000</v>
      </c>
      <c r="R108" s="594" cm="1">
        <f t="array" ref="R108">IF(B108&gt;0,IF(OR(VLOOKUP(C94,'Boats Data Sheet 2026'!$C$3:$F$57,4,0)="Own",VLOOKUP(C94,'Boats Data Sheet 2026'!$C$3:$F$57,4,0)="Management"),('Direct Costs 2026'!$C$37+'Direct Costs 2026'!$C$39),"N/A"),"N/A")</f>
        <v>1112400</v>
      </c>
      <c r="S108" s="594" cm="1">
        <f t="array" ref="S108">_xlfn.IFERROR(IF(B108&gt;5,IF(B108&gt;11,IF(B108&gt;15,4,3),2),IF(B108=0,"N/A",1))*SUM('Direct Costs 2026'!$C$67:$C$68),"N/A")</f>
        <v>1468800</v>
      </c>
      <c r="T108" s="594" cm="1">
        <f t="array" ref="T108">_xlfn.IFERROR('Direct Costs 2026'!$C$27*C108,"N/A")</f>
        <v>0</v>
      </c>
      <c r="U108" s="594" cm="1">
        <f t="array" ref="U108">_xlfn.IFERROR(C108+SUM(E108:T108),"N/A")</f>
        <v>12814533.3333333</v>
      </c>
      <c r="V108" s="424"/>
      <c r="W108" s="594" cm="1">
        <f t="array" ref="W108">IF(B108&gt;0,'Allocation OH and Target 2026'!$E$27,"N/A")</f>
        <v>2134447.30345641</v>
      </c>
      <c r="X108" s="594" cm="1">
        <f t="array" ref="X108">IF(B108&gt;0,'Allocation OH and Target 2026'!$E$28,"N/A")</f>
        <v>200042.323056976</v>
      </c>
      <c r="Y108" s="594" cm="1">
        <f t="array" ref="Y108">IF(B108&gt;0,VLOOKUP(C94,'Allocation OH and Target 2026'!$C$5:$T$23,17,0),"N/A")</f>
        <v>965292.6396039641</v>
      </c>
      <c r="Z108" s="594" cm="1">
        <f t="array" ref="Z108">IF(B108&gt;0,VLOOKUP(C94,'Allocation OH and Target 2026'!$C$5:$T$23,18,0),"N/A")</f>
        <v>92851.958666666906</v>
      </c>
      <c r="AA108" s="594" cm="1">
        <f t="array" ref="AA108">_xlfn.IFERROR(B108*(X108+Z108),"N/A")</f>
        <v>3514731.38068371</v>
      </c>
      <c r="AB108" s="424"/>
      <c r="AC108" s="594" cm="1">
        <f t="array" ref="AC108">_xlfn.IFERROR(AA108+U108,"N/A")</f>
        <v>16329264.714017</v>
      </c>
      <c r="AD108" s="594" cm="1">
        <f t="array" ref="AD108">_xlfn.IFERROR(AC108*0.5%,"N/A")</f>
        <v>81646.323570085005</v>
      </c>
      <c r="AE108" s="594" cm="1">
        <f t="array" ref="AE108">_xlfn.IFERROR(AC108*25%,"N/A")</f>
        <v>4082316.17850425</v>
      </c>
      <c r="AF108" s="596" cm="1">
        <f t="array" ref="AF108">IF(B108&gt;0,SUM(AC108:AE108),"N/A")</f>
        <v>20493227.2160913</v>
      </c>
      <c r="AG108" s="594" cm="1">
        <f t="array" ref="AG108">_xlfn.IFERROR(AF108/B108,"N/A")</f>
        <v>1707768.93467428</v>
      </c>
      <c r="AH108" s="424"/>
      <c r="AI108" t="str" s="604" cm="1">
        <f t="array" ref="AI108">IF(B108/VLOOKUP(C94,'Boats Data Sheet 2026'!$C$3:$H$57,6,0)&gt;VLOOKUP(C94,'Allocation OH and Target 2026'!$C$5:$J$23,8,0),IF(SUM(AJ96:AJ107)=0,AG108,"N/A"),"N/A")</f>
        <v>N/A</v>
      </c>
      <c r="AJ108" s="424" cm="1">
        <f t="array" ref="AJ108">IF(AI108="N/A",0,1)</f>
        <v>0</v>
      </c>
      <c r="AK108" t="str" s="595" cm="1">
        <f t="array" ref="AK108">IF(B108/VLOOKUP(C94,'Boats Data Sheet 2026'!$C$3:$H$57,6,0)&gt;VLOOKUP(C94,'Allocation OH and Target 2026'!$C$5:$J$23,8,0),IF(SUM(AJ96:AJ107)=0,U108/B108,"N/A"),"N/A")</f>
        <v>N/A</v>
      </c>
      <c r="AL108" s="424" cm="1">
        <f t="array" ref="AL108">IF(AK108="N/A",0,1)</f>
        <v>0</v>
      </c>
      <c r="AM108" t="str" s="605" cm="1">
        <f t="array" ref="AM108">IF(SUM(1250000+700000)*B108&lt;SUM(AC108:AD108),"NO GO","GO")</f>
        <v>GO</v>
      </c>
      <c r="AN108" s="424"/>
      <c r="AO108" s="594"/>
      <c r="AP108" s="594"/>
      <c r="AQ108" s="594"/>
      <c r="AR108" s="600"/>
      <c r="AS108" s="601" cm="1">
        <f t="array" ref="AS108">B108</f>
        <v>12</v>
      </c>
    </row>
    <row r="109" ht="16" customHeight="1">
      <c r="A109" s="12"/>
      <c r="B109" s="602" cm="1">
        <f t="array" ref="B109">IF(B108=0,0,IF(B108&lt;VLOOKUP(C94,'Boats Data Sheet 2026'!$C$3:$H$57,6,0),B108+1,0))</f>
        <v>13</v>
      </c>
      <c r="C109" s="594" cm="1">
        <f t="array" ref="C109">IF(B109&gt;0,IF(VLOOKUP(C94,'Boats Data Sheet 2026'!$C$3:$J$57,8,0)="N/A",0,VLOOKUP(C94,'Boats Data Sheet 2026'!$C$3:$J$57,8,0)),"N/A")</f>
        <v>0</v>
      </c>
      <c r="D109" s="603" cm="1">
        <f t="array" ref="D109">IF(B109&gt;7,2,IF(B109=0,"N/A",1))</f>
        <v>2</v>
      </c>
      <c r="E109" s="594" cm="1">
        <f t="array" ref="E109">_xlfn.IFERROR(SUM('Direct Costs 2026'!$C$4:$C$6)*D109,"N/A")</f>
        <v>1951000</v>
      </c>
      <c r="F109" s="594" cm="1">
        <f t="array" ref="F109">_xlfn.IFERROR('Direct Costs 2026'!$C$43*B109,"N/A")</f>
        <v>78000</v>
      </c>
      <c r="G109" s="594" cm="1">
        <f t="array" ref="G109">IF(B109&gt;0,'Direct Costs 2026'!$C$25,"N/A")</f>
        <v>90000</v>
      </c>
      <c r="H109" s="594" cm="1">
        <f t="array" ref="H109">IF(B109&gt;0,'Direct Costs 2026'!$C$19+'Direct Costs 2026'!$C$18*B109,"N/A")</f>
        <v>530000</v>
      </c>
      <c r="I109" s="594" cm="1">
        <f t="array" ref="I109">IF(B109&gt;0,SUM('Direct Costs 2026'!$C$20:$C$21),"N/A")</f>
        <v>98333.3333333333</v>
      </c>
      <c r="J109" s="594" cm="1">
        <f t="array" ref="J109">IF(B109&gt;0,'Direct Costs 2026'!$C$14,"N/A")</f>
        <v>60000</v>
      </c>
      <c r="K109" s="594" cm="1">
        <f t="array" ref="K109">IF(B109&gt;0,'Direct Costs 2026'!$C$26,"N/A")</f>
        <v>20000</v>
      </c>
      <c r="L109" s="594" cm="1">
        <f t="array" ref="L109">IF(B109&gt;0,SUM('Direct Costs 2026'!$C$23:$C$24),"N/A")</f>
        <v>160000</v>
      </c>
      <c r="M109" s="594" cm="1">
        <f t="array" ref="M109">IF(B109&gt;0,'Direct Costs 2026'!$C$47*B109,"N/A")</f>
        <v>2340000</v>
      </c>
      <c r="N109" s="594" cm="1">
        <f t="array" ref="N109">IF($B109&gt;0,'Direct Costs 2026'!$C$30,"N/A")</f>
        <v>440000</v>
      </c>
      <c r="O109" s="594" cm="1">
        <f t="array" ref="O109">IF($B109&gt;0,'Direct Costs 2026'!$C$31,"N/A")</f>
        <v>870000</v>
      </c>
      <c r="P109" s="594" cm="1">
        <f t="array" ref="P109">IF(B109&gt;0,'Direct Costs 2026'!$C$59*B109,"N/A")</f>
        <v>533000</v>
      </c>
      <c r="Q109" s="594" cm="1">
        <f t="array" ref="Q109">IF(B109&gt;0,_xlfn.IFERROR(VLOOKUP(C94,'Boats Data Sheet 2026'!$C$3:$I$57,7,0)*'Direct Costs 2026'!$C$36,"N/A"),"N/A")</f>
        <v>3325000</v>
      </c>
      <c r="R109" s="594" cm="1">
        <f t="array" ref="R109">IF(B109&gt;0,IF(OR(VLOOKUP(C94,'Boats Data Sheet 2026'!$C$3:$F$57,4,0)="Own",VLOOKUP(C94,'Boats Data Sheet 2026'!$C$3:$F$57,4,0)="Management"),('Direct Costs 2026'!$C$37+'Direct Costs 2026'!$C$39),"N/A"),"N/A")</f>
        <v>1112400</v>
      </c>
      <c r="S109" s="594" cm="1">
        <f t="array" ref="S109">_xlfn.IFERROR(IF(B109&gt;5,IF(B109&gt;11,IF(B109&gt;15,4,3),2),IF(B109=0,"N/A",1))*SUM('Direct Costs 2026'!$C$67:$C$68),"N/A")</f>
        <v>1468800</v>
      </c>
      <c r="T109" s="594" cm="1">
        <f t="array" ref="T109">_xlfn.IFERROR('Direct Costs 2026'!$C$27*C109,"N/A")</f>
        <v>0</v>
      </c>
      <c r="U109" s="594" cm="1">
        <f t="array" ref="U109">_xlfn.IFERROR(C109+SUM(E109:T109),"N/A")</f>
        <v>13076533.3333333</v>
      </c>
      <c r="V109" s="424"/>
      <c r="W109" s="594" cm="1">
        <f t="array" ref="W109">IF(B109&gt;0,'Allocation OH and Target 2026'!$E$27,"N/A")</f>
        <v>2134447.30345641</v>
      </c>
      <c r="X109" s="594" cm="1">
        <f t="array" ref="X109">IF(B109&gt;0,'Allocation OH and Target 2026'!$E$28,"N/A")</f>
        <v>200042.323056976</v>
      </c>
      <c r="Y109" s="594" cm="1">
        <f t="array" ref="Y109">IF(B109&gt;0,VLOOKUP(C94,'Allocation OH and Target 2026'!$C$5:$T$23,17,0),"N/A")</f>
        <v>965292.6396039641</v>
      </c>
      <c r="Z109" s="594" cm="1">
        <f t="array" ref="Z109">IF(B109&gt;0,VLOOKUP(C94,'Allocation OH and Target 2026'!$C$5:$T$23,18,0),"N/A")</f>
        <v>92851.958666666906</v>
      </c>
      <c r="AA109" s="594" cm="1">
        <f t="array" ref="AA109">_xlfn.IFERROR(B109*(X109+Z109),"N/A")</f>
        <v>3807625.66240736</v>
      </c>
      <c r="AB109" s="424"/>
      <c r="AC109" s="594" cm="1">
        <f t="array" ref="AC109">_xlfn.IFERROR(AA109+U109,"N/A")</f>
        <v>16884158.9957407</v>
      </c>
      <c r="AD109" s="594" cm="1">
        <f t="array" ref="AD109">_xlfn.IFERROR(AC109*0.5%,"N/A")</f>
        <v>84420.7949787035</v>
      </c>
      <c r="AE109" s="594" cm="1">
        <f t="array" ref="AE109">_xlfn.IFERROR(AC109*25%,"N/A")</f>
        <v>4221039.74893518</v>
      </c>
      <c r="AF109" s="596" cm="1">
        <f t="array" ref="AF109">IF(B109&gt;0,SUM(AC109:AE109),"N/A")</f>
        <v>21189619.5396546</v>
      </c>
      <c r="AG109" s="594" cm="1">
        <f t="array" ref="AG109">_xlfn.IFERROR(AF109/B109,"N/A")</f>
        <v>1629970.73381958</v>
      </c>
      <c r="AH109" s="424"/>
      <c r="AI109" t="str" s="604" cm="1">
        <f t="array" ref="AI109">IF(B109/VLOOKUP(C94,'Boats Data Sheet 2026'!$C$3:$H$57,6,0)&gt;VLOOKUP(C94,'Allocation OH and Target 2026'!$C$5:$J$23,8,0),IF(SUM(AJ96:AJ108)=0,AG109,"N/A"),"N/A")</f>
        <v>N/A</v>
      </c>
      <c r="AJ109" s="424" cm="1">
        <f t="array" ref="AJ109">IF(AI109="N/A",0,1)</f>
        <v>0</v>
      </c>
      <c r="AK109" t="str" s="595" cm="1">
        <f t="array" ref="AK109">IF(B109/VLOOKUP(C94,'Boats Data Sheet 2026'!$C$3:$H$57,6,0)&gt;VLOOKUP(C94,'Allocation OH and Target 2026'!$C$5:$J$23,8,0),IF(SUM(AJ96:AJ108)=0,U109/B109,"N/A"),"N/A")</f>
        <v>N/A</v>
      </c>
      <c r="AL109" s="424" cm="1">
        <f t="array" ref="AL109">IF(AK109="N/A",0,1)</f>
        <v>0</v>
      </c>
      <c r="AM109" t="str" s="605" cm="1">
        <f t="array" ref="AM109">IF(SUM(1250000+700000)*B109&lt;SUM(AC109:AD109),"NO GO","GO")</f>
        <v>GO</v>
      </c>
      <c r="AN109" s="424"/>
      <c r="AO109" s="594"/>
      <c r="AP109" s="594"/>
      <c r="AQ109" s="594"/>
      <c r="AR109" s="600"/>
      <c r="AS109" s="601" cm="1">
        <f t="array" ref="AS109">B109</f>
        <v>13</v>
      </c>
    </row>
    <row r="110" ht="16" customHeight="1">
      <c r="A110" s="12"/>
      <c r="B110" s="602" cm="1">
        <f t="array" ref="B110">IF(B109=0,0,IF(B109&lt;VLOOKUP(C94,'Boats Data Sheet 2026'!$C$3:$H$57,6,0),B109+1,0))</f>
        <v>0</v>
      </c>
      <c r="C110" t="str" s="595" cm="1">
        <f t="array" ref="C110">IF(B110&gt;0,IF(VLOOKUP(C94,'Boats Data Sheet 2026'!$C$3:$J$57,8,0)="N/A",0,VLOOKUP(C94,'Boats Data Sheet 2026'!$C$3:$J$57,8,0)),"N/A")</f>
        <v>N/A</v>
      </c>
      <c r="D110" t="str" s="595" cm="1">
        <f t="array" ref="D110">IF(B110&gt;7,2,IF(B110=0,"N/A",1))</f>
        <v>N/A</v>
      </c>
      <c r="E110" t="str" s="595" cm="1">
        <f t="array" ref="E110">_xlfn.IFERROR(SUM('Direct Costs 2026'!$C$4:$C$6)*D110,"N/A")</f>
        <v>N/A</v>
      </c>
      <c r="F110" s="594" cm="1">
        <f t="array" ref="F110">_xlfn.IFERROR('Direct Costs 2026'!$C$43*B110,"N/A")</f>
        <v>0</v>
      </c>
      <c r="G110" t="str" s="595" cm="1">
        <f t="array" ref="G110">IF(B110&gt;0,'Direct Costs 2026'!$C$25,"N/A")</f>
        <v>N/A</v>
      </c>
      <c r="H110" t="str" s="595" cm="1">
        <f t="array" ref="H110">IF(B110&gt;0,'Direct Costs 2026'!$C$19+'Direct Costs 2026'!$C$18*B110,"N/A")</f>
        <v>N/A</v>
      </c>
      <c r="I110" t="str" s="595" cm="1">
        <f t="array" ref="I110">IF(B110&gt;0,SUM('Direct Costs 2026'!$C$20:$C$21),"N/A")</f>
        <v>N/A</v>
      </c>
      <c r="J110" t="str" s="595" cm="1">
        <f t="array" ref="J110">IF(B110&gt;0,'Direct Costs 2026'!$C$14,"N/A")</f>
        <v>N/A</v>
      </c>
      <c r="K110" t="str" s="595" cm="1">
        <f t="array" ref="K110">IF(B110&gt;0,'Direct Costs 2026'!$C$26,"N/A")</f>
        <v>N/A</v>
      </c>
      <c r="L110" t="str" s="595" cm="1">
        <f t="array" ref="L110">IF(B110&gt;0,SUM('Direct Costs 2026'!$C$23:$C$24),"N/A")</f>
        <v>N/A</v>
      </c>
      <c r="M110" t="str" s="595" cm="1">
        <f t="array" ref="M110">IF(B110&gt;0,'Direct Costs 2026'!$C$47*B110,"N/A")</f>
        <v>N/A</v>
      </c>
      <c r="N110" t="str" s="595" cm="1">
        <f t="array" ref="N110">IF($B110&gt;0,'Direct Costs 2026'!$C$30,"N/A")</f>
        <v>N/A</v>
      </c>
      <c r="O110" t="str" s="595" cm="1">
        <f t="array" ref="O110">IF($B110&gt;0,'Direct Costs 2026'!$C$31,"N/A")</f>
        <v>N/A</v>
      </c>
      <c r="P110" t="str" s="595" cm="1">
        <f t="array" ref="P110">IF(B110&gt;0,'Direct Costs 2026'!$C$59*B110,"N/A")</f>
        <v>N/A</v>
      </c>
      <c r="Q110" t="str" s="595" cm="1">
        <f t="array" ref="Q110">IF(B110&gt;0,_xlfn.IFERROR(VLOOKUP(C94,'Boats Data Sheet 2026'!$C$3:$I$57,7,0)*'Direct Costs 2026'!$C$36,"N/A"),"N/A")</f>
        <v>N/A</v>
      </c>
      <c r="R110" t="str" s="595" cm="1">
        <f t="array" ref="R110">IF(B110&gt;0,IF(OR(VLOOKUP(C94,'Boats Data Sheet 2026'!$C$3:$F$57,4,0)="Own",VLOOKUP(C94,'Boats Data Sheet 2026'!$C$3:$F$57,4,0)="Management"),('Direct Costs 2026'!$C$37+'Direct Costs 2026'!$C$39),"N/A"),"N/A")</f>
        <v>N/A</v>
      </c>
      <c r="S110" t="str" s="595" cm="1">
        <f t="array" ref="S110">_xlfn.IFERROR(IF(B110&gt;5,IF(B110&gt;11,IF(B110&gt;15,4,3),2),IF(B110=0,"N/A",1))*SUM('Direct Costs 2026'!$C$67:$C$68),"N/A")</f>
        <v>N/A</v>
      </c>
      <c r="T110" t="str" s="595" cm="1">
        <f t="array" ref="T110">_xlfn.IFERROR('Direct Costs 2026'!$C$27*C110,"N/A")</f>
        <v>N/A</v>
      </c>
      <c r="U110" t="str" s="595" cm="1">
        <f t="array" ref="U110">_xlfn.IFERROR(C110+SUM(E110:T110),"N/A")</f>
        <v>N/A</v>
      </c>
      <c r="V110" s="424"/>
      <c r="W110" t="str" s="595" cm="1">
        <f t="array" ref="W110">IF(B110&gt;0,'Allocation OH and Target 2026'!$E$27,"N/A")</f>
        <v>N/A</v>
      </c>
      <c r="X110" t="str" s="595" cm="1">
        <f t="array" ref="X110">IF(B110&gt;0,'Allocation OH and Target 2026'!$E$28,"N/A")</f>
        <v>N/A</v>
      </c>
      <c r="Y110" t="str" s="595" cm="1">
        <f t="array" ref="Y110">IF(B110&gt;0,VLOOKUP(C94,'Allocation OH and Target 2026'!$C$5:$T$23,17,0),"N/A")</f>
        <v>N/A</v>
      </c>
      <c r="Z110" t="str" s="595" cm="1">
        <f t="array" ref="Z110">IF(B110&gt;0,VLOOKUP(C94,'Allocation OH and Target 2026'!$C$5:$T$23,18,0),"N/A")</f>
        <v>N/A</v>
      </c>
      <c r="AA110" t="str" s="595" cm="1">
        <f t="array" ref="AA110">_xlfn.IFERROR(B110*(X110+Z110),"N/A")</f>
        <v>N/A</v>
      </c>
      <c r="AB110" s="424"/>
      <c r="AC110" t="str" s="595" cm="1">
        <f t="array" ref="AC110">_xlfn.IFERROR(AA110+U110,"N/A")</f>
        <v>N/A</v>
      </c>
      <c r="AD110" t="str" s="595" cm="1">
        <f t="array" ref="AD110">_xlfn.IFERROR(AC110*0.5%,"N/A")</f>
        <v>N/A</v>
      </c>
      <c r="AE110" t="str" s="595" cm="1">
        <f t="array" ref="AE110">_xlfn.IFERROR(AC110*25%,"N/A")</f>
        <v>N/A</v>
      </c>
      <c r="AF110" t="str" s="604" cm="1">
        <f t="array" ref="AF110">IF(B110&gt;0,SUM(AC110:AE110),"N/A")</f>
        <v>N/A</v>
      </c>
      <c r="AG110" t="str" s="595" cm="1">
        <f t="array" ref="AG110">_xlfn.IFERROR(AF110/B110,"N/A")</f>
        <v>N/A</v>
      </c>
      <c r="AH110" s="424"/>
      <c r="AI110" t="str" s="604" cm="1">
        <f t="array" ref="AI110">IF(B110/VLOOKUP(C94,'Boats Data Sheet 2026'!$C$3:$H$57,6,0)&gt;VLOOKUP(C94,'Allocation OH and Target 2026'!$C$5:$J$23,8,0),IF(SUM(AJ96:AJ109)=0,AG110,"N/A"),"N/A")</f>
        <v>N/A</v>
      </c>
      <c r="AJ110" s="424" cm="1">
        <f t="array" ref="AJ110">IF(AI110="N/A",0,1)</f>
        <v>0</v>
      </c>
      <c r="AK110" t="str" s="595" cm="1">
        <f t="array" ref="AK110">IF(B110/VLOOKUP(C94,'Boats Data Sheet 2026'!$C$3:$H$57,6,0)&gt;VLOOKUP(C94,'Allocation OH and Target 2026'!$C$5:$J$23,8,0),IF(SUM(AJ96:AJ109)=0,U110/B110,"N/A"),"N/A")</f>
        <v>N/A</v>
      </c>
      <c r="AL110" s="424" cm="1">
        <f t="array" ref="AL110">IF(AK110="N/A",0,1)</f>
        <v>0</v>
      </c>
      <c r="AM110" t="str" s="605" cm="1">
        <f t="array" ref="AM110">IF(SUM(1250000+700000)*B110&lt;SUM(AC110:AD110),"NO GO","GO")</f>
        <v>GO</v>
      </c>
      <c r="AN110" s="424"/>
      <c r="AO110" s="594"/>
      <c r="AP110" s="594"/>
      <c r="AQ110" s="594"/>
      <c r="AR110" s="600"/>
      <c r="AS110" s="601" cm="1">
        <f t="array" ref="AS110">B110</f>
        <v>0</v>
      </c>
    </row>
    <row r="111" ht="16" customHeight="1">
      <c r="A111" s="12"/>
      <c r="B111" s="602" cm="1">
        <f t="array" ref="B111">IF(B110=0,0,IF(B110&lt;VLOOKUP(C94,'Boats Data Sheet 2026'!$C$3:$H$57,6,0),B110+1,0))</f>
        <v>0</v>
      </c>
      <c r="C111" t="str" s="595" cm="1">
        <f t="array" ref="C111">IF(B111&gt;0,IF(VLOOKUP(C94,'Boats Data Sheet 2026'!$C$3:$J$57,8,0)="N/A",0,VLOOKUP(C94,'Boats Data Sheet 2026'!$C$3:$J$57,8,0)),"N/A")</f>
        <v>N/A</v>
      </c>
      <c r="D111" t="str" s="595" cm="1">
        <f t="array" ref="D111">IF(B111&gt;7,2,IF(B111=0,"N/A",1))</f>
        <v>N/A</v>
      </c>
      <c r="E111" t="str" s="595" cm="1">
        <f t="array" ref="E111">_xlfn.IFERROR(SUM('Direct Costs 2026'!$C$4:$C$6)*D111,"N/A")</f>
        <v>N/A</v>
      </c>
      <c r="F111" s="594" cm="1">
        <f t="array" ref="F111">_xlfn.IFERROR('Direct Costs 2026'!$C$43*B111,"N/A")</f>
        <v>0</v>
      </c>
      <c r="G111" t="str" s="595" cm="1">
        <f t="array" ref="G111">IF(B111&gt;0,'Direct Costs 2026'!$C$25,"N/A")</f>
        <v>N/A</v>
      </c>
      <c r="H111" t="str" s="595" cm="1">
        <f t="array" ref="H111">IF(B111&gt;0,'Direct Costs 2026'!$C$19+'Direct Costs 2026'!$C$18*B111,"N/A")</f>
        <v>N/A</v>
      </c>
      <c r="I111" t="str" s="595" cm="1">
        <f t="array" ref="I111">IF(B111&gt;0,SUM('Direct Costs 2026'!$C$20:$C$21),"N/A")</f>
        <v>N/A</v>
      </c>
      <c r="J111" t="str" s="595" cm="1">
        <f t="array" ref="J111">IF(B111&gt;0,'Direct Costs 2026'!$C$14,"N/A")</f>
        <v>N/A</v>
      </c>
      <c r="K111" t="str" s="595" cm="1">
        <f t="array" ref="K111">IF(B111&gt;0,'Direct Costs 2026'!$C$26,"N/A")</f>
        <v>N/A</v>
      </c>
      <c r="L111" t="str" s="595" cm="1">
        <f t="array" ref="L111">IF(B111&gt;0,SUM('Direct Costs 2026'!$C$23:$C$24),"N/A")</f>
        <v>N/A</v>
      </c>
      <c r="M111" t="str" s="595" cm="1">
        <f t="array" ref="M111">IF(B111&gt;0,'Direct Costs 2026'!$C$47*B111,"N/A")</f>
        <v>N/A</v>
      </c>
      <c r="N111" t="str" s="595" cm="1">
        <f t="array" ref="N111">IF($B111&gt;0,'Direct Costs 2026'!$C$30,"N/A")</f>
        <v>N/A</v>
      </c>
      <c r="O111" t="str" s="595" cm="1">
        <f t="array" ref="O111">IF($B111&gt;0,'Direct Costs 2026'!$C$31,"N/A")</f>
        <v>N/A</v>
      </c>
      <c r="P111" t="str" s="595" cm="1">
        <f t="array" ref="P111">IF(B111&gt;0,'Direct Costs 2026'!$C$59*B111,"N/A")</f>
        <v>N/A</v>
      </c>
      <c r="Q111" t="str" s="595" cm="1">
        <f t="array" ref="Q111">IF(B111&gt;0,_xlfn.IFERROR(VLOOKUP(C94,'Boats Data Sheet 2026'!$C$3:$I$57,7,0)*'Direct Costs 2026'!$C$36,"N/A"),"N/A")</f>
        <v>N/A</v>
      </c>
      <c r="R111" t="str" s="595" cm="1">
        <f t="array" ref="R111">IF(B111&gt;0,IF(OR(VLOOKUP(C94,'Boats Data Sheet 2026'!$C$3:$F$57,4,0)="Own",VLOOKUP(C94,'Boats Data Sheet 2026'!$C$3:$F$57,4,0)="Management"),('Direct Costs 2026'!$C$37+'Direct Costs 2026'!$C$39),"N/A"),"N/A")</f>
        <v>N/A</v>
      </c>
      <c r="S111" t="str" s="595" cm="1">
        <f t="array" ref="S111">_xlfn.IFERROR(IF(B111&gt;5,IF(B111&gt;11,IF(B111&gt;15,4,3),2),IF(B111=0,"N/A",1))*SUM('Direct Costs 2026'!$C$67:$C$68),"N/A")</f>
        <v>N/A</v>
      </c>
      <c r="T111" t="str" s="595" cm="1">
        <f t="array" ref="T111">_xlfn.IFERROR('Direct Costs 2026'!$C$27*C111,"N/A")</f>
        <v>N/A</v>
      </c>
      <c r="U111" t="str" s="595" cm="1">
        <f t="array" ref="U111">_xlfn.IFERROR(C111+SUM(E111:T111),"N/A")</f>
        <v>N/A</v>
      </c>
      <c r="V111" s="424"/>
      <c r="W111" t="str" s="595" cm="1">
        <f t="array" ref="W111">IF(B111&gt;0,'Allocation OH and Target 2026'!$E$27,"N/A")</f>
        <v>N/A</v>
      </c>
      <c r="X111" t="str" s="595" cm="1">
        <f t="array" ref="X111">IF(B111&gt;0,'Allocation OH and Target 2026'!$E$28,"N/A")</f>
        <v>N/A</v>
      </c>
      <c r="Y111" t="str" s="595" cm="1">
        <f t="array" ref="Y111">IF(B111&gt;0,VLOOKUP(C94,'Allocation OH and Target 2026'!$C$5:$T$23,17,0),"N/A")</f>
        <v>N/A</v>
      </c>
      <c r="Z111" t="str" s="595" cm="1">
        <f t="array" ref="Z111">IF(B111&gt;0,VLOOKUP(C94,'Allocation OH and Target 2026'!$C$5:$T$23,18,0),"N/A")</f>
        <v>N/A</v>
      </c>
      <c r="AA111" t="str" s="595" cm="1">
        <f t="array" ref="AA111">_xlfn.IFERROR(X111*B111+Z111,"N/A")</f>
        <v>N/A</v>
      </c>
      <c r="AB111" s="424"/>
      <c r="AC111" t="str" s="595" cm="1">
        <f t="array" ref="AC111">_xlfn.IFERROR(AA111+U111,"N/A")</f>
        <v>N/A</v>
      </c>
      <c r="AD111" t="str" s="595" cm="1">
        <f t="array" ref="AD111">_xlfn.IFERROR(AC111*0.5%,"N/A")</f>
        <v>N/A</v>
      </c>
      <c r="AE111" t="str" s="595" cm="1">
        <f t="array" ref="AE111">_xlfn.IFERROR(AC111*25%,"N/A")</f>
        <v>N/A</v>
      </c>
      <c r="AF111" t="str" s="604" cm="1">
        <f t="array" ref="AF111">IF(B111&gt;0,SUM(AC111:AE111),"N/A")</f>
        <v>N/A</v>
      </c>
      <c r="AG111" t="str" s="595" cm="1">
        <f t="array" ref="AG111">_xlfn.IFERROR(AF111/B111,"N/A")</f>
        <v>N/A</v>
      </c>
      <c r="AH111" s="424"/>
      <c r="AI111" t="str" s="604" cm="1">
        <f t="array" ref="AI111">IF(B111/VLOOKUP(C94,'Boats Data Sheet 2026'!$C$3:$H$57,6,0)&gt;VLOOKUP(C94,'Allocation OH and Target 2026'!$C$5:$J$23,8,0),IF(SUM(AJ96:AJ110)=0,AG111,"N/A"),"N/A")</f>
        <v>N/A</v>
      </c>
      <c r="AJ111" s="424" cm="1">
        <f t="array" ref="AJ111">IF(AI111="N/A",0,1)</f>
        <v>0</v>
      </c>
      <c r="AK111" t="str" s="595" cm="1">
        <f t="array" ref="AK111">IF(B111/VLOOKUP(C94,'Boats Data Sheet 2026'!$C$3:$H$57,6,0)&gt;VLOOKUP(C94,'Allocation OH and Target 2026'!$C$5:$J$23,8,0),IF(SUM(AJ96:AJ110)=0,U111/B111,"N/A"),"N/A")</f>
        <v>N/A</v>
      </c>
      <c r="AL111" s="424" cm="1">
        <f t="array" ref="AL111">IF(AK111="N/A",0,1)</f>
        <v>0</v>
      </c>
      <c r="AM111" t="str" s="605" cm="1">
        <f t="array" ref="AM111">IF(SUM(1250000+700000)*B111&lt;SUM(AC111:AD111),"NO GO","GO")</f>
        <v>GO</v>
      </c>
      <c r="AN111" s="424"/>
      <c r="AO111" s="594"/>
      <c r="AP111" s="594"/>
      <c r="AQ111" s="594"/>
      <c r="AR111" s="600"/>
      <c r="AS111" s="601" cm="1">
        <f t="array" ref="AS111">B111</f>
        <v>0</v>
      </c>
    </row>
    <row r="112" ht="16" customHeight="1">
      <c r="A112" s="12"/>
      <c r="B112" s="602" cm="1">
        <f t="array" ref="B112">IF(B111=0,0,IF(B111&lt;VLOOKUP(C94,'Boats Data Sheet 2026'!$C$3:$H$57,6,0),B111+1,0))</f>
        <v>0</v>
      </c>
      <c r="C112" t="str" s="595" cm="1">
        <f t="array" ref="C112">IF(B112&gt;0,IF(VLOOKUP(C94,'Boats Data Sheet 2026'!$C$3:$J$57,8,0)="N/A",0,VLOOKUP(C94,'Boats Data Sheet 2026'!$C$3:$J$57,8,0)),"N/A")</f>
        <v>N/A</v>
      </c>
      <c r="D112" t="str" s="595" cm="1">
        <f t="array" ref="D112">IF(B112&gt;7,2,IF(B112=0,"N/A",1))</f>
        <v>N/A</v>
      </c>
      <c r="E112" t="str" s="595" cm="1">
        <f t="array" ref="E112">_xlfn.IFERROR(SUM('Direct Costs 2026'!$C$4:$C$6)*D112,"N/A")</f>
        <v>N/A</v>
      </c>
      <c r="F112" s="594" cm="1">
        <f t="array" ref="F112">_xlfn.IFERROR('Direct Costs 2026'!$C$43*B112,"N/A")</f>
        <v>0</v>
      </c>
      <c r="G112" t="str" s="595" cm="1">
        <f t="array" ref="G112">IF(B112&gt;0,'Direct Costs 2026'!$C$25,"N/A")</f>
        <v>N/A</v>
      </c>
      <c r="H112" t="str" s="595" cm="1">
        <f t="array" ref="H112">IF(B112&gt;0,'Direct Costs 2026'!$C$19+'Direct Costs 2026'!$C$18*B112,"N/A")</f>
        <v>N/A</v>
      </c>
      <c r="I112" t="str" s="595" cm="1">
        <f t="array" ref="I112">IF(B112&gt;0,SUM('Direct Costs 2026'!$C$20:$C$21),"N/A")</f>
        <v>N/A</v>
      </c>
      <c r="J112" t="str" s="595" cm="1">
        <f t="array" ref="J112">IF(B112&gt;0,'Direct Costs 2026'!$C$14,"N/A")</f>
        <v>N/A</v>
      </c>
      <c r="K112" t="str" s="595" cm="1">
        <f t="array" ref="K112">IF(B112&gt;0,'Direct Costs 2026'!$C$26,"N/A")</f>
        <v>N/A</v>
      </c>
      <c r="L112" t="str" s="595" cm="1">
        <f t="array" ref="L112">IF(B112&gt;0,SUM('Direct Costs 2026'!$C$23:$C$24),"N/A")</f>
        <v>N/A</v>
      </c>
      <c r="M112" t="str" s="595" cm="1">
        <f t="array" ref="M112">IF(B112&gt;0,'Direct Costs 2026'!$C$47*B112,"N/A")</f>
        <v>N/A</v>
      </c>
      <c r="N112" t="str" s="595" cm="1">
        <f t="array" ref="N112">IF($B112&gt;0,'Direct Costs 2026'!$C$30,"N/A")</f>
        <v>N/A</v>
      </c>
      <c r="O112" t="str" s="595" cm="1">
        <f t="array" ref="O112">IF($B112&gt;0,'Direct Costs 2026'!$C$31,"N/A")</f>
        <v>N/A</v>
      </c>
      <c r="P112" t="str" s="595" cm="1">
        <f t="array" ref="P112">IF(B112&gt;0,'Direct Costs 2026'!$C$59*B112,"N/A")</f>
        <v>N/A</v>
      </c>
      <c r="Q112" t="str" s="595" cm="1">
        <f t="array" ref="Q112">IF(B112&gt;0,_xlfn.IFERROR(VLOOKUP(C94,'Boats Data Sheet 2026'!$C$3:$I$57,7,0)*'Direct Costs 2026'!$C$36,"N/A"),"N/A")</f>
        <v>N/A</v>
      </c>
      <c r="R112" t="str" s="595" cm="1">
        <f t="array" ref="R112">IF(B112&gt;0,IF(OR(VLOOKUP(C94,'Boats Data Sheet 2026'!$C$3:$F$57,4,0)="Own",VLOOKUP(C94,'Boats Data Sheet 2026'!$C$3:$F$57,4,0)="Management"),('Direct Costs 2026'!$C$37+'Direct Costs 2026'!$C$39),"N/A"),"N/A")</f>
        <v>N/A</v>
      </c>
      <c r="S112" t="str" s="595" cm="1">
        <f t="array" ref="S112">_xlfn.IFERROR(IF(B112&gt;5,IF(B112&gt;11,IF(B112&gt;15,4,3),2),IF(B112=0,"N/A",1))*SUM('Direct Costs 2026'!$C$67:$C$68),"N/A")</f>
        <v>N/A</v>
      </c>
      <c r="T112" t="str" s="595" cm="1">
        <f t="array" ref="T112">_xlfn.IFERROR('Direct Costs 2026'!$C$27*C112,"N/A")</f>
        <v>N/A</v>
      </c>
      <c r="U112" t="str" s="595" cm="1">
        <f t="array" ref="U112">_xlfn.IFERROR(C112+SUM(E112:T112),"N/A")</f>
        <v>N/A</v>
      </c>
      <c r="V112" s="424"/>
      <c r="W112" t="str" s="595" cm="1">
        <f t="array" ref="W112">IF(B112&gt;0,'Allocation OH and Target 2026'!$E$27,"N/A")</f>
        <v>N/A</v>
      </c>
      <c r="X112" t="str" s="595" cm="1">
        <f t="array" ref="X112">IF(B112&gt;0,'Allocation OH and Target 2026'!$E$28,"N/A")</f>
        <v>N/A</v>
      </c>
      <c r="Y112" t="str" s="595" cm="1">
        <f t="array" ref="Y112">IF(B112&gt;0,VLOOKUP(C94,'Allocation OH and Target 2026'!$C$5:$T$23,17,0),"N/A")</f>
        <v>N/A</v>
      </c>
      <c r="Z112" t="str" s="595" cm="1">
        <f t="array" ref="Z112">IF(B112&gt;0,VLOOKUP(C94,'Allocation OH and Target 2026'!$C$5:$T$23,18,0),"N/A")</f>
        <v>N/A</v>
      </c>
      <c r="AA112" t="str" s="595" cm="1">
        <f t="array" ref="AA112">_xlfn.IFERROR(X112*B112+Z112,"N/A")</f>
        <v>N/A</v>
      </c>
      <c r="AB112" s="424"/>
      <c r="AC112" t="str" s="595" cm="1">
        <f t="array" ref="AC112">_xlfn.IFERROR(AA112+U112,"N/A")</f>
        <v>N/A</v>
      </c>
      <c r="AD112" t="str" s="595" cm="1">
        <f t="array" ref="AD112">_xlfn.IFERROR(AC112*0.5%,"N/A")</f>
        <v>N/A</v>
      </c>
      <c r="AE112" t="str" s="595" cm="1">
        <f t="array" ref="AE112">_xlfn.IFERROR(AC112*25%,"N/A")</f>
        <v>N/A</v>
      </c>
      <c r="AF112" t="str" s="604" cm="1">
        <f t="array" ref="AF112">IF(B112&gt;0,SUM(AC112:AE112),"N/A")</f>
        <v>N/A</v>
      </c>
      <c r="AG112" t="str" s="595" cm="1">
        <f t="array" ref="AG112">_xlfn.IFERROR(AF112/B112,"N/A")</f>
        <v>N/A</v>
      </c>
      <c r="AH112" s="424"/>
      <c r="AI112" t="str" s="604" cm="1">
        <f t="array" ref="AI112">IF(B112/VLOOKUP(C94,'Boats Data Sheet 2026'!$C$3:$H$57,6,0)&gt;VLOOKUP(C94,'Allocation OH and Target 2026'!$C$5:$J$23,8,0),IF(SUM(AJ96:AJ111)=0,AG112,"N/A"),"N/A")</f>
        <v>N/A</v>
      </c>
      <c r="AJ112" s="424" cm="1">
        <f t="array" ref="AJ112">IF(AI112="N/A",0,1)</f>
        <v>0</v>
      </c>
      <c r="AK112" t="str" s="595" cm="1">
        <f t="array" ref="AK112">IF(B112/VLOOKUP(C94,'Boats Data Sheet 2026'!$C$3:$H$57,6,0)&gt;VLOOKUP(C94,'Allocation OH and Target 2026'!$C$5:$J$23,8,0),IF(SUM(AJ96:AJ111)=0,U112/B112,"N/A"),"N/A")</f>
        <v>N/A</v>
      </c>
      <c r="AL112" s="424" cm="1">
        <f t="array" ref="AL112">IF(AK112="N/A",0,1)</f>
        <v>0</v>
      </c>
      <c r="AM112" t="str" s="605" cm="1">
        <f t="array" ref="AM112">IF(SUM(1250000+700000)*B112&lt;SUM(AC112:AD112),"NO GO","GO")</f>
        <v>GO</v>
      </c>
      <c r="AN112" s="424"/>
      <c r="AO112" s="594"/>
      <c r="AP112" s="594"/>
      <c r="AQ112" s="594"/>
      <c r="AR112" s="600"/>
      <c r="AS112" s="601" cm="1">
        <f t="array" ref="AS112">B112</f>
        <v>0</v>
      </c>
    </row>
    <row r="113" ht="16" customHeight="1">
      <c r="A113" s="12"/>
      <c r="B113" s="602" cm="1">
        <f t="array" ref="B113">IF(B112=0,0,IF(B112&lt;VLOOKUP(C94,'Boats Data Sheet 2026'!$C$3:$H$57,6,0),B112+1,0))</f>
        <v>0</v>
      </c>
      <c r="C113" t="str" s="595" cm="1">
        <f t="array" ref="C113">IF(B113&gt;0,IF(VLOOKUP(C94,'Boats Data Sheet 2026'!$C$3:$J$57,8,0)="N/A",0,VLOOKUP(C94,'Boats Data Sheet 2026'!$C$3:$J$57,8,0)),"N/A")</f>
        <v>N/A</v>
      </c>
      <c r="D113" t="str" s="595" cm="1">
        <f t="array" ref="D113">IF(B113&gt;7,2,IF(B113=0,"N/A",1))</f>
        <v>N/A</v>
      </c>
      <c r="E113" t="str" s="595" cm="1">
        <f t="array" ref="E113">_xlfn.IFERROR(SUM('Direct Costs 2026'!$C$4:$C$6)*D113,"N/A")</f>
        <v>N/A</v>
      </c>
      <c r="F113" s="594" cm="1">
        <f t="array" ref="F113">_xlfn.IFERROR('Direct Costs 2026'!$C$43*B113,"N/A")</f>
        <v>0</v>
      </c>
      <c r="G113" t="str" s="595" cm="1">
        <f t="array" ref="G113">IF(B113&gt;0,'Direct Costs 2026'!$C$25,"N/A")</f>
        <v>N/A</v>
      </c>
      <c r="H113" t="str" s="595" cm="1">
        <f t="array" ref="H113">IF(B113&gt;0,'Direct Costs 2026'!$C$19+'Direct Costs 2026'!$C$18*B113,"N/A")</f>
        <v>N/A</v>
      </c>
      <c r="I113" t="str" s="595" cm="1">
        <f t="array" ref="I113">IF(B113&gt;0,SUM('Direct Costs 2026'!$C$20:$C$21),"N/A")</f>
        <v>N/A</v>
      </c>
      <c r="J113" t="str" s="595" cm="1">
        <f t="array" ref="J113">IF(B113&gt;0,'Direct Costs 2026'!$C$14,"N/A")</f>
        <v>N/A</v>
      </c>
      <c r="K113" t="str" s="595" cm="1">
        <f t="array" ref="K113">IF(B113&gt;0,'Direct Costs 2026'!$C$26,"N/A")</f>
        <v>N/A</v>
      </c>
      <c r="L113" t="str" s="595" cm="1">
        <f t="array" ref="L113">IF(B113&gt;0,SUM('Direct Costs 2026'!$C$23:$C$24),"N/A")</f>
        <v>N/A</v>
      </c>
      <c r="M113" t="str" s="595" cm="1">
        <f t="array" ref="M113">IF(B113&gt;0,'Direct Costs 2026'!$C$47*B113,"N/A")</f>
        <v>N/A</v>
      </c>
      <c r="N113" t="str" s="595" cm="1">
        <f t="array" ref="N113">IF($B113&gt;0,'Direct Costs 2026'!$C$30,"N/A")</f>
        <v>N/A</v>
      </c>
      <c r="O113" t="str" s="595" cm="1">
        <f t="array" ref="O113">IF($B113&gt;0,'Direct Costs 2026'!$C$31,"N/A")</f>
        <v>N/A</v>
      </c>
      <c r="P113" t="str" s="595" cm="1">
        <f t="array" ref="P113">IF(B113&gt;0,'Direct Costs 2026'!$C$59*B113,"N/A")</f>
        <v>N/A</v>
      </c>
      <c r="Q113" t="str" s="595" cm="1">
        <f t="array" ref="Q113">IF(B113&gt;0,_xlfn.IFERROR(VLOOKUP(C94,'Boats Data Sheet 2026'!$C$3:$I$57,7,0)*'Direct Costs 2026'!$C$36,"N/A"),"N/A")</f>
        <v>N/A</v>
      </c>
      <c r="R113" t="str" s="595" cm="1">
        <f t="array" ref="R113">IF(B113&gt;0,IF(OR(VLOOKUP(C94,'Boats Data Sheet 2026'!$C$3:$F$57,4,0)="Own",VLOOKUP(C94,'Boats Data Sheet 2026'!$C$3:$F$57,4,0)="Management"),('Direct Costs 2026'!$C$37+'Direct Costs 2026'!$C$39),"N/A"),"N/A")</f>
        <v>N/A</v>
      </c>
      <c r="S113" t="str" s="595" cm="1">
        <f t="array" ref="S113">_xlfn.IFERROR(IF(B113&gt;5,IF(B113&gt;11,IF(B113&gt;15,4,3),2),IF(B113=0,"N/A",1))*SUM('Direct Costs 2026'!$C$67:$C$68),"N/A")</f>
        <v>N/A</v>
      </c>
      <c r="T113" t="str" s="595" cm="1">
        <f t="array" ref="T113">_xlfn.IFERROR('Direct Costs 2026'!$C$27*C113,"N/A")</f>
        <v>N/A</v>
      </c>
      <c r="U113" t="str" s="595" cm="1">
        <f t="array" ref="U113">_xlfn.IFERROR(C113+SUM(E113:T113),"N/A")</f>
        <v>N/A</v>
      </c>
      <c r="V113" s="424"/>
      <c r="W113" t="str" s="595" cm="1">
        <f t="array" ref="W113">IF(B113&gt;0,'Allocation OH and Target 2026'!$E$27,"N/A")</f>
        <v>N/A</v>
      </c>
      <c r="X113" t="str" s="595" cm="1">
        <f t="array" ref="X113">IF(B113&gt;0,'Allocation OH and Target 2026'!$E$28,"N/A")</f>
        <v>N/A</v>
      </c>
      <c r="Y113" t="str" s="595" cm="1">
        <f t="array" ref="Y113">IF(B113&gt;0,VLOOKUP(C94,'Allocation OH and Target 2026'!$C$5:$T$23,17,0),"N/A")</f>
        <v>N/A</v>
      </c>
      <c r="Z113" t="str" s="595" cm="1">
        <f t="array" ref="Z113">IF(B113&gt;0,VLOOKUP(C94,'Allocation OH and Target 2026'!$C$5:$T$23,18,0),"N/A")</f>
        <v>N/A</v>
      </c>
      <c r="AA113" t="str" s="595" cm="1">
        <f t="array" ref="AA113">_xlfn.IFERROR(X113*B113+Z113,"N/A")</f>
        <v>N/A</v>
      </c>
      <c r="AB113" s="424"/>
      <c r="AC113" t="str" s="595" cm="1">
        <f t="array" ref="AC113">_xlfn.IFERROR(AA113+U113,"N/A")</f>
        <v>N/A</v>
      </c>
      <c r="AD113" t="str" s="595" cm="1">
        <f t="array" ref="AD113">_xlfn.IFERROR(AC113*0.5%,"N/A")</f>
        <v>N/A</v>
      </c>
      <c r="AE113" t="str" s="595" cm="1">
        <f t="array" ref="AE113">_xlfn.IFERROR(AC113*25%,"N/A")</f>
        <v>N/A</v>
      </c>
      <c r="AF113" t="str" s="604" cm="1">
        <f t="array" ref="AF113">IF(B113&gt;0,SUM(AC113:AE113),"N/A")</f>
        <v>N/A</v>
      </c>
      <c r="AG113" t="str" s="595" cm="1">
        <f t="array" ref="AG113">_xlfn.IFERROR(AF113/B113,"N/A")</f>
        <v>N/A</v>
      </c>
      <c r="AH113" s="424"/>
      <c r="AI113" t="str" s="604" cm="1">
        <f t="array" ref="AI113">IF(B113/VLOOKUP(C94,'Boats Data Sheet 2026'!$C$3:$H$57,6,0)&gt;VLOOKUP(C94,'Allocation OH and Target 2026'!$C$5:$J$23,8,0),IF(SUM(AJ96:AJ112)=0,AG113,"N/A"),"N/A")</f>
        <v>N/A</v>
      </c>
      <c r="AJ113" s="424" cm="1">
        <f t="array" ref="AJ113">IF(AI113="N/A",0,1)</f>
        <v>0</v>
      </c>
      <c r="AK113" t="str" s="595" cm="1">
        <f t="array" ref="AK113">IF(B113/VLOOKUP(C94,'Boats Data Sheet 2026'!$C$3:$H$57,6,0)&gt;VLOOKUP(C94,'Allocation OH and Target 2026'!$C$5:$J$23,8,0),IF(SUM(AJ96:AJ112)=0,U113/B113,"N/A"),"N/A")</f>
        <v>N/A</v>
      </c>
      <c r="AL113" s="424" cm="1">
        <f t="array" ref="AL113">IF(AK113="N/A",0,1)</f>
        <v>0</v>
      </c>
      <c r="AM113" t="str" s="605" cm="1">
        <f t="array" ref="AM113">IF(SUM(1250000+700000)*B113&lt;SUM(AC113:AD113),"NO GO","GO")</f>
        <v>GO</v>
      </c>
      <c r="AN113" s="424"/>
      <c r="AO113" s="594"/>
      <c r="AP113" s="594"/>
      <c r="AQ113" s="594"/>
      <c r="AR113" s="600"/>
      <c r="AS113" s="601" cm="1">
        <f t="array" ref="AS113">B113</f>
        <v>0</v>
      </c>
    </row>
    <row r="114" ht="15.5" customHeight="1">
      <c r="A114" s="12"/>
      <c r="B114" s="606" cm="1">
        <f t="array" ref="B114">IF(B113=0,0,IF(B113&lt;VLOOKUP(C94,'Boats Data Sheet 2026'!$C$3:$H$57,6,0),B113+1,0))</f>
        <v>0</v>
      </c>
      <c r="C114" t="str" s="607" cm="1">
        <f t="array" ref="C114">IF(B114&gt;0,IF(VLOOKUP(C94,'Boats Data Sheet 2026'!$C$3:$J$57,8,0)="N/A",0,VLOOKUP(C94,'Boats Data Sheet 2026'!$C$3:$J$57,8,0)),"N/A")</f>
        <v>N/A</v>
      </c>
      <c r="D114" t="str" s="607" cm="1">
        <f t="array" ref="D114">IF(B114&gt;7,2,IF(B114=0,"N/A",1))</f>
        <v>N/A</v>
      </c>
      <c r="E114" t="str" s="607" cm="1">
        <f t="array" ref="E114">_xlfn.IFERROR(SUM('Direct Costs 2026'!$C$4:$C$6)*D114,"N/A")</f>
        <v>N/A</v>
      </c>
      <c r="F114" s="608" cm="1">
        <f t="array" ref="F114">_xlfn.IFERROR('Direct Costs 2026'!$C$43*B114,"N/A")</f>
        <v>0</v>
      </c>
      <c r="G114" t="str" s="607" cm="1">
        <f t="array" ref="G114">IF(B114&gt;0,'Direct Costs 2026'!$C$25,"N/A")</f>
        <v>N/A</v>
      </c>
      <c r="H114" t="str" s="607" cm="1">
        <f t="array" ref="H114">IF(B114&gt;0,'Direct Costs 2026'!$C$19+'Direct Costs 2026'!$C$18*B114,"N/A")</f>
        <v>N/A</v>
      </c>
      <c r="I114" t="str" s="607" cm="1">
        <f t="array" ref="I114">IF(B114&gt;0,SUM('Direct Costs 2026'!$C$20:$C$21),"N/A")</f>
        <v>N/A</v>
      </c>
      <c r="J114" t="str" s="607" cm="1">
        <f t="array" ref="J114">IF(B114&gt;0,'Direct Costs 2026'!$C$14,"N/A")</f>
        <v>N/A</v>
      </c>
      <c r="K114" t="str" s="607" cm="1">
        <f t="array" ref="K114">IF(B114&gt;0,'Direct Costs 2026'!$C$26,"N/A")</f>
        <v>N/A</v>
      </c>
      <c r="L114" t="str" s="607" cm="1">
        <f t="array" ref="L114">IF(B114&gt;0,SUM('Direct Costs 2026'!$C$23:$C$24),"N/A")</f>
        <v>N/A</v>
      </c>
      <c r="M114" t="str" s="607" cm="1">
        <f t="array" ref="M114">IF(B114&gt;0,'Direct Costs 2026'!$C$47*B114,"N/A")</f>
        <v>N/A</v>
      </c>
      <c r="N114" t="str" s="607" cm="1">
        <f t="array" ref="N114">IF($B114&gt;0,'Direct Costs 2026'!$C$30,"N/A")</f>
        <v>N/A</v>
      </c>
      <c r="O114" t="str" s="607" cm="1">
        <f t="array" ref="O114">IF($B114&gt;0,'Direct Costs 2026'!$C$31,"N/A")</f>
        <v>N/A</v>
      </c>
      <c r="P114" t="str" s="607" cm="1">
        <f t="array" ref="P114">IF(B114&gt;0,'Direct Costs 2026'!$C$59*B114,"N/A")</f>
        <v>N/A</v>
      </c>
      <c r="Q114" t="str" s="607" cm="1">
        <f t="array" ref="Q114">IF(B114&gt;0,_xlfn.IFERROR(VLOOKUP(C94,'Boats Data Sheet 2026'!$C$3:$I$57,7,0)*'Direct Costs 2026'!$C$36,"N/A"),"N/A")</f>
        <v>N/A</v>
      </c>
      <c r="R114" t="str" s="607" cm="1">
        <f t="array" ref="R114">IF(B114&gt;0,IF(OR(VLOOKUP(C94,'Boats Data Sheet 2026'!$C$3:$F$57,4,0)="Own",VLOOKUP(C94,'Boats Data Sheet 2026'!$C$3:$F$57,4,0)="Management"),('Direct Costs 2026'!$C$37+'Direct Costs 2026'!$C$39),"N/A"),"N/A")</f>
        <v>N/A</v>
      </c>
      <c r="S114" t="str" s="607" cm="1">
        <f t="array" ref="S114">_xlfn.IFERROR(IF(B114&gt;5,IF(B114&gt;11,IF(B114&gt;15,4,3),2),IF(B114=0,"N/A",1))*SUM('Direct Costs 2026'!$C$67:$C$68),"N/A")</f>
        <v>N/A</v>
      </c>
      <c r="T114" t="str" s="607" cm="1">
        <f t="array" ref="T114">_xlfn.IFERROR('Direct Costs 2026'!$C$27*C114,"N/A")</f>
        <v>N/A</v>
      </c>
      <c r="U114" t="str" s="607" cm="1">
        <f t="array" ref="U114">_xlfn.IFERROR(C114+SUM(E114:T114),"N/A")</f>
        <v>N/A</v>
      </c>
      <c r="V114" s="435"/>
      <c r="W114" t="str" s="607" cm="1">
        <f t="array" ref="W114">IF(B114&gt;0,'Allocation OH and Target 2026'!$E$27,"N/A")</f>
        <v>N/A</v>
      </c>
      <c r="X114" t="str" s="607" cm="1">
        <f t="array" ref="X114">IF(B114&gt;0,'Allocation OH and Target 2026'!$E$28,"N/A")</f>
        <v>N/A</v>
      </c>
      <c r="Y114" t="str" s="607" cm="1">
        <f t="array" ref="Y114">IF(B114&gt;0,VLOOKUP(C94,'Allocation OH and Target 2026'!$C$5:$T$23,17,0),"N/A")</f>
        <v>N/A</v>
      </c>
      <c r="Z114" t="str" s="607" cm="1">
        <f t="array" ref="Z114">IF(B114&gt;0,VLOOKUP(C94,'Allocation OH and Target 2026'!$C$5:$T$23,18,0),"N/A")</f>
        <v>N/A</v>
      </c>
      <c r="AA114" t="str" s="607" cm="1">
        <f t="array" ref="AA114">_xlfn.IFERROR(X114*B114+Z114,"N/A")</f>
        <v>N/A</v>
      </c>
      <c r="AB114" s="435"/>
      <c r="AC114" t="str" s="607" cm="1">
        <f t="array" ref="AC114">_xlfn.IFERROR(AA114+U114,"N/A")</f>
        <v>N/A</v>
      </c>
      <c r="AD114" t="str" s="607" cm="1">
        <f t="array" ref="AD114">_xlfn.IFERROR(AC114*0.5%,"N/A")</f>
        <v>N/A</v>
      </c>
      <c r="AE114" t="str" s="607" cm="1">
        <f t="array" ref="AE114">_xlfn.IFERROR(AC114*25%,"N/A")</f>
        <v>N/A</v>
      </c>
      <c r="AF114" t="str" s="609" cm="1">
        <f t="array" ref="AF114">IF(B114&gt;0,SUM(AC114:AE114),"N/A")</f>
        <v>N/A</v>
      </c>
      <c r="AG114" t="str" s="607" cm="1">
        <f t="array" ref="AG114">_xlfn.IFERROR(AF114/B114,"N/A")</f>
        <v>N/A</v>
      </c>
      <c r="AH114" s="435"/>
      <c r="AI114" t="str" s="609" cm="1">
        <f t="array" ref="AI114">IF(B114/VLOOKUP(C94,'Boats Data Sheet 2026'!$C$3:$H$57,6,0)&gt;VLOOKUP(C94,'Allocation OH and Target 2026'!$C$5:$J$23,8,0),IF(SUM(AJ96:AJ113)=0,AG114,"N/A"),"N/A")</f>
        <v>N/A</v>
      </c>
      <c r="AJ114" s="435" cm="1">
        <f t="array" ref="AJ114">IF(AI114="N/A",0,1)</f>
        <v>0</v>
      </c>
      <c r="AK114" t="str" s="607" cm="1">
        <f t="array" ref="AK114">IF(B114/VLOOKUP(C94,'Boats Data Sheet 2026'!$C$3:$H$57,6,0)&gt;VLOOKUP(C94,'Allocation OH and Target 2026'!$C$5:$J$23,8,0),IF(SUM(AJ96:AJ113)=0,U114/B114,"N/A"),"N/A")</f>
        <v>N/A</v>
      </c>
      <c r="AL114" s="435" cm="1">
        <f t="array" ref="AL114">IF(AK114="N/A",0,1)</f>
        <v>0</v>
      </c>
      <c r="AM114" t="str" s="610" cm="1">
        <f t="array" ref="AM114">IF(SUM(1250000+700000)*B114&lt;SUM(AC114:AD114),"NO GO","GO")</f>
        <v>GO</v>
      </c>
      <c r="AN114" s="435"/>
      <c r="AO114" s="608"/>
      <c r="AP114" s="608"/>
      <c r="AQ114" s="608"/>
      <c r="AR114" s="611"/>
      <c r="AS114" s="601" cm="1">
        <f t="array" ref="AS114">B114</f>
        <v>0</v>
      </c>
    </row>
    <row r="115" ht="15.5" customHeight="1">
      <c r="A115" s="32"/>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8"/>
    </row>
    <row r="116" ht="15.5" customHeight="1">
      <c r="A116" s="32"/>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18"/>
    </row>
    <row r="117" ht="15.5" customHeight="1">
      <c r="A117" s="395">
        <v>7</v>
      </c>
      <c r="B117" t="s" s="573">
        <v>506</v>
      </c>
      <c r="C117" t="s" s="574">
        <v>55</v>
      </c>
      <c r="D117" s="576"/>
      <c r="E117" s="575"/>
      <c r="F117" s="575"/>
      <c r="G117" s="575"/>
      <c r="H117" s="575"/>
      <c r="I117" s="575"/>
      <c r="J117" s="575"/>
      <c r="K117" s="575"/>
      <c r="L117" s="575"/>
      <c r="M117" s="575"/>
      <c r="N117" s="575"/>
      <c r="O117" s="575"/>
      <c r="P117" s="575"/>
      <c r="Q117" s="575"/>
      <c r="R117" s="575"/>
      <c r="S117" s="575"/>
      <c r="T117" s="575"/>
      <c r="U117" s="575"/>
      <c r="V117" s="399"/>
      <c r="W117" s="575"/>
      <c r="X117" s="575"/>
      <c r="Y117" s="575"/>
      <c r="Z117" s="575"/>
      <c r="AA117" s="575"/>
      <c r="AB117" s="399"/>
      <c r="AC117" s="575"/>
      <c r="AD117" s="575"/>
      <c r="AE117" s="575"/>
      <c r="AF117" s="575"/>
      <c r="AG117" s="575"/>
      <c r="AH117" s="399"/>
      <c r="AI117" s="576"/>
      <c r="AJ117" s="399"/>
      <c r="AK117" s="575"/>
      <c r="AL117" s="399"/>
      <c r="AM117" s="575"/>
      <c r="AN117" s="399"/>
      <c r="AO117" t="s" s="612">
        <v>508</v>
      </c>
      <c r="AP117" s="613" cm="1">
        <f t="array" ref="AP117">AVERAGE(U120:U125)</f>
        <v>8714433.33333333</v>
      </c>
      <c r="AQ117" s="575"/>
      <c r="AR117" s="577"/>
      <c r="AS117" s="578"/>
    </row>
    <row r="118" ht="16" customHeight="1">
      <c r="A118" s="12"/>
      <c r="B118" s="579"/>
      <c r="C118" t="s" s="580">
        <v>513</v>
      </c>
      <c r="D118" s="581"/>
      <c r="E118" s="581"/>
      <c r="F118" s="581"/>
      <c r="G118" s="581"/>
      <c r="H118" s="581"/>
      <c r="I118" s="581"/>
      <c r="J118" s="581"/>
      <c r="K118" s="581"/>
      <c r="L118" s="581"/>
      <c r="M118" s="581"/>
      <c r="N118" s="581"/>
      <c r="O118" s="581"/>
      <c r="P118" s="581"/>
      <c r="Q118" s="581"/>
      <c r="R118" s="581"/>
      <c r="S118" s="581"/>
      <c r="T118" s="581"/>
      <c r="U118" s="582"/>
      <c r="V118" s="407"/>
      <c r="W118" t="s" s="580">
        <v>514</v>
      </c>
      <c r="X118" s="581"/>
      <c r="Y118" s="581"/>
      <c r="Z118" s="581"/>
      <c r="AA118" s="582"/>
      <c r="AB118" s="407"/>
      <c r="AC118" t="s" s="580">
        <v>515</v>
      </c>
      <c r="AD118" s="581"/>
      <c r="AE118" s="581"/>
      <c r="AF118" s="581"/>
      <c r="AG118" s="582"/>
      <c r="AH118" s="410"/>
      <c r="AI118" s="605"/>
      <c r="AJ118" s="410"/>
      <c r="AK118" s="584"/>
      <c r="AL118" s="410"/>
      <c r="AM118" s="584"/>
      <c r="AN118" s="410"/>
      <c r="AO118" s="584"/>
      <c r="AP118" s="584"/>
      <c r="AQ118" s="584"/>
      <c r="AR118" s="585"/>
      <c r="AS118" s="578"/>
    </row>
    <row r="119" ht="63" customHeight="1">
      <c r="A119" s="12"/>
      <c r="B119" t="s" s="586">
        <v>517</v>
      </c>
      <c r="C119" t="s" s="587">
        <v>518</v>
      </c>
      <c r="D119" t="s" s="587">
        <v>519</v>
      </c>
      <c r="E119" t="s" s="587">
        <v>520</v>
      </c>
      <c r="F119" t="s" s="588">
        <v>521</v>
      </c>
      <c r="G119" t="s" s="588">
        <v>522</v>
      </c>
      <c r="H119" t="s" s="588">
        <v>524</v>
      </c>
      <c r="I119" t="s" s="588">
        <v>525</v>
      </c>
      <c r="J119" t="s" s="588">
        <v>553</v>
      </c>
      <c r="K119" t="s" s="588">
        <v>526</v>
      </c>
      <c r="L119" t="s" s="588">
        <v>527</v>
      </c>
      <c r="M119" t="s" s="588">
        <v>528</v>
      </c>
      <c r="N119" t="s" s="588">
        <v>602</v>
      </c>
      <c r="O119" t="s" s="588">
        <v>603</v>
      </c>
      <c r="P119" t="s" s="588">
        <v>604</v>
      </c>
      <c r="Q119" t="s" s="588">
        <v>529</v>
      </c>
      <c r="R119" t="s" s="588">
        <v>530</v>
      </c>
      <c r="S119" t="s" s="588">
        <v>572</v>
      </c>
      <c r="T119" t="s" s="588">
        <v>531</v>
      </c>
      <c r="U119" t="s" s="588">
        <v>532</v>
      </c>
      <c r="V119" s="556"/>
      <c r="W119" t="s" s="588">
        <v>533</v>
      </c>
      <c r="X119" t="s" s="588">
        <v>573</v>
      </c>
      <c r="Y119" t="s" s="588">
        <v>534</v>
      </c>
      <c r="Z119" t="s" s="588">
        <v>574</v>
      </c>
      <c r="AA119" t="s" s="588">
        <v>535</v>
      </c>
      <c r="AB119" s="556"/>
      <c r="AC119" t="s" s="588">
        <v>536</v>
      </c>
      <c r="AD119" t="s" s="588">
        <v>537</v>
      </c>
      <c r="AE119" t="s" s="588">
        <v>538</v>
      </c>
      <c r="AF119" t="s" s="588">
        <v>575</v>
      </c>
      <c r="AG119" t="s" s="588">
        <v>539</v>
      </c>
      <c r="AH119" s="557"/>
      <c r="AI119" t="s" s="588">
        <v>576</v>
      </c>
      <c r="AJ119" s="557"/>
      <c r="AK119" t="s" s="588">
        <v>577</v>
      </c>
      <c r="AL119" s="557"/>
      <c r="AM119" t="s" s="587">
        <v>578</v>
      </c>
      <c r="AN119" s="557"/>
      <c r="AO119" t="s" s="588">
        <v>606</v>
      </c>
      <c r="AP119" t="s" s="588">
        <v>544</v>
      </c>
      <c r="AQ119" s="589"/>
      <c r="AR119" s="590"/>
      <c r="AS119" s="578"/>
    </row>
    <row r="120" ht="16.5" customHeight="1">
      <c r="A120" s="12"/>
      <c r="B120" s="591">
        <v>1</v>
      </c>
      <c r="C120" s="592" cm="1">
        <f t="array" ref="C120">IF(B120&gt;0,IF(VLOOKUP(C117,'Boats Data Sheet 2026'!$C$3:$J$57,8,0)="N/A",0,VLOOKUP(C117,'Boats Data Sheet 2026'!$C$3:$J$57,8,0)),"N/A")</f>
        <v>0</v>
      </c>
      <c r="D120" s="593" cm="1">
        <f t="array" ref="D120">IF(B120&gt;7,2,IF(B120=0,"N/A",1))</f>
        <v>1</v>
      </c>
      <c r="E120" s="592" cm="1">
        <f t="array" ref="E120">_xlfn.IFERROR(SUM('Direct Costs 2026'!$C$4:$C$6)*D120,"N/A")</f>
        <v>975500</v>
      </c>
      <c r="F120" s="594" cm="1">
        <f t="array" ref="F120">_xlfn.IFERROR('Direct Costs 2026'!$C$43*B120,"N/A")</f>
        <v>6000</v>
      </c>
      <c r="G120" s="594" cm="1">
        <f t="array" ref="G120">IF(B120&gt;0,'Direct Costs 2026'!$C$25,"N/A")</f>
        <v>90000</v>
      </c>
      <c r="H120" s="594" cm="1">
        <f t="array" ref="H120">IF(B120&gt;0,'Direct Costs 2026'!$C$19+'Direct Costs 2026'!$C$18*B120,"N/A")</f>
        <v>110000</v>
      </c>
      <c r="I120" s="594" cm="1">
        <f t="array" ref="I120">IF(B120&gt;0,SUM('Direct Costs 2026'!$C$20:$C$21),"N/A")</f>
        <v>98333.3333333333</v>
      </c>
      <c r="J120" s="594" cm="1">
        <f t="array" ref="J120">IF(B120&gt;0,'Direct Costs 2026'!$C$14,"N/A")</f>
        <v>60000</v>
      </c>
      <c r="K120" s="594" cm="1">
        <f t="array" ref="K120">IF(B120&gt;0,'Direct Costs 2026'!$C$26,"N/A")</f>
        <v>20000</v>
      </c>
      <c r="L120" s="594" cm="1">
        <f t="array" ref="L120">IF(B120&gt;0,SUM('Direct Costs 2026'!$C$23:$C$24),"N/A")</f>
        <v>160000</v>
      </c>
      <c r="M120" s="594" cm="1">
        <f t="array" ref="M120">IF(B120&gt;0,'Direct Costs 2026'!$C$47*B120,"N/A")</f>
        <v>180000</v>
      </c>
      <c r="N120" s="594" cm="1">
        <f t="array" ref="N120">IF($B120&gt;0,'Direct Costs 2026'!$C$30,"N/A")</f>
        <v>440000</v>
      </c>
      <c r="O120" s="594" cm="1">
        <f t="array" ref="O120">IF($B120&gt;0,'Direct Costs 2026'!$C$31,"N/A")</f>
        <v>870000</v>
      </c>
      <c r="P120" s="594" cm="1">
        <f t="array" ref="P120">IF(B120&gt;0,'Direct Costs 2026'!$C$59*B120,"N/A")</f>
        <v>41000</v>
      </c>
      <c r="Q120" s="594" cm="1">
        <f t="array" ref="Q120">IF(B120&gt;0,_xlfn.IFERROR(VLOOKUP(C117,'Boats Data Sheet 2026'!$C$3:$I$57,7,0)*'Direct Costs 2026'!$C$36,"N/A"),"N/A")</f>
        <v>3325000</v>
      </c>
      <c r="R120" s="594" cm="1">
        <f t="array" ref="R120">IF(B120&gt;0,IF(OR(VLOOKUP(C117,'Boats Data Sheet 2026'!$C$3:$F$57,4,0)="Own",VLOOKUP(C117,'Boats Data Sheet 2026'!$C$3:$F$57,4,0)="Management"),('Direct Costs 2026'!$C$37+'Direct Costs 2026'!$C$39),"N/A"),"N/A")</f>
        <v>1112400</v>
      </c>
      <c r="S120" s="594" cm="1">
        <f t="array" ref="S120">_xlfn.IFERROR(IF(B120&gt;5,IF(B120&gt;11,IF(B120&gt;15,4,3),2),IF(B120=0,"N/A",1))*SUM('Direct Costs 2026'!$C$67:$C$68),"N/A")</f>
        <v>489600</v>
      </c>
      <c r="T120" s="594" cm="1">
        <f t="array" ref="T120">_xlfn.IFERROR('Direct Costs 2026'!$C$27*C120,"N/A")</f>
        <v>0</v>
      </c>
      <c r="U120" s="594" cm="1">
        <f t="array" ref="U120">_xlfn.IFERROR(C120+SUM(E120:T120),"N/A")</f>
        <v>7977833.33333333</v>
      </c>
      <c r="V120" s="424"/>
      <c r="W120" s="594" cm="1">
        <f t="array" ref="W120">IF(B120&gt;0,'Allocation OH and Target 2026'!$E$27,"N/A")</f>
        <v>2134447.30345641</v>
      </c>
      <c r="X120" s="594" cm="1">
        <f t="array" ref="X120">IF(B120&gt;0,'Allocation OH and Target 2026'!$E$28,"N/A")</f>
        <v>200042.323056976</v>
      </c>
      <c r="Y120" s="594" cm="1">
        <f t="array" ref="Y120">IF(B120&gt;0,VLOOKUP(C117,'Allocation OH and Target 2026'!$C$5:$T$23,17,0),"N/A")</f>
        <v>1319153.22736842</v>
      </c>
      <c r="Z120" s="594" cm="1">
        <f t="array" ref="Z120">IF(B120&gt;0,VLOOKUP(C117,'Allocation OH and Target 2026'!$C$5:$T$23,18,0),"N/A")</f>
        <v>126841.656477733</v>
      </c>
      <c r="AA120" s="594" cm="1">
        <f t="array" ref="AA120">_xlfn.IFERROR(B120*(X120+Z120),"N/A")</f>
        <v>326883.979534709</v>
      </c>
      <c r="AB120" s="424"/>
      <c r="AC120" s="594" cm="1">
        <f t="array" ref="AC120">_xlfn.IFERROR(AA120+U120,"N/A")</f>
        <v>8304717.31286804</v>
      </c>
      <c r="AD120" s="594" cm="1">
        <f t="array" ref="AD120">_xlfn.IFERROR(AC120*0.5%,"N/A")</f>
        <v>41523.5865643402</v>
      </c>
      <c r="AE120" s="594" cm="1">
        <f t="array" ref="AE120">_xlfn.IFERROR(AC120*25%,"N/A")</f>
        <v>2076179.32821701</v>
      </c>
      <c r="AF120" s="596" cm="1">
        <f t="array" ref="AF120">IF(B120&gt;0,SUM(AC120:AE120),"N/A")</f>
        <v>10422420.2276494</v>
      </c>
      <c r="AG120" s="594" cm="1">
        <f t="array" ref="AG120">_xlfn.IFERROR(AF120/B120,"N/A")</f>
        <v>10422420.2276494</v>
      </c>
      <c r="AH120" s="424"/>
      <c r="AI120" t="s" s="597">
        <v>14</v>
      </c>
      <c r="AJ120" s="424" cm="1">
        <f t="array" ref="AJ120">IF(AI120="N/A",0,1)</f>
        <v>0</v>
      </c>
      <c r="AK120" t="s" s="598">
        <v>14</v>
      </c>
      <c r="AL120" s="424" cm="1">
        <f t="array" ref="AL120">IF(AK120="N/A",0,1)</f>
        <v>0</v>
      </c>
      <c r="AM120" t="str" s="599" cm="1">
        <f t="array" ref="AM120">IF(SUM(1250000+700000)*B120&lt;SUM(AC120:AD120),"NO GO","GO")</f>
        <v>NO GO</v>
      </c>
      <c r="AN120" s="424"/>
      <c r="AO120" t="s" s="598">
        <v>589</v>
      </c>
      <c r="AP120" s="594" cm="1">
        <f t="array" ref="AP120">'Allocation OH and Target 2026'!M18</f>
        <v>1482</v>
      </c>
      <c r="AQ120" s="594"/>
      <c r="AR120" s="600"/>
      <c r="AS120" s="601" cm="1">
        <f t="array" ref="AS120">B120</f>
        <v>1</v>
      </c>
    </row>
    <row r="121" ht="16" customHeight="1">
      <c r="A121" s="12"/>
      <c r="B121" s="602" cm="1">
        <f t="array" ref="B121">IF(B120=0,0,IF(B120&lt;VLOOKUP(C117,'Boats Data Sheet 2026'!$C$3:$H$57,6,0),B120+1,0))</f>
        <v>2</v>
      </c>
      <c r="C121" s="594" cm="1">
        <f t="array" ref="C121">IF(B121&gt;0,IF(VLOOKUP(C117,'Boats Data Sheet 2026'!$C$3:$J$57,8,0)="N/A",0,VLOOKUP(C117,'Boats Data Sheet 2026'!$C$3:$J$57,8,0)),"N/A")</f>
        <v>0</v>
      </c>
      <c r="D121" s="603" cm="1">
        <f t="array" ref="D121">IF(B121&gt;7,2,IF(B121=0,"N/A",1))</f>
        <v>1</v>
      </c>
      <c r="E121" s="594" cm="1">
        <f t="array" ref="E121">_xlfn.IFERROR(SUM('Direct Costs 2026'!$C$4:$C$6)*D121,"N/A")</f>
        <v>975500</v>
      </c>
      <c r="F121" s="594" cm="1">
        <f t="array" ref="F121">_xlfn.IFERROR('Direct Costs 2026'!$C$43*B121,"N/A")</f>
        <v>12000</v>
      </c>
      <c r="G121" s="594" cm="1">
        <f t="array" ref="G121">IF(B121&gt;0,'Direct Costs 2026'!$C$25,"N/A")</f>
        <v>90000</v>
      </c>
      <c r="H121" s="594" cm="1">
        <f t="array" ref="H121">IF(B121&gt;0,'Direct Costs 2026'!$C$19+'Direct Costs 2026'!$C$18*B121,"N/A")</f>
        <v>145000</v>
      </c>
      <c r="I121" s="594" cm="1">
        <f t="array" ref="I121">IF(B121&gt;0,SUM('Direct Costs 2026'!$C$20:$C$21),"N/A")</f>
        <v>98333.3333333333</v>
      </c>
      <c r="J121" s="594" cm="1">
        <f t="array" ref="J121">IF(B121&gt;0,'Direct Costs 2026'!$C$14,"N/A")</f>
        <v>60000</v>
      </c>
      <c r="K121" s="594" cm="1">
        <f t="array" ref="K121">IF(B121&gt;0,'Direct Costs 2026'!$C$26,"N/A")</f>
        <v>20000</v>
      </c>
      <c r="L121" s="594" cm="1">
        <f t="array" ref="L121">IF(B121&gt;0,SUM('Direct Costs 2026'!$C$23:$C$24),"N/A")</f>
        <v>160000</v>
      </c>
      <c r="M121" s="594" cm="1">
        <f t="array" ref="M121">IF(B121&gt;0,'Direct Costs 2026'!$C$47*B121,"N/A")</f>
        <v>360000</v>
      </c>
      <c r="N121" s="594" cm="1">
        <f t="array" ref="N121">IF($B121&gt;0,'Direct Costs 2026'!$C$30,"N/A")</f>
        <v>440000</v>
      </c>
      <c r="O121" s="594" cm="1">
        <f t="array" ref="O121">IF($B121&gt;0,'Direct Costs 2026'!$C$31,"N/A")</f>
        <v>870000</v>
      </c>
      <c r="P121" s="594" cm="1">
        <f t="array" ref="P121">IF(B121&gt;0,'Direct Costs 2026'!$C$59*B121,"N/A")</f>
        <v>82000</v>
      </c>
      <c r="Q121" s="594" cm="1">
        <f t="array" ref="Q121">IF(B121&gt;0,_xlfn.IFERROR(VLOOKUP(C117,'Boats Data Sheet 2026'!$C$3:$I$57,7,0)*'Direct Costs 2026'!$C$36,"N/A"),"N/A")</f>
        <v>3325000</v>
      </c>
      <c r="R121" s="594" cm="1">
        <f t="array" ref="R121">IF(B121&gt;0,IF(OR(VLOOKUP(C117,'Boats Data Sheet 2026'!$C$3:$F$57,4,0)="Own",VLOOKUP(C117,'Boats Data Sheet 2026'!$C$3:$F$57,4,0)="Management"),('Direct Costs 2026'!$C$37+'Direct Costs 2026'!$C$39),"N/A"),"N/A")</f>
        <v>1112400</v>
      </c>
      <c r="S121" s="594" cm="1">
        <f t="array" ref="S121">_xlfn.IFERROR(IF(B121&gt;5,IF(B121&gt;11,IF(B121&gt;15,4,3),2),IF(B121=0,"N/A",1))*SUM('Direct Costs 2026'!$C$67:$C$68),"N/A")</f>
        <v>489600</v>
      </c>
      <c r="T121" s="594" cm="1">
        <f t="array" ref="T121">_xlfn.IFERROR('Direct Costs 2026'!$C$27*C121,"N/A")</f>
        <v>0</v>
      </c>
      <c r="U121" s="594" cm="1">
        <f t="array" ref="U121">_xlfn.IFERROR(C121+SUM(E121:T121),"N/A")</f>
        <v>8239833.33333333</v>
      </c>
      <c r="V121" s="424"/>
      <c r="W121" s="594" cm="1">
        <f t="array" ref="W121">IF(B121&gt;0,'Allocation OH and Target 2026'!$E$27,"N/A")</f>
        <v>2134447.30345641</v>
      </c>
      <c r="X121" s="594" cm="1">
        <f t="array" ref="X121">IF(B121&gt;0,'Allocation OH and Target 2026'!$E$28,"N/A")</f>
        <v>200042.323056976</v>
      </c>
      <c r="Y121" s="594" cm="1">
        <f t="array" ref="Y121">IF(B121&gt;0,VLOOKUP(C117,'Allocation OH and Target 2026'!$C$5:$T$23,17,0),"N/A")</f>
        <v>1319153.22736842</v>
      </c>
      <c r="Z121" s="594" cm="1">
        <f t="array" ref="Z121">IF(B121&gt;0,VLOOKUP(C117,'Allocation OH and Target 2026'!$C$5:$T$23,18,0),"N/A")</f>
        <v>126841.656477733</v>
      </c>
      <c r="AA121" s="594" cm="1">
        <f t="array" ref="AA121">_xlfn.IFERROR(B121*(X121+Z121),"N/A")</f>
        <v>653767.959069418</v>
      </c>
      <c r="AB121" s="424"/>
      <c r="AC121" s="594" cm="1">
        <f t="array" ref="AC121">_xlfn.IFERROR(AA121+U121,"N/A")</f>
        <v>8893601.29240275</v>
      </c>
      <c r="AD121" s="594" cm="1">
        <f t="array" ref="AD121">_xlfn.IFERROR(AC121*0.5%,"N/A")</f>
        <v>44468.0064620138</v>
      </c>
      <c r="AE121" s="594" cm="1">
        <f t="array" ref="AE121">_xlfn.IFERROR(AC121*25%,"N/A")</f>
        <v>2223400.32310069</v>
      </c>
      <c r="AF121" s="596" cm="1">
        <f t="array" ref="AF121">IF(B121&gt;0,SUM(AC121:AE121),"N/A")</f>
        <v>11161469.6219655</v>
      </c>
      <c r="AG121" s="594" cm="1">
        <f t="array" ref="AG121">_xlfn.IFERROR(AF121/B121,"N/A")</f>
        <v>5580734.81098275</v>
      </c>
      <c r="AH121" s="424"/>
      <c r="AI121" t="str" s="604" cm="1">
        <f t="array" ref="AI121">IF(B121/VLOOKUP(C117,'Boats Data Sheet 2026'!$C$3:$H$57,6,0)&gt;VLOOKUP(C117,'Allocation OH and Target 2026'!$C$5:$J$23,8,0),IF(SUM(AJ119:AJ120)=0,AG121,"N/A"),"N/A")</f>
        <v>N/A</v>
      </c>
      <c r="AJ121" s="424" cm="1">
        <f t="array" ref="AJ121">IF(AI121="N/A",0,1)</f>
        <v>0</v>
      </c>
      <c r="AK121" t="str" s="595" cm="1">
        <f t="array" ref="AK121">IF(B121/VLOOKUP(C117,'Boats Data Sheet 2026'!$C$3:$H$57,6,0)&gt;VLOOKUP(C117,'Allocation OH and Target 2026'!$C$5:$J$23,8,0),IF(SUM(AJ119:AJ120)=0,U121/B121,"N/A"),"N/A")</f>
        <v>N/A</v>
      </c>
      <c r="AL121" s="424" cm="1">
        <f t="array" ref="AL121">IF(AK121="N/A",0,1)</f>
        <v>0</v>
      </c>
      <c r="AM121" t="str" s="605" cm="1">
        <f t="array" ref="AM121">IF(SUM(1250000+700000)*B121&lt;SUM(AC121:AD121),"NO GO","GO")</f>
        <v>NO GO</v>
      </c>
      <c r="AN121" s="424"/>
      <c r="AO121" t="s" s="598">
        <v>546</v>
      </c>
      <c r="AP121" s="594"/>
      <c r="AQ121" s="594"/>
      <c r="AR121" s="600"/>
      <c r="AS121" s="601" cm="1">
        <f t="array" ref="AS121">B121</f>
        <v>2</v>
      </c>
    </row>
    <row r="122" ht="16" customHeight="1">
      <c r="A122" s="12"/>
      <c r="B122" s="602" cm="1">
        <f t="array" ref="B122">IF(B121=0,0,IF(B121&lt;VLOOKUP(C117,'Boats Data Sheet 2026'!$C$3:$H$57,6,0),B121+1,0))</f>
        <v>3</v>
      </c>
      <c r="C122" s="594" cm="1">
        <f t="array" ref="C122">IF(B122&gt;0,IF(VLOOKUP(C117,'Boats Data Sheet 2026'!$C$3:$J$57,8,0)="N/A",0,VLOOKUP(C117,'Boats Data Sheet 2026'!$C$3:$J$57,8,0)),"N/A")</f>
        <v>0</v>
      </c>
      <c r="D122" s="603" cm="1">
        <f t="array" ref="D122">IF(B122&gt;7,2,IF(B122=0,"N/A",1))</f>
        <v>1</v>
      </c>
      <c r="E122" s="594" cm="1">
        <f t="array" ref="E122">_xlfn.IFERROR(SUM('Direct Costs 2026'!$C$4:$C$6)*D122,"N/A")</f>
        <v>975500</v>
      </c>
      <c r="F122" s="594" cm="1">
        <f t="array" ref="F122">_xlfn.IFERROR('Direct Costs 2026'!$C$43*B122,"N/A")</f>
        <v>18000</v>
      </c>
      <c r="G122" s="594" cm="1">
        <f t="array" ref="G122">IF(B122&gt;0,'Direct Costs 2026'!$C$25,"N/A")</f>
        <v>90000</v>
      </c>
      <c r="H122" s="594" cm="1">
        <f t="array" ref="H122">IF(B122&gt;0,'Direct Costs 2026'!$C$19+'Direct Costs 2026'!$C$18*B122,"N/A")</f>
        <v>180000</v>
      </c>
      <c r="I122" s="594" cm="1">
        <f t="array" ref="I122">IF(B122&gt;0,SUM('Direct Costs 2026'!$C$20:$C$21),"N/A")</f>
        <v>98333.3333333333</v>
      </c>
      <c r="J122" s="594" cm="1">
        <f t="array" ref="J122">IF(B122&gt;0,'Direct Costs 2026'!$C$14,"N/A")</f>
        <v>60000</v>
      </c>
      <c r="K122" s="594" cm="1">
        <f t="array" ref="K122">IF(B122&gt;0,'Direct Costs 2026'!$C$26,"N/A")</f>
        <v>20000</v>
      </c>
      <c r="L122" s="594" cm="1">
        <f t="array" ref="L122">IF(B122&gt;0,SUM('Direct Costs 2026'!$C$23:$C$24),"N/A")</f>
        <v>160000</v>
      </c>
      <c r="M122" s="594" cm="1">
        <f t="array" ref="M122">IF(B122&gt;0,'Direct Costs 2026'!$C$47*B122,"N/A")</f>
        <v>540000</v>
      </c>
      <c r="N122" s="594" cm="1">
        <f t="array" ref="N122">IF($B122&gt;0,'Direct Costs 2026'!$C$30,"N/A")</f>
        <v>440000</v>
      </c>
      <c r="O122" s="594" cm="1">
        <f t="array" ref="O122">IF($B122&gt;0,'Direct Costs 2026'!$C$31,"N/A")</f>
        <v>870000</v>
      </c>
      <c r="P122" s="594" cm="1">
        <f t="array" ref="P122">IF(B122&gt;0,'Direct Costs 2026'!$C$59*B122,"N/A")</f>
        <v>123000</v>
      </c>
      <c r="Q122" s="594" cm="1">
        <f t="array" ref="Q122">IF(B122&gt;0,_xlfn.IFERROR(VLOOKUP(C117,'Boats Data Sheet 2026'!$C$3:$I$57,7,0)*'Direct Costs 2026'!$C$36,"N/A"),"N/A")</f>
        <v>3325000</v>
      </c>
      <c r="R122" s="594" cm="1">
        <f t="array" ref="R122">IF(B122&gt;0,IF(OR(VLOOKUP(C117,'Boats Data Sheet 2026'!$C$3:$F$57,4,0)="Own",VLOOKUP(C117,'Boats Data Sheet 2026'!$C$3:$F$57,4,0)="Management"),('Direct Costs 2026'!$C$37+'Direct Costs 2026'!$C$39),"N/A"),"N/A")</f>
        <v>1112400</v>
      </c>
      <c r="S122" s="594" cm="1">
        <f t="array" ref="S122">_xlfn.IFERROR(IF(B122&gt;5,IF(B122&gt;11,IF(B122&gt;15,4,3),2),IF(B122=0,"N/A",1))*SUM('Direct Costs 2026'!$C$67:$C$68),"N/A")</f>
        <v>489600</v>
      </c>
      <c r="T122" s="594" cm="1">
        <f t="array" ref="T122">_xlfn.IFERROR('Direct Costs 2026'!$C$27*C122,"N/A")</f>
        <v>0</v>
      </c>
      <c r="U122" s="594" cm="1">
        <f t="array" ref="U122">_xlfn.IFERROR(C122+SUM(E122:T122),"N/A")</f>
        <v>8501833.33333333</v>
      </c>
      <c r="V122" s="424"/>
      <c r="W122" s="594" cm="1">
        <f t="array" ref="W122">IF(B122&gt;0,'Allocation OH and Target 2026'!$E$27,"N/A")</f>
        <v>2134447.30345641</v>
      </c>
      <c r="X122" s="594" cm="1">
        <f t="array" ref="X122">IF(B122&gt;0,'Allocation OH and Target 2026'!$E$28,"N/A")</f>
        <v>200042.323056976</v>
      </c>
      <c r="Y122" s="594" cm="1">
        <f t="array" ref="Y122">IF(B122&gt;0,VLOOKUP(C117,'Allocation OH and Target 2026'!$C$5:$T$23,17,0),"N/A")</f>
        <v>1319153.22736842</v>
      </c>
      <c r="Z122" s="594" cm="1">
        <f t="array" ref="Z122">IF(B122&gt;0,VLOOKUP(C117,'Allocation OH and Target 2026'!$C$5:$T$23,18,0),"N/A")</f>
        <v>126841.656477733</v>
      </c>
      <c r="AA122" s="594" cm="1">
        <f t="array" ref="AA122">_xlfn.IFERROR(B122*(X122+Z122),"N/A")</f>
        <v>980651.938604127</v>
      </c>
      <c r="AB122" s="424"/>
      <c r="AC122" s="594" cm="1">
        <f t="array" ref="AC122">_xlfn.IFERROR(AA122+U122,"N/A")</f>
        <v>9482485.27193746</v>
      </c>
      <c r="AD122" s="594" cm="1">
        <f t="array" ref="AD122">_xlfn.IFERROR(AC122*0.5%,"N/A")</f>
        <v>47412.4263596873</v>
      </c>
      <c r="AE122" s="594" cm="1">
        <f t="array" ref="AE122">_xlfn.IFERROR(AC122*25%,"N/A")</f>
        <v>2370621.31798437</v>
      </c>
      <c r="AF122" s="596" cm="1">
        <f t="array" ref="AF122">IF(B122&gt;0,SUM(AC122:AE122),"N/A")</f>
        <v>11900519.0162815</v>
      </c>
      <c r="AG122" s="594" cm="1">
        <f t="array" ref="AG122">_xlfn.IFERROR(AF122/B122,"N/A")</f>
        <v>3966839.67209383</v>
      </c>
      <c r="AH122" s="424"/>
      <c r="AI122" t="str" s="604" cm="1">
        <f t="array" ref="AI122">IF(B122/VLOOKUP(C117,'Boats Data Sheet 2026'!$C$3:$H$57,6,0)&gt;VLOOKUP(C117,'Allocation OH and Target 2026'!$C$5:$J$23,8,0),IF(SUM(AJ119:AJ121)=0,AG122,"N/A"),"N/A")</f>
        <v>N/A</v>
      </c>
      <c r="AJ122" s="424" cm="1">
        <f t="array" ref="AJ122">IF(AI122="N/A",0,1)</f>
        <v>0</v>
      </c>
      <c r="AK122" t="str" s="595" cm="1">
        <f t="array" ref="AK122">IF(B122/VLOOKUP(C117,'Boats Data Sheet 2026'!$C$3:$H$57,6,0)&gt;VLOOKUP(C117,'Allocation OH and Target 2026'!$C$5:$J$23,8,0),IF(SUM(AJ119:AJ121)=0,U122/B122,"N/A"),"N/A")</f>
        <v>N/A</v>
      </c>
      <c r="AL122" s="424" cm="1">
        <f t="array" ref="AL122">IF(AK122="N/A",0,1)</f>
        <v>0</v>
      </c>
      <c r="AM122" t="str" s="605" cm="1">
        <f t="array" ref="AM122">IF(SUM(1250000+700000)*B122&lt;SUM(AC122:AD122),"NO GO","GO")</f>
        <v>NO GO</v>
      </c>
      <c r="AN122" s="424"/>
      <c r="AO122" t="s" s="598">
        <v>547</v>
      </c>
      <c r="AP122" s="594" cm="1">
        <f t="array" ref="AP122">AP120*'RECOMMENDED PRICES'!$D$12</f>
        <v>3038100000</v>
      </c>
      <c r="AQ122" s="594"/>
      <c r="AR122" s="600"/>
      <c r="AS122" s="601" cm="1">
        <f t="array" ref="AS122">B122</f>
        <v>3</v>
      </c>
    </row>
    <row r="123" ht="16" customHeight="1">
      <c r="A123" s="12"/>
      <c r="B123" s="602" cm="1">
        <f t="array" ref="B123">IF(B122=0,0,IF(B122&lt;VLOOKUP(C117,'Boats Data Sheet 2026'!$C$3:$H$57,6,0),B122+1,0))</f>
        <v>4</v>
      </c>
      <c r="C123" s="594" cm="1">
        <f t="array" ref="C123">IF(B123&gt;0,IF(VLOOKUP(C117,'Boats Data Sheet 2026'!$C$3:$J$57,8,0)="N/A",0,VLOOKUP(C117,'Boats Data Sheet 2026'!$C$3:$J$57,8,0)),"N/A")</f>
        <v>0</v>
      </c>
      <c r="D123" s="603" cm="1">
        <f t="array" ref="D123">IF(B123&gt;7,2,IF(B123=0,"N/A",1))</f>
        <v>1</v>
      </c>
      <c r="E123" s="594" cm="1">
        <f t="array" ref="E123">_xlfn.IFERROR(SUM('Direct Costs 2026'!$C$4:$C$6)*D123,"N/A")</f>
        <v>975500</v>
      </c>
      <c r="F123" s="594" cm="1">
        <f t="array" ref="F123">_xlfn.IFERROR('Direct Costs 2026'!$C$43*B123,"N/A")</f>
        <v>24000</v>
      </c>
      <c r="G123" s="594" cm="1">
        <f t="array" ref="G123">IF(B123&gt;0,'Direct Costs 2026'!$C$25,"N/A")</f>
        <v>90000</v>
      </c>
      <c r="H123" s="594" cm="1">
        <f t="array" ref="H123">IF(B123&gt;0,'Direct Costs 2026'!$C$19+'Direct Costs 2026'!$C$18*B123,"N/A")</f>
        <v>215000</v>
      </c>
      <c r="I123" s="594" cm="1">
        <f t="array" ref="I123">IF(B123&gt;0,SUM('Direct Costs 2026'!$C$20:$C$21),"N/A")</f>
        <v>98333.3333333333</v>
      </c>
      <c r="J123" s="594" cm="1">
        <f t="array" ref="J123">IF(B123&gt;0,'Direct Costs 2026'!$C$14,"N/A")</f>
        <v>60000</v>
      </c>
      <c r="K123" s="594" cm="1">
        <f t="array" ref="K123">IF(B123&gt;0,'Direct Costs 2026'!$C$26,"N/A")</f>
        <v>20000</v>
      </c>
      <c r="L123" s="594" cm="1">
        <f t="array" ref="L123">IF(B123&gt;0,SUM('Direct Costs 2026'!$C$23:$C$24),"N/A")</f>
        <v>160000</v>
      </c>
      <c r="M123" s="594" cm="1">
        <f t="array" ref="M123">IF(B123&gt;0,'Direct Costs 2026'!$C$47*B123,"N/A")</f>
        <v>720000</v>
      </c>
      <c r="N123" s="594" cm="1">
        <f t="array" ref="N123">IF($B123&gt;0,'Direct Costs 2026'!$C$30,"N/A")</f>
        <v>440000</v>
      </c>
      <c r="O123" s="594" cm="1">
        <f t="array" ref="O123">IF($B123&gt;0,'Direct Costs 2026'!$C$31,"N/A")</f>
        <v>870000</v>
      </c>
      <c r="P123" s="594" cm="1">
        <f t="array" ref="P123">IF(B123&gt;0,'Direct Costs 2026'!$C$59*B123,"N/A")</f>
        <v>164000</v>
      </c>
      <c r="Q123" s="594" cm="1">
        <f t="array" ref="Q123">IF(B123&gt;0,_xlfn.IFERROR(VLOOKUP(C117,'Boats Data Sheet 2026'!$C$3:$I$57,7,0)*'Direct Costs 2026'!$C$36,"N/A"),"N/A")</f>
        <v>3325000</v>
      </c>
      <c r="R123" s="594" cm="1">
        <f t="array" ref="R123">IF(B123&gt;0,IF(OR(VLOOKUP(C117,'Boats Data Sheet 2026'!$C$3:$F$57,4,0)="Own",VLOOKUP(C117,'Boats Data Sheet 2026'!$C$3:$F$57,4,0)="Management"),('Direct Costs 2026'!$C$37+'Direct Costs 2026'!$C$39),"N/A"),"N/A")</f>
        <v>1112400</v>
      </c>
      <c r="S123" s="594" cm="1">
        <f t="array" ref="S123">_xlfn.IFERROR(IF(B123&gt;5,IF(B123&gt;11,IF(B123&gt;15,4,3),2),IF(B123=0,"N/A",1))*SUM('Direct Costs 2026'!$C$67:$C$68),"N/A")</f>
        <v>489600</v>
      </c>
      <c r="T123" s="594" cm="1">
        <f t="array" ref="T123">_xlfn.IFERROR('Direct Costs 2026'!$C$27*C123,"N/A")</f>
        <v>0</v>
      </c>
      <c r="U123" s="594" cm="1">
        <f t="array" ref="U123">_xlfn.IFERROR(C123+SUM(E123:T123),"N/A")</f>
        <v>8763833.33333333</v>
      </c>
      <c r="V123" s="424"/>
      <c r="W123" s="594" cm="1">
        <f t="array" ref="W123">IF(B123&gt;0,'Allocation OH and Target 2026'!$E$27,"N/A")</f>
        <v>2134447.30345641</v>
      </c>
      <c r="X123" s="594" cm="1">
        <f t="array" ref="X123">IF(B123&gt;0,'Allocation OH and Target 2026'!$E$28,"N/A")</f>
        <v>200042.323056976</v>
      </c>
      <c r="Y123" s="594" cm="1">
        <f t="array" ref="Y123">IF(B123&gt;0,VLOOKUP(C117,'Allocation OH and Target 2026'!$C$5:$T$23,17,0),"N/A")</f>
        <v>1319153.22736842</v>
      </c>
      <c r="Z123" s="594" cm="1">
        <f t="array" ref="Z123">IF(B123&gt;0,VLOOKUP(C117,'Allocation OH and Target 2026'!$C$5:$T$23,18,0),"N/A")</f>
        <v>126841.656477733</v>
      </c>
      <c r="AA123" s="594" cm="1">
        <f t="array" ref="AA123">_xlfn.IFERROR(B123*(X123+Z123),"N/A")</f>
        <v>1307535.91813884</v>
      </c>
      <c r="AB123" s="424"/>
      <c r="AC123" s="594" cm="1">
        <f t="array" ref="AC123">_xlfn.IFERROR(AA123+U123,"N/A")</f>
        <v>10071369.2514722</v>
      </c>
      <c r="AD123" s="594" cm="1">
        <f t="array" ref="AD123">_xlfn.IFERROR(AC123*0.5%,"N/A")</f>
        <v>50356.846257361</v>
      </c>
      <c r="AE123" s="594" cm="1">
        <f t="array" ref="AE123">_xlfn.IFERROR(AC123*25%,"N/A")</f>
        <v>2517842.31286805</v>
      </c>
      <c r="AF123" s="596" cm="1">
        <f t="array" ref="AF123">IF(B123&gt;0,SUM(AC123:AE123),"N/A")</f>
        <v>12639568.4105976</v>
      </c>
      <c r="AG123" s="594" cm="1">
        <f t="array" ref="AG123">_xlfn.IFERROR(AF123/B123,"N/A")</f>
        <v>3159892.1026494</v>
      </c>
      <c r="AH123" s="424"/>
      <c r="AI123" t="str" s="604" cm="1">
        <f t="array" ref="AI123">IF(B123/VLOOKUP(C117,'Boats Data Sheet 2026'!$C$3:$H$57,6,0)&gt;VLOOKUP(C117,'Allocation OH and Target 2026'!$C$5:$J$23,8,0),IF(SUM(AJ119:AJ122)=0,AG123,"N/A"),"N/A")</f>
        <v>N/A</v>
      </c>
      <c r="AJ123" s="424" cm="1">
        <f t="array" ref="AJ123">IF(AI123="N/A",0,1)</f>
        <v>0</v>
      </c>
      <c r="AK123" t="str" s="595" cm="1">
        <f t="array" ref="AK123">IF(B123/VLOOKUP(C117,'Boats Data Sheet 2026'!$C$3:$H$57,6,0)&gt;VLOOKUP(C117,'Allocation OH and Target 2026'!$C$5:$J$23,8,0),IF(SUM(AJ119:AJ122)=0,U123/B123,"N/A"),"N/A")</f>
        <v>N/A</v>
      </c>
      <c r="AL123" s="424" cm="1">
        <f t="array" ref="AL123">IF(AK123="N/A",0,1)</f>
        <v>0</v>
      </c>
      <c r="AM123" t="str" s="605" cm="1">
        <f t="array" ref="AM123">IF(SUM(1250000+700000)*B123&lt;SUM(AC123:AD123),"NO GO","GO")</f>
        <v>NO GO</v>
      </c>
      <c r="AN123" s="424"/>
      <c r="AO123" t="s" s="598">
        <v>550</v>
      </c>
      <c r="AP123" s="594"/>
      <c r="AQ123" s="594"/>
      <c r="AR123" s="600"/>
      <c r="AS123" s="601" cm="1">
        <f t="array" ref="AS123">B123</f>
        <v>4</v>
      </c>
    </row>
    <row r="124" ht="16" customHeight="1">
      <c r="A124" s="12"/>
      <c r="B124" s="602" cm="1">
        <f t="array" ref="B124">IF(B123=0,0,IF(B123&lt;VLOOKUP(C117,'Boats Data Sheet 2026'!$C$3:$H$57,6,0),B123+1,0))</f>
        <v>5</v>
      </c>
      <c r="C124" s="594" cm="1">
        <f t="array" ref="C124">IF(B124&gt;0,IF(VLOOKUP(C117,'Boats Data Sheet 2026'!$C$3:$J$57,8,0)="N/A",0,VLOOKUP(C117,'Boats Data Sheet 2026'!$C$3:$J$57,8,0)),"N/A")</f>
        <v>0</v>
      </c>
      <c r="D124" s="603" cm="1">
        <f t="array" ref="D124">IF(B124&gt;7,2,IF(B124=0,"N/A",1))</f>
        <v>1</v>
      </c>
      <c r="E124" s="594" cm="1">
        <f t="array" ref="E124">_xlfn.IFERROR(SUM('Direct Costs 2026'!$C$4:$C$6)*D124,"N/A")</f>
        <v>975500</v>
      </c>
      <c r="F124" s="594" cm="1">
        <f t="array" ref="F124">_xlfn.IFERROR('Direct Costs 2026'!$C$43*B124,"N/A")</f>
        <v>30000</v>
      </c>
      <c r="G124" s="594" cm="1">
        <f t="array" ref="G124">IF(B124&gt;0,'Direct Costs 2026'!$C$25,"N/A")</f>
        <v>90000</v>
      </c>
      <c r="H124" s="594" cm="1">
        <f t="array" ref="H124">IF(B124&gt;0,'Direct Costs 2026'!$C$19+'Direct Costs 2026'!$C$18*B124,"N/A")</f>
        <v>250000</v>
      </c>
      <c r="I124" s="594" cm="1">
        <f t="array" ref="I124">IF(B124&gt;0,SUM('Direct Costs 2026'!$C$20:$C$21),"N/A")</f>
        <v>98333.3333333333</v>
      </c>
      <c r="J124" s="594" cm="1">
        <f t="array" ref="J124">IF(B124&gt;0,'Direct Costs 2026'!$C$14,"N/A")</f>
        <v>60000</v>
      </c>
      <c r="K124" s="594" cm="1">
        <f t="array" ref="K124">IF(B124&gt;0,'Direct Costs 2026'!$C$26,"N/A")</f>
        <v>20000</v>
      </c>
      <c r="L124" s="594" cm="1">
        <f t="array" ref="L124">IF(B124&gt;0,SUM('Direct Costs 2026'!$C$23:$C$24),"N/A")</f>
        <v>160000</v>
      </c>
      <c r="M124" s="594" cm="1">
        <f t="array" ref="M124">IF(B124&gt;0,'Direct Costs 2026'!$C$47*B124,"N/A")</f>
        <v>900000</v>
      </c>
      <c r="N124" s="594" cm="1">
        <f t="array" ref="N124">IF($B124&gt;0,'Direct Costs 2026'!$C$30,"N/A")</f>
        <v>440000</v>
      </c>
      <c r="O124" s="594" cm="1">
        <f t="array" ref="O124">IF($B124&gt;0,'Direct Costs 2026'!$C$31,"N/A")</f>
        <v>870000</v>
      </c>
      <c r="P124" s="594" cm="1">
        <f t="array" ref="P124">IF(B124&gt;0,'Direct Costs 2026'!$C$59*B124,"N/A")</f>
        <v>205000</v>
      </c>
      <c r="Q124" s="594" cm="1">
        <f t="array" ref="Q124">IF(B124&gt;0,_xlfn.IFERROR(VLOOKUP(C117,'Boats Data Sheet 2026'!$C$3:$I$57,7,0)*'Direct Costs 2026'!$C$36,"N/A"),"N/A")</f>
        <v>3325000</v>
      </c>
      <c r="R124" s="594" cm="1">
        <f t="array" ref="R124">IF(B124&gt;0,IF(OR(VLOOKUP(C117,'Boats Data Sheet 2026'!$C$3:$F$57,4,0)="Own",VLOOKUP(C117,'Boats Data Sheet 2026'!$C$3:$F$57,4,0)="Management"),('Direct Costs 2026'!$C$37+'Direct Costs 2026'!$C$39),"N/A"),"N/A")</f>
        <v>1112400</v>
      </c>
      <c r="S124" s="594" cm="1">
        <f t="array" ref="S124">_xlfn.IFERROR(IF(B124&gt;5,IF(B124&gt;11,IF(B124&gt;15,4,3),2),IF(B124=0,"N/A",1))*SUM('Direct Costs 2026'!$C$67:$C$68),"N/A")</f>
        <v>489600</v>
      </c>
      <c r="T124" s="594" cm="1">
        <f t="array" ref="T124">_xlfn.IFERROR('Direct Costs 2026'!$C$27*C124,"N/A")</f>
        <v>0</v>
      </c>
      <c r="U124" s="594" cm="1">
        <f t="array" ref="U124">_xlfn.IFERROR(C124+SUM(E124:T124),"N/A")</f>
        <v>9025833.33333333</v>
      </c>
      <c r="V124" s="424"/>
      <c r="W124" s="594" cm="1">
        <f t="array" ref="W124">IF(B124&gt;0,'Allocation OH and Target 2026'!$E$27,"N/A")</f>
        <v>2134447.30345641</v>
      </c>
      <c r="X124" s="594" cm="1">
        <f t="array" ref="X124">IF(B124&gt;0,'Allocation OH and Target 2026'!$E$28,"N/A")</f>
        <v>200042.323056976</v>
      </c>
      <c r="Y124" s="594" cm="1">
        <f t="array" ref="Y124">IF(B124&gt;0,VLOOKUP(C117,'Allocation OH and Target 2026'!$C$5:$T$23,17,0),"N/A")</f>
        <v>1319153.22736842</v>
      </c>
      <c r="Z124" s="594" cm="1">
        <f t="array" ref="Z124">IF(B124&gt;0,VLOOKUP(C117,'Allocation OH and Target 2026'!$C$5:$T$23,18,0),"N/A")</f>
        <v>126841.656477733</v>
      </c>
      <c r="AA124" s="594" cm="1">
        <f t="array" ref="AA124">_xlfn.IFERROR(B124*(X124+Z124),"N/A")</f>
        <v>1634419.89767355</v>
      </c>
      <c r="AB124" s="424"/>
      <c r="AC124" s="594" cm="1">
        <f t="array" ref="AC124">_xlfn.IFERROR(AA124+U124,"N/A")</f>
        <v>10660253.2310069</v>
      </c>
      <c r="AD124" s="594" cm="1">
        <f t="array" ref="AD124">_xlfn.IFERROR(AC124*0.5%,"N/A")</f>
        <v>53301.2661550345</v>
      </c>
      <c r="AE124" s="594" cm="1">
        <f t="array" ref="AE124">_xlfn.IFERROR(AC124*25%,"N/A")</f>
        <v>2665063.30775173</v>
      </c>
      <c r="AF124" s="596" cm="1">
        <f t="array" ref="AF124">IF(B124&gt;0,SUM(AC124:AE124),"N/A")</f>
        <v>13378617.8049137</v>
      </c>
      <c r="AG124" s="594" cm="1">
        <f t="array" ref="AG124">_xlfn.IFERROR(AF124/B124,"N/A")</f>
        <v>2675723.56098274</v>
      </c>
      <c r="AH124" s="424"/>
      <c r="AI124" t="str" s="604" cm="1">
        <f t="array" ref="AI124">IF(B124/VLOOKUP(C117,'Boats Data Sheet 2026'!$C$3:$H$57,6,0)&gt;VLOOKUP(C117,'Allocation OH and Target 2026'!$C$5:$J$23,8,0),IF(SUM(AJ119:AJ123)=0,AG124,"N/A"),"N/A")</f>
        <v>N/A</v>
      </c>
      <c r="AJ124" s="424" cm="1">
        <f t="array" ref="AJ124">IF(AI124="N/A",0,1)</f>
        <v>0</v>
      </c>
      <c r="AK124" t="str" s="595" cm="1">
        <f t="array" ref="AK124">IF(B124/VLOOKUP(C117,'Boats Data Sheet 2026'!$C$3:$H$57,6,0)&gt;VLOOKUP(C117,'Allocation OH and Target 2026'!$C$5:$J$23,8,0),IF(SUM(AJ119:AJ123)=0,U124/B124,"N/A"),"N/A")</f>
        <v>N/A</v>
      </c>
      <c r="AL124" s="424" cm="1">
        <f t="array" ref="AL124">IF(AK124="N/A",0,1)</f>
        <v>0</v>
      </c>
      <c r="AM124" t="str" s="605" cm="1">
        <f t="array" ref="AM124">IF(SUM(1250000+700000)*B124&lt;SUM(AC124:AD124),"NO GO","GO")</f>
        <v>NO GO</v>
      </c>
      <c r="AN124" s="424"/>
      <c r="AO124" t="s" s="598">
        <v>551</v>
      </c>
      <c r="AP124" s="614" cm="1">
        <f t="array" ref="AP124">(AC131/B131)*AP120</f>
        <v>2067036924.3371</v>
      </c>
      <c r="AQ124" s="594"/>
      <c r="AR124" s="600"/>
      <c r="AS124" s="601" cm="1">
        <f t="array" ref="AS124">B124</f>
        <v>5</v>
      </c>
    </row>
    <row r="125" ht="16" customHeight="1">
      <c r="A125" s="12"/>
      <c r="B125" s="602" cm="1">
        <f t="array" ref="B125">IF(B124=0,0,IF(B124&lt;VLOOKUP(C117,'Boats Data Sheet 2026'!$C$3:$H$57,6,0),B124+1,0))</f>
        <v>6</v>
      </c>
      <c r="C125" s="594" cm="1">
        <f t="array" ref="C125">IF(B125&gt;0,IF(VLOOKUP(C117,'Boats Data Sheet 2026'!$C$3:$J$57,8,0)="N/A",0,VLOOKUP(C117,'Boats Data Sheet 2026'!$C$3:$J$57,8,0)),"N/A")</f>
        <v>0</v>
      </c>
      <c r="D125" s="603" cm="1">
        <f t="array" ref="D125">IF(B125&gt;7,2,IF(B125=0,"N/A",1))</f>
        <v>1</v>
      </c>
      <c r="E125" s="594" cm="1">
        <f t="array" ref="E125">_xlfn.IFERROR(SUM('Direct Costs 2026'!$C$4:$C$6)*D125,"N/A")</f>
        <v>975500</v>
      </c>
      <c r="F125" s="594" cm="1">
        <f t="array" ref="F125">_xlfn.IFERROR('Direct Costs 2026'!$C$43*B125,"N/A")</f>
        <v>36000</v>
      </c>
      <c r="G125" s="594" cm="1">
        <f t="array" ref="G125">IF(B125&gt;0,'Direct Costs 2026'!$C$25,"N/A")</f>
        <v>90000</v>
      </c>
      <c r="H125" s="594" cm="1">
        <f t="array" ref="H125">IF(B125&gt;0,'Direct Costs 2026'!$C$19+'Direct Costs 2026'!$C$18*B125,"N/A")</f>
        <v>285000</v>
      </c>
      <c r="I125" s="594" cm="1">
        <f t="array" ref="I125">IF(B125&gt;0,SUM('Direct Costs 2026'!$C$20:$C$21),"N/A")</f>
        <v>98333.3333333333</v>
      </c>
      <c r="J125" s="594" cm="1">
        <f t="array" ref="J125">IF(B125&gt;0,'Direct Costs 2026'!$C$14,"N/A")</f>
        <v>60000</v>
      </c>
      <c r="K125" s="594" cm="1">
        <f t="array" ref="K125">IF(B125&gt;0,'Direct Costs 2026'!$C$26,"N/A")</f>
        <v>20000</v>
      </c>
      <c r="L125" s="594" cm="1">
        <f t="array" ref="L125">IF(B125&gt;0,SUM('Direct Costs 2026'!$C$23:$C$24),"N/A")</f>
        <v>160000</v>
      </c>
      <c r="M125" s="594" cm="1">
        <f t="array" ref="M125">IF(B125&gt;0,'Direct Costs 2026'!$C$47*B125,"N/A")</f>
        <v>1080000</v>
      </c>
      <c r="N125" s="594" cm="1">
        <f t="array" ref="N125">IF($B125&gt;0,'Direct Costs 2026'!$C$30,"N/A")</f>
        <v>440000</v>
      </c>
      <c r="O125" s="594" cm="1">
        <f t="array" ref="O125">IF($B125&gt;0,'Direct Costs 2026'!$C$31,"N/A")</f>
        <v>870000</v>
      </c>
      <c r="P125" s="594" cm="1">
        <f t="array" ref="P125">IF(B125&gt;0,'Direct Costs 2026'!$C$59*B125,"N/A")</f>
        <v>246000</v>
      </c>
      <c r="Q125" s="594" cm="1">
        <f t="array" ref="Q125">IF(B125&gt;0,_xlfn.IFERROR(VLOOKUP(C117,'Boats Data Sheet 2026'!$C$3:$I$57,7,0)*'Direct Costs 2026'!$C$36,"N/A"),"N/A")</f>
        <v>3325000</v>
      </c>
      <c r="R125" s="594" cm="1">
        <f t="array" ref="R125">IF(B125&gt;0,IF(OR(VLOOKUP(C117,'Boats Data Sheet 2026'!$C$3:$F$57,4,0)="Own",VLOOKUP(C117,'Boats Data Sheet 2026'!$C$3:$F$57,4,0)="Management"),('Direct Costs 2026'!$C$37+'Direct Costs 2026'!$C$39),"N/A"),"N/A")</f>
        <v>1112400</v>
      </c>
      <c r="S125" s="594" cm="1">
        <f t="array" ref="S125">_xlfn.IFERROR(IF(B125&gt;5,IF(B125&gt;11,IF(B125&gt;15,4,3),2),IF(B125=0,"N/A",1))*SUM('Direct Costs 2026'!$C$67:$C$68),"N/A")</f>
        <v>979200</v>
      </c>
      <c r="T125" s="594" cm="1">
        <f t="array" ref="T125">_xlfn.IFERROR('Direct Costs 2026'!$C$27*C125,"N/A")</f>
        <v>0</v>
      </c>
      <c r="U125" s="594" cm="1">
        <f t="array" ref="U125">_xlfn.IFERROR(C125+SUM(E125:T125),"N/A")</f>
        <v>9777433.33333333</v>
      </c>
      <c r="V125" s="424"/>
      <c r="W125" s="594" cm="1">
        <f t="array" ref="W125">IF(B125&gt;0,'Allocation OH and Target 2026'!$E$27,"N/A")</f>
        <v>2134447.30345641</v>
      </c>
      <c r="X125" s="594" cm="1">
        <f t="array" ref="X125">IF(B125&gt;0,'Allocation OH and Target 2026'!$E$28,"N/A")</f>
        <v>200042.323056976</v>
      </c>
      <c r="Y125" s="594" cm="1">
        <f t="array" ref="Y125">IF(B125&gt;0,VLOOKUP(C117,'Allocation OH and Target 2026'!$C$5:$T$23,17,0),"N/A")</f>
        <v>1319153.22736842</v>
      </c>
      <c r="Z125" s="594" cm="1">
        <f t="array" ref="Z125">IF(B125&gt;0,VLOOKUP(C117,'Allocation OH and Target 2026'!$C$5:$T$23,18,0),"N/A")</f>
        <v>126841.656477733</v>
      </c>
      <c r="AA125" s="594" cm="1">
        <f t="array" ref="AA125">_xlfn.IFERROR(B125*(X125+Z125),"N/A")</f>
        <v>1961303.87720825</v>
      </c>
      <c r="AB125" s="424"/>
      <c r="AC125" s="594" cm="1">
        <f t="array" ref="AC125">_xlfn.IFERROR(AA125+U125,"N/A")</f>
        <v>11738737.2105416</v>
      </c>
      <c r="AD125" s="594" cm="1">
        <f t="array" ref="AD125">_xlfn.IFERROR(AC125*0.5%,"N/A")</f>
        <v>58693.686052708</v>
      </c>
      <c r="AE125" s="594" cm="1">
        <f t="array" ref="AE125">_xlfn.IFERROR(AC125*25%,"N/A")</f>
        <v>2934684.3026354</v>
      </c>
      <c r="AF125" s="596" cm="1">
        <f t="array" ref="AF125">IF(B125&gt;0,SUM(AC125:AE125),"N/A")</f>
        <v>14732115.1992297</v>
      </c>
      <c r="AG125" s="594" cm="1">
        <f t="array" ref="AG125">_xlfn.IFERROR(AF125/B125,"N/A")</f>
        <v>2455352.53320495</v>
      </c>
      <c r="AH125" s="424"/>
      <c r="AI125" t="str" s="604" cm="1">
        <f t="array" ref="AI125">IF(B125/VLOOKUP(C117,'Boats Data Sheet 2026'!$C$3:$H$57,6,0)&gt;VLOOKUP(C117,'Allocation OH and Target 2026'!$C$5:$J$23,8,0),IF(SUM(AJ119:AJ124)=0,AG125,"N/A"),"N/A")</f>
        <v>N/A</v>
      </c>
      <c r="AJ125" s="424" cm="1">
        <f t="array" ref="AJ125">IF(AI125="N/A",0,1)</f>
        <v>0</v>
      </c>
      <c r="AK125" t="str" s="595" cm="1">
        <f t="array" ref="AK125">IF(B125/VLOOKUP(C117,'Boats Data Sheet 2026'!$C$3:$H$57,6,0)&gt;VLOOKUP(C117,'Allocation OH and Target 2026'!$C$5:$J$23,8,0),IF(SUM(AJ119:AJ124)=0,U125/B125,"N/A"),"N/A")</f>
        <v>N/A</v>
      </c>
      <c r="AL125" s="424" cm="1">
        <f t="array" ref="AL125">IF(AK125="N/A",0,1)</f>
        <v>0</v>
      </c>
      <c r="AM125" t="str" s="605" cm="1">
        <f t="array" ref="AM125">IF(SUM(1250000+700000)*B125&lt;SUM(AC125:AD125),"NO GO","GO")</f>
        <v>NO GO</v>
      </c>
      <c r="AN125" s="424"/>
      <c r="AO125" t="s" s="598">
        <v>394</v>
      </c>
      <c r="AP125" s="615" cm="1">
        <f t="array" ref="AP125">AP122-AP124</f>
        <v>971063075.6629</v>
      </c>
      <c r="AQ125" s="594"/>
      <c r="AR125" s="600"/>
      <c r="AS125" s="601" cm="1">
        <f t="array" ref="AS125">B125</f>
        <v>6</v>
      </c>
    </row>
    <row r="126" ht="16" customHeight="1">
      <c r="A126" s="12"/>
      <c r="B126" s="602" cm="1">
        <f t="array" ref="B126">IF(B125=0,0,IF(B125&lt;VLOOKUP(C117,'Boats Data Sheet 2026'!$C$3:$H$57,6,0),B125+1,0))</f>
        <v>7</v>
      </c>
      <c r="C126" s="594" cm="1">
        <f t="array" ref="C126">IF(B126&gt;0,IF(VLOOKUP(C117,'Boats Data Sheet 2026'!$C$3:$J$57,8,0)="N/A",0,VLOOKUP(C117,'Boats Data Sheet 2026'!$C$3:$J$57,8,0)),"N/A")</f>
        <v>0</v>
      </c>
      <c r="D126" s="603" cm="1">
        <f t="array" ref="D126">IF(B126&gt;7,2,IF(B126=0,"N/A",1))</f>
        <v>1</v>
      </c>
      <c r="E126" s="594" cm="1">
        <f t="array" ref="E126">_xlfn.IFERROR(SUM('Direct Costs 2026'!$C$4:$C$6)*D126,"N/A")</f>
        <v>975500</v>
      </c>
      <c r="F126" s="594" cm="1">
        <f t="array" ref="F126">_xlfn.IFERROR('Direct Costs 2026'!$C$43*B126,"N/A")</f>
        <v>42000</v>
      </c>
      <c r="G126" s="594" cm="1">
        <f t="array" ref="G126">IF(B126&gt;0,'Direct Costs 2026'!$C$25,"N/A")</f>
        <v>90000</v>
      </c>
      <c r="H126" s="594" cm="1">
        <f t="array" ref="H126">IF(B126&gt;0,'Direct Costs 2026'!$C$19+'Direct Costs 2026'!$C$18*B126,"N/A")</f>
        <v>320000</v>
      </c>
      <c r="I126" s="594" cm="1">
        <f t="array" ref="I126">IF(B126&gt;0,SUM('Direct Costs 2026'!$C$20:$C$21),"N/A")</f>
        <v>98333.3333333333</v>
      </c>
      <c r="J126" s="594" cm="1">
        <f t="array" ref="J126">IF(B126&gt;0,'Direct Costs 2026'!$C$14,"N/A")</f>
        <v>60000</v>
      </c>
      <c r="K126" s="594" cm="1">
        <f t="array" ref="K126">IF(B126&gt;0,'Direct Costs 2026'!$C$26,"N/A")</f>
        <v>20000</v>
      </c>
      <c r="L126" s="594" cm="1">
        <f t="array" ref="L126">IF(B126&gt;0,SUM('Direct Costs 2026'!$C$23:$C$24),"N/A")</f>
        <v>160000</v>
      </c>
      <c r="M126" s="594" cm="1">
        <f t="array" ref="M126">IF(B126&gt;0,'Direct Costs 2026'!$C$47*B126,"N/A")</f>
        <v>1260000</v>
      </c>
      <c r="N126" s="594" cm="1">
        <f t="array" ref="N126">IF($B126&gt;0,'Direct Costs 2026'!$C$30,"N/A")</f>
        <v>440000</v>
      </c>
      <c r="O126" s="594" cm="1">
        <f t="array" ref="O126">IF($B126&gt;0,'Direct Costs 2026'!$C$31,"N/A")</f>
        <v>870000</v>
      </c>
      <c r="P126" s="594" cm="1">
        <f t="array" ref="P126">IF(B126&gt;0,'Direct Costs 2026'!$C$59*B126,"N/A")</f>
        <v>287000</v>
      </c>
      <c r="Q126" s="594" cm="1">
        <f t="array" ref="Q126">IF(B126&gt;0,_xlfn.IFERROR(VLOOKUP(C117,'Boats Data Sheet 2026'!$C$3:$I$57,7,0)*'Direct Costs 2026'!$C$36,"N/A"),"N/A")</f>
        <v>3325000</v>
      </c>
      <c r="R126" s="594" cm="1">
        <f t="array" ref="R126">IF(B126&gt;0,IF(OR(VLOOKUP(C117,'Boats Data Sheet 2026'!$C$3:$F$57,4,0)="Own",VLOOKUP(C117,'Boats Data Sheet 2026'!$C$3:$F$57,4,0)="Management"),('Direct Costs 2026'!$C$37+'Direct Costs 2026'!$C$39),"N/A"),"N/A")</f>
        <v>1112400</v>
      </c>
      <c r="S126" s="594" cm="1">
        <f t="array" ref="S126">_xlfn.IFERROR(IF(B126&gt;5,IF(B126&gt;11,IF(B126&gt;15,4,3),2),IF(B126=0,"N/A",1))*SUM('Direct Costs 2026'!$C$67:$C$68),"N/A")</f>
        <v>979200</v>
      </c>
      <c r="T126" s="594" cm="1">
        <f t="array" ref="T126">_xlfn.IFERROR('Direct Costs 2026'!$C$27*C126,"N/A")</f>
        <v>0</v>
      </c>
      <c r="U126" s="594" cm="1">
        <f t="array" ref="U126">_xlfn.IFERROR(C126+SUM(E126:T126),"N/A")</f>
        <v>10039433.3333333</v>
      </c>
      <c r="V126" s="424"/>
      <c r="W126" s="594" cm="1">
        <f t="array" ref="W126">IF(B126&gt;0,'Allocation OH and Target 2026'!$E$27,"N/A")</f>
        <v>2134447.30345641</v>
      </c>
      <c r="X126" s="594" cm="1">
        <f t="array" ref="X126">IF(B126&gt;0,'Allocation OH and Target 2026'!$E$28,"N/A")</f>
        <v>200042.323056976</v>
      </c>
      <c r="Y126" s="594" cm="1">
        <f t="array" ref="Y126">IF(B126&gt;0,VLOOKUP(C117,'Allocation OH and Target 2026'!$C$5:$T$23,17,0),"N/A")</f>
        <v>1319153.22736842</v>
      </c>
      <c r="Z126" s="594" cm="1">
        <f t="array" ref="Z126">IF(B126&gt;0,VLOOKUP(C117,'Allocation OH and Target 2026'!$C$5:$T$23,18,0),"N/A")</f>
        <v>126841.656477733</v>
      </c>
      <c r="AA126" s="594" cm="1">
        <f t="array" ref="AA126">_xlfn.IFERROR(B126*(X126+Z126),"N/A")</f>
        <v>2288187.85674296</v>
      </c>
      <c r="AB126" s="424"/>
      <c r="AC126" s="594" cm="1">
        <f t="array" ref="AC126">_xlfn.IFERROR(AA126+U126,"N/A")</f>
        <v>12327621.1900763</v>
      </c>
      <c r="AD126" s="594" cm="1">
        <f t="array" ref="AD126">_xlfn.IFERROR(AC126*0.5%,"N/A")</f>
        <v>61638.1059503815</v>
      </c>
      <c r="AE126" s="594" cm="1">
        <f t="array" ref="AE126">_xlfn.IFERROR(AC126*25%,"N/A")</f>
        <v>3081905.29751908</v>
      </c>
      <c r="AF126" s="596" cm="1">
        <f t="array" ref="AF126">IF(B126&gt;0,SUM(AC126:AE126),"N/A")</f>
        <v>15471164.5935458</v>
      </c>
      <c r="AG126" s="594" cm="1">
        <f t="array" ref="AG126">_xlfn.IFERROR(AF126/B126,"N/A")</f>
        <v>2210166.37050654</v>
      </c>
      <c r="AH126" s="424"/>
      <c r="AI126" t="str" s="604" cm="1">
        <f t="array" ref="AI126">IF(B126/VLOOKUP(C117,'Boats Data Sheet 2026'!$C$3:$H$57,6,0)&gt;VLOOKUP(C117,'Allocation OH and Target 2026'!$C$5:$J$23,8,0),IF(SUM(AJ119:AJ125)=0,AG126,"N/A"),"N/A")</f>
        <v>N/A</v>
      </c>
      <c r="AJ126" s="424" cm="1">
        <f t="array" ref="AJ126">IF(AI126="N/A",0,1)</f>
        <v>0</v>
      </c>
      <c r="AK126" t="str" s="595" cm="1">
        <f t="array" ref="AK126">IF(B126/VLOOKUP(C117,'Boats Data Sheet 2026'!$C$3:$H$57,6,0)&gt;VLOOKUP(C117,'Allocation OH and Target 2026'!$C$5:$J$23,8,0),IF(SUM(AJ119:AJ125)=0,U126/B126,"N/A"),"N/A")</f>
        <v>N/A</v>
      </c>
      <c r="AL126" s="424" cm="1">
        <f t="array" ref="AL126">IF(AK126="N/A",0,1)</f>
        <v>0</v>
      </c>
      <c r="AM126" t="str" s="605" cm="1">
        <f t="array" ref="AM126">IF(SUM(1250000+700000)*B126&lt;SUM(AC126:AD126),"NO GO","GO")</f>
        <v>GO</v>
      </c>
      <c r="AN126" s="424"/>
      <c r="AO126" t="s" s="598">
        <v>606</v>
      </c>
      <c r="AP126" s="616" cm="1">
        <f t="array" ref="AP126">AP125*50%</f>
        <v>485531537.83145</v>
      </c>
      <c r="AQ126" s="594"/>
      <c r="AR126" s="600"/>
      <c r="AS126" s="601" cm="1">
        <f t="array" ref="AS126">B126</f>
        <v>7</v>
      </c>
    </row>
    <row r="127" ht="16" customHeight="1">
      <c r="A127" s="12"/>
      <c r="B127" s="602" cm="1">
        <f t="array" ref="B127">IF(B126=0,0,IF(B126&lt;VLOOKUP(C117,'Boats Data Sheet 2026'!$C$3:$H$57,6,0),B126+1,0))</f>
        <v>8</v>
      </c>
      <c r="C127" s="594" cm="1">
        <f t="array" ref="C127">IF(B127&gt;0,IF(VLOOKUP(C117,'Boats Data Sheet 2026'!$C$3:$J$57,8,0)="N/A",0,VLOOKUP(C117,'Boats Data Sheet 2026'!$C$3:$J$57,8,0)),"N/A")</f>
        <v>0</v>
      </c>
      <c r="D127" s="603" cm="1">
        <f t="array" ref="D127">IF(B127&gt;7,2,IF(B127=0,"N/A",1))</f>
        <v>2</v>
      </c>
      <c r="E127" s="594" cm="1">
        <f t="array" ref="E127">_xlfn.IFERROR(SUM('Direct Costs 2026'!$C$4:$C$6)*D127,"N/A")</f>
        <v>1951000</v>
      </c>
      <c r="F127" s="594" cm="1">
        <f t="array" ref="F127">_xlfn.IFERROR('Direct Costs 2026'!$C$43*B127,"N/A")</f>
        <v>48000</v>
      </c>
      <c r="G127" s="594" cm="1">
        <f t="array" ref="G127">IF(B127&gt;0,'Direct Costs 2026'!$C$25,"N/A")</f>
        <v>90000</v>
      </c>
      <c r="H127" s="594" cm="1">
        <f t="array" ref="H127">IF(B127&gt;0,'Direct Costs 2026'!$C$19+'Direct Costs 2026'!$C$18*B127,"N/A")</f>
        <v>355000</v>
      </c>
      <c r="I127" s="594" cm="1">
        <f t="array" ref="I127">IF(B127&gt;0,SUM('Direct Costs 2026'!$C$20:$C$21),"N/A")</f>
        <v>98333.3333333333</v>
      </c>
      <c r="J127" s="594" cm="1">
        <f t="array" ref="J127">IF(B127&gt;0,'Direct Costs 2026'!$C$14,"N/A")</f>
        <v>60000</v>
      </c>
      <c r="K127" s="594" cm="1">
        <f t="array" ref="K127">IF(B127&gt;0,'Direct Costs 2026'!$C$26,"N/A")</f>
        <v>20000</v>
      </c>
      <c r="L127" s="594" cm="1">
        <f t="array" ref="L127">IF(B127&gt;0,SUM('Direct Costs 2026'!$C$23:$C$24),"N/A")</f>
        <v>160000</v>
      </c>
      <c r="M127" s="594" cm="1">
        <f t="array" ref="M127">IF(B127&gt;0,'Direct Costs 2026'!$C$47*B127,"N/A")</f>
        <v>1440000</v>
      </c>
      <c r="N127" s="594" cm="1">
        <f t="array" ref="N127">IF($B127&gt;0,'Direct Costs 2026'!$C$30,"N/A")</f>
        <v>440000</v>
      </c>
      <c r="O127" s="594" cm="1">
        <f t="array" ref="O127">IF($B127&gt;0,'Direct Costs 2026'!$C$31,"N/A")</f>
        <v>870000</v>
      </c>
      <c r="P127" s="594" cm="1">
        <f t="array" ref="P127">IF(B127&gt;0,'Direct Costs 2026'!$C$59*B127,"N/A")</f>
        <v>328000</v>
      </c>
      <c r="Q127" s="594" cm="1">
        <f t="array" ref="Q127">IF(B127&gt;0,_xlfn.IFERROR(VLOOKUP(C117,'Boats Data Sheet 2026'!$C$3:$I$57,7,0)*'Direct Costs 2026'!$C$36,"N/A"),"N/A")</f>
        <v>3325000</v>
      </c>
      <c r="R127" s="594" cm="1">
        <f t="array" ref="R127">IF(B127&gt;0,IF(OR(VLOOKUP(C117,'Boats Data Sheet 2026'!$C$3:$F$57,4,0)="Own",VLOOKUP(C117,'Boats Data Sheet 2026'!$C$3:$F$57,4,0)="Management"),('Direct Costs 2026'!$C$37+'Direct Costs 2026'!$C$39),"N/A"),"N/A")</f>
        <v>1112400</v>
      </c>
      <c r="S127" s="594" cm="1">
        <f t="array" ref="S127">_xlfn.IFERROR(IF(B127&gt;5,IF(B127&gt;11,IF(B127&gt;15,4,3),2),IF(B127=0,"N/A",1))*SUM('Direct Costs 2026'!$C$67:$C$68),"N/A")</f>
        <v>979200</v>
      </c>
      <c r="T127" s="594" cm="1">
        <f t="array" ref="T127">_xlfn.IFERROR('Direct Costs 2026'!$C$27*C127,"N/A")</f>
        <v>0</v>
      </c>
      <c r="U127" s="594" cm="1">
        <f t="array" ref="U127">_xlfn.IFERROR(C127+SUM(E127:T127),"N/A")</f>
        <v>11276933.3333333</v>
      </c>
      <c r="V127" s="424"/>
      <c r="W127" s="594" cm="1">
        <f t="array" ref="W127">IF(B127&gt;0,'Allocation OH and Target 2026'!$E$27,"N/A")</f>
        <v>2134447.30345641</v>
      </c>
      <c r="X127" s="594" cm="1">
        <f t="array" ref="X127">IF(B127&gt;0,'Allocation OH and Target 2026'!$E$28,"N/A")</f>
        <v>200042.323056976</v>
      </c>
      <c r="Y127" s="594" cm="1">
        <f t="array" ref="Y127">IF(B127&gt;0,VLOOKUP(C117,'Allocation OH and Target 2026'!$C$5:$T$23,17,0),"N/A")</f>
        <v>1319153.22736842</v>
      </c>
      <c r="Z127" s="594" cm="1">
        <f t="array" ref="Z127">IF(B127&gt;0,VLOOKUP(C117,'Allocation OH and Target 2026'!$C$5:$T$23,18,0),"N/A")</f>
        <v>126841.656477733</v>
      </c>
      <c r="AA127" s="594" cm="1">
        <f t="array" ref="AA127">_xlfn.IFERROR(B127*(X127+Z127),"N/A")</f>
        <v>2615071.83627767</v>
      </c>
      <c r="AB127" s="424"/>
      <c r="AC127" s="594" cm="1">
        <f t="array" ref="AC127">_xlfn.IFERROR(AA127+U127,"N/A")</f>
        <v>13892005.169611</v>
      </c>
      <c r="AD127" s="594" cm="1">
        <f t="array" ref="AD127">_xlfn.IFERROR(AC127*0.5%,"N/A")</f>
        <v>69460.025848055</v>
      </c>
      <c r="AE127" s="594" cm="1">
        <f t="array" ref="AE127">_xlfn.IFERROR(AC127*25%,"N/A")</f>
        <v>3473001.29240275</v>
      </c>
      <c r="AF127" s="596" cm="1">
        <f t="array" ref="AF127">IF(B127&gt;0,SUM(AC127:AE127),"N/A")</f>
        <v>17434466.4878618</v>
      </c>
      <c r="AG127" s="594" cm="1">
        <f t="array" ref="AG127">_xlfn.IFERROR(AF127/B127,"N/A")</f>
        <v>2179308.31098273</v>
      </c>
      <c r="AH127" s="424"/>
      <c r="AI127" t="str" s="604" cm="1">
        <f t="array" ref="AI127">IF(B127/VLOOKUP(C117,'Boats Data Sheet 2026'!$C$3:$H$57,6,0)&gt;VLOOKUP(C117,'Allocation OH and Target 2026'!$C$5:$J$23,8,0),IF(SUM(AJ119:AJ126)=0,AG127,"N/A"),"N/A")</f>
        <v>N/A</v>
      </c>
      <c r="AJ127" s="424" cm="1">
        <f t="array" ref="AJ127">IF(AI127="N/A",0,1)</f>
        <v>0</v>
      </c>
      <c r="AK127" t="str" s="595" cm="1">
        <f t="array" ref="AK127">IF(B127/VLOOKUP(C117,'Boats Data Sheet 2026'!$C$3:$H$57,6,0)&gt;VLOOKUP(C117,'Allocation OH and Target 2026'!$C$5:$J$23,8,0),IF(SUM(AJ119:AJ126)=0,U127/B127,"N/A"),"N/A")</f>
        <v>N/A</v>
      </c>
      <c r="AL127" s="424" cm="1">
        <f t="array" ref="AL127">IF(AK127="N/A",0,1)</f>
        <v>0</v>
      </c>
      <c r="AM127" t="str" s="605" cm="1">
        <f t="array" ref="AM127">IF(SUM(1250000+700000)*B127&lt;SUM(AC127:AD127),"NO GO","GO")</f>
        <v>GO</v>
      </c>
      <c r="AN127" s="424"/>
      <c r="AO127" s="594"/>
      <c r="AP127" s="594"/>
      <c r="AQ127" s="594"/>
      <c r="AR127" s="600"/>
      <c r="AS127" s="601" cm="1">
        <f t="array" ref="AS127">B127</f>
        <v>8</v>
      </c>
    </row>
    <row r="128" ht="16" customHeight="1">
      <c r="A128" s="12"/>
      <c r="B128" s="602" cm="1">
        <f t="array" ref="B128">IF(B127=0,0,IF(B127&lt;VLOOKUP(C117,'Boats Data Sheet 2026'!$C$3:$H$57,6,0),B127+1,0))</f>
        <v>9</v>
      </c>
      <c r="C128" s="594" cm="1">
        <f t="array" ref="C128">IF(B128&gt;0,IF(VLOOKUP(C117,'Boats Data Sheet 2026'!$C$3:$J$57,8,0)="N/A",0,VLOOKUP(C117,'Boats Data Sheet 2026'!$C$3:$J$57,8,0)),"N/A")</f>
        <v>0</v>
      </c>
      <c r="D128" s="603" cm="1">
        <f t="array" ref="D128">IF(B128&gt;7,2,IF(B128=0,"N/A",1))</f>
        <v>2</v>
      </c>
      <c r="E128" s="594" cm="1">
        <f t="array" ref="E128">_xlfn.IFERROR(SUM('Direct Costs 2026'!$C$4:$C$6)*D128,"N/A")</f>
        <v>1951000</v>
      </c>
      <c r="F128" s="594" cm="1">
        <f t="array" ref="F128">_xlfn.IFERROR('Direct Costs 2026'!$C$43*B128,"N/A")</f>
        <v>54000</v>
      </c>
      <c r="G128" s="594" cm="1">
        <f t="array" ref="G128">IF(B128&gt;0,'Direct Costs 2026'!$C$25,"N/A")</f>
        <v>90000</v>
      </c>
      <c r="H128" s="594" cm="1">
        <f t="array" ref="H128">IF(B128&gt;0,'Direct Costs 2026'!$C$19+'Direct Costs 2026'!$C$18*B128,"N/A")</f>
        <v>390000</v>
      </c>
      <c r="I128" s="594" cm="1">
        <f t="array" ref="I128">IF(B128&gt;0,SUM('Direct Costs 2026'!$C$20:$C$21),"N/A")</f>
        <v>98333.3333333333</v>
      </c>
      <c r="J128" s="594" cm="1">
        <f t="array" ref="J128">IF(B128&gt;0,'Direct Costs 2026'!$C$14,"N/A")</f>
        <v>60000</v>
      </c>
      <c r="K128" s="594" cm="1">
        <f t="array" ref="K128">IF(B128&gt;0,'Direct Costs 2026'!$C$26,"N/A")</f>
        <v>20000</v>
      </c>
      <c r="L128" s="594" cm="1">
        <f t="array" ref="L128">IF(B128&gt;0,SUM('Direct Costs 2026'!$C$23:$C$24),"N/A")</f>
        <v>160000</v>
      </c>
      <c r="M128" s="594" cm="1">
        <f t="array" ref="M128">IF(B128&gt;0,'Direct Costs 2026'!$C$47*B128,"N/A")</f>
        <v>1620000</v>
      </c>
      <c r="N128" s="594" cm="1">
        <f t="array" ref="N128">IF($B128&gt;0,'Direct Costs 2026'!$C$30,"N/A")</f>
        <v>440000</v>
      </c>
      <c r="O128" s="594" cm="1">
        <f t="array" ref="O128">IF($B128&gt;0,'Direct Costs 2026'!$C$31,"N/A")</f>
        <v>870000</v>
      </c>
      <c r="P128" s="594" cm="1">
        <f t="array" ref="P128">IF(B128&gt;0,'Direct Costs 2026'!$C$59*B128,"N/A")</f>
        <v>369000</v>
      </c>
      <c r="Q128" s="594" cm="1">
        <f t="array" ref="Q128">IF(B128&gt;0,_xlfn.IFERROR(VLOOKUP(C117,'Boats Data Sheet 2026'!$C$3:$I$57,7,0)*'Direct Costs 2026'!$C$36,"N/A"),"N/A")</f>
        <v>3325000</v>
      </c>
      <c r="R128" s="594" cm="1">
        <f t="array" ref="R128">IF(B128&gt;0,IF(OR(VLOOKUP(C117,'Boats Data Sheet 2026'!$C$3:$F$57,4,0)="Own",VLOOKUP(C117,'Boats Data Sheet 2026'!$C$3:$F$57,4,0)="Management"),('Direct Costs 2026'!$C$37+'Direct Costs 2026'!$C$39),"N/A"),"N/A")</f>
        <v>1112400</v>
      </c>
      <c r="S128" s="594" cm="1">
        <f t="array" ref="S128">_xlfn.IFERROR(IF(B128&gt;5,IF(B128&gt;11,IF(B128&gt;15,4,3),2),IF(B128=0,"N/A",1))*SUM('Direct Costs 2026'!$C$67:$C$68),"N/A")</f>
        <v>979200</v>
      </c>
      <c r="T128" s="594" cm="1">
        <f t="array" ref="T128">_xlfn.IFERROR('Direct Costs 2026'!$C$27*C128,"N/A")</f>
        <v>0</v>
      </c>
      <c r="U128" s="594" cm="1">
        <f t="array" ref="U128">_xlfn.IFERROR(C128+SUM(E128:T128),"N/A")</f>
        <v>11538933.3333333</v>
      </c>
      <c r="V128" s="424"/>
      <c r="W128" s="594" cm="1">
        <f t="array" ref="W128">IF(B128&gt;0,'Allocation OH and Target 2026'!$E$27,"N/A")</f>
        <v>2134447.30345641</v>
      </c>
      <c r="X128" s="594" cm="1">
        <f t="array" ref="X128">IF(B128&gt;0,'Allocation OH and Target 2026'!$E$28,"N/A")</f>
        <v>200042.323056976</v>
      </c>
      <c r="Y128" s="594" cm="1">
        <f t="array" ref="Y128">IF(B128&gt;0,VLOOKUP(C117,'Allocation OH and Target 2026'!$C$5:$T$23,17,0),"N/A")</f>
        <v>1319153.22736842</v>
      </c>
      <c r="Z128" s="594" cm="1">
        <f t="array" ref="Z128">IF(B128&gt;0,VLOOKUP(C117,'Allocation OH and Target 2026'!$C$5:$T$23,18,0),"N/A")</f>
        <v>126841.656477733</v>
      </c>
      <c r="AA128" s="594" cm="1">
        <f t="array" ref="AA128">_xlfn.IFERROR(B128*(X128+Z128),"N/A")</f>
        <v>2941955.81581238</v>
      </c>
      <c r="AB128" s="424"/>
      <c r="AC128" s="594" cm="1">
        <f t="array" ref="AC128">_xlfn.IFERROR(AA128+U128,"N/A")</f>
        <v>14480889.1491457</v>
      </c>
      <c r="AD128" s="594" cm="1">
        <f t="array" ref="AD128">_xlfn.IFERROR(AC128*0.5%,"N/A")</f>
        <v>72404.4457457285</v>
      </c>
      <c r="AE128" s="594" cm="1">
        <f t="array" ref="AE128">_xlfn.IFERROR(AC128*25%,"N/A")</f>
        <v>3620222.28728643</v>
      </c>
      <c r="AF128" s="596" cm="1">
        <f t="array" ref="AF128">IF(B128&gt;0,SUM(AC128:AE128),"N/A")</f>
        <v>18173515.8821779</v>
      </c>
      <c r="AG128" s="594" cm="1">
        <f t="array" ref="AG128">_xlfn.IFERROR(AF128/B128,"N/A")</f>
        <v>2019279.54246421</v>
      </c>
      <c r="AH128" s="424"/>
      <c r="AI128" t="str" s="604" cm="1">
        <f t="array" ref="AI128">IF(B128/VLOOKUP(C117,'Boats Data Sheet 2026'!$C$3:$H$57,6,0)&gt;VLOOKUP(C117,'Allocation OH and Target 2026'!$C$5:$J$23,8,0),IF(SUM(AJ119:AJ127)=0,AG128,"N/A"),"N/A")</f>
        <v>N/A</v>
      </c>
      <c r="AJ128" s="424" cm="1">
        <f t="array" ref="AJ128">IF(AI128="N/A",0,1)</f>
        <v>0</v>
      </c>
      <c r="AK128" t="str" s="595" cm="1">
        <f t="array" ref="AK128">IF(B128/VLOOKUP(C117,'Boats Data Sheet 2026'!$C$3:$H$57,6,0)&gt;VLOOKUP(C117,'Allocation OH and Target 2026'!$C$5:$J$23,8,0),IF(SUM(AJ119:AJ127)=0,U128/B128,"N/A"),"N/A")</f>
        <v>N/A</v>
      </c>
      <c r="AL128" s="424" cm="1">
        <f t="array" ref="AL128">IF(AK128="N/A",0,1)</f>
        <v>0</v>
      </c>
      <c r="AM128" t="str" s="605" cm="1">
        <f t="array" ref="AM128">IF(SUM(1250000+700000)*B128&lt;SUM(AC128:AD128),"NO GO","GO")</f>
        <v>GO</v>
      </c>
      <c r="AN128" s="424"/>
      <c r="AO128" s="594"/>
      <c r="AP128" s="594"/>
      <c r="AQ128" s="594"/>
      <c r="AR128" s="600"/>
      <c r="AS128" s="601" cm="1">
        <f t="array" ref="AS128">B128</f>
        <v>9</v>
      </c>
    </row>
    <row r="129" ht="16" customHeight="1">
      <c r="A129" s="12"/>
      <c r="B129" s="602" cm="1">
        <f t="array" ref="B129">IF(B128=0,0,IF(B128&lt;VLOOKUP(C117,'Boats Data Sheet 2026'!$C$3:$H$57,6,0),B128+1,0))</f>
        <v>10</v>
      </c>
      <c r="C129" s="594" cm="1">
        <f t="array" ref="C129">IF(B129&gt;0,IF(VLOOKUP(C117,'Boats Data Sheet 2026'!$C$3:$J$57,8,0)="N/A",0,VLOOKUP(C117,'Boats Data Sheet 2026'!$C$3:$J$57,8,0)),"N/A")</f>
        <v>0</v>
      </c>
      <c r="D129" s="603" cm="1">
        <f t="array" ref="D129">IF(B129&gt;7,2,IF(B129=0,"N/A",1))</f>
        <v>2</v>
      </c>
      <c r="E129" s="594" cm="1">
        <f t="array" ref="E129">_xlfn.IFERROR(SUM('Direct Costs 2026'!$C$4:$C$6)*D129,"N/A")</f>
        <v>1951000</v>
      </c>
      <c r="F129" s="594" cm="1">
        <f t="array" ref="F129">_xlfn.IFERROR('Direct Costs 2026'!$C$43*B129,"N/A")</f>
        <v>60000</v>
      </c>
      <c r="G129" s="594" cm="1">
        <f t="array" ref="G129">IF(B129&gt;0,'Direct Costs 2026'!$C$25,"N/A")</f>
        <v>90000</v>
      </c>
      <c r="H129" s="594" cm="1">
        <f t="array" ref="H129">IF(B129&gt;0,'Direct Costs 2026'!$C$19+'Direct Costs 2026'!$C$18*B129,"N/A")</f>
        <v>425000</v>
      </c>
      <c r="I129" s="594" cm="1">
        <f t="array" ref="I129">IF(B129&gt;0,SUM('Direct Costs 2026'!$C$20:$C$21),"N/A")</f>
        <v>98333.3333333333</v>
      </c>
      <c r="J129" s="594" cm="1">
        <f t="array" ref="J129">IF(B129&gt;0,'Direct Costs 2026'!$C$14,"N/A")</f>
        <v>60000</v>
      </c>
      <c r="K129" s="594" cm="1">
        <f t="array" ref="K129">IF(B129&gt;0,'Direct Costs 2026'!$C$26,"N/A")</f>
        <v>20000</v>
      </c>
      <c r="L129" s="594" cm="1">
        <f t="array" ref="L129">IF(B129&gt;0,SUM('Direct Costs 2026'!$C$23:$C$24),"N/A")</f>
        <v>160000</v>
      </c>
      <c r="M129" s="594" cm="1">
        <f t="array" ref="M129">IF(B129&gt;0,'Direct Costs 2026'!$C$47*B129,"N/A")</f>
        <v>1800000</v>
      </c>
      <c r="N129" s="594" cm="1">
        <f t="array" ref="N129">IF($B129&gt;0,'Direct Costs 2026'!$C$30,"N/A")</f>
        <v>440000</v>
      </c>
      <c r="O129" s="594" cm="1">
        <f t="array" ref="O129">IF($B129&gt;0,'Direct Costs 2026'!$C$31,"N/A")</f>
        <v>870000</v>
      </c>
      <c r="P129" s="594" cm="1">
        <f t="array" ref="P129">IF(B129&gt;0,'Direct Costs 2026'!$C$59*B129,"N/A")</f>
        <v>410000</v>
      </c>
      <c r="Q129" s="594" cm="1">
        <f t="array" ref="Q129">IF(B129&gt;0,_xlfn.IFERROR(VLOOKUP(C117,'Boats Data Sheet 2026'!$C$3:$I$57,7,0)*'Direct Costs 2026'!$C$36,"N/A"),"N/A")</f>
        <v>3325000</v>
      </c>
      <c r="R129" s="594" cm="1">
        <f t="array" ref="R129">IF(B129&gt;0,IF(OR(VLOOKUP(C117,'Boats Data Sheet 2026'!$C$3:$F$57,4,0)="Own",VLOOKUP(C117,'Boats Data Sheet 2026'!$C$3:$F$57,4,0)="Management"),('Direct Costs 2026'!$C$37+'Direct Costs 2026'!$C$39),"N/A"),"N/A")</f>
        <v>1112400</v>
      </c>
      <c r="S129" s="594" cm="1">
        <f t="array" ref="S129">_xlfn.IFERROR(IF(B129&gt;5,IF(B129&gt;11,IF(B129&gt;15,4,3),2),IF(B129=0,"N/A",1))*SUM('Direct Costs 2026'!$C$67:$C$68),"N/A")</f>
        <v>979200</v>
      </c>
      <c r="T129" s="594" cm="1">
        <f t="array" ref="T129">_xlfn.IFERROR('Direct Costs 2026'!$C$27*C129,"N/A")</f>
        <v>0</v>
      </c>
      <c r="U129" s="594" cm="1">
        <f t="array" ref="U129">_xlfn.IFERROR(C129+SUM(E129:T129),"N/A")</f>
        <v>11800933.3333333</v>
      </c>
      <c r="V129" s="424"/>
      <c r="W129" s="594" cm="1">
        <f t="array" ref="W129">IF(B129&gt;0,'Allocation OH and Target 2026'!$E$27,"N/A")</f>
        <v>2134447.30345641</v>
      </c>
      <c r="X129" s="594" cm="1">
        <f t="array" ref="X129">IF(B129&gt;0,'Allocation OH and Target 2026'!$E$28,"N/A")</f>
        <v>200042.323056976</v>
      </c>
      <c r="Y129" s="594" cm="1">
        <f t="array" ref="Y129">IF(B129&gt;0,VLOOKUP(C117,'Allocation OH and Target 2026'!$C$5:$T$23,17,0),"N/A")</f>
        <v>1319153.22736842</v>
      </c>
      <c r="Z129" s="594" cm="1">
        <f t="array" ref="Z129">IF(B129&gt;0,VLOOKUP(C117,'Allocation OH and Target 2026'!$C$5:$T$23,18,0),"N/A")</f>
        <v>126841.656477733</v>
      </c>
      <c r="AA129" s="594" cm="1">
        <f t="array" ref="AA129">_xlfn.IFERROR(B129*(X129+Z129),"N/A")</f>
        <v>3268839.79534709</v>
      </c>
      <c r="AB129" s="424"/>
      <c r="AC129" s="594" cm="1">
        <f t="array" ref="AC129">_xlfn.IFERROR(AA129+U129,"N/A")</f>
        <v>15069773.1286804</v>
      </c>
      <c r="AD129" s="594" cm="1">
        <f t="array" ref="AD129">_xlfn.IFERROR(AC129*0.5%,"N/A")</f>
        <v>75348.865643401994</v>
      </c>
      <c r="AE129" s="594" cm="1">
        <f t="array" ref="AE129">_xlfn.IFERROR(AC129*25%,"N/A")</f>
        <v>3767443.2821701</v>
      </c>
      <c r="AF129" s="596" cm="1">
        <f t="array" ref="AF129">IF(B129&gt;0,SUM(AC129:AE129),"N/A")</f>
        <v>18912565.2764939</v>
      </c>
      <c r="AG129" s="594" cm="1">
        <f t="array" ref="AG129">_xlfn.IFERROR(AF129/B129,"N/A")</f>
        <v>1891256.52764939</v>
      </c>
      <c r="AH129" s="424"/>
      <c r="AI129" t="str" s="604" cm="1">
        <f t="array" ref="AI129">IF(B129/VLOOKUP(C117,'Boats Data Sheet 2026'!$C$3:$H$57,6,0)&gt;VLOOKUP(C117,'Allocation OH and Target 2026'!$C$5:$J$23,8,0),IF(SUM(AJ119:AJ128)=0,AG129,"N/A"),"N/A")</f>
        <v>N/A</v>
      </c>
      <c r="AJ129" s="424" cm="1">
        <f t="array" ref="AJ129">IF(AI129="N/A",0,1)</f>
        <v>0</v>
      </c>
      <c r="AK129" t="str" s="595" cm="1">
        <f t="array" ref="AK129">IF(B129/VLOOKUP(C117,'Boats Data Sheet 2026'!$C$3:$H$57,6,0)&gt;VLOOKUP(C117,'Allocation OH and Target 2026'!$C$5:$J$23,8,0),IF(SUM(AJ119:AJ128)=0,U129/B129,"N/A"),"N/A")</f>
        <v>N/A</v>
      </c>
      <c r="AL129" s="424" cm="1">
        <f t="array" ref="AL129">IF(AK129="N/A",0,1)</f>
        <v>0</v>
      </c>
      <c r="AM129" t="str" s="605" cm="1">
        <f t="array" ref="AM129">IF(SUM(1250000+700000)*B129&lt;SUM(AC129:AD129),"NO GO","GO")</f>
        <v>GO</v>
      </c>
      <c r="AN129" s="424"/>
      <c r="AO129" s="594"/>
      <c r="AP129" s="594"/>
      <c r="AQ129" s="594"/>
      <c r="AR129" s="600"/>
      <c r="AS129" s="601" cm="1">
        <f t="array" ref="AS129">B129</f>
        <v>10</v>
      </c>
    </row>
    <row r="130" ht="16" customHeight="1">
      <c r="A130" s="12"/>
      <c r="B130" s="602" cm="1">
        <f t="array" ref="B130">IF(B129=0,0,IF(B129&lt;VLOOKUP(C117,'Boats Data Sheet 2026'!$C$3:$H$57,6,0),B129+1,0))</f>
        <v>11</v>
      </c>
      <c r="C130" s="594" cm="1">
        <f t="array" ref="C130">IF(B130&gt;0,IF(VLOOKUP(C117,'Boats Data Sheet 2026'!$C$3:$J$57,8,0)="N/A",0,VLOOKUP(C117,'Boats Data Sheet 2026'!$C$3:$J$57,8,0)),"N/A")</f>
        <v>0</v>
      </c>
      <c r="D130" s="603" cm="1">
        <f t="array" ref="D130">IF(B130&gt;7,2,IF(B130=0,"N/A",1))</f>
        <v>2</v>
      </c>
      <c r="E130" s="594" cm="1">
        <f t="array" ref="E130">_xlfn.IFERROR(SUM('Direct Costs 2026'!$C$4:$C$6)*D130,"N/A")</f>
        <v>1951000</v>
      </c>
      <c r="F130" s="594" cm="1">
        <f t="array" ref="F130">_xlfn.IFERROR('Direct Costs 2026'!$C$43*B130,"N/A")</f>
        <v>66000</v>
      </c>
      <c r="G130" s="594" cm="1">
        <f t="array" ref="G130">IF(B130&gt;0,'Direct Costs 2026'!$C$25,"N/A")</f>
        <v>90000</v>
      </c>
      <c r="H130" s="594" cm="1">
        <f t="array" ref="H130">IF(B130&gt;0,'Direct Costs 2026'!$C$19+'Direct Costs 2026'!$C$18*B130,"N/A")</f>
        <v>460000</v>
      </c>
      <c r="I130" s="594" cm="1">
        <f t="array" ref="I130">IF(B130&gt;0,SUM('Direct Costs 2026'!$C$20:$C$21),"N/A")</f>
        <v>98333.3333333333</v>
      </c>
      <c r="J130" s="594" cm="1">
        <f t="array" ref="J130">IF(B130&gt;0,'Direct Costs 2026'!$C$14,"N/A")</f>
        <v>60000</v>
      </c>
      <c r="K130" s="594" cm="1">
        <f t="array" ref="K130">IF(B130&gt;0,'Direct Costs 2026'!$C$26,"N/A")</f>
        <v>20000</v>
      </c>
      <c r="L130" s="594" cm="1">
        <f t="array" ref="L130">IF(B130&gt;0,SUM('Direct Costs 2026'!$C$23:$C$24),"N/A")</f>
        <v>160000</v>
      </c>
      <c r="M130" s="594" cm="1">
        <f t="array" ref="M130">IF(B130&gt;0,'Direct Costs 2026'!$C$47*B130,"N/A")</f>
        <v>1980000</v>
      </c>
      <c r="N130" s="594" cm="1">
        <f t="array" ref="N130">IF($B130&gt;0,'Direct Costs 2026'!$C$30,"N/A")</f>
        <v>440000</v>
      </c>
      <c r="O130" s="594" cm="1">
        <f t="array" ref="O130">IF($B130&gt;0,'Direct Costs 2026'!$C$31,"N/A")</f>
        <v>870000</v>
      </c>
      <c r="P130" s="594" cm="1">
        <f t="array" ref="P130">IF(B130&gt;0,'Direct Costs 2026'!$C$59*B130,"N/A")</f>
        <v>451000</v>
      </c>
      <c r="Q130" s="594" cm="1">
        <f t="array" ref="Q130">IF(B130&gt;0,_xlfn.IFERROR(VLOOKUP(C117,'Boats Data Sheet 2026'!$C$3:$I$57,7,0)*'Direct Costs 2026'!$C$36,"N/A"),"N/A")</f>
        <v>3325000</v>
      </c>
      <c r="R130" s="594" cm="1">
        <f t="array" ref="R130">IF(B130&gt;0,IF(OR(VLOOKUP(C117,'Boats Data Sheet 2026'!$C$3:$F$57,4,0)="Own",VLOOKUP(C117,'Boats Data Sheet 2026'!$C$3:$F$57,4,0)="Management"),('Direct Costs 2026'!$C$37+'Direct Costs 2026'!$C$39),"N/A"),"N/A")</f>
        <v>1112400</v>
      </c>
      <c r="S130" s="594" cm="1">
        <f t="array" ref="S130">_xlfn.IFERROR(IF(B130&gt;5,IF(B130&gt;11,IF(B130&gt;15,4,3),2),IF(B130=0,"N/A",1))*SUM('Direct Costs 2026'!$C$67:$C$68),"N/A")</f>
        <v>979200</v>
      </c>
      <c r="T130" s="594" cm="1">
        <f t="array" ref="T130">_xlfn.IFERROR('Direct Costs 2026'!$C$27*C130,"N/A")</f>
        <v>0</v>
      </c>
      <c r="U130" s="594" cm="1">
        <f t="array" ref="U130">_xlfn.IFERROR(C130+SUM(E130:T130),"N/A")</f>
        <v>12062933.3333333</v>
      </c>
      <c r="V130" s="424"/>
      <c r="W130" s="594" cm="1">
        <f t="array" ref="W130">IF(B130&gt;0,'Allocation OH and Target 2026'!$E$27,"N/A")</f>
        <v>2134447.30345641</v>
      </c>
      <c r="X130" s="594" cm="1">
        <f t="array" ref="X130">IF(B130&gt;0,'Allocation OH and Target 2026'!$E$28,"N/A")</f>
        <v>200042.323056976</v>
      </c>
      <c r="Y130" s="594" cm="1">
        <f t="array" ref="Y130">IF(B130&gt;0,VLOOKUP(C117,'Allocation OH and Target 2026'!$C$5:$T$23,17,0),"N/A")</f>
        <v>1319153.22736842</v>
      </c>
      <c r="Z130" s="594" cm="1">
        <f t="array" ref="Z130">IF(B130&gt;0,VLOOKUP(C117,'Allocation OH and Target 2026'!$C$5:$T$23,18,0),"N/A")</f>
        <v>126841.656477733</v>
      </c>
      <c r="AA130" s="594" cm="1">
        <f t="array" ref="AA130">_xlfn.IFERROR(B130*(X130+Z130),"N/A")</f>
        <v>3595723.7748818</v>
      </c>
      <c r="AB130" s="424"/>
      <c r="AC130" s="594" cm="1">
        <f t="array" ref="AC130">_xlfn.IFERROR(AA130+U130,"N/A")</f>
        <v>15658657.1082151</v>
      </c>
      <c r="AD130" s="594" cm="1">
        <f t="array" ref="AD130">_xlfn.IFERROR(AC130*0.5%,"N/A")</f>
        <v>78293.2855410755</v>
      </c>
      <c r="AE130" s="594" cm="1">
        <f t="array" ref="AE130">_xlfn.IFERROR(AC130*25%,"N/A")</f>
        <v>3914664.27705378</v>
      </c>
      <c r="AF130" s="596" cm="1">
        <f t="array" ref="AF130">IF(B130&gt;0,SUM(AC130:AE130),"N/A")</f>
        <v>19651614.67081</v>
      </c>
      <c r="AG130" s="594" cm="1">
        <f t="array" ref="AG130">_xlfn.IFERROR(AF130/B130,"N/A")</f>
        <v>1786510.42461909</v>
      </c>
      <c r="AH130" s="424"/>
      <c r="AI130" s="596" cm="1">
        <f t="array" ref="AI130">IF(B130/VLOOKUP(C117,'Boats Data Sheet 2026'!$C$3:$H$57,6,0)&gt;VLOOKUP(C117,'Allocation OH and Target 2026'!$C$5:$J$23,8,0),IF(SUM(AJ119:AJ129)=0,AG130,"N/A"),"N/A")</f>
        <v>1786510.42461909</v>
      </c>
      <c r="AJ130" s="424" cm="1">
        <f t="array" ref="AJ130">IF(AI130="N/A",0,1)</f>
        <v>1</v>
      </c>
      <c r="AK130" s="594" cm="1">
        <f t="array" ref="AK130">IF(B130/VLOOKUP(C117,'Boats Data Sheet 2026'!$C$3:$H$57,6,0)&gt;VLOOKUP(C117,'Allocation OH and Target 2026'!$C$5:$J$23,8,0),IF(SUM(AJ119:AJ129)=0,U130/B130,"N/A"),"N/A")</f>
        <v>1096630.3030303</v>
      </c>
      <c r="AL130" s="424" cm="1">
        <f t="array" ref="AL130">IF(AK130="N/A",0,1)</f>
        <v>1</v>
      </c>
      <c r="AM130" t="str" s="605" cm="1">
        <f t="array" ref="AM130">IF(SUM(1250000+700000)*B130&lt;SUM(AC130:AD130),"NO GO","GO")</f>
        <v>GO</v>
      </c>
      <c r="AN130" s="424"/>
      <c r="AO130" s="594"/>
      <c r="AP130" s="594"/>
      <c r="AQ130" s="594"/>
      <c r="AR130" s="600"/>
      <c r="AS130" s="601" cm="1">
        <f t="array" ref="AS130">B130</f>
        <v>11</v>
      </c>
    </row>
    <row r="131" ht="16" customHeight="1">
      <c r="A131" s="12"/>
      <c r="B131" s="602" cm="1">
        <f t="array" ref="B131">IF(B130=0,0,IF(B130&lt;VLOOKUP(C117,'Boats Data Sheet 2026'!$C$3:$H$57,6,0),B130+1,0))</f>
        <v>12</v>
      </c>
      <c r="C131" s="594" cm="1">
        <f t="array" ref="C131">IF(B131&gt;0,IF(VLOOKUP(C117,'Boats Data Sheet 2026'!$C$3:$J$57,8,0)="N/A",0,VLOOKUP(C117,'Boats Data Sheet 2026'!$C$3:$J$57,8,0)),"N/A")</f>
        <v>0</v>
      </c>
      <c r="D131" s="603" cm="1">
        <f t="array" ref="D131">IF(B131&gt;7,2,IF(B131=0,"N/A",1))</f>
        <v>2</v>
      </c>
      <c r="E131" s="594" cm="1">
        <f t="array" ref="E131">_xlfn.IFERROR(SUM('Direct Costs 2026'!$C$4:$C$6)*D131,"N/A")</f>
        <v>1951000</v>
      </c>
      <c r="F131" s="594" cm="1">
        <f t="array" ref="F131">_xlfn.IFERROR('Direct Costs 2026'!$C$43*B131,"N/A")</f>
        <v>72000</v>
      </c>
      <c r="G131" s="594" cm="1">
        <f t="array" ref="G131">IF(B131&gt;0,'Direct Costs 2026'!$C$25,"N/A")</f>
        <v>90000</v>
      </c>
      <c r="H131" s="594" cm="1">
        <f t="array" ref="H131">IF(B131&gt;0,'Direct Costs 2026'!$C$19+'Direct Costs 2026'!$C$18*B131,"N/A")</f>
        <v>495000</v>
      </c>
      <c r="I131" s="594" cm="1">
        <f t="array" ref="I131">IF(B131&gt;0,SUM('Direct Costs 2026'!$C$20:$C$21),"N/A")</f>
        <v>98333.3333333333</v>
      </c>
      <c r="J131" s="594" cm="1">
        <f t="array" ref="J131">IF(B131&gt;0,'Direct Costs 2026'!$C$14,"N/A")</f>
        <v>60000</v>
      </c>
      <c r="K131" s="594" cm="1">
        <f t="array" ref="K131">IF(B131&gt;0,'Direct Costs 2026'!$C$26,"N/A")</f>
        <v>20000</v>
      </c>
      <c r="L131" s="594" cm="1">
        <f t="array" ref="L131">IF(B131&gt;0,SUM('Direct Costs 2026'!$C$23:$C$24),"N/A")</f>
        <v>160000</v>
      </c>
      <c r="M131" s="594" cm="1">
        <f t="array" ref="M131">IF(B131&gt;0,'Direct Costs 2026'!$C$47*B131,"N/A")</f>
        <v>2160000</v>
      </c>
      <c r="N131" s="594" cm="1">
        <f t="array" ref="N131">IF($B131&gt;0,'Direct Costs 2026'!$C$30,"N/A")</f>
        <v>440000</v>
      </c>
      <c r="O131" s="594" cm="1">
        <f t="array" ref="O131">IF($B131&gt;0,'Direct Costs 2026'!$C$31,"N/A")</f>
        <v>870000</v>
      </c>
      <c r="P131" s="594" cm="1">
        <f t="array" ref="P131">IF(B131&gt;0,'Direct Costs 2026'!$C$59*B131,"N/A")</f>
        <v>492000</v>
      </c>
      <c r="Q131" s="594" cm="1">
        <f t="array" ref="Q131">IF(B131&gt;0,_xlfn.IFERROR(VLOOKUP(C117,'Boats Data Sheet 2026'!$C$3:$I$57,7,0)*'Direct Costs 2026'!$C$36,"N/A"),"N/A")</f>
        <v>3325000</v>
      </c>
      <c r="R131" s="594" cm="1">
        <f t="array" ref="R131">IF(B131&gt;0,IF(OR(VLOOKUP(C117,'Boats Data Sheet 2026'!$C$3:$F$57,4,0)="Own",VLOOKUP(C117,'Boats Data Sheet 2026'!$C$3:$F$57,4,0)="Management"),('Direct Costs 2026'!$C$37+'Direct Costs 2026'!$C$39),"N/A"),"N/A")</f>
        <v>1112400</v>
      </c>
      <c r="S131" s="594" cm="1">
        <f t="array" ref="S131">_xlfn.IFERROR(IF(B131&gt;5,IF(B131&gt;11,IF(B131&gt;15,4,3),2),IF(B131=0,"N/A",1))*SUM('Direct Costs 2026'!$C$67:$C$68),"N/A")</f>
        <v>1468800</v>
      </c>
      <c r="T131" s="594" cm="1">
        <f t="array" ref="T131">_xlfn.IFERROR('Direct Costs 2026'!$C$27*C131,"N/A")</f>
        <v>0</v>
      </c>
      <c r="U131" s="594" cm="1">
        <f t="array" ref="U131">_xlfn.IFERROR(C131+SUM(E131:T131),"N/A")</f>
        <v>12814533.3333333</v>
      </c>
      <c r="V131" s="424"/>
      <c r="W131" s="594" cm="1">
        <f t="array" ref="W131">IF(B131&gt;0,'Allocation OH and Target 2026'!$E$27,"N/A")</f>
        <v>2134447.30345641</v>
      </c>
      <c r="X131" s="594" cm="1">
        <f t="array" ref="X131">IF(B131&gt;0,'Allocation OH and Target 2026'!$E$28,"N/A")</f>
        <v>200042.323056976</v>
      </c>
      <c r="Y131" s="594" cm="1">
        <f t="array" ref="Y131">IF(B131&gt;0,VLOOKUP(C117,'Allocation OH and Target 2026'!$C$5:$T$23,17,0),"N/A")</f>
        <v>1319153.22736842</v>
      </c>
      <c r="Z131" s="594" cm="1">
        <f t="array" ref="Z131">IF(B131&gt;0,VLOOKUP(C117,'Allocation OH and Target 2026'!$C$5:$T$23,18,0),"N/A")</f>
        <v>126841.656477733</v>
      </c>
      <c r="AA131" s="594" cm="1">
        <f t="array" ref="AA131">_xlfn.IFERROR(B131*(X131+Z131),"N/A")</f>
        <v>3922607.75441651</v>
      </c>
      <c r="AB131" s="424"/>
      <c r="AC131" s="594" cm="1">
        <f t="array" ref="AC131">_xlfn.IFERROR(AA131+U131,"N/A")</f>
        <v>16737141.0877498</v>
      </c>
      <c r="AD131" s="594" cm="1">
        <f t="array" ref="AD131">_xlfn.IFERROR(AC131*0.5%,"N/A")</f>
        <v>83685.705438749006</v>
      </c>
      <c r="AE131" s="594" cm="1">
        <f t="array" ref="AE131">_xlfn.IFERROR(AC131*25%,"N/A")</f>
        <v>4184285.27193745</v>
      </c>
      <c r="AF131" s="596" cm="1">
        <f t="array" ref="AF131">IF(B131&gt;0,SUM(AC131:AE131),"N/A")</f>
        <v>21005112.065126</v>
      </c>
      <c r="AG131" s="594" cm="1">
        <f t="array" ref="AG131">_xlfn.IFERROR(AF131/B131,"N/A")</f>
        <v>1750426.00542717</v>
      </c>
      <c r="AH131" s="424"/>
      <c r="AI131" t="str" s="604" cm="1">
        <f t="array" ref="AI131">IF(B131/VLOOKUP(C117,'Boats Data Sheet 2026'!$C$3:$H$57,6,0)&gt;VLOOKUP(C117,'Allocation OH and Target 2026'!$C$5:$J$23,8,0),IF(SUM(AJ119:AJ130)=0,AG131,"N/A"),"N/A")</f>
        <v>N/A</v>
      </c>
      <c r="AJ131" s="424" cm="1">
        <f t="array" ref="AJ131">IF(AI131="N/A",0,1)</f>
        <v>0</v>
      </c>
      <c r="AK131" t="str" s="595" cm="1">
        <f t="array" ref="AK131">IF(B131/VLOOKUP(C117,'Boats Data Sheet 2026'!$C$3:$H$57,6,0)&gt;VLOOKUP(C117,'Allocation OH and Target 2026'!$C$5:$J$23,8,0),IF(SUM(AJ119:AJ130)=0,U131/B131,"N/A"),"N/A")</f>
        <v>N/A</v>
      </c>
      <c r="AL131" s="424" cm="1">
        <f t="array" ref="AL131">IF(AK131="N/A",0,1)</f>
        <v>0</v>
      </c>
      <c r="AM131" t="str" s="605" cm="1">
        <f t="array" ref="AM131">IF(SUM(1250000+700000)*B131&lt;SUM(AC131:AD131),"NO GO","GO")</f>
        <v>GO</v>
      </c>
      <c r="AN131" s="424"/>
      <c r="AO131" s="594"/>
      <c r="AP131" s="594"/>
      <c r="AQ131" s="594"/>
      <c r="AR131" s="600"/>
      <c r="AS131" s="601" cm="1">
        <f t="array" ref="AS131">B131</f>
        <v>12</v>
      </c>
    </row>
    <row r="132" ht="16" customHeight="1">
      <c r="A132" s="12"/>
      <c r="B132" s="602" cm="1">
        <f t="array" ref="B132">IF(B131=0,0,IF(B131&lt;VLOOKUP(C117,'Boats Data Sheet 2026'!$C$3:$H$57,6,0),B131+1,0))</f>
        <v>13</v>
      </c>
      <c r="C132" s="594" cm="1">
        <f t="array" ref="C132">IF(B132&gt;0,IF(VLOOKUP(C117,'Boats Data Sheet 2026'!$C$3:$J$57,8,0)="N/A",0,VLOOKUP(C117,'Boats Data Sheet 2026'!$C$3:$J$57,8,0)),"N/A")</f>
        <v>0</v>
      </c>
      <c r="D132" s="603" cm="1">
        <f t="array" ref="D132">IF(B132&gt;7,2,IF(B132=0,"N/A",1))</f>
        <v>2</v>
      </c>
      <c r="E132" s="594" cm="1">
        <f t="array" ref="E132">_xlfn.IFERROR(SUM('Direct Costs 2026'!$C$4:$C$6)*D132,"N/A")</f>
        <v>1951000</v>
      </c>
      <c r="F132" s="594" cm="1">
        <f t="array" ref="F132">_xlfn.IFERROR('Direct Costs 2026'!$C$43*B132,"N/A")</f>
        <v>78000</v>
      </c>
      <c r="G132" s="594" cm="1">
        <f t="array" ref="G132">IF(B132&gt;0,'Direct Costs 2026'!$C$25,"N/A")</f>
        <v>90000</v>
      </c>
      <c r="H132" s="594" cm="1">
        <f t="array" ref="H132">IF(B132&gt;0,'Direct Costs 2026'!$C$19+'Direct Costs 2026'!$C$18*B132,"N/A")</f>
        <v>530000</v>
      </c>
      <c r="I132" s="594" cm="1">
        <f t="array" ref="I132">IF(B132&gt;0,SUM('Direct Costs 2026'!$C$20:$C$21),"N/A")</f>
        <v>98333.3333333333</v>
      </c>
      <c r="J132" s="594" cm="1">
        <f t="array" ref="J132">IF(B132&gt;0,'Direct Costs 2026'!$C$14,"N/A")</f>
        <v>60000</v>
      </c>
      <c r="K132" s="594" cm="1">
        <f t="array" ref="K132">IF(B132&gt;0,'Direct Costs 2026'!$C$26,"N/A")</f>
        <v>20000</v>
      </c>
      <c r="L132" s="594" cm="1">
        <f t="array" ref="L132">IF(B132&gt;0,SUM('Direct Costs 2026'!$C$23:$C$24),"N/A")</f>
        <v>160000</v>
      </c>
      <c r="M132" s="594" cm="1">
        <f t="array" ref="M132">IF(B132&gt;0,'Direct Costs 2026'!$C$47*B132,"N/A")</f>
        <v>2340000</v>
      </c>
      <c r="N132" s="594" cm="1">
        <f t="array" ref="N132">IF($B132&gt;0,'Direct Costs 2026'!$C$30,"N/A")</f>
        <v>440000</v>
      </c>
      <c r="O132" s="594" cm="1">
        <f t="array" ref="O132">IF($B132&gt;0,'Direct Costs 2026'!$C$31,"N/A")</f>
        <v>870000</v>
      </c>
      <c r="P132" s="594" cm="1">
        <f t="array" ref="P132">IF(B132&gt;0,'Direct Costs 2026'!$C$59*B132,"N/A")</f>
        <v>533000</v>
      </c>
      <c r="Q132" s="594" cm="1">
        <f t="array" ref="Q132">IF(B132&gt;0,_xlfn.IFERROR(VLOOKUP(C117,'Boats Data Sheet 2026'!$C$3:$I$57,7,0)*'Direct Costs 2026'!$C$36,"N/A"),"N/A")</f>
        <v>3325000</v>
      </c>
      <c r="R132" s="594" cm="1">
        <f t="array" ref="R132">IF(B132&gt;0,IF(OR(VLOOKUP(C117,'Boats Data Sheet 2026'!$C$3:$F$57,4,0)="Own",VLOOKUP(C117,'Boats Data Sheet 2026'!$C$3:$F$57,4,0)="Management"),('Direct Costs 2026'!$C$37+'Direct Costs 2026'!$C$39),"N/A"),"N/A")</f>
        <v>1112400</v>
      </c>
      <c r="S132" s="594" cm="1">
        <f t="array" ref="S132">_xlfn.IFERROR(IF(B132&gt;5,IF(B132&gt;11,IF(B132&gt;15,4,3),2),IF(B132=0,"N/A",1))*SUM('Direct Costs 2026'!$C$67:$C$68),"N/A")</f>
        <v>1468800</v>
      </c>
      <c r="T132" s="594" cm="1">
        <f t="array" ref="T132">_xlfn.IFERROR('Direct Costs 2026'!$C$27*C132,"N/A")</f>
        <v>0</v>
      </c>
      <c r="U132" s="594" cm="1">
        <f t="array" ref="U132">_xlfn.IFERROR(C132+SUM(E132:T132),"N/A")</f>
        <v>13076533.3333333</v>
      </c>
      <c r="V132" s="424"/>
      <c r="W132" s="594" cm="1">
        <f t="array" ref="W132">IF(B132&gt;0,'Allocation OH and Target 2026'!$E$27,"N/A")</f>
        <v>2134447.30345641</v>
      </c>
      <c r="X132" s="594" cm="1">
        <f t="array" ref="X132">IF(B132&gt;0,'Allocation OH and Target 2026'!$E$28,"N/A")</f>
        <v>200042.323056976</v>
      </c>
      <c r="Y132" s="594" cm="1">
        <f t="array" ref="Y132">IF(B132&gt;0,VLOOKUP(C117,'Allocation OH and Target 2026'!$C$5:$T$23,17,0),"N/A")</f>
        <v>1319153.22736842</v>
      </c>
      <c r="Z132" s="594" cm="1">
        <f t="array" ref="Z132">IF(B132&gt;0,VLOOKUP(C117,'Allocation OH and Target 2026'!$C$5:$T$23,18,0),"N/A")</f>
        <v>126841.656477733</v>
      </c>
      <c r="AA132" s="594" cm="1">
        <f t="array" ref="AA132">_xlfn.IFERROR(B132*(X132+Z132),"N/A")</f>
        <v>4249491.73395122</v>
      </c>
      <c r="AB132" s="424"/>
      <c r="AC132" s="594" cm="1">
        <f t="array" ref="AC132">_xlfn.IFERROR(AA132+U132,"N/A")</f>
        <v>17326025.0672845</v>
      </c>
      <c r="AD132" s="594" cm="1">
        <f t="array" ref="AD132">_xlfn.IFERROR(AC132*0.5%,"N/A")</f>
        <v>86630.1253364225</v>
      </c>
      <c r="AE132" s="594" cm="1">
        <f t="array" ref="AE132">_xlfn.IFERROR(AC132*25%,"N/A")</f>
        <v>4331506.26682113</v>
      </c>
      <c r="AF132" s="596" cm="1">
        <f t="array" ref="AF132">IF(B132&gt;0,SUM(AC132:AE132),"N/A")</f>
        <v>21744161.4594421</v>
      </c>
      <c r="AG132" s="594" cm="1">
        <f t="array" ref="AG132">_xlfn.IFERROR(AF132/B132,"N/A")</f>
        <v>1672627.80457247</v>
      </c>
      <c r="AH132" s="424"/>
      <c r="AI132" t="str" s="604" cm="1">
        <f t="array" ref="AI132">IF(B132/VLOOKUP(C117,'Boats Data Sheet 2026'!$C$3:$H$57,6,0)&gt;VLOOKUP(C117,'Allocation OH and Target 2026'!$C$5:$J$23,8,0),IF(SUM(AJ119:AJ131)=0,AG132,"N/A"),"N/A")</f>
        <v>N/A</v>
      </c>
      <c r="AJ132" s="424" cm="1">
        <f t="array" ref="AJ132">IF(AI132="N/A",0,1)</f>
        <v>0</v>
      </c>
      <c r="AK132" t="str" s="595" cm="1">
        <f t="array" ref="AK132">IF(B132/VLOOKUP(C117,'Boats Data Sheet 2026'!$C$3:$H$57,6,0)&gt;VLOOKUP(C117,'Allocation OH and Target 2026'!$C$5:$J$23,8,0),IF(SUM(AJ119:AJ131)=0,U132/B132,"N/A"),"N/A")</f>
        <v>N/A</v>
      </c>
      <c r="AL132" s="424" cm="1">
        <f t="array" ref="AL132">IF(AK132="N/A",0,1)</f>
        <v>0</v>
      </c>
      <c r="AM132" t="str" s="605" cm="1">
        <f t="array" ref="AM132">IF(SUM(1250000+700000)*B132&lt;SUM(AC132:AD132),"NO GO","GO")</f>
        <v>GO</v>
      </c>
      <c r="AN132" s="424"/>
      <c r="AO132" s="594"/>
      <c r="AP132" s="594"/>
      <c r="AQ132" s="594"/>
      <c r="AR132" s="600"/>
      <c r="AS132" s="601" cm="1">
        <f t="array" ref="AS132">B132</f>
        <v>13</v>
      </c>
    </row>
    <row r="133" ht="16" customHeight="1">
      <c r="A133" s="12"/>
      <c r="B133" s="602" cm="1">
        <f t="array" ref="B133">IF(B132=0,0,IF(B132&lt;VLOOKUP(C117,'Boats Data Sheet 2026'!$C$3:$H$57,6,0),B132+1,0))</f>
        <v>0</v>
      </c>
      <c r="C133" t="str" s="595" cm="1">
        <f t="array" ref="C133">IF(B133&gt;0,IF(VLOOKUP(C117,'Boats Data Sheet 2026'!$C$3:$J$57,8,0)="N/A",0,VLOOKUP(C117,'Boats Data Sheet 2026'!$C$3:$J$57,8,0)),"N/A")</f>
        <v>N/A</v>
      </c>
      <c r="D133" t="str" s="595" cm="1">
        <f t="array" ref="D133">IF(B133&gt;7,2,IF(B133=0,"N/A",1))</f>
        <v>N/A</v>
      </c>
      <c r="E133" t="str" s="595" cm="1">
        <f t="array" ref="E133">_xlfn.IFERROR(SUM('Direct Costs 2026'!$C$4:$C$6)*D133,"N/A")</f>
        <v>N/A</v>
      </c>
      <c r="F133" s="594" cm="1">
        <f t="array" ref="F133">_xlfn.IFERROR('Direct Costs 2026'!$C$43*B133,"N/A")</f>
        <v>0</v>
      </c>
      <c r="G133" t="str" s="595" cm="1">
        <f t="array" ref="G133">IF(B133&gt;0,'Direct Costs 2026'!$C$25,"N/A")</f>
        <v>N/A</v>
      </c>
      <c r="H133" t="str" s="595" cm="1">
        <f t="array" ref="H133">IF(B133&gt;0,'Direct Costs 2026'!$C$19+'Direct Costs 2026'!$C$18*B133,"N/A")</f>
        <v>N/A</v>
      </c>
      <c r="I133" t="str" s="595" cm="1">
        <f t="array" ref="I133">IF(B133&gt;0,SUM('Direct Costs 2026'!$C$20:$C$21),"N/A")</f>
        <v>N/A</v>
      </c>
      <c r="J133" t="str" s="595" cm="1">
        <f t="array" ref="J133">IF(B133&gt;0,'Direct Costs 2026'!$C$14,"N/A")</f>
        <v>N/A</v>
      </c>
      <c r="K133" t="str" s="595" cm="1">
        <f t="array" ref="K133">IF(B133&gt;0,'Direct Costs 2026'!$C$26,"N/A")</f>
        <v>N/A</v>
      </c>
      <c r="L133" t="str" s="595" cm="1">
        <f t="array" ref="L133">IF(B133&gt;0,SUM('Direct Costs 2026'!$C$23:$C$24),"N/A")</f>
        <v>N/A</v>
      </c>
      <c r="M133" t="str" s="595" cm="1">
        <f t="array" ref="M133">IF(B133&gt;0,'Direct Costs 2026'!$C$47*B133,"N/A")</f>
        <v>N/A</v>
      </c>
      <c r="N133" t="str" s="595" cm="1">
        <f t="array" ref="N133">IF($B133&gt;0,'Direct Costs 2026'!$C$30,"N/A")</f>
        <v>N/A</v>
      </c>
      <c r="O133" t="str" s="595" cm="1">
        <f t="array" ref="O133">IF($B133&gt;0,'Direct Costs 2026'!$C$31,"N/A")</f>
        <v>N/A</v>
      </c>
      <c r="P133" t="str" s="595" cm="1">
        <f t="array" ref="P133">IF(B133&gt;0,'Direct Costs 2026'!$C$59*B133,"N/A")</f>
        <v>N/A</v>
      </c>
      <c r="Q133" t="str" s="595" cm="1">
        <f t="array" ref="Q133">IF(B133&gt;0,_xlfn.IFERROR(VLOOKUP(C117,'Boats Data Sheet 2026'!$C$3:$I$57,7,0)*'Direct Costs 2026'!$C$36,"N/A"),"N/A")</f>
        <v>N/A</v>
      </c>
      <c r="R133" t="str" s="595" cm="1">
        <f t="array" ref="R133">IF(B133&gt;0,IF(OR(VLOOKUP(C117,'Boats Data Sheet 2026'!$C$3:$F$57,4,0)="Own",VLOOKUP(C117,'Boats Data Sheet 2026'!$C$3:$F$57,4,0)="Management"),('Direct Costs 2026'!$C$37+'Direct Costs 2026'!$C$39),"N/A"),"N/A")</f>
        <v>N/A</v>
      </c>
      <c r="S133" t="str" s="595" cm="1">
        <f t="array" ref="S133">_xlfn.IFERROR(IF(B133&gt;5,IF(B133&gt;11,IF(B133&gt;15,4,3),2),IF(B133=0,"N/A",1))*SUM('Direct Costs 2026'!$C$67:$C$68),"N/A")</f>
        <v>N/A</v>
      </c>
      <c r="T133" t="str" s="595" cm="1">
        <f t="array" ref="T133">_xlfn.IFERROR('Direct Costs 2026'!$C$27*C133,"N/A")</f>
        <v>N/A</v>
      </c>
      <c r="U133" t="str" s="595" cm="1">
        <f t="array" ref="U133">_xlfn.IFERROR(C133+SUM(E133:T133),"N/A")</f>
        <v>N/A</v>
      </c>
      <c r="V133" s="424"/>
      <c r="W133" t="str" s="595" cm="1">
        <f t="array" ref="W133">IF(B133&gt;0,'Allocation OH and Target 2026'!$E$27,"N/A")</f>
        <v>N/A</v>
      </c>
      <c r="X133" t="str" s="595" cm="1">
        <f t="array" ref="X133">IF(B133&gt;0,'Allocation OH and Target 2026'!$E$28,"N/A")</f>
        <v>N/A</v>
      </c>
      <c r="Y133" t="str" s="595" cm="1">
        <f t="array" ref="Y133">IF(B133&gt;0,VLOOKUP(C117,'Allocation OH and Target 2026'!$C$5:$T$23,17,0),"N/A")</f>
        <v>N/A</v>
      </c>
      <c r="Z133" t="str" s="595" cm="1">
        <f t="array" ref="Z133">IF(B133&gt;0,VLOOKUP(C117,'Allocation OH and Target 2026'!$C$5:$T$23,18,0),"N/A")</f>
        <v>N/A</v>
      </c>
      <c r="AA133" t="str" s="595" cm="1">
        <f t="array" ref="AA133">_xlfn.IFERROR(B133*(X133+Z133),"N/A")</f>
        <v>N/A</v>
      </c>
      <c r="AB133" s="424"/>
      <c r="AC133" t="str" s="595" cm="1">
        <f t="array" ref="AC133">_xlfn.IFERROR(AA133+U133,"N/A")</f>
        <v>N/A</v>
      </c>
      <c r="AD133" t="str" s="595" cm="1">
        <f t="array" ref="AD133">_xlfn.IFERROR(AC133*0.5%,"N/A")</f>
        <v>N/A</v>
      </c>
      <c r="AE133" t="str" s="595" cm="1">
        <f t="array" ref="AE133">_xlfn.IFERROR(AC133*25%,"N/A")</f>
        <v>N/A</v>
      </c>
      <c r="AF133" t="str" s="604" cm="1">
        <f t="array" ref="AF133">IF(B133&gt;0,SUM(AC133:AE133),"N/A")</f>
        <v>N/A</v>
      </c>
      <c r="AG133" t="str" s="595" cm="1">
        <f t="array" ref="AG133">_xlfn.IFERROR(AF133/B133,"N/A")</f>
        <v>N/A</v>
      </c>
      <c r="AH133" s="424"/>
      <c r="AI133" t="str" s="604" cm="1">
        <f t="array" ref="AI133">IF(B133/VLOOKUP(C117,'Boats Data Sheet 2026'!$C$3:$H$57,6,0)&gt;VLOOKUP(C117,'Allocation OH and Target 2026'!$C$5:$J$23,8,0),IF(SUM(AJ119:AJ132)=0,AG133,"N/A"),"N/A")</f>
        <v>N/A</v>
      </c>
      <c r="AJ133" s="424" cm="1">
        <f t="array" ref="AJ133">IF(AI133="N/A",0,1)</f>
        <v>0</v>
      </c>
      <c r="AK133" t="str" s="595" cm="1">
        <f t="array" ref="AK133">IF(B133/VLOOKUP(C117,'Boats Data Sheet 2026'!$C$3:$H$57,6,0)&gt;VLOOKUP(C117,'Allocation OH and Target 2026'!$C$5:$J$23,8,0),IF(SUM(AJ119:AJ132)=0,U133/B133,"N/A"),"N/A")</f>
        <v>N/A</v>
      </c>
      <c r="AL133" s="424" cm="1">
        <f t="array" ref="AL133">IF(AK133="N/A",0,1)</f>
        <v>0</v>
      </c>
      <c r="AM133" t="str" s="605" cm="1">
        <f t="array" ref="AM133">IF(SUM(1250000+700000)*B133&lt;SUM(AC133:AD133),"NO GO","GO")</f>
        <v>GO</v>
      </c>
      <c r="AN133" s="424"/>
      <c r="AO133" s="594"/>
      <c r="AP133" s="594"/>
      <c r="AQ133" s="594"/>
      <c r="AR133" s="600"/>
      <c r="AS133" s="601" cm="1">
        <f t="array" ref="AS133">B133</f>
        <v>0</v>
      </c>
    </row>
    <row r="134" ht="16" customHeight="1">
      <c r="A134" s="12"/>
      <c r="B134" s="602" cm="1">
        <f t="array" ref="B134">IF(B133=0,0,IF(B133&lt;VLOOKUP(C117,'Boats Data Sheet 2026'!$C$3:$H$57,6,0),B133+1,0))</f>
        <v>0</v>
      </c>
      <c r="C134" t="str" s="595" cm="1">
        <f t="array" ref="C134">IF(B134&gt;0,IF(VLOOKUP(C117,'Boats Data Sheet 2026'!$C$3:$J$57,8,0)="N/A",0,VLOOKUP(C117,'Boats Data Sheet 2026'!$C$3:$J$57,8,0)),"N/A")</f>
        <v>N/A</v>
      </c>
      <c r="D134" t="str" s="595" cm="1">
        <f t="array" ref="D134">IF(B134&gt;7,2,IF(B134=0,"N/A",1))</f>
        <v>N/A</v>
      </c>
      <c r="E134" t="str" s="595" cm="1">
        <f t="array" ref="E134">_xlfn.IFERROR(SUM('Direct Costs 2026'!$C$4:$C$6)*D134,"N/A")</f>
        <v>N/A</v>
      </c>
      <c r="F134" s="594" cm="1">
        <f t="array" ref="F134">_xlfn.IFERROR('Direct Costs 2026'!$C$43*B134,"N/A")</f>
        <v>0</v>
      </c>
      <c r="G134" t="str" s="595" cm="1">
        <f t="array" ref="G134">IF(B134&gt;0,'Direct Costs 2026'!$C$25,"N/A")</f>
        <v>N/A</v>
      </c>
      <c r="H134" t="str" s="595" cm="1">
        <f t="array" ref="H134">IF(B134&gt;0,'Direct Costs 2026'!$C$19+'Direct Costs 2026'!$C$18*B134,"N/A")</f>
        <v>N/A</v>
      </c>
      <c r="I134" t="str" s="595" cm="1">
        <f t="array" ref="I134">IF(B134&gt;0,SUM('Direct Costs 2026'!$C$20:$C$21),"N/A")</f>
        <v>N/A</v>
      </c>
      <c r="J134" t="str" s="595" cm="1">
        <f t="array" ref="J134">IF(B134&gt;0,'Direct Costs 2026'!$C$14,"N/A")</f>
        <v>N/A</v>
      </c>
      <c r="K134" t="str" s="595" cm="1">
        <f t="array" ref="K134">IF(B134&gt;0,'Direct Costs 2026'!$C$26,"N/A")</f>
        <v>N/A</v>
      </c>
      <c r="L134" t="str" s="595" cm="1">
        <f t="array" ref="L134">IF(B134&gt;0,SUM('Direct Costs 2026'!$C$23:$C$24),"N/A")</f>
        <v>N/A</v>
      </c>
      <c r="M134" t="str" s="595" cm="1">
        <f t="array" ref="M134">IF(B134&gt;0,'Direct Costs 2026'!$C$47*B134,"N/A")</f>
        <v>N/A</v>
      </c>
      <c r="N134" t="str" s="595" cm="1">
        <f t="array" ref="N134">IF($B134&gt;0,'Direct Costs 2026'!$C$30,"N/A")</f>
        <v>N/A</v>
      </c>
      <c r="O134" t="str" s="595" cm="1">
        <f t="array" ref="O134">IF($B134&gt;0,'Direct Costs 2026'!$C$31,"N/A")</f>
        <v>N/A</v>
      </c>
      <c r="P134" t="str" s="595" cm="1">
        <f t="array" ref="P134">IF(B134&gt;0,'Direct Costs 2026'!$C$59*B134,"N/A")</f>
        <v>N/A</v>
      </c>
      <c r="Q134" t="str" s="595" cm="1">
        <f t="array" ref="Q134">IF(B134&gt;0,_xlfn.IFERROR(VLOOKUP(C117,'Boats Data Sheet 2026'!$C$3:$I$57,7,0)*'Direct Costs 2026'!$C$36,"N/A"),"N/A")</f>
        <v>N/A</v>
      </c>
      <c r="R134" t="str" s="595" cm="1">
        <f t="array" ref="R134">IF(B134&gt;0,IF(OR(VLOOKUP(C117,'Boats Data Sheet 2026'!$C$3:$F$57,4,0)="Own",VLOOKUP(C117,'Boats Data Sheet 2026'!$C$3:$F$57,4,0)="Management"),('Direct Costs 2026'!$C$37+'Direct Costs 2026'!$C$39),"N/A"),"N/A")</f>
        <v>N/A</v>
      </c>
      <c r="S134" t="str" s="595" cm="1">
        <f t="array" ref="S134">_xlfn.IFERROR(IF(B134&gt;5,IF(B134&gt;11,IF(B134&gt;15,4,3),2),IF(B134=0,"N/A",1))*SUM('Direct Costs 2026'!$C$67:$C$68),"N/A")</f>
        <v>N/A</v>
      </c>
      <c r="T134" t="str" s="595" cm="1">
        <f t="array" ref="T134">_xlfn.IFERROR('Direct Costs 2026'!$C$27*C134,"N/A")</f>
        <v>N/A</v>
      </c>
      <c r="U134" t="str" s="595" cm="1">
        <f t="array" ref="U134">_xlfn.IFERROR(C134+SUM(E134:T134),"N/A")</f>
        <v>N/A</v>
      </c>
      <c r="V134" s="424"/>
      <c r="W134" t="str" s="595" cm="1">
        <f t="array" ref="W134">IF(B134&gt;0,'Allocation OH and Target 2026'!$E$27,"N/A")</f>
        <v>N/A</v>
      </c>
      <c r="X134" t="str" s="595" cm="1">
        <f t="array" ref="X134">IF(B134&gt;0,'Allocation OH and Target 2026'!$E$28,"N/A")</f>
        <v>N/A</v>
      </c>
      <c r="Y134" t="str" s="595" cm="1">
        <f t="array" ref="Y134">IF(B134&gt;0,VLOOKUP(C117,'Allocation OH and Target 2026'!$C$5:$T$23,17,0),"N/A")</f>
        <v>N/A</v>
      </c>
      <c r="Z134" t="str" s="595" cm="1">
        <f t="array" ref="Z134">IF(B134&gt;0,VLOOKUP(C117,'Allocation OH and Target 2026'!$C$5:$T$23,18,0),"N/A")</f>
        <v>N/A</v>
      </c>
      <c r="AA134" t="str" s="595" cm="1">
        <f t="array" ref="AA134">_xlfn.IFERROR(X134*B134+Z134,"N/A")</f>
        <v>N/A</v>
      </c>
      <c r="AB134" s="424"/>
      <c r="AC134" t="str" s="595" cm="1">
        <f t="array" ref="AC134">_xlfn.IFERROR(AA134+U134,"N/A")</f>
        <v>N/A</v>
      </c>
      <c r="AD134" t="str" s="595" cm="1">
        <f t="array" ref="AD134">_xlfn.IFERROR(AC134*0.5%,"N/A")</f>
        <v>N/A</v>
      </c>
      <c r="AE134" t="str" s="595" cm="1">
        <f t="array" ref="AE134">_xlfn.IFERROR(AC134*25%,"N/A")</f>
        <v>N/A</v>
      </c>
      <c r="AF134" t="str" s="604" cm="1">
        <f t="array" ref="AF134">IF(B134&gt;0,SUM(AC134:AE134),"N/A")</f>
        <v>N/A</v>
      </c>
      <c r="AG134" t="str" s="595" cm="1">
        <f t="array" ref="AG134">_xlfn.IFERROR(AF134/B134,"N/A")</f>
        <v>N/A</v>
      </c>
      <c r="AH134" s="424"/>
      <c r="AI134" t="str" s="604" cm="1">
        <f t="array" ref="AI134">IF(B134/VLOOKUP(C117,'Boats Data Sheet 2026'!$C$3:$H$57,6,0)&gt;VLOOKUP(C117,'Allocation OH and Target 2026'!$C$5:$J$23,8,0),IF(SUM(AJ119:AJ133)=0,AG134,"N/A"),"N/A")</f>
        <v>N/A</v>
      </c>
      <c r="AJ134" s="424" cm="1">
        <f t="array" ref="AJ134">IF(AI134="N/A",0,1)</f>
        <v>0</v>
      </c>
      <c r="AK134" t="str" s="595" cm="1">
        <f t="array" ref="AK134">IF(B134/VLOOKUP(C117,'Boats Data Sheet 2026'!$C$3:$H$57,6,0)&gt;VLOOKUP(C117,'Allocation OH and Target 2026'!$C$5:$J$23,8,0),IF(SUM(AJ119:AJ133)=0,U134/B134,"N/A"),"N/A")</f>
        <v>N/A</v>
      </c>
      <c r="AL134" s="424" cm="1">
        <f t="array" ref="AL134">IF(AK134="N/A",0,1)</f>
        <v>0</v>
      </c>
      <c r="AM134" t="str" s="605" cm="1">
        <f t="array" ref="AM134">IF(SUM(1250000+700000)*B134&lt;SUM(AC134:AD134),"NO GO","GO")</f>
        <v>GO</v>
      </c>
      <c r="AN134" s="424"/>
      <c r="AO134" s="594"/>
      <c r="AP134" s="594"/>
      <c r="AQ134" s="594"/>
      <c r="AR134" s="600"/>
      <c r="AS134" s="601" cm="1">
        <f t="array" ref="AS134">B134</f>
        <v>0</v>
      </c>
    </row>
    <row r="135" ht="16" customHeight="1">
      <c r="A135" s="12"/>
      <c r="B135" s="602" cm="1">
        <f t="array" ref="B135">IF(B134=0,0,IF(B134&lt;VLOOKUP(C117,'Boats Data Sheet 2026'!$C$3:$H$57,6,0),B134+1,0))</f>
        <v>0</v>
      </c>
      <c r="C135" t="str" s="595" cm="1">
        <f t="array" ref="C135">IF(B135&gt;0,IF(VLOOKUP(C117,'Boats Data Sheet 2026'!$C$3:$J$57,8,0)="N/A",0,VLOOKUP(C117,'Boats Data Sheet 2026'!$C$3:$J$57,8,0)),"N/A")</f>
        <v>N/A</v>
      </c>
      <c r="D135" t="str" s="595" cm="1">
        <f t="array" ref="D135">IF(B135&gt;7,2,IF(B135=0,"N/A",1))</f>
        <v>N/A</v>
      </c>
      <c r="E135" t="str" s="595" cm="1">
        <f t="array" ref="E135">_xlfn.IFERROR(SUM('Direct Costs 2026'!$C$4:$C$6)*D135,"N/A")</f>
        <v>N/A</v>
      </c>
      <c r="F135" s="594" cm="1">
        <f t="array" ref="F135">_xlfn.IFERROR('Direct Costs 2026'!$C$43*B135,"N/A")</f>
        <v>0</v>
      </c>
      <c r="G135" t="str" s="595" cm="1">
        <f t="array" ref="G135">IF(B135&gt;0,'Direct Costs 2026'!$C$25,"N/A")</f>
        <v>N/A</v>
      </c>
      <c r="H135" t="str" s="595" cm="1">
        <f t="array" ref="H135">IF(B135&gt;0,'Direct Costs 2026'!$C$19+'Direct Costs 2026'!$C$18*B135,"N/A")</f>
        <v>N/A</v>
      </c>
      <c r="I135" t="str" s="595" cm="1">
        <f t="array" ref="I135">IF(B135&gt;0,SUM('Direct Costs 2026'!$C$20:$C$21),"N/A")</f>
        <v>N/A</v>
      </c>
      <c r="J135" t="str" s="595" cm="1">
        <f t="array" ref="J135">IF(B135&gt;0,'Direct Costs 2026'!$C$14,"N/A")</f>
        <v>N/A</v>
      </c>
      <c r="K135" t="str" s="595" cm="1">
        <f t="array" ref="K135">IF(B135&gt;0,'Direct Costs 2026'!$C$26,"N/A")</f>
        <v>N/A</v>
      </c>
      <c r="L135" t="str" s="595" cm="1">
        <f t="array" ref="L135">IF(B135&gt;0,SUM('Direct Costs 2026'!$C$23:$C$24),"N/A")</f>
        <v>N/A</v>
      </c>
      <c r="M135" t="str" s="595" cm="1">
        <f t="array" ref="M135">IF(B135&gt;0,'Direct Costs 2026'!$C$47*B135,"N/A")</f>
        <v>N/A</v>
      </c>
      <c r="N135" t="str" s="595" cm="1">
        <f t="array" ref="N135">IF($B135&gt;0,'Direct Costs 2026'!$C$30,"N/A")</f>
        <v>N/A</v>
      </c>
      <c r="O135" t="str" s="595" cm="1">
        <f t="array" ref="O135">IF($B135&gt;0,'Direct Costs 2026'!$C$31,"N/A")</f>
        <v>N/A</v>
      </c>
      <c r="P135" t="str" s="595" cm="1">
        <f t="array" ref="P135">IF(B135&gt;0,'Direct Costs 2026'!$C$59*B135,"N/A")</f>
        <v>N/A</v>
      </c>
      <c r="Q135" t="str" s="595" cm="1">
        <f t="array" ref="Q135">IF(B135&gt;0,_xlfn.IFERROR(VLOOKUP(C117,'Boats Data Sheet 2026'!$C$3:$I$57,7,0)*'Direct Costs 2026'!$C$36,"N/A"),"N/A")</f>
        <v>N/A</v>
      </c>
      <c r="R135" t="str" s="595" cm="1">
        <f t="array" ref="R135">IF(B135&gt;0,IF(OR(VLOOKUP(C117,'Boats Data Sheet 2026'!$C$3:$F$57,4,0)="Own",VLOOKUP(C117,'Boats Data Sheet 2026'!$C$3:$F$57,4,0)="Management"),('Direct Costs 2026'!$C$37+'Direct Costs 2026'!$C$39),"N/A"),"N/A")</f>
        <v>N/A</v>
      </c>
      <c r="S135" t="str" s="595" cm="1">
        <f t="array" ref="S135">_xlfn.IFERROR(IF(B135&gt;5,IF(B135&gt;11,IF(B135&gt;15,4,3),2),IF(B135=0,"N/A",1))*SUM('Direct Costs 2026'!$C$67:$C$68),"N/A")</f>
        <v>N/A</v>
      </c>
      <c r="T135" t="str" s="595" cm="1">
        <f t="array" ref="T135">_xlfn.IFERROR('Direct Costs 2026'!$C$27*C135,"N/A")</f>
        <v>N/A</v>
      </c>
      <c r="U135" t="str" s="595" cm="1">
        <f t="array" ref="U135">_xlfn.IFERROR(C135+SUM(E135:T135),"N/A")</f>
        <v>N/A</v>
      </c>
      <c r="V135" s="424"/>
      <c r="W135" t="str" s="595" cm="1">
        <f t="array" ref="W135">IF(B135&gt;0,'Allocation OH and Target 2026'!$E$27,"N/A")</f>
        <v>N/A</v>
      </c>
      <c r="X135" t="str" s="595" cm="1">
        <f t="array" ref="X135">IF(B135&gt;0,'Allocation OH and Target 2026'!$E$28,"N/A")</f>
        <v>N/A</v>
      </c>
      <c r="Y135" t="str" s="595" cm="1">
        <f t="array" ref="Y135">IF(B135&gt;0,VLOOKUP(C117,'Allocation OH and Target 2026'!$C$5:$T$23,17,0),"N/A")</f>
        <v>N/A</v>
      </c>
      <c r="Z135" t="str" s="595" cm="1">
        <f t="array" ref="Z135">IF(B135&gt;0,VLOOKUP(C117,'Allocation OH and Target 2026'!$C$5:$T$23,18,0),"N/A")</f>
        <v>N/A</v>
      </c>
      <c r="AA135" t="str" s="595" cm="1">
        <f t="array" ref="AA135">_xlfn.IFERROR(X135*B135+Z135,"N/A")</f>
        <v>N/A</v>
      </c>
      <c r="AB135" s="424"/>
      <c r="AC135" t="str" s="595" cm="1">
        <f t="array" ref="AC135">_xlfn.IFERROR(AA135+U135,"N/A")</f>
        <v>N/A</v>
      </c>
      <c r="AD135" t="str" s="595" cm="1">
        <f t="array" ref="AD135">_xlfn.IFERROR(AC135*0.5%,"N/A")</f>
        <v>N/A</v>
      </c>
      <c r="AE135" t="str" s="595" cm="1">
        <f t="array" ref="AE135">_xlfn.IFERROR(AC135*25%,"N/A")</f>
        <v>N/A</v>
      </c>
      <c r="AF135" t="str" s="604" cm="1">
        <f t="array" ref="AF135">IF(B135&gt;0,SUM(AC135:AE135),"N/A")</f>
        <v>N/A</v>
      </c>
      <c r="AG135" t="str" s="595" cm="1">
        <f t="array" ref="AG135">_xlfn.IFERROR(AF135/B135,"N/A")</f>
        <v>N/A</v>
      </c>
      <c r="AH135" s="424"/>
      <c r="AI135" t="str" s="604" cm="1">
        <f t="array" ref="AI135">IF(B135/VLOOKUP(C117,'Boats Data Sheet 2026'!$C$3:$H$57,6,0)&gt;VLOOKUP(C117,'Allocation OH and Target 2026'!$C$5:$J$23,8,0),IF(SUM(AJ119:AJ134)=0,AG135,"N/A"),"N/A")</f>
        <v>N/A</v>
      </c>
      <c r="AJ135" s="424" cm="1">
        <f t="array" ref="AJ135">IF(AI135="N/A",0,1)</f>
        <v>0</v>
      </c>
      <c r="AK135" t="str" s="595" cm="1">
        <f t="array" ref="AK135">IF(B135/VLOOKUP(C117,'Boats Data Sheet 2026'!$C$3:$H$57,6,0)&gt;VLOOKUP(C117,'Allocation OH and Target 2026'!$C$5:$J$23,8,0),IF(SUM(AJ119:AJ134)=0,U135/B135,"N/A"),"N/A")</f>
        <v>N/A</v>
      </c>
      <c r="AL135" s="424" cm="1">
        <f t="array" ref="AL135">IF(AK135="N/A",0,1)</f>
        <v>0</v>
      </c>
      <c r="AM135" t="str" s="605" cm="1">
        <f t="array" ref="AM135">IF(SUM(1250000+700000)*B135&lt;SUM(AC135:AD135),"NO GO","GO")</f>
        <v>GO</v>
      </c>
      <c r="AN135" s="424"/>
      <c r="AO135" s="594"/>
      <c r="AP135" s="594"/>
      <c r="AQ135" s="594"/>
      <c r="AR135" s="600"/>
      <c r="AS135" s="601" cm="1">
        <f t="array" ref="AS135">B135</f>
        <v>0</v>
      </c>
    </row>
    <row r="136" ht="16" customHeight="1">
      <c r="A136" s="12"/>
      <c r="B136" s="602" cm="1">
        <f t="array" ref="B136">IF(B135=0,0,IF(B135&lt;VLOOKUP(C117,'Boats Data Sheet 2026'!$C$3:$H$57,6,0),B135+1,0))</f>
        <v>0</v>
      </c>
      <c r="C136" t="str" s="595" cm="1">
        <f t="array" ref="C136">IF(B136&gt;0,IF(VLOOKUP(C117,'Boats Data Sheet 2026'!$C$3:$J$57,8,0)="N/A",0,VLOOKUP(C117,'Boats Data Sheet 2026'!$C$3:$J$57,8,0)),"N/A")</f>
        <v>N/A</v>
      </c>
      <c r="D136" t="str" s="595" cm="1">
        <f t="array" ref="D136">IF(B136&gt;7,2,IF(B136=0,"N/A",1))</f>
        <v>N/A</v>
      </c>
      <c r="E136" t="str" s="595" cm="1">
        <f t="array" ref="E136">_xlfn.IFERROR(SUM('Direct Costs 2026'!$C$4:$C$6)*D136,"N/A")</f>
        <v>N/A</v>
      </c>
      <c r="F136" s="594" cm="1">
        <f t="array" ref="F136">_xlfn.IFERROR('Direct Costs 2026'!$C$43*B136,"N/A")</f>
        <v>0</v>
      </c>
      <c r="G136" t="str" s="595" cm="1">
        <f t="array" ref="G136">IF(B136&gt;0,'Direct Costs 2026'!$C$25,"N/A")</f>
        <v>N/A</v>
      </c>
      <c r="H136" t="str" s="595" cm="1">
        <f t="array" ref="H136">IF(B136&gt;0,'Direct Costs 2026'!$C$19+'Direct Costs 2026'!$C$18*B136,"N/A")</f>
        <v>N/A</v>
      </c>
      <c r="I136" t="str" s="595" cm="1">
        <f t="array" ref="I136">IF(B136&gt;0,SUM('Direct Costs 2026'!$C$20:$C$21),"N/A")</f>
        <v>N/A</v>
      </c>
      <c r="J136" t="str" s="595" cm="1">
        <f t="array" ref="J136">IF(B136&gt;0,'Direct Costs 2026'!$C$14,"N/A")</f>
        <v>N/A</v>
      </c>
      <c r="K136" t="str" s="595" cm="1">
        <f t="array" ref="K136">IF(B136&gt;0,'Direct Costs 2026'!$C$26,"N/A")</f>
        <v>N/A</v>
      </c>
      <c r="L136" t="str" s="595" cm="1">
        <f t="array" ref="L136">IF(B136&gt;0,SUM('Direct Costs 2026'!$C$23:$C$24),"N/A")</f>
        <v>N/A</v>
      </c>
      <c r="M136" t="str" s="595" cm="1">
        <f t="array" ref="M136">IF(B136&gt;0,'Direct Costs 2026'!$C$47*B136,"N/A")</f>
        <v>N/A</v>
      </c>
      <c r="N136" t="str" s="595" cm="1">
        <f t="array" ref="N136">IF($B136&gt;0,'Direct Costs 2026'!$C$30,"N/A")</f>
        <v>N/A</v>
      </c>
      <c r="O136" t="str" s="595" cm="1">
        <f t="array" ref="O136">IF($B136&gt;0,'Direct Costs 2026'!$C$31,"N/A")</f>
        <v>N/A</v>
      </c>
      <c r="P136" t="str" s="595" cm="1">
        <f t="array" ref="P136">IF(B136&gt;0,'Direct Costs 2026'!$C$59*B136,"N/A")</f>
        <v>N/A</v>
      </c>
      <c r="Q136" t="str" s="595" cm="1">
        <f t="array" ref="Q136">IF(B136&gt;0,_xlfn.IFERROR(VLOOKUP(C117,'Boats Data Sheet 2026'!$C$3:$I$57,7,0)*'Direct Costs 2026'!$C$36,"N/A"),"N/A")</f>
        <v>N/A</v>
      </c>
      <c r="R136" t="str" s="595" cm="1">
        <f t="array" ref="R136">IF(B136&gt;0,IF(OR(VLOOKUP(C117,'Boats Data Sheet 2026'!$C$3:$F$57,4,0)="Own",VLOOKUP(C117,'Boats Data Sheet 2026'!$C$3:$F$57,4,0)="Management"),('Direct Costs 2026'!$C$37+'Direct Costs 2026'!$C$39),"N/A"),"N/A")</f>
        <v>N/A</v>
      </c>
      <c r="S136" t="str" s="595" cm="1">
        <f t="array" ref="S136">_xlfn.IFERROR(IF(B136&gt;5,IF(B136&gt;11,IF(B136&gt;15,4,3),2),IF(B136=0,"N/A",1))*SUM('Direct Costs 2026'!$C$67:$C$68),"N/A")</f>
        <v>N/A</v>
      </c>
      <c r="T136" t="str" s="595" cm="1">
        <f t="array" ref="T136">_xlfn.IFERROR('Direct Costs 2026'!$C$27*C136,"N/A")</f>
        <v>N/A</v>
      </c>
      <c r="U136" t="str" s="595" cm="1">
        <f t="array" ref="U136">_xlfn.IFERROR(C136+SUM(E136:T136),"N/A")</f>
        <v>N/A</v>
      </c>
      <c r="V136" s="424"/>
      <c r="W136" t="str" s="595" cm="1">
        <f t="array" ref="W136">IF(B136&gt;0,'Allocation OH and Target 2026'!$E$27,"N/A")</f>
        <v>N/A</v>
      </c>
      <c r="X136" t="str" s="595" cm="1">
        <f t="array" ref="X136">IF(B136&gt;0,'Allocation OH and Target 2026'!$E$28,"N/A")</f>
        <v>N/A</v>
      </c>
      <c r="Y136" t="str" s="595" cm="1">
        <f t="array" ref="Y136">IF(B136&gt;0,VLOOKUP(C117,'Allocation OH and Target 2026'!$C$5:$T$23,17,0),"N/A")</f>
        <v>N/A</v>
      </c>
      <c r="Z136" t="str" s="595" cm="1">
        <f t="array" ref="Z136">IF(B136&gt;0,VLOOKUP(C117,'Allocation OH and Target 2026'!$C$5:$T$23,18,0),"N/A")</f>
        <v>N/A</v>
      </c>
      <c r="AA136" t="str" s="595" cm="1">
        <f t="array" ref="AA136">_xlfn.IFERROR(X136*B136+Z136,"N/A")</f>
        <v>N/A</v>
      </c>
      <c r="AB136" s="424"/>
      <c r="AC136" t="str" s="595" cm="1">
        <f t="array" ref="AC136">_xlfn.IFERROR(AA136+U136,"N/A")</f>
        <v>N/A</v>
      </c>
      <c r="AD136" t="str" s="595" cm="1">
        <f t="array" ref="AD136">_xlfn.IFERROR(AC136*0.5%,"N/A")</f>
        <v>N/A</v>
      </c>
      <c r="AE136" t="str" s="595" cm="1">
        <f t="array" ref="AE136">_xlfn.IFERROR(AC136*25%,"N/A")</f>
        <v>N/A</v>
      </c>
      <c r="AF136" t="str" s="604" cm="1">
        <f t="array" ref="AF136">IF(B136&gt;0,SUM(AC136:AE136),"N/A")</f>
        <v>N/A</v>
      </c>
      <c r="AG136" t="str" s="595" cm="1">
        <f t="array" ref="AG136">_xlfn.IFERROR(AF136/B136,"N/A")</f>
        <v>N/A</v>
      </c>
      <c r="AH136" s="424"/>
      <c r="AI136" t="str" s="604" cm="1">
        <f t="array" ref="AI136">IF(B136/VLOOKUP(C117,'Boats Data Sheet 2026'!$C$3:$H$57,6,0)&gt;VLOOKUP(C117,'Allocation OH and Target 2026'!$C$5:$J$23,8,0),IF(SUM(AJ119:AJ135)=0,AG136,"N/A"),"N/A")</f>
        <v>N/A</v>
      </c>
      <c r="AJ136" s="424" cm="1">
        <f t="array" ref="AJ136">IF(AI136="N/A",0,1)</f>
        <v>0</v>
      </c>
      <c r="AK136" t="str" s="595" cm="1">
        <f t="array" ref="AK136">IF(B136/VLOOKUP(C117,'Boats Data Sheet 2026'!$C$3:$H$57,6,0)&gt;VLOOKUP(C117,'Allocation OH and Target 2026'!$C$5:$J$23,8,0),IF(SUM(AJ119:AJ135)=0,U136/B136,"N/A"),"N/A")</f>
        <v>N/A</v>
      </c>
      <c r="AL136" s="424" cm="1">
        <f t="array" ref="AL136">IF(AK136="N/A",0,1)</f>
        <v>0</v>
      </c>
      <c r="AM136" t="str" s="605" cm="1">
        <f t="array" ref="AM136">IF(SUM(1250000+700000)*B136&lt;SUM(AC136:AD136),"NO GO","GO")</f>
        <v>GO</v>
      </c>
      <c r="AN136" s="424"/>
      <c r="AO136" s="594"/>
      <c r="AP136" s="594"/>
      <c r="AQ136" s="594"/>
      <c r="AR136" s="600"/>
      <c r="AS136" s="601" cm="1">
        <f t="array" ref="AS136">B136</f>
        <v>0</v>
      </c>
    </row>
    <row r="137" ht="15.5" customHeight="1">
      <c r="A137" s="12"/>
      <c r="B137" s="606" cm="1">
        <f t="array" ref="B137">IF(B136=0,0,IF(B136&lt;VLOOKUP(C117,'Boats Data Sheet 2026'!$C$3:$H$57,6,0),B136+1,0))</f>
        <v>0</v>
      </c>
      <c r="C137" t="str" s="607" cm="1">
        <f t="array" ref="C137">IF(B137&gt;0,IF(VLOOKUP(C117,'Boats Data Sheet 2026'!$C$3:$J$57,8,0)="N/A",0,VLOOKUP(C117,'Boats Data Sheet 2026'!$C$3:$J$57,8,0)),"N/A")</f>
        <v>N/A</v>
      </c>
      <c r="D137" t="str" s="607" cm="1">
        <f t="array" ref="D137">IF(B137&gt;7,2,IF(B137=0,"N/A",1))</f>
        <v>N/A</v>
      </c>
      <c r="E137" t="str" s="607" cm="1">
        <f t="array" ref="E137">_xlfn.IFERROR(SUM('Direct Costs 2026'!$C$4:$C$6)*D137,"N/A")</f>
        <v>N/A</v>
      </c>
      <c r="F137" s="608" cm="1">
        <f t="array" ref="F137">_xlfn.IFERROR('Direct Costs 2026'!$C$43*B137,"N/A")</f>
        <v>0</v>
      </c>
      <c r="G137" t="str" s="607" cm="1">
        <f t="array" ref="G137">IF(B137&gt;0,'Direct Costs 2026'!$C$25,"N/A")</f>
        <v>N/A</v>
      </c>
      <c r="H137" t="str" s="607" cm="1">
        <f t="array" ref="H137">IF(B137&gt;0,'Direct Costs 2026'!$C$19+'Direct Costs 2026'!$C$18*B137,"N/A")</f>
        <v>N/A</v>
      </c>
      <c r="I137" t="str" s="607" cm="1">
        <f t="array" ref="I137">IF(B137&gt;0,SUM('Direct Costs 2026'!$C$20:$C$21),"N/A")</f>
        <v>N/A</v>
      </c>
      <c r="J137" t="str" s="607" cm="1">
        <f t="array" ref="J137">IF(B137&gt;0,'Direct Costs 2026'!$C$14,"N/A")</f>
        <v>N/A</v>
      </c>
      <c r="K137" t="str" s="607" cm="1">
        <f t="array" ref="K137">IF(B137&gt;0,'Direct Costs 2026'!$C$26,"N/A")</f>
        <v>N/A</v>
      </c>
      <c r="L137" t="str" s="607" cm="1">
        <f t="array" ref="L137">IF(B137&gt;0,SUM('Direct Costs 2026'!$C$23:$C$24),"N/A")</f>
        <v>N/A</v>
      </c>
      <c r="M137" t="str" s="607" cm="1">
        <f t="array" ref="M137">IF(B137&gt;0,'Direct Costs 2026'!$C$47*B137,"N/A")</f>
        <v>N/A</v>
      </c>
      <c r="N137" t="str" s="607" cm="1">
        <f t="array" ref="N137">IF($B137&gt;0,'Direct Costs 2026'!$C$30,"N/A")</f>
        <v>N/A</v>
      </c>
      <c r="O137" t="str" s="607" cm="1">
        <f t="array" ref="O137">IF($B137&gt;0,'Direct Costs 2026'!$C$31,"N/A")</f>
        <v>N/A</v>
      </c>
      <c r="P137" t="str" s="607" cm="1">
        <f t="array" ref="P137">IF(B137&gt;0,'Direct Costs 2026'!$C$59*B137,"N/A")</f>
        <v>N/A</v>
      </c>
      <c r="Q137" t="str" s="607" cm="1">
        <f t="array" ref="Q137">IF(B137&gt;0,_xlfn.IFERROR(VLOOKUP(C117,'Boats Data Sheet 2026'!$C$3:$I$57,7,0)*'Direct Costs 2026'!$C$36,"N/A"),"N/A")</f>
        <v>N/A</v>
      </c>
      <c r="R137" t="str" s="607" cm="1">
        <f t="array" ref="R137">IF(B137&gt;0,IF(OR(VLOOKUP(C117,'Boats Data Sheet 2026'!$C$3:$F$57,4,0)="Own",VLOOKUP(C117,'Boats Data Sheet 2026'!$C$3:$F$57,4,0)="Management"),('Direct Costs 2026'!$C$37+'Direct Costs 2026'!$C$39),"N/A"),"N/A")</f>
        <v>N/A</v>
      </c>
      <c r="S137" t="str" s="607" cm="1">
        <f t="array" ref="S137">_xlfn.IFERROR(IF(B137&gt;5,IF(B137&gt;11,IF(B137&gt;15,4,3),2),IF(B137=0,"N/A",1))*SUM('Direct Costs 2026'!$C$67:$C$68),"N/A")</f>
        <v>N/A</v>
      </c>
      <c r="T137" t="str" s="607" cm="1">
        <f t="array" ref="T137">_xlfn.IFERROR('Direct Costs 2026'!$C$27*C137,"N/A")</f>
        <v>N/A</v>
      </c>
      <c r="U137" t="str" s="607" cm="1">
        <f t="array" ref="U137">_xlfn.IFERROR(C137+SUM(E137:T137),"N/A")</f>
        <v>N/A</v>
      </c>
      <c r="V137" s="435"/>
      <c r="W137" t="str" s="607" cm="1">
        <f t="array" ref="W137">IF(B137&gt;0,'Allocation OH and Target 2026'!$E$27,"N/A")</f>
        <v>N/A</v>
      </c>
      <c r="X137" t="str" s="607" cm="1">
        <f t="array" ref="X137">IF(B137&gt;0,'Allocation OH and Target 2026'!$E$28,"N/A")</f>
        <v>N/A</v>
      </c>
      <c r="Y137" t="str" s="607" cm="1">
        <f t="array" ref="Y137">IF(B137&gt;0,VLOOKUP(C117,'Allocation OH and Target 2026'!$C$5:$T$23,17,0),"N/A")</f>
        <v>N/A</v>
      </c>
      <c r="Z137" t="str" s="607" cm="1">
        <f t="array" ref="Z137">IF(B137&gt;0,VLOOKUP(C117,'Allocation OH and Target 2026'!$C$5:$T$23,18,0),"N/A")</f>
        <v>N/A</v>
      </c>
      <c r="AA137" t="str" s="607" cm="1">
        <f t="array" ref="AA137">_xlfn.IFERROR(X137*B137+Z137,"N/A")</f>
        <v>N/A</v>
      </c>
      <c r="AB137" s="435"/>
      <c r="AC137" t="str" s="607" cm="1">
        <f t="array" ref="AC137">_xlfn.IFERROR(AA137+U137,"N/A")</f>
        <v>N/A</v>
      </c>
      <c r="AD137" t="str" s="607" cm="1">
        <f t="array" ref="AD137">_xlfn.IFERROR(AC137*0.5%,"N/A")</f>
        <v>N/A</v>
      </c>
      <c r="AE137" t="str" s="607" cm="1">
        <f t="array" ref="AE137">_xlfn.IFERROR(AC137*25%,"N/A")</f>
        <v>N/A</v>
      </c>
      <c r="AF137" t="str" s="609" cm="1">
        <f t="array" ref="AF137">IF(B137&gt;0,SUM(AC137:AE137),"N/A")</f>
        <v>N/A</v>
      </c>
      <c r="AG137" t="str" s="607" cm="1">
        <f t="array" ref="AG137">_xlfn.IFERROR(AF137/B137,"N/A")</f>
        <v>N/A</v>
      </c>
      <c r="AH137" s="435"/>
      <c r="AI137" t="str" s="609" cm="1">
        <f t="array" ref="AI137">IF(B137/VLOOKUP(C117,'Boats Data Sheet 2026'!$C$3:$H$57,6,0)&gt;VLOOKUP(C117,'Allocation OH and Target 2026'!$C$5:$J$23,8,0),IF(SUM(AJ119:AJ136)=0,AG137,"N/A"),"N/A")</f>
        <v>N/A</v>
      </c>
      <c r="AJ137" s="435" cm="1">
        <f t="array" ref="AJ137">IF(AI137="N/A",0,1)</f>
        <v>0</v>
      </c>
      <c r="AK137" t="str" s="607" cm="1">
        <f t="array" ref="AK137">IF(B137/VLOOKUP(C117,'Boats Data Sheet 2026'!$C$3:$H$57,6,0)&gt;VLOOKUP(C117,'Allocation OH and Target 2026'!$C$5:$J$23,8,0),IF(SUM(AJ119:AJ136)=0,U137/B137,"N/A"),"N/A")</f>
        <v>N/A</v>
      </c>
      <c r="AL137" s="435" cm="1">
        <f t="array" ref="AL137">IF(AK137="N/A",0,1)</f>
        <v>0</v>
      </c>
      <c r="AM137" t="str" s="610" cm="1">
        <f t="array" ref="AM137">IF(SUM(1250000+700000)*B137&lt;SUM(AC137:AD137),"NO GO","GO")</f>
        <v>GO</v>
      </c>
      <c r="AN137" s="435"/>
      <c r="AO137" s="608"/>
      <c r="AP137" s="608"/>
      <c r="AQ137" s="608"/>
      <c r="AR137" s="611"/>
      <c r="AS137" s="601" cm="1">
        <f t="array" ref="AS137">B137</f>
        <v>0</v>
      </c>
    </row>
    <row r="138" ht="15.5" customHeight="1">
      <c r="A138" s="32"/>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8"/>
    </row>
    <row r="139" ht="15.5" customHeight="1">
      <c r="A139" s="32"/>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18"/>
    </row>
    <row r="140" ht="15.5" customHeight="1">
      <c r="A140" s="395">
        <v>8</v>
      </c>
      <c r="B140" t="s" s="573">
        <v>506</v>
      </c>
      <c r="C140" t="s" s="574">
        <v>56</v>
      </c>
      <c r="D140" s="576"/>
      <c r="E140" s="575"/>
      <c r="F140" s="575"/>
      <c r="G140" s="575"/>
      <c r="H140" s="575"/>
      <c r="I140" s="575"/>
      <c r="J140" s="575"/>
      <c r="K140" s="575"/>
      <c r="L140" s="575"/>
      <c r="M140" s="575"/>
      <c r="N140" s="575"/>
      <c r="O140" s="575"/>
      <c r="P140" s="575"/>
      <c r="Q140" s="575"/>
      <c r="R140" s="575"/>
      <c r="S140" s="575"/>
      <c r="T140" s="575"/>
      <c r="U140" s="575"/>
      <c r="V140" s="399"/>
      <c r="W140" s="575"/>
      <c r="X140" s="575"/>
      <c r="Y140" s="575"/>
      <c r="Z140" s="575"/>
      <c r="AA140" s="575"/>
      <c r="AB140" s="399"/>
      <c r="AC140" s="575"/>
      <c r="AD140" s="575"/>
      <c r="AE140" s="575"/>
      <c r="AF140" s="575"/>
      <c r="AG140" s="575"/>
      <c r="AH140" s="399"/>
      <c r="AI140" s="576"/>
      <c r="AJ140" s="399"/>
      <c r="AK140" s="575"/>
      <c r="AL140" s="399"/>
      <c r="AM140" s="575"/>
      <c r="AN140" s="399"/>
      <c r="AO140" s="575"/>
      <c r="AP140" s="575"/>
      <c r="AQ140" s="575"/>
      <c r="AR140" s="577"/>
      <c r="AS140" s="578"/>
    </row>
    <row r="141" ht="16" customHeight="1">
      <c r="A141" s="12"/>
      <c r="B141" s="579"/>
      <c r="C141" t="s" s="580">
        <v>513</v>
      </c>
      <c r="D141" s="581"/>
      <c r="E141" s="581"/>
      <c r="F141" s="581"/>
      <c r="G141" s="581"/>
      <c r="H141" s="581"/>
      <c r="I141" s="581"/>
      <c r="J141" s="581"/>
      <c r="K141" s="581"/>
      <c r="L141" s="581"/>
      <c r="M141" s="581"/>
      <c r="N141" s="581"/>
      <c r="O141" s="581"/>
      <c r="P141" s="581"/>
      <c r="Q141" s="581"/>
      <c r="R141" s="581"/>
      <c r="S141" s="581"/>
      <c r="T141" s="581"/>
      <c r="U141" s="582"/>
      <c r="V141" s="407"/>
      <c r="W141" t="s" s="580">
        <v>514</v>
      </c>
      <c r="X141" s="581"/>
      <c r="Y141" s="581"/>
      <c r="Z141" s="581"/>
      <c r="AA141" s="582"/>
      <c r="AB141" s="407"/>
      <c r="AC141" t="s" s="580">
        <v>515</v>
      </c>
      <c r="AD141" s="581"/>
      <c r="AE141" s="581"/>
      <c r="AF141" s="581"/>
      <c r="AG141" s="582"/>
      <c r="AH141" s="410"/>
      <c r="AI141" s="605"/>
      <c r="AJ141" s="410"/>
      <c r="AK141" s="584"/>
      <c r="AL141" s="410"/>
      <c r="AM141" s="584"/>
      <c r="AN141" s="410"/>
      <c r="AO141" s="584"/>
      <c r="AP141" s="584"/>
      <c r="AQ141" s="584"/>
      <c r="AR141" s="585"/>
      <c r="AS141" s="578"/>
    </row>
    <row r="142" ht="63" customHeight="1">
      <c r="A142" s="12"/>
      <c r="B142" t="s" s="586">
        <v>517</v>
      </c>
      <c r="C142" t="s" s="587">
        <v>518</v>
      </c>
      <c r="D142" t="s" s="587">
        <v>519</v>
      </c>
      <c r="E142" t="s" s="587">
        <v>520</v>
      </c>
      <c r="F142" t="s" s="588">
        <v>521</v>
      </c>
      <c r="G142" t="s" s="588">
        <v>522</v>
      </c>
      <c r="H142" t="s" s="588">
        <v>524</v>
      </c>
      <c r="I142" t="s" s="588">
        <v>525</v>
      </c>
      <c r="J142" t="s" s="588">
        <v>553</v>
      </c>
      <c r="K142" t="s" s="588">
        <v>526</v>
      </c>
      <c r="L142" t="s" s="588">
        <v>527</v>
      </c>
      <c r="M142" t="s" s="588">
        <v>528</v>
      </c>
      <c r="N142" t="s" s="588">
        <v>602</v>
      </c>
      <c r="O142" t="s" s="588">
        <v>603</v>
      </c>
      <c r="P142" t="s" s="588">
        <v>604</v>
      </c>
      <c r="Q142" t="s" s="588">
        <v>529</v>
      </c>
      <c r="R142" t="s" s="588">
        <v>530</v>
      </c>
      <c r="S142" t="s" s="588">
        <v>572</v>
      </c>
      <c r="T142" t="s" s="588">
        <v>531</v>
      </c>
      <c r="U142" t="s" s="588">
        <v>532</v>
      </c>
      <c r="V142" s="556"/>
      <c r="W142" t="s" s="588">
        <v>533</v>
      </c>
      <c r="X142" t="s" s="588">
        <v>573</v>
      </c>
      <c r="Y142" t="s" s="588">
        <v>534</v>
      </c>
      <c r="Z142" t="s" s="588">
        <v>574</v>
      </c>
      <c r="AA142" t="s" s="588">
        <v>535</v>
      </c>
      <c r="AB142" s="556"/>
      <c r="AC142" t="s" s="588">
        <v>536</v>
      </c>
      <c r="AD142" t="s" s="588">
        <v>537</v>
      </c>
      <c r="AE142" t="s" s="588">
        <v>538</v>
      </c>
      <c r="AF142" t="s" s="588">
        <v>575</v>
      </c>
      <c r="AG142" t="s" s="588">
        <v>539</v>
      </c>
      <c r="AH142" s="557"/>
      <c r="AI142" t="s" s="588">
        <v>576</v>
      </c>
      <c r="AJ142" s="557"/>
      <c r="AK142" t="s" s="588">
        <v>577</v>
      </c>
      <c r="AL142" s="557"/>
      <c r="AM142" t="s" s="587">
        <v>578</v>
      </c>
      <c r="AN142" s="557"/>
      <c r="AO142" s="589"/>
      <c r="AP142" s="589"/>
      <c r="AQ142" s="589"/>
      <c r="AR142" s="590"/>
      <c r="AS142" s="578"/>
    </row>
    <row r="143" ht="16.5" customHeight="1">
      <c r="A143" s="12"/>
      <c r="B143" s="591">
        <v>1</v>
      </c>
      <c r="C143" s="592" cm="1">
        <f t="array" ref="C143">IF(B143&gt;0,IF(VLOOKUP(C140,'Boats Data Sheet 2026'!$C$3:$J$57,8,0)="N/A",0,VLOOKUP(C140,'Boats Data Sheet 2026'!$C$3:$J$57,8,0)),"N/A")</f>
        <v>8000000</v>
      </c>
      <c r="D143" s="593" cm="1">
        <f t="array" ref="D143">IF(B143&gt;7,2,IF(B143=0,"N/A",1))</f>
        <v>1</v>
      </c>
      <c r="E143" s="592" cm="1">
        <f t="array" ref="E143">_xlfn.IFERROR(SUM('Direct Costs 2026'!$C$4:$C$6)*D143,"N/A")</f>
        <v>975500</v>
      </c>
      <c r="F143" s="594" cm="1">
        <f t="array" ref="F143">_xlfn.IFERROR('Direct Costs 2026'!$C$43*B143,"N/A")</f>
        <v>6000</v>
      </c>
      <c r="G143" s="594" cm="1">
        <f t="array" ref="G143">IF(B143&gt;0,'Direct Costs 2026'!$C$25,"N/A")</f>
        <v>90000</v>
      </c>
      <c r="H143" s="594" cm="1">
        <f t="array" ref="H143">IF(B143&gt;0,'Direct Costs 2026'!$C$19+'Direct Costs 2026'!$C$18*B143,"N/A")</f>
        <v>110000</v>
      </c>
      <c r="I143" s="594" cm="1">
        <f t="array" ref="I143">IF(B143&gt;0,SUM('Direct Costs 2026'!$C$20:$C$21),"N/A")</f>
        <v>98333.3333333333</v>
      </c>
      <c r="J143" s="594" cm="1">
        <f t="array" ref="J143">IF(B143&gt;0,'Direct Costs 2026'!$C$14,"N/A")</f>
        <v>60000</v>
      </c>
      <c r="K143" s="594" cm="1">
        <f t="array" ref="K143">IF(B143&gt;0,'Direct Costs 2026'!$C$26,"N/A")</f>
        <v>20000</v>
      </c>
      <c r="L143" s="594" cm="1">
        <f t="array" ref="L143">IF(B143&gt;0,SUM('Direct Costs 2026'!$C$23:$C$24),"N/A")</f>
        <v>160000</v>
      </c>
      <c r="M143" s="594" cm="1">
        <f t="array" ref="M143">IF(B143&gt;0,'Direct Costs 2026'!$C$47*B143,"N/A")</f>
        <v>180000</v>
      </c>
      <c r="N143" s="594" cm="1">
        <f t="array" ref="N143">IF($B143&gt;0,'Direct Costs 2026'!$C$30,"N/A")</f>
        <v>440000</v>
      </c>
      <c r="O143" s="594" cm="1">
        <f t="array" ref="O143">IF($B143&gt;0,'Direct Costs 2026'!$C$31,"N/A")</f>
        <v>870000</v>
      </c>
      <c r="P143" s="594" cm="1">
        <f t="array" ref="P143">IF(B143&gt;0,'Direct Costs 2026'!$C$59*B143,"N/A")</f>
        <v>41000</v>
      </c>
      <c r="Q143" t="str" s="595" cm="1">
        <f t="array" ref="Q143">IF(B143&gt;0,_xlfn.IFERROR(VLOOKUP(C140,'Boats Data Sheet 2026'!$C$3:$I$57,7,0)*'Direct Costs 2026'!$C$36,"N/A"),"N/A")</f>
        <v>N/A</v>
      </c>
      <c r="R143" t="str" s="595" cm="1">
        <f t="array" ref="R143">IF(B143&gt;0,IF(OR(VLOOKUP(C140,'Boats Data Sheet 2026'!$C$3:$F$57,4,0)="Own",VLOOKUP(C140,'Boats Data Sheet 2026'!$C$3:$F$57,4,0)="Management"),('Direct Costs 2026'!$C$37+'Direct Costs 2026'!$C$39),"N/A"),"N/A")</f>
        <v>N/A</v>
      </c>
      <c r="S143" s="594" cm="1">
        <f t="array" ref="S143">_xlfn.IFERROR(IF(B143&gt;5,IF(B143&gt;11,IF(B143&gt;15,4,3),2),IF(B143=0,"N/A",1))*SUM('Direct Costs 2026'!$C$67:$C$68),"N/A")</f>
        <v>489600</v>
      </c>
      <c r="T143" s="594" cm="1">
        <f t="array" ref="T143">_xlfn.IFERROR('Direct Costs 2026'!$C$27*C143,"N/A")</f>
        <v>160000</v>
      </c>
      <c r="U143" s="594" cm="1">
        <f t="array" ref="U143">_xlfn.IFERROR(C143+SUM(E143:T143),"N/A")</f>
        <v>11700433.3333333</v>
      </c>
      <c r="V143" s="424"/>
      <c r="W143" s="594" cm="1">
        <f t="array" ref="W143">IF(B143&gt;0,'Allocation OH and Target 2026'!$E$27,"N/A")</f>
        <v>2134447.30345641</v>
      </c>
      <c r="X143" s="594" cm="1">
        <f t="array" ref="X143">IF(B143&gt;0,'Allocation OH and Target 2026'!$E$28,"N/A")</f>
        <v>200042.323056976</v>
      </c>
      <c r="Y143" s="594" cm="1">
        <f t="array" ref="Y143">IF(B143&gt;0,VLOOKUP(C140,'Allocation OH and Target 2026'!$C$5:$T$23,17,0),"N/A")</f>
        <v>0</v>
      </c>
      <c r="Z143" s="594" cm="1">
        <f t="array" ref="Z143">IF(B143&gt;0,VLOOKUP(C140,'Allocation OH and Target 2026'!$C$5:$T$23,18,0),"N/A")</f>
        <v>0</v>
      </c>
      <c r="AA143" s="594" cm="1">
        <f t="array" ref="AA143">_xlfn.IFERROR(B143*(X143+Z143),"N/A")</f>
        <v>200042.323056976</v>
      </c>
      <c r="AB143" s="424"/>
      <c r="AC143" s="594" cm="1">
        <f t="array" ref="AC143">_xlfn.IFERROR(AA143+U143,"N/A")</f>
        <v>11900475.6563903</v>
      </c>
      <c r="AD143" s="594" cm="1">
        <f t="array" ref="AD143">_xlfn.IFERROR(AC143*0.5%,"N/A")</f>
        <v>59502.3782819515</v>
      </c>
      <c r="AE143" s="594" cm="1">
        <f t="array" ref="AE143">_xlfn.IFERROR(AC143*25%,"N/A")</f>
        <v>2975118.91409758</v>
      </c>
      <c r="AF143" s="596" cm="1">
        <f t="array" ref="AF143">IF(B143&gt;0,SUM(AC143:AE143),"N/A")</f>
        <v>14935096.9487698</v>
      </c>
      <c r="AG143" s="594" cm="1">
        <f t="array" ref="AG143">_xlfn.IFERROR(AF143/B143,"N/A")</f>
        <v>14935096.9487698</v>
      </c>
      <c r="AH143" s="424"/>
      <c r="AI143" t="s" s="597">
        <v>14</v>
      </c>
      <c r="AJ143" s="424" cm="1">
        <f t="array" ref="AJ143">IF(AI143="N/A",0,1)</f>
        <v>0</v>
      </c>
      <c r="AK143" t="s" s="598">
        <v>14</v>
      </c>
      <c r="AL143" s="424" cm="1">
        <f t="array" ref="AL143">IF(AK143="N/A",0,1)</f>
        <v>0</v>
      </c>
      <c r="AM143" t="str" s="599" cm="1">
        <f t="array" ref="AM143">IF(SUM(1250000+700000)*B143&lt;SUM(AC143:AD143),"NO GO","GO")</f>
        <v>NO GO</v>
      </c>
      <c r="AN143" s="424"/>
      <c r="AO143" s="594"/>
      <c r="AP143" s="594"/>
      <c r="AQ143" s="594"/>
      <c r="AR143" s="600"/>
      <c r="AS143" s="601" cm="1">
        <f t="array" ref="AS143">B143</f>
        <v>1</v>
      </c>
    </row>
    <row r="144" ht="16" customHeight="1">
      <c r="A144" s="12"/>
      <c r="B144" s="602" cm="1">
        <f t="array" ref="B144">IF(B143=0,0,IF(B143&lt;VLOOKUP(C140,'Boats Data Sheet 2026'!$C$3:$H$57,6,0),B143+1,0))</f>
        <v>2</v>
      </c>
      <c r="C144" s="594" cm="1">
        <f t="array" ref="C144">IF(B144&gt;0,IF(VLOOKUP(C140,'Boats Data Sheet 2026'!$C$3:$J$57,8,0)="N/A",0,VLOOKUP(C140,'Boats Data Sheet 2026'!$C$3:$J$57,8,0)),"N/A")</f>
        <v>8000000</v>
      </c>
      <c r="D144" s="603" cm="1">
        <f t="array" ref="D144">IF(B144&gt;7,2,IF(B144=0,"N/A",1))</f>
        <v>1</v>
      </c>
      <c r="E144" s="594" cm="1">
        <f t="array" ref="E144">_xlfn.IFERROR(SUM('Direct Costs 2026'!$C$4:$C$6)*D144,"N/A")</f>
        <v>975500</v>
      </c>
      <c r="F144" s="594" cm="1">
        <f t="array" ref="F144">_xlfn.IFERROR('Direct Costs 2026'!$C$43*B144,"N/A")</f>
        <v>12000</v>
      </c>
      <c r="G144" s="594" cm="1">
        <f t="array" ref="G144">IF(B144&gt;0,'Direct Costs 2026'!$C$25,"N/A")</f>
        <v>90000</v>
      </c>
      <c r="H144" s="594" cm="1">
        <f t="array" ref="H144">IF(B144&gt;0,'Direct Costs 2026'!$C$19+'Direct Costs 2026'!$C$18*B144,"N/A")</f>
        <v>145000</v>
      </c>
      <c r="I144" s="594" cm="1">
        <f t="array" ref="I144">IF(B144&gt;0,SUM('Direct Costs 2026'!$C$20:$C$21),"N/A")</f>
        <v>98333.3333333333</v>
      </c>
      <c r="J144" s="594" cm="1">
        <f t="array" ref="J144">IF(B144&gt;0,'Direct Costs 2026'!$C$14,"N/A")</f>
        <v>60000</v>
      </c>
      <c r="K144" s="594" cm="1">
        <f t="array" ref="K144">IF(B144&gt;0,'Direct Costs 2026'!$C$26,"N/A")</f>
        <v>20000</v>
      </c>
      <c r="L144" s="594" cm="1">
        <f t="array" ref="L144">IF(B144&gt;0,SUM('Direct Costs 2026'!$C$23:$C$24),"N/A")</f>
        <v>160000</v>
      </c>
      <c r="M144" s="594" cm="1">
        <f t="array" ref="M144">IF(B144&gt;0,'Direct Costs 2026'!$C$47*B144,"N/A")</f>
        <v>360000</v>
      </c>
      <c r="N144" s="594" cm="1">
        <f t="array" ref="N144">IF($B144&gt;0,'Direct Costs 2026'!$C$30,"N/A")</f>
        <v>440000</v>
      </c>
      <c r="O144" s="594" cm="1">
        <f t="array" ref="O144">IF($B144&gt;0,'Direct Costs 2026'!$C$31,"N/A")</f>
        <v>870000</v>
      </c>
      <c r="P144" s="594" cm="1">
        <f t="array" ref="P144">IF(B144&gt;0,'Direct Costs 2026'!$C$59*B144,"N/A")</f>
        <v>82000</v>
      </c>
      <c r="Q144" t="str" s="595" cm="1">
        <f t="array" ref="Q144">IF(B144&gt;0,_xlfn.IFERROR(VLOOKUP(C140,'Boats Data Sheet 2026'!$C$3:$I$57,7,0)*'Direct Costs 2026'!$C$36,"N/A"),"N/A")</f>
        <v>N/A</v>
      </c>
      <c r="R144" t="str" s="595" cm="1">
        <f t="array" ref="R144">IF(B144&gt;0,IF(OR(VLOOKUP(C140,'Boats Data Sheet 2026'!$C$3:$F$57,4,0)="Own",VLOOKUP(C140,'Boats Data Sheet 2026'!$C$3:$F$57,4,0)="Management"),('Direct Costs 2026'!$C$37+'Direct Costs 2026'!$C$39),"N/A"),"N/A")</f>
        <v>N/A</v>
      </c>
      <c r="S144" s="594" cm="1">
        <f t="array" ref="S144">_xlfn.IFERROR(IF(B144&gt;5,IF(B144&gt;11,IF(B144&gt;15,4,3),2),IF(B144=0,"N/A",1))*SUM('Direct Costs 2026'!$C$67:$C$68),"N/A")</f>
        <v>489600</v>
      </c>
      <c r="T144" s="594" cm="1">
        <f t="array" ref="T144">_xlfn.IFERROR('Direct Costs 2026'!$C$27*C144,"N/A")</f>
        <v>160000</v>
      </c>
      <c r="U144" s="594" cm="1">
        <f t="array" ref="U144">_xlfn.IFERROR(C144+SUM(E144:T144),"N/A")</f>
        <v>11962433.3333333</v>
      </c>
      <c r="V144" s="424"/>
      <c r="W144" s="594" cm="1">
        <f t="array" ref="W144">IF(B144&gt;0,'Allocation OH and Target 2026'!$E$27,"N/A")</f>
        <v>2134447.30345641</v>
      </c>
      <c r="X144" s="594" cm="1">
        <f t="array" ref="X144">IF(B144&gt;0,'Allocation OH and Target 2026'!$E$28,"N/A")</f>
        <v>200042.323056976</v>
      </c>
      <c r="Y144" s="594" cm="1">
        <f t="array" ref="Y144">IF(B144&gt;0,VLOOKUP(C140,'Allocation OH and Target 2026'!$C$5:$T$23,17,0),"N/A")</f>
        <v>0</v>
      </c>
      <c r="Z144" s="594" cm="1">
        <f t="array" ref="Z144">IF(B144&gt;0,VLOOKUP(C140,'Allocation OH and Target 2026'!$C$5:$T$23,18,0),"N/A")</f>
        <v>0</v>
      </c>
      <c r="AA144" s="594" cm="1">
        <f t="array" ref="AA144">_xlfn.IFERROR(B144*(X144+Z144),"N/A")</f>
        <v>400084.646113952</v>
      </c>
      <c r="AB144" s="424"/>
      <c r="AC144" s="594" cm="1">
        <f t="array" ref="AC144">_xlfn.IFERROR(AA144+U144,"N/A")</f>
        <v>12362517.9794473</v>
      </c>
      <c r="AD144" s="594" cm="1">
        <f t="array" ref="AD144">_xlfn.IFERROR(AC144*0.5%,"N/A")</f>
        <v>61812.5898972365</v>
      </c>
      <c r="AE144" s="594" cm="1">
        <f t="array" ref="AE144">_xlfn.IFERROR(AC144*25%,"N/A")</f>
        <v>3090629.49486183</v>
      </c>
      <c r="AF144" s="596" cm="1">
        <f t="array" ref="AF144">IF(B144&gt;0,SUM(AC144:AE144),"N/A")</f>
        <v>15514960.0642064</v>
      </c>
      <c r="AG144" s="594" cm="1">
        <f t="array" ref="AG144">_xlfn.IFERROR(AF144/B144,"N/A")</f>
        <v>7757480.0321032</v>
      </c>
      <c r="AH144" s="424"/>
      <c r="AI144" t="str" s="604" cm="1">
        <f t="array" ref="AI144">IF(B144/VLOOKUP(C140,'Boats Data Sheet 2026'!$C$3:$H$57,6,0)&gt;VLOOKUP(C140,'Allocation OH and Target 2026'!$C$5:$J$23,8,0),IF(SUM(AJ142:AJ143)=0,AG144,"N/A"),"N/A")</f>
        <v>N/A</v>
      </c>
      <c r="AJ144" s="424" cm="1">
        <f t="array" ref="AJ144">IF(AI144="N/A",0,1)</f>
        <v>0</v>
      </c>
      <c r="AK144" t="str" s="595" cm="1">
        <f t="array" ref="AK144">IF(B144/VLOOKUP(C140,'Boats Data Sheet 2026'!$C$3:$H$57,6,0)&gt;VLOOKUP(C140,'Allocation OH and Target 2026'!$C$5:$J$23,8,0),IF(SUM(AJ142:AJ143)=0,U144/B144,"N/A"),"N/A")</f>
        <v>N/A</v>
      </c>
      <c r="AL144" s="424" cm="1">
        <f t="array" ref="AL144">IF(AK144="N/A",0,1)</f>
        <v>0</v>
      </c>
      <c r="AM144" t="str" s="605" cm="1">
        <f t="array" ref="AM144">IF(SUM(1250000+700000)*B144&lt;SUM(AC144:AD144),"NO GO","GO")</f>
        <v>NO GO</v>
      </c>
      <c r="AN144" s="424"/>
      <c r="AO144" s="594"/>
      <c r="AP144" s="594"/>
      <c r="AQ144" s="594"/>
      <c r="AR144" s="600"/>
      <c r="AS144" s="601" cm="1">
        <f t="array" ref="AS144">B144</f>
        <v>2</v>
      </c>
    </row>
    <row r="145" ht="16" customHeight="1">
      <c r="A145" s="12"/>
      <c r="B145" s="602" cm="1">
        <f t="array" ref="B145">IF(B144=0,0,IF(B144&lt;VLOOKUP(C140,'Boats Data Sheet 2026'!$C$3:$H$57,6,0),B144+1,0))</f>
        <v>3</v>
      </c>
      <c r="C145" s="594" cm="1">
        <f t="array" ref="C145">IF(B145&gt;0,IF(VLOOKUP(C140,'Boats Data Sheet 2026'!$C$3:$J$57,8,0)="N/A",0,VLOOKUP(C140,'Boats Data Sheet 2026'!$C$3:$J$57,8,0)),"N/A")</f>
        <v>8000000</v>
      </c>
      <c r="D145" s="603" cm="1">
        <f t="array" ref="D145">IF(B145&gt;7,2,IF(B145=0,"N/A",1))</f>
        <v>1</v>
      </c>
      <c r="E145" s="594" cm="1">
        <f t="array" ref="E145">_xlfn.IFERROR(SUM('Direct Costs 2026'!$C$4:$C$6)*D145,"N/A")</f>
        <v>975500</v>
      </c>
      <c r="F145" s="594" cm="1">
        <f t="array" ref="F145">_xlfn.IFERROR('Direct Costs 2026'!$C$43*B145,"N/A")</f>
        <v>18000</v>
      </c>
      <c r="G145" s="594" cm="1">
        <f t="array" ref="G145">IF(B145&gt;0,'Direct Costs 2026'!$C$25,"N/A")</f>
        <v>90000</v>
      </c>
      <c r="H145" s="594" cm="1">
        <f t="array" ref="H145">IF(B145&gt;0,'Direct Costs 2026'!$C$19+'Direct Costs 2026'!$C$18*B145,"N/A")</f>
        <v>180000</v>
      </c>
      <c r="I145" s="594" cm="1">
        <f t="array" ref="I145">IF(B145&gt;0,SUM('Direct Costs 2026'!$C$20:$C$21),"N/A")</f>
        <v>98333.3333333333</v>
      </c>
      <c r="J145" s="594" cm="1">
        <f t="array" ref="J145">IF(B145&gt;0,'Direct Costs 2026'!$C$14,"N/A")</f>
        <v>60000</v>
      </c>
      <c r="K145" s="594" cm="1">
        <f t="array" ref="K145">IF(B145&gt;0,'Direct Costs 2026'!$C$26,"N/A")</f>
        <v>20000</v>
      </c>
      <c r="L145" s="594" cm="1">
        <f t="array" ref="L145">IF(B145&gt;0,SUM('Direct Costs 2026'!$C$23:$C$24),"N/A")</f>
        <v>160000</v>
      </c>
      <c r="M145" s="594" cm="1">
        <f t="array" ref="M145">IF(B147&gt;0,'Direct Costs 2026'!$C$47*B147,"N/A")</f>
        <v>900000</v>
      </c>
      <c r="N145" s="594" cm="1">
        <f t="array" ref="N145">IF($B145&gt;0,'Direct Costs 2026'!$C$30,"N/A")</f>
        <v>440000</v>
      </c>
      <c r="O145" s="594" cm="1">
        <f t="array" ref="O145">IF($B145&gt;0,'Direct Costs 2026'!$C$31,"N/A")</f>
        <v>870000</v>
      </c>
      <c r="P145" s="594" cm="1">
        <f t="array" ref="P145">IF(B145&gt;0,'Direct Costs 2026'!$C$59*B145,"N/A")</f>
        <v>123000</v>
      </c>
      <c r="Q145" t="str" s="595" cm="1">
        <f t="array" ref="Q145">IF(B145&gt;0,_xlfn.IFERROR(VLOOKUP(C140,'Boats Data Sheet 2026'!$C$3:$I$57,7,0)*'Direct Costs 2026'!$C$36,"N/A"),"N/A")</f>
        <v>N/A</v>
      </c>
      <c r="R145" t="str" s="595" cm="1">
        <f t="array" ref="R145">IF(B145&gt;0,IF(OR(VLOOKUP(C140,'Boats Data Sheet 2026'!$C$3:$F$57,4,0)="Own",VLOOKUP(C140,'Boats Data Sheet 2026'!$C$3:$F$57,4,0)="Management"),('Direct Costs 2026'!$C$37+'Direct Costs 2026'!$C$39),"N/A"),"N/A")</f>
        <v>N/A</v>
      </c>
      <c r="S145" s="594" cm="1">
        <f t="array" ref="S145">_xlfn.IFERROR(IF(B145&gt;5,IF(B145&gt;11,IF(B145&gt;15,4,3),2),IF(B145=0,"N/A",1))*SUM('Direct Costs 2026'!$C$67:$C$68),"N/A")</f>
        <v>489600</v>
      </c>
      <c r="T145" s="594" cm="1">
        <f t="array" ref="T145">_xlfn.IFERROR('Direct Costs 2026'!$C$27*C145,"N/A")</f>
        <v>160000</v>
      </c>
      <c r="U145" s="594" cm="1">
        <f t="array" ref="U145">_xlfn.IFERROR(C145+SUM(E145:T145),"N/A")</f>
        <v>12584433.3333333</v>
      </c>
      <c r="V145" s="424"/>
      <c r="W145" s="594" cm="1">
        <f t="array" ref="W145">IF(B145&gt;0,'Allocation OH and Target 2026'!$E$27,"N/A")</f>
        <v>2134447.30345641</v>
      </c>
      <c r="X145" s="594" cm="1">
        <f t="array" ref="X145">IF(B145&gt;0,'Allocation OH and Target 2026'!$E$28,"N/A")</f>
        <v>200042.323056976</v>
      </c>
      <c r="Y145" s="594" cm="1">
        <f t="array" ref="Y145">IF(B145&gt;0,VLOOKUP(C140,'Allocation OH and Target 2026'!$C$5:$T$23,17,0),"N/A")</f>
        <v>0</v>
      </c>
      <c r="Z145" s="594" cm="1">
        <f t="array" ref="Z145">IF(B145&gt;0,VLOOKUP(C140,'Allocation OH and Target 2026'!$C$5:$T$23,18,0),"N/A")</f>
        <v>0</v>
      </c>
      <c r="AA145" s="594" cm="1">
        <f t="array" ref="AA145">_xlfn.IFERROR(B145*(X145+Z145),"N/A")</f>
        <v>600126.969170928</v>
      </c>
      <c r="AB145" s="424"/>
      <c r="AC145" s="594" cm="1">
        <f t="array" ref="AC145">_xlfn.IFERROR(AA145+U145,"N/A")</f>
        <v>13184560.3025042</v>
      </c>
      <c r="AD145" s="594" cm="1">
        <f t="array" ref="AD145">_xlfn.IFERROR(AC145*0.5%,"N/A")</f>
        <v>65922.801512520993</v>
      </c>
      <c r="AE145" s="594" cm="1">
        <f t="array" ref="AE145">_xlfn.IFERROR(AC145*25%,"N/A")</f>
        <v>3296140.07562605</v>
      </c>
      <c r="AF145" s="596" cm="1">
        <f t="array" ref="AF145">IF(B145&gt;0,SUM(AC145:AE145),"N/A")</f>
        <v>16546623.1796428</v>
      </c>
      <c r="AG145" s="594" cm="1">
        <f t="array" ref="AG145">_xlfn.IFERROR(AF145/B145,"N/A")</f>
        <v>5515541.05988093</v>
      </c>
      <c r="AH145" s="424"/>
      <c r="AI145" t="str" s="604" cm="1">
        <f t="array" ref="AI145">IF(B145/VLOOKUP(C140,'Boats Data Sheet 2026'!$C$3:$H$57,6,0)&gt;VLOOKUP(C140,'Allocation OH and Target 2026'!$C$5:$J$23,8,0),IF(SUM(AJ142:AJ144)=0,AG145,"N/A"),"N/A")</f>
        <v>N/A</v>
      </c>
      <c r="AJ145" s="424" cm="1">
        <f t="array" ref="AJ145">IF(AI145="N/A",0,1)</f>
        <v>0</v>
      </c>
      <c r="AK145" t="str" s="595" cm="1">
        <f t="array" ref="AK145">IF(B145/VLOOKUP(C140,'Boats Data Sheet 2026'!$C$3:$H$57,6,0)&gt;VLOOKUP(C140,'Allocation OH and Target 2026'!$C$5:$J$23,8,0),IF(SUM(AJ142:AJ144)=0,U145/B145,"N/A"),"N/A")</f>
        <v>N/A</v>
      </c>
      <c r="AL145" s="424" cm="1">
        <f t="array" ref="AL145">IF(AK145="N/A",0,1)</f>
        <v>0</v>
      </c>
      <c r="AM145" t="str" s="605" cm="1">
        <f t="array" ref="AM145">IF(SUM(1250000+700000)*B145&lt;SUM(AC145:AD145),"NO GO","GO")</f>
        <v>NO GO</v>
      </c>
      <c r="AN145" s="424"/>
      <c r="AO145" s="594"/>
      <c r="AP145" s="594"/>
      <c r="AQ145" s="594"/>
      <c r="AR145" s="600"/>
      <c r="AS145" s="601" cm="1">
        <f t="array" ref="AS145">B145</f>
        <v>3</v>
      </c>
    </row>
    <row r="146" ht="16" customHeight="1">
      <c r="A146" s="12"/>
      <c r="B146" s="602" cm="1">
        <f t="array" ref="B146">IF(B145=0,0,IF(B145&lt;VLOOKUP(C140,'Boats Data Sheet 2026'!$C$3:$H$57,6,0),B145+1,0))</f>
        <v>4</v>
      </c>
      <c r="C146" s="594" cm="1">
        <f t="array" ref="C146">IF(B146&gt;0,IF(VLOOKUP(C140,'Boats Data Sheet 2026'!$C$3:$J$57,8,0)="N/A",0,VLOOKUP(C140,'Boats Data Sheet 2026'!$C$3:$J$57,8,0)),"N/A")</f>
        <v>8000000</v>
      </c>
      <c r="D146" s="603" cm="1">
        <f t="array" ref="D146">IF(B146&gt;7,2,IF(B146=0,"N/A",1))</f>
        <v>1</v>
      </c>
      <c r="E146" s="594" cm="1">
        <f t="array" ref="E146">_xlfn.IFERROR(SUM('Direct Costs 2026'!$C$4:$C$6)*D146,"N/A")</f>
        <v>975500</v>
      </c>
      <c r="F146" s="594" cm="1">
        <f t="array" ref="F146">_xlfn.IFERROR('Direct Costs 2026'!$C$43*B146,"N/A")</f>
        <v>24000</v>
      </c>
      <c r="G146" s="594" cm="1">
        <f t="array" ref="G146">IF(B146&gt;0,'Direct Costs 2026'!$C$25,"N/A")</f>
        <v>90000</v>
      </c>
      <c r="H146" s="594" cm="1">
        <f t="array" ref="H146">IF(B146&gt;0,'Direct Costs 2026'!$C$19+'Direct Costs 2026'!$C$18*B146,"N/A")</f>
        <v>215000</v>
      </c>
      <c r="I146" s="594" cm="1">
        <f t="array" ref="I146">IF(B146&gt;0,SUM('Direct Costs 2026'!$C$20:$C$21),"N/A")</f>
        <v>98333.3333333333</v>
      </c>
      <c r="J146" s="594" cm="1">
        <f t="array" ref="J146">IF(B146&gt;0,'Direct Costs 2026'!$C$14,"N/A")</f>
        <v>60000</v>
      </c>
      <c r="K146" s="594" cm="1">
        <f t="array" ref="K146">IF(B146&gt;0,'Direct Costs 2026'!$C$26,"N/A")</f>
        <v>20000</v>
      </c>
      <c r="L146" s="594" cm="1">
        <f t="array" ref="L146">IF(B146&gt;0,SUM('Direct Costs 2026'!$C$23:$C$24),"N/A")</f>
        <v>160000</v>
      </c>
      <c r="M146" s="594" cm="1">
        <f t="array" ref="M146">IF(B146&gt;0,'Direct Costs 2026'!$C$47*B146,"N/A")</f>
        <v>720000</v>
      </c>
      <c r="N146" s="594" cm="1">
        <f t="array" ref="N146">IF($B146&gt;0,'Direct Costs 2026'!$C$30,"N/A")</f>
        <v>440000</v>
      </c>
      <c r="O146" s="594" cm="1">
        <f t="array" ref="O146">IF($B146&gt;0,'Direct Costs 2026'!$C$31,"N/A")</f>
        <v>870000</v>
      </c>
      <c r="P146" s="594" cm="1">
        <f t="array" ref="P146">IF(B146&gt;0,'Direct Costs 2026'!$C$59*B146,"N/A")</f>
        <v>164000</v>
      </c>
      <c r="Q146" t="str" s="595" cm="1">
        <f t="array" ref="Q146">IF(B146&gt;0,_xlfn.IFERROR(VLOOKUP(C140,'Boats Data Sheet 2026'!$C$3:$I$57,7,0)*'Direct Costs 2026'!$C$36,"N/A"),"N/A")</f>
        <v>N/A</v>
      </c>
      <c r="R146" t="str" s="595" cm="1">
        <f t="array" ref="R146">IF(B146&gt;0,IF(OR(VLOOKUP(C140,'Boats Data Sheet 2026'!$C$3:$F$57,4,0)="Own",VLOOKUP(C140,'Boats Data Sheet 2026'!$C$3:$F$57,4,0)="Management"),('Direct Costs 2026'!$C$37+'Direct Costs 2026'!$C$39),"N/A"),"N/A")</f>
        <v>N/A</v>
      </c>
      <c r="S146" s="594" cm="1">
        <f t="array" ref="S146">_xlfn.IFERROR(IF(B146&gt;5,IF(B146&gt;11,IF(B146&gt;15,4,3),2),IF(B146=0,"N/A",1))*SUM('Direct Costs 2026'!$C$67:$C$68),"N/A")</f>
        <v>489600</v>
      </c>
      <c r="T146" s="594" cm="1">
        <f t="array" ref="T146">_xlfn.IFERROR('Direct Costs 2026'!$C$27*C146,"N/A")</f>
        <v>160000</v>
      </c>
      <c r="U146" s="594" cm="1">
        <f t="array" ref="U146">_xlfn.IFERROR(C146+SUM(E146:T146),"N/A")</f>
        <v>12486433.3333333</v>
      </c>
      <c r="V146" s="424"/>
      <c r="W146" s="594" cm="1">
        <f t="array" ref="W146">IF(B146&gt;0,'Allocation OH and Target 2026'!$E$27,"N/A")</f>
        <v>2134447.30345641</v>
      </c>
      <c r="X146" s="594" cm="1">
        <f t="array" ref="X146">IF(B146&gt;0,'Allocation OH and Target 2026'!$E$28,"N/A")</f>
        <v>200042.323056976</v>
      </c>
      <c r="Y146" s="594" cm="1">
        <f t="array" ref="Y146">IF(B146&gt;0,VLOOKUP(C140,'Allocation OH and Target 2026'!$C$5:$T$23,17,0),"N/A")</f>
        <v>0</v>
      </c>
      <c r="Z146" s="594" cm="1">
        <f t="array" ref="Z146">IF(B146&gt;0,VLOOKUP(C140,'Allocation OH and Target 2026'!$C$5:$T$23,18,0),"N/A")</f>
        <v>0</v>
      </c>
      <c r="AA146" s="594" cm="1">
        <f t="array" ref="AA146">_xlfn.IFERROR(B146*(X146+Z146),"N/A")</f>
        <v>800169.292227904</v>
      </c>
      <c r="AB146" s="424"/>
      <c r="AC146" s="594" cm="1">
        <f t="array" ref="AC146">_xlfn.IFERROR(AA146+U146,"N/A")</f>
        <v>13286602.6255612</v>
      </c>
      <c r="AD146" s="594" cm="1">
        <f t="array" ref="AD146">_xlfn.IFERROR(AC146*0.5%,"N/A")</f>
        <v>66433.013127806</v>
      </c>
      <c r="AE146" s="594" cm="1">
        <f t="array" ref="AE146">_xlfn.IFERROR(AC146*25%,"N/A")</f>
        <v>3321650.6563903</v>
      </c>
      <c r="AF146" s="596" cm="1">
        <f t="array" ref="AF146">IF(B146&gt;0,SUM(AC146:AE146),"N/A")</f>
        <v>16674686.2950793</v>
      </c>
      <c r="AG146" s="594" cm="1">
        <f t="array" ref="AG146">_xlfn.IFERROR(AF146/B146,"N/A")</f>
        <v>4168671.57376983</v>
      </c>
      <c r="AH146" s="424"/>
      <c r="AI146" t="str" s="604" cm="1">
        <f t="array" ref="AI146">IF(B146/VLOOKUP(C140,'Boats Data Sheet 2026'!$C$3:$H$57,6,0)&gt;VLOOKUP(C140,'Allocation OH and Target 2026'!$C$5:$J$23,8,0),IF(SUM(AJ142:AJ145)=0,AG146,"N/A"),"N/A")</f>
        <v>N/A</v>
      </c>
      <c r="AJ146" s="424" cm="1">
        <f t="array" ref="AJ146">IF(AI146="N/A",0,1)</f>
        <v>0</v>
      </c>
      <c r="AK146" t="str" s="595" cm="1">
        <f t="array" ref="AK146">IF(B146/VLOOKUP(C140,'Boats Data Sheet 2026'!$C$3:$H$57,6,0)&gt;VLOOKUP(C140,'Allocation OH and Target 2026'!$C$5:$J$23,8,0),IF(SUM(AJ142:AJ145)=0,U146/B146,"N/A"),"N/A")</f>
        <v>N/A</v>
      </c>
      <c r="AL146" s="424" cm="1">
        <f t="array" ref="AL146">IF(AK146="N/A",0,1)</f>
        <v>0</v>
      </c>
      <c r="AM146" t="str" s="605" cm="1">
        <f t="array" ref="AM146">IF(SUM(1250000+700000)*B146&lt;SUM(AC146:AD146),"NO GO","GO")</f>
        <v>NO GO</v>
      </c>
      <c r="AN146" s="424"/>
      <c r="AO146" s="594"/>
      <c r="AP146" s="594"/>
      <c r="AQ146" s="594"/>
      <c r="AR146" s="600"/>
      <c r="AS146" s="601" cm="1">
        <f t="array" ref="AS146">B146</f>
        <v>4</v>
      </c>
    </row>
    <row r="147" ht="16" customHeight="1">
      <c r="A147" s="12"/>
      <c r="B147" s="602" cm="1">
        <f t="array" ref="B147">IF(B146=0,0,IF(B146&lt;VLOOKUP(C140,'Boats Data Sheet 2026'!$C$3:$H$57,6,0),B146+1,0))</f>
        <v>5</v>
      </c>
      <c r="C147" s="594" cm="1">
        <f t="array" ref="C147">IF(B147&gt;0,IF(VLOOKUP(C140,'Boats Data Sheet 2026'!$C$3:$J$57,8,0)="N/A",0,VLOOKUP(C140,'Boats Data Sheet 2026'!$C$3:$J$57,8,0)),"N/A")</f>
        <v>8000000</v>
      </c>
      <c r="D147" s="603" cm="1">
        <f t="array" ref="D147">IF(B147&gt;7,2,IF(B147=0,"N/A",1))</f>
        <v>1</v>
      </c>
      <c r="E147" s="594" cm="1">
        <f t="array" ref="E147">_xlfn.IFERROR(SUM('Direct Costs 2026'!$C$4:$C$6)*D147,"N/A")</f>
        <v>975500</v>
      </c>
      <c r="F147" s="594" cm="1">
        <f t="array" ref="F147">_xlfn.IFERROR('Direct Costs 2026'!$C$43*B147,"N/A")</f>
        <v>30000</v>
      </c>
      <c r="G147" s="594" cm="1">
        <f t="array" ref="G147">IF(B147&gt;0,'Direct Costs 2026'!$C$25,"N/A")</f>
        <v>90000</v>
      </c>
      <c r="H147" s="594" cm="1">
        <f t="array" ref="H147">IF(B147&gt;0,'Direct Costs 2026'!$C$19+'Direct Costs 2026'!$C$18*B147,"N/A")</f>
        <v>250000</v>
      </c>
      <c r="I147" s="594" cm="1">
        <f t="array" ref="I147">IF(B147&gt;0,SUM('Direct Costs 2026'!$C$20:$C$21),"N/A")</f>
        <v>98333.3333333333</v>
      </c>
      <c r="J147" s="594" cm="1">
        <f t="array" ref="J147">IF(B147&gt;0,'Direct Costs 2026'!$C$14,"N/A")</f>
        <v>60000</v>
      </c>
      <c r="K147" s="594" cm="1">
        <f t="array" ref="K147">IF(B147&gt;0,'Direct Costs 2026'!$C$26,"N/A")</f>
        <v>20000</v>
      </c>
      <c r="L147" s="594" cm="1">
        <f t="array" ref="L147">IF(B147&gt;0,SUM('Direct Costs 2026'!$C$23:$C$24),"N/A")</f>
        <v>160000</v>
      </c>
      <c r="M147" s="594" cm="1">
        <f t="array" ref="M147">IF(B147&gt;0,'Direct Costs 2026'!$C$47*B147,"N/A")</f>
        <v>900000</v>
      </c>
      <c r="N147" s="594" cm="1">
        <f t="array" ref="N147">IF($B147&gt;0,'Direct Costs 2026'!$C$30,"N/A")</f>
        <v>440000</v>
      </c>
      <c r="O147" s="594" cm="1">
        <f t="array" ref="O147">IF($B147&gt;0,'Direct Costs 2026'!$C$31,"N/A")</f>
        <v>870000</v>
      </c>
      <c r="P147" s="594" cm="1">
        <f t="array" ref="P147">IF(B147&gt;0,'Direct Costs 2026'!$C$59*B147,"N/A")</f>
        <v>205000</v>
      </c>
      <c r="Q147" t="str" s="595" cm="1">
        <f t="array" ref="Q147">IF(B147&gt;0,_xlfn.IFERROR(VLOOKUP(C140,'Boats Data Sheet 2026'!$C$3:$I$57,7,0)*'Direct Costs 2026'!$C$36,"N/A"),"N/A")</f>
        <v>N/A</v>
      </c>
      <c r="R147" t="str" s="595" cm="1">
        <f t="array" ref="R147">IF(B147&gt;0,IF(OR(VLOOKUP(C140,'Boats Data Sheet 2026'!$C$3:$F$57,4,0)="Own",VLOOKUP(C140,'Boats Data Sheet 2026'!$C$3:$F$57,4,0)="Management"),('Direct Costs 2026'!$C$37+'Direct Costs 2026'!$C$39),"N/A"),"N/A")</f>
        <v>N/A</v>
      </c>
      <c r="S147" s="594" cm="1">
        <f t="array" ref="S147">_xlfn.IFERROR(IF(B147&gt;5,IF(B147&gt;11,IF(B147&gt;15,4,3),2),IF(B147=0,"N/A",1))*SUM('Direct Costs 2026'!$C$67:$C$68),"N/A")</f>
        <v>489600</v>
      </c>
      <c r="T147" s="594" cm="1">
        <f t="array" ref="T147">_xlfn.IFERROR('Direct Costs 2026'!$C$27*C147,"N/A")</f>
        <v>160000</v>
      </c>
      <c r="U147" s="594" cm="1">
        <f t="array" ref="U147">_xlfn.IFERROR(C147+SUM(E147:T147),"N/A")</f>
        <v>12748433.3333333</v>
      </c>
      <c r="V147" s="424"/>
      <c r="W147" s="594" cm="1">
        <f t="array" ref="W147">IF(B147&gt;0,'Allocation OH and Target 2026'!$E$27,"N/A")</f>
        <v>2134447.30345641</v>
      </c>
      <c r="X147" s="594" cm="1">
        <f t="array" ref="X147">IF(B147&gt;0,'Allocation OH and Target 2026'!$E$28,"N/A")</f>
        <v>200042.323056976</v>
      </c>
      <c r="Y147" s="594" cm="1">
        <f t="array" ref="Y147">IF(B147&gt;0,VLOOKUP(C140,'Allocation OH and Target 2026'!$C$5:$T$23,17,0),"N/A")</f>
        <v>0</v>
      </c>
      <c r="Z147" s="594" cm="1">
        <f t="array" ref="Z147">IF(B147&gt;0,VLOOKUP(C140,'Allocation OH and Target 2026'!$C$5:$T$23,18,0),"N/A")</f>
        <v>0</v>
      </c>
      <c r="AA147" s="594" cm="1">
        <f t="array" ref="AA147">_xlfn.IFERROR(B147*(X147+Z147),"N/A")</f>
        <v>1000211.61528488</v>
      </c>
      <c r="AB147" s="424"/>
      <c r="AC147" s="594" cm="1">
        <f t="array" ref="AC147">_xlfn.IFERROR(AA147+U147,"N/A")</f>
        <v>13748644.9486182</v>
      </c>
      <c r="AD147" s="594" cm="1">
        <f t="array" ref="AD147">_xlfn.IFERROR(AC147*0.5%,"N/A")</f>
        <v>68743.224743091007</v>
      </c>
      <c r="AE147" s="594" cm="1">
        <f t="array" ref="AE147">_xlfn.IFERROR(AC147*25%,"N/A")</f>
        <v>3437161.23715455</v>
      </c>
      <c r="AF147" s="596" cm="1">
        <f t="array" ref="AF147">IF(B147&gt;0,SUM(AC147:AE147),"N/A")</f>
        <v>17254549.4105158</v>
      </c>
      <c r="AG147" s="594" cm="1">
        <f t="array" ref="AG147">_xlfn.IFERROR(AF147/B147,"N/A")</f>
        <v>3450909.88210316</v>
      </c>
      <c r="AH147" s="424"/>
      <c r="AI147" t="str" s="604" cm="1">
        <f t="array" ref="AI147">IF(B147/VLOOKUP(C140,'Boats Data Sheet 2026'!$C$3:$H$57,6,0)&gt;VLOOKUP(C140,'Allocation OH and Target 2026'!$C$5:$J$23,8,0),IF(SUM(AJ142:AJ146)=0,AG147,"N/A"),"N/A")</f>
        <v>N/A</v>
      </c>
      <c r="AJ147" s="424" cm="1">
        <f t="array" ref="AJ147">IF(AI147="N/A",0,1)</f>
        <v>0</v>
      </c>
      <c r="AK147" t="str" s="595" cm="1">
        <f t="array" ref="AK147">IF(B147/VLOOKUP(C140,'Boats Data Sheet 2026'!$C$3:$H$57,6,0)&gt;VLOOKUP(C140,'Allocation OH and Target 2026'!$C$5:$J$23,8,0),IF(SUM(AJ142:AJ146)=0,U147/B147,"N/A"),"N/A")</f>
        <v>N/A</v>
      </c>
      <c r="AL147" s="424" cm="1">
        <f t="array" ref="AL147">IF(AK147="N/A",0,1)</f>
        <v>0</v>
      </c>
      <c r="AM147" t="str" s="605" cm="1">
        <f t="array" ref="AM147">IF(SUM(1250000+700000)*B147&lt;SUM(AC147:AD147),"NO GO","GO")</f>
        <v>NO GO</v>
      </c>
      <c r="AN147" s="424"/>
      <c r="AO147" s="594"/>
      <c r="AP147" s="594"/>
      <c r="AQ147" s="594"/>
      <c r="AR147" s="600"/>
      <c r="AS147" s="601" cm="1">
        <f t="array" ref="AS147">B147</f>
        <v>5</v>
      </c>
    </row>
    <row r="148" ht="16" customHeight="1">
      <c r="A148" s="12"/>
      <c r="B148" s="602" cm="1">
        <f t="array" ref="B148">IF(B147=0,0,IF(B147&lt;VLOOKUP(C140,'Boats Data Sheet 2026'!$C$3:$H$57,6,0),B147+1,0))</f>
        <v>6</v>
      </c>
      <c r="C148" s="594" cm="1">
        <f t="array" ref="C148">IF(B148&gt;0,IF(VLOOKUP(C140,'Boats Data Sheet 2026'!$C$3:$J$57,8,0)="N/A",0,VLOOKUP(C140,'Boats Data Sheet 2026'!$C$3:$J$57,8,0)),"N/A")</f>
        <v>8000000</v>
      </c>
      <c r="D148" s="603" cm="1">
        <f t="array" ref="D148">IF(B148&gt;7,2,IF(B148=0,"N/A",1))</f>
        <v>1</v>
      </c>
      <c r="E148" s="594" cm="1">
        <f t="array" ref="E148">_xlfn.IFERROR(SUM('Direct Costs 2026'!$C$4:$C$6)*D148,"N/A")</f>
        <v>975500</v>
      </c>
      <c r="F148" s="594" cm="1">
        <f t="array" ref="F148">_xlfn.IFERROR('Direct Costs 2026'!$C$43*B148,"N/A")</f>
        <v>36000</v>
      </c>
      <c r="G148" s="594" cm="1">
        <f t="array" ref="G148">IF(B148&gt;0,'Direct Costs 2026'!$C$25,"N/A")</f>
        <v>90000</v>
      </c>
      <c r="H148" s="594" cm="1">
        <f t="array" ref="H148">IF(B148&gt;0,'Direct Costs 2026'!$C$19+'Direct Costs 2026'!$C$18*B148,"N/A")</f>
        <v>285000</v>
      </c>
      <c r="I148" s="594" cm="1">
        <f t="array" ref="I148">IF(B148&gt;0,SUM('Direct Costs 2026'!$C$20:$C$21),"N/A")</f>
        <v>98333.3333333333</v>
      </c>
      <c r="J148" s="594" cm="1">
        <f t="array" ref="J148">IF(B148&gt;0,'Direct Costs 2026'!$C$14,"N/A")</f>
        <v>60000</v>
      </c>
      <c r="K148" s="594" cm="1">
        <f t="array" ref="K148">IF(B148&gt;0,'Direct Costs 2026'!$C$26,"N/A")</f>
        <v>20000</v>
      </c>
      <c r="L148" s="594" cm="1">
        <f t="array" ref="L148">IF(B148&gt;0,SUM('Direct Costs 2026'!$C$23:$C$24),"N/A")</f>
        <v>160000</v>
      </c>
      <c r="M148" s="594" cm="1">
        <f t="array" ref="M148">IF(B148&gt;0,'Direct Costs 2026'!$C$47*B148,"N/A")</f>
        <v>1080000</v>
      </c>
      <c r="N148" s="594" cm="1">
        <f t="array" ref="N148">IF($B148&gt;0,'Direct Costs 2026'!$C$30,"N/A")</f>
        <v>440000</v>
      </c>
      <c r="O148" s="594" cm="1">
        <f t="array" ref="O148">IF($B148&gt;0,'Direct Costs 2026'!$C$31,"N/A")</f>
        <v>870000</v>
      </c>
      <c r="P148" s="594" cm="1">
        <f t="array" ref="P148">IF(B148&gt;0,'Direct Costs 2026'!$C$59*B148,"N/A")</f>
        <v>246000</v>
      </c>
      <c r="Q148" t="str" s="595" cm="1">
        <f t="array" ref="Q148">IF(B148&gt;0,_xlfn.IFERROR(VLOOKUP(C140,'Boats Data Sheet 2026'!$C$3:$I$57,7,0)*'Direct Costs 2026'!$C$36,"N/A"),"N/A")</f>
        <v>N/A</v>
      </c>
      <c r="R148" t="str" s="595" cm="1">
        <f t="array" ref="R148">IF(B148&gt;0,IF(OR(VLOOKUP(C140,'Boats Data Sheet 2026'!$C$3:$F$57,4,0)="Own",VLOOKUP(C140,'Boats Data Sheet 2026'!$C$3:$F$57,4,0)="Management"),('Direct Costs 2026'!$C$37+'Direct Costs 2026'!$C$39),"N/A"),"N/A")</f>
        <v>N/A</v>
      </c>
      <c r="S148" s="594" cm="1">
        <f t="array" ref="S148">_xlfn.IFERROR(IF(B148&gt;5,IF(B148&gt;11,IF(B148&gt;15,4,3),2),IF(B148=0,"N/A",1))*SUM('Direct Costs 2026'!$C$67:$C$68),"N/A")</f>
        <v>979200</v>
      </c>
      <c r="T148" s="594" cm="1">
        <f t="array" ref="T148">_xlfn.IFERROR('Direct Costs 2026'!$C$27*C148,"N/A")</f>
        <v>160000</v>
      </c>
      <c r="U148" s="594" cm="1">
        <f t="array" ref="U148">_xlfn.IFERROR(C148+SUM(E148:T148),"N/A")</f>
        <v>13500033.3333333</v>
      </c>
      <c r="V148" s="424"/>
      <c r="W148" s="594" cm="1">
        <f t="array" ref="W148">IF(B148&gt;0,'Allocation OH and Target 2026'!$E$27,"N/A")</f>
        <v>2134447.30345641</v>
      </c>
      <c r="X148" s="594" cm="1">
        <f t="array" ref="X148">IF(B148&gt;0,'Allocation OH and Target 2026'!$E$28,"N/A")</f>
        <v>200042.323056976</v>
      </c>
      <c r="Y148" s="594" cm="1">
        <f t="array" ref="Y148">IF(B148&gt;0,VLOOKUP(C140,'Allocation OH and Target 2026'!$C$5:$T$23,17,0),"N/A")</f>
        <v>0</v>
      </c>
      <c r="Z148" s="594" cm="1">
        <f t="array" ref="Z148">IF(B148&gt;0,VLOOKUP(C140,'Allocation OH and Target 2026'!$C$5:$T$23,18,0),"N/A")</f>
        <v>0</v>
      </c>
      <c r="AA148" s="594" cm="1">
        <f t="array" ref="AA148">_xlfn.IFERROR(B148*(X148+Z148),"N/A")</f>
        <v>1200253.93834186</v>
      </c>
      <c r="AB148" s="424"/>
      <c r="AC148" s="594" cm="1">
        <f t="array" ref="AC148">_xlfn.IFERROR(AA148+U148,"N/A")</f>
        <v>14700287.2716752</v>
      </c>
      <c r="AD148" s="594" cm="1">
        <f t="array" ref="AD148">_xlfn.IFERROR(AC148*0.5%,"N/A")</f>
        <v>73501.436358376</v>
      </c>
      <c r="AE148" s="594" cm="1">
        <f t="array" ref="AE148">_xlfn.IFERROR(AC148*25%,"N/A")</f>
        <v>3675071.8179188</v>
      </c>
      <c r="AF148" s="596" cm="1">
        <f t="array" ref="AF148">IF(B148&gt;0,SUM(AC148:AE148),"N/A")</f>
        <v>18448860.5259524</v>
      </c>
      <c r="AG148" s="594" cm="1">
        <f t="array" ref="AG148">_xlfn.IFERROR(AF148/B148,"N/A")</f>
        <v>3074810.08765873</v>
      </c>
      <c r="AH148" s="424"/>
      <c r="AI148" t="str" s="604" cm="1">
        <f t="array" ref="AI148">IF(B148/VLOOKUP(C140,'Boats Data Sheet 2026'!$C$3:$H$57,6,0)&gt;VLOOKUP(C140,'Allocation OH and Target 2026'!$C$5:$J$23,8,0),IF(SUM(AJ142:AJ147)=0,AG148,"N/A"),"N/A")</f>
        <v>N/A</v>
      </c>
      <c r="AJ148" s="424" cm="1">
        <f t="array" ref="AJ148">IF(AI148="N/A",0,1)</f>
        <v>0</v>
      </c>
      <c r="AK148" t="str" s="595" cm="1">
        <f t="array" ref="AK148">IF(B148/VLOOKUP(C140,'Boats Data Sheet 2026'!$C$3:$H$57,6,0)&gt;VLOOKUP(C140,'Allocation OH and Target 2026'!$C$5:$J$23,8,0),IF(SUM(AJ142:AJ147)=0,U148/B148,"N/A"),"N/A")</f>
        <v>N/A</v>
      </c>
      <c r="AL148" s="424" cm="1">
        <f t="array" ref="AL148">IF(AK148="N/A",0,1)</f>
        <v>0</v>
      </c>
      <c r="AM148" t="str" s="605" cm="1">
        <f t="array" ref="AM148">IF(SUM(1250000+700000)*B148&lt;SUM(AC148:AD148),"NO GO","GO")</f>
        <v>NO GO</v>
      </c>
      <c r="AN148" s="424"/>
      <c r="AO148" s="594"/>
      <c r="AP148" s="594"/>
      <c r="AQ148" s="594"/>
      <c r="AR148" s="600"/>
      <c r="AS148" s="601" cm="1">
        <f t="array" ref="AS148">B148</f>
        <v>6</v>
      </c>
    </row>
    <row r="149" ht="16" customHeight="1">
      <c r="A149" s="12"/>
      <c r="B149" s="602" cm="1">
        <f t="array" ref="B149">IF(B148=0,0,IF(B148&lt;VLOOKUP(C140,'Boats Data Sheet 2026'!$C$3:$H$57,6,0),B148+1,0))</f>
        <v>7</v>
      </c>
      <c r="C149" s="594" cm="1">
        <f t="array" ref="C149">IF(B149&gt;0,IF(VLOOKUP(C140,'Boats Data Sheet 2026'!$C$3:$J$57,8,0)="N/A",0,VLOOKUP(C140,'Boats Data Sheet 2026'!$C$3:$J$57,8,0)),"N/A")</f>
        <v>8000000</v>
      </c>
      <c r="D149" s="603" cm="1">
        <f t="array" ref="D149">IF(B149&gt;7,2,IF(B149=0,"N/A",1))</f>
        <v>1</v>
      </c>
      <c r="E149" s="594" cm="1">
        <f t="array" ref="E149">_xlfn.IFERROR(SUM('Direct Costs 2026'!$C$4:$C$6)*D149,"N/A")</f>
        <v>975500</v>
      </c>
      <c r="F149" s="594" cm="1">
        <f t="array" ref="F149">_xlfn.IFERROR('Direct Costs 2026'!$C$43*B149,"N/A")</f>
        <v>42000</v>
      </c>
      <c r="G149" s="594" cm="1">
        <f t="array" ref="G149">IF(B149&gt;0,'Direct Costs 2026'!$C$25,"N/A")</f>
        <v>90000</v>
      </c>
      <c r="H149" s="594" cm="1">
        <f t="array" ref="H149">IF(B149&gt;0,'Direct Costs 2026'!$C$19+'Direct Costs 2026'!$C$18*B149,"N/A")</f>
        <v>320000</v>
      </c>
      <c r="I149" s="594" cm="1">
        <f t="array" ref="I149">IF(B149&gt;0,SUM('Direct Costs 2026'!$C$20:$C$21),"N/A")</f>
        <v>98333.3333333333</v>
      </c>
      <c r="J149" s="594" cm="1">
        <f t="array" ref="J149">IF(B149&gt;0,'Direct Costs 2026'!$C$14,"N/A")</f>
        <v>60000</v>
      </c>
      <c r="K149" s="594" cm="1">
        <f t="array" ref="K149">IF(B149&gt;0,'Direct Costs 2026'!$C$26,"N/A")</f>
        <v>20000</v>
      </c>
      <c r="L149" s="594" cm="1">
        <f t="array" ref="L149">IF(B149&gt;0,SUM('Direct Costs 2026'!$C$23:$C$24),"N/A")</f>
        <v>160000</v>
      </c>
      <c r="M149" s="594" cm="1">
        <f t="array" ref="M149">IF(B149&gt;0,'Direct Costs 2026'!$C$47*B149,"N/A")</f>
        <v>1260000</v>
      </c>
      <c r="N149" s="594" cm="1">
        <f t="array" ref="N149">IF($B149&gt;0,'Direct Costs 2026'!$C$30,"N/A")</f>
        <v>440000</v>
      </c>
      <c r="O149" s="594" cm="1">
        <f t="array" ref="O149">IF($B149&gt;0,'Direct Costs 2026'!$C$31,"N/A")</f>
        <v>870000</v>
      </c>
      <c r="P149" s="594" cm="1">
        <f t="array" ref="P149">IF(B149&gt;0,'Direct Costs 2026'!$C$59*B149,"N/A")</f>
        <v>287000</v>
      </c>
      <c r="Q149" t="str" s="595" cm="1">
        <f t="array" ref="Q149">IF(B149&gt;0,_xlfn.IFERROR(VLOOKUP(C140,'Boats Data Sheet 2026'!$C$3:$I$57,7,0)*'Direct Costs 2026'!$C$36,"N/A"),"N/A")</f>
        <v>N/A</v>
      </c>
      <c r="R149" t="str" s="595" cm="1">
        <f t="array" ref="R149">IF(B149&gt;0,IF(OR(VLOOKUP(C140,'Boats Data Sheet 2026'!$C$3:$F$57,4,0)="Own",VLOOKUP(C140,'Boats Data Sheet 2026'!$C$3:$F$57,4,0)="Management"),('Direct Costs 2026'!$C$37+'Direct Costs 2026'!$C$39),"N/A"),"N/A")</f>
        <v>N/A</v>
      </c>
      <c r="S149" s="594" cm="1">
        <f t="array" ref="S149">_xlfn.IFERROR(IF(B149&gt;5,IF(B149&gt;11,IF(B149&gt;15,4,3),2),IF(B149=0,"N/A",1))*SUM('Direct Costs 2026'!$C$67:$C$68),"N/A")</f>
        <v>979200</v>
      </c>
      <c r="T149" s="594" cm="1">
        <f t="array" ref="T149">_xlfn.IFERROR('Direct Costs 2026'!$C$27*C149,"N/A")</f>
        <v>160000</v>
      </c>
      <c r="U149" s="594" cm="1">
        <f t="array" ref="U149">_xlfn.IFERROR(C149+SUM(E149:T149),"N/A")</f>
        <v>13762033.3333333</v>
      </c>
      <c r="V149" s="424"/>
      <c r="W149" s="594" cm="1">
        <f t="array" ref="W149">IF(B149&gt;0,'Allocation OH and Target 2026'!$E$27,"N/A")</f>
        <v>2134447.30345641</v>
      </c>
      <c r="X149" s="594" cm="1">
        <f t="array" ref="X149">IF(B149&gt;0,'Allocation OH and Target 2026'!$E$28,"N/A")</f>
        <v>200042.323056976</v>
      </c>
      <c r="Y149" s="594" cm="1">
        <f t="array" ref="Y149">IF(B149&gt;0,VLOOKUP(C140,'Allocation OH and Target 2026'!$C$5:$T$23,17,0),"N/A")</f>
        <v>0</v>
      </c>
      <c r="Z149" s="594" cm="1">
        <f t="array" ref="Z149">IF(B149&gt;0,VLOOKUP(C140,'Allocation OH and Target 2026'!$C$5:$T$23,18,0),"N/A")</f>
        <v>0</v>
      </c>
      <c r="AA149" s="594" cm="1">
        <f t="array" ref="AA149">_xlfn.IFERROR(B149*(X149+Z149),"N/A")</f>
        <v>1400296.26139883</v>
      </c>
      <c r="AB149" s="424"/>
      <c r="AC149" s="594" cm="1">
        <f t="array" ref="AC149">_xlfn.IFERROR(AA149+U149,"N/A")</f>
        <v>15162329.5947321</v>
      </c>
      <c r="AD149" s="594" cm="1">
        <f t="array" ref="AD149">_xlfn.IFERROR(AC149*0.5%,"N/A")</f>
        <v>75811.6479736605</v>
      </c>
      <c r="AE149" s="594" cm="1">
        <f t="array" ref="AE149">_xlfn.IFERROR(AC149*25%,"N/A")</f>
        <v>3790582.39868303</v>
      </c>
      <c r="AF149" s="596" cm="1">
        <f t="array" ref="AF149">IF(B149&gt;0,SUM(AC149:AE149),"N/A")</f>
        <v>19028723.6413888</v>
      </c>
      <c r="AG149" s="594" cm="1">
        <f t="array" ref="AG149">_xlfn.IFERROR(AF149/B149,"N/A")</f>
        <v>2718389.09162697</v>
      </c>
      <c r="AH149" s="424"/>
      <c r="AI149" t="str" s="604" cm="1">
        <f t="array" ref="AI149">IF(B149/VLOOKUP(C140,'Boats Data Sheet 2026'!$C$3:$H$57,6,0)&gt;VLOOKUP(C140,'Allocation OH and Target 2026'!$C$5:$J$23,8,0),IF(SUM(AJ142:AJ148)=0,AG149,"N/A"),"N/A")</f>
        <v>N/A</v>
      </c>
      <c r="AJ149" s="424" cm="1">
        <f t="array" ref="AJ149">IF(AI149="N/A",0,1)</f>
        <v>0</v>
      </c>
      <c r="AK149" t="str" s="595" cm="1">
        <f t="array" ref="AK149">IF(B149/VLOOKUP(C140,'Boats Data Sheet 2026'!$C$3:$H$57,6,0)&gt;VLOOKUP(C140,'Allocation OH and Target 2026'!$C$5:$J$23,8,0),IF(SUM(AJ142:AJ148)=0,U149/B149,"N/A"),"N/A")</f>
        <v>N/A</v>
      </c>
      <c r="AL149" s="424" cm="1">
        <f t="array" ref="AL149">IF(AK149="N/A",0,1)</f>
        <v>0</v>
      </c>
      <c r="AM149" t="str" s="605" cm="1">
        <f t="array" ref="AM149">IF(SUM(1250000+700000)*B149&lt;SUM(AC149:AD149),"NO GO","GO")</f>
        <v>NO GO</v>
      </c>
      <c r="AN149" s="424"/>
      <c r="AO149" s="594"/>
      <c r="AP149" s="594"/>
      <c r="AQ149" s="594"/>
      <c r="AR149" s="600"/>
      <c r="AS149" s="601" cm="1">
        <f t="array" ref="AS149">B149</f>
        <v>7</v>
      </c>
    </row>
    <row r="150" ht="16" customHeight="1">
      <c r="A150" s="12"/>
      <c r="B150" s="602" cm="1">
        <f t="array" ref="B150">IF(B149=0,0,IF(B149&lt;VLOOKUP(C140,'Boats Data Sheet 2026'!$C$3:$H$57,6,0),B149+1,0))</f>
        <v>8</v>
      </c>
      <c r="C150" s="594" cm="1">
        <f t="array" ref="C150">IF(B150&gt;0,IF(VLOOKUP(C140,'Boats Data Sheet 2026'!$C$3:$J$57,8,0)="N/A",0,VLOOKUP(C140,'Boats Data Sheet 2026'!$C$3:$J$57,8,0)),"N/A")</f>
        <v>8000000</v>
      </c>
      <c r="D150" s="603" cm="1">
        <f t="array" ref="D150">IF(B150&gt;7,2,IF(B150=0,"N/A",1))</f>
        <v>2</v>
      </c>
      <c r="E150" s="594" cm="1">
        <f t="array" ref="E150">_xlfn.IFERROR(SUM('Direct Costs 2026'!$C$4:$C$6)*D150,"N/A")</f>
        <v>1951000</v>
      </c>
      <c r="F150" s="594" cm="1">
        <f t="array" ref="F150">_xlfn.IFERROR('Direct Costs 2026'!$C$43*B150,"N/A")</f>
        <v>48000</v>
      </c>
      <c r="G150" s="594" cm="1">
        <f t="array" ref="G150">IF(B150&gt;0,'Direct Costs 2026'!$C$25,"N/A")</f>
        <v>90000</v>
      </c>
      <c r="H150" s="594" cm="1">
        <f t="array" ref="H150">IF(B150&gt;0,'Direct Costs 2026'!$C$19+'Direct Costs 2026'!$C$18*B150,"N/A")</f>
        <v>355000</v>
      </c>
      <c r="I150" s="594" cm="1">
        <f t="array" ref="I150">IF(B150&gt;0,SUM('Direct Costs 2026'!$C$20:$C$21),"N/A")</f>
        <v>98333.3333333333</v>
      </c>
      <c r="J150" s="594" cm="1">
        <f t="array" ref="J150">IF(B150&gt;0,'Direct Costs 2026'!$C$14,"N/A")</f>
        <v>60000</v>
      </c>
      <c r="K150" s="594" cm="1">
        <f t="array" ref="K150">IF(B150&gt;0,'Direct Costs 2026'!$C$26,"N/A")</f>
        <v>20000</v>
      </c>
      <c r="L150" s="594" cm="1">
        <f t="array" ref="L150">IF(B150&gt;0,SUM('Direct Costs 2026'!$C$23:$C$24),"N/A")</f>
        <v>160000</v>
      </c>
      <c r="M150" s="594" cm="1">
        <f t="array" ref="M150">IF(B150&gt;0,'Direct Costs 2026'!$C$47*B150,"N/A")</f>
        <v>1440000</v>
      </c>
      <c r="N150" s="594" cm="1">
        <f t="array" ref="N150">IF($B150&gt;0,'Direct Costs 2026'!$C$30,"N/A")</f>
        <v>440000</v>
      </c>
      <c r="O150" s="594" cm="1">
        <f t="array" ref="O150">IF($B150&gt;0,'Direct Costs 2026'!$C$31,"N/A")</f>
        <v>870000</v>
      </c>
      <c r="P150" s="594" cm="1">
        <f t="array" ref="P150">IF(B150&gt;0,'Direct Costs 2026'!$C$59*B150,"N/A")</f>
        <v>328000</v>
      </c>
      <c r="Q150" t="str" s="595" cm="1">
        <f t="array" ref="Q150">IF(B150&gt;0,_xlfn.IFERROR(VLOOKUP(C140,'Boats Data Sheet 2026'!$C$3:$I$57,7,0)*'Direct Costs 2026'!$C$36,"N/A"),"N/A")</f>
        <v>N/A</v>
      </c>
      <c r="R150" t="str" s="595" cm="1">
        <f t="array" ref="R150">IF(B150&gt;0,IF(OR(VLOOKUP(C140,'Boats Data Sheet 2026'!$C$3:$F$57,4,0)="Own",VLOOKUP(C140,'Boats Data Sheet 2026'!$C$3:$F$57,4,0)="Management"),('Direct Costs 2026'!$C$37+'Direct Costs 2026'!$C$39),"N/A"),"N/A")</f>
        <v>N/A</v>
      </c>
      <c r="S150" s="594" cm="1">
        <f t="array" ref="S150">_xlfn.IFERROR(IF(B150&gt;5,IF(B150&gt;11,IF(B150&gt;15,4,3),2),IF(B150=0,"N/A",1))*SUM('Direct Costs 2026'!$C$67:$C$68),"N/A")</f>
        <v>979200</v>
      </c>
      <c r="T150" s="594" cm="1">
        <f t="array" ref="T150">_xlfn.IFERROR('Direct Costs 2026'!$C$27*C150,"N/A")</f>
        <v>160000</v>
      </c>
      <c r="U150" s="594" cm="1">
        <f t="array" ref="U150">_xlfn.IFERROR(C150+SUM(E150:T150),"N/A")</f>
        <v>14999533.3333333</v>
      </c>
      <c r="V150" s="424"/>
      <c r="W150" s="594" cm="1">
        <f t="array" ref="W150">IF(B150&gt;0,'Allocation OH and Target 2026'!$E$27,"N/A")</f>
        <v>2134447.30345641</v>
      </c>
      <c r="X150" s="594" cm="1">
        <f t="array" ref="X150">IF(B150&gt;0,'Allocation OH and Target 2026'!$E$28,"N/A")</f>
        <v>200042.323056976</v>
      </c>
      <c r="Y150" s="594" cm="1">
        <f t="array" ref="Y150">IF(B150&gt;0,VLOOKUP(C140,'Allocation OH and Target 2026'!$C$5:$T$23,17,0),"N/A")</f>
        <v>0</v>
      </c>
      <c r="Z150" s="594" cm="1">
        <f t="array" ref="Z150">IF(B150&gt;0,VLOOKUP(C140,'Allocation OH and Target 2026'!$C$5:$T$23,18,0),"N/A")</f>
        <v>0</v>
      </c>
      <c r="AA150" s="594" cm="1">
        <f t="array" ref="AA150">_xlfn.IFERROR(B150*(X150+Z150),"N/A")</f>
        <v>1600338.58445581</v>
      </c>
      <c r="AB150" s="424"/>
      <c r="AC150" s="594" cm="1">
        <f t="array" ref="AC150">_xlfn.IFERROR(AA150+U150,"N/A")</f>
        <v>16599871.9177891</v>
      </c>
      <c r="AD150" s="594" cm="1">
        <f t="array" ref="AD150">_xlfn.IFERROR(AC150*0.5%,"N/A")</f>
        <v>82999.3595889455</v>
      </c>
      <c r="AE150" s="594" cm="1">
        <f t="array" ref="AE150">_xlfn.IFERROR(AC150*25%,"N/A")</f>
        <v>4149967.97944728</v>
      </c>
      <c r="AF150" s="596" cm="1">
        <f t="array" ref="AF150">IF(B150&gt;0,SUM(AC150:AE150),"N/A")</f>
        <v>20832839.2568253</v>
      </c>
      <c r="AG150" s="594" cm="1">
        <f t="array" ref="AG150">_xlfn.IFERROR(AF150/B150,"N/A")</f>
        <v>2604104.90710316</v>
      </c>
      <c r="AH150" s="424"/>
      <c r="AI150" t="str" s="604" cm="1">
        <f t="array" ref="AI150">IF(B150/VLOOKUP(C140,'Boats Data Sheet 2026'!$C$3:$H$57,6,0)&gt;VLOOKUP(C140,'Allocation OH and Target 2026'!$C$5:$J$23,8,0),IF(SUM(AJ142:AJ149)=0,AG150,"N/A"),"N/A")</f>
        <v>N/A</v>
      </c>
      <c r="AJ150" s="424" cm="1">
        <f t="array" ref="AJ150">IF(AI150="N/A",0,1)</f>
        <v>0</v>
      </c>
      <c r="AK150" t="str" s="595" cm="1">
        <f t="array" ref="AK150">IF(B150/VLOOKUP(C140,'Boats Data Sheet 2026'!$C$3:$H$57,6,0)&gt;VLOOKUP(C140,'Allocation OH and Target 2026'!$C$5:$J$23,8,0),IF(SUM(AJ142:AJ149)=0,U150/B150,"N/A"),"N/A")</f>
        <v>N/A</v>
      </c>
      <c r="AL150" s="424" cm="1">
        <f t="array" ref="AL150">IF(AK150="N/A",0,1)</f>
        <v>0</v>
      </c>
      <c r="AM150" t="str" s="605" cm="1">
        <f t="array" ref="AM150">IF(SUM(1250000+700000)*B150&lt;SUM(AC150:AD150),"NO GO","GO")</f>
        <v>NO GO</v>
      </c>
      <c r="AN150" s="424"/>
      <c r="AO150" s="594"/>
      <c r="AP150" s="594"/>
      <c r="AQ150" s="594"/>
      <c r="AR150" s="600"/>
      <c r="AS150" s="601" cm="1">
        <f t="array" ref="AS150">B150</f>
        <v>8</v>
      </c>
    </row>
    <row r="151" ht="16" customHeight="1">
      <c r="A151" s="12"/>
      <c r="B151" s="602" cm="1">
        <f t="array" ref="B151">IF(B150=0,0,IF(B150&lt;VLOOKUP(C140,'Boats Data Sheet 2026'!$C$3:$H$57,6,0),B150+1,0))</f>
        <v>9</v>
      </c>
      <c r="C151" s="594" cm="1">
        <f t="array" ref="C151">IF(B151&gt;0,IF(VLOOKUP(C140,'Boats Data Sheet 2026'!$C$3:$J$57,8,0)="N/A",0,VLOOKUP(C140,'Boats Data Sheet 2026'!$C$3:$J$57,8,0)),"N/A")</f>
        <v>8000000</v>
      </c>
      <c r="D151" s="603" cm="1">
        <f t="array" ref="D151">IF(B151&gt;7,2,IF(B151=0,"N/A",1))</f>
        <v>2</v>
      </c>
      <c r="E151" s="594" cm="1">
        <f t="array" ref="E151">_xlfn.IFERROR(SUM('Direct Costs 2026'!$C$4:$C$6)*D151,"N/A")</f>
        <v>1951000</v>
      </c>
      <c r="F151" s="594" cm="1">
        <f t="array" ref="F151">_xlfn.IFERROR('Direct Costs 2026'!$C$43*B151,"N/A")</f>
        <v>54000</v>
      </c>
      <c r="G151" s="594" cm="1">
        <f t="array" ref="G151">IF(B151&gt;0,'Direct Costs 2026'!$C$25,"N/A")</f>
        <v>90000</v>
      </c>
      <c r="H151" s="594" cm="1">
        <f t="array" ref="H151">IF(B151&gt;0,'Direct Costs 2026'!$C$19+'Direct Costs 2026'!$C$18*B151,"N/A")</f>
        <v>390000</v>
      </c>
      <c r="I151" s="594" cm="1">
        <f t="array" ref="I151">IF(B151&gt;0,SUM('Direct Costs 2026'!$C$20:$C$21),"N/A")</f>
        <v>98333.3333333333</v>
      </c>
      <c r="J151" s="594" cm="1">
        <f t="array" ref="J151">IF(B151&gt;0,'Direct Costs 2026'!$C$14,"N/A")</f>
        <v>60000</v>
      </c>
      <c r="K151" s="594" cm="1">
        <f t="array" ref="K151">IF(B151&gt;0,'Direct Costs 2026'!$C$26,"N/A")</f>
        <v>20000</v>
      </c>
      <c r="L151" s="594" cm="1">
        <f t="array" ref="L151">IF(B151&gt;0,SUM('Direct Costs 2026'!$C$23:$C$24),"N/A")</f>
        <v>160000</v>
      </c>
      <c r="M151" s="594" cm="1">
        <f t="array" ref="M151">IF(B151&gt;0,'Direct Costs 2026'!$C$47*B151,"N/A")</f>
        <v>1620000</v>
      </c>
      <c r="N151" s="594" cm="1">
        <f t="array" ref="N151">IF($B151&gt;0,'Direct Costs 2026'!$C$30,"N/A")</f>
        <v>440000</v>
      </c>
      <c r="O151" s="594" cm="1">
        <f t="array" ref="O151">IF($B151&gt;0,'Direct Costs 2026'!$C$31,"N/A")</f>
        <v>870000</v>
      </c>
      <c r="P151" s="594" cm="1">
        <f t="array" ref="P151">IF(B151&gt;0,'Direct Costs 2026'!$C$59*B151,"N/A")</f>
        <v>369000</v>
      </c>
      <c r="Q151" t="str" s="595" cm="1">
        <f t="array" ref="Q151">IF(B151&gt;0,_xlfn.IFERROR(VLOOKUP(C140,'Boats Data Sheet 2026'!$C$3:$I$57,7,0)*'Direct Costs 2026'!$C$36,"N/A"),"N/A")</f>
        <v>N/A</v>
      </c>
      <c r="R151" t="str" s="595" cm="1">
        <f t="array" ref="R151">IF(B151&gt;0,IF(OR(VLOOKUP(C140,'Boats Data Sheet 2026'!$C$3:$F$57,4,0)="Own",VLOOKUP(C140,'Boats Data Sheet 2026'!$C$3:$F$57,4,0)="Management"),('Direct Costs 2026'!$C$37+'Direct Costs 2026'!$C$39),"N/A"),"N/A")</f>
        <v>N/A</v>
      </c>
      <c r="S151" s="594" cm="1">
        <f t="array" ref="S151">_xlfn.IFERROR(IF(B151&gt;5,IF(B151&gt;11,IF(B151&gt;15,4,3),2),IF(B151=0,"N/A",1))*SUM('Direct Costs 2026'!$C$67:$C$68),"N/A")</f>
        <v>979200</v>
      </c>
      <c r="T151" s="594" cm="1">
        <f t="array" ref="T151">_xlfn.IFERROR('Direct Costs 2026'!$C$27*C151,"N/A")</f>
        <v>160000</v>
      </c>
      <c r="U151" s="594" cm="1">
        <f t="array" ref="U151">_xlfn.IFERROR(C151+SUM(E151:T151),"N/A")</f>
        <v>15261533.3333333</v>
      </c>
      <c r="V151" s="424"/>
      <c r="W151" s="594" cm="1">
        <f t="array" ref="W151">IF(B151&gt;0,'Allocation OH and Target 2026'!$E$27,"N/A")</f>
        <v>2134447.30345641</v>
      </c>
      <c r="X151" s="594" cm="1">
        <f t="array" ref="X151">IF(B151&gt;0,'Allocation OH and Target 2026'!$E$28,"N/A")</f>
        <v>200042.323056976</v>
      </c>
      <c r="Y151" s="594" cm="1">
        <f t="array" ref="Y151">IF(B151&gt;0,VLOOKUP(C140,'Allocation OH and Target 2026'!$C$5:$T$23,17,0),"N/A")</f>
        <v>0</v>
      </c>
      <c r="Z151" s="594" cm="1">
        <f t="array" ref="Z151">IF(B151&gt;0,VLOOKUP(C140,'Allocation OH and Target 2026'!$C$5:$T$23,18,0),"N/A")</f>
        <v>0</v>
      </c>
      <c r="AA151" s="594" cm="1">
        <f t="array" ref="AA151">_xlfn.IFERROR(B151*(X151+Z151),"N/A")</f>
        <v>1800380.90751278</v>
      </c>
      <c r="AB151" s="424"/>
      <c r="AC151" s="594" cm="1">
        <f t="array" ref="AC151">_xlfn.IFERROR(AA151+U151,"N/A")</f>
        <v>17061914.2408461</v>
      </c>
      <c r="AD151" s="594" cm="1">
        <f t="array" ref="AD151">_xlfn.IFERROR(AC151*0.5%,"N/A")</f>
        <v>85309.571204230495</v>
      </c>
      <c r="AE151" s="594" cm="1">
        <f t="array" ref="AE151">_xlfn.IFERROR(AC151*25%,"N/A")</f>
        <v>4265478.56021153</v>
      </c>
      <c r="AF151" s="596" cm="1">
        <f t="array" ref="AF151">IF(B151&gt;0,SUM(AC151:AE151),"N/A")</f>
        <v>21412702.3722619</v>
      </c>
      <c r="AG151" s="594" cm="1">
        <f t="array" ref="AG151">_xlfn.IFERROR(AF151/B151,"N/A")</f>
        <v>2379189.15247354</v>
      </c>
      <c r="AH151" s="424"/>
      <c r="AI151" t="str" s="604" cm="1">
        <f t="array" ref="AI151">IF(B151/VLOOKUP(C140,'Boats Data Sheet 2026'!$C$3:$H$57,6,0)&gt;VLOOKUP(C140,'Allocation OH and Target 2026'!$C$5:$J$23,8,0),IF(SUM(AJ142:AJ150)=0,AG151,"N/A"),"N/A")</f>
        <v>N/A</v>
      </c>
      <c r="AJ151" s="424" cm="1">
        <f t="array" ref="AJ151">IF(AI151="N/A",0,1)</f>
        <v>0</v>
      </c>
      <c r="AK151" t="str" s="595" cm="1">
        <f t="array" ref="AK151">IF(B151/VLOOKUP(C140,'Boats Data Sheet 2026'!$C$3:$H$57,6,0)&gt;VLOOKUP(C140,'Allocation OH and Target 2026'!$C$5:$J$23,8,0),IF(SUM(AJ142:AJ150)=0,U151/B151,"N/A"),"N/A")</f>
        <v>N/A</v>
      </c>
      <c r="AL151" s="424" cm="1">
        <f t="array" ref="AL151">IF(AK151="N/A",0,1)</f>
        <v>0</v>
      </c>
      <c r="AM151" t="str" s="605" cm="1">
        <f t="array" ref="AM151">IF(SUM(1250000+700000)*B151&lt;SUM(AC151:AD151),"NO GO","GO")</f>
        <v>GO</v>
      </c>
      <c r="AN151" s="424"/>
      <c r="AO151" s="594"/>
      <c r="AP151" s="594"/>
      <c r="AQ151" s="594"/>
      <c r="AR151" s="600"/>
      <c r="AS151" s="601" cm="1">
        <f t="array" ref="AS151">B151</f>
        <v>9</v>
      </c>
    </row>
    <row r="152" ht="16" customHeight="1">
      <c r="A152" s="12"/>
      <c r="B152" s="602" cm="1">
        <f t="array" ref="B152">IF(B151=0,0,IF(B151&lt;VLOOKUP(C140,'Boats Data Sheet 2026'!$C$3:$H$57,6,0),B151+1,0))</f>
        <v>10</v>
      </c>
      <c r="C152" s="594" cm="1">
        <f t="array" ref="C152">IF(B152&gt;0,IF(VLOOKUP(C140,'Boats Data Sheet 2026'!$C$3:$J$57,8,0)="N/A",0,VLOOKUP(C140,'Boats Data Sheet 2026'!$C$3:$J$57,8,0)),"N/A")</f>
        <v>8000000</v>
      </c>
      <c r="D152" s="603" cm="1">
        <f t="array" ref="D152">IF(B152&gt;7,2,IF(B152=0,"N/A",1))</f>
        <v>2</v>
      </c>
      <c r="E152" s="594" cm="1">
        <f t="array" ref="E152">_xlfn.IFERROR(SUM('Direct Costs 2026'!$C$4:$C$6)*D152,"N/A")</f>
        <v>1951000</v>
      </c>
      <c r="F152" s="594" cm="1">
        <f t="array" ref="F152">_xlfn.IFERROR('Direct Costs 2026'!$C$43*B152,"N/A")</f>
        <v>60000</v>
      </c>
      <c r="G152" s="594" cm="1">
        <f t="array" ref="G152">IF(B152&gt;0,'Direct Costs 2026'!$C$25,"N/A")</f>
        <v>90000</v>
      </c>
      <c r="H152" s="594" cm="1">
        <f t="array" ref="H152">IF(B152&gt;0,'Direct Costs 2026'!$C$19+'Direct Costs 2026'!$C$18*B152,"N/A")</f>
        <v>425000</v>
      </c>
      <c r="I152" s="594" cm="1">
        <f t="array" ref="I152">IF(B152&gt;0,SUM('Direct Costs 2026'!$C$20:$C$21),"N/A")</f>
        <v>98333.3333333333</v>
      </c>
      <c r="J152" s="594" cm="1">
        <f t="array" ref="J152">IF(B152&gt;0,'Direct Costs 2026'!$C$14,"N/A")</f>
        <v>60000</v>
      </c>
      <c r="K152" s="594" cm="1">
        <f t="array" ref="K152">IF(B152&gt;0,'Direct Costs 2026'!$C$26,"N/A")</f>
        <v>20000</v>
      </c>
      <c r="L152" s="594" cm="1">
        <f t="array" ref="L152">IF(B152&gt;0,SUM('Direct Costs 2026'!$C$23:$C$24),"N/A")</f>
        <v>160000</v>
      </c>
      <c r="M152" s="594" cm="1">
        <f t="array" ref="M152">IF(B152&gt;0,'Direct Costs 2026'!$C$47*B152,"N/A")</f>
        <v>1800000</v>
      </c>
      <c r="N152" s="594" cm="1">
        <f t="array" ref="N152">IF($B152&gt;0,'Direct Costs 2026'!$C$30,"N/A")</f>
        <v>440000</v>
      </c>
      <c r="O152" s="594" cm="1">
        <f t="array" ref="O152">IF($B152&gt;0,'Direct Costs 2026'!$C$31,"N/A")</f>
        <v>870000</v>
      </c>
      <c r="P152" s="594" cm="1">
        <f t="array" ref="P152">IF(B152&gt;0,'Direct Costs 2026'!$C$59*B152,"N/A")</f>
        <v>410000</v>
      </c>
      <c r="Q152" t="str" s="595" cm="1">
        <f t="array" ref="Q152">IF(B152&gt;0,_xlfn.IFERROR(VLOOKUP(C140,'Boats Data Sheet 2026'!$C$3:$I$57,7,0)*'Direct Costs 2026'!$C$36,"N/A"),"N/A")</f>
        <v>N/A</v>
      </c>
      <c r="R152" t="str" s="595" cm="1">
        <f t="array" ref="R152">IF(B152&gt;0,IF(OR(VLOOKUP(C140,'Boats Data Sheet 2026'!$C$3:$F$57,4,0)="Own",VLOOKUP(C140,'Boats Data Sheet 2026'!$C$3:$F$57,4,0)="Management"),('Direct Costs 2026'!$C$37+'Direct Costs 2026'!$C$39),"N/A"),"N/A")</f>
        <v>N/A</v>
      </c>
      <c r="S152" s="594" cm="1">
        <f t="array" ref="S152">_xlfn.IFERROR(IF(B152&gt;5,IF(B152&gt;11,IF(B152&gt;15,4,3),2),IF(B152=0,"N/A",1))*SUM('Direct Costs 2026'!$C$67:$C$68),"N/A")</f>
        <v>979200</v>
      </c>
      <c r="T152" s="594" cm="1">
        <f t="array" ref="T152">_xlfn.IFERROR('Direct Costs 2026'!$C$27*C152,"N/A")</f>
        <v>160000</v>
      </c>
      <c r="U152" s="594" cm="1">
        <f t="array" ref="U152">_xlfn.IFERROR(C152+SUM(E152:T152),"N/A")</f>
        <v>15523533.3333333</v>
      </c>
      <c r="V152" s="424"/>
      <c r="W152" s="594" cm="1">
        <f t="array" ref="W152">IF(B152&gt;0,'Allocation OH and Target 2026'!$E$27,"N/A")</f>
        <v>2134447.30345641</v>
      </c>
      <c r="X152" s="594" cm="1">
        <f t="array" ref="X152">IF(B152&gt;0,'Allocation OH and Target 2026'!$E$28,"N/A")</f>
        <v>200042.323056976</v>
      </c>
      <c r="Y152" s="594" cm="1">
        <f t="array" ref="Y152">IF(B152&gt;0,VLOOKUP(C140,'Allocation OH and Target 2026'!$C$5:$T$23,17,0),"N/A")</f>
        <v>0</v>
      </c>
      <c r="Z152" s="594" cm="1">
        <f t="array" ref="Z152">IF(B152&gt;0,VLOOKUP(C140,'Allocation OH and Target 2026'!$C$5:$T$23,18,0),"N/A")</f>
        <v>0</v>
      </c>
      <c r="AA152" s="594" cm="1">
        <f t="array" ref="AA152">_xlfn.IFERROR(B152*(X152+Z152),"N/A")</f>
        <v>2000423.23056976</v>
      </c>
      <c r="AB152" s="424"/>
      <c r="AC152" s="594" cm="1">
        <f t="array" ref="AC152">_xlfn.IFERROR(AA152+U152,"N/A")</f>
        <v>17523956.5639031</v>
      </c>
      <c r="AD152" s="594" cm="1">
        <f t="array" ref="AD152">_xlfn.IFERROR(AC152*0.5%,"N/A")</f>
        <v>87619.7828195155</v>
      </c>
      <c r="AE152" s="594" cm="1">
        <f t="array" ref="AE152">_xlfn.IFERROR(AC152*25%,"N/A")</f>
        <v>4380989.14097578</v>
      </c>
      <c r="AF152" s="596" cm="1">
        <f t="array" ref="AF152">IF(B152&gt;0,SUM(AC152:AE152),"N/A")</f>
        <v>21992565.4876984</v>
      </c>
      <c r="AG152" s="594" cm="1">
        <f t="array" ref="AG152">_xlfn.IFERROR(AF152/B152,"N/A")</f>
        <v>2199256.54876984</v>
      </c>
      <c r="AH152" s="424"/>
      <c r="AI152" t="str" s="604" cm="1">
        <f t="array" ref="AI152">IF(B152/VLOOKUP(C140,'Boats Data Sheet 2026'!$C$3:$H$57,6,0)&gt;VLOOKUP(C140,'Allocation OH and Target 2026'!$C$5:$J$23,8,0),IF(SUM(AJ142:AJ151)=0,AG152,"N/A"),"N/A")</f>
        <v>N/A</v>
      </c>
      <c r="AJ152" s="424" cm="1">
        <f t="array" ref="AJ152">IF(AI152="N/A",0,1)</f>
        <v>0</v>
      </c>
      <c r="AK152" t="str" s="595" cm="1">
        <f t="array" ref="AK152">IF(B152/VLOOKUP(C140,'Boats Data Sheet 2026'!$C$3:$H$57,6,0)&gt;VLOOKUP(C140,'Allocation OH and Target 2026'!$C$5:$J$23,8,0),IF(SUM(AJ142:AJ151)=0,U152/B152,"N/A"),"N/A")</f>
        <v>N/A</v>
      </c>
      <c r="AL152" s="424" cm="1">
        <f t="array" ref="AL152">IF(AK152="N/A",0,1)</f>
        <v>0</v>
      </c>
      <c r="AM152" t="str" s="605" cm="1">
        <f t="array" ref="AM152">IF(SUM(1250000+700000)*B152&lt;SUM(AC152:AD152),"NO GO","GO")</f>
        <v>GO</v>
      </c>
      <c r="AN152" s="424"/>
      <c r="AO152" s="594"/>
      <c r="AP152" s="594"/>
      <c r="AQ152" s="594"/>
      <c r="AR152" s="600"/>
      <c r="AS152" s="601" cm="1">
        <f t="array" ref="AS152">B152</f>
        <v>10</v>
      </c>
    </row>
    <row r="153" ht="16" customHeight="1">
      <c r="A153" s="12"/>
      <c r="B153" s="602" cm="1">
        <f t="array" ref="B153">IF(B152=0,0,IF(B152&lt;VLOOKUP(C140,'Boats Data Sheet 2026'!$C$3:$H$57,6,0),B152+1,0))</f>
        <v>11</v>
      </c>
      <c r="C153" s="594" cm="1">
        <f t="array" ref="C153">IF(B153&gt;0,IF(VLOOKUP(C140,'Boats Data Sheet 2026'!$C$3:$J$57,8,0)="N/A",0,VLOOKUP(C140,'Boats Data Sheet 2026'!$C$3:$J$57,8,0)),"N/A")</f>
        <v>8000000</v>
      </c>
      <c r="D153" s="603" cm="1">
        <f t="array" ref="D153">IF(B153&gt;7,2,IF(B153=0,"N/A",1))</f>
        <v>2</v>
      </c>
      <c r="E153" s="594" cm="1">
        <f t="array" ref="E153">_xlfn.IFERROR(SUM('Direct Costs 2026'!$C$4:$C$6)*D153,"N/A")</f>
        <v>1951000</v>
      </c>
      <c r="F153" s="594" cm="1">
        <f t="array" ref="F153">_xlfn.IFERROR('Direct Costs 2026'!$C$43*B153,"N/A")</f>
        <v>66000</v>
      </c>
      <c r="G153" s="594" cm="1">
        <f t="array" ref="G153">IF(B153&gt;0,'Direct Costs 2026'!$C$25,"N/A")</f>
        <v>90000</v>
      </c>
      <c r="H153" s="594" cm="1">
        <f t="array" ref="H153">IF(B153&gt;0,'Direct Costs 2026'!$C$19+'Direct Costs 2026'!$C$18*B153,"N/A")</f>
        <v>460000</v>
      </c>
      <c r="I153" s="594" cm="1">
        <f t="array" ref="I153">IF(B153&gt;0,SUM('Direct Costs 2026'!$C$20:$C$21),"N/A")</f>
        <v>98333.3333333333</v>
      </c>
      <c r="J153" s="594" cm="1">
        <f t="array" ref="J153">IF(B153&gt;0,'Direct Costs 2026'!$C$14,"N/A")</f>
        <v>60000</v>
      </c>
      <c r="K153" s="594" cm="1">
        <f t="array" ref="K153">IF(B153&gt;0,'Direct Costs 2026'!$C$26,"N/A")</f>
        <v>20000</v>
      </c>
      <c r="L153" s="594" cm="1">
        <f t="array" ref="L153">IF(B153&gt;0,SUM('Direct Costs 2026'!$C$23:$C$24),"N/A")</f>
        <v>160000</v>
      </c>
      <c r="M153" s="594" cm="1">
        <f t="array" ref="M153">IF(B153&gt;0,'Direct Costs 2026'!$C$47*B153,"N/A")</f>
        <v>1980000</v>
      </c>
      <c r="N153" s="594" cm="1">
        <f t="array" ref="N153">IF($B153&gt;0,'Direct Costs 2026'!$C$30,"N/A")</f>
        <v>440000</v>
      </c>
      <c r="O153" s="594" cm="1">
        <f t="array" ref="O153">IF($B153&gt;0,'Direct Costs 2026'!$C$31,"N/A")</f>
        <v>870000</v>
      </c>
      <c r="P153" s="594" cm="1">
        <f t="array" ref="P153">IF(B153&gt;0,'Direct Costs 2026'!$C$59*B153,"N/A")</f>
        <v>451000</v>
      </c>
      <c r="Q153" t="str" s="595" cm="1">
        <f t="array" ref="Q153">IF(B153&gt;0,_xlfn.IFERROR(VLOOKUP(C140,'Boats Data Sheet 2026'!$C$3:$I$57,7,0)*'Direct Costs 2026'!$C$36,"N/A"),"N/A")</f>
        <v>N/A</v>
      </c>
      <c r="R153" t="str" s="595" cm="1">
        <f t="array" ref="R153">IF(B153&gt;0,IF(OR(VLOOKUP(C140,'Boats Data Sheet 2026'!$C$3:$F$57,4,0)="Own",VLOOKUP(C140,'Boats Data Sheet 2026'!$C$3:$F$57,4,0)="Management"),('Direct Costs 2026'!$C$37+'Direct Costs 2026'!$C$39),"N/A"),"N/A")</f>
        <v>N/A</v>
      </c>
      <c r="S153" s="594" cm="1">
        <f t="array" ref="S153">_xlfn.IFERROR(IF(B153&gt;5,IF(B153&gt;11,IF(B153&gt;15,4,3),2),IF(B153=0,"N/A",1))*SUM('Direct Costs 2026'!$C$67:$C$68),"N/A")</f>
        <v>979200</v>
      </c>
      <c r="T153" s="594" cm="1">
        <f t="array" ref="T153">_xlfn.IFERROR('Direct Costs 2026'!$C$27*C153,"N/A")</f>
        <v>160000</v>
      </c>
      <c r="U153" s="594" cm="1">
        <f t="array" ref="U153">_xlfn.IFERROR(C153+SUM(E153:T153),"N/A")</f>
        <v>15785533.3333333</v>
      </c>
      <c r="V153" s="424"/>
      <c r="W153" s="594" cm="1">
        <f t="array" ref="W153">IF(B153&gt;0,'Allocation OH and Target 2026'!$E$27,"N/A")</f>
        <v>2134447.30345641</v>
      </c>
      <c r="X153" s="594" cm="1">
        <f t="array" ref="X153">IF(B153&gt;0,'Allocation OH and Target 2026'!$E$28,"N/A")</f>
        <v>200042.323056976</v>
      </c>
      <c r="Y153" s="594" cm="1">
        <f t="array" ref="Y153">IF(B153&gt;0,VLOOKUP(C140,'Allocation OH and Target 2026'!$C$5:$T$23,17,0),"N/A")</f>
        <v>0</v>
      </c>
      <c r="Z153" s="594" cm="1">
        <f t="array" ref="Z153">IF(B153&gt;0,VLOOKUP(C140,'Allocation OH and Target 2026'!$C$5:$T$23,18,0),"N/A")</f>
        <v>0</v>
      </c>
      <c r="AA153" s="594" cm="1">
        <f t="array" ref="AA153">_xlfn.IFERROR(B153*(X153+Z153),"N/A")</f>
        <v>2200465.55362674</v>
      </c>
      <c r="AB153" s="424"/>
      <c r="AC153" s="594" cm="1">
        <f t="array" ref="AC153">_xlfn.IFERROR(AA153+U153,"N/A")</f>
        <v>17985998.88696</v>
      </c>
      <c r="AD153" s="594" cm="1">
        <f t="array" ref="AD153">_xlfn.IFERROR(AC153*0.5%,"N/A")</f>
        <v>89929.9944348</v>
      </c>
      <c r="AE153" s="594" cm="1">
        <f t="array" ref="AE153">_xlfn.IFERROR(AC153*25%,"N/A")</f>
        <v>4496499.72174</v>
      </c>
      <c r="AF153" s="596" cm="1">
        <f t="array" ref="AF153">IF(B153&gt;0,SUM(AC153:AE153),"N/A")</f>
        <v>22572428.6031348</v>
      </c>
      <c r="AG153" s="594" cm="1">
        <f t="array" ref="AG153">_xlfn.IFERROR(AF153/B153,"N/A")</f>
        <v>2052038.96392135</v>
      </c>
      <c r="AH153" s="424"/>
      <c r="AI153" s="596" cm="1">
        <f t="array" ref="AI153">IF(B153/VLOOKUP(C140,'Boats Data Sheet 2026'!$C$3:$H$57,6,0)&gt;VLOOKUP(C140,'Allocation OH and Target 2026'!$C$5:$J$23,8,0),IF(SUM(AJ142:AJ152)=0,AG153,"N/A"),"N/A")</f>
        <v>2052038.96392135</v>
      </c>
      <c r="AJ153" s="424" cm="1">
        <f t="array" ref="AJ153">IF(AI153="N/A",0,1)</f>
        <v>1</v>
      </c>
      <c r="AK153" s="594" cm="1">
        <f t="array" ref="AK153">IF(B153/VLOOKUP(C140,'Boats Data Sheet 2026'!$C$3:$H$57,6,0)&gt;VLOOKUP(C140,'Allocation OH and Target 2026'!$C$5:$J$23,8,0),IF(SUM(AJ142:AJ152)=0,U153/B153,"N/A"),"N/A")</f>
        <v>1435048.48484848</v>
      </c>
      <c r="AL153" s="424" cm="1">
        <f t="array" ref="AL153">IF(AK153="N/A",0,1)</f>
        <v>1</v>
      </c>
      <c r="AM153" t="str" s="605" cm="1">
        <f t="array" ref="AM153">IF(SUM(1250000+700000)*B153&lt;SUM(AC153:AD153),"NO GO","GO")</f>
        <v>GO</v>
      </c>
      <c r="AN153" s="424"/>
      <c r="AO153" s="594"/>
      <c r="AP153" s="594"/>
      <c r="AQ153" s="594"/>
      <c r="AR153" s="600"/>
      <c r="AS153" s="601" cm="1">
        <f t="array" ref="AS153">B153</f>
        <v>11</v>
      </c>
    </row>
    <row r="154" ht="16" customHeight="1">
      <c r="A154" s="12"/>
      <c r="B154" s="602" cm="1">
        <f t="array" ref="B154">IF(B153=0,0,IF(B153&lt;VLOOKUP(C140,'Boats Data Sheet 2026'!$C$3:$H$57,6,0),B153+1,0))</f>
        <v>12</v>
      </c>
      <c r="C154" s="594" cm="1">
        <f t="array" ref="C154">IF(B154&gt;0,IF(VLOOKUP(C140,'Boats Data Sheet 2026'!$C$3:$J$57,8,0)="N/A",0,VLOOKUP(C140,'Boats Data Sheet 2026'!$C$3:$J$57,8,0)),"N/A")</f>
        <v>8000000</v>
      </c>
      <c r="D154" s="603" cm="1">
        <f t="array" ref="D154">IF(B154&gt;7,2,IF(B154=0,"N/A",1))</f>
        <v>2</v>
      </c>
      <c r="E154" s="594" cm="1">
        <f t="array" ref="E154">_xlfn.IFERROR(SUM('Direct Costs 2026'!$C$4:$C$6)*D154,"N/A")</f>
        <v>1951000</v>
      </c>
      <c r="F154" s="594" cm="1">
        <f t="array" ref="F154">_xlfn.IFERROR('Direct Costs 2026'!$C$43*B154,"N/A")</f>
        <v>72000</v>
      </c>
      <c r="G154" s="594" cm="1">
        <f t="array" ref="G154">IF(B154&gt;0,'Direct Costs 2026'!$C$25,"N/A")</f>
        <v>90000</v>
      </c>
      <c r="H154" s="594" cm="1">
        <f t="array" ref="H154">IF(B154&gt;0,'Direct Costs 2026'!$C$19+'Direct Costs 2026'!$C$18*B154,"N/A")</f>
        <v>495000</v>
      </c>
      <c r="I154" s="594" cm="1">
        <f t="array" ref="I154">IF(B154&gt;0,SUM('Direct Costs 2026'!$C$20:$C$21),"N/A")</f>
        <v>98333.3333333333</v>
      </c>
      <c r="J154" s="594" cm="1">
        <f t="array" ref="J154">IF(B154&gt;0,'Direct Costs 2026'!$C$14,"N/A")</f>
        <v>60000</v>
      </c>
      <c r="K154" s="594" cm="1">
        <f t="array" ref="K154">IF(B154&gt;0,'Direct Costs 2026'!$C$26,"N/A")</f>
        <v>20000</v>
      </c>
      <c r="L154" s="594" cm="1">
        <f t="array" ref="L154">IF(B154&gt;0,SUM('Direct Costs 2026'!$C$23:$C$24),"N/A")</f>
        <v>160000</v>
      </c>
      <c r="M154" s="594" cm="1">
        <f t="array" ref="M154">IF(B154&gt;0,'Direct Costs 2026'!$C$47*B154,"N/A")</f>
        <v>2160000</v>
      </c>
      <c r="N154" s="594" cm="1">
        <f t="array" ref="N154">IF($B154&gt;0,'Direct Costs 2026'!$C$30,"N/A")</f>
        <v>440000</v>
      </c>
      <c r="O154" s="594" cm="1">
        <f t="array" ref="O154">IF($B154&gt;0,'Direct Costs 2026'!$C$31,"N/A")</f>
        <v>870000</v>
      </c>
      <c r="P154" s="594" cm="1">
        <f t="array" ref="P154">IF(B154&gt;0,'Direct Costs 2026'!$C$59*B154,"N/A")</f>
        <v>492000</v>
      </c>
      <c r="Q154" t="str" s="595" cm="1">
        <f t="array" ref="Q154">IF(B154&gt;0,_xlfn.IFERROR(VLOOKUP(C140,'Boats Data Sheet 2026'!$C$3:$I$57,7,0)*'Direct Costs 2026'!$C$36,"N/A"),"N/A")</f>
        <v>N/A</v>
      </c>
      <c r="R154" t="str" s="595" cm="1">
        <f t="array" ref="R154">IF(B154&gt;0,IF(OR(VLOOKUP(C140,'Boats Data Sheet 2026'!$C$3:$F$57,4,0)="Own",VLOOKUP(C140,'Boats Data Sheet 2026'!$C$3:$F$57,4,0)="Management"),('Direct Costs 2026'!$C$37+'Direct Costs 2026'!$C$39),"N/A"),"N/A")</f>
        <v>N/A</v>
      </c>
      <c r="S154" s="594" cm="1">
        <f t="array" ref="S154">_xlfn.IFERROR(IF(B154&gt;5,IF(B154&gt;11,IF(B154&gt;15,4,3),2),IF(B154=0,"N/A",1))*SUM('Direct Costs 2026'!$C$67:$C$68),"N/A")</f>
        <v>1468800</v>
      </c>
      <c r="T154" s="594" cm="1">
        <f t="array" ref="T154">_xlfn.IFERROR('Direct Costs 2026'!$C$27*C154,"N/A")</f>
        <v>160000</v>
      </c>
      <c r="U154" s="594" cm="1">
        <f t="array" ref="U154">_xlfn.IFERROR(C154+SUM(E154:T154),"N/A")</f>
        <v>16537133.3333333</v>
      </c>
      <c r="V154" s="424"/>
      <c r="W154" s="594" cm="1">
        <f t="array" ref="W154">IF(B154&gt;0,'Allocation OH and Target 2026'!$E$27,"N/A")</f>
        <v>2134447.30345641</v>
      </c>
      <c r="X154" s="594" cm="1">
        <f t="array" ref="X154">IF(B154&gt;0,'Allocation OH and Target 2026'!$E$28,"N/A")</f>
        <v>200042.323056976</v>
      </c>
      <c r="Y154" s="594" cm="1">
        <f t="array" ref="Y154">IF(B154&gt;0,VLOOKUP(C140,'Allocation OH and Target 2026'!$C$5:$T$23,17,0),"N/A")</f>
        <v>0</v>
      </c>
      <c r="Z154" s="594" cm="1">
        <f t="array" ref="Z154">IF(B154&gt;0,VLOOKUP(C140,'Allocation OH and Target 2026'!$C$5:$T$23,18,0),"N/A")</f>
        <v>0</v>
      </c>
      <c r="AA154" s="594" cm="1">
        <f t="array" ref="AA154">_xlfn.IFERROR(B154*(X154+Z154),"N/A")</f>
        <v>2400507.87668371</v>
      </c>
      <c r="AB154" s="424"/>
      <c r="AC154" s="594" cm="1">
        <f t="array" ref="AC154">_xlfn.IFERROR(AA154+U154,"N/A")</f>
        <v>18937641.210017</v>
      </c>
      <c r="AD154" s="594" cm="1">
        <f t="array" ref="AD154">_xlfn.IFERROR(AC154*0.5%,"N/A")</f>
        <v>94688.206050085006</v>
      </c>
      <c r="AE154" s="594" cm="1">
        <f t="array" ref="AE154">_xlfn.IFERROR(AC154*25%,"N/A")</f>
        <v>4734410.30250425</v>
      </c>
      <c r="AF154" s="596" cm="1">
        <f t="array" ref="AF154">IF(B154&gt;0,SUM(AC154:AE154),"N/A")</f>
        <v>23766739.7185713</v>
      </c>
      <c r="AG154" s="594" cm="1">
        <f t="array" ref="AG154">_xlfn.IFERROR(AF154/B154,"N/A")</f>
        <v>1980561.64321428</v>
      </c>
      <c r="AH154" s="424"/>
      <c r="AI154" t="str" s="604" cm="1">
        <f t="array" ref="AI154">IF(B154/VLOOKUP(C140,'Boats Data Sheet 2026'!$C$3:$H$57,6,0)&gt;VLOOKUP(C140,'Allocation OH and Target 2026'!$C$5:$J$23,8,0),IF(SUM(AJ142:AJ153)=0,AG154,"N/A"),"N/A")</f>
        <v>N/A</v>
      </c>
      <c r="AJ154" s="424" cm="1">
        <f t="array" ref="AJ154">IF(AI154="N/A",0,1)</f>
        <v>0</v>
      </c>
      <c r="AK154" t="str" s="595" cm="1">
        <f t="array" ref="AK154">IF(B154/VLOOKUP(C140,'Boats Data Sheet 2026'!$C$3:$H$57,6,0)&gt;VLOOKUP(C140,'Allocation OH and Target 2026'!$C$5:$J$23,8,0),IF(SUM(AJ142:AJ153)=0,U154/B154,"N/A"),"N/A")</f>
        <v>N/A</v>
      </c>
      <c r="AL154" s="424" cm="1">
        <f t="array" ref="AL154">IF(AK154="N/A",0,1)</f>
        <v>0</v>
      </c>
      <c r="AM154" t="str" s="605" cm="1">
        <f t="array" ref="AM154">IF(SUM(1250000+700000)*B154&lt;SUM(AC154:AD154),"NO GO","GO")</f>
        <v>GO</v>
      </c>
      <c r="AN154" s="424"/>
      <c r="AO154" s="594"/>
      <c r="AP154" s="594"/>
      <c r="AQ154" s="594"/>
      <c r="AR154" s="600"/>
      <c r="AS154" s="601" cm="1">
        <f t="array" ref="AS154">B154</f>
        <v>12</v>
      </c>
    </row>
    <row r="155" ht="16" customHeight="1">
      <c r="A155" s="12"/>
      <c r="B155" s="602" cm="1">
        <f t="array" ref="B155">IF(B154=0,0,IF(B154&lt;VLOOKUP(C140,'Boats Data Sheet 2026'!$C$3:$H$57,6,0),B154+1,0))</f>
        <v>13</v>
      </c>
      <c r="C155" s="594" cm="1">
        <f t="array" ref="C155">IF(B155&gt;0,IF(VLOOKUP(C140,'Boats Data Sheet 2026'!$C$3:$J$57,8,0)="N/A",0,VLOOKUP(C140,'Boats Data Sheet 2026'!$C$3:$J$57,8,0)),"N/A")</f>
        <v>8000000</v>
      </c>
      <c r="D155" s="603" cm="1">
        <f t="array" ref="D155">IF(B155&gt;7,2,IF(B155=0,"N/A",1))</f>
        <v>2</v>
      </c>
      <c r="E155" s="594" cm="1">
        <f t="array" ref="E155">_xlfn.IFERROR(SUM('Direct Costs 2026'!$C$4:$C$6)*D155,"N/A")</f>
        <v>1951000</v>
      </c>
      <c r="F155" s="594" cm="1">
        <f t="array" ref="F155">_xlfn.IFERROR('Direct Costs 2026'!$C$43*B155,"N/A")</f>
        <v>78000</v>
      </c>
      <c r="G155" s="594" cm="1">
        <f t="array" ref="G155">IF(B155&gt;0,'Direct Costs 2026'!$C$25,"N/A")</f>
        <v>90000</v>
      </c>
      <c r="H155" s="594" cm="1">
        <f t="array" ref="H155">IF(B155&gt;0,'Direct Costs 2026'!$C$19+'Direct Costs 2026'!$C$18*B155,"N/A")</f>
        <v>530000</v>
      </c>
      <c r="I155" s="594" cm="1">
        <f t="array" ref="I155">IF(B155&gt;0,SUM('Direct Costs 2026'!$C$20:$C$21),"N/A")</f>
        <v>98333.3333333333</v>
      </c>
      <c r="J155" s="594" cm="1">
        <f t="array" ref="J155">IF(B155&gt;0,'Direct Costs 2026'!$C$14,"N/A")</f>
        <v>60000</v>
      </c>
      <c r="K155" s="594" cm="1">
        <f t="array" ref="K155">IF(B155&gt;0,'Direct Costs 2026'!$C$26,"N/A")</f>
        <v>20000</v>
      </c>
      <c r="L155" s="594" cm="1">
        <f t="array" ref="L155">IF(B155&gt;0,SUM('Direct Costs 2026'!$C$23:$C$24),"N/A")</f>
        <v>160000</v>
      </c>
      <c r="M155" s="594" cm="1">
        <f t="array" ref="M155">IF(B155&gt;0,'Direct Costs 2026'!$C$47*B155,"N/A")</f>
        <v>2340000</v>
      </c>
      <c r="N155" s="594" cm="1">
        <f t="array" ref="N155">IF($B155&gt;0,'Direct Costs 2026'!$C$30,"N/A")</f>
        <v>440000</v>
      </c>
      <c r="O155" s="594" cm="1">
        <f t="array" ref="O155">IF($B155&gt;0,'Direct Costs 2026'!$C$31,"N/A")</f>
        <v>870000</v>
      </c>
      <c r="P155" s="594" cm="1">
        <f t="array" ref="P155">IF(B155&gt;0,'Direct Costs 2026'!$C$59*B155,"N/A")</f>
        <v>533000</v>
      </c>
      <c r="Q155" t="str" s="595" cm="1">
        <f t="array" ref="Q155">IF(B155&gt;0,_xlfn.IFERROR(VLOOKUP(C140,'Boats Data Sheet 2026'!$C$3:$I$57,7,0)*'Direct Costs 2026'!$C$36,"N/A"),"N/A")</f>
        <v>N/A</v>
      </c>
      <c r="R155" t="str" s="595" cm="1">
        <f t="array" ref="R155">IF(B155&gt;0,IF(OR(VLOOKUP(C140,'Boats Data Sheet 2026'!$C$3:$F$57,4,0)="Own",VLOOKUP(C140,'Boats Data Sheet 2026'!$C$3:$F$57,4,0)="Management"),('Direct Costs 2026'!$C$37+'Direct Costs 2026'!$C$39),"N/A"),"N/A")</f>
        <v>N/A</v>
      </c>
      <c r="S155" s="594" cm="1">
        <f t="array" ref="S155">_xlfn.IFERROR(IF(B155&gt;5,IF(B155&gt;11,IF(B155&gt;15,4,3),2),IF(B155=0,"N/A",1))*SUM('Direct Costs 2026'!$C$67:$C$68),"N/A")</f>
        <v>1468800</v>
      </c>
      <c r="T155" s="594" cm="1">
        <f t="array" ref="T155">_xlfn.IFERROR('Direct Costs 2026'!$C$27*C155,"N/A")</f>
        <v>160000</v>
      </c>
      <c r="U155" s="594" cm="1">
        <f t="array" ref="U155">_xlfn.IFERROR(C155+SUM(E155:T155),"N/A")</f>
        <v>16799133.3333333</v>
      </c>
      <c r="V155" s="424"/>
      <c r="W155" s="594" cm="1">
        <f t="array" ref="W155">IF(B155&gt;0,'Allocation OH and Target 2026'!$E$27,"N/A")</f>
        <v>2134447.30345641</v>
      </c>
      <c r="X155" s="594" cm="1">
        <f t="array" ref="X155">IF(B155&gt;0,'Allocation OH and Target 2026'!$E$28,"N/A")</f>
        <v>200042.323056976</v>
      </c>
      <c r="Y155" s="594" cm="1">
        <f t="array" ref="Y155">IF(B155&gt;0,VLOOKUP(C140,'Allocation OH and Target 2026'!$C$5:$T$23,17,0),"N/A")</f>
        <v>0</v>
      </c>
      <c r="Z155" s="594" cm="1">
        <f t="array" ref="Z155">IF(B155&gt;0,VLOOKUP(C140,'Allocation OH and Target 2026'!$C$5:$T$23,18,0),"N/A")</f>
        <v>0</v>
      </c>
      <c r="AA155" s="594" cm="1">
        <f t="array" ref="AA155">_xlfn.IFERROR(B155*(X155+Z155),"N/A")</f>
        <v>2600550.19974069</v>
      </c>
      <c r="AB155" s="424"/>
      <c r="AC155" s="594" cm="1">
        <f t="array" ref="AC155">_xlfn.IFERROR(AA155+U155,"N/A")</f>
        <v>19399683.533074</v>
      </c>
      <c r="AD155" s="594" cm="1">
        <f t="array" ref="AD155">_xlfn.IFERROR(AC155*0.5%,"N/A")</f>
        <v>96998.41766537</v>
      </c>
      <c r="AE155" s="594" cm="1">
        <f t="array" ref="AE155">_xlfn.IFERROR(AC155*25%,"N/A")</f>
        <v>4849920.8832685</v>
      </c>
      <c r="AF155" s="596" cm="1">
        <f t="array" ref="AF155">IF(B155&gt;0,SUM(AC155:AE155),"N/A")</f>
        <v>24346602.8340079</v>
      </c>
      <c r="AG155" s="594" cm="1">
        <f t="array" ref="AG155">_xlfn.IFERROR(AF155/B155,"N/A")</f>
        <v>1872815.60261599</v>
      </c>
      <c r="AH155" s="424"/>
      <c r="AI155" t="str" s="604" cm="1">
        <f t="array" ref="AI155">IF(B155/VLOOKUP(C140,'Boats Data Sheet 2026'!$C$3:$H$57,6,0)&gt;VLOOKUP(C140,'Allocation OH and Target 2026'!$C$5:$J$23,8,0),IF(SUM(AJ142:AJ154)=0,AG155,"N/A"),"N/A")</f>
        <v>N/A</v>
      </c>
      <c r="AJ155" s="424" cm="1">
        <f t="array" ref="AJ155">IF(AI155="N/A",0,1)</f>
        <v>0</v>
      </c>
      <c r="AK155" t="str" s="595" cm="1">
        <f t="array" ref="AK155">IF(B155/VLOOKUP(C140,'Boats Data Sheet 2026'!$C$3:$H$57,6,0)&gt;VLOOKUP(C140,'Allocation OH and Target 2026'!$C$5:$J$23,8,0),IF(SUM(AJ142:AJ154)=0,U155/B155,"N/A"),"N/A")</f>
        <v>N/A</v>
      </c>
      <c r="AL155" s="424" cm="1">
        <f t="array" ref="AL155">IF(AK155="N/A",0,1)</f>
        <v>0</v>
      </c>
      <c r="AM155" t="str" s="605" cm="1">
        <f t="array" ref="AM155">IF(SUM(1250000+700000)*B155&lt;SUM(AC155:AD155),"NO GO","GO")</f>
        <v>GO</v>
      </c>
      <c r="AN155" s="424"/>
      <c r="AO155" s="594"/>
      <c r="AP155" s="594"/>
      <c r="AQ155" s="594"/>
      <c r="AR155" s="600"/>
      <c r="AS155" s="601" cm="1">
        <f t="array" ref="AS155">B155</f>
        <v>13</v>
      </c>
    </row>
    <row r="156" ht="16" customHeight="1">
      <c r="A156" s="12"/>
      <c r="B156" s="602" cm="1">
        <f t="array" ref="B156">IF(B155=0,0,IF(B155&lt;VLOOKUP(C140,'Boats Data Sheet 2026'!$C$3:$H$57,6,0),B155+1,0))</f>
        <v>0</v>
      </c>
      <c r="C156" t="str" s="595" cm="1">
        <f t="array" ref="C156">IF(B156&gt;0,IF(VLOOKUP(C140,'Boats Data Sheet 2026'!$C$3:$J$57,8,0)="N/A",0,VLOOKUP(C140,'Boats Data Sheet 2026'!$C$3:$J$57,8,0)),"N/A")</f>
        <v>N/A</v>
      </c>
      <c r="D156" t="str" s="595" cm="1">
        <f t="array" ref="D156">IF(B156&gt;7,2,IF(B156=0,"N/A",1))</f>
        <v>N/A</v>
      </c>
      <c r="E156" t="str" s="595" cm="1">
        <f t="array" ref="E156">_xlfn.IFERROR(SUM('Direct Costs 2026'!$C$4:$C$6)*D156,"N/A")</f>
        <v>N/A</v>
      </c>
      <c r="F156" s="594" cm="1">
        <f t="array" ref="F156">_xlfn.IFERROR('Direct Costs 2026'!$C$43*B156,"N/A")</f>
        <v>0</v>
      </c>
      <c r="G156" t="str" s="595" cm="1">
        <f t="array" ref="G156">IF(B156&gt;0,'Direct Costs 2026'!$C$25,"N/A")</f>
        <v>N/A</v>
      </c>
      <c r="H156" t="str" s="595" cm="1">
        <f t="array" ref="H156">IF(B156&gt;0,'Direct Costs 2026'!$C$19+'Direct Costs 2026'!$C$18*B156,"N/A")</f>
        <v>N/A</v>
      </c>
      <c r="I156" t="str" s="595" cm="1">
        <f t="array" ref="I156">IF(B156&gt;0,SUM('Direct Costs 2026'!$C$20:$C$21),"N/A")</f>
        <v>N/A</v>
      </c>
      <c r="J156" t="str" s="595" cm="1">
        <f t="array" ref="J156">IF(B156&gt;0,'Direct Costs 2026'!$C$14,"N/A")</f>
        <v>N/A</v>
      </c>
      <c r="K156" t="str" s="595" cm="1">
        <f t="array" ref="K156">IF(B156&gt;0,'Direct Costs 2026'!$C$26,"N/A")</f>
        <v>N/A</v>
      </c>
      <c r="L156" t="str" s="595" cm="1">
        <f t="array" ref="L156">IF(B156&gt;0,SUM('Direct Costs 2026'!$C$23:$C$24),"N/A")</f>
        <v>N/A</v>
      </c>
      <c r="M156" t="str" s="595" cm="1">
        <f t="array" ref="M156">IF(B156&gt;0,'Direct Costs 2026'!$C$47*B156,"N/A")</f>
        <v>N/A</v>
      </c>
      <c r="N156" t="str" s="595" cm="1">
        <f t="array" ref="N156">IF($B156&gt;0,'Direct Costs 2026'!$C$30,"N/A")</f>
        <v>N/A</v>
      </c>
      <c r="O156" t="str" s="595" cm="1">
        <f t="array" ref="O156">IF($B156&gt;0,'Direct Costs 2026'!$C$31,"N/A")</f>
        <v>N/A</v>
      </c>
      <c r="P156" t="str" s="595" cm="1">
        <f t="array" ref="P156">IF(B156&gt;0,'Direct Costs 2026'!$C$59*B156,"N/A")</f>
        <v>N/A</v>
      </c>
      <c r="Q156" t="str" s="595" cm="1">
        <f t="array" ref="Q156">IF(B156&gt;0,_xlfn.IFERROR(VLOOKUP(C140,'Boats Data Sheet 2026'!$C$3:$I$57,7,0)*'Direct Costs 2026'!$C$36,"N/A"),"N/A")</f>
        <v>N/A</v>
      </c>
      <c r="R156" t="str" s="595" cm="1">
        <f t="array" ref="R156">IF(B156&gt;0,IF(OR(VLOOKUP(C140,'Boats Data Sheet 2026'!$C$3:$F$57,4,0)="Own",VLOOKUP(C140,'Boats Data Sheet 2026'!$C$3:$F$57,4,0)="Management"),('Direct Costs 2026'!$C$37+'Direct Costs 2026'!$C$39),"N/A"),"N/A")</f>
        <v>N/A</v>
      </c>
      <c r="S156" t="str" s="595" cm="1">
        <f t="array" ref="S156">_xlfn.IFERROR(IF(B156&gt;5,IF(B156&gt;11,IF(B156&gt;15,4,3),2),IF(B156=0,"N/A",1))*SUM('Direct Costs 2026'!$C$67:$C$68),"N/A")</f>
        <v>N/A</v>
      </c>
      <c r="T156" t="str" s="595" cm="1">
        <f t="array" ref="T156">_xlfn.IFERROR('Direct Costs 2026'!$C$27*C156,"N/A")</f>
        <v>N/A</v>
      </c>
      <c r="U156" t="str" s="595" cm="1">
        <f t="array" ref="U156">_xlfn.IFERROR(C156+SUM(E156:T156),"N/A")</f>
        <v>N/A</v>
      </c>
      <c r="V156" s="424"/>
      <c r="W156" t="str" s="595" cm="1">
        <f t="array" ref="W156">IF(B156&gt;0,'Allocation OH and Target 2026'!$E$27,"N/A")</f>
        <v>N/A</v>
      </c>
      <c r="X156" t="str" s="595" cm="1">
        <f t="array" ref="X156">IF(B156&gt;0,'Allocation OH and Target 2026'!$E$28,"N/A")</f>
        <v>N/A</v>
      </c>
      <c r="Y156" t="str" s="595" cm="1">
        <f t="array" ref="Y156">IF(B156&gt;0,VLOOKUP(C140,'Allocation OH and Target 2026'!$C$5:$T$23,17,0),"N/A")</f>
        <v>N/A</v>
      </c>
      <c r="Z156" t="str" s="595" cm="1">
        <f t="array" ref="Z156">IF(B156&gt;0,VLOOKUP(C140,'Allocation OH and Target 2026'!$C$5:$T$23,18,0),"N/A")</f>
        <v>N/A</v>
      </c>
      <c r="AA156" t="str" s="595" cm="1">
        <f t="array" ref="AA156">_xlfn.IFERROR(B156*(X156+Z156),"N/A")</f>
        <v>N/A</v>
      </c>
      <c r="AB156" s="424"/>
      <c r="AC156" t="str" s="595" cm="1">
        <f t="array" ref="AC156">_xlfn.IFERROR(AA156+U156,"N/A")</f>
        <v>N/A</v>
      </c>
      <c r="AD156" t="str" s="595" cm="1">
        <f t="array" ref="AD156">_xlfn.IFERROR(AC156*0.5%,"N/A")</f>
        <v>N/A</v>
      </c>
      <c r="AE156" t="str" s="595" cm="1">
        <f t="array" ref="AE156">_xlfn.IFERROR(AC156*25%,"N/A")</f>
        <v>N/A</v>
      </c>
      <c r="AF156" t="str" s="604" cm="1">
        <f t="array" ref="AF156">IF(B156&gt;0,SUM(AC156:AE156),"N/A")</f>
        <v>N/A</v>
      </c>
      <c r="AG156" t="str" s="595" cm="1">
        <f t="array" ref="AG156">_xlfn.IFERROR(AF156/B156,"N/A")</f>
        <v>N/A</v>
      </c>
      <c r="AH156" s="424"/>
      <c r="AI156" t="str" s="604" cm="1">
        <f t="array" ref="AI156">IF(B156/VLOOKUP(C140,'Boats Data Sheet 2026'!$C$3:$H$57,6,0)&gt;VLOOKUP(C140,'Allocation OH and Target 2026'!$C$5:$J$23,8,0),IF(SUM(AJ142:AJ155)=0,AG156,"N/A"),"N/A")</f>
        <v>N/A</v>
      </c>
      <c r="AJ156" s="424" cm="1">
        <f t="array" ref="AJ156">IF(AI156="N/A",0,1)</f>
        <v>0</v>
      </c>
      <c r="AK156" t="str" s="595" cm="1">
        <f t="array" ref="AK156">IF(B156/VLOOKUP(C140,'Boats Data Sheet 2026'!$C$3:$H$57,6,0)&gt;VLOOKUP(C140,'Allocation OH and Target 2026'!$C$5:$J$23,8,0),IF(SUM(AJ142:AJ155)=0,U156/B156,"N/A"),"N/A")</f>
        <v>N/A</v>
      </c>
      <c r="AL156" s="424" cm="1">
        <f t="array" ref="AL156">IF(AK156="N/A",0,1)</f>
        <v>0</v>
      </c>
      <c r="AM156" t="str" s="605" cm="1">
        <f t="array" ref="AM156">IF(SUM(1250000+700000)*B156&lt;SUM(AC156:AD156),"NO GO","GO")</f>
        <v>GO</v>
      </c>
      <c r="AN156" s="424"/>
      <c r="AO156" s="594"/>
      <c r="AP156" s="594"/>
      <c r="AQ156" s="594"/>
      <c r="AR156" s="600"/>
      <c r="AS156" s="601" cm="1">
        <f t="array" ref="AS156">B156</f>
        <v>0</v>
      </c>
    </row>
    <row r="157" ht="16" customHeight="1">
      <c r="A157" s="12"/>
      <c r="B157" s="602" cm="1">
        <f t="array" ref="B157">IF(B156=0,0,IF(B156&lt;VLOOKUP(C140,'Boats Data Sheet 2026'!$C$3:$H$57,6,0),B156+1,0))</f>
        <v>0</v>
      </c>
      <c r="C157" t="str" s="595" cm="1">
        <f t="array" ref="C157">IF(B157&gt;0,IF(VLOOKUP(C140,'Boats Data Sheet 2026'!$C$3:$J$57,8,0)="N/A",0,VLOOKUP(C140,'Boats Data Sheet 2026'!$C$3:$J$57,8,0)),"N/A")</f>
        <v>N/A</v>
      </c>
      <c r="D157" t="str" s="595" cm="1">
        <f t="array" ref="D157">IF(B157&gt;7,2,IF(B157=0,"N/A",1))</f>
        <v>N/A</v>
      </c>
      <c r="E157" t="str" s="595" cm="1">
        <f t="array" ref="E157">_xlfn.IFERROR(SUM('Direct Costs 2026'!$C$4:$C$6)*D157,"N/A")</f>
        <v>N/A</v>
      </c>
      <c r="F157" s="594" cm="1">
        <f t="array" ref="F157">_xlfn.IFERROR('Direct Costs 2026'!$C$43*B157,"N/A")</f>
        <v>0</v>
      </c>
      <c r="G157" t="str" s="595" cm="1">
        <f t="array" ref="G157">IF(B157&gt;0,'Direct Costs 2026'!$C$25,"N/A")</f>
        <v>N/A</v>
      </c>
      <c r="H157" t="str" s="595" cm="1">
        <f t="array" ref="H157">IF(B157&gt;0,'Direct Costs 2026'!$C$19+'Direct Costs 2026'!$C$18*B157,"N/A")</f>
        <v>N/A</v>
      </c>
      <c r="I157" t="str" s="595" cm="1">
        <f t="array" ref="I157">IF(B157&gt;0,SUM('Direct Costs 2026'!$C$20:$C$21),"N/A")</f>
        <v>N/A</v>
      </c>
      <c r="J157" t="str" s="595" cm="1">
        <f t="array" ref="J157">IF(B157&gt;0,'Direct Costs 2026'!$C$14,"N/A")</f>
        <v>N/A</v>
      </c>
      <c r="K157" t="str" s="595" cm="1">
        <f t="array" ref="K157">IF(B157&gt;0,'Direct Costs 2026'!$C$26,"N/A")</f>
        <v>N/A</v>
      </c>
      <c r="L157" t="str" s="595" cm="1">
        <f t="array" ref="L157">IF(B157&gt;0,SUM('Direct Costs 2026'!$C$23:$C$24),"N/A")</f>
        <v>N/A</v>
      </c>
      <c r="M157" t="str" s="595" cm="1">
        <f t="array" ref="M157">IF(B157&gt;0,'Direct Costs 2026'!$C$47*B157,"N/A")</f>
        <v>N/A</v>
      </c>
      <c r="N157" t="str" s="595" cm="1">
        <f t="array" ref="N157">IF($B157&gt;0,'Direct Costs 2026'!$C$30,"N/A")</f>
        <v>N/A</v>
      </c>
      <c r="O157" t="str" s="595" cm="1">
        <f t="array" ref="O157">IF($B157&gt;0,'Direct Costs 2026'!$C$31,"N/A")</f>
        <v>N/A</v>
      </c>
      <c r="P157" t="str" s="595" cm="1">
        <f t="array" ref="P157">IF(B157&gt;0,'Direct Costs 2026'!$C$59*B157,"N/A")</f>
        <v>N/A</v>
      </c>
      <c r="Q157" t="str" s="595" cm="1">
        <f t="array" ref="Q157">IF(B157&gt;0,_xlfn.IFERROR(VLOOKUP(C140,'Boats Data Sheet 2026'!$C$3:$I$57,7,0)*'Direct Costs 2026'!$C$36,"N/A"),"N/A")</f>
        <v>N/A</v>
      </c>
      <c r="R157" t="str" s="595" cm="1">
        <f t="array" ref="R157">IF(B157&gt;0,IF(OR(VLOOKUP(C140,'Boats Data Sheet 2026'!$C$3:$F$57,4,0)="Own",VLOOKUP(C140,'Boats Data Sheet 2026'!$C$3:$F$57,4,0)="Management"),('Direct Costs 2026'!$C$37+'Direct Costs 2026'!$C$39),"N/A"),"N/A")</f>
        <v>N/A</v>
      </c>
      <c r="S157" t="str" s="595" cm="1">
        <f t="array" ref="S157">_xlfn.IFERROR(IF(B157&gt;5,IF(B157&gt;11,IF(B157&gt;15,4,3),2),IF(B157=0,"N/A",1))*SUM('Direct Costs 2026'!$C$67:$C$68),"N/A")</f>
        <v>N/A</v>
      </c>
      <c r="T157" t="str" s="595" cm="1">
        <f t="array" ref="T157">_xlfn.IFERROR('Direct Costs 2026'!$C$27*C157,"N/A")</f>
        <v>N/A</v>
      </c>
      <c r="U157" t="str" s="595" cm="1">
        <f t="array" ref="U157">_xlfn.IFERROR(C157+SUM(E157:T157),"N/A")</f>
        <v>N/A</v>
      </c>
      <c r="V157" s="424"/>
      <c r="W157" t="str" s="595" cm="1">
        <f t="array" ref="W157">IF(B157&gt;0,'Allocation OH and Target 2026'!$E$27,"N/A")</f>
        <v>N/A</v>
      </c>
      <c r="X157" t="str" s="595" cm="1">
        <f t="array" ref="X157">IF(B157&gt;0,'Allocation OH and Target 2026'!$E$28,"N/A")</f>
        <v>N/A</v>
      </c>
      <c r="Y157" t="str" s="595" cm="1">
        <f t="array" ref="Y157">IF(B157&gt;0,VLOOKUP(C140,'Allocation OH and Target 2026'!$C$5:$T$23,17,0),"N/A")</f>
        <v>N/A</v>
      </c>
      <c r="Z157" t="str" s="595" cm="1">
        <f t="array" ref="Z157">IF(B157&gt;0,VLOOKUP(C140,'Allocation OH and Target 2026'!$C$5:$T$23,18,0),"N/A")</f>
        <v>N/A</v>
      </c>
      <c r="AA157" t="str" s="595" cm="1">
        <f t="array" ref="AA157">_xlfn.IFERROR(X157*B157+Z157,"N/A")</f>
        <v>N/A</v>
      </c>
      <c r="AB157" s="424"/>
      <c r="AC157" t="str" s="595" cm="1">
        <f t="array" ref="AC157">_xlfn.IFERROR(AA157+U157,"N/A")</f>
        <v>N/A</v>
      </c>
      <c r="AD157" t="str" s="595" cm="1">
        <f t="array" ref="AD157">_xlfn.IFERROR(AC157*0.5%,"N/A")</f>
        <v>N/A</v>
      </c>
      <c r="AE157" t="str" s="595" cm="1">
        <f t="array" ref="AE157">_xlfn.IFERROR(AC157*25%,"N/A")</f>
        <v>N/A</v>
      </c>
      <c r="AF157" t="str" s="604" cm="1">
        <f t="array" ref="AF157">IF(B157&gt;0,SUM(AC157:AE157),"N/A")</f>
        <v>N/A</v>
      </c>
      <c r="AG157" t="str" s="595" cm="1">
        <f t="array" ref="AG157">_xlfn.IFERROR(AF157/B157,"N/A")</f>
        <v>N/A</v>
      </c>
      <c r="AH157" s="424"/>
      <c r="AI157" t="str" s="604" cm="1">
        <f t="array" ref="AI157">IF(B157/VLOOKUP(C140,'Boats Data Sheet 2026'!$C$3:$H$57,6,0)&gt;VLOOKUP(C140,'Allocation OH and Target 2026'!$C$5:$J$23,8,0),IF(SUM(AJ142:AJ156)=0,AG157,"N/A"),"N/A")</f>
        <v>N/A</v>
      </c>
      <c r="AJ157" s="424" cm="1">
        <f t="array" ref="AJ157">IF(AI157="N/A",0,1)</f>
        <v>0</v>
      </c>
      <c r="AK157" t="str" s="595" cm="1">
        <f t="array" ref="AK157">IF(B157/VLOOKUP(C140,'Boats Data Sheet 2026'!$C$3:$H$57,6,0)&gt;VLOOKUP(C140,'Allocation OH and Target 2026'!$C$5:$J$23,8,0),IF(SUM(AJ142:AJ156)=0,U157/B157,"N/A"),"N/A")</f>
        <v>N/A</v>
      </c>
      <c r="AL157" s="424" cm="1">
        <f t="array" ref="AL157">IF(AK157="N/A",0,1)</f>
        <v>0</v>
      </c>
      <c r="AM157" t="str" s="605" cm="1">
        <f t="array" ref="AM157">IF(SUM(1250000+700000)*B157&lt;SUM(AC157:AD157),"NO GO","GO")</f>
        <v>GO</v>
      </c>
      <c r="AN157" s="424"/>
      <c r="AO157" s="594"/>
      <c r="AP157" s="594"/>
      <c r="AQ157" s="594"/>
      <c r="AR157" s="600"/>
      <c r="AS157" s="601" cm="1">
        <f t="array" ref="AS157">B157</f>
        <v>0</v>
      </c>
    </row>
    <row r="158" ht="16" customHeight="1">
      <c r="A158" s="12"/>
      <c r="B158" s="602" cm="1">
        <f t="array" ref="B158">IF(B157=0,0,IF(B157&lt;VLOOKUP(C140,'Boats Data Sheet 2026'!$C$3:$H$57,6,0),B157+1,0))</f>
        <v>0</v>
      </c>
      <c r="C158" t="str" s="595" cm="1">
        <f t="array" ref="C158">IF(B158&gt;0,IF(VLOOKUP(C140,'Boats Data Sheet 2026'!$C$3:$J$57,8,0)="N/A",0,VLOOKUP(C140,'Boats Data Sheet 2026'!$C$3:$J$57,8,0)),"N/A")</f>
        <v>N/A</v>
      </c>
      <c r="D158" t="str" s="595" cm="1">
        <f t="array" ref="D158">IF(B158&gt;7,2,IF(B158=0,"N/A",1))</f>
        <v>N/A</v>
      </c>
      <c r="E158" t="str" s="595" cm="1">
        <f t="array" ref="E158">_xlfn.IFERROR(SUM('Direct Costs 2026'!$C$4:$C$6)*D158,"N/A")</f>
        <v>N/A</v>
      </c>
      <c r="F158" s="594" cm="1">
        <f t="array" ref="F158">_xlfn.IFERROR('Direct Costs 2026'!$C$43*B158,"N/A")</f>
        <v>0</v>
      </c>
      <c r="G158" t="str" s="595" cm="1">
        <f t="array" ref="G158">IF(B158&gt;0,'Direct Costs 2026'!$C$25,"N/A")</f>
        <v>N/A</v>
      </c>
      <c r="H158" t="str" s="595" cm="1">
        <f t="array" ref="H158">IF(B158&gt;0,'Direct Costs 2026'!$C$19+'Direct Costs 2026'!$C$18*B158,"N/A")</f>
        <v>N/A</v>
      </c>
      <c r="I158" t="str" s="595" cm="1">
        <f t="array" ref="I158">IF(B158&gt;0,SUM('Direct Costs 2026'!$C$20:$C$21),"N/A")</f>
        <v>N/A</v>
      </c>
      <c r="J158" t="str" s="595" cm="1">
        <f t="array" ref="J158">IF(B158&gt;0,'Direct Costs 2026'!$C$14,"N/A")</f>
        <v>N/A</v>
      </c>
      <c r="K158" t="str" s="595" cm="1">
        <f t="array" ref="K158">IF(B158&gt;0,'Direct Costs 2026'!$C$26,"N/A")</f>
        <v>N/A</v>
      </c>
      <c r="L158" t="str" s="595" cm="1">
        <f t="array" ref="L158">IF(B158&gt;0,SUM('Direct Costs 2026'!$C$23:$C$24),"N/A")</f>
        <v>N/A</v>
      </c>
      <c r="M158" t="str" s="595" cm="1">
        <f t="array" ref="M158">IF(B158&gt;0,'Direct Costs 2026'!$C$47*B158,"N/A")</f>
        <v>N/A</v>
      </c>
      <c r="N158" t="str" s="595" cm="1">
        <f t="array" ref="N158">IF($B158&gt;0,'Direct Costs 2026'!$C$30,"N/A")</f>
        <v>N/A</v>
      </c>
      <c r="O158" t="str" s="595" cm="1">
        <f t="array" ref="O158">IF($B158&gt;0,'Direct Costs 2026'!$C$31,"N/A")</f>
        <v>N/A</v>
      </c>
      <c r="P158" t="str" s="595" cm="1">
        <f t="array" ref="P158">IF(B158&gt;0,'Direct Costs 2026'!$C$59*B158,"N/A")</f>
        <v>N/A</v>
      </c>
      <c r="Q158" t="str" s="595" cm="1">
        <f t="array" ref="Q158">IF(B158&gt;0,_xlfn.IFERROR(VLOOKUP(C140,'Boats Data Sheet 2026'!$C$3:$I$57,7,0)*'Direct Costs 2026'!$C$36,"N/A"),"N/A")</f>
        <v>N/A</v>
      </c>
      <c r="R158" t="str" s="595" cm="1">
        <f t="array" ref="R158">IF(B158&gt;0,IF(OR(VLOOKUP(C140,'Boats Data Sheet 2026'!$C$3:$F$57,4,0)="Own",VLOOKUP(C140,'Boats Data Sheet 2026'!$C$3:$F$57,4,0)="Management"),('Direct Costs 2026'!$C$37+'Direct Costs 2026'!$C$39),"N/A"),"N/A")</f>
        <v>N/A</v>
      </c>
      <c r="S158" t="str" s="595" cm="1">
        <f t="array" ref="S158">_xlfn.IFERROR(IF(B158&gt;5,IF(B158&gt;11,IF(B158&gt;15,4,3),2),IF(B158=0,"N/A",1))*SUM('Direct Costs 2026'!$C$67:$C$68),"N/A")</f>
        <v>N/A</v>
      </c>
      <c r="T158" t="str" s="595" cm="1">
        <f t="array" ref="T158">_xlfn.IFERROR('Direct Costs 2026'!$C$27*C158,"N/A")</f>
        <v>N/A</v>
      </c>
      <c r="U158" t="str" s="595" cm="1">
        <f t="array" ref="U158">_xlfn.IFERROR(C158+SUM(E158:T158),"N/A")</f>
        <v>N/A</v>
      </c>
      <c r="V158" s="424"/>
      <c r="W158" t="str" s="595" cm="1">
        <f t="array" ref="W158">IF(B158&gt;0,'Allocation OH and Target 2026'!$E$27,"N/A")</f>
        <v>N/A</v>
      </c>
      <c r="X158" t="str" s="595" cm="1">
        <f t="array" ref="X158">IF(B158&gt;0,'Allocation OH and Target 2026'!$E$28,"N/A")</f>
        <v>N/A</v>
      </c>
      <c r="Y158" t="str" s="595" cm="1">
        <f t="array" ref="Y158">IF(B158&gt;0,VLOOKUP(C140,'Allocation OH and Target 2026'!$C$5:$T$23,17,0),"N/A")</f>
        <v>N/A</v>
      </c>
      <c r="Z158" t="str" s="595" cm="1">
        <f t="array" ref="Z158">IF(B158&gt;0,VLOOKUP(C140,'Allocation OH and Target 2026'!$C$5:$T$23,18,0),"N/A")</f>
        <v>N/A</v>
      </c>
      <c r="AA158" t="str" s="595" cm="1">
        <f t="array" ref="AA158">_xlfn.IFERROR(X158*B158+Z158,"N/A")</f>
        <v>N/A</v>
      </c>
      <c r="AB158" s="424"/>
      <c r="AC158" t="str" s="595" cm="1">
        <f t="array" ref="AC158">_xlfn.IFERROR(AA158+U158,"N/A")</f>
        <v>N/A</v>
      </c>
      <c r="AD158" t="str" s="595" cm="1">
        <f t="array" ref="AD158">_xlfn.IFERROR(AC158*0.5%,"N/A")</f>
        <v>N/A</v>
      </c>
      <c r="AE158" t="str" s="595" cm="1">
        <f t="array" ref="AE158">_xlfn.IFERROR(AC158*25%,"N/A")</f>
        <v>N/A</v>
      </c>
      <c r="AF158" t="str" s="604" cm="1">
        <f t="array" ref="AF158">IF(B158&gt;0,SUM(AC158:AE158),"N/A")</f>
        <v>N/A</v>
      </c>
      <c r="AG158" t="str" s="595" cm="1">
        <f t="array" ref="AG158">_xlfn.IFERROR(AF158/B158,"N/A")</f>
        <v>N/A</v>
      </c>
      <c r="AH158" s="424"/>
      <c r="AI158" t="str" s="604" cm="1">
        <f t="array" ref="AI158">IF(B158/VLOOKUP(C140,'Boats Data Sheet 2026'!$C$3:$H$57,6,0)&gt;VLOOKUP(C140,'Allocation OH and Target 2026'!$C$5:$J$23,8,0),IF(SUM(AJ142:AJ157)=0,AG158,"N/A"),"N/A")</f>
        <v>N/A</v>
      </c>
      <c r="AJ158" s="424" cm="1">
        <f t="array" ref="AJ158">IF(AI158="N/A",0,1)</f>
        <v>0</v>
      </c>
      <c r="AK158" t="str" s="595" cm="1">
        <f t="array" ref="AK158">IF(B158/VLOOKUP(C140,'Boats Data Sheet 2026'!$C$3:$H$57,6,0)&gt;VLOOKUP(C140,'Allocation OH and Target 2026'!$C$5:$J$23,8,0),IF(SUM(AJ142:AJ157)=0,U158/B158,"N/A"),"N/A")</f>
        <v>N/A</v>
      </c>
      <c r="AL158" s="424" cm="1">
        <f t="array" ref="AL158">IF(AK158="N/A",0,1)</f>
        <v>0</v>
      </c>
      <c r="AM158" t="str" s="605" cm="1">
        <f t="array" ref="AM158">IF(SUM(1250000+700000)*B158&lt;SUM(AC158:AD158),"NO GO","GO")</f>
        <v>GO</v>
      </c>
      <c r="AN158" s="424"/>
      <c r="AO158" s="594"/>
      <c r="AP158" s="594"/>
      <c r="AQ158" s="594"/>
      <c r="AR158" s="600"/>
      <c r="AS158" s="601" cm="1">
        <f t="array" ref="AS158">B158</f>
        <v>0</v>
      </c>
    </row>
    <row r="159" ht="16" customHeight="1">
      <c r="A159" s="12"/>
      <c r="B159" s="602" cm="1">
        <f t="array" ref="B159">IF(B158=0,0,IF(B158&lt;VLOOKUP(C140,'Boats Data Sheet 2026'!$C$3:$H$57,6,0),B158+1,0))</f>
        <v>0</v>
      </c>
      <c r="C159" t="str" s="595" cm="1">
        <f t="array" ref="C159">IF(B159&gt;0,IF(VLOOKUP(C140,'Boats Data Sheet 2026'!$C$3:$J$57,8,0)="N/A",0,VLOOKUP(C140,'Boats Data Sheet 2026'!$C$3:$J$57,8,0)),"N/A")</f>
        <v>N/A</v>
      </c>
      <c r="D159" t="str" s="595" cm="1">
        <f t="array" ref="D159">IF(B159&gt;7,2,IF(B159=0,"N/A",1))</f>
        <v>N/A</v>
      </c>
      <c r="E159" t="str" s="595" cm="1">
        <f t="array" ref="E159">_xlfn.IFERROR(SUM('Direct Costs 2026'!$C$4:$C$6)*D159,"N/A")</f>
        <v>N/A</v>
      </c>
      <c r="F159" s="594" cm="1">
        <f t="array" ref="F159">_xlfn.IFERROR('Direct Costs 2026'!$C$43*B159,"N/A")</f>
        <v>0</v>
      </c>
      <c r="G159" t="str" s="595" cm="1">
        <f t="array" ref="G159">IF(B159&gt;0,'Direct Costs 2026'!$C$25,"N/A")</f>
        <v>N/A</v>
      </c>
      <c r="H159" t="str" s="595" cm="1">
        <f t="array" ref="H159">IF(B159&gt;0,'Direct Costs 2026'!$C$19+'Direct Costs 2026'!$C$18*B159,"N/A")</f>
        <v>N/A</v>
      </c>
      <c r="I159" t="str" s="595" cm="1">
        <f t="array" ref="I159">IF(B159&gt;0,SUM('Direct Costs 2026'!$C$20:$C$21),"N/A")</f>
        <v>N/A</v>
      </c>
      <c r="J159" t="str" s="595" cm="1">
        <f t="array" ref="J159">IF(B159&gt;0,'Direct Costs 2026'!$C$14,"N/A")</f>
        <v>N/A</v>
      </c>
      <c r="K159" t="str" s="595" cm="1">
        <f t="array" ref="K159">IF(B159&gt;0,'Direct Costs 2026'!$C$26,"N/A")</f>
        <v>N/A</v>
      </c>
      <c r="L159" t="str" s="595" cm="1">
        <f t="array" ref="L159">IF(B159&gt;0,SUM('Direct Costs 2026'!$C$23:$C$24),"N/A")</f>
        <v>N/A</v>
      </c>
      <c r="M159" t="str" s="595" cm="1">
        <f t="array" ref="M159">IF(B159&gt;0,'Direct Costs 2026'!$C$47*B159,"N/A")</f>
        <v>N/A</v>
      </c>
      <c r="N159" t="str" s="595" cm="1">
        <f t="array" ref="N159">IF($B159&gt;0,'Direct Costs 2026'!$C$30,"N/A")</f>
        <v>N/A</v>
      </c>
      <c r="O159" t="str" s="595" cm="1">
        <f t="array" ref="O159">IF($B159&gt;0,'Direct Costs 2026'!$C$31,"N/A")</f>
        <v>N/A</v>
      </c>
      <c r="P159" t="str" s="595" cm="1">
        <f t="array" ref="P159">IF(B159&gt;0,'Direct Costs 2026'!$C$59*B159,"N/A")</f>
        <v>N/A</v>
      </c>
      <c r="Q159" t="str" s="595" cm="1">
        <f t="array" ref="Q159">IF(B159&gt;0,_xlfn.IFERROR(VLOOKUP(C140,'Boats Data Sheet 2026'!$C$3:$I$57,7,0)*'Direct Costs 2026'!$C$36,"N/A"),"N/A")</f>
        <v>N/A</v>
      </c>
      <c r="R159" t="str" s="595" cm="1">
        <f t="array" ref="R159">IF(B159&gt;0,IF(OR(VLOOKUP(C140,'Boats Data Sheet 2026'!$C$3:$F$57,4,0)="Own",VLOOKUP(C140,'Boats Data Sheet 2026'!$C$3:$F$57,4,0)="Management"),('Direct Costs 2026'!$C$37+'Direct Costs 2026'!$C$39),"N/A"),"N/A")</f>
        <v>N/A</v>
      </c>
      <c r="S159" t="str" s="595" cm="1">
        <f t="array" ref="S159">_xlfn.IFERROR(IF(B159&gt;5,IF(B159&gt;11,IF(B159&gt;15,4,3),2),IF(B159=0,"N/A",1))*SUM('Direct Costs 2026'!$C$67:$C$68),"N/A")</f>
        <v>N/A</v>
      </c>
      <c r="T159" t="str" s="595" cm="1">
        <f t="array" ref="T159">_xlfn.IFERROR('Direct Costs 2026'!$C$27*C159,"N/A")</f>
        <v>N/A</v>
      </c>
      <c r="U159" t="str" s="595" cm="1">
        <f t="array" ref="U159">_xlfn.IFERROR(C159+SUM(E159:T159),"N/A")</f>
        <v>N/A</v>
      </c>
      <c r="V159" s="424"/>
      <c r="W159" t="str" s="595" cm="1">
        <f t="array" ref="W159">IF(B159&gt;0,'Allocation OH and Target 2026'!$E$27,"N/A")</f>
        <v>N/A</v>
      </c>
      <c r="X159" t="str" s="595" cm="1">
        <f t="array" ref="X159">IF(B159&gt;0,'Allocation OH and Target 2026'!$E$28,"N/A")</f>
        <v>N/A</v>
      </c>
      <c r="Y159" t="str" s="595" cm="1">
        <f t="array" ref="Y159">IF(B159&gt;0,VLOOKUP(C140,'Allocation OH and Target 2026'!$C$5:$T$23,17,0),"N/A")</f>
        <v>N/A</v>
      </c>
      <c r="Z159" t="str" s="595" cm="1">
        <f t="array" ref="Z159">IF(B159&gt;0,VLOOKUP(C140,'Allocation OH and Target 2026'!$C$5:$T$23,18,0),"N/A")</f>
        <v>N/A</v>
      </c>
      <c r="AA159" t="str" s="595" cm="1">
        <f t="array" ref="AA159">_xlfn.IFERROR(X159*B159+Z159,"N/A")</f>
        <v>N/A</v>
      </c>
      <c r="AB159" s="424"/>
      <c r="AC159" t="str" s="595" cm="1">
        <f t="array" ref="AC159">_xlfn.IFERROR(AA159+U159,"N/A")</f>
        <v>N/A</v>
      </c>
      <c r="AD159" t="str" s="595" cm="1">
        <f t="array" ref="AD159">_xlfn.IFERROR(AC159*0.5%,"N/A")</f>
        <v>N/A</v>
      </c>
      <c r="AE159" t="str" s="595" cm="1">
        <f t="array" ref="AE159">_xlfn.IFERROR(AC159*25%,"N/A")</f>
        <v>N/A</v>
      </c>
      <c r="AF159" t="str" s="604" cm="1">
        <f t="array" ref="AF159">IF(B159&gt;0,SUM(AC159:AE159),"N/A")</f>
        <v>N/A</v>
      </c>
      <c r="AG159" t="str" s="595" cm="1">
        <f t="array" ref="AG159">_xlfn.IFERROR(AF159/B159,"N/A")</f>
        <v>N/A</v>
      </c>
      <c r="AH159" s="424"/>
      <c r="AI159" t="str" s="604" cm="1">
        <f t="array" ref="AI159">IF(B159/VLOOKUP(C140,'Boats Data Sheet 2026'!$C$3:$H$57,6,0)&gt;VLOOKUP(C140,'Allocation OH and Target 2026'!$C$5:$J$23,8,0),IF(SUM(AJ142:AJ158)=0,AG159,"N/A"),"N/A")</f>
        <v>N/A</v>
      </c>
      <c r="AJ159" s="424" cm="1">
        <f t="array" ref="AJ159">IF(AI159="N/A",0,1)</f>
        <v>0</v>
      </c>
      <c r="AK159" t="str" s="595" cm="1">
        <f t="array" ref="AK159">IF(B159/VLOOKUP(C140,'Boats Data Sheet 2026'!$C$3:$H$57,6,0)&gt;VLOOKUP(C140,'Allocation OH and Target 2026'!$C$5:$J$23,8,0),IF(SUM(AJ142:AJ158)=0,U159/B159,"N/A"),"N/A")</f>
        <v>N/A</v>
      </c>
      <c r="AL159" s="424" cm="1">
        <f t="array" ref="AL159">IF(AK159="N/A",0,1)</f>
        <v>0</v>
      </c>
      <c r="AM159" t="str" s="605" cm="1">
        <f t="array" ref="AM159">IF(SUM(1250000+700000)*B159&lt;SUM(AC159:AD159),"NO GO","GO")</f>
        <v>GO</v>
      </c>
      <c r="AN159" s="424"/>
      <c r="AO159" s="594"/>
      <c r="AP159" s="594"/>
      <c r="AQ159" s="594"/>
      <c r="AR159" s="600"/>
      <c r="AS159" s="601" cm="1">
        <f t="array" ref="AS159">B159</f>
        <v>0</v>
      </c>
    </row>
    <row r="160" ht="15.5" customHeight="1">
      <c r="A160" s="12"/>
      <c r="B160" s="606" cm="1">
        <f t="array" ref="B160">IF(B159=0,0,IF(B159&lt;VLOOKUP(C140,'Boats Data Sheet 2026'!$C$3:$H$57,6,0),B159+1,0))</f>
        <v>0</v>
      </c>
      <c r="C160" t="str" s="607" cm="1">
        <f t="array" ref="C160">IF(B160&gt;0,IF(VLOOKUP(C140,'Boats Data Sheet 2026'!$C$3:$J$57,8,0)="N/A",0,VLOOKUP(C140,'Boats Data Sheet 2026'!$C$3:$J$57,8,0)),"N/A")</f>
        <v>N/A</v>
      </c>
      <c r="D160" t="str" s="607" cm="1">
        <f t="array" ref="D160">IF(B160&gt;7,2,IF(B160=0,"N/A",1))</f>
        <v>N/A</v>
      </c>
      <c r="E160" t="str" s="607" cm="1">
        <f t="array" ref="E160">_xlfn.IFERROR(SUM('Direct Costs 2026'!$C$4:$C$6)*D160,"N/A")</f>
        <v>N/A</v>
      </c>
      <c r="F160" s="608" cm="1">
        <f t="array" ref="F160">_xlfn.IFERROR('Direct Costs 2026'!$C$43*B160,"N/A")</f>
        <v>0</v>
      </c>
      <c r="G160" t="str" s="607" cm="1">
        <f t="array" ref="G160">IF(B160&gt;0,'Direct Costs 2026'!$C$25,"N/A")</f>
        <v>N/A</v>
      </c>
      <c r="H160" t="str" s="607" cm="1">
        <f t="array" ref="H160">IF(B160&gt;0,'Direct Costs 2026'!$C$19+'Direct Costs 2026'!$C$18*B160,"N/A")</f>
        <v>N/A</v>
      </c>
      <c r="I160" t="str" s="607" cm="1">
        <f t="array" ref="I160">IF(B160&gt;0,SUM('Direct Costs 2026'!$C$20:$C$21),"N/A")</f>
        <v>N/A</v>
      </c>
      <c r="J160" t="str" s="607" cm="1">
        <f t="array" ref="J160">IF(B160&gt;0,'Direct Costs 2026'!$C$14,"N/A")</f>
        <v>N/A</v>
      </c>
      <c r="K160" t="str" s="607" cm="1">
        <f t="array" ref="K160">IF(B160&gt;0,'Direct Costs 2026'!$C$26,"N/A")</f>
        <v>N/A</v>
      </c>
      <c r="L160" t="str" s="607" cm="1">
        <f t="array" ref="L160">IF(B160&gt;0,SUM('Direct Costs 2026'!$C$23:$C$24),"N/A")</f>
        <v>N/A</v>
      </c>
      <c r="M160" t="str" s="607" cm="1">
        <f t="array" ref="M160">IF(B160&gt;0,'Direct Costs 2026'!$C$47*B160,"N/A")</f>
        <v>N/A</v>
      </c>
      <c r="N160" t="str" s="607" cm="1">
        <f t="array" ref="N160">IF($B160&gt;0,'Direct Costs 2026'!$C$30,"N/A")</f>
        <v>N/A</v>
      </c>
      <c r="O160" t="str" s="607" cm="1">
        <f t="array" ref="O160">IF($B160&gt;0,'Direct Costs 2026'!$C$31,"N/A")</f>
        <v>N/A</v>
      </c>
      <c r="P160" t="str" s="607" cm="1">
        <f t="array" ref="P160">IF(B160&gt;0,'Direct Costs 2026'!$C$59*B160,"N/A")</f>
        <v>N/A</v>
      </c>
      <c r="Q160" t="str" s="607" cm="1">
        <f t="array" ref="Q160">IF(B160&gt;0,_xlfn.IFERROR(VLOOKUP(C140,'Boats Data Sheet 2026'!$C$3:$I$57,7,0)*'Direct Costs 2026'!$C$36,"N/A"),"N/A")</f>
        <v>N/A</v>
      </c>
      <c r="R160" t="str" s="607" cm="1">
        <f t="array" ref="R160">IF(B160&gt;0,IF(OR(VLOOKUP(C140,'Boats Data Sheet 2026'!$C$3:$F$57,4,0)="Own",VLOOKUP(C140,'Boats Data Sheet 2026'!$C$3:$F$57,4,0)="Management"),('Direct Costs 2026'!$C$37+'Direct Costs 2026'!$C$39),"N/A"),"N/A")</f>
        <v>N/A</v>
      </c>
      <c r="S160" t="str" s="607" cm="1">
        <f t="array" ref="S160">_xlfn.IFERROR(IF(B160&gt;5,IF(B160&gt;11,IF(B160&gt;15,4,3),2),IF(B160=0,"N/A",1))*SUM('Direct Costs 2026'!$C$67:$C$68),"N/A")</f>
        <v>N/A</v>
      </c>
      <c r="T160" t="str" s="607" cm="1">
        <f t="array" ref="T160">_xlfn.IFERROR('Direct Costs 2026'!$C$27*C160,"N/A")</f>
        <v>N/A</v>
      </c>
      <c r="U160" t="str" s="607" cm="1">
        <f t="array" ref="U160">_xlfn.IFERROR(C160+SUM(E160:T160),"N/A")</f>
        <v>N/A</v>
      </c>
      <c r="V160" s="435"/>
      <c r="W160" t="str" s="607" cm="1">
        <f t="array" ref="W160">IF(B160&gt;0,'Allocation OH and Target 2026'!$E$27,"N/A")</f>
        <v>N/A</v>
      </c>
      <c r="X160" t="str" s="607" cm="1">
        <f t="array" ref="X160">IF(B160&gt;0,'Allocation OH and Target 2026'!$E$28,"N/A")</f>
        <v>N/A</v>
      </c>
      <c r="Y160" t="str" s="607" cm="1">
        <f t="array" ref="Y160">IF(B160&gt;0,VLOOKUP(C140,'Allocation OH and Target 2026'!$C$5:$T$23,17,0),"N/A")</f>
        <v>N/A</v>
      </c>
      <c r="Z160" t="str" s="607" cm="1">
        <f t="array" ref="Z160">IF(B160&gt;0,VLOOKUP(C140,'Allocation OH and Target 2026'!$C$5:$T$23,18,0),"N/A")</f>
        <v>N/A</v>
      </c>
      <c r="AA160" t="str" s="607" cm="1">
        <f t="array" ref="AA160">_xlfn.IFERROR(X160*B160+Z160,"N/A")</f>
        <v>N/A</v>
      </c>
      <c r="AB160" s="435"/>
      <c r="AC160" t="str" s="607" cm="1">
        <f t="array" ref="AC160">_xlfn.IFERROR(AA160+U160,"N/A")</f>
        <v>N/A</v>
      </c>
      <c r="AD160" t="str" s="607" cm="1">
        <f t="array" ref="AD160">_xlfn.IFERROR(AC160*0.5%,"N/A")</f>
        <v>N/A</v>
      </c>
      <c r="AE160" t="str" s="607" cm="1">
        <f t="array" ref="AE160">_xlfn.IFERROR(AC160*25%,"N/A")</f>
        <v>N/A</v>
      </c>
      <c r="AF160" t="str" s="609" cm="1">
        <f t="array" ref="AF160">IF(B160&gt;0,SUM(AC160:AE160),"N/A")</f>
        <v>N/A</v>
      </c>
      <c r="AG160" t="str" s="607" cm="1">
        <f t="array" ref="AG160">_xlfn.IFERROR(AF160/B160,"N/A")</f>
        <v>N/A</v>
      </c>
      <c r="AH160" s="435"/>
      <c r="AI160" t="str" s="609" cm="1">
        <f t="array" ref="AI160">IF(B160/VLOOKUP(C140,'Boats Data Sheet 2026'!$C$3:$H$57,6,0)&gt;VLOOKUP(C140,'Allocation OH and Target 2026'!$C$5:$J$23,8,0),IF(SUM(AJ142:AJ159)=0,AG160,"N/A"),"N/A")</f>
        <v>N/A</v>
      </c>
      <c r="AJ160" s="435" cm="1">
        <f t="array" ref="AJ160">IF(AI160="N/A",0,1)</f>
        <v>0</v>
      </c>
      <c r="AK160" t="str" s="607" cm="1">
        <f t="array" ref="AK160">IF(B160/VLOOKUP(C140,'Boats Data Sheet 2026'!$C$3:$H$57,6,0)&gt;VLOOKUP(C140,'Allocation OH and Target 2026'!$C$5:$J$23,8,0),IF(SUM(AJ142:AJ159)=0,U160/B160,"N/A"),"N/A")</f>
        <v>N/A</v>
      </c>
      <c r="AL160" s="435" cm="1">
        <f t="array" ref="AL160">IF(AK160="N/A",0,1)</f>
        <v>0</v>
      </c>
      <c r="AM160" t="str" s="610" cm="1">
        <f t="array" ref="AM160">IF(SUM(1250000+700000)*B160&lt;SUM(AC160:AD160),"NO GO","GO")</f>
        <v>GO</v>
      </c>
      <c r="AN160" s="435"/>
      <c r="AO160" s="608"/>
      <c r="AP160" s="608"/>
      <c r="AQ160" s="608"/>
      <c r="AR160" s="611"/>
      <c r="AS160" s="601" cm="1">
        <f t="array" ref="AS160">B160</f>
        <v>0</v>
      </c>
    </row>
    <row r="161" ht="15.5" customHeight="1">
      <c r="A161" s="32"/>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8"/>
    </row>
    <row r="162" ht="15.5" customHeight="1">
      <c r="A162" s="32"/>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18"/>
    </row>
    <row r="163" ht="15.5" customHeight="1">
      <c r="A163" s="395">
        <v>9</v>
      </c>
      <c r="B163" t="s" s="573">
        <v>506</v>
      </c>
      <c r="C163" t="s" s="574">
        <v>57</v>
      </c>
      <c r="D163" s="576"/>
      <c r="E163" s="575"/>
      <c r="F163" s="575"/>
      <c r="G163" s="575"/>
      <c r="H163" s="575"/>
      <c r="I163" s="575"/>
      <c r="J163" s="575"/>
      <c r="K163" s="575"/>
      <c r="L163" s="575"/>
      <c r="M163" s="575"/>
      <c r="N163" s="575"/>
      <c r="O163" s="575"/>
      <c r="P163" s="575"/>
      <c r="Q163" s="575"/>
      <c r="R163" s="575"/>
      <c r="S163" s="575"/>
      <c r="T163" s="575"/>
      <c r="U163" s="575"/>
      <c r="V163" s="399"/>
      <c r="W163" s="575"/>
      <c r="X163" s="575"/>
      <c r="Y163" s="575"/>
      <c r="Z163" s="575"/>
      <c r="AA163" s="575"/>
      <c r="AB163" s="399"/>
      <c r="AC163" s="575"/>
      <c r="AD163" s="575"/>
      <c r="AE163" s="575"/>
      <c r="AF163" s="575"/>
      <c r="AG163" s="575"/>
      <c r="AH163" s="399"/>
      <c r="AI163" s="576"/>
      <c r="AJ163" s="399"/>
      <c r="AK163" s="575"/>
      <c r="AL163" s="399"/>
      <c r="AM163" s="575"/>
      <c r="AN163" s="399"/>
      <c r="AO163" s="575"/>
      <c r="AP163" s="575"/>
      <c r="AQ163" s="575"/>
      <c r="AR163" s="577"/>
      <c r="AS163" s="578"/>
    </row>
    <row r="164" ht="16" customHeight="1">
      <c r="A164" s="12"/>
      <c r="B164" s="579"/>
      <c r="C164" t="s" s="580">
        <v>513</v>
      </c>
      <c r="D164" s="581"/>
      <c r="E164" s="581"/>
      <c r="F164" s="581"/>
      <c r="G164" s="581"/>
      <c r="H164" s="581"/>
      <c r="I164" s="581"/>
      <c r="J164" s="581"/>
      <c r="K164" s="581"/>
      <c r="L164" s="581"/>
      <c r="M164" s="581"/>
      <c r="N164" s="581"/>
      <c r="O164" s="581"/>
      <c r="P164" s="581"/>
      <c r="Q164" s="581"/>
      <c r="R164" s="581"/>
      <c r="S164" s="581"/>
      <c r="T164" s="581"/>
      <c r="U164" s="582"/>
      <c r="V164" s="407"/>
      <c r="W164" t="s" s="580">
        <v>514</v>
      </c>
      <c r="X164" s="581"/>
      <c r="Y164" s="581"/>
      <c r="Z164" s="581"/>
      <c r="AA164" s="582"/>
      <c r="AB164" s="407"/>
      <c r="AC164" t="s" s="580">
        <v>515</v>
      </c>
      <c r="AD164" s="581"/>
      <c r="AE164" s="581"/>
      <c r="AF164" s="581"/>
      <c r="AG164" s="582"/>
      <c r="AH164" s="410"/>
      <c r="AI164" s="605"/>
      <c r="AJ164" s="410"/>
      <c r="AK164" s="584"/>
      <c r="AL164" s="410"/>
      <c r="AM164" s="584"/>
      <c r="AN164" s="410"/>
      <c r="AO164" s="584"/>
      <c r="AP164" s="584"/>
      <c r="AQ164" s="584"/>
      <c r="AR164" s="585"/>
      <c r="AS164" s="578"/>
    </row>
    <row r="165" ht="63" customHeight="1">
      <c r="A165" s="12"/>
      <c r="B165" t="s" s="586">
        <v>517</v>
      </c>
      <c r="C165" t="s" s="587">
        <v>518</v>
      </c>
      <c r="D165" t="s" s="587">
        <v>519</v>
      </c>
      <c r="E165" t="s" s="587">
        <v>520</v>
      </c>
      <c r="F165" t="s" s="588">
        <v>521</v>
      </c>
      <c r="G165" t="s" s="588">
        <v>522</v>
      </c>
      <c r="H165" t="s" s="588">
        <v>524</v>
      </c>
      <c r="I165" t="s" s="588">
        <v>525</v>
      </c>
      <c r="J165" t="s" s="588">
        <v>553</v>
      </c>
      <c r="K165" t="s" s="588">
        <v>526</v>
      </c>
      <c r="L165" t="s" s="588">
        <v>527</v>
      </c>
      <c r="M165" t="s" s="588">
        <v>528</v>
      </c>
      <c r="N165" t="s" s="588">
        <v>602</v>
      </c>
      <c r="O165" t="s" s="588">
        <v>603</v>
      </c>
      <c r="P165" t="s" s="588">
        <v>604</v>
      </c>
      <c r="Q165" t="s" s="588">
        <v>529</v>
      </c>
      <c r="R165" t="s" s="588">
        <v>530</v>
      </c>
      <c r="S165" t="s" s="588">
        <v>572</v>
      </c>
      <c r="T165" t="s" s="588">
        <v>531</v>
      </c>
      <c r="U165" t="s" s="588">
        <v>532</v>
      </c>
      <c r="V165" s="556"/>
      <c r="W165" t="s" s="588">
        <v>533</v>
      </c>
      <c r="X165" t="s" s="588">
        <v>573</v>
      </c>
      <c r="Y165" t="s" s="588">
        <v>534</v>
      </c>
      <c r="Z165" t="s" s="588">
        <v>574</v>
      </c>
      <c r="AA165" t="s" s="588">
        <v>535</v>
      </c>
      <c r="AB165" s="556"/>
      <c r="AC165" t="s" s="588">
        <v>536</v>
      </c>
      <c r="AD165" t="s" s="588">
        <v>537</v>
      </c>
      <c r="AE165" t="s" s="588">
        <v>538</v>
      </c>
      <c r="AF165" t="s" s="588">
        <v>575</v>
      </c>
      <c r="AG165" t="s" s="588">
        <v>539</v>
      </c>
      <c r="AH165" s="557"/>
      <c r="AI165" t="s" s="588">
        <v>576</v>
      </c>
      <c r="AJ165" s="557"/>
      <c r="AK165" t="s" s="588">
        <v>577</v>
      </c>
      <c r="AL165" s="557"/>
      <c r="AM165" t="s" s="587">
        <v>578</v>
      </c>
      <c r="AN165" s="557"/>
      <c r="AO165" s="589"/>
      <c r="AP165" s="589"/>
      <c r="AQ165" s="589"/>
      <c r="AR165" s="590"/>
      <c r="AS165" s="578"/>
    </row>
    <row r="166" ht="16.5" customHeight="1">
      <c r="A166" s="12"/>
      <c r="B166" s="591">
        <v>1</v>
      </c>
      <c r="C166" s="592" cm="1">
        <f t="array" ref="C166">IF(B166&gt;0,IF(VLOOKUP(C163,'Boats Data Sheet 2026'!$C$3:$J$57,8,0)="N/A",0,VLOOKUP(C163,'Boats Data Sheet 2026'!$C$3:$J$57,8,0)),"N/A")</f>
        <v>8000000</v>
      </c>
      <c r="D166" s="593" cm="1">
        <f t="array" ref="D166">IF(B166&gt;7,2,IF(B166=0,"N/A",1))</f>
        <v>1</v>
      </c>
      <c r="E166" s="592" cm="1">
        <f t="array" ref="E166">_xlfn.IFERROR(SUM('Direct Costs 2026'!$C$4:$C$6)*D166,"N/A")</f>
        <v>975500</v>
      </c>
      <c r="F166" s="594" cm="1">
        <f t="array" ref="F166">_xlfn.IFERROR('Direct Costs 2026'!$C$43*B166,"N/A")</f>
        <v>6000</v>
      </c>
      <c r="G166" s="594" cm="1">
        <f t="array" ref="G166">IF(B166&gt;0,'Direct Costs 2026'!$C$25,"N/A")</f>
        <v>90000</v>
      </c>
      <c r="H166" s="594" cm="1">
        <f t="array" ref="H166">IF(B166&gt;0,'Direct Costs 2026'!$C$19+'Direct Costs 2026'!$C$18*B166,"N/A")</f>
        <v>110000</v>
      </c>
      <c r="I166" s="594" cm="1">
        <f t="array" ref="I166">IF(B166&gt;0,SUM('Direct Costs 2026'!$C$20:$C$21),"N/A")</f>
        <v>98333.3333333333</v>
      </c>
      <c r="J166" s="594" cm="1">
        <f t="array" ref="J166">IF(B166&gt;0,'Direct Costs 2026'!$C$14,"N/A")</f>
        <v>60000</v>
      </c>
      <c r="K166" s="594" cm="1">
        <f t="array" ref="K166">IF(B166&gt;0,'Direct Costs 2026'!$C$26,"N/A")</f>
        <v>20000</v>
      </c>
      <c r="L166" s="594" cm="1">
        <f t="array" ref="L166">IF(B166&gt;0,SUM('Direct Costs 2026'!$C$23:$C$24),"N/A")</f>
        <v>160000</v>
      </c>
      <c r="M166" s="594" cm="1">
        <f t="array" ref="M166">IF(B166&gt;0,'Direct Costs 2026'!$C$47*B166,"N/A")</f>
        <v>180000</v>
      </c>
      <c r="N166" s="594" cm="1">
        <f t="array" ref="N166">IF($B166&gt;0,'Direct Costs 2026'!$C$30,"N/A")</f>
        <v>440000</v>
      </c>
      <c r="O166" s="594" cm="1">
        <f t="array" ref="O166">IF($B166&gt;0,'Direct Costs 2026'!$C$31,"N/A")</f>
        <v>870000</v>
      </c>
      <c r="P166" s="594" cm="1">
        <f t="array" ref="P166">IF(B166&gt;0,'Direct Costs 2026'!$C$59*B166,"N/A")</f>
        <v>41000</v>
      </c>
      <c r="Q166" t="str" s="595" cm="1">
        <f t="array" ref="Q166">IF(B166&gt;0,_xlfn.IFERROR(VLOOKUP(C163,'Boats Data Sheet 2026'!$C$3:$I$57,7,0)*'Direct Costs 2026'!$C$36,"N/A"),"N/A")</f>
        <v>N/A</v>
      </c>
      <c r="R166" t="str" s="595" cm="1">
        <f t="array" ref="R166">IF(B166&gt;0,IF(OR(VLOOKUP(C163,'Boats Data Sheet 2026'!$C$3:$F$57,4,0)="Own",VLOOKUP(C163,'Boats Data Sheet 2026'!$C$3:$F$57,4,0)="Management"),('Direct Costs 2026'!$C$37+'Direct Costs 2026'!$C$39),"N/A"),"N/A")</f>
        <v>N/A</v>
      </c>
      <c r="S166" s="594" cm="1">
        <f t="array" ref="S166">_xlfn.IFERROR(IF(B166&gt;5,IF(B166&gt;11,IF(B166&gt;15,4,3),2),IF(B166=0,"N/A",1))*SUM('Direct Costs 2026'!$C$67:$C$68),"N/A")</f>
        <v>489600</v>
      </c>
      <c r="T166" s="594" cm="1">
        <f t="array" ref="T166">_xlfn.IFERROR('Direct Costs 2026'!$C$27*C166,"N/A")</f>
        <v>160000</v>
      </c>
      <c r="U166" s="594" cm="1">
        <f t="array" ref="U166">_xlfn.IFERROR(C166+SUM(E166:T166),"N/A")</f>
        <v>11700433.3333333</v>
      </c>
      <c r="V166" s="424"/>
      <c r="W166" s="594" cm="1">
        <f t="array" ref="W166">IF(B166&gt;0,'Allocation OH and Target 2026'!$E$27,"N/A")</f>
        <v>2134447.30345641</v>
      </c>
      <c r="X166" s="594" cm="1">
        <f t="array" ref="X166">IF(B166&gt;0,'Allocation OH and Target 2026'!$E$28,"N/A")</f>
        <v>200042.323056976</v>
      </c>
      <c r="Y166" s="594" cm="1">
        <f t="array" ref="Y166">IF(B166&gt;0,VLOOKUP(C163,'Allocation OH and Target 2026'!$C$5:$T$23,17,0),"N/A")</f>
        <v>0</v>
      </c>
      <c r="Z166" s="594" cm="1">
        <f t="array" ref="Z166">IF(B166&gt;0,VLOOKUP(C163,'Allocation OH and Target 2026'!$C$5:$T$23,18,0),"N/A")</f>
        <v>0</v>
      </c>
      <c r="AA166" s="594" cm="1">
        <f t="array" ref="AA166">_xlfn.IFERROR(B166*(X166+Z166),"N/A")</f>
        <v>200042.323056976</v>
      </c>
      <c r="AB166" s="424"/>
      <c r="AC166" s="594" cm="1">
        <f t="array" ref="AC166">_xlfn.IFERROR(AA166+U166,"N/A")</f>
        <v>11900475.6563903</v>
      </c>
      <c r="AD166" s="594" cm="1">
        <f t="array" ref="AD166">_xlfn.IFERROR(AC166*0.5%,"N/A")</f>
        <v>59502.3782819515</v>
      </c>
      <c r="AE166" s="594" cm="1">
        <f t="array" ref="AE166">_xlfn.IFERROR(AC166*25%,"N/A")</f>
        <v>2975118.91409758</v>
      </c>
      <c r="AF166" s="596" cm="1">
        <f t="array" ref="AF166">IF(B166&gt;0,SUM(AC166:AE166),"N/A")</f>
        <v>14935096.9487698</v>
      </c>
      <c r="AG166" s="594" cm="1">
        <f t="array" ref="AG166">_xlfn.IFERROR(AF166/B166,"N/A")</f>
        <v>14935096.9487698</v>
      </c>
      <c r="AH166" s="424"/>
      <c r="AI166" t="s" s="597">
        <v>14</v>
      </c>
      <c r="AJ166" s="424" cm="1">
        <f t="array" ref="AJ166">IF(AI166="N/A",0,1)</f>
        <v>0</v>
      </c>
      <c r="AK166" t="s" s="598">
        <v>14</v>
      </c>
      <c r="AL166" s="424" cm="1">
        <f t="array" ref="AL166">IF(AK166="N/A",0,1)</f>
        <v>0</v>
      </c>
      <c r="AM166" t="str" s="599" cm="1">
        <f t="array" ref="AM166">IF(SUM(1250000+700000)*B166&lt;SUM(AC166:AD166),"NO GO","GO")</f>
        <v>NO GO</v>
      </c>
      <c r="AN166" s="424"/>
      <c r="AO166" s="594"/>
      <c r="AP166" s="594"/>
      <c r="AQ166" s="594"/>
      <c r="AR166" s="600"/>
      <c r="AS166" s="601" cm="1">
        <f t="array" ref="AS166">B166</f>
        <v>1</v>
      </c>
    </row>
    <row r="167" ht="16" customHeight="1">
      <c r="A167" s="12"/>
      <c r="B167" s="602" cm="1">
        <f t="array" ref="B167">IF(B166=0,0,IF(B166&lt;VLOOKUP(C163,'Boats Data Sheet 2026'!$C$3:$H$57,6,0),B166+1,0))</f>
        <v>2</v>
      </c>
      <c r="C167" s="594" cm="1">
        <f t="array" ref="C167">IF(B167&gt;0,IF(VLOOKUP(C163,'Boats Data Sheet 2026'!$C$3:$J$57,8,0)="N/A",0,VLOOKUP(C163,'Boats Data Sheet 2026'!$C$3:$J$57,8,0)),"N/A")</f>
        <v>8000000</v>
      </c>
      <c r="D167" s="603" cm="1">
        <f t="array" ref="D167">IF(B167&gt;7,2,IF(B167=0,"N/A",1))</f>
        <v>1</v>
      </c>
      <c r="E167" s="594" cm="1">
        <f t="array" ref="E167">_xlfn.IFERROR(SUM('Direct Costs 2026'!$C$4:$C$6)*D167,"N/A")</f>
        <v>975500</v>
      </c>
      <c r="F167" s="594" cm="1">
        <f t="array" ref="F167">_xlfn.IFERROR('Direct Costs 2026'!$C$43*B167,"N/A")</f>
        <v>12000</v>
      </c>
      <c r="G167" s="594" cm="1">
        <f t="array" ref="G167">IF(B167&gt;0,'Direct Costs 2026'!$C$25,"N/A")</f>
        <v>90000</v>
      </c>
      <c r="H167" s="594" cm="1">
        <f t="array" ref="H167">IF(B167&gt;0,'Direct Costs 2026'!$C$19+'Direct Costs 2026'!$C$18*B167,"N/A")</f>
        <v>145000</v>
      </c>
      <c r="I167" s="594" cm="1">
        <f t="array" ref="I167">IF(B167&gt;0,SUM('Direct Costs 2026'!$C$20:$C$21),"N/A")</f>
        <v>98333.3333333333</v>
      </c>
      <c r="J167" s="594" cm="1">
        <f t="array" ref="J167">IF(B167&gt;0,'Direct Costs 2026'!$C$14,"N/A")</f>
        <v>60000</v>
      </c>
      <c r="K167" s="594" cm="1">
        <f t="array" ref="K167">IF(B167&gt;0,'Direct Costs 2026'!$C$26,"N/A")</f>
        <v>20000</v>
      </c>
      <c r="L167" s="594" cm="1">
        <f t="array" ref="L167">IF(B167&gt;0,SUM('Direct Costs 2026'!$C$23:$C$24),"N/A")</f>
        <v>160000</v>
      </c>
      <c r="M167" s="594" cm="1">
        <f t="array" ref="M167">IF(B167&gt;0,'Direct Costs 2026'!$C$47*B167,"N/A")</f>
        <v>360000</v>
      </c>
      <c r="N167" s="594" cm="1">
        <f t="array" ref="N167">IF($B167&gt;0,'Direct Costs 2026'!$C$30,"N/A")</f>
        <v>440000</v>
      </c>
      <c r="O167" s="594" cm="1">
        <f t="array" ref="O167">IF($B167&gt;0,'Direct Costs 2026'!$C$31,"N/A")</f>
        <v>870000</v>
      </c>
      <c r="P167" s="594" cm="1">
        <f t="array" ref="P167">IF(B167&gt;0,'Direct Costs 2026'!$C$59*B167,"N/A")</f>
        <v>82000</v>
      </c>
      <c r="Q167" t="str" s="595" cm="1">
        <f t="array" ref="Q167">IF(B167&gt;0,_xlfn.IFERROR(VLOOKUP(C163,'Boats Data Sheet 2026'!$C$3:$I$57,7,0)*'Direct Costs 2026'!$C$36,"N/A"),"N/A")</f>
        <v>N/A</v>
      </c>
      <c r="R167" t="str" s="595" cm="1">
        <f t="array" ref="R167">IF(B167&gt;0,IF(OR(VLOOKUP(C163,'Boats Data Sheet 2026'!$C$3:$F$57,4,0)="Own",VLOOKUP(C163,'Boats Data Sheet 2026'!$C$3:$F$57,4,0)="Management"),('Direct Costs 2026'!$C$37+'Direct Costs 2026'!$C$39),"N/A"),"N/A")</f>
        <v>N/A</v>
      </c>
      <c r="S167" s="594" cm="1">
        <f t="array" ref="S167">_xlfn.IFERROR(IF(B167&gt;5,IF(B167&gt;11,IF(B167&gt;15,4,3),2),IF(B167=0,"N/A",1))*SUM('Direct Costs 2026'!$C$67:$C$68),"N/A")</f>
        <v>489600</v>
      </c>
      <c r="T167" s="594" cm="1">
        <f t="array" ref="T167">_xlfn.IFERROR('Direct Costs 2026'!$C$27*C167,"N/A")</f>
        <v>160000</v>
      </c>
      <c r="U167" s="594" cm="1">
        <f t="array" ref="U167">_xlfn.IFERROR(C167+SUM(E167:T167),"N/A")</f>
        <v>11962433.3333333</v>
      </c>
      <c r="V167" s="424"/>
      <c r="W167" s="594" cm="1">
        <f t="array" ref="W167">IF(B167&gt;0,'Allocation OH and Target 2026'!$E$27,"N/A")</f>
        <v>2134447.30345641</v>
      </c>
      <c r="X167" s="594" cm="1">
        <f t="array" ref="X167">IF(B167&gt;0,'Allocation OH and Target 2026'!$E$28,"N/A")</f>
        <v>200042.323056976</v>
      </c>
      <c r="Y167" s="594" cm="1">
        <f t="array" ref="Y167">IF(B167&gt;0,VLOOKUP(C163,'Allocation OH and Target 2026'!$C$5:$T$23,17,0),"N/A")</f>
        <v>0</v>
      </c>
      <c r="Z167" s="594" cm="1">
        <f t="array" ref="Z167">IF(B167&gt;0,VLOOKUP(C163,'Allocation OH and Target 2026'!$C$5:$T$23,18,0),"N/A")</f>
        <v>0</v>
      </c>
      <c r="AA167" s="594" cm="1">
        <f t="array" ref="AA167">_xlfn.IFERROR(B167*(X167+Z167),"N/A")</f>
        <v>400084.646113952</v>
      </c>
      <c r="AB167" s="424"/>
      <c r="AC167" s="594" cm="1">
        <f t="array" ref="AC167">_xlfn.IFERROR(AA167+U167,"N/A")</f>
        <v>12362517.9794473</v>
      </c>
      <c r="AD167" s="594" cm="1">
        <f t="array" ref="AD167">_xlfn.IFERROR(AC167*0.5%,"N/A")</f>
        <v>61812.5898972365</v>
      </c>
      <c r="AE167" s="594" cm="1">
        <f t="array" ref="AE167">_xlfn.IFERROR(AC167*25%,"N/A")</f>
        <v>3090629.49486183</v>
      </c>
      <c r="AF167" s="596" cm="1">
        <f t="array" ref="AF167">IF(B167&gt;0,SUM(AC167:AE167),"N/A")</f>
        <v>15514960.0642064</v>
      </c>
      <c r="AG167" s="594" cm="1">
        <f t="array" ref="AG167">_xlfn.IFERROR(AF167/B167,"N/A")</f>
        <v>7757480.0321032</v>
      </c>
      <c r="AH167" s="424"/>
      <c r="AI167" t="str" s="604" cm="1">
        <f t="array" ref="AI167">IF(B167/VLOOKUP(C163,'Boats Data Sheet 2026'!$C$3:$H$57,6,0)&gt;VLOOKUP(C163,'Allocation OH and Target 2026'!$C$5:$J$23,8,0),IF(SUM(AJ165:AJ166)=0,AG167,"N/A"),"N/A")</f>
        <v>N/A</v>
      </c>
      <c r="AJ167" s="424" cm="1">
        <f t="array" ref="AJ167">IF(AI167="N/A",0,1)</f>
        <v>0</v>
      </c>
      <c r="AK167" t="str" s="595" cm="1">
        <f t="array" ref="AK167">IF(B167/VLOOKUP(C163,'Boats Data Sheet 2026'!$C$3:$H$57,6,0)&gt;VLOOKUP(C163,'Allocation OH and Target 2026'!$C$5:$J$23,8,0),IF(SUM(AJ165:AJ166)=0,U167/B167,"N/A"),"N/A")</f>
        <v>N/A</v>
      </c>
      <c r="AL167" s="424" cm="1">
        <f t="array" ref="AL167">IF(AK167="N/A",0,1)</f>
        <v>0</v>
      </c>
      <c r="AM167" t="str" s="605" cm="1">
        <f t="array" ref="AM167">IF(SUM(1250000+700000)*B167&lt;SUM(AC167:AD167),"NO GO","GO")</f>
        <v>NO GO</v>
      </c>
      <c r="AN167" s="424"/>
      <c r="AO167" s="594"/>
      <c r="AP167" s="594"/>
      <c r="AQ167" s="594"/>
      <c r="AR167" s="600"/>
      <c r="AS167" s="601" cm="1">
        <f t="array" ref="AS167">B167</f>
        <v>2</v>
      </c>
    </row>
    <row r="168" ht="16" customHeight="1">
      <c r="A168" s="12"/>
      <c r="B168" s="602" cm="1">
        <f t="array" ref="B168">IF(B167=0,0,IF(B167&lt;VLOOKUP(C163,'Boats Data Sheet 2026'!$C$3:$H$57,6,0),B167+1,0))</f>
        <v>3</v>
      </c>
      <c r="C168" s="594" cm="1">
        <f t="array" ref="C168">IF(B168&gt;0,IF(VLOOKUP(C163,'Boats Data Sheet 2026'!$C$3:$J$57,8,0)="N/A",0,VLOOKUP(C163,'Boats Data Sheet 2026'!$C$3:$J$57,8,0)),"N/A")</f>
        <v>8000000</v>
      </c>
      <c r="D168" s="603" cm="1">
        <f t="array" ref="D168">IF(B168&gt;7,2,IF(B168=0,"N/A",1))</f>
        <v>1</v>
      </c>
      <c r="E168" s="594" cm="1">
        <f t="array" ref="E168">_xlfn.IFERROR(SUM('Direct Costs 2026'!$C$4:$C$6)*D168,"N/A")</f>
        <v>975500</v>
      </c>
      <c r="F168" s="594" cm="1">
        <f t="array" ref="F168">_xlfn.IFERROR('Direct Costs 2026'!$C$43*B168,"N/A")</f>
        <v>18000</v>
      </c>
      <c r="G168" s="594" cm="1">
        <f t="array" ref="G168">IF(B168&gt;0,'Direct Costs 2026'!$C$25,"N/A")</f>
        <v>90000</v>
      </c>
      <c r="H168" s="594" cm="1">
        <f t="array" ref="H168">IF(B168&gt;0,'Direct Costs 2026'!$C$19+'Direct Costs 2026'!$C$18*B168,"N/A")</f>
        <v>180000</v>
      </c>
      <c r="I168" s="594" cm="1">
        <f t="array" ref="I168">IF(B168&gt;0,SUM('Direct Costs 2026'!$C$20:$C$21),"N/A")</f>
        <v>98333.3333333333</v>
      </c>
      <c r="J168" s="594" cm="1">
        <f t="array" ref="J168">IF(B168&gt;0,'Direct Costs 2026'!$C$14,"N/A")</f>
        <v>60000</v>
      </c>
      <c r="K168" s="594" cm="1">
        <f t="array" ref="K168">IF(B168&gt;0,'Direct Costs 2026'!$C$26,"N/A")</f>
        <v>20000</v>
      </c>
      <c r="L168" s="594" cm="1">
        <f t="array" ref="L168">IF(B168&gt;0,SUM('Direct Costs 2026'!$C$23:$C$24),"N/A")</f>
        <v>160000</v>
      </c>
      <c r="M168" s="594" cm="1">
        <f t="array" ref="M168">IF(B168&gt;0,'Direct Costs 2026'!$C$47*B168,"N/A")</f>
        <v>540000</v>
      </c>
      <c r="N168" s="594" cm="1">
        <f t="array" ref="N168">IF($B168&gt;0,'Direct Costs 2026'!$C$30,"N/A")</f>
        <v>440000</v>
      </c>
      <c r="O168" s="594" cm="1">
        <f t="array" ref="O168">IF($B168&gt;0,'Direct Costs 2026'!$C$31,"N/A")</f>
        <v>870000</v>
      </c>
      <c r="P168" s="594" cm="1">
        <f t="array" ref="P168">IF(B168&gt;0,'Direct Costs 2026'!$C$59*B168,"N/A")</f>
        <v>123000</v>
      </c>
      <c r="Q168" t="str" s="595" cm="1">
        <f t="array" ref="Q168">IF(B168&gt;0,_xlfn.IFERROR(VLOOKUP(C163,'Boats Data Sheet 2026'!$C$3:$I$57,7,0)*'Direct Costs 2026'!$C$36,"N/A"),"N/A")</f>
        <v>N/A</v>
      </c>
      <c r="R168" t="str" s="595" cm="1">
        <f t="array" ref="R168">IF(B168&gt;0,IF(OR(VLOOKUP(C163,'Boats Data Sheet 2026'!$C$3:$F$57,4,0)="Own",VLOOKUP(C163,'Boats Data Sheet 2026'!$C$3:$F$57,4,0)="Management"),('Direct Costs 2026'!$C$37+'Direct Costs 2026'!$C$39),"N/A"),"N/A")</f>
        <v>N/A</v>
      </c>
      <c r="S168" s="594" cm="1">
        <f t="array" ref="S168">_xlfn.IFERROR(IF(B168&gt;5,IF(B168&gt;11,IF(B168&gt;15,4,3),2),IF(B168=0,"N/A",1))*SUM('Direct Costs 2026'!$C$67:$C$68),"N/A")</f>
        <v>489600</v>
      </c>
      <c r="T168" s="594" cm="1">
        <f t="array" ref="T168">_xlfn.IFERROR('Direct Costs 2026'!$C$27*C168,"N/A")</f>
        <v>160000</v>
      </c>
      <c r="U168" s="594" cm="1">
        <f t="array" ref="U168">_xlfn.IFERROR(C168+SUM(E168:T168),"N/A")</f>
        <v>12224433.3333333</v>
      </c>
      <c r="V168" s="424"/>
      <c r="W168" s="594" cm="1">
        <f t="array" ref="W168">IF(B168&gt;0,'Allocation OH and Target 2026'!$E$27,"N/A")</f>
        <v>2134447.30345641</v>
      </c>
      <c r="X168" s="594" cm="1">
        <f t="array" ref="X168">IF(B168&gt;0,'Allocation OH and Target 2026'!$E$28,"N/A")</f>
        <v>200042.323056976</v>
      </c>
      <c r="Y168" s="594" cm="1">
        <f t="array" ref="Y168">IF(B168&gt;0,VLOOKUP(C163,'Allocation OH and Target 2026'!$C$5:$T$23,17,0),"N/A")</f>
        <v>0</v>
      </c>
      <c r="Z168" s="594" cm="1">
        <f t="array" ref="Z168">IF(B168&gt;0,VLOOKUP(C163,'Allocation OH and Target 2026'!$C$5:$T$23,18,0),"N/A")</f>
        <v>0</v>
      </c>
      <c r="AA168" s="594" cm="1">
        <f t="array" ref="AA168">_xlfn.IFERROR(B168*(X168+Z168),"N/A")</f>
        <v>600126.969170928</v>
      </c>
      <c r="AB168" s="424"/>
      <c r="AC168" s="594" cm="1">
        <f t="array" ref="AC168">_xlfn.IFERROR(AA168+U168,"N/A")</f>
        <v>12824560.3025042</v>
      </c>
      <c r="AD168" s="594" cm="1">
        <f t="array" ref="AD168">_xlfn.IFERROR(AC168*0.5%,"N/A")</f>
        <v>64122.801512521</v>
      </c>
      <c r="AE168" s="594" cm="1">
        <f t="array" ref="AE168">_xlfn.IFERROR(AC168*25%,"N/A")</f>
        <v>3206140.07562605</v>
      </c>
      <c r="AF168" s="596" cm="1">
        <f t="array" ref="AF168">IF(B168&gt;0,SUM(AC168:AE168),"N/A")</f>
        <v>16094823.1796428</v>
      </c>
      <c r="AG168" s="594" cm="1">
        <f t="array" ref="AG168">_xlfn.IFERROR(AF168/B168,"N/A")</f>
        <v>5364941.05988093</v>
      </c>
      <c r="AH168" s="424"/>
      <c r="AI168" t="str" s="604" cm="1">
        <f t="array" ref="AI168">IF(B168/VLOOKUP(C163,'Boats Data Sheet 2026'!$C$3:$H$57,6,0)&gt;VLOOKUP(C163,'Allocation OH and Target 2026'!$C$5:$J$23,8,0),IF(SUM(AJ165:AJ167)=0,AG168,"N/A"),"N/A")</f>
        <v>N/A</v>
      </c>
      <c r="AJ168" s="424" cm="1">
        <f t="array" ref="AJ168">IF(AI168="N/A",0,1)</f>
        <v>0</v>
      </c>
      <c r="AK168" t="str" s="595" cm="1">
        <f t="array" ref="AK168">IF(B168/VLOOKUP(C163,'Boats Data Sheet 2026'!$C$3:$H$57,6,0)&gt;VLOOKUP(C163,'Allocation OH and Target 2026'!$C$5:$J$23,8,0),IF(SUM(AJ165:AJ167)=0,U168/B168,"N/A"),"N/A")</f>
        <v>N/A</v>
      </c>
      <c r="AL168" s="424" cm="1">
        <f t="array" ref="AL168">IF(AK168="N/A",0,1)</f>
        <v>0</v>
      </c>
      <c r="AM168" t="str" s="605" cm="1">
        <f t="array" ref="AM168">IF(SUM(1250000+700000)*B168&lt;SUM(AC168:AD168),"NO GO","GO")</f>
        <v>NO GO</v>
      </c>
      <c r="AN168" s="424"/>
      <c r="AO168" s="594"/>
      <c r="AP168" s="594"/>
      <c r="AQ168" s="594"/>
      <c r="AR168" s="600"/>
      <c r="AS168" s="601" cm="1">
        <f t="array" ref="AS168">B168</f>
        <v>3</v>
      </c>
    </row>
    <row r="169" ht="16" customHeight="1">
      <c r="A169" s="12"/>
      <c r="B169" s="602" cm="1">
        <f t="array" ref="B169">IF(B168=0,0,IF(B168&lt;VLOOKUP(C163,'Boats Data Sheet 2026'!$C$3:$H$57,6,0),B168+1,0))</f>
        <v>4</v>
      </c>
      <c r="C169" s="594" cm="1">
        <f t="array" ref="C169">IF(B169&gt;0,IF(VLOOKUP(C163,'Boats Data Sheet 2026'!$C$3:$J$57,8,0)="N/A",0,VLOOKUP(C163,'Boats Data Sheet 2026'!$C$3:$J$57,8,0)),"N/A")</f>
        <v>8000000</v>
      </c>
      <c r="D169" s="603" cm="1">
        <f t="array" ref="D169">IF(B169&gt;7,2,IF(B169=0,"N/A",1))</f>
        <v>1</v>
      </c>
      <c r="E169" s="594" cm="1">
        <f t="array" ref="E169">_xlfn.IFERROR(SUM('Direct Costs 2026'!$C$4:$C$6)*D169,"N/A")</f>
        <v>975500</v>
      </c>
      <c r="F169" s="594" cm="1">
        <f t="array" ref="F169">_xlfn.IFERROR('Direct Costs 2026'!$C$43*B169,"N/A")</f>
        <v>24000</v>
      </c>
      <c r="G169" s="594" cm="1">
        <f t="array" ref="G169">IF(B169&gt;0,'Direct Costs 2026'!$C$25,"N/A")</f>
        <v>90000</v>
      </c>
      <c r="H169" s="594" cm="1">
        <f t="array" ref="H169">IF(B169&gt;0,'Direct Costs 2026'!$C$19+'Direct Costs 2026'!$C$18*B169,"N/A")</f>
        <v>215000</v>
      </c>
      <c r="I169" s="594" cm="1">
        <f t="array" ref="I169">IF(B169&gt;0,SUM('Direct Costs 2026'!$C$20:$C$21),"N/A")</f>
        <v>98333.3333333333</v>
      </c>
      <c r="J169" s="594" cm="1">
        <f t="array" ref="J169">IF(B169&gt;0,'Direct Costs 2026'!$C$14,"N/A")</f>
        <v>60000</v>
      </c>
      <c r="K169" s="594" cm="1">
        <f t="array" ref="K169">IF(B169&gt;0,'Direct Costs 2026'!$C$26,"N/A")</f>
        <v>20000</v>
      </c>
      <c r="L169" s="594" cm="1">
        <f t="array" ref="L169">IF(B169&gt;0,SUM('Direct Costs 2026'!$C$23:$C$24),"N/A")</f>
        <v>160000</v>
      </c>
      <c r="M169" s="594" cm="1">
        <f t="array" ref="M169">IF(B169&gt;0,'Direct Costs 2026'!$C$47*B169,"N/A")</f>
        <v>720000</v>
      </c>
      <c r="N169" s="594" cm="1">
        <f t="array" ref="N169">IF($B169&gt;0,'Direct Costs 2026'!$C$30,"N/A")</f>
        <v>440000</v>
      </c>
      <c r="O169" s="594" cm="1">
        <f t="array" ref="O169">IF($B169&gt;0,'Direct Costs 2026'!$C$31,"N/A")</f>
        <v>870000</v>
      </c>
      <c r="P169" s="594" cm="1">
        <f t="array" ref="P169">IF(B169&gt;0,'Direct Costs 2026'!$C$59*B169,"N/A")</f>
        <v>164000</v>
      </c>
      <c r="Q169" t="str" s="595" cm="1">
        <f t="array" ref="Q169">IF(B169&gt;0,_xlfn.IFERROR(VLOOKUP(C163,'Boats Data Sheet 2026'!$C$3:$I$57,7,0)*'Direct Costs 2026'!$C$36,"N/A"),"N/A")</f>
        <v>N/A</v>
      </c>
      <c r="R169" t="str" s="595" cm="1">
        <f t="array" ref="R169">IF(B169&gt;0,IF(OR(VLOOKUP(C163,'Boats Data Sheet 2026'!$C$3:$F$57,4,0)="Own",VLOOKUP(C163,'Boats Data Sheet 2026'!$C$3:$F$57,4,0)="Management"),('Direct Costs 2026'!$C$37+'Direct Costs 2026'!$C$39),"N/A"),"N/A")</f>
        <v>N/A</v>
      </c>
      <c r="S169" s="594" cm="1">
        <f t="array" ref="S169">_xlfn.IFERROR(IF(B169&gt;5,IF(B169&gt;11,IF(B169&gt;15,4,3),2),IF(B169=0,"N/A",1))*SUM('Direct Costs 2026'!$C$67:$C$68),"N/A")</f>
        <v>489600</v>
      </c>
      <c r="T169" s="594" cm="1">
        <f t="array" ref="T169">_xlfn.IFERROR('Direct Costs 2026'!$C$27*C169,"N/A")</f>
        <v>160000</v>
      </c>
      <c r="U169" s="594" cm="1">
        <f t="array" ref="U169">_xlfn.IFERROR(C169+SUM(E169:T169),"N/A")</f>
        <v>12486433.3333333</v>
      </c>
      <c r="V169" s="424"/>
      <c r="W169" s="594" cm="1">
        <f t="array" ref="W169">IF(B169&gt;0,'Allocation OH and Target 2026'!$E$27,"N/A")</f>
        <v>2134447.30345641</v>
      </c>
      <c r="X169" s="594" cm="1">
        <f t="array" ref="X169">IF(B169&gt;0,'Allocation OH and Target 2026'!$E$28,"N/A")</f>
        <v>200042.323056976</v>
      </c>
      <c r="Y169" s="594" cm="1">
        <f t="array" ref="Y169">IF(B169&gt;0,VLOOKUP(C163,'Allocation OH and Target 2026'!$C$5:$T$23,17,0),"N/A")</f>
        <v>0</v>
      </c>
      <c r="Z169" s="594" cm="1">
        <f t="array" ref="Z169">IF(B169&gt;0,VLOOKUP(C163,'Allocation OH and Target 2026'!$C$5:$T$23,18,0),"N/A")</f>
        <v>0</v>
      </c>
      <c r="AA169" s="594" cm="1">
        <f t="array" ref="AA169">_xlfn.IFERROR(B169*(X169+Z169),"N/A")</f>
        <v>800169.292227904</v>
      </c>
      <c r="AB169" s="424"/>
      <c r="AC169" s="594" cm="1">
        <f t="array" ref="AC169">_xlfn.IFERROR(AA169+U169,"N/A")</f>
        <v>13286602.6255612</v>
      </c>
      <c r="AD169" s="594" cm="1">
        <f t="array" ref="AD169">_xlfn.IFERROR(AC169*0.5%,"N/A")</f>
        <v>66433.013127806</v>
      </c>
      <c r="AE169" s="594" cm="1">
        <f t="array" ref="AE169">_xlfn.IFERROR(AC169*25%,"N/A")</f>
        <v>3321650.6563903</v>
      </c>
      <c r="AF169" s="596" cm="1">
        <f t="array" ref="AF169">IF(B169&gt;0,SUM(AC169:AE169),"N/A")</f>
        <v>16674686.2950793</v>
      </c>
      <c r="AG169" s="594" cm="1">
        <f t="array" ref="AG169">_xlfn.IFERROR(AF169/B169,"N/A")</f>
        <v>4168671.57376983</v>
      </c>
      <c r="AH169" s="424"/>
      <c r="AI169" t="str" s="604" cm="1">
        <f t="array" ref="AI169">IF(B169/VLOOKUP(C163,'Boats Data Sheet 2026'!$C$3:$H$57,6,0)&gt;VLOOKUP(C163,'Allocation OH and Target 2026'!$C$5:$J$23,8,0),IF(SUM(AJ165:AJ168)=0,AG169,"N/A"),"N/A")</f>
        <v>N/A</v>
      </c>
      <c r="AJ169" s="424" cm="1">
        <f t="array" ref="AJ169">IF(AI169="N/A",0,1)</f>
        <v>0</v>
      </c>
      <c r="AK169" t="str" s="595" cm="1">
        <f t="array" ref="AK169">IF(B169/VLOOKUP(C163,'Boats Data Sheet 2026'!$C$3:$H$57,6,0)&gt;VLOOKUP(C163,'Allocation OH and Target 2026'!$C$5:$J$23,8,0),IF(SUM(AJ165:AJ168)=0,U169/B169,"N/A"),"N/A")</f>
        <v>N/A</v>
      </c>
      <c r="AL169" s="424" cm="1">
        <f t="array" ref="AL169">IF(AK169="N/A",0,1)</f>
        <v>0</v>
      </c>
      <c r="AM169" t="str" s="605" cm="1">
        <f t="array" ref="AM169">IF(SUM(1250000+700000)*B169&lt;SUM(AC169:AD169),"NO GO","GO")</f>
        <v>NO GO</v>
      </c>
      <c r="AN169" s="424"/>
      <c r="AO169" s="594"/>
      <c r="AP169" s="594"/>
      <c r="AQ169" s="594"/>
      <c r="AR169" s="600"/>
      <c r="AS169" s="601" cm="1">
        <f t="array" ref="AS169">B169</f>
        <v>4</v>
      </c>
    </row>
    <row r="170" ht="16" customHeight="1">
      <c r="A170" s="12"/>
      <c r="B170" s="602" cm="1">
        <f t="array" ref="B170">IF(B169=0,0,IF(B169&lt;VLOOKUP(C163,'Boats Data Sheet 2026'!$C$3:$H$57,6,0),B169+1,0))</f>
        <v>5</v>
      </c>
      <c r="C170" s="594" cm="1">
        <f t="array" ref="C170">IF(B170&gt;0,IF(VLOOKUP(C163,'Boats Data Sheet 2026'!$C$3:$J$57,8,0)="N/A",0,VLOOKUP(C163,'Boats Data Sheet 2026'!$C$3:$J$57,8,0)),"N/A")</f>
        <v>8000000</v>
      </c>
      <c r="D170" s="603" cm="1">
        <f t="array" ref="D170">IF(B170&gt;7,2,IF(B170=0,"N/A",1))</f>
        <v>1</v>
      </c>
      <c r="E170" s="594" cm="1">
        <f t="array" ref="E170">_xlfn.IFERROR(SUM('Direct Costs 2026'!$C$4:$C$6)*D170,"N/A")</f>
        <v>975500</v>
      </c>
      <c r="F170" s="594" cm="1">
        <f t="array" ref="F170">_xlfn.IFERROR('Direct Costs 2026'!$C$43*B170,"N/A")</f>
        <v>30000</v>
      </c>
      <c r="G170" s="594" cm="1">
        <f t="array" ref="G170">IF(B170&gt;0,'Direct Costs 2026'!$C$25,"N/A")</f>
        <v>90000</v>
      </c>
      <c r="H170" s="594" cm="1">
        <f t="array" ref="H170">IF(B170&gt;0,'Direct Costs 2026'!$C$19+'Direct Costs 2026'!$C$18*B170,"N/A")</f>
        <v>250000</v>
      </c>
      <c r="I170" s="594" cm="1">
        <f t="array" ref="I170">IF(B170&gt;0,SUM('Direct Costs 2026'!$C$20:$C$21),"N/A")</f>
        <v>98333.3333333333</v>
      </c>
      <c r="J170" s="594" cm="1">
        <f t="array" ref="J170">IF(B170&gt;0,'Direct Costs 2026'!$C$14,"N/A")</f>
        <v>60000</v>
      </c>
      <c r="K170" s="594" cm="1">
        <f t="array" ref="K170">IF(B170&gt;0,'Direct Costs 2026'!$C$26,"N/A")</f>
        <v>20000</v>
      </c>
      <c r="L170" s="594" cm="1">
        <f t="array" ref="L170">IF(B170&gt;0,SUM('Direct Costs 2026'!$C$23:$C$24),"N/A")</f>
        <v>160000</v>
      </c>
      <c r="M170" s="594" cm="1">
        <f t="array" ref="M170">IF(B170&gt;0,'Direct Costs 2026'!$C$47*B170,"N/A")</f>
        <v>900000</v>
      </c>
      <c r="N170" s="594" cm="1">
        <f t="array" ref="N170">IF($B170&gt;0,'Direct Costs 2026'!$C$30,"N/A")</f>
        <v>440000</v>
      </c>
      <c r="O170" s="594" cm="1">
        <f t="array" ref="O170">IF($B170&gt;0,'Direct Costs 2026'!$C$31,"N/A")</f>
        <v>870000</v>
      </c>
      <c r="P170" s="594" cm="1">
        <f t="array" ref="P170">IF(B170&gt;0,'Direct Costs 2026'!$C$59*B170,"N/A")</f>
        <v>205000</v>
      </c>
      <c r="Q170" t="str" s="595" cm="1">
        <f t="array" ref="Q170">IF(B170&gt;0,_xlfn.IFERROR(VLOOKUP(C163,'Boats Data Sheet 2026'!$C$3:$I$57,7,0)*'Direct Costs 2026'!$C$36,"N/A"),"N/A")</f>
        <v>N/A</v>
      </c>
      <c r="R170" t="str" s="595" cm="1">
        <f t="array" ref="R170">IF(B170&gt;0,IF(OR(VLOOKUP(C163,'Boats Data Sheet 2026'!$C$3:$F$57,4,0)="Own",VLOOKUP(C163,'Boats Data Sheet 2026'!$C$3:$F$57,4,0)="Management"),('Direct Costs 2026'!$C$37+'Direct Costs 2026'!$C$39),"N/A"),"N/A")</f>
        <v>N/A</v>
      </c>
      <c r="S170" s="594" cm="1">
        <f t="array" ref="S170">_xlfn.IFERROR(IF(B170&gt;5,IF(B170&gt;11,IF(B170&gt;15,4,3),2),IF(B170=0,"N/A",1))*SUM('Direct Costs 2026'!$C$67:$C$68),"N/A")</f>
        <v>489600</v>
      </c>
      <c r="T170" s="594" cm="1">
        <f t="array" ref="T170">_xlfn.IFERROR('Direct Costs 2026'!$C$27*C170,"N/A")</f>
        <v>160000</v>
      </c>
      <c r="U170" s="594" cm="1">
        <f t="array" ref="U170">_xlfn.IFERROR(C170+SUM(E170:T170),"N/A")</f>
        <v>12748433.3333333</v>
      </c>
      <c r="V170" s="424"/>
      <c r="W170" s="594" cm="1">
        <f t="array" ref="W170">IF(B170&gt;0,'Allocation OH and Target 2026'!$E$27,"N/A")</f>
        <v>2134447.30345641</v>
      </c>
      <c r="X170" s="594" cm="1">
        <f t="array" ref="X170">IF(B170&gt;0,'Allocation OH and Target 2026'!$E$28,"N/A")</f>
        <v>200042.323056976</v>
      </c>
      <c r="Y170" s="594" cm="1">
        <f t="array" ref="Y170">IF(B170&gt;0,VLOOKUP(C163,'Allocation OH and Target 2026'!$C$5:$T$23,17,0),"N/A")</f>
        <v>0</v>
      </c>
      <c r="Z170" s="594" cm="1">
        <f t="array" ref="Z170">IF(B170&gt;0,VLOOKUP(C163,'Allocation OH and Target 2026'!$C$5:$T$23,18,0),"N/A")</f>
        <v>0</v>
      </c>
      <c r="AA170" s="594" cm="1">
        <f t="array" ref="AA170">_xlfn.IFERROR(B170*(X170+Z170),"N/A")</f>
        <v>1000211.61528488</v>
      </c>
      <c r="AB170" s="424"/>
      <c r="AC170" s="594" cm="1">
        <f t="array" ref="AC170">_xlfn.IFERROR(AA170+U170,"N/A")</f>
        <v>13748644.9486182</v>
      </c>
      <c r="AD170" s="594" cm="1">
        <f t="array" ref="AD170">_xlfn.IFERROR(AC170*0.5%,"N/A")</f>
        <v>68743.224743091007</v>
      </c>
      <c r="AE170" s="594" cm="1">
        <f t="array" ref="AE170">_xlfn.IFERROR(AC170*25%,"N/A")</f>
        <v>3437161.23715455</v>
      </c>
      <c r="AF170" s="596" cm="1">
        <f t="array" ref="AF170">IF(B170&gt;0,SUM(AC170:AE170),"N/A")</f>
        <v>17254549.4105158</v>
      </c>
      <c r="AG170" s="594" cm="1">
        <f t="array" ref="AG170">_xlfn.IFERROR(AF170/B170,"N/A")</f>
        <v>3450909.88210316</v>
      </c>
      <c r="AH170" s="424"/>
      <c r="AI170" t="str" s="604" cm="1">
        <f t="array" ref="AI170">IF(B170/VLOOKUP(C163,'Boats Data Sheet 2026'!$C$3:$H$57,6,0)&gt;VLOOKUP(C163,'Allocation OH and Target 2026'!$C$5:$J$23,8,0),IF(SUM(AJ165:AJ169)=0,AG170,"N/A"),"N/A")</f>
        <v>N/A</v>
      </c>
      <c r="AJ170" s="424" cm="1">
        <f t="array" ref="AJ170">IF(AI170="N/A",0,1)</f>
        <v>0</v>
      </c>
      <c r="AK170" t="str" s="595" cm="1">
        <f t="array" ref="AK170">IF(B170/VLOOKUP(C163,'Boats Data Sheet 2026'!$C$3:$H$57,6,0)&gt;VLOOKUP(C163,'Allocation OH and Target 2026'!$C$5:$J$23,8,0),IF(SUM(AJ165:AJ169)=0,U170/B170,"N/A"),"N/A")</f>
        <v>N/A</v>
      </c>
      <c r="AL170" s="424" cm="1">
        <f t="array" ref="AL170">IF(AK170="N/A",0,1)</f>
        <v>0</v>
      </c>
      <c r="AM170" t="str" s="605" cm="1">
        <f t="array" ref="AM170">IF(SUM(1250000+700000)*B170&lt;SUM(AC170:AD170),"NO GO","GO")</f>
        <v>NO GO</v>
      </c>
      <c r="AN170" s="424"/>
      <c r="AO170" s="594"/>
      <c r="AP170" s="594"/>
      <c r="AQ170" s="594"/>
      <c r="AR170" s="600"/>
      <c r="AS170" s="601" cm="1">
        <f t="array" ref="AS170">B170</f>
        <v>5</v>
      </c>
    </row>
    <row r="171" ht="16" customHeight="1">
      <c r="A171" s="12"/>
      <c r="B171" s="602" cm="1">
        <f t="array" ref="B171">IF(B170=0,0,IF(B170&lt;VLOOKUP(C163,'Boats Data Sheet 2026'!$C$3:$H$57,6,0),B170+1,0))</f>
        <v>6</v>
      </c>
      <c r="C171" s="594" cm="1">
        <f t="array" ref="C171">IF(B171&gt;0,IF(VLOOKUP(C163,'Boats Data Sheet 2026'!$C$3:$J$57,8,0)="N/A",0,VLOOKUP(C163,'Boats Data Sheet 2026'!$C$3:$J$57,8,0)),"N/A")</f>
        <v>8000000</v>
      </c>
      <c r="D171" s="603" cm="1">
        <f t="array" ref="D171">IF(B171&gt;7,2,IF(B171=0,"N/A",1))</f>
        <v>1</v>
      </c>
      <c r="E171" s="594" cm="1">
        <f t="array" ref="E171">_xlfn.IFERROR(SUM('Direct Costs 2026'!$C$4:$C$6)*D171,"N/A")</f>
        <v>975500</v>
      </c>
      <c r="F171" s="594" cm="1">
        <f t="array" ref="F171">_xlfn.IFERROR('Direct Costs 2026'!$C$43*B171,"N/A")</f>
        <v>36000</v>
      </c>
      <c r="G171" s="594" cm="1">
        <f t="array" ref="G171">IF(B171&gt;0,'Direct Costs 2026'!$C$25,"N/A")</f>
        <v>90000</v>
      </c>
      <c r="H171" s="594" cm="1">
        <f t="array" ref="H171">IF(B171&gt;0,'Direct Costs 2026'!$C$19+'Direct Costs 2026'!$C$18*B171,"N/A")</f>
        <v>285000</v>
      </c>
      <c r="I171" s="594" cm="1">
        <f t="array" ref="I171">IF(B171&gt;0,SUM('Direct Costs 2026'!$C$20:$C$21),"N/A")</f>
        <v>98333.3333333333</v>
      </c>
      <c r="J171" s="594" cm="1">
        <f t="array" ref="J171">IF(B171&gt;0,'Direct Costs 2026'!$C$14,"N/A")</f>
        <v>60000</v>
      </c>
      <c r="K171" s="594" cm="1">
        <f t="array" ref="K171">IF(B171&gt;0,'Direct Costs 2026'!$C$26,"N/A")</f>
        <v>20000</v>
      </c>
      <c r="L171" s="594" cm="1">
        <f t="array" ref="L171">IF(B171&gt;0,SUM('Direct Costs 2026'!$C$23:$C$24),"N/A")</f>
        <v>160000</v>
      </c>
      <c r="M171" s="594" cm="1">
        <f t="array" ref="M171">IF(B171&gt;0,'Direct Costs 2026'!$C$47*B171,"N/A")</f>
        <v>1080000</v>
      </c>
      <c r="N171" s="594" cm="1">
        <f t="array" ref="N171">IF($B171&gt;0,'Direct Costs 2026'!$C$30,"N/A")</f>
        <v>440000</v>
      </c>
      <c r="O171" s="594" cm="1">
        <f t="array" ref="O171">IF($B171&gt;0,'Direct Costs 2026'!$C$31,"N/A")</f>
        <v>870000</v>
      </c>
      <c r="P171" s="594" cm="1">
        <f t="array" ref="P171">IF(B171&gt;0,'Direct Costs 2026'!$C$59*B171,"N/A")</f>
        <v>246000</v>
      </c>
      <c r="Q171" t="str" s="595" cm="1">
        <f t="array" ref="Q171">IF(B171&gt;0,_xlfn.IFERROR(VLOOKUP(C163,'Boats Data Sheet 2026'!$C$3:$I$57,7,0)*'Direct Costs 2026'!$C$36,"N/A"),"N/A")</f>
        <v>N/A</v>
      </c>
      <c r="R171" t="str" s="595" cm="1">
        <f t="array" ref="R171">IF(B171&gt;0,IF(OR(VLOOKUP(C163,'Boats Data Sheet 2026'!$C$3:$F$57,4,0)="Own",VLOOKUP(C163,'Boats Data Sheet 2026'!$C$3:$F$57,4,0)="Management"),('Direct Costs 2026'!$C$37+'Direct Costs 2026'!$C$39),"N/A"),"N/A")</f>
        <v>N/A</v>
      </c>
      <c r="S171" s="594" cm="1">
        <f t="array" ref="S171">_xlfn.IFERROR(IF(B171&gt;5,IF(B171&gt;11,IF(B171&gt;15,4,3),2),IF(B171=0,"N/A",1))*SUM('Direct Costs 2026'!$C$67:$C$68),"N/A")</f>
        <v>979200</v>
      </c>
      <c r="T171" s="594" cm="1">
        <f t="array" ref="T171">_xlfn.IFERROR('Direct Costs 2026'!$C$27*C171,"N/A")</f>
        <v>160000</v>
      </c>
      <c r="U171" s="594" cm="1">
        <f t="array" ref="U171">_xlfn.IFERROR(C171+SUM(E171:T171),"N/A")</f>
        <v>13500033.3333333</v>
      </c>
      <c r="V171" s="424"/>
      <c r="W171" s="594" cm="1">
        <f t="array" ref="W171">IF(B171&gt;0,'Allocation OH and Target 2026'!$E$27,"N/A")</f>
        <v>2134447.30345641</v>
      </c>
      <c r="X171" s="594" cm="1">
        <f t="array" ref="X171">IF(B171&gt;0,'Allocation OH and Target 2026'!$E$28,"N/A")</f>
        <v>200042.323056976</v>
      </c>
      <c r="Y171" s="594" cm="1">
        <f t="array" ref="Y171">IF(B171&gt;0,VLOOKUP(C163,'Allocation OH and Target 2026'!$C$5:$T$23,17,0),"N/A")</f>
        <v>0</v>
      </c>
      <c r="Z171" s="594" cm="1">
        <f t="array" ref="Z171">IF(B171&gt;0,VLOOKUP(C163,'Allocation OH and Target 2026'!$C$5:$T$23,18,0),"N/A")</f>
        <v>0</v>
      </c>
      <c r="AA171" s="594" cm="1">
        <f t="array" ref="AA171">_xlfn.IFERROR(B171*(X171+Z171),"N/A")</f>
        <v>1200253.93834186</v>
      </c>
      <c r="AB171" s="424"/>
      <c r="AC171" s="594" cm="1">
        <f t="array" ref="AC171">_xlfn.IFERROR(AA171+U171,"N/A")</f>
        <v>14700287.2716752</v>
      </c>
      <c r="AD171" s="594" cm="1">
        <f t="array" ref="AD171">_xlfn.IFERROR(AC171*0.5%,"N/A")</f>
        <v>73501.436358376</v>
      </c>
      <c r="AE171" s="594" cm="1">
        <f t="array" ref="AE171">_xlfn.IFERROR(AC171*25%,"N/A")</f>
        <v>3675071.8179188</v>
      </c>
      <c r="AF171" s="596" cm="1">
        <f t="array" ref="AF171">IF(B171&gt;0,SUM(AC171:AE171),"N/A")</f>
        <v>18448860.5259524</v>
      </c>
      <c r="AG171" s="594" cm="1">
        <f t="array" ref="AG171">_xlfn.IFERROR(AF171/B171,"N/A")</f>
        <v>3074810.08765873</v>
      </c>
      <c r="AH171" s="424"/>
      <c r="AI171" t="str" s="604" cm="1">
        <f t="array" ref="AI171">IF(B171/VLOOKUP(C163,'Boats Data Sheet 2026'!$C$3:$H$57,6,0)&gt;VLOOKUP(C163,'Allocation OH and Target 2026'!$C$5:$J$23,8,0),IF(SUM(AJ165:AJ170)=0,AG171,"N/A"),"N/A")</f>
        <v>N/A</v>
      </c>
      <c r="AJ171" s="424" cm="1">
        <f t="array" ref="AJ171">IF(AI171="N/A",0,1)</f>
        <v>0</v>
      </c>
      <c r="AK171" t="str" s="595" cm="1">
        <f t="array" ref="AK171">IF(B171/VLOOKUP(C163,'Boats Data Sheet 2026'!$C$3:$H$57,6,0)&gt;VLOOKUP(C163,'Allocation OH and Target 2026'!$C$5:$J$23,8,0),IF(SUM(AJ165:AJ170)=0,U171/B171,"N/A"),"N/A")</f>
        <v>N/A</v>
      </c>
      <c r="AL171" s="424" cm="1">
        <f t="array" ref="AL171">IF(AK171="N/A",0,1)</f>
        <v>0</v>
      </c>
      <c r="AM171" t="str" s="605" cm="1">
        <f t="array" ref="AM171">IF(SUM(1250000+700000)*B171&lt;SUM(AC171:AD171),"NO GO","GO")</f>
        <v>NO GO</v>
      </c>
      <c r="AN171" s="424"/>
      <c r="AO171" s="594"/>
      <c r="AP171" s="594"/>
      <c r="AQ171" s="594"/>
      <c r="AR171" s="600"/>
      <c r="AS171" s="601" cm="1">
        <f t="array" ref="AS171">B171</f>
        <v>6</v>
      </c>
    </row>
    <row r="172" ht="16" customHeight="1">
      <c r="A172" s="12"/>
      <c r="B172" s="602" cm="1">
        <f t="array" ref="B172">IF(B171=0,0,IF(B171&lt;VLOOKUP(C163,'Boats Data Sheet 2026'!$C$3:$H$57,6,0),B171+1,0))</f>
        <v>7</v>
      </c>
      <c r="C172" s="594" cm="1">
        <f t="array" ref="C172">IF(B172&gt;0,IF(VLOOKUP(C163,'Boats Data Sheet 2026'!$C$3:$J$57,8,0)="N/A",0,VLOOKUP(C163,'Boats Data Sheet 2026'!$C$3:$J$57,8,0)),"N/A")</f>
        <v>8000000</v>
      </c>
      <c r="D172" s="603" cm="1">
        <f t="array" ref="D172">IF(B172&gt;7,2,IF(B172=0,"N/A",1))</f>
        <v>1</v>
      </c>
      <c r="E172" s="594" cm="1">
        <f t="array" ref="E172">_xlfn.IFERROR(SUM('Direct Costs 2026'!$C$4:$C$6)*D172,"N/A")</f>
        <v>975500</v>
      </c>
      <c r="F172" s="594" cm="1">
        <f t="array" ref="F172">_xlfn.IFERROR('Direct Costs 2026'!$C$43*B172,"N/A")</f>
        <v>42000</v>
      </c>
      <c r="G172" s="594" cm="1">
        <f t="array" ref="G172">IF(B172&gt;0,'Direct Costs 2026'!$C$25,"N/A")</f>
        <v>90000</v>
      </c>
      <c r="H172" s="594" cm="1">
        <f t="array" ref="H172">IF(B172&gt;0,'Direct Costs 2026'!$C$19+'Direct Costs 2026'!$C$18*B172,"N/A")</f>
        <v>320000</v>
      </c>
      <c r="I172" s="594" cm="1">
        <f t="array" ref="I172">IF(B172&gt;0,SUM('Direct Costs 2026'!$C$20:$C$21),"N/A")</f>
        <v>98333.3333333333</v>
      </c>
      <c r="J172" s="594" cm="1">
        <f t="array" ref="J172">IF(B172&gt;0,'Direct Costs 2026'!$C$14,"N/A")</f>
        <v>60000</v>
      </c>
      <c r="K172" s="594" cm="1">
        <f t="array" ref="K172">IF(B172&gt;0,'Direct Costs 2026'!$C$26,"N/A")</f>
        <v>20000</v>
      </c>
      <c r="L172" s="594" cm="1">
        <f t="array" ref="L172">IF(B172&gt;0,SUM('Direct Costs 2026'!$C$23:$C$24),"N/A")</f>
        <v>160000</v>
      </c>
      <c r="M172" s="594" cm="1">
        <f t="array" ref="M172">IF(B172&gt;0,'Direct Costs 2026'!$C$47*B172,"N/A")</f>
        <v>1260000</v>
      </c>
      <c r="N172" s="594" cm="1">
        <f t="array" ref="N172">IF($B172&gt;0,'Direct Costs 2026'!$C$30,"N/A")</f>
        <v>440000</v>
      </c>
      <c r="O172" s="594" cm="1">
        <f t="array" ref="O172">IF($B172&gt;0,'Direct Costs 2026'!$C$31,"N/A")</f>
        <v>870000</v>
      </c>
      <c r="P172" s="594" cm="1">
        <f t="array" ref="P172">IF(B172&gt;0,'Direct Costs 2026'!$C$59*B172,"N/A")</f>
        <v>287000</v>
      </c>
      <c r="Q172" t="str" s="595" cm="1">
        <f t="array" ref="Q172">IF(B172&gt;0,_xlfn.IFERROR(VLOOKUP(C163,'Boats Data Sheet 2026'!$C$3:$I$57,7,0)*'Direct Costs 2026'!$C$36,"N/A"),"N/A")</f>
        <v>N/A</v>
      </c>
      <c r="R172" t="str" s="595" cm="1">
        <f t="array" ref="R172">IF(B172&gt;0,IF(OR(VLOOKUP(C163,'Boats Data Sheet 2026'!$C$3:$F$57,4,0)="Own",VLOOKUP(C163,'Boats Data Sheet 2026'!$C$3:$F$57,4,0)="Management"),('Direct Costs 2026'!$C$37+'Direct Costs 2026'!$C$39),"N/A"),"N/A")</f>
        <v>N/A</v>
      </c>
      <c r="S172" s="594" cm="1">
        <f t="array" ref="S172">_xlfn.IFERROR(IF(B172&gt;5,IF(B172&gt;11,IF(B172&gt;15,4,3),2),IF(B172=0,"N/A",1))*SUM('Direct Costs 2026'!$C$67:$C$68),"N/A")</f>
        <v>979200</v>
      </c>
      <c r="T172" s="594" cm="1">
        <f t="array" ref="T172">_xlfn.IFERROR('Direct Costs 2026'!$C$27*C172,"N/A")</f>
        <v>160000</v>
      </c>
      <c r="U172" s="594" cm="1">
        <f t="array" ref="U172">_xlfn.IFERROR(C172+SUM(E172:T172),"N/A")</f>
        <v>13762033.3333333</v>
      </c>
      <c r="V172" s="424"/>
      <c r="W172" s="594" cm="1">
        <f t="array" ref="W172">IF(B172&gt;0,'Allocation OH and Target 2026'!$E$27,"N/A")</f>
        <v>2134447.30345641</v>
      </c>
      <c r="X172" s="594" cm="1">
        <f t="array" ref="X172">IF(B172&gt;0,'Allocation OH and Target 2026'!$E$28,"N/A")</f>
        <v>200042.323056976</v>
      </c>
      <c r="Y172" s="594" cm="1">
        <f t="array" ref="Y172">IF(B172&gt;0,VLOOKUP(C163,'Allocation OH and Target 2026'!$C$5:$T$23,17,0),"N/A")</f>
        <v>0</v>
      </c>
      <c r="Z172" s="594" cm="1">
        <f t="array" ref="Z172">IF(B172&gt;0,VLOOKUP(C163,'Allocation OH and Target 2026'!$C$5:$T$23,18,0),"N/A")</f>
        <v>0</v>
      </c>
      <c r="AA172" s="594" cm="1">
        <f t="array" ref="AA172">_xlfn.IFERROR(B172*(X172+Z172),"N/A")</f>
        <v>1400296.26139883</v>
      </c>
      <c r="AB172" s="424"/>
      <c r="AC172" s="594" cm="1">
        <f t="array" ref="AC172">_xlfn.IFERROR(AA172+U172,"N/A")</f>
        <v>15162329.5947321</v>
      </c>
      <c r="AD172" s="594" cm="1">
        <f t="array" ref="AD172">_xlfn.IFERROR(AC172*0.5%,"N/A")</f>
        <v>75811.6479736605</v>
      </c>
      <c r="AE172" s="594" cm="1">
        <f t="array" ref="AE172">_xlfn.IFERROR(AC172*25%,"N/A")</f>
        <v>3790582.39868303</v>
      </c>
      <c r="AF172" s="596" cm="1">
        <f t="array" ref="AF172">IF(B172&gt;0,SUM(AC172:AE172),"N/A")</f>
        <v>19028723.6413888</v>
      </c>
      <c r="AG172" s="594" cm="1">
        <f t="array" ref="AG172">_xlfn.IFERROR(AF172/B172,"N/A")</f>
        <v>2718389.09162697</v>
      </c>
      <c r="AH172" s="424"/>
      <c r="AI172" t="str" s="604" cm="1">
        <f t="array" ref="AI172">IF(B172/VLOOKUP(C163,'Boats Data Sheet 2026'!$C$3:$H$57,6,0)&gt;VLOOKUP(C163,'Allocation OH and Target 2026'!$C$5:$J$23,8,0),IF(SUM(AJ165:AJ171)=0,AG172,"N/A"),"N/A")</f>
        <v>N/A</v>
      </c>
      <c r="AJ172" s="424" cm="1">
        <f t="array" ref="AJ172">IF(AI172="N/A",0,1)</f>
        <v>0</v>
      </c>
      <c r="AK172" t="str" s="595" cm="1">
        <f t="array" ref="AK172">IF(B172/VLOOKUP(C163,'Boats Data Sheet 2026'!$C$3:$H$57,6,0)&gt;VLOOKUP(C163,'Allocation OH and Target 2026'!$C$5:$J$23,8,0),IF(SUM(AJ165:AJ171)=0,U172/B172,"N/A"),"N/A")</f>
        <v>N/A</v>
      </c>
      <c r="AL172" s="424" cm="1">
        <f t="array" ref="AL172">IF(AK172="N/A",0,1)</f>
        <v>0</v>
      </c>
      <c r="AM172" t="str" s="605" cm="1">
        <f t="array" ref="AM172">IF(SUM(1250000+700000)*B172&lt;SUM(AC172:AD172),"NO GO","GO")</f>
        <v>NO GO</v>
      </c>
      <c r="AN172" s="424"/>
      <c r="AO172" s="594"/>
      <c r="AP172" s="594"/>
      <c r="AQ172" s="594"/>
      <c r="AR172" s="600"/>
      <c r="AS172" s="601" cm="1">
        <f t="array" ref="AS172">B172</f>
        <v>7</v>
      </c>
    </row>
    <row r="173" ht="16" customHeight="1">
      <c r="A173" s="12"/>
      <c r="B173" s="602" cm="1">
        <f t="array" ref="B173">IF(B172=0,0,IF(B172&lt;VLOOKUP(C163,'Boats Data Sheet 2026'!$C$3:$H$57,6,0),B172+1,0))</f>
        <v>8</v>
      </c>
      <c r="C173" s="594" cm="1">
        <f t="array" ref="C173">IF(B173&gt;0,IF(VLOOKUP(C163,'Boats Data Sheet 2026'!$C$3:$J$57,8,0)="N/A",0,VLOOKUP(C163,'Boats Data Sheet 2026'!$C$3:$J$57,8,0)),"N/A")</f>
        <v>8000000</v>
      </c>
      <c r="D173" s="603" cm="1">
        <f t="array" ref="D173">IF(B173&gt;7,2,IF(B173=0,"N/A",1))</f>
        <v>2</v>
      </c>
      <c r="E173" s="594" cm="1">
        <f t="array" ref="E173">_xlfn.IFERROR(SUM('Direct Costs 2026'!$C$4:$C$6)*D173,"N/A")</f>
        <v>1951000</v>
      </c>
      <c r="F173" s="594" cm="1">
        <f t="array" ref="F173">_xlfn.IFERROR('Direct Costs 2026'!$C$43*B173,"N/A")</f>
        <v>48000</v>
      </c>
      <c r="G173" s="594" cm="1">
        <f t="array" ref="G173">IF(B173&gt;0,'Direct Costs 2026'!$C$25,"N/A")</f>
        <v>90000</v>
      </c>
      <c r="H173" s="594" cm="1">
        <f t="array" ref="H173">IF(B173&gt;0,'Direct Costs 2026'!$C$19+'Direct Costs 2026'!$C$18*B173,"N/A")</f>
        <v>355000</v>
      </c>
      <c r="I173" s="594" cm="1">
        <f t="array" ref="I173">IF(B173&gt;0,SUM('Direct Costs 2026'!$C$20:$C$21),"N/A")</f>
        <v>98333.3333333333</v>
      </c>
      <c r="J173" s="594" cm="1">
        <f t="array" ref="J173">IF(B173&gt;0,'Direct Costs 2026'!$C$14,"N/A")</f>
        <v>60000</v>
      </c>
      <c r="K173" s="594" cm="1">
        <f t="array" ref="K173">IF(B173&gt;0,'Direct Costs 2026'!$C$26,"N/A")</f>
        <v>20000</v>
      </c>
      <c r="L173" s="594" cm="1">
        <f t="array" ref="L173">IF(B173&gt;0,SUM('Direct Costs 2026'!$C$23:$C$24),"N/A")</f>
        <v>160000</v>
      </c>
      <c r="M173" s="594" cm="1">
        <f t="array" ref="M173">IF(B173&gt;0,'Direct Costs 2026'!$C$47*B173,"N/A")</f>
        <v>1440000</v>
      </c>
      <c r="N173" s="594" cm="1">
        <f t="array" ref="N173">IF($B173&gt;0,'Direct Costs 2026'!$C$30,"N/A")</f>
        <v>440000</v>
      </c>
      <c r="O173" s="594" cm="1">
        <f t="array" ref="O173">IF($B173&gt;0,'Direct Costs 2026'!$C$31,"N/A")</f>
        <v>870000</v>
      </c>
      <c r="P173" s="594" cm="1">
        <f t="array" ref="P173">IF(B173&gt;0,'Direct Costs 2026'!$C$59*B173,"N/A")</f>
        <v>328000</v>
      </c>
      <c r="Q173" t="str" s="595" cm="1">
        <f t="array" ref="Q173">IF(B173&gt;0,_xlfn.IFERROR(VLOOKUP(C163,'Boats Data Sheet 2026'!$C$3:$I$57,7,0)*'Direct Costs 2026'!$C$36,"N/A"),"N/A")</f>
        <v>N/A</v>
      </c>
      <c r="R173" t="str" s="595" cm="1">
        <f t="array" ref="R173">IF(B173&gt;0,IF(OR(VLOOKUP(C163,'Boats Data Sheet 2026'!$C$3:$F$57,4,0)="Own",VLOOKUP(C163,'Boats Data Sheet 2026'!$C$3:$F$57,4,0)="Management"),('Direct Costs 2026'!$C$37+'Direct Costs 2026'!$C$39),"N/A"),"N/A")</f>
        <v>N/A</v>
      </c>
      <c r="S173" s="594" cm="1">
        <f t="array" ref="S173">_xlfn.IFERROR(IF(B173&gt;5,IF(B173&gt;11,IF(B173&gt;15,4,3),2),IF(B173=0,"N/A",1))*SUM('Direct Costs 2026'!$C$67:$C$68),"N/A")</f>
        <v>979200</v>
      </c>
      <c r="T173" s="594" cm="1">
        <f t="array" ref="T173">_xlfn.IFERROR('Direct Costs 2026'!$C$27*C173,"N/A")</f>
        <v>160000</v>
      </c>
      <c r="U173" s="594" cm="1">
        <f t="array" ref="U173">_xlfn.IFERROR(C173+SUM(E173:T173),"N/A")</f>
        <v>14999533.3333333</v>
      </c>
      <c r="V173" s="424"/>
      <c r="W173" s="594" cm="1">
        <f t="array" ref="W173">IF(B173&gt;0,'Allocation OH and Target 2026'!$E$27,"N/A")</f>
        <v>2134447.30345641</v>
      </c>
      <c r="X173" s="594" cm="1">
        <f t="array" ref="X173">IF(B173&gt;0,'Allocation OH and Target 2026'!$E$28,"N/A")</f>
        <v>200042.323056976</v>
      </c>
      <c r="Y173" s="594" cm="1">
        <f t="array" ref="Y173">IF(B173&gt;0,VLOOKUP(C163,'Allocation OH and Target 2026'!$C$5:$T$23,17,0),"N/A")</f>
        <v>0</v>
      </c>
      <c r="Z173" s="594" cm="1">
        <f t="array" ref="Z173">IF(B173&gt;0,VLOOKUP(C163,'Allocation OH and Target 2026'!$C$5:$T$23,18,0),"N/A")</f>
        <v>0</v>
      </c>
      <c r="AA173" s="594" cm="1">
        <f t="array" ref="AA173">_xlfn.IFERROR(B173*(X173+Z173),"N/A")</f>
        <v>1600338.58445581</v>
      </c>
      <c r="AB173" s="424"/>
      <c r="AC173" s="594" cm="1">
        <f t="array" ref="AC173">_xlfn.IFERROR(AA173+U173,"N/A")</f>
        <v>16599871.9177891</v>
      </c>
      <c r="AD173" s="594" cm="1">
        <f t="array" ref="AD173">_xlfn.IFERROR(AC173*0.5%,"N/A")</f>
        <v>82999.3595889455</v>
      </c>
      <c r="AE173" s="594" cm="1">
        <f t="array" ref="AE173">_xlfn.IFERROR(AC173*25%,"N/A")</f>
        <v>4149967.97944728</v>
      </c>
      <c r="AF173" s="596" cm="1">
        <f t="array" ref="AF173">IF(B173&gt;0,SUM(AC173:AE173),"N/A")</f>
        <v>20832839.2568253</v>
      </c>
      <c r="AG173" s="594" cm="1">
        <f t="array" ref="AG173">_xlfn.IFERROR(AF173/B173,"N/A")</f>
        <v>2604104.90710316</v>
      </c>
      <c r="AH173" s="424"/>
      <c r="AI173" t="str" s="604" cm="1">
        <f t="array" ref="AI173">IF(B173/VLOOKUP(C163,'Boats Data Sheet 2026'!$C$3:$H$57,6,0)&gt;VLOOKUP(C163,'Allocation OH and Target 2026'!$C$5:$J$23,8,0),IF(SUM(AJ165:AJ172)=0,AG173,"N/A"),"N/A")</f>
        <v>N/A</v>
      </c>
      <c r="AJ173" s="424" cm="1">
        <f t="array" ref="AJ173">IF(AI173="N/A",0,1)</f>
        <v>0</v>
      </c>
      <c r="AK173" t="str" s="595" cm="1">
        <f t="array" ref="AK173">IF(B173/VLOOKUP(C163,'Boats Data Sheet 2026'!$C$3:$H$57,6,0)&gt;VLOOKUP(C163,'Allocation OH and Target 2026'!$C$5:$J$23,8,0),IF(SUM(AJ165:AJ172)=0,U173/B173,"N/A"),"N/A")</f>
        <v>N/A</v>
      </c>
      <c r="AL173" s="424" cm="1">
        <f t="array" ref="AL173">IF(AK173="N/A",0,1)</f>
        <v>0</v>
      </c>
      <c r="AM173" t="str" s="605" cm="1">
        <f t="array" ref="AM173">IF(SUM(1250000+700000)*B173&lt;SUM(AC173:AD173),"NO GO","GO")</f>
        <v>NO GO</v>
      </c>
      <c r="AN173" s="424"/>
      <c r="AO173" s="594"/>
      <c r="AP173" s="594"/>
      <c r="AQ173" s="594"/>
      <c r="AR173" s="600"/>
      <c r="AS173" s="601" cm="1">
        <f t="array" ref="AS173">B173</f>
        <v>8</v>
      </c>
    </row>
    <row r="174" ht="16" customHeight="1">
      <c r="A174" s="12"/>
      <c r="B174" s="602" cm="1">
        <f t="array" ref="B174">IF(B173=0,0,IF(B173&lt;VLOOKUP(C163,'Boats Data Sheet 2026'!$C$3:$H$57,6,0),B173+1,0))</f>
        <v>9</v>
      </c>
      <c r="C174" s="594" cm="1">
        <f t="array" ref="C174">IF(B174&gt;0,IF(VLOOKUP(C163,'Boats Data Sheet 2026'!$C$3:$J$57,8,0)="N/A",0,VLOOKUP(C163,'Boats Data Sheet 2026'!$C$3:$J$57,8,0)),"N/A")</f>
        <v>8000000</v>
      </c>
      <c r="D174" s="603" cm="1">
        <f t="array" ref="D174">IF(B174&gt;7,2,IF(B174=0,"N/A",1))</f>
        <v>2</v>
      </c>
      <c r="E174" s="594" cm="1">
        <f t="array" ref="E174">_xlfn.IFERROR(SUM('Direct Costs 2026'!$C$4:$C$6)*D174,"N/A")</f>
        <v>1951000</v>
      </c>
      <c r="F174" s="594" cm="1">
        <f t="array" ref="F174">_xlfn.IFERROR('Direct Costs 2026'!$C$43*B174,"N/A")</f>
        <v>54000</v>
      </c>
      <c r="G174" s="594" cm="1">
        <f t="array" ref="G174">IF(B174&gt;0,'Direct Costs 2026'!$C$25,"N/A")</f>
        <v>90000</v>
      </c>
      <c r="H174" s="594" cm="1">
        <f t="array" ref="H174">IF(B174&gt;0,'Direct Costs 2026'!$C$19+'Direct Costs 2026'!$C$18*B174,"N/A")</f>
        <v>390000</v>
      </c>
      <c r="I174" s="594" cm="1">
        <f t="array" ref="I174">IF(B174&gt;0,SUM('Direct Costs 2026'!$C$20:$C$21),"N/A")</f>
        <v>98333.3333333333</v>
      </c>
      <c r="J174" s="594" cm="1">
        <f t="array" ref="J174">IF(B174&gt;0,'Direct Costs 2026'!$C$14,"N/A")</f>
        <v>60000</v>
      </c>
      <c r="K174" s="594" cm="1">
        <f t="array" ref="K174">IF(B174&gt;0,'Direct Costs 2026'!$C$26,"N/A")</f>
        <v>20000</v>
      </c>
      <c r="L174" s="594" cm="1">
        <f t="array" ref="L174">IF(B174&gt;0,SUM('Direct Costs 2026'!$C$23:$C$24),"N/A")</f>
        <v>160000</v>
      </c>
      <c r="M174" s="594" cm="1">
        <f t="array" ref="M174">IF(B174&gt;0,'Direct Costs 2026'!$C$47*B174,"N/A")</f>
        <v>1620000</v>
      </c>
      <c r="N174" s="594" cm="1">
        <f t="array" ref="N174">IF($B174&gt;0,'Direct Costs 2026'!$C$30,"N/A")</f>
        <v>440000</v>
      </c>
      <c r="O174" s="594" cm="1">
        <f t="array" ref="O174">IF($B174&gt;0,'Direct Costs 2026'!$C$31,"N/A")</f>
        <v>870000</v>
      </c>
      <c r="P174" s="594" cm="1">
        <f t="array" ref="P174">IF(B174&gt;0,'Direct Costs 2026'!$C$59*B174,"N/A")</f>
        <v>369000</v>
      </c>
      <c r="Q174" t="str" s="595" cm="1">
        <f t="array" ref="Q174">IF(B174&gt;0,_xlfn.IFERROR(VLOOKUP(C163,'Boats Data Sheet 2026'!$C$3:$I$57,7,0)*'Direct Costs 2026'!$C$36,"N/A"),"N/A")</f>
        <v>N/A</v>
      </c>
      <c r="R174" t="str" s="595" cm="1">
        <f t="array" ref="R174">IF(B174&gt;0,IF(OR(VLOOKUP(C163,'Boats Data Sheet 2026'!$C$3:$F$57,4,0)="Own",VLOOKUP(C163,'Boats Data Sheet 2026'!$C$3:$F$57,4,0)="Management"),('Direct Costs 2026'!$C$37+'Direct Costs 2026'!$C$39),"N/A"),"N/A")</f>
        <v>N/A</v>
      </c>
      <c r="S174" s="594" cm="1">
        <f t="array" ref="S174">_xlfn.IFERROR(IF(B174&gt;5,IF(B174&gt;11,IF(B174&gt;15,4,3),2),IF(B174=0,"N/A",1))*SUM('Direct Costs 2026'!$C$67:$C$68),"N/A")</f>
        <v>979200</v>
      </c>
      <c r="T174" s="594" cm="1">
        <f t="array" ref="T174">_xlfn.IFERROR('Direct Costs 2026'!$C$27*C174,"N/A")</f>
        <v>160000</v>
      </c>
      <c r="U174" s="594" cm="1">
        <f t="array" ref="U174">_xlfn.IFERROR(C174+SUM(E174:T174),"N/A")</f>
        <v>15261533.3333333</v>
      </c>
      <c r="V174" s="424"/>
      <c r="W174" s="594" cm="1">
        <f t="array" ref="W174">IF(B174&gt;0,'Allocation OH and Target 2026'!$E$27,"N/A")</f>
        <v>2134447.30345641</v>
      </c>
      <c r="X174" s="594" cm="1">
        <f t="array" ref="X174">IF(B174&gt;0,'Allocation OH and Target 2026'!$E$28,"N/A")</f>
        <v>200042.323056976</v>
      </c>
      <c r="Y174" s="594" cm="1">
        <f t="array" ref="Y174">IF(B174&gt;0,VLOOKUP(C163,'Allocation OH and Target 2026'!$C$5:$T$23,17,0),"N/A")</f>
        <v>0</v>
      </c>
      <c r="Z174" s="594" cm="1">
        <f t="array" ref="Z174">IF(B174&gt;0,VLOOKUP(C163,'Allocation OH and Target 2026'!$C$5:$T$23,18,0),"N/A")</f>
        <v>0</v>
      </c>
      <c r="AA174" s="594" cm="1">
        <f t="array" ref="AA174">_xlfn.IFERROR(B174*(X174+Z174),"N/A")</f>
        <v>1800380.90751278</v>
      </c>
      <c r="AB174" s="424"/>
      <c r="AC174" s="594" cm="1">
        <f t="array" ref="AC174">_xlfn.IFERROR(AA174+U174,"N/A")</f>
        <v>17061914.2408461</v>
      </c>
      <c r="AD174" s="594" cm="1">
        <f t="array" ref="AD174">_xlfn.IFERROR(AC174*0.5%,"N/A")</f>
        <v>85309.571204230495</v>
      </c>
      <c r="AE174" s="594" cm="1">
        <f t="array" ref="AE174">_xlfn.IFERROR(AC174*25%,"N/A")</f>
        <v>4265478.56021153</v>
      </c>
      <c r="AF174" s="596" cm="1">
        <f t="array" ref="AF174">IF(B174&gt;0,SUM(AC174:AE174),"N/A")</f>
        <v>21412702.3722619</v>
      </c>
      <c r="AG174" s="594" cm="1">
        <f t="array" ref="AG174">_xlfn.IFERROR(AF174/B174,"N/A")</f>
        <v>2379189.15247354</v>
      </c>
      <c r="AH174" s="424"/>
      <c r="AI174" t="str" s="604" cm="1">
        <f t="array" ref="AI174">IF(B174/VLOOKUP(C163,'Boats Data Sheet 2026'!$C$3:$H$57,6,0)&gt;VLOOKUP(C163,'Allocation OH and Target 2026'!$C$5:$J$23,8,0),IF(SUM(AJ165:AJ173)=0,AG174,"N/A"),"N/A")</f>
        <v>N/A</v>
      </c>
      <c r="AJ174" s="424" cm="1">
        <f t="array" ref="AJ174">IF(AI174="N/A",0,1)</f>
        <v>0</v>
      </c>
      <c r="AK174" t="str" s="595" cm="1">
        <f t="array" ref="AK174">IF(B174/VLOOKUP(C163,'Boats Data Sheet 2026'!$C$3:$H$57,6,0)&gt;VLOOKUP(C163,'Allocation OH and Target 2026'!$C$5:$J$23,8,0),IF(SUM(AJ165:AJ173)=0,U174/B174,"N/A"),"N/A")</f>
        <v>N/A</v>
      </c>
      <c r="AL174" s="424" cm="1">
        <f t="array" ref="AL174">IF(AK174="N/A",0,1)</f>
        <v>0</v>
      </c>
      <c r="AM174" t="str" s="605" cm="1">
        <f t="array" ref="AM174">IF(SUM(1250000+700000)*B174&lt;SUM(AC174:AD174),"NO GO","GO")</f>
        <v>GO</v>
      </c>
      <c r="AN174" s="424"/>
      <c r="AO174" s="594"/>
      <c r="AP174" s="594"/>
      <c r="AQ174" s="594"/>
      <c r="AR174" s="600"/>
      <c r="AS174" s="601" cm="1">
        <f t="array" ref="AS174">B174</f>
        <v>9</v>
      </c>
    </row>
    <row r="175" ht="16" customHeight="1">
      <c r="A175" s="12"/>
      <c r="B175" s="602" cm="1">
        <f t="array" ref="B175">IF(B174=0,0,IF(B174&lt;VLOOKUP(C163,'Boats Data Sheet 2026'!$C$3:$H$57,6,0),B174+1,0))</f>
        <v>10</v>
      </c>
      <c r="C175" s="594" cm="1">
        <f t="array" ref="C175">IF(B175&gt;0,IF(VLOOKUP(C163,'Boats Data Sheet 2026'!$C$3:$J$57,8,0)="N/A",0,VLOOKUP(C163,'Boats Data Sheet 2026'!$C$3:$J$57,8,0)),"N/A")</f>
        <v>8000000</v>
      </c>
      <c r="D175" s="603" cm="1">
        <f t="array" ref="D175">IF(B175&gt;7,2,IF(B175=0,"N/A",1))</f>
        <v>2</v>
      </c>
      <c r="E175" s="594" cm="1">
        <f t="array" ref="E175">_xlfn.IFERROR(SUM('Direct Costs 2026'!$C$4:$C$6)*D175,"N/A")</f>
        <v>1951000</v>
      </c>
      <c r="F175" s="594" cm="1">
        <f t="array" ref="F175">_xlfn.IFERROR('Direct Costs 2026'!$C$43*B175,"N/A")</f>
        <v>60000</v>
      </c>
      <c r="G175" s="594" cm="1">
        <f t="array" ref="G175">IF(B175&gt;0,'Direct Costs 2026'!$C$25,"N/A")</f>
        <v>90000</v>
      </c>
      <c r="H175" s="594" cm="1">
        <f t="array" ref="H175">IF(B175&gt;0,'Direct Costs 2026'!$C$19+'Direct Costs 2026'!$C$18*B175,"N/A")</f>
        <v>425000</v>
      </c>
      <c r="I175" s="594" cm="1">
        <f t="array" ref="I175">IF(B175&gt;0,SUM('Direct Costs 2026'!$C$20:$C$21),"N/A")</f>
        <v>98333.3333333333</v>
      </c>
      <c r="J175" s="594" cm="1">
        <f t="array" ref="J175">IF(B175&gt;0,'Direct Costs 2026'!$C$14,"N/A")</f>
        <v>60000</v>
      </c>
      <c r="K175" s="594" cm="1">
        <f t="array" ref="K175">IF(B175&gt;0,'Direct Costs 2026'!$C$26,"N/A")</f>
        <v>20000</v>
      </c>
      <c r="L175" s="594" cm="1">
        <f t="array" ref="L175">IF(B175&gt;0,SUM('Direct Costs 2026'!$C$23:$C$24),"N/A")</f>
        <v>160000</v>
      </c>
      <c r="M175" s="594" cm="1">
        <f t="array" ref="M175">IF(B175&gt;0,'Direct Costs 2026'!$C$47*B175,"N/A")</f>
        <v>1800000</v>
      </c>
      <c r="N175" s="594" cm="1">
        <f t="array" ref="N175">IF($B175&gt;0,'Direct Costs 2026'!$C$30,"N/A")</f>
        <v>440000</v>
      </c>
      <c r="O175" s="594" cm="1">
        <f t="array" ref="O175">IF($B175&gt;0,'Direct Costs 2026'!$C$31,"N/A")</f>
        <v>870000</v>
      </c>
      <c r="P175" s="594" cm="1">
        <f t="array" ref="P175">IF(B175&gt;0,'Direct Costs 2026'!$C$59*B175,"N/A")</f>
        <v>410000</v>
      </c>
      <c r="Q175" t="str" s="595" cm="1">
        <f t="array" ref="Q175">IF(B175&gt;0,_xlfn.IFERROR(VLOOKUP(C163,'Boats Data Sheet 2026'!$C$3:$I$57,7,0)*'Direct Costs 2026'!$C$36,"N/A"),"N/A")</f>
        <v>N/A</v>
      </c>
      <c r="R175" t="str" s="595" cm="1">
        <f t="array" ref="R175">IF(B175&gt;0,IF(OR(VLOOKUP(C163,'Boats Data Sheet 2026'!$C$3:$F$57,4,0)="Own",VLOOKUP(C163,'Boats Data Sheet 2026'!$C$3:$F$57,4,0)="Management"),('Direct Costs 2026'!$C$37+'Direct Costs 2026'!$C$39),"N/A"),"N/A")</f>
        <v>N/A</v>
      </c>
      <c r="S175" s="594" cm="1">
        <f t="array" ref="S175">_xlfn.IFERROR(IF(B175&gt;5,IF(B175&gt;11,IF(B175&gt;15,4,3),2),IF(B175=0,"N/A",1))*SUM('Direct Costs 2026'!$C$67:$C$68),"N/A")</f>
        <v>979200</v>
      </c>
      <c r="T175" s="594" cm="1">
        <f t="array" ref="T175">_xlfn.IFERROR('Direct Costs 2026'!$C$27*C175,"N/A")</f>
        <v>160000</v>
      </c>
      <c r="U175" s="594" cm="1">
        <f t="array" ref="U175">_xlfn.IFERROR(C175+SUM(E175:T175),"N/A")</f>
        <v>15523533.3333333</v>
      </c>
      <c r="V175" s="424"/>
      <c r="W175" s="594" cm="1">
        <f t="array" ref="W175">IF(B175&gt;0,'Allocation OH and Target 2026'!$E$27,"N/A")</f>
        <v>2134447.30345641</v>
      </c>
      <c r="X175" s="594" cm="1">
        <f t="array" ref="X175">IF(B175&gt;0,'Allocation OH and Target 2026'!$E$28,"N/A")</f>
        <v>200042.323056976</v>
      </c>
      <c r="Y175" s="594" cm="1">
        <f t="array" ref="Y175">IF(B175&gt;0,VLOOKUP(C163,'Allocation OH and Target 2026'!$C$5:$T$23,17,0),"N/A")</f>
        <v>0</v>
      </c>
      <c r="Z175" s="594" cm="1">
        <f t="array" ref="Z175">IF(B175&gt;0,VLOOKUP(C163,'Allocation OH and Target 2026'!$C$5:$T$23,18,0),"N/A")</f>
        <v>0</v>
      </c>
      <c r="AA175" s="594" cm="1">
        <f t="array" ref="AA175">_xlfn.IFERROR(B175*(X175+Z175),"N/A")</f>
        <v>2000423.23056976</v>
      </c>
      <c r="AB175" s="424"/>
      <c r="AC175" s="594" cm="1">
        <f t="array" ref="AC175">_xlfn.IFERROR(AA175+U175,"N/A")</f>
        <v>17523956.5639031</v>
      </c>
      <c r="AD175" s="594" cm="1">
        <f t="array" ref="AD175">_xlfn.IFERROR(AC175*0.5%,"N/A")</f>
        <v>87619.7828195155</v>
      </c>
      <c r="AE175" s="594" cm="1">
        <f t="array" ref="AE175">_xlfn.IFERROR(AC175*25%,"N/A")</f>
        <v>4380989.14097578</v>
      </c>
      <c r="AF175" s="596" cm="1">
        <f t="array" ref="AF175">IF(B175&gt;0,SUM(AC175:AE175),"N/A")</f>
        <v>21992565.4876984</v>
      </c>
      <c r="AG175" s="594" cm="1">
        <f t="array" ref="AG175">_xlfn.IFERROR(AF175/B175,"N/A")</f>
        <v>2199256.54876984</v>
      </c>
      <c r="AH175" s="424"/>
      <c r="AI175" t="str" s="604" cm="1">
        <f t="array" ref="AI175">IF(B175/VLOOKUP(C163,'Boats Data Sheet 2026'!$C$3:$H$57,6,0)&gt;VLOOKUP(C163,'Allocation OH and Target 2026'!$C$5:$J$23,8,0),IF(SUM(AJ165:AJ174)=0,AG175,"N/A"),"N/A")</f>
        <v>N/A</v>
      </c>
      <c r="AJ175" s="424" cm="1">
        <f t="array" ref="AJ175">IF(AI175="N/A",0,1)</f>
        <v>0</v>
      </c>
      <c r="AK175" t="str" s="595" cm="1">
        <f t="array" ref="AK175">IF(B175/VLOOKUP(C163,'Boats Data Sheet 2026'!$C$3:$H$57,6,0)&gt;VLOOKUP(C163,'Allocation OH and Target 2026'!$C$5:$J$23,8,0),IF(SUM(AJ165:AJ174)=0,U175/B175,"N/A"),"N/A")</f>
        <v>N/A</v>
      </c>
      <c r="AL175" s="424" cm="1">
        <f t="array" ref="AL175">IF(AK175="N/A",0,1)</f>
        <v>0</v>
      </c>
      <c r="AM175" t="str" s="605" cm="1">
        <f t="array" ref="AM175">IF(SUM(1250000+700000)*B175&lt;SUM(AC175:AD175),"NO GO","GO")</f>
        <v>GO</v>
      </c>
      <c r="AN175" s="424"/>
      <c r="AO175" s="594"/>
      <c r="AP175" s="594"/>
      <c r="AQ175" s="594"/>
      <c r="AR175" s="600"/>
      <c r="AS175" s="601" cm="1">
        <f t="array" ref="AS175">B175</f>
        <v>10</v>
      </c>
    </row>
    <row r="176" ht="16" customHeight="1">
      <c r="A176" s="12"/>
      <c r="B176" s="602" cm="1">
        <f t="array" ref="B176">IF(B175=0,0,IF(B175&lt;VLOOKUP(C163,'Boats Data Sheet 2026'!$C$3:$H$57,6,0),B175+1,0))</f>
        <v>11</v>
      </c>
      <c r="C176" s="594" cm="1">
        <f t="array" ref="C176">IF(B176&gt;0,IF(VLOOKUP(C163,'Boats Data Sheet 2026'!$C$3:$J$57,8,0)="N/A",0,VLOOKUP(C163,'Boats Data Sheet 2026'!$C$3:$J$57,8,0)),"N/A")</f>
        <v>8000000</v>
      </c>
      <c r="D176" s="603" cm="1">
        <f t="array" ref="D176">IF(B176&gt;7,2,IF(B176=0,"N/A",1))</f>
        <v>2</v>
      </c>
      <c r="E176" s="594" cm="1">
        <f t="array" ref="E176">_xlfn.IFERROR(SUM('Direct Costs 2026'!$C$4:$C$6)*D176,"N/A")</f>
        <v>1951000</v>
      </c>
      <c r="F176" s="594" cm="1">
        <f t="array" ref="F176">_xlfn.IFERROR('Direct Costs 2026'!$C$43*B176,"N/A")</f>
        <v>66000</v>
      </c>
      <c r="G176" s="594" cm="1">
        <f t="array" ref="G176">IF(B176&gt;0,'Direct Costs 2026'!$C$25,"N/A")</f>
        <v>90000</v>
      </c>
      <c r="H176" s="594" cm="1">
        <f t="array" ref="H176">IF(B176&gt;0,'Direct Costs 2026'!$C$19+'Direct Costs 2026'!$C$18*B176,"N/A")</f>
        <v>460000</v>
      </c>
      <c r="I176" s="594" cm="1">
        <f t="array" ref="I176">IF(B176&gt;0,SUM('Direct Costs 2026'!$C$20:$C$21),"N/A")</f>
        <v>98333.3333333333</v>
      </c>
      <c r="J176" s="594" cm="1">
        <f t="array" ref="J176">IF(B176&gt;0,'Direct Costs 2026'!$C$14,"N/A")</f>
        <v>60000</v>
      </c>
      <c r="K176" s="594" cm="1">
        <f t="array" ref="K176">IF(B176&gt;0,'Direct Costs 2026'!$C$26,"N/A")</f>
        <v>20000</v>
      </c>
      <c r="L176" s="594" cm="1">
        <f t="array" ref="L176">IF(B176&gt;0,SUM('Direct Costs 2026'!$C$23:$C$24),"N/A")</f>
        <v>160000</v>
      </c>
      <c r="M176" s="594" cm="1">
        <f t="array" ref="M176">IF(B176&gt;0,'Direct Costs 2026'!$C$47*B176,"N/A")</f>
        <v>1980000</v>
      </c>
      <c r="N176" s="594" cm="1">
        <f t="array" ref="N176">IF($B176&gt;0,'Direct Costs 2026'!$C$30,"N/A")</f>
        <v>440000</v>
      </c>
      <c r="O176" s="594" cm="1">
        <f t="array" ref="O176">IF($B176&gt;0,'Direct Costs 2026'!$C$31,"N/A")</f>
        <v>870000</v>
      </c>
      <c r="P176" s="594" cm="1">
        <f t="array" ref="P176">IF(B176&gt;0,'Direct Costs 2026'!$C$59*B176,"N/A")</f>
        <v>451000</v>
      </c>
      <c r="Q176" t="str" s="595" cm="1">
        <f t="array" ref="Q176">IF(B176&gt;0,_xlfn.IFERROR(VLOOKUP(C163,'Boats Data Sheet 2026'!$C$3:$I$57,7,0)*'Direct Costs 2026'!$C$36,"N/A"),"N/A")</f>
        <v>N/A</v>
      </c>
      <c r="R176" t="str" s="595" cm="1">
        <f t="array" ref="R176">IF(B176&gt;0,IF(OR(VLOOKUP(C163,'Boats Data Sheet 2026'!$C$3:$F$57,4,0)="Own",VLOOKUP(C163,'Boats Data Sheet 2026'!$C$3:$F$57,4,0)="Management"),('Direct Costs 2026'!$C$37+'Direct Costs 2026'!$C$39),"N/A"),"N/A")</f>
        <v>N/A</v>
      </c>
      <c r="S176" s="594" cm="1">
        <f t="array" ref="S176">_xlfn.IFERROR(IF(B176&gt;5,IF(B176&gt;11,IF(B176&gt;15,4,3),2),IF(B176=0,"N/A",1))*SUM('Direct Costs 2026'!$C$67:$C$68),"N/A")</f>
        <v>979200</v>
      </c>
      <c r="T176" s="594" cm="1">
        <f t="array" ref="T176">_xlfn.IFERROR('Direct Costs 2026'!$C$27*C176,"N/A")</f>
        <v>160000</v>
      </c>
      <c r="U176" s="594" cm="1">
        <f t="array" ref="U176">_xlfn.IFERROR(C176+SUM(E176:T176),"N/A")</f>
        <v>15785533.3333333</v>
      </c>
      <c r="V176" s="424"/>
      <c r="W176" s="594" cm="1">
        <f t="array" ref="W176">IF(B176&gt;0,'Allocation OH and Target 2026'!$E$27,"N/A")</f>
        <v>2134447.30345641</v>
      </c>
      <c r="X176" s="594" cm="1">
        <f t="array" ref="X176">IF(B176&gt;0,'Allocation OH and Target 2026'!$E$28,"N/A")</f>
        <v>200042.323056976</v>
      </c>
      <c r="Y176" s="594" cm="1">
        <f t="array" ref="Y176">IF(B176&gt;0,VLOOKUP(C163,'Allocation OH and Target 2026'!$C$5:$T$23,17,0),"N/A")</f>
        <v>0</v>
      </c>
      <c r="Z176" s="594" cm="1">
        <f t="array" ref="Z176">IF(B176&gt;0,VLOOKUP(C163,'Allocation OH and Target 2026'!$C$5:$T$23,18,0),"N/A")</f>
        <v>0</v>
      </c>
      <c r="AA176" s="594" cm="1">
        <f t="array" ref="AA176">_xlfn.IFERROR(B176*(X176+Z176),"N/A")</f>
        <v>2200465.55362674</v>
      </c>
      <c r="AB176" s="424"/>
      <c r="AC176" s="594" cm="1">
        <f t="array" ref="AC176">_xlfn.IFERROR(AA176+U176,"N/A")</f>
        <v>17985998.88696</v>
      </c>
      <c r="AD176" s="594" cm="1">
        <f t="array" ref="AD176">_xlfn.IFERROR(AC176*0.5%,"N/A")</f>
        <v>89929.9944348</v>
      </c>
      <c r="AE176" s="594" cm="1">
        <f t="array" ref="AE176">_xlfn.IFERROR(AC176*25%,"N/A")</f>
        <v>4496499.72174</v>
      </c>
      <c r="AF176" s="596" cm="1">
        <f t="array" ref="AF176">IF(B176&gt;0,SUM(AC176:AE176),"N/A")</f>
        <v>22572428.6031348</v>
      </c>
      <c r="AG176" s="594" cm="1">
        <f t="array" ref="AG176">_xlfn.IFERROR(AF176/B176,"N/A")</f>
        <v>2052038.96392135</v>
      </c>
      <c r="AH176" s="424"/>
      <c r="AI176" s="596" cm="1">
        <f t="array" ref="AI176">IF(B176/VLOOKUP(C163,'Boats Data Sheet 2026'!$C$3:$H$57,6,0)&gt;VLOOKUP(C163,'Allocation OH and Target 2026'!$C$5:$J$23,8,0),IF(SUM(AJ165:AJ175)=0,AG176,"N/A"),"N/A")</f>
        <v>2052038.96392135</v>
      </c>
      <c r="AJ176" s="424" cm="1">
        <f t="array" ref="AJ176">IF(AI176="N/A",0,1)</f>
        <v>1</v>
      </c>
      <c r="AK176" s="594" cm="1">
        <f t="array" ref="AK176">IF(B176/VLOOKUP(C163,'Boats Data Sheet 2026'!$C$3:$H$57,6,0)&gt;VLOOKUP(C163,'Allocation OH and Target 2026'!$C$5:$J$23,8,0),IF(SUM(AJ165:AJ175)=0,U176/B176,"N/A"),"N/A")</f>
        <v>1435048.48484848</v>
      </c>
      <c r="AL176" s="424" cm="1">
        <f t="array" ref="AL176">IF(AK176="N/A",0,1)</f>
        <v>1</v>
      </c>
      <c r="AM176" t="str" s="605" cm="1">
        <f t="array" ref="AM176">IF(SUM(1250000+700000)*B176&lt;SUM(AC176:AD176),"NO GO","GO")</f>
        <v>GO</v>
      </c>
      <c r="AN176" s="424"/>
      <c r="AO176" s="594"/>
      <c r="AP176" s="594"/>
      <c r="AQ176" s="594"/>
      <c r="AR176" s="600"/>
      <c r="AS176" s="601" cm="1">
        <f t="array" ref="AS176">B176</f>
        <v>11</v>
      </c>
    </row>
    <row r="177" ht="16" customHeight="1">
      <c r="A177" s="12"/>
      <c r="B177" s="602" cm="1">
        <f t="array" ref="B177">IF(B176=0,0,IF(B176&lt;VLOOKUP(C163,'Boats Data Sheet 2026'!$C$3:$H$57,6,0),B176+1,0))</f>
        <v>12</v>
      </c>
      <c r="C177" s="594" cm="1">
        <f t="array" ref="C177">IF(B177&gt;0,IF(VLOOKUP(C163,'Boats Data Sheet 2026'!$C$3:$J$57,8,0)="N/A",0,VLOOKUP(C163,'Boats Data Sheet 2026'!$C$3:$J$57,8,0)),"N/A")</f>
        <v>8000000</v>
      </c>
      <c r="D177" s="603" cm="1">
        <f t="array" ref="D177">IF(B177&gt;7,2,IF(B177=0,"N/A",1))</f>
        <v>2</v>
      </c>
      <c r="E177" s="594" cm="1">
        <f t="array" ref="E177">_xlfn.IFERROR(SUM('Direct Costs 2026'!$C$4:$C$6)*D177,"N/A")</f>
        <v>1951000</v>
      </c>
      <c r="F177" s="594" cm="1">
        <f t="array" ref="F177">_xlfn.IFERROR('Direct Costs 2026'!$C$43*B177,"N/A")</f>
        <v>72000</v>
      </c>
      <c r="G177" s="594" cm="1">
        <f t="array" ref="G177">IF(B177&gt;0,'Direct Costs 2026'!$C$25,"N/A")</f>
        <v>90000</v>
      </c>
      <c r="H177" s="594" cm="1">
        <f t="array" ref="H177">IF(B177&gt;0,'Direct Costs 2026'!$C$19+'Direct Costs 2026'!$C$18*B177,"N/A")</f>
        <v>495000</v>
      </c>
      <c r="I177" s="594" cm="1">
        <f t="array" ref="I177">IF(B177&gt;0,SUM('Direct Costs 2026'!$C$20:$C$21),"N/A")</f>
        <v>98333.3333333333</v>
      </c>
      <c r="J177" s="594" cm="1">
        <f t="array" ref="J177">IF(B177&gt;0,'Direct Costs 2026'!$C$14,"N/A")</f>
        <v>60000</v>
      </c>
      <c r="K177" s="594" cm="1">
        <f t="array" ref="K177">IF(B177&gt;0,'Direct Costs 2026'!$C$26,"N/A")</f>
        <v>20000</v>
      </c>
      <c r="L177" s="594" cm="1">
        <f t="array" ref="L177">IF(B177&gt;0,SUM('Direct Costs 2026'!$C$23:$C$24),"N/A")</f>
        <v>160000</v>
      </c>
      <c r="M177" s="594" cm="1">
        <f t="array" ref="M177">IF(B177&gt;0,'Direct Costs 2026'!$C$47*B177,"N/A")</f>
        <v>2160000</v>
      </c>
      <c r="N177" s="594" cm="1">
        <f t="array" ref="N177">IF($B177&gt;0,'Direct Costs 2026'!$C$30,"N/A")</f>
        <v>440000</v>
      </c>
      <c r="O177" s="594" cm="1">
        <f t="array" ref="O177">IF($B177&gt;0,'Direct Costs 2026'!$C$31,"N/A")</f>
        <v>870000</v>
      </c>
      <c r="P177" s="594" cm="1">
        <f t="array" ref="P177">IF(B177&gt;0,'Direct Costs 2026'!$C$59*B177,"N/A")</f>
        <v>492000</v>
      </c>
      <c r="Q177" t="str" s="595" cm="1">
        <f t="array" ref="Q177">IF(B177&gt;0,_xlfn.IFERROR(VLOOKUP(C163,'Boats Data Sheet 2026'!$C$3:$I$57,7,0)*'Direct Costs 2026'!$C$36,"N/A"),"N/A")</f>
        <v>N/A</v>
      </c>
      <c r="R177" t="str" s="595" cm="1">
        <f t="array" ref="R177">IF(B177&gt;0,IF(OR(VLOOKUP(C163,'Boats Data Sheet 2026'!$C$3:$F$57,4,0)="Own",VLOOKUP(C163,'Boats Data Sheet 2026'!$C$3:$F$57,4,0)="Management"),('Direct Costs 2026'!$C$37+'Direct Costs 2026'!$C$39),"N/A"),"N/A")</f>
        <v>N/A</v>
      </c>
      <c r="S177" s="594" cm="1">
        <f t="array" ref="S177">_xlfn.IFERROR(IF(B177&gt;5,IF(B177&gt;11,IF(B177&gt;15,4,3),2),IF(B177=0,"N/A",1))*SUM('Direct Costs 2026'!$C$67:$C$68),"N/A")</f>
        <v>1468800</v>
      </c>
      <c r="T177" s="594" cm="1">
        <f t="array" ref="T177">_xlfn.IFERROR('Direct Costs 2026'!$C$27*C177,"N/A")</f>
        <v>160000</v>
      </c>
      <c r="U177" s="594" cm="1">
        <f t="array" ref="U177">_xlfn.IFERROR(C177+SUM(E177:T177),"N/A")</f>
        <v>16537133.3333333</v>
      </c>
      <c r="V177" s="424"/>
      <c r="W177" s="594" cm="1">
        <f t="array" ref="W177">IF(B177&gt;0,'Allocation OH and Target 2026'!$E$27,"N/A")</f>
        <v>2134447.30345641</v>
      </c>
      <c r="X177" s="594" cm="1">
        <f t="array" ref="X177">IF(B177&gt;0,'Allocation OH and Target 2026'!$E$28,"N/A")</f>
        <v>200042.323056976</v>
      </c>
      <c r="Y177" s="594" cm="1">
        <f t="array" ref="Y177">IF(B177&gt;0,VLOOKUP(C163,'Allocation OH and Target 2026'!$C$5:$T$23,17,0),"N/A")</f>
        <v>0</v>
      </c>
      <c r="Z177" s="594" cm="1">
        <f t="array" ref="Z177">IF(B177&gt;0,VLOOKUP(C163,'Allocation OH and Target 2026'!$C$5:$T$23,18,0),"N/A")</f>
        <v>0</v>
      </c>
      <c r="AA177" s="594" cm="1">
        <f t="array" ref="AA177">_xlfn.IFERROR(B177*(X177+Z177),"N/A")</f>
        <v>2400507.87668371</v>
      </c>
      <c r="AB177" s="424"/>
      <c r="AC177" s="594" cm="1">
        <f t="array" ref="AC177">_xlfn.IFERROR(AA177+U177,"N/A")</f>
        <v>18937641.210017</v>
      </c>
      <c r="AD177" s="594" cm="1">
        <f t="array" ref="AD177">_xlfn.IFERROR(AC177*0.5%,"N/A")</f>
        <v>94688.206050085006</v>
      </c>
      <c r="AE177" s="594" cm="1">
        <f t="array" ref="AE177">_xlfn.IFERROR(AC177*25%,"N/A")</f>
        <v>4734410.30250425</v>
      </c>
      <c r="AF177" s="596" cm="1">
        <f t="array" ref="AF177">IF(B177&gt;0,SUM(AC177:AE177),"N/A")</f>
        <v>23766739.7185713</v>
      </c>
      <c r="AG177" s="594" cm="1">
        <f t="array" ref="AG177">_xlfn.IFERROR(AF177/B177,"N/A")</f>
        <v>1980561.64321428</v>
      </c>
      <c r="AH177" s="424"/>
      <c r="AI177" t="str" s="604" cm="1">
        <f t="array" ref="AI177">IF(B177/VLOOKUP(C163,'Boats Data Sheet 2026'!$C$3:$H$57,6,0)&gt;VLOOKUP(C163,'Allocation OH and Target 2026'!$C$5:$J$23,8,0),IF(SUM(AJ165:AJ176)=0,AG177,"N/A"),"N/A")</f>
        <v>N/A</v>
      </c>
      <c r="AJ177" s="424" cm="1">
        <f t="array" ref="AJ177">IF(AI177="N/A",0,1)</f>
        <v>0</v>
      </c>
      <c r="AK177" t="str" s="595" cm="1">
        <f t="array" ref="AK177">IF(B177/VLOOKUP(C163,'Boats Data Sheet 2026'!$C$3:$H$57,6,0)&gt;VLOOKUP(C163,'Allocation OH and Target 2026'!$C$5:$J$23,8,0),IF(SUM(AJ165:AJ176)=0,U177/B177,"N/A"),"N/A")</f>
        <v>N/A</v>
      </c>
      <c r="AL177" s="424" cm="1">
        <f t="array" ref="AL177">IF(AK177="N/A",0,1)</f>
        <v>0</v>
      </c>
      <c r="AM177" t="str" s="605" cm="1">
        <f t="array" ref="AM177">IF(SUM(1250000+700000)*B177&lt;SUM(AC177:AD177),"NO GO","GO")</f>
        <v>GO</v>
      </c>
      <c r="AN177" s="424"/>
      <c r="AO177" s="594"/>
      <c r="AP177" s="594"/>
      <c r="AQ177" s="594"/>
      <c r="AR177" s="600"/>
      <c r="AS177" s="601" cm="1">
        <f t="array" ref="AS177">B177</f>
        <v>12</v>
      </c>
    </row>
    <row r="178" ht="16" customHeight="1">
      <c r="A178" s="12"/>
      <c r="B178" s="602" cm="1">
        <f t="array" ref="B178">IF(B177=0,0,IF(B177&lt;VLOOKUP(C163,'Boats Data Sheet 2026'!$C$3:$H$57,6,0),B177+1,0))</f>
        <v>13</v>
      </c>
      <c r="C178" s="594" cm="1">
        <f t="array" ref="C178">IF(B178&gt;0,IF(VLOOKUP(C163,'Boats Data Sheet 2026'!$C$3:$J$57,8,0)="N/A",0,VLOOKUP(C163,'Boats Data Sheet 2026'!$C$3:$J$57,8,0)),"N/A")</f>
        <v>8000000</v>
      </c>
      <c r="D178" s="603" cm="1">
        <f t="array" ref="D178">IF(B178&gt;7,2,IF(B178=0,"N/A",1))</f>
        <v>2</v>
      </c>
      <c r="E178" s="594" cm="1">
        <f t="array" ref="E178">_xlfn.IFERROR(SUM('Direct Costs 2026'!$C$4:$C$6)*D178,"N/A")</f>
        <v>1951000</v>
      </c>
      <c r="F178" s="594" cm="1">
        <f t="array" ref="F178">_xlfn.IFERROR('Direct Costs 2026'!$C$43*B178,"N/A")</f>
        <v>78000</v>
      </c>
      <c r="G178" s="594" cm="1">
        <f t="array" ref="G178">IF(B178&gt;0,'Direct Costs 2026'!$C$25,"N/A")</f>
        <v>90000</v>
      </c>
      <c r="H178" s="594" cm="1">
        <f t="array" ref="H178">IF(B178&gt;0,'Direct Costs 2026'!$C$19+'Direct Costs 2026'!$C$18*B178,"N/A")</f>
        <v>530000</v>
      </c>
      <c r="I178" s="594" cm="1">
        <f t="array" ref="I178">IF(B178&gt;0,SUM('Direct Costs 2026'!$C$20:$C$21),"N/A")</f>
        <v>98333.3333333333</v>
      </c>
      <c r="J178" s="594" cm="1">
        <f t="array" ref="J178">IF(B178&gt;0,'Direct Costs 2026'!$C$14,"N/A")</f>
        <v>60000</v>
      </c>
      <c r="K178" s="594" cm="1">
        <f t="array" ref="K178">IF(B178&gt;0,'Direct Costs 2026'!$C$26,"N/A")</f>
        <v>20000</v>
      </c>
      <c r="L178" s="594" cm="1">
        <f t="array" ref="L178">IF(B178&gt;0,SUM('Direct Costs 2026'!$C$23:$C$24),"N/A")</f>
        <v>160000</v>
      </c>
      <c r="M178" s="594" cm="1">
        <f t="array" ref="M178">IF(B178&gt;0,'Direct Costs 2026'!$C$47*B178,"N/A")</f>
        <v>2340000</v>
      </c>
      <c r="N178" s="594" cm="1">
        <f t="array" ref="N178">IF($B178&gt;0,'Direct Costs 2026'!$C$30,"N/A")</f>
        <v>440000</v>
      </c>
      <c r="O178" s="594" cm="1">
        <f t="array" ref="O178">IF($B178&gt;0,'Direct Costs 2026'!$C$31,"N/A")</f>
        <v>870000</v>
      </c>
      <c r="P178" s="594" cm="1">
        <f t="array" ref="P178">IF(B178&gt;0,'Direct Costs 2026'!$C$59*B178,"N/A")</f>
        <v>533000</v>
      </c>
      <c r="Q178" t="str" s="595" cm="1">
        <f t="array" ref="Q178">IF(B178&gt;0,_xlfn.IFERROR(VLOOKUP(C163,'Boats Data Sheet 2026'!$C$3:$I$57,7,0)*'Direct Costs 2026'!$C$36,"N/A"),"N/A")</f>
        <v>N/A</v>
      </c>
      <c r="R178" t="str" s="595" cm="1">
        <f t="array" ref="R178">IF(B178&gt;0,IF(OR(VLOOKUP(C163,'Boats Data Sheet 2026'!$C$3:$F$57,4,0)="Own",VLOOKUP(C163,'Boats Data Sheet 2026'!$C$3:$F$57,4,0)="Management"),('Direct Costs 2026'!$C$37+'Direct Costs 2026'!$C$39),"N/A"),"N/A")</f>
        <v>N/A</v>
      </c>
      <c r="S178" s="594" cm="1">
        <f t="array" ref="S178">_xlfn.IFERROR(IF(B178&gt;5,IF(B178&gt;11,IF(B178&gt;15,4,3),2),IF(B178=0,"N/A",1))*SUM('Direct Costs 2026'!$C$67:$C$68),"N/A")</f>
        <v>1468800</v>
      </c>
      <c r="T178" s="594" cm="1">
        <f t="array" ref="T178">_xlfn.IFERROR('Direct Costs 2026'!$C$27*C178,"N/A")</f>
        <v>160000</v>
      </c>
      <c r="U178" s="594" cm="1">
        <f t="array" ref="U178">_xlfn.IFERROR(C178+SUM(E178:T178),"N/A")</f>
        <v>16799133.3333333</v>
      </c>
      <c r="V178" s="424"/>
      <c r="W178" s="594" cm="1">
        <f t="array" ref="W178">IF(B178&gt;0,'Allocation OH and Target 2026'!$E$27,"N/A")</f>
        <v>2134447.30345641</v>
      </c>
      <c r="X178" s="594" cm="1">
        <f t="array" ref="X178">IF(B178&gt;0,'Allocation OH and Target 2026'!$E$28,"N/A")</f>
        <v>200042.323056976</v>
      </c>
      <c r="Y178" s="594" cm="1">
        <f t="array" ref="Y178">IF(B178&gt;0,VLOOKUP(C163,'Allocation OH and Target 2026'!$C$5:$T$23,17,0),"N/A")</f>
        <v>0</v>
      </c>
      <c r="Z178" s="594" cm="1">
        <f t="array" ref="Z178">IF(B178&gt;0,VLOOKUP(C163,'Allocation OH and Target 2026'!$C$5:$T$23,18,0),"N/A")</f>
        <v>0</v>
      </c>
      <c r="AA178" s="594" cm="1">
        <f t="array" ref="AA178">_xlfn.IFERROR(B178*(X178+Z178),"N/A")</f>
        <v>2600550.19974069</v>
      </c>
      <c r="AB178" s="424"/>
      <c r="AC178" s="594" cm="1">
        <f t="array" ref="AC178">_xlfn.IFERROR(AA178+U178,"N/A")</f>
        <v>19399683.533074</v>
      </c>
      <c r="AD178" s="594" cm="1">
        <f t="array" ref="AD178">_xlfn.IFERROR(AC178*0.5%,"N/A")</f>
        <v>96998.41766537</v>
      </c>
      <c r="AE178" s="594" cm="1">
        <f t="array" ref="AE178">_xlfn.IFERROR(AC178*25%,"N/A")</f>
        <v>4849920.8832685</v>
      </c>
      <c r="AF178" s="596" cm="1">
        <f t="array" ref="AF178">IF(B178&gt;0,SUM(AC178:AE178),"N/A")</f>
        <v>24346602.8340079</v>
      </c>
      <c r="AG178" s="594" cm="1">
        <f t="array" ref="AG178">_xlfn.IFERROR(AF178/B178,"N/A")</f>
        <v>1872815.60261599</v>
      </c>
      <c r="AH178" s="424"/>
      <c r="AI178" t="str" s="604" cm="1">
        <f t="array" ref="AI178">IF(B178/VLOOKUP(C163,'Boats Data Sheet 2026'!$C$3:$H$57,6,0)&gt;VLOOKUP(C163,'Allocation OH and Target 2026'!$C$5:$J$23,8,0),IF(SUM(AJ165:AJ177)=0,AG178,"N/A"),"N/A")</f>
        <v>N/A</v>
      </c>
      <c r="AJ178" s="424" cm="1">
        <f t="array" ref="AJ178">IF(AI178="N/A",0,1)</f>
        <v>0</v>
      </c>
      <c r="AK178" t="str" s="595" cm="1">
        <f t="array" ref="AK178">IF(B178/VLOOKUP(C163,'Boats Data Sheet 2026'!$C$3:$H$57,6,0)&gt;VLOOKUP(C163,'Allocation OH and Target 2026'!$C$5:$J$23,8,0),IF(SUM(AJ165:AJ177)=0,U178/B178,"N/A"),"N/A")</f>
        <v>N/A</v>
      </c>
      <c r="AL178" s="424" cm="1">
        <f t="array" ref="AL178">IF(AK178="N/A",0,1)</f>
        <v>0</v>
      </c>
      <c r="AM178" t="str" s="605" cm="1">
        <f t="array" ref="AM178">IF(SUM(1250000+700000)*B178&lt;SUM(AC178:AD178),"NO GO","GO")</f>
        <v>GO</v>
      </c>
      <c r="AN178" s="424"/>
      <c r="AO178" s="594"/>
      <c r="AP178" s="594"/>
      <c r="AQ178" s="594"/>
      <c r="AR178" s="600"/>
      <c r="AS178" s="601" cm="1">
        <f t="array" ref="AS178">B178</f>
        <v>13</v>
      </c>
    </row>
    <row r="179" ht="16" customHeight="1">
      <c r="A179" s="12"/>
      <c r="B179" s="602" cm="1">
        <f t="array" ref="B179">IF(B178=0,0,IF(B178&lt;VLOOKUP(C163,'Boats Data Sheet 2026'!$C$3:$H$57,6,0),B178+1,0))</f>
        <v>0</v>
      </c>
      <c r="C179" t="str" s="595" cm="1">
        <f t="array" ref="C179">IF(B179&gt;0,IF(VLOOKUP(C163,'Boats Data Sheet 2026'!$C$3:$J$57,8,0)="N/A",0,VLOOKUP(C163,'Boats Data Sheet 2026'!$C$3:$J$57,8,0)),"N/A")</f>
        <v>N/A</v>
      </c>
      <c r="D179" t="str" s="595" cm="1">
        <f t="array" ref="D179">IF(B179&gt;7,2,IF(B179=0,"N/A",1))</f>
        <v>N/A</v>
      </c>
      <c r="E179" t="str" s="595" cm="1">
        <f t="array" ref="E179">_xlfn.IFERROR(SUM('Direct Costs 2026'!$C$4:$C$6)*D179,"N/A")</f>
        <v>N/A</v>
      </c>
      <c r="F179" s="594" cm="1">
        <f t="array" ref="F179">_xlfn.IFERROR('Direct Costs 2026'!$C$43*B179,"N/A")</f>
        <v>0</v>
      </c>
      <c r="G179" t="str" s="595" cm="1">
        <f t="array" ref="G179">IF(B179&gt;0,'Direct Costs 2026'!$C$25,"N/A")</f>
        <v>N/A</v>
      </c>
      <c r="H179" t="str" s="595" cm="1">
        <f t="array" ref="H179">IF(B179&gt;0,'Direct Costs 2026'!$C$19+'Direct Costs 2026'!$C$18*B179,"N/A")</f>
        <v>N/A</v>
      </c>
      <c r="I179" t="str" s="595" cm="1">
        <f t="array" ref="I179">IF(B179&gt;0,SUM('Direct Costs 2026'!$C$20:$C$21),"N/A")</f>
        <v>N/A</v>
      </c>
      <c r="J179" t="str" s="595" cm="1">
        <f t="array" ref="J179">IF(B179&gt;0,'Direct Costs 2026'!$C$14,"N/A")</f>
        <v>N/A</v>
      </c>
      <c r="K179" t="str" s="595" cm="1">
        <f t="array" ref="K179">IF(B179&gt;0,'Direct Costs 2026'!$C$26,"N/A")</f>
        <v>N/A</v>
      </c>
      <c r="L179" t="str" s="595" cm="1">
        <f t="array" ref="L179">IF(B179&gt;0,SUM('Direct Costs 2026'!$C$23:$C$24),"N/A")</f>
        <v>N/A</v>
      </c>
      <c r="M179" t="str" s="595" cm="1">
        <f t="array" ref="M179">IF(B179&gt;0,'Direct Costs 2026'!$C$47*B179,"N/A")</f>
        <v>N/A</v>
      </c>
      <c r="N179" t="str" s="595" cm="1">
        <f t="array" ref="N179">IF($B179&gt;0,'Direct Costs 2026'!$C$30,"N/A")</f>
        <v>N/A</v>
      </c>
      <c r="O179" t="str" s="595" cm="1">
        <f t="array" ref="O179">IF($B179&gt;0,'Direct Costs 2026'!$C$31,"N/A")</f>
        <v>N/A</v>
      </c>
      <c r="P179" t="str" s="595" cm="1">
        <f t="array" ref="P179">IF(B179&gt;0,'Direct Costs 2026'!$C$59*B179,"N/A")</f>
        <v>N/A</v>
      </c>
      <c r="Q179" t="str" s="595" cm="1">
        <f t="array" ref="Q179">IF(B179&gt;0,_xlfn.IFERROR(VLOOKUP(C163,'Boats Data Sheet 2026'!$C$3:$I$57,7,0)*'Direct Costs 2026'!$C$36,"N/A"),"N/A")</f>
        <v>N/A</v>
      </c>
      <c r="R179" t="str" s="595" cm="1">
        <f t="array" ref="R179">IF(B179&gt;0,IF(OR(VLOOKUP(C163,'Boats Data Sheet 2026'!$C$3:$F$57,4,0)="Own",VLOOKUP(C163,'Boats Data Sheet 2026'!$C$3:$F$57,4,0)="Management"),('Direct Costs 2026'!$C$37+'Direct Costs 2026'!$C$39),"N/A"),"N/A")</f>
        <v>N/A</v>
      </c>
      <c r="S179" t="str" s="595" cm="1">
        <f t="array" ref="S179">_xlfn.IFERROR(IF(B179&gt;5,IF(B179&gt;11,IF(B179&gt;15,4,3),2),IF(B179=0,"N/A",1))*SUM('Direct Costs 2026'!$C$67:$C$68),"N/A")</f>
        <v>N/A</v>
      </c>
      <c r="T179" t="str" s="595" cm="1">
        <f t="array" ref="T179">_xlfn.IFERROR('Direct Costs 2026'!$C$27*C179,"N/A")</f>
        <v>N/A</v>
      </c>
      <c r="U179" t="str" s="595" cm="1">
        <f t="array" ref="U179">_xlfn.IFERROR(C179+SUM(E179:T179),"N/A")</f>
        <v>N/A</v>
      </c>
      <c r="V179" s="424"/>
      <c r="W179" t="str" s="595" cm="1">
        <f t="array" ref="W179">IF(B179&gt;0,'Allocation OH and Target 2026'!$E$27,"N/A")</f>
        <v>N/A</v>
      </c>
      <c r="X179" t="str" s="595" cm="1">
        <f t="array" ref="X179">IF(B179&gt;0,'Allocation OH and Target 2026'!$E$28,"N/A")</f>
        <v>N/A</v>
      </c>
      <c r="Y179" t="str" s="595" cm="1">
        <f t="array" ref="Y179">IF(B179&gt;0,VLOOKUP(C163,'Allocation OH and Target 2026'!$C$5:$T$23,17,0),"N/A")</f>
        <v>N/A</v>
      </c>
      <c r="Z179" t="str" s="595" cm="1">
        <f t="array" ref="Z179">IF(B179&gt;0,VLOOKUP(C163,'Allocation OH and Target 2026'!$C$5:$T$23,18,0),"N/A")</f>
        <v>N/A</v>
      </c>
      <c r="AA179" t="str" s="595" cm="1">
        <f t="array" ref="AA179">_xlfn.IFERROR(B179*(X179+Z179),"N/A")</f>
        <v>N/A</v>
      </c>
      <c r="AB179" s="424"/>
      <c r="AC179" t="str" s="595" cm="1">
        <f t="array" ref="AC179">_xlfn.IFERROR(AA179+U179,"N/A")</f>
        <v>N/A</v>
      </c>
      <c r="AD179" t="str" s="595" cm="1">
        <f t="array" ref="AD179">_xlfn.IFERROR(AC179*0.5%,"N/A")</f>
        <v>N/A</v>
      </c>
      <c r="AE179" t="str" s="595" cm="1">
        <f t="array" ref="AE179">_xlfn.IFERROR(AC179*25%,"N/A")</f>
        <v>N/A</v>
      </c>
      <c r="AF179" t="str" s="604" cm="1">
        <f t="array" ref="AF179">IF(B179&gt;0,SUM(AC179:AE179),"N/A")</f>
        <v>N/A</v>
      </c>
      <c r="AG179" t="str" s="595" cm="1">
        <f t="array" ref="AG179">_xlfn.IFERROR(AF179/B179,"N/A")</f>
        <v>N/A</v>
      </c>
      <c r="AH179" s="424"/>
      <c r="AI179" t="str" s="604" cm="1">
        <f t="array" ref="AI179">IF(B179/VLOOKUP(C163,'Boats Data Sheet 2026'!$C$3:$H$57,6,0)&gt;VLOOKUP(C163,'Allocation OH and Target 2026'!$C$5:$J$23,8,0),IF(SUM(AJ165:AJ178)=0,AG179,"N/A"),"N/A")</f>
        <v>N/A</v>
      </c>
      <c r="AJ179" s="424" cm="1">
        <f t="array" ref="AJ179">IF(AI179="N/A",0,1)</f>
        <v>0</v>
      </c>
      <c r="AK179" t="str" s="595" cm="1">
        <f t="array" ref="AK179">IF(B179/VLOOKUP(C163,'Boats Data Sheet 2026'!$C$3:$H$57,6,0)&gt;VLOOKUP(C163,'Allocation OH and Target 2026'!$C$5:$J$23,8,0),IF(SUM(AJ165:AJ178)=0,U179/B179,"N/A"),"N/A")</f>
        <v>N/A</v>
      </c>
      <c r="AL179" s="424" cm="1">
        <f t="array" ref="AL179">IF(AK179="N/A",0,1)</f>
        <v>0</v>
      </c>
      <c r="AM179" t="str" s="605" cm="1">
        <f t="array" ref="AM179">IF(SUM(1250000+700000)*B179&lt;SUM(AC179:AD179),"NO GO","GO")</f>
        <v>GO</v>
      </c>
      <c r="AN179" s="424"/>
      <c r="AO179" s="594"/>
      <c r="AP179" s="594"/>
      <c r="AQ179" s="594"/>
      <c r="AR179" s="600"/>
      <c r="AS179" s="601" cm="1">
        <f t="array" ref="AS179">B179</f>
        <v>0</v>
      </c>
    </row>
    <row r="180" ht="16" customHeight="1">
      <c r="A180" s="12"/>
      <c r="B180" s="602" cm="1">
        <f t="array" ref="B180">IF(B179=0,0,IF(B179&lt;VLOOKUP(C163,'Boats Data Sheet 2026'!$C$3:$H$57,6,0),B179+1,0))</f>
        <v>0</v>
      </c>
      <c r="C180" t="str" s="595" cm="1">
        <f t="array" ref="C180">IF(B180&gt;0,IF(VLOOKUP(C163,'Boats Data Sheet 2026'!$C$3:$J$57,8,0)="N/A",0,VLOOKUP(C163,'Boats Data Sheet 2026'!$C$3:$J$57,8,0)),"N/A")</f>
        <v>N/A</v>
      </c>
      <c r="D180" t="str" s="595" cm="1">
        <f t="array" ref="D180">IF(B180&gt;7,2,IF(B180=0,"N/A",1))</f>
        <v>N/A</v>
      </c>
      <c r="E180" t="str" s="595" cm="1">
        <f t="array" ref="E180">_xlfn.IFERROR(SUM('Direct Costs 2026'!$C$4:$C$6)*D180,"N/A")</f>
        <v>N/A</v>
      </c>
      <c r="F180" s="594" cm="1">
        <f t="array" ref="F180">_xlfn.IFERROR('Direct Costs 2026'!$C$43*B180,"N/A")</f>
        <v>0</v>
      </c>
      <c r="G180" t="str" s="595" cm="1">
        <f t="array" ref="G180">IF(B180&gt;0,'Direct Costs 2026'!$C$25,"N/A")</f>
        <v>N/A</v>
      </c>
      <c r="H180" t="str" s="595" cm="1">
        <f t="array" ref="H180">IF(B180&gt;0,'Direct Costs 2026'!$C$19+'Direct Costs 2026'!$C$18*B180,"N/A")</f>
        <v>N/A</v>
      </c>
      <c r="I180" t="str" s="595" cm="1">
        <f t="array" ref="I180">IF(B180&gt;0,SUM('Direct Costs 2026'!$C$20:$C$21),"N/A")</f>
        <v>N/A</v>
      </c>
      <c r="J180" t="str" s="595" cm="1">
        <f t="array" ref="J180">IF(B180&gt;0,'Direct Costs 2026'!$C$14,"N/A")</f>
        <v>N/A</v>
      </c>
      <c r="K180" t="str" s="595" cm="1">
        <f t="array" ref="K180">IF(B180&gt;0,'Direct Costs 2026'!$C$26,"N/A")</f>
        <v>N/A</v>
      </c>
      <c r="L180" t="str" s="595" cm="1">
        <f t="array" ref="L180">IF(B180&gt;0,SUM('Direct Costs 2026'!$C$23:$C$24),"N/A")</f>
        <v>N/A</v>
      </c>
      <c r="M180" t="str" s="595" cm="1">
        <f t="array" ref="M180">IF(B180&gt;0,'Direct Costs 2026'!$C$47*B180,"N/A")</f>
        <v>N/A</v>
      </c>
      <c r="N180" t="str" s="595" cm="1">
        <f t="array" ref="N180">IF($B180&gt;0,'Direct Costs 2026'!$C$30,"N/A")</f>
        <v>N/A</v>
      </c>
      <c r="O180" t="str" s="595" cm="1">
        <f t="array" ref="O180">IF($B180&gt;0,'Direct Costs 2026'!$C$31,"N/A")</f>
        <v>N/A</v>
      </c>
      <c r="P180" t="str" s="595" cm="1">
        <f t="array" ref="P180">IF(B180&gt;0,'Direct Costs 2026'!$C$59*B180,"N/A")</f>
        <v>N/A</v>
      </c>
      <c r="Q180" t="str" s="595" cm="1">
        <f t="array" ref="Q180">IF(B180&gt;0,_xlfn.IFERROR(VLOOKUP(C163,'Boats Data Sheet 2026'!$C$3:$I$57,7,0)*'Direct Costs 2026'!$C$36,"N/A"),"N/A")</f>
        <v>N/A</v>
      </c>
      <c r="R180" t="str" s="595" cm="1">
        <f t="array" ref="R180">IF(B180&gt;0,IF(OR(VLOOKUP(C163,'Boats Data Sheet 2026'!$C$3:$F$57,4,0)="Own",VLOOKUP(C163,'Boats Data Sheet 2026'!$C$3:$F$57,4,0)="Management"),('Direct Costs 2026'!$C$37+'Direct Costs 2026'!$C$39),"N/A"),"N/A")</f>
        <v>N/A</v>
      </c>
      <c r="S180" t="str" s="595" cm="1">
        <f t="array" ref="S180">_xlfn.IFERROR(IF(B180&gt;5,IF(B180&gt;11,IF(B180&gt;15,4,3),2),IF(B180=0,"N/A",1))*SUM('Direct Costs 2026'!$C$67:$C$68),"N/A")</f>
        <v>N/A</v>
      </c>
      <c r="T180" t="str" s="595" cm="1">
        <f t="array" ref="T180">_xlfn.IFERROR('Direct Costs 2026'!$C$27*C180,"N/A")</f>
        <v>N/A</v>
      </c>
      <c r="U180" t="str" s="595" cm="1">
        <f t="array" ref="U180">_xlfn.IFERROR(C180+SUM(E180:T180),"N/A")</f>
        <v>N/A</v>
      </c>
      <c r="V180" s="424"/>
      <c r="W180" t="str" s="595" cm="1">
        <f t="array" ref="W180">IF(B180&gt;0,'Allocation OH and Target 2026'!$E$27,"N/A")</f>
        <v>N/A</v>
      </c>
      <c r="X180" t="str" s="595" cm="1">
        <f t="array" ref="X180">IF(B180&gt;0,'Allocation OH and Target 2026'!$E$28,"N/A")</f>
        <v>N/A</v>
      </c>
      <c r="Y180" t="str" s="595" cm="1">
        <f t="array" ref="Y180">IF(B180&gt;0,VLOOKUP(C163,'Allocation OH and Target 2026'!$C$5:$T$23,17,0),"N/A")</f>
        <v>N/A</v>
      </c>
      <c r="Z180" t="str" s="595" cm="1">
        <f t="array" ref="Z180">IF(B180&gt;0,VLOOKUP(C163,'Allocation OH and Target 2026'!$C$5:$T$23,18,0),"N/A")</f>
        <v>N/A</v>
      </c>
      <c r="AA180" t="str" s="595" cm="1">
        <f t="array" ref="AA180">_xlfn.IFERROR(X180*B180+Z180,"N/A")</f>
        <v>N/A</v>
      </c>
      <c r="AB180" s="424"/>
      <c r="AC180" t="str" s="595" cm="1">
        <f t="array" ref="AC180">_xlfn.IFERROR(AA180+U180,"N/A")</f>
        <v>N/A</v>
      </c>
      <c r="AD180" t="str" s="595" cm="1">
        <f t="array" ref="AD180">_xlfn.IFERROR(AC180*0.5%,"N/A")</f>
        <v>N/A</v>
      </c>
      <c r="AE180" t="str" s="595" cm="1">
        <f t="array" ref="AE180">_xlfn.IFERROR(AC180*25%,"N/A")</f>
        <v>N/A</v>
      </c>
      <c r="AF180" t="str" s="604" cm="1">
        <f t="array" ref="AF180">IF(B180&gt;0,SUM(AC180:AE180),"N/A")</f>
        <v>N/A</v>
      </c>
      <c r="AG180" t="str" s="595" cm="1">
        <f t="array" ref="AG180">_xlfn.IFERROR(AF180/B180,"N/A")</f>
        <v>N/A</v>
      </c>
      <c r="AH180" s="424"/>
      <c r="AI180" t="str" s="604" cm="1">
        <f t="array" ref="AI180">IF(B180/VLOOKUP(C163,'Boats Data Sheet 2026'!$C$3:$H$57,6,0)&gt;VLOOKUP(C163,'Allocation OH and Target 2026'!$C$5:$J$23,8,0),IF(SUM(AJ165:AJ179)=0,AG180,"N/A"),"N/A")</f>
        <v>N/A</v>
      </c>
      <c r="AJ180" s="424" cm="1">
        <f t="array" ref="AJ180">IF(AI180="N/A",0,1)</f>
        <v>0</v>
      </c>
      <c r="AK180" t="str" s="595" cm="1">
        <f t="array" ref="AK180">IF(B180/VLOOKUP(C163,'Boats Data Sheet 2026'!$C$3:$H$57,6,0)&gt;VLOOKUP(C163,'Allocation OH and Target 2026'!$C$5:$J$23,8,0),IF(SUM(AJ165:AJ179)=0,U180/B180,"N/A"),"N/A")</f>
        <v>N/A</v>
      </c>
      <c r="AL180" s="424" cm="1">
        <f t="array" ref="AL180">IF(AK180="N/A",0,1)</f>
        <v>0</v>
      </c>
      <c r="AM180" t="str" s="605" cm="1">
        <f t="array" ref="AM180">IF(SUM(1250000+700000)*B180&lt;SUM(AC180:AD180),"NO GO","GO")</f>
        <v>GO</v>
      </c>
      <c r="AN180" s="424"/>
      <c r="AO180" s="594"/>
      <c r="AP180" s="594"/>
      <c r="AQ180" s="594"/>
      <c r="AR180" s="600"/>
      <c r="AS180" s="601" cm="1">
        <f t="array" ref="AS180">B180</f>
        <v>0</v>
      </c>
    </row>
    <row r="181" ht="16" customHeight="1">
      <c r="A181" s="12"/>
      <c r="B181" s="602" cm="1">
        <f t="array" ref="B181">IF(B180=0,0,IF(B180&lt;VLOOKUP(C163,'Boats Data Sheet 2026'!$C$3:$H$57,6,0),B180+1,0))</f>
        <v>0</v>
      </c>
      <c r="C181" t="str" s="595" cm="1">
        <f t="array" ref="C181">IF(B181&gt;0,IF(VLOOKUP(C163,'Boats Data Sheet 2026'!$C$3:$J$57,8,0)="N/A",0,VLOOKUP(C163,'Boats Data Sheet 2026'!$C$3:$J$57,8,0)),"N/A")</f>
        <v>N/A</v>
      </c>
      <c r="D181" t="str" s="595" cm="1">
        <f t="array" ref="D181">IF(B181&gt;7,2,IF(B181=0,"N/A",1))</f>
        <v>N/A</v>
      </c>
      <c r="E181" t="str" s="595" cm="1">
        <f t="array" ref="E181">_xlfn.IFERROR(SUM('Direct Costs 2026'!$C$4:$C$6)*D181,"N/A")</f>
        <v>N/A</v>
      </c>
      <c r="F181" s="594" cm="1">
        <f t="array" ref="F181">_xlfn.IFERROR('Direct Costs 2026'!$C$43*B181,"N/A")</f>
        <v>0</v>
      </c>
      <c r="G181" t="str" s="595" cm="1">
        <f t="array" ref="G181">IF(B181&gt;0,'Direct Costs 2026'!$C$25,"N/A")</f>
        <v>N/A</v>
      </c>
      <c r="H181" t="str" s="595" cm="1">
        <f t="array" ref="H181">IF(B181&gt;0,'Direct Costs 2026'!$C$19+'Direct Costs 2026'!$C$18*B181,"N/A")</f>
        <v>N/A</v>
      </c>
      <c r="I181" t="str" s="595" cm="1">
        <f t="array" ref="I181">IF(B181&gt;0,SUM('Direct Costs 2026'!$C$20:$C$21),"N/A")</f>
        <v>N/A</v>
      </c>
      <c r="J181" t="str" s="595" cm="1">
        <f t="array" ref="J181">IF(B181&gt;0,'Direct Costs 2026'!$C$14,"N/A")</f>
        <v>N/A</v>
      </c>
      <c r="K181" t="str" s="595" cm="1">
        <f t="array" ref="K181">IF(B181&gt;0,'Direct Costs 2026'!$C$26,"N/A")</f>
        <v>N/A</v>
      </c>
      <c r="L181" t="str" s="595" cm="1">
        <f t="array" ref="L181">IF(B181&gt;0,SUM('Direct Costs 2026'!$C$23:$C$24),"N/A")</f>
        <v>N/A</v>
      </c>
      <c r="M181" t="str" s="595" cm="1">
        <f t="array" ref="M181">IF(B181&gt;0,'Direct Costs 2026'!$C$47*B181,"N/A")</f>
        <v>N/A</v>
      </c>
      <c r="N181" t="str" s="595" cm="1">
        <f t="array" ref="N181">IF($B181&gt;0,'Direct Costs 2026'!$C$30,"N/A")</f>
        <v>N/A</v>
      </c>
      <c r="O181" t="str" s="595" cm="1">
        <f t="array" ref="O181">IF($B181&gt;0,'Direct Costs 2026'!$C$31,"N/A")</f>
        <v>N/A</v>
      </c>
      <c r="P181" t="str" s="595" cm="1">
        <f t="array" ref="P181">IF(B181&gt;0,'Direct Costs 2026'!$C$59*B181,"N/A")</f>
        <v>N/A</v>
      </c>
      <c r="Q181" t="str" s="595" cm="1">
        <f t="array" ref="Q181">IF(B181&gt;0,_xlfn.IFERROR(VLOOKUP(C163,'Boats Data Sheet 2026'!$C$3:$I$57,7,0)*'Direct Costs 2026'!$C$36,"N/A"),"N/A")</f>
        <v>N/A</v>
      </c>
      <c r="R181" t="str" s="595" cm="1">
        <f t="array" ref="R181">IF(B181&gt;0,IF(OR(VLOOKUP(C163,'Boats Data Sheet 2026'!$C$3:$F$57,4,0)="Own",VLOOKUP(C163,'Boats Data Sheet 2026'!$C$3:$F$57,4,0)="Management"),('Direct Costs 2026'!$C$37+'Direct Costs 2026'!$C$39),"N/A"),"N/A")</f>
        <v>N/A</v>
      </c>
      <c r="S181" t="str" s="595" cm="1">
        <f t="array" ref="S181">_xlfn.IFERROR(IF(B181&gt;5,IF(B181&gt;11,IF(B181&gt;15,4,3),2),IF(B181=0,"N/A",1))*SUM('Direct Costs 2026'!$C$67:$C$68),"N/A")</f>
        <v>N/A</v>
      </c>
      <c r="T181" t="str" s="595" cm="1">
        <f t="array" ref="T181">_xlfn.IFERROR('Direct Costs 2026'!$C$27*C181,"N/A")</f>
        <v>N/A</v>
      </c>
      <c r="U181" t="str" s="595" cm="1">
        <f t="array" ref="U181">_xlfn.IFERROR(C181+SUM(E181:T181),"N/A")</f>
        <v>N/A</v>
      </c>
      <c r="V181" s="424"/>
      <c r="W181" t="str" s="595" cm="1">
        <f t="array" ref="W181">IF(B181&gt;0,'Allocation OH and Target 2026'!$E$27,"N/A")</f>
        <v>N/A</v>
      </c>
      <c r="X181" t="str" s="595" cm="1">
        <f t="array" ref="X181">IF(B181&gt;0,'Allocation OH and Target 2026'!$E$28,"N/A")</f>
        <v>N/A</v>
      </c>
      <c r="Y181" t="str" s="595" cm="1">
        <f t="array" ref="Y181">IF(B181&gt;0,VLOOKUP(C163,'Allocation OH and Target 2026'!$C$5:$T$23,17,0),"N/A")</f>
        <v>N/A</v>
      </c>
      <c r="Z181" t="str" s="595" cm="1">
        <f t="array" ref="Z181">IF(B181&gt;0,VLOOKUP(C163,'Allocation OH and Target 2026'!$C$5:$T$23,18,0),"N/A")</f>
        <v>N/A</v>
      </c>
      <c r="AA181" t="str" s="595" cm="1">
        <f t="array" ref="AA181">_xlfn.IFERROR(X181*B181+Z181,"N/A")</f>
        <v>N/A</v>
      </c>
      <c r="AB181" s="424"/>
      <c r="AC181" t="str" s="595" cm="1">
        <f t="array" ref="AC181">_xlfn.IFERROR(AA181+U181,"N/A")</f>
        <v>N/A</v>
      </c>
      <c r="AD181" t="str" s="595" cm="1">
        <f t="array" ref="AD181">_xlfn.IFERROR(AC181*0.5%,"N/A")</f>
        <v>N/A</v>
      </c>
      <c r="AE181" t="str" s="595" cm="1">
        <f t="array" ref="AE181">_xlfn.IFERROR(AC181*25%,"N/A")</f>
        <v>N/A</v>
      </c>
      <c r="AF181" t="str" s="604" cm="1">
        <f t="array" ref="AF181">IF(B181&gt;0,SUM(AC181:AE181),"N/A")</f>
        <v>N/A</v>
      </c>
      <c r="AG181" t="str" s="595" cm="1">
        <f t="array" ref="AG181">_xlfn.IFERROR(AF181/B181,"N/A")</f>
        <v>N/A</v>
      </c>
      <c r="AH181" s="424"/>
      <c r="AI181" t="str" s="604" cm="1">
        <f t="array" ref="AI181">IF(B181/VLOOKUP(C163,'Boats Data Sheet 2026'!$C$3:$H$57,6,0)&gt;VLOOKUP(C163,'Allocation OH and Target 2026'!$C$5:$J$23,8,0),IF(SUM(AJ165:AJ180)=0,AG181,"N/A"),"N/A")</f>
        <v>N/A</v>
      </c>
      <c r="AJ181" s="424" cm="1">
        <f t="array" ref="AJ181">IF(AI181="N/A",0,1)</f>
        <v>0</v>
      </c>
      <c r="AK181" t="str" s="595" cm="1">
        <f t="array" ref="AK181">IF(B181/VLOOKUP(C163,'Boats Data Sheet 2026'!$C$3:$H$57,6,0)&gt;VLOOKUP(C163,'Allocation OH and Target 2026'!$C$5:$J$23,8,0),IF(SUM(AJ165:AJ180)=0,U181/B181,"N/A"),"N/A")</f>
        <v>N/A</v>
      </c>
      <c r="AL181" s="424" cm="1">
        <f t="array" ref="AL181">IF(AK181="N/A",0,1)</f>
        <v>0</v>
      </c>
      <c r="AM181" t="str" s="605" cm="1">
        <f t="array" ref="AM181">IF(SUM(1250000+700000)*B181&lt;SUM(AC181:AD181),"NO GO","GO")</f>
        <v>GO</v>
      </c>
      <c r="AN181" s="424"/>
      <c r="AO181" s="594"/>
      <c r="AP181" s="594"/>
      <c r="AQ181" s="594"/>
      <c r="AR181" s="600"/>
      <c r="AS181" s="601" cm="1">
        <f t="array" ref="AS181">B181</f>
        <v>0</v>
      </c>
    </row>
    <row r="182" ht="16" customHeight="1">
      <c r="A182" s="12"/>
      <c r="B182" s="602" cm="1">
        <f t="array" ref="B182">IF(B181=0,0,IF(B181&lt;VLOOKUP(C163,'Boats Data Sheet 2026'!$C$3:$H$57,6,0),B181+1,0))</f>
        <v>0</v>
      </c>
      <c r="C182" t="str" s="595" cm="1">
        <f t="array" ref="C182">IF(B182&gt;0,IF(VLOOKUP(C163,'Boats Data Sheet 2026'!$C$3:$J$57,8,0)="N/A",0,VLOOKUP(C163,'Boats Data Sheet 2026'!$C$3:$J$57,8,0)),"N/A")</f>
        <v>N/A</v>
      </c>
      <c r="D182" t="str" s="595" cm="1">
        <f t="array" ref="D182">IF(B182&gt;7,2,IF(B182=0,"N/A",1))</f>
        <v>N/A</v>
      </c>
      <c r="E182" t="str" s="595" cm="1">
        <f t="array" ref="E182">_xlfn.IFERROR(SUM('Direct Costs 2026'!$C$4:$C$6)*D182,"N/A")</f>
        <v>N/A</v>
      </c>
      <c r="F182" s="594" cm="1">
        <f t="array" ref="F182">_xlfn.IFERROR('Direct Costs 2026'!$C$43*B182,"N/A")</f>
        <v>0</v>
      </c>
      <c r="G182" t="str" s="595" cm="1">
        <f t="array" ref="G182">IF(B182&gt;0,'Direct Costs 2026'!$C$25,"N/A")</f>
        <v>N/A</v>
      </c>
      <c r="H182" t="str" s="595" cm="1">
        <f t="array" ref="H182">IF(B182&gt;0,'Direct Costs 2026'!$C$19+'Direct Costs 2026'!$C$18*B182,"N/A")</f>
        <v>N/A</v>
      </c>
      <c r="I182" t="str" s="595" cm="1">
        <f t="array" ref="I182">IF(B182&gt;0,SUM('Direct Costs 2026'!$C$20:$C$21),"N/A")</f>
        <v>N/A</v>
      </c>
      <c r="J182" t="str" s="595" cm="1">
        <f t="array" ref="J182">IF(B182&gt;0,'Direct Costs 2026'!$C$14,"N/A")</f>
        <v>N/A</v>
      </c>
      <c r="K182" t="str" s="595" cm="1">
        <f t="array" ref="K182">IF(B182&gt;0,'Direct Costs 2026'!$C$26,"N/A")</f>
        <v>N/A</v>
      </c>
      <c r="L182" t="str" s="595" cm="1">
        <f t="array" ref="L182">IF(B182&gt;0,SUM('Direct Costs 2026'!$C$23:$C$24),"N/A")</f>
        <v>N/A</v>
      </c>
      <c r="M182" t="str" s="595" cm="1">
        <f t="array" ref="M182">IF(B182&gt;0,'Direct Costs 2026'!$C$47*B182,"N/A")</f>
        <v>N/A</v>
      </c>
      <c r="N182" t="str" s="595" cm="1">
        <f t="array" ref="N182">IF($B182&gt;0,'Direct Costs 2026'!$C$30,"N/A")</f>
        <v>N/A</v>
      </c>
      <c r="O182" t="str" s="595" cm="1">
        <f t="array" ref="O182">IF($B182&gt;0,'Direct Costs 2026'!$C$31,"N/A")</f>
        <v>N/A</v>
      </c>
      <c r="P182" t="str" s="595" cm="1">
        <f t="array" ref="P182">IF(B182&gt;0,'Direct Costs 2026'!$C$59*B182,"N/A")</f>
        <v>N/A</v>
      </c>
      <c r="Q182" t="str" s="595" cm="1">
        <f t="array" ref="Q182">IF(B182&gt;0,_xlfn.IFERROR(VLOOKUP(C163,'Boats Data Sheet 2026'!$C$3:$I$57,7,0)*'Direct Costs 2026'!$C$36,"N/A"),"N/A")</f>
        <v>N/A</v>
      </c>
      <c r="R182" t="str" s="595" cm="1">
        <f t="array" ref="R182">IF(B182&gt;0,IF(OR(VLOOKUP(C163,'Boats Data Sheet 2026'!$C$3:$F$57,4,0)="Own",VLOOKUP(C163,'Boats Data Sheet 2026'!$C$3:$F$57,4,0)="Management"),('Direct Costs 2026'!$C$37+'Direct Costs 2026'!$C$39),"N/A"),"N/A")</f>
        <v>N/A</v>
      </c>
      <c r="S182" t="str" s="595" cm="1">
        <f t="array" ref="S182">_xlfn.IFERROR(IF(B182&gt;5,IF(B182&gt;11,IF(B182&gt;15,4,3),2),IF(B182=0,"N/A",1))*SUM('Direct Costs 2026'!$C$67:$C$68),"N/A")</f>
        <v>N/A</v>
      </c>
      <c r="T182" t="str" s="595" cm="1">
        <f t="array" ref="T182">_xlfn.IFERROR('Direct Costs 2026'!$C$27*C182,"N/A")</f>
        <v>N/A</v>
      </c>
      <c r="U182" t="str" s="595" cm="1">
        <f t="array" ref="U182">_xlfn.IFERROR(C182+SUM(E182:T182),"N/A")</f>
        <v>N/A</v>
      </c>
      <c r="V182" s="424"/>
      <c r="W182" t="str" s="595" cm="1">
        <f t="array" ref="W182">IF(B182&gt;0,'Allocation OH and Target 2026'!$E$27,"N/A")</f>
        <v>N/A</v>
      </c>
      <c r="X182" t="str" s="595" cm="1">
        <f t="array" ref="X182">IF(B182&gt;0,'Allocation OH and Target 2026'!$E$28,"N/A")</f>
        <v>N/A</v>
      </c>
      <c r="Y182" t="str" s="595" cm="1">
        <f t="array" ref="Y182">IF(B182&gt;0,VLOOKUP(C163,'Allocation OH and Target 2026'!$C$5:$T$23,17,0),"N/A")</f>
        <v>N/A</v>
      </c>
      <c r="Z182" t="str" s="595" cm="1">
        <f t="array" ref="Z182">IF(B182&gt;0,VLOOKUP(C163,'Allocation OH and Target 2026'!$C$5:$T$23,18,0),"N/A")</f>
        <v>N/A</v>
      </c>
      <c r="AA182" t="str" s="595" cm="1">
        <f t="array" ref="AA182">_xlfn.IFERROR(X182*B182+Z182,"N/A")</f>
        <v>N/A</v>
      </c>
      <c r="AB182" s="424"/>
      <c r="AC182" t="str" s="595" cm="1">
        <f t="array" ref="AC182">_xlfn.IFERROR(AA182+U182,"N/A")</f>
        <v>N/A</v>
      </c>
      <c r="AD182" t="str" s="595" cm="1">
        <f t="array" ref="AD182">_xlfn.IFERROR(AC182*0.5%,"N/A")</f>
        <v>N/A</v>
      </c>
      <c r="AE182" t="str" s="595" cm="1">
        <f t="array" ref="AE182">_xlfn.IFERROR(AC182*25%,"N/A")</f>
        <v>N/A</v>
      </c>
      <c r="AF182" t="str" s="604" cm="1">
        <f t="array" ref="AF182">IF(B182&gt;0,SUM(AC182:AE182),"N/A")</f>
        <v>N/A</v>
      </c>
      <c r="AG182" t="str" s="595" cm="1">
        <f t="array" ref="AG182">_xlfn.IFERROR(AF182/B182,"N/A")</f>
        <v>N/A</v>
      </c>
      <c r="AH182" s="424"/>
      <c r="AI182" t="str" s="604" cm="1">
        <f t="array" ref="AI182">IF(B182/VLOOKUP(C163,'Boats Data Sheet 2026'!$C$3:$H$57,6,0)&gt;VLOOKUP(C163,'Allocation OH and Target 2026'!$C$5:$J$23,8,0),IF(SUM(AJ165:AJ181)=0,AG182,"N/A"),"N/A")</f>
        <v>N/A</v>
      </c>
      <c r="AJ182" s="424" cm="1">
        <f t="array" ref="AJ182">IF(AI182="N/A",0,1)</f>
        <v>0</v>
      </c>
      <c r="AK182" t="str" s="595" cm="1">
        <f t="array" ref="AK182">IF(B182/VLOOKUP(C163,'Boats Data Sheet 2026'!$C$3:$H$57,6,0)&gt;VLOOKUP(C163,'Allocation OH and Target 2026'!$C$5:$J$23,8,0),IF(SUM(AJ165:AJ181)=0,U182/B182,"N/A"),"N/A")</f>
        <v>N/A</v>
      </c>
      <c r="AL182" s="424" cm="1">
        <f t="array" ref="AL182">IF(AK182="N/A",0,1)</f>
        <v>0</v>
      </c>
      <c r="AM182" t="str" s="605" cm="1">
        <f t="array" ref="AM182">IF(SUM(1250000+700000)*B182&lt;SUM(AC182:AD182),"NO GO","GO")</f>
        <v>GO</v>
      </c>
      <c r="AN182" s="424"/>
      <c r="AO182" s="594"/>
      <c r="AP182" s="594"/>
      <c r="AQ182" s="594"/>
      <c r="AR182" s="600"/>
      <c r="AS182" s="601" cm="1">
        <f t="array" ref="AS182">B182</f>
        <v>0</v>
      </c>
    </row>
    <row r="183" ht="15.5" customHeight="1">
      <c r="A183" s="570"/>
      <c r="B183" s="606" cm="1">
        <f t="array" ref="B183">IF(B182=0,0,IF(B182&lt;VLOOKUP(C163,'Boats Data Sheet 2026'!$C$3:$H$57,6,0),B182+1,0))</f>
        <v>0</v>
      </c>
      <c r="C183" t="str" s="607" cm="1">
        <f t="array" ref="C183">IF(B183&gt;0,IF(VLOOKUP(C163,'Boats Data Sheet 2026'!$C$3:$J$57,8,0)="N/A",0,VLOOKUP(C163,'Boats Data Sheet 2026'!$C$3:$J$57,8,0)),"N/A")</f>
        <v>N/A</v>
      </c>
      <c r="D183" t="str" s="607" cm="1">
        <f t="array" ref="D183">IF(B183&gt;7,2,IF(B183=0,"N/A",1))</f>
        <v>N/A</v>
      </c>
      <c r="E183" t="str" s="607" cm="1">
        <f t="array" ref="E183">_xlfn.IFERROR(SUM('Direct Costs 2026'!$C$4:$C$6)*D183,"N/A")</f>
        <v>N/A</v>
      </c>
      <c r="F183" s="608" cm="1">
        <f t="array" ref="F183">_xlfn.IFERROR('Direct Costs 2026'!$C$43*B183,"N/A")</f>
        <v>0</v>
      </c>
      <c r="G183" t="str" s="607" cm="1">
        <f t="array" ref="G183">IF(B183&gt;0,'Direct Costs 2026'!$C$25,"N/A")</f>
        <v>N/A</v>
      </c>
      <c r="H183" t="str" s="607" cm="1">
        <f t="array" ref="H183">IF(B183&gt;0,'Direct Costs 2026'!$C$19+'Direct Costs 2026'!$C$18*B183,"N/A")</f>
        <v>N/A</v>
      </c>
      <c r="I183" t="str" s="607" cm="1">
        <f t="array" ref="I183">IF(B183&gt;0,SUM('Direct Costs 2026'!$C$20:$C$21),"N/A")</f>
        <v>N/A</v>
      </c>
      <c r="J183" t="str" s="607" cm="1">
        <f t="array" ref="J183">IF(B183&gt;0,'Direct Costs 2026'!$C$14,"N/A")</f>
        <v>N/A</v>
      </c>
      <c r="K183" t="str" s="607" cm="1">
        <f t="array" ref="K183">IF(B183&gt;0,'Direct Costs 2026'!$C$26,"N/A")</f>
        <v>N/A</v>
      </c>
      <c r="L183" t="str" s="607" cm="1">
        <f t="array" ref="L183">IF(B183&gt;0,SUM('Direct Costs 2026'!$C$23:$C$24),"N/A")</f>
        <v>N/A</v>
      </c>
      <c r="M183" t="str" s="607" cm="1">
        <f t="array" ref="M183">IF(B183&gt;0,'Direct Costs 2026'!$C$47*B183,"N/A")</f>
        <v>N/A</v>
      </c>
      <c r="N183" t="str" s="607" cm="1">
        <f t="array" ref="N183">IF($B183&gt;0,'Direct Costs 2026'!$C$30,"N/A")</f>
        <v>N/A</v>
      </c>
      <c r="O183" t="str" s="607" cm="1">
        <f t="array" ref="O183">IF($B183&gt;0,'Direct Costs 2026'!$C$31,"N/A")</f>
        <v>N/A</v>
      </c>
      <c r="P183" t="str" s="607" cm="1">
        <f t="array" ref="P183">IF(B183&gt;0,'Direct Costs 2026'!$C$59*B183,"N/A")</f>
        <v>N/A</v>
      </c>
      <c r="Q183" t="str" s="607" cm="1">
        <f t="array" ref="Q183">IF(B183&gt;0,_xlfn.IFERROR(VLOOKUP(C163,'Boats Data Sheet 2026'!$C$3:$I$57,7,0)*'Direct Costs 2026'!$C$36,"N/A"),"N/A")</f>
        <v>N/A</v>
      </c>
      <c r="R183" t="str" s="607" cm="1">
        <f t="array" ref="R183">IF(B183&gt;0,IF(OR(VLOOKUP(C163,'Boats Data Sheet 2026'!$C$3:$F$57,4,0)="Own",VLOOKUP(C163,'Boats Data Sheet 2026'!$C$3:$F$57,4,0)="Management"),('Direct Costs 2026'!$C$37+'Direct Costs 2026'!$C$39),"N/A"),"N/A")</f>
        <v>N/A</v>
      </c>
      <c r="S183" t="str" s="607" cm="1">
        <f t="array" ref="S183">_xlfn.IFERROR(IF(B183&gt;5,IF(B183&gt;11,IF(B183&gt;15,4,3),2),IF(B183=0,"N/A",1))*SUM('Direct Costs 2026'!$C$67:$C$68),"N/A")</f>
        <v>N/A</v>
      </c>
      <c r="T183" t="str" s="607" cm="1">
        <f t="array" ref="T183">_xlfn.IFERROR('Direct Costs 2026'!$C$27*C183,"N/A")</f>
        <v>N/A</v>
      </c>
      <c r="U183" t="str" s="607" cm="1">
        <f t="array" ref="U183">_xlfn.IFERROR(C183+SUM(E183:T183),"N/A")</f>
        <v>N/A</v>
      </c>
      <c r="V183" s="435"/>
      <c r="W183" t="str" s="607" cm="1">
        <f t="array" ref="W183">IF(B183&gt;0,'Allocation OH and Target 2026'!$E$27,"N/A")</f>
        <v>N/A</v>
      </c>
      <c r="X183" t="str" s="607" cm="1">
        <f t="array" ref="X183">IF(B183&gt;0,'Allocation OH and Target 2026'!$E$28,"N/A")</f>
        <v>N/A</v>
      </c>
      <c r="Y183" t="str" s="607" cm="1">
        <f t="array" ref="Y183">IF(B183&gt;0,VLOOKUP(C163,'Allocation OH and Target 2026'!$C$5:$T$23,17,0),"N/A")</f>
        <v>N/A</v>
      </c>
      <c r="Z183" t="str" s="607" cm="1">
        <f t="array" ref="Z183">IF(B183&gt;0,VLOOKUP(C163,'Allocation OH and Target 2026'!$C$5:$T$23,18,0),"N/A")</f>
        <v>N/A</v>
      </c>
      <c r="AA183" t="str" s="607" cm="1">
        <f t="array" ref="AA183">_xlfn.IFERROR(X183*B183+Z183,"N/A")</f>
        <v>N/A</v>
      </c>
      <c r="AB183" s="435"/>
      <c r="AC183" t="str" s="607" cm="1">
        <f t="array" ref="AC183">_xlfn.IFERROR(AA183+U183,"N/A")</f>
        <v>N/A</v>
      </c>
      <c r="AD183" t="str" s="607" cm="1">
        <f t="array" ref="AD183">_xlfn.IFERROR(AC183*0.5%,"N/A")</f>
        <v>N/A</v>
      </c>
      <c r="AE183" t="str" s="607" cm="1">
        <f t="array" ref="AE183">_xlfn.IFERROR(AC183*25%,"N/A")</f>
        <v>N/A</v>
      </c>
      <c r="AF183" t="str" s="609" cm="1">
        <f t="array" ref="AF183">IF(B183&gt;0,SUM(AC183:AE183),"N/A")</f>
        <v>N/A</v>
      </c>
      <c r="AG183" t="str" s="607" cm="1">
        <f t="array" ref="AG183">_xlfn.IFERROR(AF183/B183,"N/A")</f>
        <v>N/A</v>
      </c>
      <c r="AH183" s="435"/>
      <c r="AI183" t="str" s="609" cm="1">
        <f t="array" ref="AI183">IF(B183/VLOOKUP(C163,'Boats Data Sheet 2026'!$C$3:$H$57,6,0)&gt;VLOOKUP(C163,'Allocation OH and Target 2026'!$C$5:$J$23,8,0),IF(SUM(AJ165:AJ182)=0,AG183,"N/A"),"N/A")</f>
        <v>N/A</v>
      </c>
      <c r="AJ183" s="435" cm="1">
        <f t="array" ref="AJ183">IF(AI183="N/A",0,1)</f>
        <v>0</v>
      </c>
      <c r="AK183" t="str" s="607" cm="1">
        <f t="array" ref="AK183">IF(B183/VLOOKUP(C163,'Boats Data Sheet 2026'!$C$3:$H$57,6,0)&gt;VLOOKUP(C163,'Allocation OH and Target 2026'!$C$5:$J$23,8,0),IF(SUM(AJ165:AJ182)=0,U183/B183,"N/A"),"N/A")</f>
        <v>N/A</v>
      </c>
      <c r="AL183" s="435" cm="1">
        <f t="array" ref="AL183">IF(AK183="N/A",0,1)</f>
        <v>0</v>
      </c>
      <c r="AM183" t="str" s="610" cm="1">
        <f t="array" ref="AM183">IF(SUM(1250000+700000)*B183&lt;SUM(AC183:AD183),"NO GO","GO")</f>
        <v>GO</v>
      </c>
      <c r="AN183" s="435"/>
      <c r="AO183" s="608"/>
      <c r="AP183" s="608"/>
      <c r="AQ183" s="608"/>
      <c r="AR183" s="611"/>
      <c r="AS183" s="617" cm="1">
        <f t="array" ref="AS183">B183</f>
        <v>0</v>
      </c>
    </row>
  </sheetData>
  <mergeCells count="24">
    <mergeCell ref="C141:U141"/>
    <mergeCell ref="W141:AA141"/>
    <mergeCell ref="AC141:AG141"/>
    <mergeCell ref="C164:U164"/>
    <mergeCell ref="W164:AA164"/>
    <mergeCell ref="AC164:AG164"/>
    <mergeCell ref="C95:U95"/>
    <mergeCell ref="W95:AA95"/>
    <mergeCell ref="AC95:AG95"/>
    <mergeCell ref="C118:U118"/>
    <mergeCell ref="W118:AA118"/>
    <mergeCell ref="AC118:AG118"/>
    <mergeCell ref="C49:U49"/>
    <mergeCell ref="W49:AA49"/>
    <mergeCell ref="AC49:AG49"/>
    <mergeCell ref="C72:U72"/>
    <mergeCell ref="W72:AA72"/>
    <mergeCell ref="AC72:AG72"/>
    <mergeCell ref="C3:U3"/>
    <mergeCell ref="W3:AA3"/>
    <mergeCell ref="AC3:AG3"/>
    <mergeCell ref="C26:U26"/>
    <mergeCell ref="W26:AA26"/>
    <mergeCell ref="AC26:AG26"/>
  </mergeCells>
  <conditionalFormatting sqref="AM5:AM22 AM28:AM45 AM51:AM68 AM74:AM91 AM97:AM114 AM120:AM137 AM143:AM160 AM166:AM183">
    <cfRule type="cellIs" dxfId="4" priority="1" operator="equal" stopIfTrue="1">
      <formula>"NO GO"</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AR176"/>
  <sheetViews>
    <sheetView workbookViewId="0" showGridLines="0" defaultGridColor="1"/>
  </sheetViews>
  <sheetFormatPr defaultColWidth="8.83333" defaultRowHeight="15" customHeight="1" outlineLevelRow="0" outlineLevelCol="0"/>
  <cols>
    <col min="1" max="1" width="3.5" style="618" customWidth="1"/>
    <col min="2" max="2" width="9.5" style="618" customWidth="1"/>
    <col min="3" max="3" width="14" style="618" customWidth="1"/>
    <col min="4" max="4" width="8" style="618" customWidth="1"/>
    <col min="5" max="5" width="14" style="618" customWidth="1"/>
    <col min="6" max="6" width="12.1719" style="618" customWidth="1"/>
    <col min="7" max="7" width="11.8516" style="618" customWidth="1"/>
    <col min="8" max="8" width="13.1719" style="618" customWidth="1"/>
    <col min="9" max="9" width="11.8516" style="618" customWidth="1"/>
    <col min="10" max="10" width="11.6719" style="618" customWidth="1"/>
    <col min="11" max="11" width="10.8516" style="618" customWidth="1"/>
    <col min="12" max="12" width="12.1719" style="618" customWidth="1"/>
    <col min="13" max="13" width="13.5" style="618" customWidth="1"/>
    <col min="14" max="14" width="14.8516" style="618" customWidth="1"/>
    <col min="15" max="15" width="13.5" style="618" customWidth="1"/>
    <col min="16" max="16" width="14.5" style="618" customWidth="1"/>
    <col min="17" max="18" width="12.6719" style="618" customWidth="1"/>
    <col min="19" max="19" width="12.5" style="618" customWidth="1"/>
    <col min="20" max="20" width="14.1719" style="618" customWidth="1"/>
    <col min="21" max="21" width="13.3516" style="618" customWidth="1"/>
    <col min="22" max="22" width="14.6719" style="618" customWidth="1"/>
    <col min="23" max="23" width="1.5" style="618" customWidth="1"/>
    <col min="24" max="24" width="14.5" style="618" customWidth="1"/>
    <col min="25" max="25" width="18.1719" style="618" customWidth="1"/>
    <col min="26" max="26" width="14" style="618" customWidth="1"/>
    <col min="27" max="27" width="1.85156" style="618" customWidth="1"/>
    <col min="28" max="28" width="14.5" style="618" customWidth="1"/>
    <col min="29" max="29" width="11.8516" style="618" customWidth="1"/>
    <col min="30" max="30" width="14.1719" style="618" customWidth="1"/>
    <col min="31" max="31" width="16.6719" style="618" customWidth="1"/>
    <col min="32" max="32" width="14.8516" style="618" customWidth="1"/>
    <col min="33" max="33" width="1.85156" style="618" customWidth="1"/>
    <col min="34" max="34" width="24" style="618" customWidth="1"/>
    <col min="35" max="35" width="1.67188" style="618" customWidth="1"/>
    <col min="36" max="36" width="21.8516" style="618" customWidth="1"/>
    <col min="37" max="37" width="1.67188" style="618" customWidth="1"/>
    <col min="38" max="38" width="20.1719" style="618" customWidth="1"/>
    <col min="39" max="39" width="1.85156" style="618" customWidth="1"/>
    <col min="40" max="40" width="25.8516" style="618" customWidth="1"/>
    <col min="41" max="43" width="20.5" style="618" customWidth="1"/>
    <col min="44" max="44" width="8.85156" style="618" customWidth="1"/>
    <col min="45" max="16384" width="8.85156" style="618" customWidth="1"/>
  </cols>
  <sheetData>
    <row r="1" ht="15.5" customHeight="1">
      <c r="A1" s="7"/>
      <c r="B1" s="8"/>
      <c r="C1" s="8"/>
      <c r="D1" s="8"/>
      <c r="E1" s="8"/>
      <c r="F1" s="8"/>
      <c r="G1" s="8"/>
      <c r="H1" s="8"/>
      <c r="I1" s="8"/>
      <c r="J1" s="8"/>
      <c r="K1" s="8"/>
      <c r="L1" s="8"/>
      <c r="M1" s="8"/>
      <c r="N1" s="8"/>
      <c r="O1" s="8"/>
      <c r="P1" s="8"/>
      <c r="Q1" s="8"/>
      <c r="R1" s="8"/>
      <c r="S1" s="515"/>
      <c r="T1" s="8"/>
      <c r="U1" s="516"/>
      <c r="V1" s="516"/>
      <c r="W1" s="8"/>
      <c r="X1" s="8"/>
      <c r="Y1" s="8"/>
      <c r="Z1" s="8"/>
      <c r="AA1" s="8"/>
      <c r="AB1" s="8"/>
      <c r="AC1" s="8"/>
      <c r="AD1" s="8"/>
      <c r="AE1" s="8"/>
      <c r="AF1" s="8"/>
      <c r="AG1" s="8"/>
      <c r="AH1" s="8"/>
      <c r="AI1" s="8"/>
      <c r="AJ1" s="8"/>
      <c r="AK1" s="8"/>
      <c r="AL1" s="8"/>
      <c r="AM1" s="8"/>
      <c r="AN1" s="8"/>
      <c r="AO1" s="8"/>
      <c r="AP1" s="8"/>
      <c r="AQ1" s="8"/>
      <c r="AR1" s="11"/>
    </row>
    <row r="2" ht="15.5" customHeight="1">
      <c r="A2" s="395">
        <v>1</v>
      </c>
      <c r="B2" t="s" s="619">
        <v>506</v>
      </c>
      <c r="C2" t="s" s="620">
        <v>592</v>
      </c>
      <c r="D2" t="s" s="620">
        <v>593</v>
      </c>
      <c r="E2" s="621"/>
      <c r="F2" s="621"/>
      <c r="G2" s="621"/>
      <c r="H2" s="621"/>
      <c r="I2" s="621"/>
      <c r="J2" s="621"/>
      <c r="K2" s="621"/>
      <c r="L2" s="621"/>
      <c r="M2" s="621"/>
      <c r="N2" s="621"/>
      <c r="O2" s="621"/>
      <c r="P2" s="621"/>
      <c r="Q2" s="621"/>
      <c r="R2" s="621"/>
      <c r="S2" s="621"/>
      <c r="T2" s="621"/>
      <c r="U2" s="621"/>
      <c r="V2" s="621"/>
      <c r="W2" s="399"/>
      <c r="X2" s="621"/>
      <c r="Y2" s="621"/>
      <c r="Z2" s="621"/>
      <c r="AA2" s="399"/>
      <c r="AB2" s="621"/>
      <c r="AC2" s="621"/>
      <c r="AD2" s="621"/>
      <c r="AE2" s="621"/>
      <c r="AF2" s="621"/>
      <c r="AG2" s="399"/>
      <c r="AH2" s="622"/>
      <c r="AI2" s="399"/>
      <c r="AJ2" s="621"/>
      <c r="AK2" s="399"/>
      <c r="AL2" s="621"/>
      <c r="AM2" s="399"/>
      <c r="AN2" s="621"/>
      <c r="AO2" s="621"/>
      <c r="AP2" s="621"/>
      <c r="AQ2" s="623"/>
      <c r="AR2" s="578"/>
    </row>
    <row r="3" ht="16" customHeight="1">
      <c r="A3" s="12"/>
      <c r="B3" s="624"/>
      <c r="C3" t="s" s="625">
        <v>513</v>
      </c>
      <c r="D3" s="626"/>
      <c r="E3" s="626"/>
      <c r="F3" s="626"/>
      <c r="G3" s="626"/>
      <c r="H3" s="626"/>
      <c r="I3" s="626"/>
      <c r="J3" s="626"/>
      <c r="K3" s="626"/>
      <c r="L3" s="626"/>
      <c r="M3" s="626"/>
      <c r="N3" s="626"/>
      <c r="O3" s="626"/>
      <c r="P3" s="626"/>
      <c r="Q3" s="626"/>
      <c r="R3" s="626"/>
      <c r="S3" s="626"/>
      <c r="T3" s="626"/>
      <c r="U3" s="626"/>
      <c r="V3" s="627"/>
      <c r="W3" s="407"/>
      <c r="X3" t="s" s="625">
        <v>514</v>
      </c>
      <c r="Y3" s="626"/>
      <c r="Z3" s="627"/>
      <c r="AA3" s="407"/>
      <c r="AB3" t="s" s="625">
        <v>515</v>
      </c>
      <c r="AC3" s="626"/>
      <c r="AD3" s="626"/>
      <c r="AE3" s="626"/>
      <c r="AF3" s="627"/>
      <c r="AG3" s="410"/>
      <c r="AH3" s="628"/>
      <c r="AI3" s="410"/>
      <c r="AJ3" s="629"/>
      <c r="AK3" s="410"/>
      <c r="AL3" s="629"/>
      <c r="AM3" s="410"/>
      <c r="AN3" s="629"/>
      <c r="AO3" s="629"/>
      <c r="AP3" s="629"/>
      <c r="AQ3" s="630"/>
      <c r="AR3" s="578"/>
    </row>
    <row r="4" ht="60.5" customHeight="1">
      <c r="A4" s="12"/>
      <c r="B4" t="s" s="631">
        <v>517</v>
      </c>
      <c r="C4" t="s" s="632">
        <v>518</v>
      </c>
      <c r="D4" t="s" s="632">
        <v>519</v>
      </c>
      <c r="E4" t="s" s="632">
        <v>520</v>
      </c>
      <c r="F4" t="s" s="633">
        <v>521</v>
      </c>
      <c r="G4" t="s" s="633">
        <v>522</v>
      </c>
      <c r="H4" t="s" s="633">
        <v>524</v>
      </c>
      <c r="I4" t="s" s="633">
        <v>525</v>
      </c>
      <c r="J4" t="s" s="633">
        <v>553</v>
      </c>
      <c r="K4" t="s" s="633">
        <v>526</v>
      </c>
      <c r="L4" t="s" s="633">
        <v>527</v>
      </c>
      <c r="M4" t="s" s="633">
        <v>528</v>
      </c>
      <c r="N4" t="s" s="633">
        <v>608</v>
      </c>
      <c r="O4" t="s" s="633">
        <v>609</v>
      </c>
      <c r="P4" t="s" s="633">
        <v>604</v>
      </c>
      <c r="Q4" t="s" s="633">
        <v>610</v>
      </c>
      <c r="R4" t="s" s="633">
        <v>529</v>
      </c>
      <c r="S4" t="s" s="633">
        <v>530</v>
      </c>
      <c r="T4" t="s" s="633">
        <v>572</v>
      </c>
      <c r="U4" t="s" s="633">
        <v>531</v>
      </c>
      <c r="V4" t="s" s="633">
        <v>532</v>
      </c>
      <c r="W4" s="556"/>
      <c r="X4" t="s" s="633">
        <v>533</v>
      </c>
      <c r="Y4" t="s" s="633">
        <v>534</v>
      </c>
      <c r="Z4" t="s" s="633">
        <v>535</v>
      </c>
      <c r="AA4" s="556"/>
      <c r="AB4" t="s" s="633">
        <v>536</v>
      </c>
      <c r="AC4" t="s" s="633">
        <v>537</v>
      </c>
      <c r="AD4" t="s" s="633">
        <v>538</v>
      </c>
      <c r="AE4" t="s" s="633">
        <v>575</v>
      </c>
      <c r="AF4" t="s" s="633">
        <v>539</v>
      </c>
      <c r="AG4" s="557"/>
      <c r="AH4" t="s" s="633">
        <v>576</v>
      </c>
      <c r="AI4" s="557"/>
      <c r="AJ4" t="s" s="633">
        <v>577</v>
      </c>
      <c r="AK4" s="557"/>
      <c r="AL4" t="s" s="632">
        <v>578</v>
      </c>
      <c r="AM4" s="557"/>
      <c r="AN4" s="634"/>
      <c r="AO4" s="634"/>
      <c r="AP4" s="634"/>
      <c r="AQ4" s="635"/>
      <c r="AR4" s="578"/>
    </row>
    <row r="5" ht="16.5" customHeight="1">
      <c r="A5" s="12"/>
      <c r="B5" s="636">
        <v>1</v>
      </c>
      <c r="C5" s="637" cm="1">
        <f t="array" ref="C5">IF(B5&gt;0,IF(VLOOKUP(C2,'Boats Data Sheet 2026'!$C$3:$J$57,8,0)="N/A",0,VLOOKUP(C2,'Boats Data Sheet 2026'!$C$3:$J$57,8,0)),"N/A")</f>
        <v>7500000</v>
      </c>
      <c r="D5" s="638" cm="1">
        <f t="array" ref="D5">IF(B5&gt;7,2,IF(B5=0,"N/A",1))</f>
        <v>1</v>
      </c>
      <c r="E5" s="637" cm="1">
        <f t="array" ref="E5">_xlfn.IFERROR(SUM('Direct Costs 2026'!$C$4:$C$6)*D5,"N/A")</f>
        <v>975500</v>
      </c>
      <c r="F5" s="639" cm="1">
        <f t="array" ref="F5">_xlfn.IFERROR('Direct Costs 2026'!$C$43*B5,"N/A")</f>
        <v>6000</v>
      </c>
      <c r="G5" s="639" cm="1">
        <f t="array" ref="G5">IF(B5&gt;0,'Direct Costs 2026'!$C$25,"N/A")</f>
        <v>90000</v>
      </c>
      <c r="H5" s="639" cm="1">
        <f t="array" ref="H5">IF(B5&gt;0,'Direct Costs 2026'!$C$19+'Direct Costs 2026'!$C$18*B5,"N/A")</f>
        <v>110000</v>
      </c>
      <c r="I5" s="639" cm="1">
        <f t="array" ref="I5">IF(B5&gt;0,SUM('Direct Costs 2026'!$C$20:$C$21),"N/A")</f>
        <v>98333.3333333333</v>
      </c>
      <c r="J5" s="639" cm="1">
        <f t="array" ref="J5">IF(B5&gt;0,'Direct Costs 2026'!$C$14,"N/A")</f>
        <v>60000</v>
      </c>
      <c r="K5" s="639" cm="1">
        <f t="array" ref="K5">IF(B5&gt;0,'Direct Costs 2026'!$C$26,"N/A")</f>
        <v>20000</v>
      </c>
      <c r="L5" s="639" cm="1">
        <f t="array" ref="L5">IF(B5&gt;0,SUM('Direct Costs 2026'!$C$23:$C$24),"N/A")</f>
        <v>160000</v>
      </c>
      <c r="M5" s="639" cm="1">
        <f t="array" ref="M5">IF(B5&gt;0,'Direct Costs 2026'!$C$49*B5,"N/A")</f>
        <v>200000</v>
      </c>
      <c r="N5" s="639" cm="1">
        <f t="array" ref="N5">IF($B5&gt;0,'Direct Costs 2026'!$C$29,"N/A")</f>
        <v>1500000</v>
      </c>
      <c r="O5" s="639" cm="1">
        <f t="array" ref="O5">IF($B5&gt;0,'Direct Costs 2026'!$C$31/3,"N/A")</f>
        <v>290000</v>
      </c>
      <c r="P5" s="639" cm="1">
        <f t="array" ref="P5">IF(B5&gt;0,'Direct Costs 2026'!$C$59*B5,"N/A")</f>
        <v>41000</v>
      </c>
      <c r="Q5" s="639" cm="1">
        <f t="array" ref="Q5">IF($B5&gt;0,'Direct Costs 2026'!$C$34,"N/A")</f>
        <v>550000</v>
      </c>
      <c r="R5" t="str" s="640" cm="1">
        <f t="array" ref="R5">IF(B5&gt;0,_xlfn.IFERROR(VLOOKUP(C2,'Boats Data Sheet 2026'!$C$3:$I$57,7,0)*'Direct Costs 2026'!$C$36,"N/A"),"N/A")</f>
        <v>N/A</v>
      </c>
      <c r="S5" t="str" s="640" cm="1">
        <f t="array" ref="S5">IF(B5&gt;0,IF(OR(VLOOKUP(C2,'Boats Data Sheet 2026'!$C$3:$F$57,4,0)="Own",VLOOKUP(C2,'Boats Data Sheet 2026'!$C$3:$F$57,4,0)="Management"),('Direct Costs 2026'!$C$37+'Direct Costs 2026'!$C$39),"N/A"),"N/A")</f>
        <v>N/A</v>
      </c>
      <c r="T5" s="639" cm="1">
        <f t="array" ref="T5">_xlfn.IFERROR(IF(B5&gt;5,IF(B5&gt;11,IF(B5&gt;15,4,3),2),IF(B5=0,"N/A",1))*SUM('Direct Costs 2026'!$C$67:$C$68),"N/A")</f>
        <v>489600</v>
      </c>
      <c r="U5" s="639" cm="1">
        <f t="array" ref="U5">_xlfn.IFERROR('Direct Costs 2026'!$C$27*C5,"N/A")</f>
        <v>150000</v>
      </c>
      <c r="V5" s="639" cm="1">
        <f t="array" ref="V5">_xlfn.IFERROR(C5+SUM(E5:U5),"N/A")</f>
        <v>12240433.3333333</v>
      </c>
      <c r="W5" s="424"/>
      <c r="X5" s="639" cm="1">
        <f t="array" ref="X5">IF(B5&gt;0,'Allocation OH and Target 2026'!$E$31,"N/A")</f>
        <v>3100447.15769812</v>
      </c>
      <c r="Y5" s="639" cm="1">
        <f t="array" ref="Y5">IF(B5&gt;0,VLOOKUP(C2,'Allocation OH and Target 2026'!$C$5:$T$23,17,0),"N/A")</f>
        <v>0</v>
      </c>
      <c r="Z5" s="639" cm="1">
        <f t="array" ref="Z5">_xlfn.IFERROR((X5+Y5),"N/A")</f>
        <v>3100447.15769812</v>
      </c>
      <c r="AA5" s="424"/>
      <c r="AB5" s="639" cm="1">
        <f t="array" ref="AB5">_xlfn.IFERROR(Z5+V5,"N/A")</f>
        <v>15340880.4910314</v>
      </c>
      <c r="AC5" s="639" cm="1">
        <f t="array" ref="AC5">_xlfn.IFERROR(AB5*0.5%,"N/A")</f>
        <v>76704.402455157</v>
      </c>
      <c r="AD5" s="639" cm="1">
        <f t="array" ref="AD5">_xlfn.IFERROR(AB5*25%,"N/A")</f>
        <v>3835220.12275785</v>
      </c>
      <c r="AE5" s="641" cm="1">
        <f t="array" ref="AE5">IF(B5&gt;0,SUM(AB5:AD5),"N/A")</f>
        <v>19252805.0162444</v>
      </c>
      <c r="AF5" s="639" cm="1">
        <f t="array" ref="AF5">_xlfn.IFERROR(AE5/B5,"N/A")</f>
        <v>19252805.0162444</v>
      </c>
      <c r="AG5" s="424"/>
      <c r="AH5" t="s" s="642">
        <v>14</v>
      </c>
      <c r="AI5" s="424" cm="1">
        <f t="array" ref="AI5">IF(AH5="N/A",0,1)</f>
        <v>0</v>
      </c>
      <c r="AJ5" t="s" s="643">
        <v>14</v>
      </c>
      <c r="AK5" s="424" cm="1">
        <f t="array" ref="AK5">IF(AJ5="N/A",0,1)</f>
        <v>0</v>
      </c>
      <c r="AL5" t="str" s="644" cm="1">
        <f t="array" ref="AL5">IF(SUM(1250000+700000)*B5&lt;SUM(AB5:AC5),"NO GO","GO")</f>
        <v>NO GO</v>
      </c>
      <c r="AM5" s="424"/>
      <c r="AN5" s="639"/>
      <c r="AO5" s="639"/>
      <c r="AP5" s="639"/>
      <c r="AQ5" s="645"/>
      <c r="AR5" s="601" cm="1">
        <f t="array" ref="AR5">B5</f>
        <v>1</v>
      </c>
    </row>
    <row r="6" ht="16" customHeight="1">
      <c r="A6" s="12"/>
      <c r="B6" s="646" cm="1">
        <f t="array" ref="B6">IF(B5=0,0,IF(B5&lt;VLOOKUP(C2,'Boats Data Sheet 2026'!$C$3:$H$57,6,0),B5+1,0))</f>
        <v>2</v>
      </c>
      <c r="C6" s="639" cm="1">
        <f t="array" ref="C6">IF(B6&gt;0,IF(VLOOKUP(C2,'Boats Data Sheet 2026'!$C$3:$J$57,8,0)="N/A",0,VLOOKUP(C2,'Boats Data Sheet 2026'!$C$3:$J$57,8,0)),"N/A")</f>
        <v>7500000</v>
      </c>
      <c r="D6" s="647" cm="1">
        <f t="array" ref="D6">IF(B6&gt;7,2,IF(B6=0,"N/A",1))</f>
        <v>1</v>
      </c>
      <c r="E6" s="639" cm="1">
        <f t="array" ref="E6">_xlfn.IFERROR(SUM('Direct Costs 2026'!$C$4:$C$6)*D6,"N/A")</f>
        <v>975500</v>
      </c>
      <c r="F6" s="639" cm="1">
        <f t="array" ref="F6">_xlfn.IFERROR('Direct Costs 2026'!$C$43*B6,"N/A")</f>
        <v>12000</v>
      </c>
      <c r="G6" s="639" cm="1">
        <f t="array" ref="G6">IF(B6&gt;0,'Direct Costs 2026'!$C$25,"N/A")</f>
        <v>90000</v>
      </c>
      <c r="H6" s="639" cm="1">
        <f t="array" ref="H6">IF(B6&gt;0,'Direct Costs 2026'!$C$19+'Direct Costs 2026'!$C$18*B6,"N/A")</f>
        <v>145000</v>
      </c>
      <c r="I6" s="639" cm="1">
        <f t="array" ref="I6">IF(B6&gt;0,SUM('Direct Costs 2026'!$C$20:$C$21),"N/A")</f>
        <v>98333.3333333333</v>
      </c>
      <c r="J6" s="639" cm="1">
        <f t="array" ref="J6">IF(B6&gt;0,'Direct Costs 2026'!$C$14,"N/A")</f>
        <v>60000</v>
      </c>
      <c r="K6" s="639" cm="1">
        <f t="array" ref="K6">IF(B6&gt;0,'Direct Costs 2026'!$C$26,"N/A")</f>
        <v>20000</v>
      </c>
      <c r="L6" s="639" cm="1">
        <f t="array" ref="L6">IF(B6&gt;0,SUM('Direct Costs 2026'!$C$23:$C$24),"N/A")</f>
        <v>160000</v>
      </c>
      <c r="M6" s="639" cm="1">
        <f t="array" ref="M6">IF(B6&gt;0,'Direct Costs 2026'!$C$49*B6,"N/A")</f>
        <v>400000</v>
      </c>
      <c r="N6" s="639" cm="1">
        <f t="array" ref="N6">IF($B6&gt;0,'Direct Costs 2026'!$C$29,"N/A")</f>
        <v>1500000</v>
      </c>
      <c r="O6" s="639" cm="1">
        <f t="array" ref="O6">IF($B6&gt;0,'Direct Costs 2026'!$C$31/3,"N/A")</f>
        <v>290000</v>
      </c>
      <c r="P6" s="639" cm="1">
        <f t="array" ref="P6">IF(B6&gt;0,'Direct Costs 2026'!$C$59*B6,"N/A")</f>
        <v>82000</v>
      </c>
      <c r="Q6" s="639" cm="1">
        <f t="array" ref="Q6">IF($B6&gt;0,'Direct Costs 2026'!$C$34,"N/A")</f>
        <v>550000</v>
      </c>
      <c r="R6" t="str" s="640" cm="1">
        <f t="array" ref="R6">IF(B6&gt;0,_xlfn.IFERROR(VLOOKUP(C2,'Boats Data Sheet 2026'!$C$3:$I$57,7,0)*'Direct Costs 2026'!$C$36,"N/A"),"N/A")</f>
        <v>N/A</v>
      </c>
      <c r="S6" t="str" s="640" cm="1">
        <f t="array" ref="S6">IF(B6&gt;0,IF(OR(VLOOKUP(C2,'Boats Data Sheet 2026'!$C$3:$F$57,4,0)="Own",VLOOKUP(C2,'Boats Data Sheet 2026'!$C$3:$F$57,4,0)="Management"),('Direct Costs 2026'!$C$37+'Direct Costs 2026'!$C$39),"N/A"),"N/A")</f>
        <v>N/A</v>
      </c>
      <c r="T6" s="639" cm="1">
        <f t="array" ref="T6">_xlfn.IFERROR(IF(B6&gt;5,IF(B6&gt;11,IF(B6&gt;15,4,3),2),IF(B6=0,"N/A",1))*SUM('Direct Costs 2026'!$C$67:$C$68),"N/A")</f>
        <v>489600</v>
      </c>
      <c r="U6" s="639" cm="1">
        <f t="array" ref="U6">_xlfn.IFERROR('Direct Costs 2026'!$C$27*C6,"N/A")</f>
        <v>150000</v>
      </c>
      <c r="V6" s="639" cm="1">
        <f t="array" ref="V6">_xlfn.IFERROR(C6+SUM(E6:U6),"N/A")</f>
        <v>12522433.3333333</v>
      </c>
      <c r="W6" s="424"/>
      <c r="X6" s="639" cm="1">
        <f t="array" ref="X6">IF(B6&gt;0,'Allocation OH and Target 2026'!$E$31,"N/A")</f>
        <v>3100447.15769812</v>
      </c>
      <c r="Y6" s="639" cm="1">
        <f t="array" ref="Y6">IF(B6&gt;0,VLOOKUP(C2,'Allocation OH and Target 2026'!$C$5:$T$23,17,0),"N/A")</f>
        <v>0</v>
      </c>
      <c r="Z6" s="639" cm="1">
        <f t="array" ref="Z6">_xlfn.IFERROR((X6+Y6),"N/A")</f>
        <v>3100447.15769812</v>
      </c>
      <c r="AA6" s="424"/>
      <c r="AB6" s="639" cm="1">
        <f t="array" ref="AB6">_xlfn.IFERROR(Z6+V6,"N/A")</f>
        <v>15622880.4910314</v>
      </c>
      <c r="AC6" s="639" cm="1">
        <f t="array" ref="AC6">_xlfn.IFERROR(AB6*0.5%,"N/A")</f>
        <v>78114.402455157</v>
      </c>
      <c r="AD6" s="639" cm="1">
        <f t="array" ref="AD6">_xlfn.IFERROR(AB6*25%,"N/A")</f>
        <v>3905720.12275785</v>
      </c>
      <c r="AE6" s="641" cm="1">
        <f t="array" ref="AE6">IF(B6&gt;0,SUM(AB6:AD6),"N/A")</f>
        <v>19606715.0162444</v>
      </c>
      <c r="AF6" s="639" cm="1">
        <f t="array" ref="AF6">_xlfn.IFERROR(AE6/B6,"N/A")</f>
        <v>9803357.5081222</v>
      </c>
      <c r="AG6" s="424"/>
      <c r="AH6" t="str" s="648" cm="1">
        <f t="array" ref="AH6">IF(B6/VLOOKUP(C2,'Boats Data Sheet 2026'!$C$3:$H$57,6,0)&gt;VLOOKUP(C2,'Allocation OH and Target 2026'!$C$5:$J$23,8,0),IF(SUM(AI4:AI5)=0,AF6,"N/A"),"N/A")</f>
        <v>N/A</v>
      </c>
      <c r="AI6" s="424" cm="1">
        <f t="array" ref="AI6">IF(AH6="N/A",0,1)</f>
        <v>0</v>
      </c>
      <c r="AJ6" t="str" s="640" cm="1">
        <f t="array" ref="AJ6">IF(B6/VLOOKUP(C2,'Boats Data Sheet 2026'!$C$3:$H$57,6,0)&gt;VLOOKUP(C2,'Allocation OH and Target 2026'!$C$5:$J$23,8,0),IF(SUM(AI4:AI5)=0,V6/B6,"N/A"),"N/A")</f>
        <v>N/A</v>
      </c>
      <c r="AK6" s="424" cm="1">
        <f t="array" ref="AK6">IF(AJ6="N/A",0,1)</f>
        <v>0</v>
      </c>
      <c r="AL6" t="str" s="628" cm="1">
        <f t="array" ref="AL6">IF(SUM(1250000+700000)*B6&lt;SUM(AB6:AC6),"NO GO","GO")</f>
        <v>NO GO</v>
      </c>
      <c r="AM6" s="424"/>
      <c r="AN6" s="639"/>
      <c r="AO6" s="639"/>
      <c r="AP6" s="639"/>
      <c r="AQ6" s="645"/>
      <c r="AR6" s="601" cm="1">
        <f t="array" ref="AR6">B6</f>
        <v>2</v>
      </c>
    </row>
    <row r="7" ht="16" customHeight="1">
      <c r="A7" s="12"/>
      <c r="B7" s="646">
        <v>0</v>
      </c>
      <c r="C7" t="str" s="640" cm="1">
        <f t="array" ref="C7">IF(B7&gt;0,IF(VLOOKUP(C2,'Boats Data Sheet 2026'!$C$3:$J$57,8,0)="N/A",0,VLOOKUP(C2,'Boats Data Sheet 2026'!$C$3:$J$57,8,0)),"N/A")</f>
        <v>N/A</v>
      </c>
      <c r="D7" t="str" s="649" cm="1">
        <f t="array" ref="D7">IF(B7&gt;7,2,IF(B7=0,"N/A",1))</f>
        <v>N/A</v>
      </c>
      <c r="E7" t="str" s="640" cm="1">
        <f t="array" ref="E7">_xlfn.IFERROR(SUM('Direct Costs 2026'!$C$4:$C$6)*D7,"N/A")</f>
        <v>N/A</v>
      </c>
      <c r="F7" s="639" cm="1">
        <f t="array" ref="F7">_xlfn.IFERROR('Direct Costs 2026'!$C$43*B7,"N/A")</f>
        <v>0</v>
      </c>
      <c r="G7" t="str" s="640" cm="1">
        <f t="array" ref="G7">IF(B7&gt;0,'Direct Costs 2026'!$C$25,"N/A")</f>
        <v>N/A</v>
      </c>
      <c r="H7" t="str" s="640" cm="1">
        <f t="array" ref="H7">IF(B7&gt;0,'Direct Costs 2026'!$C$19+'Direct Costs 2026'!$C$18*B7,"N/A")</f>
        <v>N/A</v>
      </c>
      <c r="I7" t="str" s="640" cm="1">
        <f t="array" ref="I7">IF(B7&gt;0,SUM('Direct Costs 2026'!$C$20:$C$21),"N/A")</f>
        <v>N/A</v>
      </c>
      <c r="J7" t="str" s="640" cm="1">
        <f t="array" ref="J7">IF(B7&gt;0,'Direct Costs 2026'!$C$14,"N/A")</f>
        <v>N/A</v>
      </c>
      <c r="K7" t="str" s="640" cm="1">
        <f t="array" ref="K7">IF(B7&gt;0,'Direct Costs 2026'!$C$26,"N/A")</f>
        <v>N/A</v>
      </c>
      <c r="L7" t="str" s="640" cm="1">
        <f t="array" ref="L7">IF(B7&gt;0,SUM('Direct Costs 2026'!$C$23:$C$24),"N/A")</f>
        <v>N/A</v>
      </c>
      <c r="M7" t="str" s="640" cm="1">
        <f t="array" ref="M7">IF(B7&gt;0,'Direct Costs 2026'!$C$45*B7,"N/A")</f>
        <v>N/A</v>
      </c>
      <c r="N7" t="str" s="640" cm="1">
        <f t="array" ref="N7">IF($B7&gt;0,'Direct Costs 2026'!$C$29,"N/A")</f>
        <v>N/A</v>
      </c>
      <c r="O7" t="str" s="640" cm="1">
        <f t="array" ref="O7">IF($B7&gt;0,'Direct Costs 2026'!$C$31,"N/A")</f>
        <v>N/A</v>
      </c>
      <c r="P7" t="str" s="640" cm="1">
        <f t="array" ref="P7">IF(B7&gt;0,'Direct Costs 2026'!$C$59*B7,"N/A")</f>
        <v>N/A</v>
      </c>
      <c r="Q7" t="str" s="640" cm="1">
        <f t="array" ref="Q7">IF(B7&gt;0,_xlfn.IFERROR(VLOOKUP(C2,'Boats Data Sheet 2026'!$C$3:$I$57,7,0)*'Direct Costs 2026'!$C$36,"N/A"),"N/A")</f>
        <v>N/A</v>
      </c>
      <c r="R7" s="639"/>
      <c r="S7" t="str" s="640" cm="1">
        <f t="array" ref="S7">IF(B7&gt;0,IF(OR(VLOOKUP(C2,'Boats Data Sheet 2026'!$C$3:$F$57,4,0)="Own",VLOOKUP(C2,'Boats Data Sheet 2026'!$C$3:$F$57,4,0)="Management"),('Direct Costs 2026'!$C$37+'Direct Costs 2026'!$C$39),"N/A"),"N/A")</f>
        <v>N/A</v>
      </c>
      <c r="T7" t="str" s="640" cm="1">
        <f t="array" ref="T7">_xlfn.IFERROR(IF(B7&gt;5,IF(B7&gt;11,IF(B7&gt;15,4,3),2),IF(B7=0,"N/A",1))*SUM('Direct Costs 2026'!$C$67:$C$68),"N/A")</f>
        <v>N/A</v>
      </c>
      <c r="U7" t="str" s="640" cm="1">
        <f t="array" ref="U7">_xlfn.IFERROR('Direct Costs 2026'!$C$27*C7,"N/A")</f>
        <v>N/A</v>
      </c>
      <c r="V7" t="str" s="640" cm="1">
        <f t="array" ref="V7">_xlfn.IFERROR(C7+SUM(E7:U7),"N/A")</f>
        <v>N/A</v>
      </c>
      <c r="W7" s="424"/>
      <c r="X7" t="str" s="640" cm="1">
        <f t="array" ref="X7">IF(B7&gt;0,'Allocation OH and Target 2026'!$E$31,"N/A")</f>
        <v>N/A</v>
      </c>
      <c r="Y7" t="str" s="640" cm="1">
        <f t="array" ref="Y7">IF(B7&gt;0,VLOOKUP(C2,'Allocation OH and Target 2026'!$C$5:$T$23,16,0),"N/A")</f>
        <v>N/A</v>
      </c>
      <c r="Z7" t="str" s="640" cm="1">
        <f t="array" ref="Z7">_xlfn.IFERROR((X7+Y7),"N/A")</f>
        <v>N/A</v>
      </c>
      <c r="AA7" s="424"/>
      <c r="AB7" t="str" s="640" cm="1">
        <f t="array" ref="AB7">_xlfn.IFERROR(Z7+V7,"N/A")</f>
        <v>N/A</v>
      </c>
      <c r="AC7" t="str" s="640" cm="1">
        <f t="array" ref="AC7">_xlfn.IFERROR(AB7*0.5%,"N/A")</f>
        <v>N/A</v>
      </c>
      <c r="AD7" t="str" s="640" cm="1">
        <f t="array" ref="AD7">_xlfn.IFERROR(AB7*25%,"N/A")</f>
        <v>N/A</v>
      </c>
      <c r="AE7" t="str" s="648" cm="1">
        <f t="array" ref="AE7">IF(B7&gt;0,SUM(AB7:AD7),"N/A")</f>
        <v>N/A</v>
      </c>
      <c r="AF7" t="str" s="640" cm="1">
        <f t="array" ref="AF7">_xlfn.IFERROR(AE7/B7,"N/A")</f>
        <v>N/A</v>
      </c>
      <c r="AG7" s="424"/>
      <c r="AH7" t="str" s="648" cm="1">
        <f t="array" ref="AH7">IF(B7/VLOOKUP(C2,'Boats Data Sheet 2026'!$C$3:$H$57,6,0)&gt;VLOOKUP(C2,'Allocation OH and Target 2026'!$C$5:$J$23,8,0),IF(SUM(AI4:AI6)=0,AF7,"N/A"),"N/A")</f>
        <v>N/A</v>
      </c>
      <c r="AI7" s="424" cm="1">
        <f t="array" ref="AI7">IF(AH7="N/A",0,1)</f>
        <v>0</v>
      </c>
      <c r="AJ7" t="str" s="640" cm="1">
        <f t="array" ref="AJ7">IF(B7/VLOOKUP(C2,'Boats Data Sheet 2026'!$C$3:$H$57,6,0)&gt;VLOOKUP(C2,'Allocation OH and Target 2026'!$C$5:$J$23,8,0),IF(SUM(AI4:AI6)=0,V7/B7,"N/A"),"N/A")</f>
        <v>N/A</v>
      </c>
      <c r="AK7" s="424" cm="1">
        <f t="array" ref="AK7">IF(AJ7="N/A",0,1)</f>
        <v>0</v>
      </c>
      <c r="AL7" t="str" s="628" cm="1">
        <f t="array" ref="AL7">IF(SUM(1250000+700000)*B7&lt;SUM(AB7:AC7),"NO GO","GO")</f>
        <v>GO</v>
      </c>
      <c r="AM7" s="424"/>
      <c r="AN7" s="639"/>
      <c r="AO7" s="639"/>
      <c r="AP7" s="639"/>
      <c r="AQ7" s="645"/>
      <c r="AR7" s="601" cm="1">
        <f t="array" ref="AR7">B7</f>
        <v>0</v>
      </c>
    </row>
    <row r="8" ht="9" customHeight="1" hidden="1">
      <c r="A8" s="12"/>
      <c r="B8" s="646">
        <v>0</v>
      </c>
      <c r="C8" t="str" s="640" cm="1">
        <f t="array" ref="C8">IF(B8&gt;0,IF(VLOOKUP(C2,'Boats Data Sheet 2026'!$C$3:$J$57,8,0)="N/A",0,VLOOKUP(C2,'Boats Data Sheet 2026'!$C$3:$J$57,8,0)),"N/A")</f>
        <v>N/A</v>
      </c>
      <c r="D8" t="str" s="649" cm="1">
        <f t="array" ref="D8">IF(B8&gt;7,2,IF(B8=0,"N/A",1))</f>
        <v>N/A</v>
      </c>
      <c r="E8" t="str" s="640" cm="1">
        <f t="array" ref="E8">_xlfn.IFERROR(SUM('Direct Costs 2026'!$C$4:$C$6)*D8,"N/A")</f>
        <v>N/A</v>
      </c>
      <c r="F8" s="639" cm="1">
        <f t="array" ref="F8">_xlfn.IFERROR('Direct Costs 2026'!$C$43*B8,"N/A")</f>
        <v>0</v>
      </c>
      <c r="G8" t="str" s="640" cm="1">
        <f t="array" ref="G8">IF(B8&gt;0,'Direct Costs 2026'!$C$25,"N/A")</f>
        <v>N/A</v>
      </c>
      <c r="H8" t="str" s="640" cm="1">
        <f t="array" ref="H8">IF(B8&gt;0,'Direct Costs 2026'!$C$19+'Direct Costs 2026'!$C$18*B8,"N/A")</f>
        <v>N/A</v>
      </c>
      <c r="I8" t="str" s="640" cm="1">
        <f t="array" ref="I8">IF(B8&gt;0,SUM('Direct Costs 2026'!$C$20:$C$21),"N/A")</f>
        <v>N/A</v>
      </c>
      <c r="J8" t="str" s="640" cm="1">
        <f t="array" ref="J8">IF(B8&gt;0,'Direct Costs 2026'!$C$14,"N/A")</f>
        <v>N/A</v>
      </c>
      <c r="K8" t="str" s="640" cm="1">
        <f t="array" ref="K8">IF(B8&gt;0,'Direct Costs 2026'!$C$26,"N/A")</f>
        <v>N/A</v>
      </c>
      <c r="L8" t="str" s="640" cm="1">
        <f t="array" ref="L8">IF(B8&gt;0,SUM('Direct Costs 2026'!$C$23:$C$24),"N/A")</f>
        <v>N/A</v>
      </c>
      <c r="M8" t="str" s="640" cm="1">
        <f t="array" ref="M8">IF(B8&gt;0,'Direct Costs 2026'!$C$45*B8,"N/A")</f>
        <v>N/A</v>
      </c>
      <c r="N8" t="str" s="640" cm="1">
        <f t="array" ref="N8">IF($B8&gt;0,'Direct Costs 2026'!$C$29,"N/A")</f>
        <v>N/A</v>
      </c>
      <c r="O8" t="str" s="640" cm="1">
        <f t="array" ref="O8">IF($B8&gt;0,'Direct Costs 2026'!$C$31,"N/A")</f>
        <v>N/A</v>
      </c>
      <c r="P8" t="str" s="640" cm="1">
        <f t="array" ref="P8">IF(B8&gt;0,'Direct Costs 2026'!$C$59*B8,"N/A")</f>
        <v>N/A</v>
      </c>
      <c r="Q8" t="str" s="640" cm="1">
        <f t="array" ref="Q8">IF(B8&gt;0,_xlfn.IFERROR(VLOOKUP(C2,'Boats Data Sheet 2026'!$C$3:$I$57,7,0)*'Direct Costs 2026'!$C$36,"N/A"),"N/A")</f>
        <v>N/A</v>
      </c>
      <c r="R8" s="639"/>
      <c r="S8" t="str" s="640" cm="1">
        <f t="array" ref="S8">IF(B8&gt;0,IF(OR(VLOOKUP(C2,'Boats Data Sheet 2026'!$C$3:$F$57,4,0)="Own",VLOOKUP(C2,'Boats Data Sheet 2026'!$C$3:$F$57,4,0)="Management"),('Direct Costs 2026'!$C$37+'Direct Costs 2026'!$C$39),"N/A"),"N/A")</f>
        <v>N/A</v>
      </c>
      <c r="T8" t="str" s="640" cm="1">
        <f t="array" ref="T8">_xlfn.IFERROR(IF(B8&gt;5,IF(B8&gt;11,IF(B8&gt;15,4,3),2),IF(B8=0,"N/A",1))*SUM('Direct Costs 2026'!$C$67:$C$68),"N/A")</f>
        <v>N/A</v>
      </c>
      <c r="U8" t="str" s="640" cm="1">
        <f t="array" ref="U8">_xlfn.IFERROR('Direct Costs 2026'!$C$27*C8,"N/A")</f>
        <v>N/A</v>
      </c>
      <c r="V8" t="str" s="640" cm="1">
        <f t="array" ref="V8">_xlfn.IFERROR(C8+SUM(E8:U8),"N/A")</f>
        <v>N/A</v>
      </c>
      <c r="W8" s="424"/>
      <c r="X8" t="str" s="640" cm="1">
        <f t="array" ref="X8">IF(B8&gt;0,'Allocation OH and Target 2026'!$E$31,"N/A")</f>
        <v>N/A</v>
      </c>
      <c r="Y8" t="str" s="640" cm="1">
        <f t="array" ref="Y8">IF(B8&gt;0,VLOOKUP(C2,'Allocation OH and Target 2026'!$C$5:$T$23,16,0),"N/A")</f>
        <v>N/A</v>
      </c>
      <c r="Z8" t="str" s="640" cm="1">
        <f t="array" ref="Z8">_xlfn.IFERROR((X8+Y8),"N/A")</f>
        <v>N/A</v>
      </c>
      <c r="AA8" s="424"/>
      <c r="AB8" t="str" s="640" cm="1">
        <f t="array" ref="AB8">_xlfn.IFERROR(Z8+V8,"N/A")</f>
        <v>N/A</v>
      </c>
      <c r="AC8" t="str" s="640" cm="1">
        <f t="array" ref="AC8">_xlfn.IFERROR(AB8*0.5%,"N/A")</f>
        <v>N/A</v>
      </c>
      <c r="AD8" t="str" s="640" cm="1">
        <f t="array" ref="AD8">_xlfn.IFERROR(AB8*25%,"N/A")</f>
        <v>N/A</v>
      </c>
      <c r="AE8" t="str" s="648" cm="1">
        <f t="array" ref="AE8">IF(B8&gt;0,SUM(AB8:AD8),"N/A")</f>
        <v>N/A</v>
      </c>
      <c r="AF8" t="str" s="640" cm="1">
        <f t="array" ref="AF8">_xlfn.IFERROR(AE8/B8,"N/A")</f>
        <v>N/A</v>
      </c>
      <c r="AG8" s="424"/>
      <c r="AH8" t="str" s="648" cm="1">
        <f t="array" ref="AH8">IF(B8/VLOOKUP(C2,'Boats Data Sheet 2026'!$C$3:$H$57,6,0)&gt;VLOOKUP(C2,'Allocation OH and Target 2026'!$C$5:$J$23,8,0),IF(SUM(AI4:AI7)=0,AF8,"N/A"),"N/A")</f>
        <v>N/A</v>
      </c>
      <c r="AI8" s="424" cm="1">
        <f t="array" ref="AI8">IF(AH8="N/A",0,1)</f>
        <v>0</v>
      </c>
      <c r="AJ8" t="str" s="640" cm="1">
        <f t="array" ref="AJ8">IF(B8/VLOOKUP(C2,'Boats Data Sheet 2026'!$C$3:$H$57,6,0)&gt;VLOOKUP(C2,'Allocation OH and Target 2026'!$C$5:$J$23,8,0),IF(SUM(AI4:AI7)=0,V8/B8,"N/A"),"N/A")</f>
        <v>N/A</v>
      </c>
      <c r="AK8" s="424" cm="1">
        <f t="array" ref="AK8">IF(AJ8="N/A",0,1)</f>
        <v>0</v>
      </c>
      <c r="AL8" t="str" s="628" cm="1">
        <f t="array" ref="AL8">IF(SUM(1250000+700000)*B8&lt;SUM(AB8:AC8),"NO GO","GO")</f>
        <v>GO</v>
      </c>
      <c r="AM8" s="424"/>
      <c r="AN8" s="639"/>
      <c r="AO8" s="639"/>
      <c r="AP8" s="639"/>
      <c r="AQ8" s="645"/>
      <c r="AR8" s="601" cm="1">
        <f t="array" ref="AR8">B8</f>
        <v>0</v>
      </c>
    </row>
    <row r="9" ht="9" customHeight="1" hidden="1">
      <c r="A9" s="12"/>
      <c r="B9" s="646">
        <v>0</v>
      </c>
      <c r="C9" t="str" s="640" cm="1">
        <f t="array" ref="C9">IF(B9&gt;0,IF(VLOOKUP(C2,'Boats Data Sheet 2026'!$C$3:$J$57,8,0)="N/A",0,VLOOKUP(C2,'Boats Data Sheet 2026'!$C$3:$J$57,8,0)),"N/A")</f>
        <v>N/A</v>
      </c>
      <c r="D9" t="str" s="649" cm="1">
        <f t="array" ref="D9">IF(B9&gt;7,2,IF(B9=0,"N/A",1))</f>
        <v>N/A</v>
      </c>
      <c r="E9" t="str" s="640" cm="1">
        <f t="array" ref="E9">_xlfn.IFERROR(SUM('Direct Costs 2026'!$C$4:$C$6)*D9,"N/A")</f>
        <v>N/A</v>
      </c>
      <c r="F9" s="639" cm="1">
        <f t="array" ref="F9">_xlfn.IFERROR('Direct Costs 2026'!$C$43*B9,"N/A")</f>
        <v>0</v>
      </c>
      <c r="G9" t="str" s="640" cm="1">
        <f t="array" ref="G9">IF(B9&gt;0,'Direct Costs 2026'!$C$25,"N/A")</f>
        <v>N/A</v>
      </c>
      <c r="H9" t="str" s="640" cm="1">
        <f t="array" ref="H9">IF(B9&gt;0,'Direct Costs 2026'!$C$19+'Direct Costs 2026'!$C$18*B9,"N/A")</f>
        <v>N/A</v>
      </c>
      <c r="I9" t="str" s="640" cm="1">
        <f t="array" ref="I9">IF(B9&gt;0,SUM('Direct Costs 2026'!$C$20:$C$21),"N/A")</f>
        <v>N/A</v>
      </c>
      <c r="J9" t="str" s="640" cm="1">
        <f t="array" ref="J9">IF(B9&gt;0,'Direct Costs 2026'!$C$14,"N/A")</f>
        <v>N/A</v>
      </c>
      <c r="K9" t="str" s="640" cm="1">
        <f t="array" ref="K9">IF(B9&gt;0,'Direct Costs 2026'!$C$26,"N/A")</f>
        <v>N/A</v>
      </c>
      <c r="L9" t="str" s="640" cm="1">
        <f t="array" ref="L9">IF(B9&gt;0,SUM('Direct Costs 2026'!$C$23:$C$24),"N/A")</f>
        <v>N/A</v>
      </c>
      <c r="M9" t="str" s="640" cm="1">
        <f t="array" ref="M9">IF(B9&gt;0,'Direct Costs 2026'!$C$45*B9,"N/A")</f>
        <v>N/A</v>
      </c>
      <c r="N9" t="str" s="640" cm="1">
        <f t="array" ref="N9">IF($B9&gt;0,'Direct Costs 2026'!$C$29,"N/A")</f>
        <v>N/A</v>
      </c>
      <c r="O9" t="str" s="640" cm="1">
        <f t="array" ref="O9">IF($B9&gt;0,'Direct Costs 2026'!$C$31,"N/A")</f>
        <v>N/A</v>
      </c>
      <c r="P9" t="str" s="640" cm="1">
        <f t="array" ref="P9">IF(B9&gt;0,'Direct Costs 2026'!$C$59*B9,"N/A")</f>
        <v>N/A</v>
      </c>
      <c r="Q9" t="str" s="640" cm="1">
        <f t="array" ref="Q9">IF(B9&gt;0,_xlfn.IFERROR(VLOOKUP(C2,'Boats Data Sheet 2026'!$C$3:$I$57,7,0)*'Direct Costs 2026'!$C$36,"N/A"),"N/A")</f>
        <v>N/A</v>
      </c>
      <c r="R9" s="639"/>
      <c r="S9" t="str" s="640" cm="1">
        <f t="array" ref="S9">IF(B9&gt;0,IF(OR(VLOOKUP(C2,'Boats Data Sheet 2026'!$C$3:$F$57,4,0)="Own",VLOOKUP(C2,'Boats Data Sheet 2026'!$C$3:$F$57,4,0)="Management"),('Direct Costs 2026'!$C$37+'Direct Costs 2026'!$C$39),"N/A"),"N/A")</f>
        <v>N/A</v>
      </c>
      <c r="T9" t="str" s="640" cm="1">
        <f t="array" ref="T9">_xlfn.IFERROR(IF(B9&gt;5,IF(B9&gt;11,IF(B9&gt;15,4,3),2),IF(B9=0,"N/A",1))*SUM('Direct Costs 2026'!$C$67:$C$68),"N/A")</f>
        <v>N/A</v>
      </c>
      <c r="U9" t="str" s="640" cm="1">
        <f t="array" ref="U9">_xlfn.IFERROR('Direct Costs 2026'!$C$27*C9,"N/A")</f>
        <v>N/A</v>
      </c>
      <c r="V9" t="str" s="640" cm="1">
        <f t="array" ref="V9">_xlfn.IFERROR(C9+SUM(E9:U9),"N/A")</f>
        <v>N/A</v>
      </c>
      <c r="W9" s="424"/>
      <c r="X9" t="str" s="640" cm="1">
        <f t="array" ref="X9">IF(B9&gt;0,'Allocation OH and Target 2026'!$E$31,"N/A")</f>
        <v>N/A</v>
      </c>
      <c r="Y9" t="str" s="640" cm="1">
        <f t="array" ref="Y9">IF(B9&gt;0,VLOOKUP(C2,'Allocation OH and Target 2026'!$C$5:$T$23,16,0),"N/A")</f>
        <v>N/A</v>
      </c>
      <c r="Z9" t="str" s="640" cm="1">
        <f t="array" ref="Z9">_xlfn.IFERROR((X9+Y9),"N/A")</f>
        <v>N/A</v>
      </c>
      <c r="AA9" s="424"/>
      <c r="AB9" t="str" s="640" cm="1">
        <f t="array" ref="AB9">_xlfn.IFERROR(Z9+V9,"N/A")</f>
        <v>N/A</v>
      </c>
      <c r="AC9" t="str" s="640" cm="1">
        <f t="array" ref="AC9">_xlfn.IFERROR(AB9*0.5%,"N/A")</f>
        <v>N/A</v>
      </c>
      <c r="AD9" t="str" s="640" cm="1">
        <f t="array" ref="AD9">_xlfn.IFERROR(AB9*25%,"N/A")</f>
        <v>N/A</v>
      </c>
      <c r="AE9" t="str" s="648" cm="1">
        <f t="array" ref="AE9">IF(B9&gt;0,SUM(AB9:AD9),"N/A")</f>
        <v>N/A</v>
      </c>
      <c r="AF9" t="str" s="640" cm="1">
        <f t="array" ref="AF9">_xlfn.IFERROR(AE9/B9,"N/A")</f>
        <v>N/A</v>
      </c>
      <c r="AG9" s="424"/>
      <c r="AH9" t="str" s="648" cm="1">
        <f t="array" ref="AH9">IF(B9/VLOOKUP(C2,'Boats Data Sheet 2026'!$C$3:$H$57,6,0)&gt;VLOOKUP(C2,'Allocation OH and Target 2026'!$C$5:$J$23,8,0),IF(SUM(AI4:AI8)=0,AF9,"N/A"),"N/A")</f>
        <v>N/A</v>
      </c>
      <c r="AI9" s="424" cm="1">
        <f t="array" ref="AI9">IF(AH9="N/A",0,1)</f>
        <v>0</v>
      </c>
      <c r="AJ9" t="str" s="640" cm="1">
        <f t="array" ref="AJ9">IF(B9/VLOOKUP(C2,'Boats Data Sheet 2026'!$C$3:$H$57,6,0)&gt;VLOOKUP(C2,'Allocation OH and Target 2026'!$C$5:$J$23,8,0),IF(SUM(AI4:AI8)=0,V9/B9,"N/A"),"N/A")</f>
        <v>N/A</v>
      </c>
      <c r="AK9" s="424" cm="1">
        <f t="array" ref="AK9">IF(AJ9="N/A",0,1)</f>
        <v>0</v>
      </c>
      <c r="AL9" t="str" s="628" cm="1">
        <f t="array" ref="AL9">IF(SUM(1250000+700000)*B9&lt;SUM(AB9:AC9),"NO GO","GO")</f>
        <v>GO</v>
      </c>
      <c r="AM9" s="424"/>
      <c r="AN9" s="639"/>
      <c r="AO9" s="639"/>
      <c r="AP9" s="639"/>
      <c r="AQ9" s="645"/>
      <c r="AR9" s="601" cm="1">
        <f t="array" ref="AR9">B9</f>
        <v>0</v>
      </c>
    </row>
    <row r="10" ht="9" customHeight="1" hidden="1">
      <c r="A10" s="12"/>
      <c r="B10" s="646">
        <v>0</v>
      </c>
      <c r="C10" t="str" s="640" cm="1">
        <f t="array" ref="C10">IF(B10&gt;0,IF(VLOOKUP(C2,'Boats Data Sheet 2026'!$C$3:$J$57,8,0)="N/A",0,VLOOKUP(C2,'Boats Data Sheet 2026'!$C$3:$J$57,8,0)),"N/A")</f>
        <v>N/A</v>
      </c>
      <c r="D10" t="str" s="649" cm="1">
        <f t="array" ref="D10">IF(B10&gt;7,2,IF(B10=0,"N/A",1))</f>
        <v>N/A</v>
      </c>
      <c r="E10" t="str" s="640" cm="1">
        <f t="array" ref="E10">_xlfn.IFERROR(SUM('Direct Costs 2026'!$C$4:$C$6)*D10,"N/A")</f>
        <v>N/A</v>
      </c>
      <c r="F10" s="639" cm="1">
        <f t="array" ref="F10">_xlfn.IFERROR('Direct Costs 2026'!$C$43*B10,"N/A")</f>
        <v>0</v>
      </c>
      <c r="G10" t="str" s="640" cm="1">
        <f t="array" ref="G10">IF(B10&gt;0,'Direct Costs 2026'!$C$25,"N/A")</f>
        <v>N/A</v>
      </c>
      <c r="H10" t="str" s="640" cm="1">
        <f t="array" ref="H10">IF(B10&gt;0,'Direct Costs 2026'!$C$19+'Direct Costs 2026'!$C$18*B10,"N/A")</f>
        <v>N/A</v>
      </c>
      <c r="I10" t="str" s="640" cm="1">
        <f t="array" ref="I10">IF(B10&gt;0,SUM('Direct Costs 2026'!$C$20:$C$21),"N/A")</f>
        <v>N/A</v>
      </c>
      <c r="J10" t="str" s="640" cm="1">
        <f t="array" ref="J10">IF(B10&gt;0,'Direct Costs 2026'!$C$14,"N/A")</f>
        <v>N/A</v>
      </c>
      <c r="K10" t="str" s="640" cm="1">
        <f t="array" ref="K10">IF(B10&gt;0,'Direct Costs 2026'!$C$26,"N/A")</f>
        <v>N/A</v>
      </c>
      <c r="L10" t="str" s="640" cm="1">
        <f t="array" ref="L10">IF(B10&gt;0,SUM('Direct Costs 2026'!$C$23:$C$24),"N/A")</f>
        <v>N/A</v>
      </c>
      <c r="M10" t="str" s="640" cm="1">
        <f t="array" ref="M10">IF(B10&gt;0,'Direct Costs 2026'!$C$45*B10,"N/A")</f>
        <v>N/A</v>
      </c>
      <c r="N10" t="str" s="640" cm="1">
        <f t="array" ref="N10">IF($B10&gt;0,'Direct Costs 2026'!$C$29,"N/A")</f>
        <v>N/A</v>
      </c>
      <c r="O10" t="str" s="640" cm="1">
        <f t="array" ref="O10">IF($B10&gt;0,'Direct Costs 2026'!$C$31,"N/A")</f>
        <v>N/A</v>
      </c>
      <c r="P10" t="str" s="640" cm="1">
        <f t="array" ref="P10">IF(B10&gt;0,'Direct Costs 2026'!$C$59*B10,"N/A")</f>
        <v>N/A</v>
      </c>
      <c r="Q10" t="str" s="640" cm="1">
        <f t="array" ref="Q10">IF(B10&gt;0,_xlfn.IFERROR(VLOOKUP(C2,'Boats Data Sheet 2026'!$C$3:$I$57,7,0)*'Direct Costs 2026'!$C$36,"N/A"),"N/A")</f>
        <v>N/A</v>
      </c>
      <c r="R10" s="639"/>
      <c r="S10" t="str" s="640" cm="1">
        <f t="array" ref="S10">IF(B10&gt;0,IF(OR(VLOOKUP(C2,'Boats Data Sheet 2026'!$C$3:$F$57,4,0)="Own",VLOOKUP(C2,'Boats Data Sheet 2026'!$C$3:$F$57,4,0)="Management"),('Direct Costs 2026'!$C$37+'Direct Costs 2026'!$C$39),"N/A"),"N/A")</f>
        <v>N/A</v>
      </c>
      <c r="T10" t="str" s="640" cm="1">
        <f t="array" ref="T10">_xlfn.IFERROR(IF(B10&gt;5,IF(B10&gt;11,IF(B10&gt;15,4,3),2),IF(B10=0,"N/A",1))*SUM('Direct Costs 2026'!$C$67:$C$68),"N/A")</f>
        <v>N/A</v>
      </c>
      <c r="U10" t="str" s="640" cm="1">
        <f t="array" ref="U10">_xlfn.IFERROR('Direct Costs 2026'!$C$27*C10,"N/A")</f>
        <v>N/A</v>
      </c>
      <c r="V10" t="str" s="640" cm="1">
        <f t="array" ref="V10">_xlfn.IFERROR(C10+SUM(E10:U10),"N/A")</f>
        <v>N/A</v>
      </c>
      <c r="W10" s="424"/>
      <c r="X10" t="str" s="640" cm="1">
        <f t="array" ref="X10">IF(B10&gt;0,'Allocation OH and Target 2026'!$E$31,"N/A")</f>
        <v>N/A</v>
      </c>
      <c r="Y10" t="str" s="640" cm="1">
        <f t="array" ref="Y10">IF(B10&gt;0,VLOOKUP(C2,'Allocation OH and Target 2026'!$C$5:$T$23,16,0),"N/A")</f>
        <v>N/A</v>
      </c>
      <c r="Z10" t="str" s="640" cm="1">
        <f t="array" ref="Z10">_xlfn.IFERROR((X10+Y10),"N/A")</f>
        <v>N/A</v>
      </c>
      <c r="AA10" s="424"/>
      <c r="AB10" t="str" s="640" cm="1">
        <f t="array" ref="AB10">_xlfn.IFERROR(Z10+V10,"N/A")</f>
        <v>N/A</v>
      </c>
      <c r="AC10" t="str" s="640" cm="1">
        <f t="array" ref="AC10">_xlfn.IFERROR(AB10*0.5%,"N/A")</f>
        <v>N/A</v>
      </c>
      <c r="AD10" t="str" s="640" cm="1">
        <f t="array" ref="AD10">_xlfn.IFERROR(AB10*25%,"N/A")</f>
        <v>N/A</v>
      </c>
      <c r="AE10" t="str" s="648" cm="1">
        <f t="array" ref="AE10">IF(B10&gt;0,SUM(AB10:AD10),"N/A")</f>
        <v>N/A</v>
      </c>
      <c r="AF10" t="str" s="640" cm="1">
        <f t="array" ref="AF10">_xlfn.IFERROR(AE10/B10,"N/A")</f>
        <v>N/A</v>
      </c>
      <c r="AG10" s="424"/>
      <c r="AH10" t="str" s="648" cm="1">
        <f t="array" ref="AH10">IF(B10/VLOOKUP(C2,'Boats Data Sheet 2026'!$C$3:$H$57,6,0)&gt;VLOOKUP(C2,'Allocation OH and Target 2026'!$C$5:$J$23,8,0),IF(SUM(AI4:AI9)=0,AF10,"N/A"),"N/A")</f>
        <v>N/A</v>
      </c>
      <c r="AI10" s="424" cm="1">
        <f t="array" ref="AI10">IF(AH10="N/A",0,1)</f>
        <v>0</v>
      </c>
      <c r="AJ10" t="str" s="640" cm="1">
        <f t="array" ref="AJ10">IF(B10/VLOOKUP(C2,'Boats Data Sheet 2026'!$C$3:$H$57,6,0)&gt;VLOOKUP(C2,'Allocation OH and Target 2026'!$C$5:$J$23,8,0),IF(SUM(AI4:AI9)=0,V10/B10,"N/A"),"N/A")</f>
        <v>N/A</v>
      </c>
      <c r="AK10" s="424" cm="1">
        <f t="array" ref="AK10">IF(AJ10="N/A",0,1)</f>
        <v>0</v>
      </c>
      <c r="AL10" t="str" s="628" cm="1">
        <f t="array" ref="AL10">IF(SUM(1250000+700000)*B10&lt;SUM(AB10:AC10),"NO GO","GO")</f>
        <v>GO</v>
      </c>
      <c r="AM10" s="424"/>
      <c r="AN10" s="639"/>
      <c r="AO10" s="639"/>
      <c r="AP10" s="639"/>
      <c r="AQ10" s="645"/>
      <c r="AR10" s="601" cm="1">
        <f t="array" ref="AR10">B10</f>
        <v>0</v>
      </c>
    </row>
    <row r="11" ht="9" customHeight="1" hidden="1">
      <c r="A11" s="12"/>
      <c r="B11" s="646">
        <v>0</v>
      </c>
      <c r="C11" t="str" s="640" cm="1">
        <f t="array" ref="C11">IF(B11&gt;0,IF(VLOOKUP(C2,'Boats Data Sheet 2026'!$C$3:$J$57,8,0)="N/A",0,VLOOKUP(C2,'Boats Data Sheet 2026'!$C$3:$J$57,8,0)),"N/A")</f>
        <v>N/A</v>
      </c>
      <c r="D11" t="str" s="649" cm="1">
        <f t="array" ref="D11">IF(B11&gt;7,2,IF(B11=0,"N/A",1))</f>
        <v>N/A</v>
      </c>
      <c r="E11" t="str" s="640" cm="1">
        <f t="array" ref="E11">_xlfn.IFERROR(SUM('Direct Costs 2026'!$C$4:$C$6)*D11,"N/A")</f>
        <v>N/A</v>
      </c>
      <c r="F11" s="639" cm="1">
        <f t="array" ref="F11">_xlfn.IFERROR('Direct Costs 2026'!$C$43*B11,"N/A")</f>
        <v>0</v>
      </c>
      <c r="G11" t="str" s="640" cm="1">
        <f t="array" ref="G11">IF(B11&gt;0,'Direct Costs 2026'!$C$25,"N/A")</f>
        <v>N/A</v>
      </c>
      <c r="H11" t="str" s="640" cm="1">
        <f t="array" ref="H11">IF(B11&gt;0,'Direct Costs 2026'!$C$19+'Direct Costs 2026'!$C$18*B11,"N/A")</f>
        <v>N/A</v>
      </c>
      <c r="I11" t="str" s="640" cm="1">
        <f t="array" ref="I11">IF(B11&gt;0,SUM('Direct Costs 2026'!$C$20:$C$21),"N/A")</f>
        <v>N/A</v>
      </c>
      <c r="J11" t="str" s="640" cm="1">
        <f t="array" ref="J11">IF(B11&gt;0,'Direct Costs 2026'!$C$14,"N/A")</f>
        <v>N/A</v>
      </c>
      <c r="K11" t="str" s="640" cm="1">
        <f t="array" ref="K11">IF(B11&gt;0,'Direct Costs 2026'!$C$26,"N/A")</f>
        <v>N/A</v>
      </c>
      <c r="L11" t="str" s="640" cm="1">
        <f t="array" ref="L11">IF(B11&gt;0,SUM('Direct Costs 2026'!$C$23:$C$24),"N/A")</f>
        <v>N/A</v>
      </c>
      <c r="M11" t="str" s="640" cm="1">
        <f t="array" ref="M11">IF(B11&gt;0,'Direct Costs 2026'!$C$45*B11,"N/A")</f>
        <v>N/A</v>
      </c>
      <c r="N11" t="str" s="640" cm="1">
        <f t="array" ref="N11">IF($B11&gt;0,'Direct Costs 2026'!$C$29,"N/A")</f>
        <v>N/A</v>
      </c>
      <c r="O11" t="str" s="640" cm="1">
        <f t="array" ref="O11">IF($B11&gt;0,'Direct Costs 2026'!$C$31,"N/A")</f>
        <v>N/A</v>
      </c>
      <c r="P11" t="str" s="640" cm="1">
        <f t="array" ref="P11">IF(B11&gt;0,'Direct Costs 2026'!$C$59*B11,"N/A")</f>
        <v>N/A</v>
      </c>
      <c r="Q11" t="str" s="640" cm="1">
        <f t="array" ref="Q11">IF(B11&gt;0,_xlfn.IFERROR(VLOOKUP(C2,'Boats Data Sheet 2026'!$C$3:$I$57,7,0)*'Direct Costs 2026'!$C$36,"N/A"),"N/A")</f>
        <v>N/A</v>
      </c>
      <c r="R11" s="639"/>
      <c r="S11" t="str" s="640" cm="1">
        <f t="array" ref="S11">IF(B11&gt;0,IF(OR(VLOOKUP(C2,'Boats Data Sheet 2026'!$C$3:$F$57,4,0)="Own",VLOOKUP(C2,'Boats Data Sheet 2026'!$C$3:$F$57,4,0)="Management"),('Direct Costs 2026'!$C$37+'Direct Costs 2026'!$C$39),"N/A"),"N/A")</f>
        <v>N/A</v>
      </c>
      <c r="T11" t="str" s="640" cm="1">
        <f t="array" ref="T11">_xlfn.IFERROR(IF(B11&gt;5,IF(B11&gt;11,IF(B11&gt;15,4,3),2),IF(B11=0,"N/A",1))*SUM('Direct Costs 2026'!$C$67:$C$68),"N/A")</f>
        <v>N/A</v>
      </c>
      <c r="U11" t="str" s="640" cm="1">
        <f t="array" ref="U11">_xlfn.IFERROR('Direct Costs 2026'!$C$27*C11,"N/A")</f>
        <v>N/A</v>
      </c>
      <c r="V11" t="str" s="640" cm="1">
        <f t="array" ref="V11">_xlfn.IFERROR(C11+SUM(E11:U11),"N/A")</f>
        <v>N/A</v>
      </c>
      <c r="W11" s="424"/>
      <c r="X11" t="str" s="640" cm="1">
        <f t="array" ref="X11">IF(B11&gt;0,'Allocation OH and Target 2026'!$E$31,"N/A")</f>
        <v>N/A</v>
      </c>
      <c r="Y11" t="str" s="640" cm="1">
        <f t="array" ref="Y11">IF(B11&gt;0,VLOOKUP(C2,'Allocation OH and Target 2026'!$C$5:$T$23,16,0),"N/A")</f>
        <v>N/A</v>
      </c>
      <c r="Z11" t="str" s="640" cm="1">
        <f t="array" ref="Z11">_xlfn.IFERROR((X11+Y11),"N/A")</f>
        <v>N/A</v>
      </c>
      <c r="AA11" s="424"/>
      <c r="AB11" t="str" s="640" cm="1">
        <f t="array" ref="AB11">_xlfn.IFERROR(Z11+V11,"N/A")</f>
        <v>N/A</v>
      </c>
      <c r="AC11" t="str" s="640" cm="1">
        <f t="array" ref="AC11">_xlfn.IFERROR(AB11*0.5%,"N/A")</f>
        <v>N/A</v>
      </c>
      <c r="AD11" t="str" s="640" cm="1">
        <f t="array" ref="AD11">_xlfn.IFERROR(AB11*25%,"N/A")</f>
        <v>N/A</v>
      </c>
      <c r="AE11" t="str" s="648" cm="1">
        <f t="array" ref="AE11">IF(B11&gt;0,SUM(AB11:AD11),"N/A")</f>
        <v>N/A</v>
      </c>
      <c r="AF11" t="str" s="640" cm="1">
        <f t="array" ref="AF11">_xlfn.IFERROR(AE11/B11,"N/A")</f>
        <v>N/A</v>
      </c>
      <c r="AG11" s="424"/>
      <c r="AH11" t="str" s="648" cm="1">
        <f t="array" ref="AH11">IF(B11/VLOOKUP(C2,'Boats Data Sheet 2026'!$C$3:$H$57,6,0)&gt;VLOOKUP(C2,'Allocation OH and Target 2026'!$C$5:$J$23,8,0),IF(SUM(AI4:AI10)=0,AF11,"N/A"),"N/A")</f>
        <v>N/A</v>
      </c>
      <c r="AI11" s="424" cm="1">
        <f t="array" ref="AI11">IF(AH11="N/A",0,1)</f>
        <v>0</v>
      </c>
      <c r="AJ11" t="str" s="640" cm="1">
        <f t="array" ref="AJ11">IF(B11/VLOOKUP(C2,'Boats Data Sheet 2026'!$C$3:$H$57,6,0)&gt;VLOOKUP(C2,'Allocation OH and Target 2026'!$C$5:$J$23,8,0),IF(SUM(AI4:AI10)=0,V11/B11,"N/A"),"N/A")</f>
        <v>N/A</v>
      </c>
      <c r="AK11" s="424" cm="1">
        <f t="array" ref="AK11">IF(AJ11="N/A",0,1)</f>
        <v>0</v>
      </c>
      <c r="AL11" t="str" s="628" cm="1">
        <f t="array" ref="AL11">IF(SUM(1250000+700000)*B11&lt;SUM(AB11:AC11),"NO GO","GO")</f>
        <v>GO</v>
      </c>
      <c r="AM11" s="424"/>
      <c r="AN11" s="639"/>
      <c r="AO11" s="639"/>
      <c r="AP11" s="639"/>
      <c r="AQ11" s="645"/>
      <c r="AR11" s="601" cm="1">
        <f t="array" ref="AR11">B11</f>
        <v>0</v>
      </c>
    </row>
    <row r="12" ht="9" customHeight="1" hidden="1">
      <c r="A12" s="12"/>
      <c r="B12" s="646">
        <v>0</v>
      </c>
      <c r="C12" t="str" s="640" cm="1">
        <f t="array" ref="C12">IF(B12&gt;0,IF(VLOOKUP(C2,'Boats Data Sheet 2026'!$C$3:$J$57,8,0)="N/A",0,VLOOKUP(C2,'Boats Data Sheet 2026'!$C$3:$J$57,8,0)),"N/A")</f>
        <v>N/A</v>
      </c>
      <c r="D12" t="str" s="649" cm="1">
        <f t="array" ref="D12">IF(B12&gt;7,2,IF(B12=0,"N/A",1))</f>
        <v>N/A</v>
      </c>
      <c r="E12" t="str" s="640" cm="1">
        <f t="array" ref="E12">_xlfn.IFERROR(SUM('Direct Costs 2026'!$C$4:$C$6)*D12,"N/A")</f>
        <v>N/A</v>
      </c>
      <c r="F12" s="639" cm="1">
        <f t="array" ref="F12">_xlfn.IFERROR('Direct Costs 2026'!$C$43*B12,"N/A")</f>
        <v>0</v>
      </c>
      <c r="G12" t="str" s="640" cm="1">
        <f t="array" ref="G12">IF(B12&gt;0,'Direct Costs 2026'!$C$25,"N/A")</f>
        <v>N/A</v>
      </c>
      <c r="H12" t="str" s="640" cm="1">
        <f t="array" ref="H12">IF(B12&gt;0,'Direct Costs 2026'!$C$19+'Direct Costs 2026'!$C$18*B12,"N/A")</f>
        <v>N/A</v>
      </c>
      <c r="I12" t="str" s="640" cm="1">
        <f t="array" ref="I12">IF(B12&gt;0,SUM('Direct Costs 2026'!$C$20:$C$21),"N/A")</f>
        <v>N/A</v>
      </c>
      <c r="J12" t="str" s="640" cm="1">
        <f t="array" ref="J12">IF(B12&gt;0,'Direct Costs 2026'!$C$14,"N/A")</f>
        <v>N/A</v>
      </c>
      <c r="K12" t="str" s="640" cm="1">
        <f t="array" ref="K12">IF(B12&gt;0,'Direct Costs 2026'!$C$26,"N/A")</f>
        <v>N/A</v>
      </c>
      <c r="L12" t="str" s="640" cm="1">
        <f t="array" ref="L12">IF(B12&gt;0,SUM('Direct Costs 2026'!$C$23:$C$24),"N/A")</f>
        <v>N/A</v>
      </c>
      <c r="M12" t="str" s="640" cm="1">
        <f t="array" ref="M12">IF(B12&gt;0,'Direct Costs 2026'!$C$45*B12,"N/A")</f>
        <v>N/A</v>
      </c>
      <c r="N12" t="str" s="640" cm="1">
        <f t="array" ref="N12">IF($B12&gt;0,'Direct Costs 2026'!$C$29,"N/A")</f>
        <v>N/A</v>
      </c>
      <c r="O12" t="str" s="640" cm="1">
        <f t="array" ref="O12">IF($B12&gt;0,'Direct Costs 2026'!$C$31,"N/A")</f>
        <v>N/A</v>
      </c>
      <c r="P12" t="str" s="640" cm="1">
        <f t="array" ref="P12">IF(B12&gt;0,'Direct Costs 2026'!$C$59*B12,"N/A")</f>
        <v>N/A</v>
      </c>
      <c r="Q12" t="str" s="640" cm="1">
        <f t="array" ref="Q12">IF(B12&gt;0,_xlfn.IFERROR(VLOOKUP(C2,'Boats Data Sheet 2026'!$C$3:$I$57,7,0)*'Direct Costs 2026'!$C$36,"N/A"),"N/A")</f>
        <v>N/A</v>
      </c>
      <c r="R12" s="639"/>
      <c r="S12" t="str" s="640" cm="1">
        <f t="array" ref="S12">IF(B12&gt;0,IF(OR(VLOOKUP(C2,'Boats Data Sheet 2026'!$C$3:$F$57,4,0)="Own",VLOOKUP(C2,'Boats Data Sheet 2026'!$C$3:$F$57,4,0)="Management"),('Direct Costs 2026'!$C$37+'Direct Costs 2026'!$C$39),"N/A"),"N/A")</f>
        <v>N/A</v>
      </c>
      <c r="T12" t="str" s="640" cm="1">
        <f t="array" ref="T12">_xlfn.IFERROR(IF(B12&gt;5,IF(B12&gt;11,IF(B12&gt;15,4,3),2),IF(B12=0,"N/A",1))*SUM('Direct Costs 2026'!$C$67:$C$68),"N/A")</f>
        <v>N/A</v>
      </c>
      <c r="U12" t="str" s="640" cm="1">
        <f t="array" ref="U12">_xlfn.IFERROR('Direct Costs 2026'!$C$27*C12,"N/A")</f>
        <v>N/A</v>
      </c>
      <c r="V12" t="str" s="640" cm="1">
        <f t="array" ref="V12">_xlfn.IFERROR(C12+SUM(E12:U12),"N/A")</f>
        <v>N/A</v>
      </c>
      <c r="W12" s="424"/>
      <c r="X12" t="str" s="640" cm="1">
        <f t="array" ref="X12">IF(B12&gt;0,'Allocation OH and Target 2026'!$E$31,"N/A")</f>
        <v>N/A</v>
      </c>
      <c r="Y12" t="str" s="640" cm="1">
        <f t="array" ref="Y12">IF(B12&gt;0,VLOOKUP(C2,'Allocation OH and Target 2026'!$C$5:$T$23,16,0),"N/A")</f>
        <v>N/A</v>
      </c>
      <c r="Z12" t="str" s="640" cm="1">
        <f t="array" ref="Z12">_xlfn.IFERROR((X12+Y12),"N/A")</f>
        <v>N/A</v>
      </c>
      <c r="AA12" s="424"/>
      <c r="AB12" t="str" s="640" cm="1">
        <f t="array" ref="AB12">_xlfn.IFERROR(Z12+V12,"N/A")</f>
        <v>N/A</v>
      </c>
      <c r="AC12" t="str" s="640" cm="1">
        <f t="array" ref="AC12">_xlfn.IFERROR(AB12*0.5%,"N/A")</f>
        <v>N/A</v>
      </c>
      <c r="AD12" t="str" s="640" cm="1">
        <f t="array" ref="AD12">_xlfn.IFERROR(AB12*25%,"N/A")</f>
        <v>N/A</v>
      </c>
      <c r="AE12" t="str" s="648" cm="1">
        <f t="array" ref="AE12">IF(B12&gt;0,SUM(AB12:AD12),"N/A")</f>
        <v>N/A</v>
      </c>
      <c r="AF12" t="str" s="640" cm="1">
        <f t="array" ref="AF12">_xlfn.IFERROR(AE12/B12,"N/A")</f>
        <v>N/A</v>
      </c>
      <c r="AG12" s="424"/>
      <c r="AH12" t="str" s="648" cm="1">
        <f t="array" ref="AH12">IF(B12/VLOOKUP(C2,'Boats Data Sheet 2026'!$C$3:$H$57,6,0)&gt;VLOOKUP(C2,'Allocation OH and Target 2026'!$C$5:$J$23,8,0),IF(SUM(AI4:AI11)=0,AF12,"N/A"),"N/A")</f>
        <v>N/A</v>
      </c>
      <c r="AI12" s="424" cm="1">
        <f t="array" ref="AI12">IF(AH12="N/A",0,1)</f>
        <v>0</v>
      </c>
      <c r="AJ12" t="str" s="640" cm="1">
        <f t="array" ref="AJ12">IF(B12/VLOOKUP(C2,'Boats Data Sheet 2026'!$C$3:$H$57,6,0)&gt;VLOOKUP(C2,'Allocation OH and Target 2026'!$C$5:$J$23,8,0),IF(SUM(AI4:AI11)=0,V12/B12,"N/A"),"N/A")</f>
        <v>N/A</v>
      </c>
      <c r="AK12" s="424" cm="1">
        <f t="array" ref="AK12">IF(AJ12="N/A",0,1)</f>
        <v>0</v>
      </c>
      <c r="AL12" t="str" s="628" cm="1">
        <f t="array" ref="AL12">IF(SUM(1250000+700000)*B12&lt;SUM(AB12:AC12),"NO GO","GO")</f>
        <v>GO</v>
      </c>
      <c r="AM12" s="424"/>
      <c r="AN12" s="639"/>
      <c r="AO12" s="639"/>
      <c r="AP12" s="639"/>
      <c r="AQ12" s="645"/>
      <c r="AR12" s="601" cm="1">
        <f t="array" ref="AR12">B12</f>
        <v>0</v>
      </c>
    </row>
    <row r="13" ht="9" customHeight="1" hidden="1">
      <c r="A13" s="12"/>
      <c r="B13" s="646">
        <v>0</v>
      </c>
      <c r="C13" t="str" s="640" cm="1">
        <f t="array" ref="C13">IF(B13&gt;0,IF(VLOOKUP(C2,'Boats Data Sheet 2026'!$C$3:$J$57,8,0)="N/A",0,VLOOKUP(C2,'Boats Data Sheet 2026'!$C$3:$J$57,8,0)),"N/A")</f>
        <v>N/A</v>
      </c>
      <c r="D13" t="str" s="649" cm="1">
        <f t="array" ref="D13">IF(B13&gt;7,2,IF(B13=0,"N/A",1))</f>
        <v>N/A</v>
      </c>
      <c r="E13" t="str" s="640" cm="1">
        <f t="array" ref="E13">_xlfn.IFERROR(SUM('Direct Costs 2026'!$C$4:$C$6)*D13,"N/A")</f>
        <v>N/A</v>
      </c>
      <c r="F13" s="639" cm="1">
        <f t="array" ref="F13">_xlfn.IFERROR('Direct Costs 2026'!$C$43*B13,"N/A")</f>
        <v>0</v>
      </c>
      <c r="G13" t="str" s="640" cm="1">
        <f t="array" ref="G13">IF(B13&gt;0,'Direct Costs 2026'!$C$25,"N/A")</f>
        <v>N/A</v>
      </c>
      <c r="H13" t="str" s="640" cm="1">
        <f t="array" ref="H13">IF(B13&gt;0,'Direct Costs 2026'!$C$19+'Direct Costs 2026'!$C$18*B13,"N/A")</f>
        <v>N/A</v>
      </c>
      <c r="I13" t="str" s="640" cm="1">
        <f t="array" ref="I13">IF(B13&gt;0,SUM('Direct Costs 2026'!$C$20:$C$21),"N/A")</f>
        <v>N/A</v>
      </c>
      <c r="J13" t="str" s="640" cm="1">
        <f t="array" ref="J13">IF(B13&gt;0,'Direct Costs 2026'!$C$14,"N/A")</f>
        <v>N/A</v>
      </c>
      <c r="K13" t="str" s="640" cm="1">
        <f t="array" ref="K13">IF(B13&gt;0,'Direct Costs 2026'!$C$26,"N/A")</f>
        <v>N/A</v>
      </c>
      <c r="L13" t="str" s="640" cm="1">
        <f t="array" ref="L13">IF(B13&gt;0,SUM('Direct Costs 2026'!$C$23:$C$24),"N/A")</f>
        <v>N/A</v>
      </c>
      <c r="M13" t="str" s="640" cm="1">
        <f t="array" ref="M13">IF(B13&gt;0,'Direct Costs 2026'!$C$45*B13,"N/A")</f>
        <v>N/A</v>
      </c>
      <c r="N13" t="str" s="640" cm="1">
        <f t="array" ref="N13">IF($B13&gt;0,'Direct Costs 2026'!$C$29,"N/A")</f>
        <v>N/A</v>
      </c>
      <c r="O13" t="str" s="640" cm="1">
        <f t="array" ref="O13">IF($B13&gt;0,'Direct Costs 2026'!$C$31,"N/A")</f>
        <v>N/A</v>
      </c>
      <c r="P13" t="str" s="640" cm="1">
        <f t="array" ref="P13">IF(B13&gt;0,'Direct Costs 2026'!$C$59*B13,"N/A")</f>
        <v>N/A</v>
      </c>
      <c r="Q13" t="str" s="640" cm="1">
        <f t="array" ref="Q13">IF(B13&gt;0,_xlfn.IFERROR(VLOOKUP(C2,'Boats Data Sheet 2026'!$C$3:$I$57,7,0)*'Direct Costs 2026'!$C$36,"N/A"),"N/A")</f>
        <v>N/A</v>
      </c>
      <c r="R13" s="639"/>
      <c r="S13" t="str" s="640" cm="1">
        <f t="array" ref="S13">IF(B13&gt;0,IF(OR(VLOOKUP(C2,'Boats Data Sheet 2026'!$C$3:$F$57,4,0)="Own",VLOOKUP(C2,'Boats Data Sheet 2026'!$C$3:$F$57,4,0)="Management"),('Direct Costs 2026'!$C$37+'Direct Costs 2026'!$C$39),"N/A"),"N/A")</f>
        <v>N/A</v>
      </c>
      <c r="T13" t="str" s="640" cm="1">
        <f t="array" ref="T13">_xlfn.IFERROR(IF(B13&gt;5,IF(B13&gt;11,IF(B13&gt;15,4,3),2),IF(B13=0,"N/A",1))*SUM('Direct Costs 2026'!$C$67:$C$68),"N/A")</f>
        <v>N/A</v>
      </c>
      <c r="U13" t="str" s="640" cm="1">
        <f t="array" ref="U13">_xlfn.IFERROR('Direct Costs 2026'!$C$27*C13,"N/A")</f>
        <v>N/A</v>
      </c>
      <c r="V13" t="str" s="640" cm="1">
        <f t="array" ref="V13">_xlfn.IFERROR(C13+SUM(E13:U13),"N/A")</f>
        <v>N/A</v>
      </c>
      <c r="W13" s="424"/>
      <c r="X13" t="str" s="640" cm="1">
        <f t="array" ref="X13">IF(B13&gt;0,'Allocation OH and Target 2026'!$E$31,"N/A")</f>
        <v>N/A</v>
      </c>
      <c r="Y13" t="str" s="640" cm="1">
        <f t="array" ref="Y13">IF(B13&gt;0,VLOOKUP(C2,'Allocation OH and Target 2026'!$C$5:$T$23,16,0),"N/A")</f>
        <v>N/A</v>
      </c>
      <c r="Z13" t="str" s="640" cm="1">
        <f t="array" ref="Z13">_xlfn.IFERROR((X13+Y13),"N/A")</f>
        <v>N/A</v>
      </c>
      <c r="AA13" s="424"/>
      <c r="AB13" t="str" s="640" cm="1">
        <f t="array" ref="AB13">_xlfn.IFERROR(Z13+V13,"N/A")</f>
        <v>N/A</v>
      </c>
      <c r="AC13" t="str" s="640" cm="1">
        <f t="array" ref="AC13">_xlfn.IFERROR(AB13*0.5%,"N/A")</f>
        <v>N/A</v>
      </c>
      <c r="AD13" t="str" s="640" cm="1">
        <f t="array" ref="AD13">_xlfn.IFERROR(AB13*25%,"N/A")</f>
        <v>N/A</v>
      </c>
      <c r="AE13" t="str" s="648" cm="1">
        <f t="array" ref="AE13">IF(B13&gt;0,SUM(AB13:AD13),"N/A")</f>
        <v>N/A</v>
      </c>
      <c r="AF13" t="str" s="640" cm="1">
        <f t="array" ref="AF13">_xlfn.IFERROR(AE13/B13,"N/A")</f>
        <v>N/A</v>
      </c>
      <c r="AG13" s="424"/>
      <c r="AH13" t="str" s="648" cm="1">
        <f t="array" ref="AH13">IF(B13/VLOOKUP(C2,'Boats Data Sheet 2026'!$C$3:$H$57,6,0)&gt;VLOOKUP(C2,'Allocation OH and Target 2026'!$C$5:$J$23,8,0),IF(SUM(AI4:AI12)=0,AF13,"N/A"),"N/A")</f>
        <v>N/A</v>
      </c>
      <c r="AI13" s="424" cm="1">
        <f t="array" ref="AI13">IF(AH13="N/A",0,1)</f>
        <v>0</v>
      </c>
      <c r="AJ13" t="str" s="640" cm="1">
        <f t="array" ref="AJ13">IF(B13/VLOOKUP(C2,'Boats Data Sheet 2026'!$C$3:$H$57,6,0)&gt;VLOOKUP(C2,'Allocation OH and Target 2026'!$C$5:$J$23,8,0),IF(SUM(AI4:AI12)=0,V13/B13,"N/A"),"N/A")</f>
        <v>N/A</v>
      </c>
      <c r="AK13" s="424" cm="1">
        <f t="array" ref="AK13">IF(AJ13="N/A",0,1)</f>
        <v>0</v>
      </c>
      <c r="AL13" t="str" s="628" cm="1">
        <f t="array" ref="AL13">IF(SUM(1250000+700000)*B13&lt;SUM(AB13:AC13),"NO GO","GO")</f>
        <v>GO</v>
      </c>
      <c r="AM13" s="424"/>
      <c r="AN13" s="639"/>
      <c r="AO13" s="639"/>
      <c r="AP13" s="639"/>
      <c r="AQ13" s="645"/>
      <c r="AR13" s="601" cm="1">
        <f t="array" ref="AR13">B13</f>
        <v>0</v>
      </c>
    </row>
    <row r="14" ht="9" customHeight="1" hidden="1">
      <c r="A14" s="12"/>
      <c r="B14" s="646">
        <v>0</v>
      </c>
      <c r="C14" t="str" s="640" cm="1">
        <f t="array" ref="C14">IF(B14&gt;0,IF(VLOOKUP(C2,'Boats Data Sheet 2026'!$C$3:$J$57,8,0)="N/A",0,VLOOKUP(C2,'Boats Data Sheet 2026'!$C$3:$J$57,8,0)),"N/A")</f>
        <v>N/A</v>
      </c>
      <c r="D14" t="str" s="649" cm="1">
        <f t="array" ref="D14">IF(B14&gt;7,2,IF(B14=0,"N/A",1))</f>
        <v>N/A</v>
      </c>
      <c r="E14" t="str" s="640" cm="1">
        <f t="array" ref="E14">_xlfn.IFERROR(SUM('Direct Costs 2026'!$C$4:$C$6)*D14,"N/A")</f>
        <v>N/A</v>
      </c>
      <c r="F14" s="639" cm="1">
        <f t="array" ref="F14">_xlfn.IFERROR('Direct Costs 2026'!$C$43*B14,"N/A")</f>
        <v>0</v>
      </c>
      <c r="G14" t="str" s="640" cm="1">
        <f t="array" ref="G14">IF(B14&gt;0,'Direct Costs 2026'!$C$25,"N/A")</f>
        <v>N/A</v>
      </c>
      <c r="H14" t="str" s="640" cm="1">
        <f t="array" ref="H14">IF(B14&gt;0,'Direct Costs 2026'!$C$19+'Direct Costs 2026'!$C$18*B14,"N/A")</f>
        <v>N/A</v>
      </c>
      <c r="I14" t="str" s="640" cm="1">
        <f t="array" ref="I14">IF(B14&gt;0,SUM('Direct Costs 2026'!$C$20:$C$21),"N/A")</f>
        <v>N/A</v>
      </c>
      <c r="J14" t="str" s="640" cm="1">
        <f t="array" ref="J14">IF(B14&gt;0,'Direct Costs 2026'!$C$14,"N/A")</f>
        <v>N/A</v>
      </c>
      <c r="K14" t="str" s="640" cm="1">
        <f t="array" ref="K14">IF(B14&gt;0,'Direct Costs 2026'!$C$26,"N/A")</f>
        <v>N/A</v>
      </c>
      <c r="L14" t="str" s="640" cm="1">
        <f t="array" ref="L14">IF(B14&gt;0,SUM('Direct Costs 2026'!$C$23:$C$24),"N/A")</f>
        <v>N/A</v>
      </c>
      <c r="M14" t="str" s="640" cm="1">
        <f t="array" ref="M14">IF(B14&gt;0,'Direct Costs 2026'!$C$45*B14,"N/A")</f>
        <v>N/A</v>
      </c>
      <c r="N14" t="str" s="640" cm="1">
        <f t="array" ref="N14">IF($B14&gt;0,'Direct Costs 2026'!$C$29,"N/A")</f>
        <v>N/A</v>
      </c>
      <c r="O14" t="str" s="640" cm="1">
        <f t="array" ref="O14">IF($B14&gt;0,'Direct Costs 2026'!$C$31,"N/A")</f>
        <v>N/A</v>
      </c>
      <c r="P14" t="str" s="640" cm="1">
        <f t="array" ref="P14">IF(B14&gt;0,'Direct Costs 2026'!$C$59*B14,"N/A")</f>
        <v>N/A</v>
      </c>
      <c r="Q14" t="str" s="640" cm="1">
        <f t="array" ref="Q14">IF(B14&gt;0,_xlfn.IFERROR(VLOOKUP(C2,'Boats Data Sheet 2026'!$C$3:$I$57,7,0)*'Direct Costs 2026'!$C$36,"N/A"),"N/A")</f>
        <v>N/A</v>
      </c>
      <c r="R14" s="639"/>
      <c r="S14" t="str" s="640" cm="1">
        <f t="array" ref="S14">IF(B14&gt;0,IF(OR(VLOOKUP(C2,'Boats Data Sheet 2026'!$C$3:$F$57,4,0)="Own",VLOOKUP(C2,'Boats Data Sheet 2026'!$C$3:$F$57,4,0)="Management"),('Direct Costs 2026'!$C$37+'Direct Costs 2026'!$C$39),"N/A"),"N/A")</f>
        <v>N/A</v>
      </c>
      <c r="T14" t="str" s="640" cm="1">
        <f t="array" ref="T14">_xlfn.IFERROR(IF(B14&gt;5,IF(B14&gt;11,IF(B14&gt;15,4,3),2),IF(B14=0,"N/A",1))*SUM('Direct Costs 2026'!$C$67:$C$68),"N/A")</f>
        <v>N/A</v>
      </c>
      <c r="U14" t="str" s="640" cm="1">
        <f t="array" ref="U14">_xlfn.IFERROR('Direct Costs 2026'!$C$27*C14,"N/A")</f>
        <v>N/A</v>
      </c>
      <c r="V14" t="str" s="640" cm="1">
        <f t="array" ref="V14">_xlfn.IFERROR(C14+SUM(E14:U14),"N/A")</f>
        <v>N/A</v>
      </c>
      <c r="W14" s="424"/>
      <c r="X14" t="str" s="640" cm="1">
        <f t="array" ref="X14">IF(B14&gt;0,'Allocation OH and Target 2026'!$E$31,"N/A")</f>
        <v>N/A</v>
      </c>
      <c r="Y14" t="str" s="640" cm="1">
        <f t="array" ref="Y14">IF(B14&gt;0,VLOOKUP(C2,'Allocation OH and Target 2026'!$C$5:$T$23,16,0),"N/A")</f>
        <v>N/A</v>
      </c>
      <c r="Z14" t="str" s="640" cm="1">
        <f t="array" ref="Z14">_xlfn.IFERROR((X14+Y14),"N/A")</f>
        <v>N/A</v>
      </c>
      <c r="AA14" s="424"/>
      <c r="AB14" t="str" s="640" cm="1">
        <f t="array" ref="AB14">_xlfn.IFERROR(Z14+V14,"N/A")</f>
        <v>N/A</v>
      </c>
      <c r="AC14" t="str" s="640" cm="1">
        <f t="array" ref="AC14">_xlfn.IFERROR(AB14*0.5%,"N/A")</f>
        <v>N/A</v>
      </c>
      <c r="AD14" t="str" s="640" cm="1">
        <f t="array" ref="AD14">_xlfn.IFERROR(AB14*25%,"N/A")</f>
        <v>N/A</v>
      </c>
      <c r="AE14" t="str" s="648" cm="1">
        <f t="array" ref="AE14">IF(B14&gt;0,SUM(AB14:AD14),"N/A")</f>
        <v>N/A</v>
      </c>
      <c r="AF14" t="str" s="640" cm="1">
        <f t="array" ref="AF14">_xlfn.IFERROR(AE14/B14,"N/A")</f>
        <v>N/A</v>
      </c>
      <c r="AG14" s="424"/>
      <c r="AH14" t="str" s="648" cm="1">
        <f t="array" ref="AH14">IF(B14/VLOOKUP(C2,'Boats Data Sheet 2026'!$C$3:$H$57,6,0)&gt;VLOOKUP(C2,'Allocation OH and Target 2026'!$C$5:$J$23,8,0),IF(SUM(AI4:AI13)=0,AF14,"N/A"),"N/A")</f>
        <v>N/A</v>
      </c>
      <c r="AI14" s="424" cm="1">
        <f t="array" ref="AI14">IF(AH14="N/A",0,1)</f>
        <v>0</v>
      </c>
      <c r="AJ14" t="str" s="640" cm="1">
        <f t="array" ref="AJ14">IF(B14/VLOOKUP(C2,'Boats Data Sheet 2026'!$C$3:$H$57,6,0)&gt;VLOOKUP(C2,'Allocation OH and Target 2026'!$C$5:$J$23,8,0),IF(SUM(AI4:AI13)=0,V14/B14,"N/A"),"N/A")</f>
        <v>N/A</v>
      </c>
      <c r="AK14" s="424" cm="1">
        <f t="array" ref="AK14">IF(AJ14="N/A",0,1)</f>
        <v>0</v>
      </c>
      <c r="AL14" t="str" s="628" cm="1">
        <f t="array" ref="AL14">IF(SUM(1250000+700000)*B14&lt;SUM(AB14:AC14),"NO GO","GO")</f>
        <v>GO</v>
      </c>
      <c r="AM14" s="424"/>
      <c r="AN14" s="639"/>
      <c r="AO14" s="639"/>
      <c r="AP14" s="639"/>
      <c r="AQ14" s="645"/>
      <c r="AR14" s="601" cm="1">
        <f t="array" ref="AR14">B14</f>
        <v>0</v>
      </c>
    </row>
    <row r="15" ht="9" customHeight="1" hidden="1">
      <c r="A15" s="12"/>
      <c r="B15" s="646">
        <v>0</v>
      </c>
      <c r="C15" t="str" s="640" cm="1">
        <f t="array" ref="C15">IF(B15&gt;0,IF(VLOOKUP(C2,'Boats Data Sheet 2026'!$C$3:$J$57,8,0)="N/A",0,VLOOKUP(C2,'Boats Data Sheet 2026'!$C$3:$J$57,8,0)),"N/A")</f>
        <v>N/A</v>
      </c>
      <c r="D15" t="str" s="649" cm="1">
        <f t="array" ref="D15">IF(B15&gt;7,2,IF(B15=0,"N/A",1))</f>
        <v>N/A</v>
      </c>
      <c r="E15" t="str" s="640" cm="1">
        <f t="array" ref="E15">_xlfn.IFERROR(SUM('Direct Costs 2026'!$C$4:$C$6)*D15,"N/A")</f>
        <v>N/A</v>
      </c>
      <c r="F15" s="639" cm="1">
        <f t="array" ref="F15">_xlfn.IFERROR('Direct Costs 2026'!$C$43*B15,"N/A")</f>
        <v>0</v>
      </c>
      <c r="G15" t="str" s="640" cm="1">
        <f t="array" ref="G15">IF(B15&gt;0,'Direct Costs 2026'!$C$25,"N/A")</f>
        <v>N/A</v>
      </c>
      <c r="H15" t="str" s="640" cm="1">
        <f t="array" ref="H15">IF(B15&gt;0,'Direct Costs 2026'!$C$19+'Direct Costs 2026'!$C$18*B15,"N/A")</f>
        <v>N/A</v>
      </c>
      <c r="I15" t="str" s="640" cm="1">
        <f t="array" ref="I15">IF(B15&gt;0,SUM('Direct Costs 2026'!$C$20:$C$21),"N/A")</f>
        <v>N/A</v>
      </c>
      <c r="J15" t="str" s="640" cm="1">
        <f t="array" ref="J15">IF(B15&gt;0,'Direct Costs 2026'!$C$14,"N/A")</f>
        <v>N/A</v>
      </c>
      <c r="K15" t="str" s="640" cm="1">
        <f t="array" ref="K15">IF(B15&gt;0,'Direct Costs 2026'!$C$26,"N/A")</f>
        <v>N/A</v>
      </c>
      <c r="L15" t="str" s="640" cm="1">
        <f t="array" ref="L15">IF(B15&gt;0,SUM('Direct Costs 2026'!$C$23:$C$24),"N/A")</f>
        <v>N/A</v>
      </c>
      <c r="M15" t="str" s="640" cm="1">
        <f t="array" ref="M15">IF(B15&gt;0,'Direct Costs 2026'!$C$45*B15,"N/A")</f>
        <v>N/A</v>
      </c>
      <c r="N15" t="str" s="640" cm="1">
        <f t="array" ref="N15">IF($B15&gt;0,'Direct Costs 2026'!$C$29,"N/A")</f>
        <v>N/A</v>
      </c>
      <c r="O15" t="str" s="640" cm="1">
        <f t="array" ref="O15">IF($B15&gt;0,'Direct Costs 2026'!$C$31,"N/A")</f>
        <v>N/A</v>
      </c>
      <c r="P15" t="str" s="640" cm="1">
        <f t="array" ref="P15">IF(B15&gt;0,'Direct Costs 2026'!$C$59*B15,"N/A")</f>
        <v>N/A</v>
      </c>
      <c r="Q15" t="str" s="640" cm="1">
        <f t="array" ref="Q15">IF(B15&gt;0,_xlfn.IFERROR(VLOOKUP(C2,'Boats Data Sheet 2026'!$C$3:$I$57,7,0)*'Direct Costs 2026'!$C$36,"N/A"),"N/A")</f>
        <v>N/A</v>
      </c>
      <c r="R15" s="639"/>
      <c r="S15" t="str" s="640" cm="1">
        <f t="array" ref="S15">IF(B15&gt;0,IF(OR(VLOOKUP(C2,'Boats Data Sheet 2026'!$C$3:$F$57,4,0)="Own",VLOOKUP(C2,'Boats Data Sheet 2026'!$C$3:$F$57,4,0)="Management"),('Direct Costs 2026'!$C$37+'Direct Costs 2026'!$C$39),"N/A"),"N/A")</f>
        <v>N/A</v>
      </c>
      <c r="T15" t="str" s="640" cm="1">
        <f t="array" ref="T15">_xlfn.IFERROR(IF(B15&gt;5,IF(B15&gt;11,IF(B15&gt;15,4,3),2),IF(B15=0,"N/A",1))*SUM('Direct Costs 2026'!$C$67:$C$68),"N/A")</f>
        <v>N/A</v>
      </c>
      <c r="U15" t="str" s="640" cm="1">
        <f t="array" ref="U15">_xlfn.IFERROR('Direct Costs 2026'!$C$27*C15,"N/A")</f>
        <v>N/A</v>
      </c>
      <c r="V15" t="str" s="640" cm="1">
        <f t="array" ref="V15">_xlfn.IFERROR(C15+SUM(E15:U15),"N/A")</f>
        <v>N/A</v>
      </c>
      <c r="W15" s="424"/>
      <c r="X15" t="str" s="640" cm="1">
        <f t="array" ref="X15">IF(B15&gt;0,'Allocation OH and Target 2026'!$E$31,"N/A")</f>
        <v>N/A</v>
      </c>
      <c r="Y15" t="str" s="640" cm="1">
        <f t="array" ref="Y15">IF(B15&gt;0,VLOOKUP(C2,'Allocation OH and Target 2026'!$C$5:$T$23,16,0),"N/A")</f>
        <v>N/A</v>
      </c>
      <c r="Z15" t="str" s="640" cm="1">
        <f t="array" ref="Z15">_xlfn.IFERROR((X15+Y15),"N/A")</f>
        <v>N/A</v>
      </c>
      <c r="AA15" s="424"/>
      <c r="AB15" t="str" s="640" cm="1">
        <f t="array" ref="AB15">_xlfn.IFERROR(Z15+V15,"N/A")</f>
        <v>N/A</v>
      </c>
      <c r="AC15" t="str" s="640" cm="1">
        <f t="array" ref="AC15">_xlfn.IFERROR(AB15*0.5%,"N/A")</f>
        <v>N/A</v>
      </c>
      <c r="AD15" t="str" s="640" cm="1">
        <f t="array" ref="AD15">_xlfn.IFERROR(AB15*25%,"N/A")</f>
        <v>N/A</v>
      </c>
      <c r="AE15" t="str" s="648" cm="1">
        <f t="array" ref="AE15">IF(B15&gt;0,SUM(AB15:AD15),"N/A")</f>
        <v>N/A</v>
      </c>
      <c r="AF15" t="str" s="640" cm="1">
        <f t="array" ref="AF15">_xlfn.IFERROR(AE15/B15,"N/A")</f>
        <v>N/A</v>
      </c>
      <c r="AG15" s="424"/>
      <c r="AH15" t="str" s="648" cm="1">
        <f t="array" ref="AH15">IF(B15/VLOOKUP(C2,'Boats Data Sheet 2026'!$C$3:$H$57,6,0)&gt;VLOOKUP(C2,'Allocation OH and Target 2026'!$C$5:$J$23,8,0),IF(SUM(AI4:AI14)=0,AF15,"N/A"),"N/A")</f>
        <v>N/A</v>
      </c>
      <c r="AI15" s="424" cm="1">
        <f t="array" ref="AI15">IF(AH15="N/A",0,1)</f>
        <v>0</v>
      </c>
      <c r="AJ15" t="str" s="640" cm="1">
        <f t="array" ref="AJ15">IF(B15/VLOOKUP(C2,'Boats Data Sheet 2026'!$C$3:$H$57,6,0)&gt;VLOOKUP(C2,'Allocation OH and Target 2026'!$C$5:$J$23,8,0),IF(SUM(AI4:AI14)=0,V15/B15,"N/A"),"N/A")</f>
        <v>N/A</v>
      </c>
      <c r="AK15" s="424" cm="1">
        <f t="array" ref="AK15">IF(AJ15="N/A",0,1)</f>
        <v>0</v>
      </c>
      <c r="AL15" t="str" s="628" cm="1">
        <f t="array" ref="AL15">IF(SUM(1250000+700000)*B15&lt;SUM(AB15:AC15),"NO GO","GO")</f>
        <v>GO</v>
      </c>
      <c r="AM15" s="424"/>
      <c r="AN15" s="639"/>
      <c r="AO15" s="639"/>
      <c r="AP15" s="639"/>
      <c r="AQ15" s="645"/>
      <c r="AR15" s="601" cm="1">
        <f t="array" ref="AR15">B15</f>
        <v>0</v>
      </c>
    </row>
    <row r="16" ht="9" customHeight="1" hidden="1">
      <c r="A16" s="12"/>
      <c r="B16" s="646">
        <v>0</v>
      </c>
      <c r="C16" t="str" s="640" cm="1">
        <f t="array" ref="C16">IF(B16&gt;0,IF(VLOOKUP(C2,'Boats Data Sheet 2026'!$C$3:$J$57,8,0)="N/A",0,VLOOKUP(C2,'Boats Data Sheet 2026'!$C$3:$J$57,8,0)),"N/A")</f>
        <v>N/A</v>
      </c>
      <c r="D16" t="str" s="649" cm="1">
        <f t="array" ref="D16">IF(B16&gt;7,2,IF(B16=0,"N/A",1))</f>
        <v>N/A</v>
      </c>
      <c r="E16" t="str" s="640" cm="1">
        <f t="array" ref="E16">_xlfn.IFERROR(SUM('Direct Costs 2026'!$C$4:$C$6)*D16,"N/A")</f>
        <v>N/A</v>
      </c>
      <c r="F16" s="639" cm="1">
        <f t="array" ref="F16">_xlfn.IFERROR('Direct Costs 2026'!$C$43*B16,"N/A")</f>
        <v>0</v>
      </c>
      <c r="G16" t="str" s="640" cm="1">
        <f t="array" ref="G16">IF(B16&gt;0,'Direct Costs 2026'!$C$25,"N/A")</f>
        <v>N/A</v>
      </c>
      <c r="H16" t="str" s="640" cm="1">
        <f t="array" ref="H16">IF(B16&gt;0,'Direct Costs 2026'!$C$19+'Direct Costs 2026'!$C$18*B16,"N/A")</f>
        <v>N/A</v>
      </c>
      <c r="I16" t="str" s="640" cm="1">
        <f t="array" ref="I16">IF(B16&gt;0,SUM('Direct Costs 2026'!$C$20:$C$21),"N/A")</f>
        <v>N/A</v>
      </c>
      <c r="J16" t="str" s="640" cm="1">
        <f t="array" ref="J16">IF(B16&gt;0,'Direct Costs 2026'!$C$14,"N/A")</f>
        <v>N/A</v>
      </c>
      <c r="K16" t="str" s="640" cm="1">
        <f t="array" ref="K16">IF(B16&gt;0,'Direct Costs 2026'!$C$26,"N/A")</f>
        <v>N/A</v>
      </c>
      <c r="L16" t="str" s="640" cm="1">
        <f t="array" ref="L16">IF(B16&gt;0,SUM('Direct Costs 2026'!$C$23:$C$24),"N/A")</f>
        <v>N/A</v>
      </c>
      <c r="M16" t="str" s="640" cm="1">
        <f t="array" ref="M16">IF(B16&gt;0,'Direct Costs 2026'!$C$45*B16,"N/A")</f>
        <v>N/A</v>
      </c>
      <c r="N16" t="str" s="640" cm="1">
        <f t="array" ref="N16">IF($B16&gt;0,'Direct Costs 2026'!$C$29,"N/A")</f>
        <v>N/A</v>
      </c>
      <c r="O16" t="str" s="640" cm="1">
        <f t="array" ref="O16">IF($B16&gt;0,'Direct Costs 2026'!$C$31,"N/A")</f>
        <v>N/A</v>
      </c>
      <c r="P16" t="str" s="640" cm="1">
        <f t="array" ref="P16">IF(B16&gt;0,'Direct Costs 2026'!$C$59*B16,"N/A")</f>
        <v>N/A</v>
      </c>
      <c r="Q16" t="str" s="640" cm="1">
        <f t="array" ref="Q16">IF(B16&gt;0,_xlfn.IFERROR(VLOOKUP(C2,'Boats Data Sheet 2026'!$C$3:$I$57,7,0)*'Direct Costs 2026'!$C$36,"N/A"),"N/A")</f>
        <v>N/A</v>
      </c>
      <c r="R16" s="639"/>
      <c r="S16" t="str" s="640" cm="1">
        <f t="array" ref="S16">IF(B16&gt;0,IF(OR(VLOOKUP(C2,'Boats Data Sheet 2026'!$C$3:$F$57,4,0)="Own",VLOOKUP(C2,'Boats Data Sheet 2026'!$C$3:$F$57,4,0)="Management"),('Direct Costs 2026'!$C$37+'Direct Costs 2026'!$C$39),"N/A"),"N/A")</f>
        <v>N/A</v>
      </c>
      <c r="T16" t="str" s="640" cm="1">
        <f t="array" ref="T16">_xlfn.IFERROR(IF(B16&gt;5,IF(B16&gt;11,IF(B16&gt;15,4,3),2),IF(B16=0,"N/A",1))*SUM('Direct Costs 2026'!$C$67:$C$68),"N/A")</f>
        <v>N/A</v>
      </c>
      <c r="U16" t="str" s="640" cm="1">
        <f t="array" ref="U16">_xlfn.IFERROR('Direct Costs 2026'!$C$27*C16,"N/A")</f>
        <v>N/A</v>
      </c>
      <c r="V16" t="str" s="640" cm="1">
        <f t="array" ref="V16">_xlfn.IFERROR(C16+SUM(E16:U16),"N/A")</f>
        <v>N/A</v>
      </c>
      <c r="W16" s="424"/>
      <c r="X16" t="str" s="640" cm="1">
        <f t="array" ref="X16">IF(B16&gt;0,'Allocation OH and Target 2026'!$E$31,"N/A")</f>
        <v>N/A</v>
      </c>
      <c r="Y16" t="str" s="640" cm="1">
        <f t="array" ref="Y16">IF(B16&gt;0,VLOOKUP(C2,'Allocation OH and Target 2026'!$C$5:$T$23,16,0),"N/A")</f>
        <v>N/A</v>
      </c>
      <c r="Z16" t="str" s="640" cm="1">
        <f t="array" ref="Z16">_xlfn.IFERROR((X16+Y16),"N/A")</f>
        <v>N/A</v>
      </c>
      <c r="AA16" s="424"/>
      <c r="AB16" t="str" s="640" cm="1">
        <f t="array" ref="AB16">_xlfn.IFERROR(Z16+V16,"N/A")</f>
        <v>N/A</v>
      </c>
      <c r="AC16" t="str" s="640" cm="1">
        <f t="array" ref="AC16">_xlfn.IFERROR(AB16*0.5%,"N/A")</f>
        <v>N/A</v>
      </c>
      <c r="AD16" t="str" s="640" cm="1">
        <f t="array" ref="AD16">_xlfn.IFERROR(AB16*25%,"N/A")</f>
        <v>N/A</v>
      </c>
      <c r="AE16" t="str" s="648" cm="1">
        <f t="array" ref="AE16">IF(B16&gt;0,SUM(AB16:AD16),"N/A")</f>
        <v>N/A</v>
      </c>
      <c r="AF16" t="str" s="640" cm="1">
        <f t="array" ref="AF16">_xlfn.IFERROR(AE16/B16,"N/A")</f>
        <v>N/A</v>
      </c>
      <c r="AG16" s="424"/>
      <c r="AH16" t="str" s="648" cm="1">
        <f t="array" ref="AH16">IF(B16/VLOOKUP(C2,'Boats Data Sheet 2026'!$C$3:$H$57,6,0)&gt;VLOOKUP(C2,'Allocation OH and Target 2026'!$C$5:$J$23,8,0),IF(SUM(AI4:AI15)=0,AF16,"N/A"),"N/A")</f>
        <v>N/A</v>
      </c>
      <c r="AI16" s="424" cm="1">
        <f t="array" ref="AI16">IF(AH16="N/A",0,1)</f>
        <v>0</v>
      </c>
      <c r="AJ16" t="str" s="640" cm="1">
        <f t="array" ref="AJ16">IF(B16/VLOOKUP(C2,'Boats Data Sheet 2026'!$C$3:$H$57,6,0)&gt;VLOOKUP(C2,'Allocation OH and Target 2026'!$C$5:$J$23,8,0),IF(SUM(AI4:AI15)=0,V16/B16,"N/A"),"N/A")</f>
        <v>N/A</v>
      </c>
      <c r="AK16" s="424" cm="1">
        <f t="array" ref="AK16">IF(AJ16="N/A",0,1)</f>
        <v>0</v>
      </c>
      <c r="AL16" t="str" s="628" cm="1">
        <f t="array" ref="AL16">IF(SUM(1250000+700000)*B16&lt;SUM(AB16:AC16),"NO GO","GO")</f>
        <v>GO</v>
      </c>
      <c r="AM16" s="424"/>
      <c r="AN16" s="639"/>
      <c r="AO16" s="639"/>
      <c r="AP16" s="639"/>
      <c r="AQ16" s="645"/>
      <c r="AR16" s="601" cm="1">
        <f t="array" ref="AR16">B16</f>
        <v>0</v>
      </c>
    </row>
    <row r="17" ht="9" customHeight="1" hidden="1">
      <c r="A17" s="12"/>
      <c r="B17" s="646">
        <v>0</v>
      </c>
      <c r="C17" t="str" s="640" cm="1">
        <f t="array" ref="C17">IF(B17&gt;0,IF(VLOOKUP(C2,'Boats Data Sheet 2026'!$C$3:$J$57,8,0)="N/A",0,VLOOKUP(C2,'Boats Data Sheet 2026'!$C$3:$J$57,8,0)),"N/A")</f>
        <v>N/A</v>
      </c>
      <c r="D17" t="str" s="649" cm="1">
        <f t="array" ref="D17">IF(B17&gt;7,2,IF(B17=0,"N/A",1))</f>
        <v>N/A</v>
      </c>
      <c r="E17" t="str" s="640" cm="1">
        <f t="array" ref="E17">_xlfn.IFERROR(SUM('Direct Costs 2026'!$C$4:$C$6)*D17,"N/A")</f>
        <v>N/A</v>
      </c>
      <c r="F17" s="639" cm="1">
        <f t="array" ref="F17">_xlfn.IFERROR('Direct Costs 2026'!$C$43*B17,"N/A")</f>
        <v>0</v>
      </c>
      <c r="G17" t="str" s="640" cm="1">
        <f t="array" ref="G17">IF(B17&gt;0,'Direct Costs 2026'!$C$25,"N/A")</f>
        <v>N/A</v>
      </c>
      <c r="H17" t="str" s="640" cm="1">
        <f t="array" ref="H17">IF(B17&gt;0,'Direct Costs 2026'!$C$19+'Direct Costs 2026'!$C$18*B17,"N/A")</f>
        <v>N/A</v>
      </c>
      <c r="I17" t="str" s="640" cm="1">
        <f t="array" ref="I17">IF(B17&gt;0,SUM('Direct Costs 2026'!$C$20:$C$21),"N/A")</f>
        <v>N/A</v>
      </c>
      <c r="J17" t="str" s="640" cm="1">
        <f t="array" ref="J17">IF(B17&gt;0,'Direct Costs 2026'!$C$14,"N/A")</f>
        <v>N/A</v>
      </c>
      <c r="K17" t="str" s="640" cm="1">
        <f t="array" ref="K17">IF(B17&gt;0,'Direct Costs 2026'!$C$26,"N/A")</f>
        <v>N/A</v>
      </c>
      <c r="L17" t="str" s="640" cm="1">
        <f t="array" ref="L17">IF(B17&gt;0,SUM('Direct Costs 2026'!$C$23:$C$24),"N/A")</f>
        <v>N/A</v>
      </c>
      <c r="M17" t="str" s="640" cm="1">
        <f t="array" ref="M17">IF(B17&gt;0,'Direct Costs 2026'!$C$45*B17,"N/A")</f>
        <v>N/A</v>
      </c>
      <c r="N17" t="str" s="640" cm="1">
        <f t="array" ref="N17">IF($B17&gt;0,'Direct Costs 2026'!$C$29,"N/A")</f>
        <v>N/A</v>
      </c>
      <c r="O17" t="str" s="640" cm="1">
        <f t="array" ref="O17">IF($B17&gt;0,'Direct Costs 2026'!$C$31,"N/A")</f>
        <v>N/A</v>
      </c>
      <c r="P17" t="str" s="640" cm="1">
        <f t="array" ref="P17">IF(B17&gt;0,'Direct Costs 2026'!$C$59*B17,"N/A")</f>
        <v>N/A</v>
      </c>
      <c r="Q17" t="str" s="640" cm="1">
        <f t="array" ref="Q17">IF(B17&gt;0,_xlfn.IFERROR(VLOOKUP(C2,'Boats Data Sheet 2026'!$C$3:$I$57,7,0)*'Direct Costs 2026'!$C$36,"N/A"),"N/A")</f>
        <v>N/A</v>
      </c>
      <c r="R17" s="639"/>
      <c r="S17" t="str" s="640" cm="1">
        <f t="array" ref="S17">IF(B17&gt;0,IF(OR(VLOOKUP(C2,'Boats Data Sheet 2026'!$C$3:$F$57,4,0)="Own",VLOOKUP(C2,'Boats Data Sheet 2026'!$C$3:$F$57,4,0)="Management"),('Direct Costs 2026'!$C$37+'Direct Costs 2026'!$C$39),"N/A"),"N/A")</f>
        <v>N/A</v>
      </c>
      <c r="T17" t="str" s="640" cm="1">
        <f t="array" ref="T17">_xlfn.IFERROR(IF(B17&gt;5,IF(B17&gt;11,IF(B17&gt;15,4,3),2),IF(B17=0,"N/A",1))*SUM('Direct Costs 2026'!$C$67:$C$68),"N/A")</f>
        <v>N/A</v>
      </c>
      <c r="U17" t="str" s="640" cm="1">
        <f t="array" ref="U17">_xlfn.IFERROR('Direct Costs 2026'!$C$27*C17,"N/A")</f>
        <v>N/A</v>
      </c>
      <c r="V17" t="str" s="640" cm="1">
        <f t="array" ref="V17">_xlfn.IFERROR(C17+SUM(E17:U17),"N/A")</f>
        <v>N/A</v>
      </c>
      <c r="W17" s="424"/>
      <c r="X17" t="str" s="640" cm="1">
        <f t="array" ref="X17">IF(B17&gt;0,'Allocation OH and Target 2026'!$E$31,"N/A")</f>
        <v>N/A</v>
      </c>
      <c r="Y17" t="str" s="640" cm="1">
        <f t="array" ref="Y17">IF(B17&gt;0,VLOOKUP(C2,'Allocation OH and Target 2026'!$C$5:$T$23,16,0),"N/A")</f>
        <v>N/A</v>
      </c>
      <c r="Z17" t="str" s="640" cm="1">
        <f t="array" ref="Z17">_xlfn.IFERROR((X17+Y17),"N/A")</f>
        <v>N/A</v>
      </c>
      <c r="AA17" s="424"/>
      <c r="AB17" t="str" s="640" cm="1">
        <f t="array" ref="AB17">_xlfn.IFERROR(Z17+V17,"N/A")</f>
        <v>N/A</v>
      </c>
      <c r="AC17" t="str" s="640" cm="1">
        <f t="array" ref="AC17">_xlfn.IFERROR(AB17*0.5%,"N/A")</f>
        <v>N/A</v>
      </c>
      <c r="AD17" t="str" s="640" cm="1">
        <f t="array" ref="AD17">_xlfn.IFERROR(AB17*25%,"N/A")</f>
        <v>N/A</v>
      </c>
      <c r="AE17" t="str" s="648" cm="1">
        <f t="array" ref="AE17">IF(B17&gt;0,SUM(AB17:AD17),"N/A")</f>
        <v>N/A</v>
      </c>
      <c r="AF17" t="str" s="640" cm="1">
        <f t="array" ref="AF17">_xlfn.IFERROR(AE17/B17,"N/A")</f>
        <v>N/A</v>
      </c>
      <c r="AG17" s="424"/>
      <c r="AH17" t="str" s="648" cm="1">
        <f t="array" ref="AH17">IF(B17/VLOOKUP(C2,'Boats Data Sheet 2026'!$C$3:$H$57,6,0)&gt;VLOOKUP(C2,'Allocation OH and Target 2026'!$C$5:$J$23,8,0),IF(SUM(AI4:AI16)=0,AF17,"N/A"),"N/A")</f>
        <v>N/A</v>
      </c>
      <c r="AI17" s="424" cm="1">
        <f t="array" ref="AI17">IF(AH17="N/A",0,1)</f>
        <v>0</v>
      </c>
      <c r="AJ17" t="str" s="640" cm="1">
        <f t="array" ref="AJ17">IF(B17/VLOOKUP(C2,'Boats Data Sheet 2026'!$C$3:$H$57,6,0)&gt;VLOOKUP(C2,'Allocation OH and Target 2026'!$C$5:$J$23,8,0),IF(SUM(AI4:AI16)=0,V17/B17,"N/A"),"N/A")</f>
        <v>N/A</v>
      </c>
      <c r="AK17" s="424" cm="1">
        <f t="array" ref="AK17">IF(AJ17="N/A",0,1)</f>
        <v>0</v>
      </c>
      <c r="AL17" t="str" s="628" cm="1">
        <f t="array" ref="AL17">IF(SUM(1250000+700000)*B17&lt;SUM(AB17:AC17),"NO GO","GO")</f>
        <v>GO</v>
      </c>
      <c r="AM17" s="424"/>
      <c r="AN17" s="639"/>
      <c r="AO17" s="639"/>
      <c r="AP17" s="639"/>
      <c r="AQ17" s="645"/>
      <c r="AR17" s="601" cm="1">
        <f t="array" ref="AR17">B17</f>
        <v>0</v>
      </c>
    </row>
    <row r="18" ht="9" customHeight="1" hidden="1">
      <c r="A18" s="12"/>
      <c r="B18" s="646">
        <v>0</v>
      </c>
      <c r="C18" t="str" s="640" cm="1">
        <f t="array" ref="C18">IF(B18&gt;0,IF(VLOOKUP(C2,'Boats Data Sheet 2026'!$C$3:$J$57,8,0)="N/A",0,VLOOKUP(C2,'Boats Data Sheet 2026'!$C$3:$J$57,8,0)),"N/A")</f>
        <v>N/A</v>
      </c>
      <c r="D18" t="str" s="640" cm="1">
        <f t="array" ref="D18">IF(B18&gt;7,2,IF(B18=0,"N/A",1))</f>
        <v>N/A</v>
      </c>
      <c r="E18" t="str" s="640" cm="1">
        <f t="array" ref="E18">_xlfn.IFERROR(SUM('Direct Costs 2026'!$C$4:$C$6)*D18,"N/A")</f>
        <v>N/A</v>
      </c>
      <c r="F18" s="639" cm="1">
        <f t="array" ref="F18">_xlfn.IFERROR('Direct Costs 2026'!$C$43*B18,"N/A")</f>
        <v>0</v>
      </c>
      <c r="G18" t="str" s="640" cm="1">
        <f t="array" ref="G18">IF(B18&gt;0,'Direct Costs 2026'!$C$25,"N/A")</f>
        <v>N/A</v>
      </c>
      <c r="H18" t="str" s="640" cm="1">
        <f t="array" ref="H18">IF(B18&gt;0,'Direct Costs 2026'!$C$19+'Direct Costs 2026'!$C$18*B18,"N/A")</f>
        <v>N/A</v>
      </c>
      <c r="I18" t="str" s="640" cm="1">
        <f t="array" ref="I18">IF(B18&gt;0,SUM('Direct Costs 2026'!$C$20:$C$21),"N/A")</f>
        <v>N/A</v>
      </c>
      <c r="J18" t="str" s="640" cm="1">
        <f t="array" ref="J18">IF(B18&gt;0,'Direct Costs 2026'!$C$14,"N/A")</f>
        <v>N/A</v>
      </c>
      <c r="K18" t="str" s="640" cm="1">
        <f t="array" ref="K18">IF(B18&gt;0,'Direct Costs 2026'!$C$26,"N/A")</f>
        <v>N/A</v>
      </c>
      <c r="L18" t="str" s="640" cm="1">
        <f t="array" ref="L18">IF(B18&gt;0,SUM('Direct Costs 2026'!$C$23:$C$24),"N/A")</f>
        <v>N/A</v>
      </c>
      <c r="M18" t="str" s="640" cm="1">
        <f t="array" ref="M18">IF(B18&gt;0,'Direct Costs 2026'!$C$45*B18,"N/A")</f>
        <v>N/A</v>
      </c>
      <c r="N18" t="str" s="640" cm="1">
        <f t="array" ref="N18">IF($B18&gt;0,'Direct Costs 2026'!$C$29,"N/A")</f>
        <v>N/A</v>
      </c>
      <c r="O18" t="str" s="640" cm="1">
        <f t="array" ref="O18">IF($B18&gt;0,'Direct Costs 2026'!$C$31,"N/A")</f>
        <v>N/A</v>
      </c>
      <c r="P18" t="str" s="640" cm="1">
        <f t="array" ref="P18">IF(B18&gt;0,'Direct Costs 2026'!$C$59*B18,"N/A")</f>
        <v>N/A</v>
      </c>
      <c r="Q18" t="str" s="640" cm="1">
        <f t="array" ref="Q18">IF(B18&gt;0,_xlfn.IFERROR(VLOOKUP(C2,'Boats Data Sheet 2026'!$C$3:$I$57,7,0)*'Direct Costs 2026'!$C$36,"N/A"),"N/A")</f>
        <v>N/A</v>
      </c>
      <c r="R18" s="639"/>
      <c r="S18" t="str" s="640" cm="1">
        <f t="array" ref="S18">IF(B18&gt;0,IF(OR(VLOOKUP(C2,'Boats Data Sheet 2026'!$C$3:$F$57,4,0)="Own",VLOOKUP(C2,'Boats Data Sheet 2026'!$C$3:$F$57,4,0)="Management"),('Direct Costs 2026'!$C$37+'Direct Costs 2026'!$C$39),"N/A"),"N/A")</f>
        <v>N/A</v>
      </c>
      <c r="T18" t="str" s="640" cm="1">
        <f t="array" ref="T18">_xlfn.IFERROR(IF(B18&gt;5,IF(B18&gt;11,IF(B18&gt;15,4,3),2),IF(B18=0,"N/A",1))*SUM('Direct Costs 2026'!$C$67:$C$68),"N/A")</f>
        <v>N/A</v>
      </c>
      <c r="U18" t="str" s="640" cm="1">
        <f t="array" ref="U18">_xlfn.IFERROR('Direct Costs 2026'!$C$27*C18,"N/A")</f>
        <v>N/A</v>
      </c>
      <c r="V18" t="str" s="640" cm="1">
        <f t="array" ref="V18">_xlfn.IFERROR(C18+SUM(E18:U18),"N/A")</f>
        <v>N/A</v>
      </c>
      <c r="W18" s="424"/>
      <c r="X18" t="str" s="640" cm="1">
        <f t="array" ref="X18">IF(B18&gt;0,'Allocation OH and Target 2026'!$E$31,"N/A")</f>
        <v>N/A</v>
      </c>
      <c r="Y18" t="str" s="640" cm="1">
        <f t="array" ref="Y18">IF(B18&gt;0,VLOOKUP(C2,'Allocation OH and Target 2026'!$C$5:$T$23,16,0),"N/A")</f>
        <v>N/A</v>
      </c>
      <c r="Z18" t="str" s="640" cm="1">
        <f t="array" ref="Z18">_xlfn.IFERROR((X18+Y18),"N/A")</f>
        <v>N/A</v>
      </c>
      <c r="AA18" s="424"/>
      <c r="AB18" t="str" s="640" cm="1">
        <f t="array" ref="AB18">_xlfn.IFERROR(Z18+V18,"N/A")</f>
        <v>N/A</v>
      </c>
      <c r="AC18" t="str" s="640" cm="1">
        <f t="array" ref="AC18">_xlfn.IFERROR(AB18*0.5%,"N/A")</f>
        <v>N/A</v>
      </c>
      <c r="AD18" t="str" s="640" cm="1">
        <f t="array" ref="AD18">_xlfn.IFERROR(AB18*25%,"N/A")</f>
        <v>N/A</v>
      </c>
      <c r="AE18" t="str" s="648" cm="1">
        <f t="array" ref="AE18">IF(B18&gt;0,SUM(AB18:AD18),"N/A")</f>
        <v>N/A</v>
      </c>
      <c r="AF18" t="str" s="640" cm="1">
        <f t="array" ref="AF18">_xlfn.IFERROR(AE18/B18,"N/A")</f>
        <v>N/A</v>
      </c>
      <c r="AG18" s="424"/>
      <c r="AH18" t="str" s="648" cm="1">
        <f t="array" ref="AH18">IF(B18/VLOOKUP(C2,'Boats Data Sheet 2026'!$C$3:$H$57,6,0)&gt;VLOOKUP(C2,'Allocation OH and Target 2026'!$C$5:$J$23,8,0),IF(SUM(AI4:AI17)=0,AF18,"N/A"),"N/A")</f>
        <v>N/A</v>
      </c>
      <c r="AI18" s="424" cm="1">
        <f t="array" ref="AI18">IF(AH18="N/A",0,1)</f>
        <v>0</v>
      </c>
      <c r="AJ18" t="str" s="640" cm="1">
        <f t="array" ref="AJ18">IF(B18/VLOOKUP(C2,'Boats Data Sheet 2026'!$C$3:$H$57,6,0)&gt;VLOOKUP(C2,'Allocation OH and Target 2026'!$C$5:$J$23,8,0),IF(SUM(AI4:AI17)=0,V18/B18,"N/A"),"N/A")</f>
        <v>N/A</v>
      </c>
      <c r="AK18" s="424" cm="1">
        <f t="array" ref="AK18">IF(AJ18="N/A",0,1)</f>
        <v>0</v>
      </c>
      <c r="AL18" t="str" s="628" cm="1">
        <f t="array" ref="AL18">IF(SUM(1250000+700000)*B18&lt;SUM(AB18:AC18),"NO GO","GO")</f>
        <v>GO</v>
      </c>
      <c r="AM18" s="424"/>
      <c r="AN18" s="639"/>
      <c r="AO18" s="639"/>
      <c r="AP18" s="639"/>
      <c r="AQ18" s="645"/>
      <c r="AR18" s="601" cm="1">
        <f t="array" ref="AR18">B18</f>
        <v>0</v>
      </c>
    </row>
    <row r="19" ht="9" customHeight="1" hidden="1">
      <c r="A19" s="12"/>
      <c r="B19" s="646">
        <v>0</v>
      </c>
      <c r="C19" t="str" s="640" cm="1">
        <f t="array" ref="C19">IF(B19&gt;0,IF(VLOOKUP(C2,'Boats Data Sheet 2026'!$C$3:$J$57,8,0)="N/A",0,VLOOKUP(C2,'Boats Data Sheet 2026'!$C$3:$J$57,8,0)),"N/A")</f>
        <v>N/A</v>
      </c>
      <c r="D19" t="str" s="640" cm="1">
        <f t="array" ref="D19">IF(B19&gt;7,2,IF(B19=0,"N/A",1))</f>
        <v>N/A</v>
      </c>
      <c r="E19" t="str" s="640" cm="1">
        <f t="array" ref="E19">_xlfn.IFERROR(SUM('Direct Costs 2026'!$C$4:$C$6)*D19,"N/A")</f>
        <v>N/A</v>
      </c>
      <c r="F19" s="639" cm="1">
        <f t="array" ref="F19">_xlfn.IFERROR('Direct Costs 2026'!$C$43*B19,"N/A")</f>
        <v>0</v>
      </c>
      <c r="G19" t="str" s="640" cm="1">
        <f t="array" ref="G19">IF(B19&gt;0,'Direct Costs 2026'!$C$25,"N/A")</f>
        <v>N/A</v>
      </c>
      <c r="H19" t="str" s="640" cm="1">
        <f t="array" ref="H19">IF(B19&gt;0,'Direct Costs 2026'!$C$19+'Direct Costs 2026'!$C$18*B19,"N/A")</f>
        <v>N/A</v>
      </c>
      <c r="I19" t="str" s="640" cm="1">
        <f t="array" ref="I19">IF(B19&gt;0,SUM('Direct Costs 2026'!$C$20:$C$21),"N/A")</f>
        <v>N/A</v>
      </c>
      <c r="J19" t="str" s="640" cm="1">
        <f t="array" ref="J19">IF(B19&gt;0,'Direct Costs 2026'!$C$14,"N/A")</f>
        <v>N/A</v>
      </c>
      <c r="K19" t="str" s="640" cm="1">
        <f t="array" ref="K19">IF(B19&gt;0,'Direct Costs 2026'!$C$26,"N/A")</f>
        <v>N/A</v>
      </c>
      <c r="L19" t="str" s="640" cm="1">
        <f t="array" ref="L19">IF(B19&gt;0,SUM('Direct Costs 2026'!$C$23:$C$24),"N/A")</f>
        <v>N/A</v>
      </c>
      <c r="M19" t="str" s="640" cm="1">
        <f t="array" ref="M19">IF(B19&gt;0,'Direct Costs 2026'!$C$45*B19,"N/A")</f>
        <v>N/A</v>
      </c>
      <c r="N19" t="str" s="640" cm="1">
        <f t="array" ref="N19">IF($B19&gt;0,'Direct Costs 2026'!$C$29,"N/A")</f>
        <v>N/A</v>
      </c>
      <c r="O19" t="str" s="640" cm="1">
        <f t="array" ref="O19">IF($B19&gt;0,'Direct Costs 2026'!$C$31,"N/A")</f>
        <v>N/A</v>
      </c>
      <c r="P19" t="str" s="640" cm="1">
        <f t="array" ref="P19">IF(B19&gt;0,'Direct Costs 2026'!$C$59*B19,"N/A")</f>
        <v>N/A</v>
      </c>
      <c r="Q19" t="str" s="640" cm="1">
        <f t="array" ref="Q19">IF(B19&gt;0,_xlfn.IFERROR(VLOOKUP(C2,'Boats Data Sheet 2026'!$C$3:$I$57,7,0)*'Direct Costs 2026'!$C$36,"N/A"),"N/A")</f>
        <v>N/A</v>
      </c>
      <c r="R19" s="639"/>
      <c r="S19" t="str" s="640" cm="1">
        <f t="array" ref="S19">IF(B19&gt;0,IF(OR(VLOOKUP(C2,'Boats Data Sheet 2026'!$C$3:$F$57,4,0)="Own",VLOOKUP(C2,'Boats Data Sheet 2026'!$C$3:$F$57,4,0)="Management"),('Direct Costs 2026'!$C$37+'Direct Costs 2026'!$C$39),"N/A"),"N/A")</f>
        <v>N/A</v>
      </c>
      <c r="T19" t="str" s="640" cm="1">
        <f t="array" ref="T19">_xlfn.IFERROR(IF(B19&gt;5,IF(B19&gt;11,IF(B19&gt;15,4,3),2),IF(B19=0,"N/A",1))*SUM('Direct Costs 2026'!$C$67:$C$68),"N/A")</f>
        <v>N/A</v>
      </c>
      <c r="U19" t="str" s="640" cm="1">
        <f t="array" ref="U19">_xlfn.IFERROR('Direct Costs 2026'!$C$27*C19,"N/A")</f>
        <v>N/A</v>
      </c>
      <c r="V19" t="str" s="640" cm="1">
        <f t="array" ref="V19">_xlfn.IFERROR(C19+SUM(E19:U19),"N/A")</f>
        <v>N/A</v>
      </c>
      <c r="W19" s="424"/>
      <c r="X19" t="str" s="640" cm="1">
        <f t="array" ref="X19">IF(B19&gt;0,'Allocation OH and Target 2026'!$E$31,"N/A")</f>
        <v>N/A</v>
      </c>
      <c r="Y19" t="str" s="640" cm="1">
        <f t="array" ref="Y19">IF(B19&gt;0,VLOOKUP(C2,'Allocation OH and Target 2026'!$C$5:$T$23,16,0),"N/A")</f>
        <v>N/A</v>
      </c>
      <c r="Z19" t="str" s="640" cm="1">
        <f t="array" ref="Z19">_xlfn.IFERROR((X19+Y19),"N/A")</f>
        <v>N/A</v>
      </c>
      <c r="AA19" s="424"/>
      <c r="AB19" t="str" s="640" cm="1">
        <f t="array" ref="AB19">_xlfn.IFERROR(Z19+V19,"N/A")</f>
        <v>N/A</v>
      </c>
      <c r="AC19" t="str" s="640" cm="1">
        <f t="array" ref="AC19">_xlfn.IFERROR(AB19*0.5%,"N/A")</f>
        <v>N/A</v>
      </c>
      <c r="AD19" t="str" s="640" cm="1">
        <f t="array" ref="AD19">_xlfn.IFERROR(AB19*25%,"N/A")</f>
        <v>N/A</v>
      </c>
      <c r="AE19" t="str" s="648" cm="1">
        <f t="array" ref="AE19">IF(B19&gt;0,SUM(AB19:AD19),"N/A")</f>
        <v>N/A</v>
      </c>
      <c r="AF19" t="str" s="640" cm="1">
        <f t="array" ref="AF19">_xlfn.IFERROR(AE19/B19,"N/A")</f>
        <v>N/A</v>
      </c>
      <c r="AG19" s="424"/>
      <c r="AH19" t="str" s="648" cm="1">
        <f t="array" ref="AH19">IF(B19/VLOOKUP(C2,'Boats Data Sheet 2026'!$C$3:$H$57,6,0)&gt;VLOOKUP(C2,'Allocation OH and Target 2026'!$C$5:$J$23,8,0),IF(SUM(AI4:AI18)=0,AF19,"N/A"),"N/A")</f>
        <v>N/A</v>
      </c>
      <c r="AI19" s="424" cm="1">
        <f t="array" ref="AI19">IF(AH19="N/A",0,1)</f>
        <v>0</v>
      </c>
      <c r="AJ19" t="str" s="640" cm="1">
        <f t="array" ref="AJ19">IF(B19/VLOOKUP(C2,'Boats Data Sheet 2026'!$C$3:$H$57,6,0)&gt;VLOOKUP(C2,'Allocation OH and Target 2026'!$C$5:$J$23,8,0),IF(SUM(AI4:AI18)=0,V19/B19,"N/A"),"N/A")</f>
        <v>N/A</v>
      </c>
      <c r="AK19" s="424" cm="1">
        <f t="array" ref="AK19">IF(AJ19="N/A",0,1)</f>
        <v>0</v>
      </c>
      <c r="AL19" t="str" s="628" cm="1">
        <f t="array" ref="AL19">IF(SUM(1250000+700000)*B19&lt;SUM(AB19:AC19),"NO GO","GO")</f>
        <v>GO</v>
      </c>
      <c r="AM19" s="424"/>
      <c r="AN19" s="639"/>
      <c r="AO19" s="639"/>
      <c r="AP19" s="639"/>
      <c r="AQ19" s="645"/>
      <c r="AR19" s="601" cm="1">
        <f t="array" ref="AR19">B19</f>
        <v>0</v>
      </c>
    </row>
    <row r="20" ht="9" customHeight="1" hidden="1">
      <c r="A20" s="12"/>
      <c r="B20" s="646">
        <v>0</v>
      </c>
      <c r="C20" t="str" s="640" cm="1">
        <f t="array" ref="C20">IF(B20&gt;0,IF(VLOOKUP(C2,'Boats Data Sheet 2026'!$C$3:$J$57,8,0)="N/A",0,VLOOKUP(C2,'Boats Data Sheet 2026'!$C$3:$J$57,8,0)),"N/A")</f>
        <v>N/A</v>
      </c>
      <c r="D20" t="str" s="640" cm="1">
        <f t="array" ref="D20">IF(B20&gt;7,2,IF(B20=0,"N/A",1))</f>
        <v>N/A</v>
      </c>
      <c r="E20" t="str" s="640" cm="1">
        <f t="array" ref="E20">_xlfn.IFERROR(SUM('Direct Costs 2026'!$C$4:$C$6)*D20,"N/A")</f>
        <v>N/A</v>
      </c>
      <c r="F20" s="639" cm="1">
        <f t="array" ref="F20">_xlfn.IFERROR('Direct Costs 2026'!$C$43*B20,"N/A")</f>
        <v>0</v>
      </c>
      <c r="G20" t="str" s="640" cm="1">
        <f t="array" ref="G20">IF(B20&gt;0,'Direct Costs 2026'!$C$25,"N/A")</f>
        <v>N/A</v>
      </c>
      <c r="H20" t="str" s="640" cm="1">
        <f t="array" ref="H20">IF(B20&gt;0,'Direct Costs 2026'!$C$19+'Direct Costs 2026'!$C$18*B20,"N/A")</f>
        <v>N/A</v>
      </c>
      <c r="I20" t="str" s="640" cm="1">
        <f t="array" ref="I20">IF(B20&gt;0,SUM('Direct Costs 2026'!$C$20:$C$21),"N/A")</f>
        <v>N/A</v>
      </c>
      <c r="J20" t="str" s="640" cm="1">
        <f t="array" ref="J20">IF(B20&gt;0,'Direct Costs 2026'!$C$14,"N/A")</f>
        <v>N/A</v>
      </c>
      <c r="K20" t="str" s="640" cm="1">
        <f t="array" ref="K20">IF(B20&gt;0,'Direct Costs 2026'!$C$26,"N/A")</f>
        <v>N/A</v>
      </c>
      <c r="L20" t="str" s="640" cm="1">
        <f t="array" ref="L20">IF(B20&gt;0,SUM('Direct Costs 2026'!$C$23:$C$24),"N/A")</f>
        <v>N/A</v>
      </c>
      <c r="M20" t="str" s="640" cm="1">
        <f t="array" ref="M20">IF(B20&gt;0,'Direct Costs 2026'!$C$45*B20,"N/A")</f>
        <v>N/A</v>
      </c>
      <c r="N20" t="str" s="640" cm="1">
        <f t="array" ref="N20">IF($B20&gt;0,'Direct Costs 2026'!$C$29,"N/A")</f>
        <v>N/A</v>
      </c>
      <c r="O20" t="str" s="640" cm="1">
        <f t="array" ref="O20">IF($B20&gt;0,'Direct Costs 2026'!$C$31,"N/A")</f>
        <v>N/A</v>
      </c>
      <c r="P20" t="str" s="640" cm="1">
        <f t="array" ref="P20">IF(B20&gt;0,'Direct Costs 2026'!$C$59*B20,"N/A")</f>
        <v>N/A</v>
      </c>
      <c r="Q20" t="str" s="640" cm="1">
        <f t="array" ref="Q20">IF(B20&gt;0,_xlfn.IFERROR(VLOOKUP(C2,'Boats Data Sheet 2026'!$C$3:$I$57,7,0)*'Direct Costs 2026'!$C$36,"N/A"),"N/A")</f>
        <v>N/A</v>
      </c>
      <c r="R20" s="639"/>
      <c r="S20" t="str" s="640" cm="1">
        <f t="array" ref="S20">IF(B20&gt;0,IF(OR(VLOOKUP(C2,'Boats Data Sheet 2026'!$C$3:$F$57,4,0)="Own",VLOOKUP(C2,'Boats Data Sheet 2026'!$C$3:$F$57,4,0)="Management"),('Direct Costs 2026'!$C$37+'Direct Costs 2026'!$C$39),"N/A"),"N/A")</f>
        <v>N/A</v>
      </c>
      <c r="T20" t="str" s="640" cm="1">
        <f t="array" ref="T20">_xlfn.IFERROR(IF(B20&gt;5,IF(B20&gt;11,IF(B20&gt;15,4,3),2),IF(B20=0,"N/A",1))*SUM('Direct Costs 2026'!$C$67:$C$68),"N/A")</f>
        <v>N/A</v>
      </c>
      <c r="U20" t="str" s="640" cm="1">
        <f t="array" ref="U20">_xlfn.IFERROR('Direct Costs 2026'!$C$27*C20,"N/A")</f>
        <v>N/A</v>
      </c>
      <c r="V20" t="str" s="640" cm="1">
        <f t="array" ref="V20">_xlfn.IFERROR(C20+SUM(E20:U20),"N/A")</f>
        <v>N/A</v>
      </c>
      <c r="W20" s="424"/>
      <c r="X20" t="str" s="640" cm="1">
        <f t="array" ref="X20">IF(B20&gt;0,'Allocation OH and Target 2026'!$E$31,"N/A")</f>
        <v>N/A</v>
      </c>
      <c r="Y20" t="str" s="640" cm="1">
        <f t="array" ref="Y20">IF(B20&gt;0,VLOOKUP(C2,'Allocation OH and Target 2026'!$C$5:$T$23,16,0),"N/A")</f>
        <v>N/A</v>
      </c>
      <c r="Z20" t="str" s="640" cm="1">
        <f t="array" ref="Z20">_xlfn.IFERROR((X20+Y20),"N/A")</f>
        <v>N/A</v>
      </c>
      <c r="AA20" s="424"/>
      <c r="AB20" t="str" s="640" cm="1">
        <f t="array" ref="AB20">_xlfn.IFERROR(Z20+V20,"N/A")</f>
        <v>N/A</v>
      </c>
      <c r="AC20" t="str" s="640" cm="1">
        <f t="array" ref="AC20">_xlfn.IFERROR(AB20*0.5%,"N/A")</f>
        <v>N/A</v>
      </c>
      <c r="AD20" t="str" s="640" cm="1">
        <f t="array" ref="AD20">_xlfn.IFERROR(AB20*25%,"N/A")</f>
        <v>N/A</v>
      </c>
      <c r="AE20" t="str" s="648" cm="1">
        <f t="array" ref="AE20">IF(B20&gt;0,SUM(AB20:AD20),"N/A")</f>
        <v>N/A</v>
      </c>
      <c r="AF20" t="str" s="640" cm="1">
        <f t="array" ref="AF20">_xlfn.IFERROR(AE20/B20,"N/A")</f>
        <v>N/A</v>
      </c>
      <c r="AG20" s="424"/>
      <c r="AH20" t="str" s="648" cm="1">
        <f t="array" ref="AH20">IF(B20/VLOOKUP(C2,'Boats Data Sheet 2026'!$C$3:$H$57,6,0)&gt;VLOOKUP(C2,'Allocation OH and Target 2026'!$C$5:$J$23,8,0),IF(SUM(AI4:AI19)=0,AF20,"N/A"),"N/A")</f>
        <v>N/A</v>
      </c>
      <c r="AI20" s="424" cm="1">
        <f t="array" ref="AI20">IF(AH20="N/A",0,1)</f>
        <v>0</v>
      </c>
      <c r="AJ20" t="str" s="640" cm="1">
        <f t="array" ref="AJ20">IF(B20/VLOOKUP(C2,'Boats Data Sheet 2026'!$C$3:$H$57,6,0)&gt;VLOOKUP(C2,'Allocation OH and Target 2026'!$C$5:$J$23,8,0),IF(SUM(AI4:AI19)=0,V20/B20,"N/A"),"N/A")</f>
        <v>N/A</v>
      </c>
      <c r="AK20" s="424" cm="1">
        <f t="array" ref="AK20">IF(AJ20="N/A",0,1)</f>
        <v>0</v>
      </c>
      <c r="AL20" t="str" s="628" cm="1">
        <f t="array" ref="AL20">IF(SUM(1250000+700000)*B20&lt;SUM(AB20:AC20),"NO GO","GO")</f>
        <v>GO</v>
      </c>
      <c r="AM20" s="424"/>
      <c r="AN20" s="639"/>
      <c r="AO20" s="639"/>
      <c r="AP20" s="639"/>
      <c r="AQ20" s="645"/>
      <c r="AR20" s="601" cm="1">
        <f t="array" ref="AR20">B20</f>
        <v>0</v>
      </c>
    </row>
    <row r="21" ht="9" customHeight="1" hidden="1">
      <c r="A21" s="12"/>
      <c r="B21" s="646">
        <v>0</v>
      </c>
      <c r="C21" t="str" s="640" cm="1">
        <f t="array" ref="C21">IF(B21&gt;0,IF(VLOOKUP(C2,'Boats Data Sheet 2026'!$C$3:$J$57,8,0)="N/A",0,VLOOKUP(C2,'Boats Data Sheet 2026'!$C$3:$J$57,8,0)),"N/A")</f>
        <v>N/A</v>
      </c>
      <c r="D21" t="str" s="640" cm="1">
        <f t="array" ref="D21">IF(B21&gt;7,2,IF(B21=0,"N/A",1))</f>
        <v>N/A</v>
      </c>
      <c r="E21" t="str" s="640" cm="1">
        <f t="array" ref="E21">_xlfn.IFERROR(SUM('Direct Costs 2026'!$C$4:$C$6)*D21,"N/A")</f>
        <v>N/A</v>
      </c>
      <c r="F21" s="639" cm="1">
        <f t="array" ref="F21">_xlfn.IFERROR('Direct Costs 2026'!$C$43*B21,"N/A")</f>
        <v>0</v>
      </c>
      <c r="G21" t="str" s="640" cm="1">
        <f t="array" ref="G21">IF(B21&gt;0,'Direct Costs 2026'!$C$25,"N/A")</f>
        <v>N/A</v>
      </c>
      <c r="H21" t="str" s="640" cm="1">
        <f t="array" ref="H21">IF(B21&gt;0,'Direct Costs 2026'!$C$19+'Direct Costs 2026'!$C$18*B21,"N/A")</f>
        <v>N/A</v>
      </c>
      <c r="I21" t="str" s="640" cm="1">
        <f t="array" ref="I21">IF(B21&gt;0,SUM('Direct Costs 2026'!$C$20:$C$21),"N/A")</f>
        <v>N/A</v>
      </c>
      <c r="J21" t="str" s="640" cm="1">
        <f t="array" ref="J21">IF(B21&gt;0,'Direct Costs 2026'!$C$14,"N/A")</f>
        <v>N/A</v>
      </c>
      <c r="K21" t="str" s="640" cm="1">
        <f t="array" ref="K21">IF(B21&gt;0,'Direct Costs 2026'!$C$26,"N/A")</f>
        <v>N/A</v>
      </c>
      <c r="L21" t="str" s="640" cm="1">
        <f t="array" ref="L21">IF(B21&gt;0,SUM('Direct Costs 2026'!$C$23:$C$24),"N/A")</f>
        <v>N/A</v>
      </c>
      <c r="M21" t="str" s="640" cm="1">
        <f t="array" ref="M21">IF(B21&gt;0,'Direct Costs 2026'!$C$45*B21,"N/A")</f>
        <v>N/A</v>
      </c>
      <c r="N21" t="str" s="640" cm="1">
        <f t="array" ref="N21">IF($B21&gt;0,'Direct Costs 2026'!$C$29,"N/A")</f>
        <v>N/A</v>
      </c>
      <c r="O21" t="str" s="640" cm="1">
        <f t="array" ref="O21">IF($B21&gt;0,'Direct Costs 2026'!$C$31,"N/A")</f>
        <v>N/A</v>
      </c>
      <c r="P21" t="str" s="640" cm="1">
        <f t="array" ref="P21">IF(B21&gt;0,'Direct Costs 2026'!$C$59*B21,"N/A")</f>
        <v>N/A</v>
      </c>
      <c r="Q21" t="str" s="640" cm="1">
        <f t="array" ref="Q21">IF(B21&gt;0,_xlfn.IFERROR(VLOOKUP(C2,'Boats Data Sheet 2026'!$C$3:$I$57,7,0)*'Direct Costs 2026'!$C$36,"N/A"),"N/A")</f>
        <v>N/A</v>
      </c>
      <c r="R21" s="639"/>
      <c r="S21" t="str" s="640" cm="1">
        <f t="array" ref="S21">IF(B21&gt;0,IF(OR(VLOOKUP(C2,'Boats Data Sheet 2026'!$C$3:$F$57,4,0)="Own",VLOOKUP(C2,'Boats Data Sheet 2026'!$C$3:$F$57,4,0)="Management"),('Direct Costs 2026'!$C$37+'Direct Costs 2026'!$C$39),"N/A"),"N/A")</f>
        <v>N/A</v>
      </c>
      <c r="T21" t="str" s="640" cm="1">
        <f t="array" ref="T21">_xlfn.IFERROR(IF(B21&gt;5,IF(B21&gt;11,IF(B21&gt;15,4,3),2),IF(B21=0,"N/A",1))*SUM('Direct Costs 2026'!$C$67:$C$68),"N/A")</f>
        <v>N/A</v>
      </c>
      <c r="U21" t="str" s="640" cm="1">
        <f t="array" ref="U21">_xlfn.IFERROR('Direct Costs 2026'!$C$27*C21,"N/A")</f>
        <v>N/A</v>
      </c>
      <c r="V21" t="str" s="640" cm="1">
        <f t="array" ref="V21">_xlfn.IFERROR(C21+SUM(E21:U21),"N/A")</f>
        <v>N/A</v>
      </c>
      <c r="W21" s="424"/>
      <c r="X21" t="str" s="640" cm="1">
        <f t="array" ref="X21">IF(B21&gt;0,'Allocation OH and Target 2026'!$E$31,"N/A")</f>
        <v>N/A</v>
      </c>
      <c r="Y21" t="str" s="640" cm="1">
        <f t="array" ref="Y21">IF(B21&gt;0,VLOOKUP(C2,'Allocation OH and Target 2026'!$C$5:$T$23,16,0),"N/A")</f>
        <v>N/A</v>
      </c>
      <c r="Z21" t="str" s="640" cm="1">
        <f t="array" ref="Z21">_xlfn.IFERROR((X21+Y21),"N/A")</f>
        <v>N/A</v>
      </c>
      <c r="AA21" s="424"/>
      <c r="AB21" t="str" s="640" cm="1">
        <f t="array" ref="AB21">_xlfn.IFERROR(Z21+V21,"N/A")</f>
        <v>N/A</v>
      </c>
      <c r="AC21" t="str" s="640" cm="1">
        <f t="array" ref="AC21">_xlfn.IFERROR(AB21*0.5%,"N/A")</f>
        <v>N/A</v>
      </c>
      <c r="AD21" t="str" s="640" cm="1">
        <f t="array" ref="AD21">_xlfn.IFERROR(AB21*25%,"N/A")</f>
        <v>N/A</v>
      </c>
      <c r="AE21" t="str" s="648" cm="1">
        <f t="array" ref="AE21">IF(B21&gt;0,SUM(AB21:AD21),"N/A")</f>
        <v>N/A</v>
      </c>
      <c r="AF21" t="str" s="640" cm="1">
        <f t="array" ref="AF21">_xlfn.IFERROR(AE21/B21,"N/A")</f>
        <v>N/A</v>
      </c>
      <c r="AG21" s="424"/>
      <c r="AH21" t="str" s="648" cm="1">
        <f t="array" ref="AH21">IF(B21/VLOOKUP(C2,'Boats Data Sheet 2026'!$C$3:$H$57,6,0)&gt;VLOOKUP(C2,'Allocation OH and Target 2026'!$C$5:$J$23,8,0),IF(SUM(AI4:AI20)=0,AF21,"N/A"),"N/A")</f>
        <v>N/A</v>
      </c>
      <c r="AI21" s="424" cm="1">
        <f t="array" ref="AI21">IF(AH21="N/A",0,1)</f>
        <v>0</v>
      </c>
      <c r="AJ21" t="str" s="640" cm="1">
        <f t="array" ref="AJ21">IF(B21/VLOOKUP(C2,'Boats Data Sheet 2026'!$C$3:$H$57,6,0)&gt;VLOOKUP(C2,'Allocation OH and Target 2026'!$C$5:$J$23,8,0),IF(SUM(AI4:AI20)=0,V21/B21,"N/A"),"N/A")</f>
        <v>N/A</v>
      </c>
      <c r="AK21" s="424" cm="1">
        <f t="array" ref="AK21">IF(AJ21="N/A",0,1)</f>
        <v>0</v>
      </c>
      <c r="AL21" t="str" s="628" cm="1">
        <f t="array" ref="AL21">IF(SUM(1250000+700000)*B21&lt;SUM(AB21:AC21),"NO GO","GO")</f>
        <v>GO</v>
      </c>
      <c r="AM21" s="424"/>
      <c r="AN21" s="639"/>
      <c r="AO21" s="639"/>
      <c r="AP21" s="639"/>
      <c r="AQ21" s="645"/>
      <c r="AR21" s="601" cm="1">
        <f t="array" ref="AR21">B21</f>
        <v>0</v>
      </c>
    </row>
    <row r="22" ht="15.5" customHeight="1">
      <c r="A22" s="12"/>
      <c r="B22" s="650">
        <v>0</v>
      </c>
      <c r="C22" t="str" s="651" cm="1">
        <f t="array" ref="C22">IF(B22&gt;0,IF(VLOOKUP(C2,'Boats Data Sheet 2026'!$C$3:$J$57,8,0)="N/A",0,VLOOKUP(C2,'Boats Data Sheet 2026'!$C$3:$J$57,8,0)),"N/A")</f>
        <v>N/A</v>
      </c>
      <c r="D22" t="str" s="651" cm="1">
        <f t="array" ref="D22">IF(B22&gt;7,2,IF(B22=0,"N/A",1))</f>
        <v>N/A</v>
      </c>
      <c r="E22" t="str" s="651" cm="1">
        <f t="array" ref="E22">_xlfn.IFERROR(SUM('Direct Costs 2026'!$C$4:$C$6)*D22,"N/A")</f>
        <v>N/A</v>
      </c>
      <c r="F22" s="652" cm="1">
        <f t="array" ref="F22">_xlfn.IFERROR('Direct Costs 2026'!$C$43*B22,"N/A")</f>
        <v>0</v>
      </c>
      <c r="G22" t="str" s="651" cm="1">
        <f t="array" ref="G22">IF(B22&gt;0,'Direct Costs 2026'!$C$25,"N/A")</f>
        <v>N/A</v>
      </c>
      <c r="H22" t="str" s="651" cm="1">
        <f t="array" ref="H22">IF(B22&gt;0,'Direct Costs 2026'!$C$19+'Direct Costs 2026'!$C$18*B22,"N/A")</f>
        <v>N/A</v>
      </c>
      <c r="I22" t="str" s="651" cm="1">
        <f t="array" ref="I22">IF(B22&gt;0,SUM('Direct Costs 2026'!$C$20:$C$21),"N/A")</f>
        <v>N/A</v>
      </c>
      <c r="J22" t="str" s="651" cm="1">
        <f t="array" ref="J22">IF(B22&gt;0,'Direct Costs 2026'!$C$14,"N/A")</f>
        <v>N/A</v>
      </c>
      <c r="K22" t="str" s="651" cm="1">
        <f t="array" ref="K22">IF(B22&gt;0,'Direct Costs 2026'!$C$26,"N/A")</f>
        <v>N/A</v>
      </c>
      <c r="L22" t="str" s="651" cm="1">
        <f t="array" ref="L22">IF(B22&gt;0,SUM('Direct Costs 2026'!$C$23:$C$24),"N/A")</f>
        <v>N/A</v>
      </c>
      <c r="M22" t="str" s="651" cm="1">
        <f t="array" ref="M22">IF(B22&gt;0,'Direct Costs 2026'!$C$45*B22,"N/A")</f>
        <v>N/A</v>
      </c>
      <c r="N22" t="str" s="651" cm="1">
        <f t="array" ref="N22">IF($B22&gt;0,'Direct Costs 2026'!$C$29,"N/A")</f>
        <v>N/A</v>
      </c>
      <c r="O22" t="str" s="651" cm="1">
        <f t="array" ref="O22">IF($B22&gt;0,'Direct Costs 2026'!$C$31,"N/A")</f>
        <v>N/A</v>
      </c>
      <c r="P22" t="str" s="651" cm="1">
        <f t="array" ref="P22">IF(B22&gt;0,'Direct Costs 2026'!$C$59*B22,"N/A")</f>
        <v>N/A</v>
      </c>
      <c r="Q22" t="str" s="651" cm="1">
        <f t="array" ref="Q22">IF(B22&gt;0,_xlfn.IFERROR(VLOOKUP(C2,'Boats Data Sheet 2026'!$C$3:$I$57,7,0)*'Direct Costs 2026'!$C$36,"N/A"),"N/A")</f>
        <v>N/A</v>
      </c>
      <c r="R22" s="652"/>
      <c r="S22" t="str" s="651" cm="1">
        <f t="array" ref="S22">IF(B22&gt;0,IF(OR(VLOOKUP(C2,'Boats Data Sheet 2026'!$C$3:$F$57,4,0)="Own",VLOOKUP(C2,'Boats Data Sheet 2026'!$C$3:$F$57,4,0)="Management"),('Direct Costs 2026'!$C$37+'Direct Costs 2026'!$C$39),"N/A"),"N/A")</f>
        <v>N/A</v>
      </c>
      <c r="T22" t="str" s="651" cm="1">
        <f t="array" ref="T22">_xlfn.IFERROR(IF(B22&gt;5,IF(B22&gt;11,IF(B22&gt;15,4,3),2),IF(B22=0,"N/A",1))*SUM('Direct Costs 2026'!$C$67:$C$68),"N/A")</f>
        <v>N/A</v>
      </c>
      <c r="U22" t="str" s="651" cm="1">
        <f t="array" ref="U22">_xlfn.IFERROR('Direct Costs 2026'!$C$27*C22,"N/A")</f>
        <v>N/A</v>
      </c>
      <c r="V22" t="str" s="651" cm="1">
        <f t="array" ref="V22">_xlfn.IFERROR(C22+SUM(E22:U22),"N/A")</f>
        <v>N/A</v>
      </c>
      <c r="W22" s="435"/>
      <c r="X22" t="str" s="651" cm="1">
        <f t="array" ref="X22">IF(B22&gt;0,'Allocation OH and Target 2026'!$E$31,"N/A")</f>
        <v>N/A</v>
      </c>
      <c r="Y22" t="str" s="651" cm="1">
        <f t="array" ref="Y22">IF(B22&gt;0,VLOOKUP(C2,'Allocation OH and Target 2026'!$C$5:$T$23,16,0),"N/A")</f>
        <v>N/A</v>
      </c>
      <c r="Z22" t="str" s="651" cm="1">
        <f t="array" ref="Z22">_xlfn.IFERROR((X22+Y22),"N/A")</f>
        <v>N/A</v>
      </c>
      <c r="AA22" s="435"/>
      <c r="AB22" t="str" s="651" cm="1">
        <f t="array" ref="AB22">_xlfn.IFERROR(Z22+V22,"N/A")</f>
        <v>N/A</v>
      </c>
      <c r="AC22" t="str" s="651" cm="1">
        <f t="array" ref="AC22">_xlfn.IFERROR(AB22*0.5%,"N/A")</f>
        <v>N/A</v>
      </c>
      <c r="AD22" t="str" s="651" cm="1">
        <f t="array" ref="AD22">_xlfn.IFERROR(AB22*25%,"N/A")</f>
        <v>N/A</v>
      </c>
      <c r="AE22" t="str" s="653" cm="1">
        <f t="array" ref="AE22">IF(B22&gt;0,SUM(AB22:AD22),"N/A")</f>
        <v>N/A</v>
      </c>
      <c r="AF22" t="str" s="651" cm="1">
        <f t="array" ref="AF22">_xlfn.IFERROR(AE22/B22,"N/A")</f>
        <v>N/A</v>
      </c>
      <c r="AG22" s="435"/>
      <c r="AH22" t="str" s="653" cm="1">
        <f t="array" ref="AH22">IF(B22/VLOOKUP(C2,'Boats Data Sheet 2026'!$C$3:$H$57,6,0)&gt;VLOOKUP(C2,'Allocation OH and Target 2026'!$C$5:$J$23,8,0),IF(SUM(AI4:AI21)=0,AF22,"N/A"),"N/A")</f>
        <v>N/A</v>
      </c>
      <c r="AI22" s="435" cm="1">
        <f t="array" ref="AI22">IF(AH22="N/A",0,1)</f>
        <v>0</v>
      </c>
      <c r="AJ22" t="str" s="651" cm="1">
        <f t="array" ref="AJ22">IF(B22/VLOOKUP(C2,'Boats Data Sheet 2026'!$C$3:$H$57,6,0)&gt;VLOOKUP(C2,'Allocation OH and Target 2026'!$C$5:$J$23,8,0),IF(SUM(AI4:AI21)=0,V22/B22,"N/A"),"N/A")</f>
        <v>N/A</v>
      </c>
      <c r="AK22" s="435" cm="1">
        <f t="array" ref="AK22">IF(AJ22="N/A",0,1)</f>
        <v>0</v>
      </c>
      <c r="AL22" t="str" s="654" cm="1">
        <f t="array" ref="AL22">IF(SUM(1250000+700000)*B22&lt;SUM(AB22:AC22),"NO GO","GO")</f>
        <v>GO</v>
      </c>
      <c r="AM22" s="435"/>
      <c r="AN22" s="652"/>
      <c r="AO22" s="652"/>
      <c r="AP22" s="652"/>
      <c r="AQ22" s="655"/>
      <c r="AR22" s="601" cm="1">
        <f t="array" ref="AR22">B22</f>
        <v>0</v>
      </c>
    </row>
    <row r="23" ht="16" customHeight="1">
      <c r="A23" s="32"/>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18"/>
    </row>
    <row r="24" ht="15.5" customHeight="1">
      <c r="A24" s="395">
        <v>2</v>
      </c>
      <c r="B24" t="s" s="619">
        <v>506</v>
      </c>
      <c r="C24" t="s" s="620">
        <v>50</v>
      </c>
      <c r="D24" t="s" s="620">
        <v>611</v>
      </c>
      <c r="E24" s="621"/>
      <c r="F24" s="621"/>
      <c r="G24" s="621"/>
      <c r="H24" s="621"/>
      <c r="I24" s="621"/>
      <c r="J24" s="621"/>
      <c r="K24" s="621"/>
      <c r="L24" s="621"/>
      <c r="M24" s="621"/>
      <c r="N24" s="621"/>
      <c r="O24" s="621"/>
      <c r="P24" s="621"/>
      <c r="Q24" s="621"/>
      <c r="R24" s="621"/>
      <c r="S24" s="621"/>
      <c r="T24" s="621"/>
      <c r="U24" s="621"/>
      <c r="V24" s="621"/>
      <c r="W24" s="399"/>
      <c r="X24" s="621"/>
      <c r="Y24" s="621"/>
      <c r="Z24" s="621"/>
      <c r="AA24" s="399"/>
      <c r="AB24" s="621"/>
      <c r="AC24" s="621"/>
      <c r="AD24" s="621"/>
      <c r="AE24" s="621"/>
      <c r="AF24" s="621"/>
      <c r="AG24" s="399"/>
      <c r="AH24" s="622"/>
      <c r="AI24" s="399"/>
      <c r="AJ24" s="621"/>
      <c r="AK24" s="399"/>
      <c r="AL24" s="621"/>
      <c r="AM24" s="399"/>
      <c r="AN24" s="621"/>
      <c r="AO24" s="621"/>
      <c r="AP24" s="621"/>
      <c r="AQ24" s="623"/>
      <c r="AR24" s="578"/>
    </row>
    <row r="25" ht="16" customHeight="1">
      <c r="A25" s="12"/>
      <c r="B25" s="624"/>
      <c r="C25" t="s" s="625">
        <v>513</v>
      </c>
      <c r="D25" s="626"/>
      <c r="E25" s="626"/>
      <c r="F25" s="626"/>
      <c r="G25" s="626"/>
      <c r="H25" s="626"/>
      <c r="I25" s="626"/>
      <c r="J25" s="626"/>
      <c r="K25" s="626"/>
      <c r="L25" s="626"/>
      <c r="M25" s="626"/>
      <c r="N25" s="626"/>
      <c r="O25" s="626"/>
      <c r="P25" s="626"/>
      <c r="Q25" s="626"/>
      <c r="R25" s="626"/>
      <c r="S25" s="626"/>
      <c r="T25" s="626"/>
      <c r="U25" s="626"/>
      <c r="V25" s="627"/>
      <c r="W25" s="407"/>
      <c r="X25" t="s" s="625">
        <v>514</v>
      </c>
      <c r="Y25" s="626"/>
      <c r="Z25" s="627"/>
      <c r="AA25" s="407"/>
      <c r="AB25" t="s" s="625">
        <v>515</v>
      </c>
      <c r="AC25" s="626"/>
      <c r="AD25" s="626"/>
      <c r="AE25" s="626"/>
      <c r="AF25" s="627"/>
      <c r="AG25" s="410"/>
      <c r="AH25" s="628"/>
      <c r="AI25" s="410"/>
      <c r="AJ25" s="629"/>
      <c r="AK25" s="410"/>
      <c r="AL25" s="629"/>
      <c r="AM25" s="410"/>
      <c r="AN25" s="629"/>
      <c r="AO25" s="629"/>
      <c r="AP25" s="629"/>
      <c r="AQ25" s="630"/>
      <c r="AR25" s="578"/>
    </row>
    <row r="26" ht="60.5" customHeight="1">
      <c r="A26" s="12"/>
      <c r="B26" t="s" s="631">
        <v>517</v>
      </c>
      <c r="C26" t="s" s="632">
        <v>518</v>
      </c>
      <c r="D26" t="s" s="632">
        <v>519</v>
      </c>
      <c r="E26" t="s" s="632">
        <v>520</v>
      </c>
      <c r="F26" t="s" s="633">
        <v>521</v>
      </c>
      <c r="G26" t="s" s="633">
        <v>522</v>
      </c>
      <c r="H26" t="s" s="633">
        <v>524</v>
      </c>
      <c r="I26" t="s" s="633">
        <v>525</v>
      </c>
      <c r="J26" t="s" s="633">
        <v>553</v>
      </c>
      <c r="K26" t="s" s="633">
        <v>526</v>
      </c>
      <c r="L26" t="s" s="633">
        <v>527</v>
      </c>
      <c r="M26" t="s" s="633">
        <v>528</v>
      </c>
      <c r="N26" t="s" s="633">
        <v>608</v>
      </c>
      <c r="O26" t="s" s="633">
        <v>609</v>
      </c>
      <c r="P26" t="s" s="633">
        <v>604</v>
      </c>
      <c r="Q26" t="s" s="633">
        <v>610</v>
      </c>
      <c r="R26" t="s" s="633">
        <v>529</v>
      </c>
      <c r="S26" t="s" s="633">
        <v>530</v>
      </c>
      <c r="T26" t="s" s="633">
        <v>572</v>
      </c>
      <c r="U26" t="s" s="633">
        <v>531</v>
      </c>
      <c r="V26" t="s" s="633">
        <v>532</v>
      </c>
      <c r="W26" s="556"/>
      <c r="X26" t="s" s="633">
        <v>533</v>
      </c>
      <c r="Y26" t="s" s="633">
        <v>534</v>
      </c>
      <c r="Z26" t="s" s="633">
        <v>535</v>
      </c>
      <c r="AA26" s="556"/>
      <c r="AB26" t="s" s="633">
        <v>536</v>
      </c>
      <c r="AC26" t="s" s="633">
        <v>537</v>
      </c>
      <c r="AD26" t="s" s="633">
        <v>538</v>
      </c>
      <c r="AE26" t="s" s="633">
        <v>575</v>
      </c>
      <c r="AF26" t="s" s="633">
        <v>539</v>
      </c>
      <c r="AG26" s="557"/>
      <c r="AH26" t="s" s="633">
        <v>576</v>
      </c>
      <c r="AI26" s="557"/>
      <c r="AJ26" t="s" s="633">
        <v>577</v>
      </c>
      <c r="AK26" s="557"/>
      <c r="AL26" t="s" s="632">
        <v>578</v>
      </c>
      <c r="AM26" s="557"/>
      <c r="AN26" s="634"/>
      <c r="AO26" s="634"/>
      <c r="AP26" s="634"/>
      <c r="AQ26" s="635"/>
      <c r="AR26" s="578"/>
    </row>
    <row r="27" ht="16.5" customHeight="1">
      <c r="A27" s="12"/>
      <c r="B27" s="636">
        <v>1</v>
      </c>
      <c r="C27" s="637" cm="1">
        <f t="array" ref="C27">IF(B27&gt;0,IF(VLOOKUP(C24,'Boats Data Sheet 2026'!$C$3:$J$57,8,0)="N/A",0,VLOOKUP(C24,'Boats Data Sheet 2026'!$C$3:$J$57,8,0)),"N/A")</f>
        <v>0</v>
      </c>
      <c r="D27" s="638" cm="1">
        <f t="array" ref="D27">IF(B27&gt;7,2,IF(B27=0,"N/A",1))</f>
        <v>1</v>
      </c>
      <c r="E27" s="637" cm="1">
        <f t="array" ref="E27">_xlfn.IFERROR(SUM('Direct Costs 2026'!$C$4:$C$6)*D27,"N/A")</f>
        <v>975500</v>
      </c>
      <c r="F27" s="639" cm="1">
        <f t="array" ref="F27">_xlfn.IFERROR('Direct Costs 2026'!$C$43*B27,"N/A")</f>
        <v>6000</v>
      </c>
      <c r="G27" s="639" cm="1">
        <f t="array" ref="G27">IF(B27&gt;0,'Direct Costs 2026'!$C$25,"N/A")</f>
        <v>90000</v>
      </c>
      <c r="H27" s="639" cm="1">
        <f t="array" ref="H27">IF(B27&gt;0,('Direct Costs 2026'!$C$19+'Direct Costs 2026'!$C$18*B27),"N/A")</f>
        <v>110000</v>
      </c>
      <c r="I27" s="639" cm="1">
        <f t="array" ref="I27">IF(B27&gt;0,SUM('Direct Costs 2026'!$C$20:$C$21),"N/A")</f>
        <v>98333.3333333333</v>
      </c>
      <c r="J27" s="639" cm="1">
        <f t="array" ref="J27">IF(B27&gt;0,'Direct Costs 2026'!$C$14,"N/A")</f>
        <v>60000</v>
      </c>
      <c r="K27" s="639" cm="1">
        <f t="array" ref="K27">IF(B27&gt;0,'Direct Costs 2026'!$C$26,"N/A")</f>
        <v>20000</v>
      </c>
      <c r="L27" s="639" cm="1">
        <f t="array" ref="L27">IF(B27&gt;0,SUM('Direct Costs 2026'!$C$23:$C$24),"N/A")</f>
        <v>160000</v>
      </c>
      <c r="M27" s="639" cm="1">
        <f t="array" ref="M27">IF(B27&gt;0,'Direct Costs 2026'!$C$49*B27,"N/A")</f>
        <v>200000</v>
      </c>
      <c r="N27" s="639" cm="1">
        <f t="array" ref="N27">IF($B27&gt;0,'Direct Costs 2026'!$C$29,"N/A")</f>
        <v>1500000</v>
      </c>
      <c r="O27" s="639" cm="1">
        <f t="array" ref="O27">IF($B27&gt;0,'Direct Costs 2026'!$C$31/3,"N/A")</f>
        <v>290000</v>
      </c>
      <c r="P27" s="639" cm="1">
        <f t="array" ref="P27">IF(B27&gt;0,'Direct Costs 2026'!$C$59*B27,"N/A")</f>
        <v>41000</v>
      </c>
      <c r="Q27" s="639" cm="1">
        <f t="array" ref="Q27">IF($B27&gt;0,'Direct Costs 2026'!$C$34,"N/A")</f>
        <v>550000</v>
      </c>
      <c r="R27" s="639" cm="1">
        <f t="array" ref="R27">IF(B27&gt;0,_xlfn.IFERROR(VLOOKUP(C24,'Boats Data Sheet 2026'!$C$3:$I$57,7,0)*'Direct Costs 2026'!$C$36,"N/A"),"N/A")</f>
        <v>3325000</v>
      </c>
      <c r="S27" s="639" cm="1">
        <f t="array" ref="S27">IF(B27&gt;0,IF(OR(VLOOKUP(C24,'Boats Data Sheet 2026'!$C$3:$F$57,4,0)="Own",VLOOKUP(C24,'Boats Data Sheet 2026'!$C$3:$F$57,4,0)="Management"),('Direct Costs 2026'!$C$37+'Direct Costs 2026'!$C$39),"N/A"),"N/A")</f>
        <v>1112400</v>
      </c>
      <c r="T27" s="639" cm="1">
        <f t="array" ref="T27">_xlfn.IFERROR(IF(B27&gt;5,IF(B27&gt;11,IF(B27&gt;15,4,3),2),IF(B27=0,"N/A",1))*SUM('Direct Costs 2026'!$C$67:$C$68),"N/A")</f>
        <v>489600</v>
      </c>
      <c r="U27" s="639" cm="1">
        <f t="array" ref="U27">_xlfn.IFERROR('Direct Costs 2026'!$C$27*C27,"N/A")</f>
        <v>0</v>
      </c>
      <c r="V27" s="639" cm="1">
        <f t="array" ref="V27">_xlfn.IFERROR(C27+SUM(E27:U27),"N/A")</f>
        <v>9027833.33333333</v>
      </c>
      <c r="W27" s="424"/>
      <c r="X27" s="639" cm="1">
        <f t="array" ref="X27">IF(B27&gt;0,'Allocation OH and Target 2026'!$E$31,"N/A")</f>
        <v>3100447.15769812</v>
      </c>
      <c r="Y27" s="639" cm="1">
        <f t="array" ref="Y27">IF(B27&gt;0,VLOOKUP(C24,'Allocation OH and Target 2026'!$C$5:$T$23,17,0),"N/A")</f>
        <v>1045367.28479263</v>
      </c>
      <c r="Z27" s="639" cm="1">
        <f t="array" ref="Z27">_xlfn.IFERROR((X27+Y27),"N/A")</f>
        <v>4145814.44249075</v>
      </c>
      <c r="AA27" s="424"/>
      <c r="AB27" s="639" cm="1">
        <f t="array" ref="AB27">_xlfn.IFERROR(Z27+V27,"N/A")</f>
        <v>13173647.7758241</v>
      </c>
      <c r="AC27" s="639" cm="1">
        <f t="array" ref="AC27">_xlfn.IFERROR(AB27*0.5%,"N/A")</f>
        <v>65868.2388791205</v>
      </c>
      <c r="AD27" s="639" cm="1">
        <f t="array" ref="AD27">_xlfn.IFERROR(AB27*25%,"N/A")</f>
        <v>3293411.94395603</v>
      </c>
      <c r="AE27" s="641" cm="1">
        <f t="array" ref="AE27">IF(B27&gt;0,SUM(AB27:AD27),"N/A")</f>
        <v>16532927.9586593</v>
      </c>
      <c r="AF27" s="639" cm="1">
        <f t="array" ref="AF27">_xlfn.IFERROR(AE27/B27,"N/A")</f>
        <v>16532927.9586593</v>
      </c>
      <c r="AG27" s="424"/>
      <c r="AH27" t="s" s="642">
        <v>14</v>
      </c>
      <c r="AI27" s="424" cm="1">
        <f t="array" ref="AI27">IF(AH27="N/A",0,1)</f>
        <v>0</v>
      </c>
      <c r="AJ27" t="s" s="643">
        <v>14</v>
      </c>
      <c r="AK27" s="424" cm="1">
        <f t="array" ref="AK27">IF(AJ27="N/A",0,1)</f>
        <v>0</v>
      </c>
      <c r="AL27" t="str" s="644" cm="1">
        <f t="array" ref="AL27">IF(SUM(1250000+700000)*B27&lt;SUM(AB27:AC27),"NO GO","GO")</f>
        <v>NO GO</v>
      </c>
      <c r="AM27" s="424"/>
      <c r="AN27" s="639"/>
      <c r="AO27" s="639"/>
      <c r="AP27" s="639"/>
      <c r="AQ27" s="645"/>
      <c r="AR27" s="601" cm="1">
        <f t="array" ref="AR27">B27</f>
        <v>1</v>
      </c>
    </row>
    <row r="28" ht="16" customHeight="1">
      <c r="A28" s="12"/>
      <c r="B28" s="646" cm="1">
        <f t="array" ref="B28">IF(B27=0,0,IF(B27&lt;VLOOKUP(C24,'Boats Data Sheet 2026'!$C$3:$H$57,6,0),B27+1,0))</f>
        <v>2</v>
      </c>
      <c r="C28" s="639" cm="1">
        <f t="array" ref="C28">IF(B28&gt;0,IF(VLOOKUP(C24,'Boats Data Sheet 2026'!$C$3:$J$57,8,0)="N/A",0,VLOOKUP(C24,'Boats Data Sheet 2026'!$C$3:$J$57,8,0)),"N/A")</f>
        <v>0</v>
      </c>
      <c r="D28" s="647" cm="1">
        <f t="array" ref="D28">IF(B28&gt;7,2,IF(B28=0,"N/A",1))</f>
        <v>1</v>
      </c>
      <c r="E28" s="639" cm="1">
        <f t="array" ref="E28">_xlfn.IFERROR(SUM('Direct Costs 2026'!$C$4:$C$6)*D28,"N/A")</f>
        <v>975500</v>
      </c>
      <c r="F28" s="639" cm="1">
        <f t="array" ref="F28">_xlfn.IFERROR('Direct Costs 2026'!$C$43*B28,"N/A")</f>
        <v>12000</v>
      </c>
      <c r="G28" s="639" cm="1">
        <f t="array" ref="G28">IF(B28&gt;0,'Direct Costs 2026'!$C$25,"N/A")</f>
        <v>90000</v>
      </c>
      <c r="H28" s="639" cm="1">
        <f t="array" ref="H28">IF(B28&gt;0,('Direct Costs 2026'!$C$19+'Direct Costs 2026'!$C$18*B28),"N/A")</f>
        <v>145000</v>
      </c>
      <c r="I28" s="639" cm="1">
        <f t="array" ref="I28">IF(B28&gt;0,SUM('Direct Costs 2026'!$C$20:$C$21),"N/A")</f>
        <v>98333.3333333333</v>
      </c>
      <c r="J28" s="639" cm="1">
        <f t="array" ref="J28">IF(B28&gt;0,'Direct Costs 2026'!$C$14,"N/A")</f>
        <v>60000</v>
      </c>
      <c r="K28" s="639" cm="1">
        <f t="array" ref="K28">IF(B28&gt;0,'Direct Costs 2026'!$C$26,"N/A")</f>
        <v>20000</v>
      </c>
      <c r="L28" s="639" cm="1">
        <f t="array" ref="L28">IF(B28&gt;0,SUM('Direct Costs 2026'!$C$23:$C$24),"N/A")</f>
        <v>160000</v>
      </c>
      <c r="M28" s="639" cm="1">
        <f t="array" ref="M28">IF(B28&gt;0,'Direct Costs 2026'!$C$49*B28,"N/A")</f>
        <v>400000</v>
      </c>
      <c r="N28" s="639" cm="1">
        <f t="array" ref="N28">IF($B28&gt;0,'Direct Costs 2026'!$C$29,"N/A")</f>
        <v>1500000</v>
      </c>
      <c r="O28" s="639" cm="1">
        <f t="array" ref="O28">IF($B28&gt;0,'Direct Costs 2026'!$C$31/3,"N/A")</f>
        <v>290000</v>
      </c>
      <c r="P28" s="639" cm="1">
        <f t="array" ref="P28">IF(B28&gt;0,'Direct Costs 2026'!$C$59*B28,"N/A")</f>
        <v>82000</v>
      </c>
      <c r="Q28" s="639" cm="1">
        <f t="array" ref="Q28">IF($B28&gt;0,'Direct Costs 2026'!$C$34,"N/A")</f>
        <v>550000</v>
      </c>
      <c r="R28" s="639" cm="1">
        <f t="array" ref="R28">IF(B28&gt;0,_xlfn.IFERROR(VLOOKUP(C24,'Boats Data Sheet 2026'!$C$3:$I$57,7,0)*'Direct Costs 2026'!$C$36,"N/A"),"N/A")</f>
        <v>3325000</v>
      </c>
      <c r="S28" s="639" cm="1">
        <f t="array" ref="S28">IF(B28&gt;0,IF(OR(VLOOKUP(C24,'Boats Data Sheet 2026'!$C$3:$F$57,4,0)="Own",VLOOKUP(C24,'Boats Data Sheet 2026'!$C$3:$F$57,4,0)="Management"),('Direct Costs 2026'!$C$37+'Direct Costs 2026'!$C$39),"N/A"),"N/A")</f>
        <v>1112400</v>
      </c>
      <c r="T28" s="639" cm="1">
        <f t="array" ref="T28">_xlfn.IFERROR(IF(B28&gt;5,IF(B28&gt;11,IF(B28&gt;15,4,3),2),IF(B28=0,"N/A",1))*SUM('Direct Costs 2026'!$C$67:$C$68),"N/A")</f>
        <v>489600</v>
      </c>
      <c r="U28" s="639" cm="1">
        <f t="array" ref="U28">_xlfn.IFERROR('Direct Costs 2026'!$C$27*C28,"N/A")</f>
        <v>0</v>
      </c>
      <c r="V28" s="639" cm="1">
        <f t="array" ref="V28">_xlfn.IFERROR(C28+SUM(E28:U28),"N/A")</f>
        <v>9309833.33333333</v>
      </c>
      <c r="W28" s="424"/>
      <c r="X28" s="639" cm="1">
        <f t="array" ref="X28">IF(B28&gt;0,'Allocation OH and Target 2026'!$E$31,"N/A")</f>
        <v>3100447.15769812</v>
      </c>
      <c r="Y28" s="639" cm="1">
        <f t="array" ref="Y28">IF(B28&gt;0,VLOOKUP(C24,'Allocation OH and Target 2026'!$C$5:$T$23,17,0),"N/A")</f>
        <v>1045367.28479263</v>
      </c>
      <c r="Z28" s="639" cm="1">
        <f t="array" ref="Z28">_xlfn.IFERROR((X28+Y28),"N/A")</f>
        <v>4145814.44249075</v>
      </c>
      <c r="AA28" s="424"/>
      <c r="AB28" s="639" cm="1">
        <f t="array" ref="AB28">_xlfn.IFERROR(Z28+V28,"N/A")</f>
        <v>13455647.7758241</v>
      </c>
      <c r="AC28" s="639" cm="1">
        <f t="array" ref="AC28">_xlfn.IFERROR(AB28*0.5%,"N/A")</f>
        <v>67278.2388791205</v>
      </c>
      <c r="AD28" s="639" cm="1">
        <f t="array" ref="AD28">_xlfn.IFERROR(AB28*25%,"N/A")</f>
        <v>3363911.94395603</v>
      </c>
      <c r="AE28" s="641" cm="1">
        <f t="array" ref="AE28">IF(B28&gt;0,SUM(AB28:AD28),"N/A")</f>
        <v>16886837.9586593</v>
      </c>
      <c r="AF28" s="639" cm="1">
        <f t="array" ref="AF28">_xlfn.IFERROR(AE28/B28,"N/A")</f>
        <v>8443418.979329649</v>
      </c>
      <c r="AG28" s="424"/>
      <c r="AH28" t="str" s="648" cm="1">
        <f t="array" ref="AH28">IF(B28/VLOOKUP(C24,'Boats Data Sheet 2026'!$C$3:$H$57,6,0)&gt;VLOOKUP(C24,'Allocation OH and Target 2026'!$C$5:$J$23,8,0),IF(SUM(AI26:AI27)=0,AF28,"N/A"),"N/A")</f>
        <v>N/A</v>
      </c>
      <c r="AI28" s="424" cm="1">
        <f t="array" ref="AI28">IF(AH28="N/A",0,1)</f>
        <v>0</v>
      </c>
      <c r="AJ28" t="str" s="640" cm="1">
        <f t="array" ref="AJ28">IF(B28/VLOOKUP(C24,'Boats Data Sheet 2026'!$C$3:$H$57,6,0)&gt;VLOOKUP(C24,'Allocation OH and Target 2026'!$C$5:$J$23,8,0),IF(SUM(AI26:AI27)=0,V28/B28,"N/A"),"N/A")</f>
        <v>N/A</v>
      </c>
      <c r="AK28" s="424" cm="1">
        <f t="array" ref="AK28">IF(AJ28="N/A",0,1)</f>
        <v>0</v>
      </c>
      <c r="AL28" t="str" s="628" cm="1">
        <f t="array" ref="AL28">IF(SUM(1250000+700000)*B28&lt;SUM(AB28:AC28),"NO GO","GO")</f>
        <v>NO GO</v>
      </c>
      <c r="AM28" s="424"/>
      <c r="AN28" s="639"/>
      <c r="AO28" s="639"/>
      <c r="AP28" s="639"/>
      <c r="AQ28" s="645"/>
      <c r="AR28" s="601" cm="1">
        <f t="array" ref="AR28">B28</f>
        <v>2</v>
      </c>
    </row>
    <row r="29" ht="16" customHeight="1">
      <c r="A29" s="12"/>
      <c r="B29" s="646">
        <v>0</v>
      </c>
      <c r="C29" t="str" s="640" cm="1">
        <f t="array" ref="C29">IF(B29&gt;0,IF(VLOOKUP(C24,'Boats Data Sheet 2026'!$C$3:$J$57,8,0)="N/A",0,VLOOKUP(C24,'Boats Data Sheet 2026'!$C$3:$J$57,8,0)),"N/A")</f>
        <v>N/A</v>
      </c>
      <c r="D29" t="str" s="649" cm="1">
        <f t="array" ref="D29">IF(B29&gt;7,2,IF(B29=0,"N/A",1))</f>
        <v>N/A</v>
      </c>
      <c r="E29" t="str" s="640" cm="1">
        <f t="array" ref="E29">_xlfn.IFERROR(SUM('Direct Costs 2026'!$C$4:$C$6)*D29,"N/A")</f>
        <v>N/A</v>
      </c>
      <c r="F29" s="639" cm="1">
        <f t="array" ref="F29">_xlfn.IFERROR('Direct Costs 2026'!$C$43*B29,"N/A")</f>
        <v>0</v>
      </c>
      <c r="G29" t="str" s="640" cm="1">
        <f t="array" ref="G29">IF(B29&gt;0,'Direct Costs 2026'!$C$25,"N/A")</f>
        <v>N/A</v>
      </c>
      <c r="H29" t="str" s="640" cm="1">
        <f t="array" ref="H29">IF(B29&gt;0,('Direct Costs 2026'!$C$19+'Direct Costs 2026'!$C$18*B29),"N/A")</f>
        <v>N/A</v>
      </c>
      <c r="I29" t="str" s="640" cm="1">
        <f t="array" ref="I29">IF(B29&gt;0,SUM('Direct Costs 2026'!$C$20:$C$21),"N/A")</f>
        <v>N/A</v>
      </c>
      <c r="J29" t="str" s="640" cm="1">
        <f t="array" ref="J29">IF(B29&gt;0,'Direct Costs 2026'!$C$14,"N/A")</f>
        <v>N/A</v>
      </c>
      <c r="K29" t="str" s="640" cm="1">
        <f t="array" ref="K29">IF(B29&gt;0,'Direct Costs 2026'!$C$26,"N/A")</f>
        <v>N/A</v>
      </c>
      <c r="L29" t="str" s="640" cm="1">
        <f t="array" ref="L29">IF(B29&gt;0,SUM('Direct Costs 2026'!$C$23:$C$24),"N/A")</f>
        <v>N/A</v>
      </c>
      <c r="M29" t="str" s="640" cm="1">
        <f t="array" ref="M29">IF(B29&gt;0,'Direct Costs 2026'!$C$45*B29,"N/A")</f>
        <v>N/A</v>
      </c>
      <c r="N29" t="str" s="640" cm="1">
        <f t="array" ref="N29">IF($B29&gt;0,'Direct Costs 2026'!$C$29,"N/A")</f>
        <v>N/A</v>
      </c>
      <c r="O29" t="str" s="640" cm="1">
        <f t="array" ref="O29">IF($B29&gt;0,'Direct Costs 2026'!$C$31,"N/A")</f>
        <v>N/A</v>
      </c>
      <c r="P29" t="str" s="640" cm="1">
        <f t="array" ref="P29">IF(B29&gt;0,'Direct Costs 2026'!$C$59*B29,"N/A")</f>
        <v>N/A</v>
      </c>
      <c r="Q29" t="str" s="640" cm="1">
        <f t="array" ref="Q29">IF(B29&gt;0,_xlfn.IFERROR(VLOOKUP(C24,'Boats Data Sheet 2026'!$C$3:$I$57,7,0)*'Direct Costs 2026'!$C$36,"N/A"),"N/A")</f>
        <v>N/A</v>
      </c>
      <c r="R29" s="639"/>
      <c r="S29" t="str" s="640" cm="1">
        <f t="array" ref="S29">IF(B29&gt;0,IF(OR(VLOOKUP(C24,'Boats Data Sheet 2026'!$C$3:$F$57,4,0)="Own",VLOOKUP(C24,'Boats Data Sheet 2026'!$C$3:$F$57,4,0)="Management"),('Direct Costs 2026'!$C$37+'Direct Costs 2026'!$C$39),"N/A"),"N/A")</f>
        <v>N/A</v>
      </c>
      <c r="T29" t="str" s="640" cm="1">
        <f t="array" ref="T29">_xlfn.IFERROR(IF(B29&gt;5,IF(B29&gt;11,IF(B29&gt;15,4,3),2),IF(B29=0,"N/A",1))*SUM('Direct Costs 2026'!$C$67:$C$68),"N/A")</f>
        <v>N/A</v>
      </c>
      <c r="U29" t="str" s="640" cm="1">
        <f t="array" ref="U29">_xlfn.IFERROR('Direct Costs 2026'!$C$27*C29,"N/A")</f>
        <v>N/A</v>
      </c>
      <c r="V29" t="str" s="640" cm="1">
        <f t="array" ref="V29">_xlfn.IFERROR(C29+SUM(E29:U29),"N/A")</f>
        <v>N/A</v>
      </c>
      <c r="W29" s="424"/>
      <c r="X29" t="str" s="640" cm="1">
        <f t="array" ref="X29">IF(B29&gt;0,'Allocation OH and Target 2026'!$E$31,"N/A")</f>
        <v>N/A</v>
      </c>
      <c r="Y29" t="str" s="640" cm="1">
        <f t="array" ref="Y29">IF(B29&gt;0,VLOOKUP(C24,'Allocation OH and Target 2026'!$C$5:$T$23,16,0),"N/A")</f>
        <v>N/A</v>
      </c>
      <c r="Z29" t="str" s="640" cm="1">
        <f t="array" ref="Z29">_xlfn.IFERROR((X29+Y29),"N/A")</f>
        <v>N/A</v>
      </c>
      <c r="AA29" s="424"/>
      <c r="AB29" t="str" s="640" cm="1">
        <f t="array" ref="AB29">_xlfn.IFERROR(Z29+V29,"N/A")</f>
        <v>N/A</v>
      </c>
      <c r="AC29" t="str" s="640" cm="1">
        <f t="array" ref="AC29">_xlfn.IFERROR(AB29*0.5%,"N/A")</f>
        <v>N/A</v>
      </c>
      <c r="AD29" t="str" s="640" cm="1">
        <f t="array" ref="AD29">_xlfn.IFERROR(AB29*25%,"N/A")</f>
        <v>N/A</v>
      </c>
      <c r="AE29" t="str" s="648" cm="1">
        <f t="array" ref="AE29">IF(B29&gt;0,SUM(AB29:AD29),"N/A")</f>
        <v>N/A</v>
      </c>
      <c r="AF29" t="str" s="640" cm="1">
        <f t="array" ref="AF29">_xlfn.IFERROR(AE29/B29,"N/A")</f>
        <v>N/A</v>
      </c>
      <c r="AG29" s="424"/>
      <c r="AH29" t="str" s="648" cm="1">
        <f t="array" ref="AH29">IF(B29/VLOOKUP(C24,'Boats Data Sheet 2026'!$C$3:$H$57,6,0)&gt;VLOOKUP(C24,'Allocation OH and Target 2026'!$C$5:$J$23,8,0),IF(SUM(AI26:AI28)=0,AF29,"N/A"),"N/A")</f>
        <v>N/A</v>
      </c>
      <c r="AI29" s="424" cm="1">
        <f t="array" ref="AI29">IF(AH29="N/A",0,1)</f>
        <v>0</v>
      </c>
      <c r="AJ29" t="str" s="640" cm="1">
        <f t="array" ref="AJ29">IF(B29/VLOOKUP(C24,'Boats Data Sheet 2026'!$C$3:$H$57,6,0)&gt;VLOOKUP(C24,'Allocation OH and Target 2026'!$C$5:$J$23,8,0),IF(SUM(AI26:AI28)=0,V29/B29,"N/A"),"N/A")</f>
        <v>N/A</v>
      </c>
      <c r="AK29" s="424" cm="1">
        <f t="array" ref="AK29">IF(AJ29="N/A",0,1)</f>
        <v>0</v>
      </c>
      <c r="AL29" t="str" s="628" cm="1">
        <f t="array" ref="AL29">IF(SUM(1250000+700000)*B29&lt;SUM(AB29:AC29),"NO GO","GO")</f>
        <v>GO</v>
      </c>
      <c r="AM29" s="424"/>
      <c r="AN29" s="639"/>
      <c r="AO29" s="639"/>
      <c r="AP29" s="639"/>
      <c r="AQ29" s="645"/>
      <c r="AR29" s="601" cm="1">
        <f t="array" ref="AR29">B29</f>
        <v>0</v>
      </c>
    </row>
    <row r="30" ht="9" customHeight="1" hidden="1">
      <c r="A30" s="12"/>
      <c r="B30" s="646">
        <v>0</v>
      </c>
      <c r="C30" t="str" s="640" cm="1">
        <f t="array" ref="C30">IF(B30&gt;0,IF(VLOOKUP(C24,'Boats Data Sheet 2026'!$C$3:$J$57,8,0)="N/A",0,VLOOKUP(C24,'Boats Data Sheet 2026'!$C$3:$J$57,8,0)),"N/A")</f>
        <v>N/A</v>
      </c>
      <c r="D30" t="str" s="649" cm="1">
        <f t="array" ref="D30">IF(B30&gt;7,2,IF(B30=0,"N/A",1))</f>
        <v>N/A</v>
      </c>
      <c r="E30" t="str" s="640" cm="1">
        <f t="array" ref="E30">_xlfn.IFERROR(SUM('Direct Costs 2026'!$C$4:$C$6)*D30,"N/A")</f>
        <v>N/A</v>
      </c>
      <c r="F30" s="639" cm="1">
        <f t="array" ref="F30">_xlfn.IFERROR('Direct Costs 2026'!$C$43*B30,"N/A")</f>
        <v>0</v>
      </c>
      <c r="G30" t="str" s="640" cm="1">
        <f t="array" ref="G30">IF(B30&gt;0,'Direct Costs 2026'!$C$25,"N/A")</f>
        <v>N/A</v>
      </c>
      <c r="H30" t="str" s="640" cm="1">
        <f t="array" ref="H30">IF(B30&gt;0,('Direct Costs 2026'!$C$19+'Direct Costs 2026'!$C$18*B30),"N/A")</f>
        <v>N/A</v>
      </c>
      <c r="I30" t="str" s="640" cm="1">
        <f t="array" ref="I30">IF(B30&gt;0,SUM('Direct Costs 2026'!$C$20:$C$21),"N/A")</f>
        <v>N/A</v>
      </c>
      <c r="J30" t="str" s="640" cm="1">
        <f t="array" ref="J30">IF(B30&gt;0,'Direct Costs 2026'!$C$14,"N/A")</f>
        <v>N/A</v>
      </c>
      <c r="K30" t="str" s="640" cm="1">
        <f t="array" ref="K30">IF(B30&gt;0,'Direct Costs 2026'!$C$26,"N/A")</f>
        <v>N/A</v>
      </c>
      <c r="L30" t="str" s="640" cm="1">
        <f t="array" ref="L30">IF(B30&gt;0,SUM('Direct Costs 2026'!$C$23:$C$24),"N/A")</f>
        <v>N/A</v>
      </c>
      <c r="M30" t="str" s="640" cm="1">
        <f t="array" ref="M30">IF(B30&gt;0,'Direct Costs 2026'!$C$45*B30,"N/A")</f>
        <v>N/A</v>
      </c>
      <c r="N30" t="str" s="640" cm="1">
        <f t="array" ref="N30">IF($B30&gt;0,'Direct Costs 2026'!$C$29,"N/A")</f>
        <v>N/A</v>
      </c>
      <c r="O30" t="str" s="640" cm="1">
        <f t="array" ref="O30">IF($B30&gt;0,'Direct Costs 2026'!$C$31,"N/A")</f>
        <v>N/A</v>
      </c>
      <c r="P30" t="str" s="640" cm="1">
        <f t="array" ref="P30">IF(B30&gt;0,'Direct Costs 2026'!$C$59*B30,"N/A")</f>
        <v>N/A</v>
      </c>
      <c r="Q30" t="str" s="640" cm="1">
        <f t="array" ref="Q30">IF(B30&gt;0,_xlfn.IFERROR(VLOOKUP(C24,'Boats Data Sheet 2026'!$C$3:$I$57,7,0)*'Direct Costs 2026'!$C$36,"N/A"),"N/A")</f>
        <v>N/A</v>
      </c>
      <c r="R30" s="639"/>
      <c r="S30" t="str" s="640" cm="1">
        <f t="array" ref="S30">IF(B30&gt;0,IF(OR(VLOOKUP(C24,'Boats Data Sheet 2026'!$C$3:$F$57,4,0)="Own",VLOOKUP(C24,'Boats Data Sheet 2026'!$C$3:$F$57,4,0)="Management"),('Direct Costs 2026'!$C$37+'Direct Costs 2026'!$C$39),"N/A"),"N/A")</f>
        <v>N/A</v>
      </c>
      <c r="T30" t="str" s="640" cm="1">
        <f t="array" ref="T30">_xlfn.IFERROR(IF(B30&gt;5,IF(B30&gt;11,IF(B30&gt;15,4,3),2),IF(B30=0,"N/A",1))*SUM('Direct Costs 2026'!$C$67:$C$68),"N/A")</f>
        <v>N/A</v>
      </c>
      <c r="U30" t="str" s="640" cm="1">
        <f t="array" ref="U30">_xlfn.IFERROR('Direct Costs 2026'!$C$27*C30,"N/A")</f>
        <v>N/A</v>
      </c>
      <c r="V30" t="str" s="640" cm="1">
        <f t="array" ref="V30">_xlfn.IFERROR(C30+SUM(E30:U30),"N/A")</f>
        <v>N/A</v>
      </c>
      <c r="W30" s="424"/>
      <c r="X30" t="str" s="640" cm="1">
        <f t="array" ref="X30">IF(B30&gt;0,'Allocation OH and Target 2026'!$E$31,"N/A")</f>
        <v>N/A</v>
      </c>
      <c r="Y30" t="str" s="640" cm="1">
        <f t="array" ref="Y30">IF(B30&gt;0,VLOOKUP(C24,'Allocation OH and Target 2026'!$C$5:$T$23,16,0),"N/A")</f>
        <v>N/A</v>
      </c>
      <c r="Z30" t="str" s="640" cm="1">
        <f t="array" ref="Z30">_xlfn.IFERROR((X30+Y30),"N/A")</f>
        <v>N/A</v>
      </c>
      <c r="AA30" s="424"/>
      <c r="AB30" t="str" s="640" cm="1">
        <f t="array" ref="AB30">_xlfn.IFERROR(Z30+V30,"N/A")</f>
        <v>N/A</v>
      </c>
      <c r="AC30" t="str" s="640" cm="1">
        <f t="array" ref="AC30">_xlfn.IFERROR(AB30*0.5%,"N/A")</f>
        <v>N/A</v>
      </c>
      <c r="AD30" t="str" s="640" cm="1">
        <f t="array" ref="AD30">_xlfn.IFERROR(AB30*25%,"N/A")</f>
        <v>N/A</v>
      </c>
      <c r="AE30" t="str" s="648" cm="1">
        <f t="array" ref="AE30">IF(B30&gt;0,SUM(AB30:AD30),"N/A")</f>
        <v>N/A</v>
      </c>
      <c r="AF30" t="str" s="640" cm="1">
        <f t="array" ref="AF30">_xlfn.IFERROR(AE30/B30,"N/A")</f>
        <v>N/A</v>
      </c>
      <c r="AG30" s="424"/>
      <c r="AH30" t="str" s="648" cm="1">
        <f t="array" ref="AH30">IF(B30/VLOOKUP(C24,'Boats Data Sheet 2026'!$C$3:$H$57,6,0)&gt;VLOOKUP(C24,'Allocation OH and Target 2026'!$C$5:$J$23,8,0),IF(SUM(AI26:AI29)=0,AF30,"N/A"),"N/A")</f>
        <v>N/A</v>
      </c>
      <c r="AI30" s="424" cm="1">
        <f t="array" ref="AI30">IF(AH30="N/A",0,1)</f>
        <v>0</v>
      </c>
      <c r="AJ30" t="str" s="640" cm="1">
        <f t="array" ref="AJ30">IF(B30/VLOOKUP(C24,'Boats Data Sheet 2026'!$C$3:$H$57,6,0)&gt;VLOOKUP(C24,'Allocation OH and Target 2026'!$C$5:$J$23,8,0),IF(SUM(AI26:AI29)=0,V30/B30,"N/A"),"N/A")</f>
        <v>N/A</v>
      </c>
      <c r="AK30" s="424" cm="1">
        <f t="array" ref="AK30">IF(AJ30="N/A",0,1)</f>
        <v>0</v>
      </c>
      <c r="AL30" t="str" s="628" cm="1">
        <f t="array" ref="AL30">IF(SUM(1250000+700000)*B30&lt;SUM(AB30:AC30),"NO GO","GO")</f>
        <v>GO</v>
      </c>
      <c r="AM30" s="424"/>
      <c r="AN30" s="639"/>
      <c r="AO30" s="639"/>
      <c r="AP30" s="639"/>
      <c r="AQ30" s="645"/>
      <c r="AR30" s="601" cm="1">
        <f t="array" ref="AR30">B30</f>
        <v>0</v>
      </c>
    </row>
    <row r="31" ht="9" customHeight="1" hidden="1">
      <c r="A31" s="12"/>
      <c r="B31" s="646">
        <v>0</v>
      </c>
      <c r="C31" t="str" s="640" cm="1">
        <f t="array" ref="C31">IF(B31&gt;0,IF(VLOOKUP(C24,'Boats Data Sheet 2026'!$C$3:$J$57,8,0)="N/A",0,VLOOKUP(C24,'Boats Data Sheet 2026'!$C$3:$J$57,8,0)),"N/A")</f>
        <v>N/A</v>
      </c>
      <c r="D31" t="str" s="649" cm="1">
        <f t="array" ref="D31">IF(B31&gt;7,2,IF(B31=0,"N/A",1))</f>
        <v>N/A</v>
      </c>
      <c r="E31" t="str" s="640" cm="1">
        <f t="array" ref="E31">_xlfn.IFERROR(SUM('Direct Costs 2026'!$C$4:$C$6)*D31,"N/A")</f>
        <v>N/A</v>
      </c>
      <c r="F31" s="639" cm="1">
        <f t="array" ref="F31">_xlfn.IFERROR('Direct Costs 2026'!$C$43*B31,"N/A")</f>
        <v>0</v>
      </c>
      <c r="G31" t="str" s="640" cm="1">
        <f t="array" ref="G31">IF(B31&gt;0,'Direct Costs 2026'!$C$25,"N/A")</f>
        <v>N/A</v>
      </c>
      <c r="H31" t="str" s="640" cm="1">
        <f t="array" ref="H31">IF(B31&gt;0,('Direct Costs 2026'!$C$19+'Direct Costs 2026'!$C$18*B31),"N/A")</f>
        <v>N/A</v>
      </c>
      <c r="I31" t="str" s="640" cm="1">
        <f t="array" ref="I31">IF(B31&gt;0,SUM('Direct Costs 2026'!$C$20:$C$21),"N/A")</f>
        <v>N/A</v>
      </c>
      <c r="J31" t="str" s="640" cm="1">
        <f t="array" ref="J31">IF(B31&gt;0,'Direct Costs 2026'!$C$14,"N/A")</f>
        <v>N/A</v>
      </c>
      <c r="K31" t="str" s="640" cm="1">
        <f t="array" ref="K31">IF(B31&gt;0,'Direct Costs 2026'!$C$26,"N/A")</f>
        <v>N/A</v>
      </c>
      <c r="L31" t="str" s="640" cm="1">
        <f t="array" ref="L31">IF(B31&gt;0,SUM('Direct Costs 2026'!$C$23:$C$24),"N/A")</f>
        <v>N/A</v>
      </c>
      <c r="M31" t="str" s="640" cm="1">
        <f t="array" ref="M31">IF(B31&gt;0,'Direct Costs 2026'!$C$45*B31,"N/A")</f>
        <v>N/A</v>
      </c>
      <c r="N31" t="str" s="640" cm="1">
        <f t="array" ref="N31">IF($B31&gt;0,'Direct Costs 2026'!$C$29,"N/A")</f>
        <v>N/A</v>
      </c>
      <c r="O31" t="str" s="640" cm="1">
        <f t="array" ref="O31">IF($B31&gt;0,'Direct Costs 2026'!$C$31,"N/A")</f>
        <v>N/A</v>
      </c>
      <c r="P31" t="str" s="640" cm="1">
        <f t="array" ref="P31">IF(B31&gt;0,'Direct Costs 2026'!$C$59*B31,"N/A")</f>
        <v>N/A</v>
      </c>
      <c r="Q31" t="str" s="640" cm="1">
        <f t="array" ref="Q31">IF(B31&gt;0,_xlfn.IFERROR(VLOOKUP(C24,'Boats Data Sheet 2026'!$C$3:$I$57,7,0)*'Direct Costs 2026'!$C$36,"N/A"),"N/A")</f>
        <v>N/A</v>
      </c>
      <c r="R31" s="639"/>
      <c r="S31" t="str" s="640" cm="1">
        <f t="array" ref="S31">IF(B31&gt;0,IF(OR(VLOOKUP(C24,'Boats Data Sheet 2026'!$C$3:$F$57,4,0)="Own",VLOOKUP(C24,'Boats Data Sheet 2026'!$C$3:$F$57,4,0)="Management"),('Direct Costs 2026'!$C$37+'Direct Costs 2026'!$C$39),"N/A"),"N/A")</f>
        <v>N/A</v>
      </c>
      <c r="T31" t="str" s="640" cm="1">
        <f t="array" ref="T31">_xlfn.IFERROR(IF(B31&gt;5,IF(B31&gt;11,IF(B31&gt;15,4,3),2),IF(B31=0,"N/A",1))*SUM('Direct Costs 2026'!$C$67:$C$68),"N/A")</f>
        <v>N/A</v>
      </c>
      <c r="U31" t="str" s="640" cm="1">
        <f t="array" ref="U31">_xlfn.IFERROR('Direct Costs 2026'!$C$27*C31,"N/A")</f>
        <v>N/A</v>
      </c>
      <c r="V31" t="str" s="640" cm="1">
        <f t="array" ref="V31">_xlfn.IFERROR(C31+SUM(E31:U31),"N/A")</f>
        <v>N/A</v>
      </c>
      <c r="W31" s="424"/>
      <c r="X31" t="str" s="640" cm="1">
        <f t="array" ref="X31">IF(B31&gt;0,'Allocation OH and Target 2026'!$E$31,"N/A")</f>
        <v>N/A</v>
      </c>
      <c r="Y31" t="str" s="640" cm="1">
        <f t="array" ref="Y31">IF(B31&gt;0,VLOOKUP(C24,'Allocation OH and Target 2026'!$C$5:$T$23,16,0),"N/A")</f>
        <v>N/A</v>
      </c>
      <c r="Z31" t="str" s="640" cm="1">
        <f t="array" ref="Z31">_xlfn.IFERROR((X31+Y31),"N/A")</f>
        <v>N/A</v>
      </c>
      <c r="AA31" s="424"/>
      <c r="AB31" t="str" s="640" cm="1">
        <f t="array" ref="AB31">_xlfn.IFERROR(Z31+V31,"N/A")</f>
        <v>N/A</v>
      </c>
      <c r="AC31" t="str" s="640" cm="1">
        <f t="array" ref="AC31">_xlfn.IFERROR(AB31*0.5%,"N/A")</f>
        <v>N/A</v>
      </c>
      <c r="AD31" t="str" s="640" cm="1">
        <f t="array" ref="AD31">_xlfn.IFERROR(AB31*25%,"N/A")</f>
        <v>N/A</v>
      </c>
      <c r="AE31" t="str" s="648" cm="1">
        <f t="array" ref="AE31">IF(B31&gt;0,SUM(AB31:AD31),"N/A")</f>
        <v>N/A</v>
      </c>
      <c r="AF31" t="str" s="640" cm="1">
        <f t="array" ref="AF31">_xlfn.IFERROR(AE31/B31,"N/A")</f>
        <v>N/A</v>
      </c>
      <c r="AG31" s="424"/>
      <c r="AH31" t="str" s="648" cm="1">
        <f t="array" ref="AH31">IF(B31/VLOOKUP(C24,'Boats Data Sheet 2026'!$C$3:$H$57,6,0)&gt;VLOOKUP(C24,'Allocation OH and Target 2026'!$C$5:$J$23,8,0),IF(SUM(AI26:AI30)=0,AF31,"N/A"),"N/A")</f>
        <v>N/A</v>
      </c>
      <c r="AI31" s="424" cm="1">
        <f t="array" ref="AI31">IF(AH31="N/A",0,1)</f>
        <v>0</v>
      </c>
      <c r="AJ31" t="str" s="640" cm="1">
        <f t="array" ref="AJ31">IF(B31/VLOOKUP(C24,'Boats Data Sheet 2026'!$C$3:$H$57,6,0)&gt;VLOOKUP(C24,'Allocation OH and Target 2026'!$C$5:$J$23,8,0),IF(SUM(AI26:AI30)=0,V31/B31,"N/A"),"N/A")</f>
        <v>N/A</v>
      </c>
      <c r="AK31" s="424" cm="1">
        <f t="array" ref="AK31">IF(AJ31="N/A",0,1)</f>
        <v>0</v>
      </c>
      <c r="AL31" t="str" s="628" cm="1">
        <f t="array" ref="AL31">IF(SUM(1250000+700000)*B31&lt;SUM(AB31:AC31),"NO GO","GO")</f>
        <v>GO</v>
      </c>
      <c r="AM31" s="424"/>
      <c r="AN31" s="639"/>
      <c r="AO31" s="639"/>
      <c r="AP31" s="639"/>
      <c r="AQ31" s="645"/>
      <c r="AR31" s="601" cm="1">
        <f t="array" ref="AR31">B31</f>
        <v>0</v>
      </c>
    </row>
    <row r="32" ht="9" customHeight="1" hidden="1">
      <c r="A32" s="12"/>
      <c r="B32" s="646">
        <v>0</v>
      </c>
      <c r="C32" t="str" s="640" cm="1">
        <f t="array" ref="C32">IF(B32&gt;0,IF(VLOOKUP(C24,'Boats Data Sheet 2026'!$C$3:$J$57,8,0)="N/A",0,VLOOKUP(C24,'Boats Data Sheet 2026'!$C$3:$J$57,8,0)),"N/A")</f>
        <v>N/A</v>
      </c>
      <c r="D32" t="str" s="649" cm="1">
        <f t="array" ref="D32">IF(B32&gt;7,2,IF(B32=0,"N/A",1))</f>
        <v>N/A</v>
      </c>
      <c r="E32" t="str" s="640" cm="1">
        <f t="array" ref="E32">_xlfn.IFERROR(SUM('Direct Costs 2026'!$C$4:$C$6)*D32,"N/A")</f>
        <v>N/A</v>
      </c>
      <c r="F32" s="639" cm="1">
        <f t="array" ref="F32">_xlfn.IFERROR('Direct Costs 2026'!$C$43*B32,"N/A")</f>
        <v>0</v>
      </c>
      <c r="G32" t="str" s="640" cm="1">
        <f t="array" ref="G32">IF(B32&gt;0,'Direct Costs 2026'!$C$25,"N/A")</f>
        <v>N/A</v>
      </c>
      <c r="H32" t="str" s="640" cm="1">
        <f t="array" ref="H32">IF(B32&gt;0,('Direct Costs 2026'!$C$19+'Direct Costs 2026'!$C$18*B32),"N/A")</f>
        <v>N/A</v>
      </c>
      <c r="I32" t="str" s="640" cm="1">
        <f t="array" ref="I32">IF(B32&gt;0,SUM('Direct Costs 2026'!$C$20:$C$21),"N/A")</f>
        <v>N/A</v>
      </c>
      <c r="J32" t="str" s="640" cm="1">
        <f t="array" ref="J32">IF(B32&gt;0,'Direct Costs 2026'!$C$14,"N/A")</f>
        <v>N/A</v>
      </c>
      <c r="K32" t="str" s="640" cm="1">
        <f t="array" ref="K32">IF(B32&gt;0,'Direct Costs 2026'!$C$26,"N/A")</f>
        <v>N/A</v>
      </c>
      <c r="L32" t="str" s="640" cm="1">
        <f t="array" ref="L32">IF(B32&gt;0,SUM('Direct Costs 2026'!$C$23:$C$24),"N/A")</f>
        <v>N/A</v>
      </c>
      <c r="M32" t="str" s="640" cm="1">
        <f t="array" ref="M32">IF(B32&gt;0,'Direct Costs 2026'!$C$45*B32,"N/A")</f>
        <v>N/A</v>
      </c>
      <c r="N32" t="str" s="640" cm="1">
        <f t="array" ref="N32">IF($B32&gt;0,'Direct Costs 2026'!$C$29,"N/A")</f>
        <v>N/A</v>
      </c>
      <c r="O32" t="str" s="640" cm="1">
        <f t="array" ref="O32">IF($B32&gt;0,'Direct Costs 2026'!$C$31,"N/A")</f>
        <v>N/A</v>
      </c>
      <c r="P32" t="str" s="640" cm="1">
        <f t="array" ref="P32">IF(B32&gt;0,'Direct Costs 2026'!$C$59*B32,"N/A")</f>
        <v>N/A</v>
      </c>
      <c r="Q32" t="str" s="640" cm="1">
        <f t="array" ref="Q32">IF(B32&gt;0,_xlfn.IFERROR(VLOOKUP(C24,'Boats Data Sheet 2026'!$C$3:$I$57,7,0)*'Direct Costs 2026'!$C$36,"N/A"),"N/A")</f>
        <v>N/A</v>
      </c>
      <c r="R32" s="639"/>
      <c r="S32" t="str" s="640" cm="1">
        <f t="array" ref="S32">IF(B32&gt;0,IF(OR(VLOOKUP(C24,'Boats Data Sheet 2026'!$C$3:$F$57,4,0)="Own",VLOOKUP(C24,'Boats Data Sheet 2026'!$C$3:$F$57,4,0)="Management"),('Direct Costs 2026'!$C$37+'Direct Costs 2026'!$C$39),"N/A"),"N/A")</f>
        <v>N/A</v>
      </c>
      <c r="T32" t="str" s="640" cm="1">
        <f t="array" ref="T32">_xlfn.IFERROR(IF(B32&gt;5,IF(B32&gt;11,IF(B32&gt;15,4,3),2),IF(B32=0,"N/A",1))*SUM('Direct Costs 2026'!$C$67:$C$68),"N/A")</f>
        <v>N/A</v>
      </c>
      <c r="U32" t="str" s="640" cm="1">
        <f t="array" ref="U32">_xlfn.IFERROR('Direct Costs 2026'!$C$27*C32,"N/A")</f>
        <v>N/A</v>
      </c>
      <c r="V32" t="str" s="640" cm="1">
        <f t="array" ref="V32">_xlfn.IFERROR(C32+SUM(E32:U32),"N/A")</f>
        <v>N/A</v>
      </c>
      <c r="W32" s="424"/>
      <c r="X32" t="str" s="640" cm="1">
        <f t="array" ref="X32">IF(B32&gt;0,'Allocation OH and Target 2026'!$E$31,"N/A")</f>
        <v>N/A</v>
      </c>
      <c r="Y32" t="str" s="640" cm="1">
        <f t="array" ref="Y32">IF(B32&gt;0,VLOOKUP(C24,'Allocation OH and Target 2026'!$C$5:$T$23,16,0),"N/A")</f>
        <v>N/A</v>
      </c>
      <c r="Z32" t="str" s="640" cm="1">
        <f t="array" ref="Z32">_xlfn.IFERROR((X32+Y32),"N/A")</f>
        <v>N/A</v>
      </c>
      <c r="AA32" s="424"/>
      <c r="AB32" t="str" s="640" cm="1">
        <f t="array" ref="AB32">_xlfn.IFERROR(Z32+V32,"N/A")</f>
        <v>N/A</v>
      </c>
      <c r="AC32" t="str" s="640" cm="1">
        <f t="array" ref="AC32">_xlfn.IFERROR(AB32*0.5%,"N/A")</f>
        <v>N/A</v>
      </c>
      <c r="AD32" t="str" s="640" cm="1">
        <f t="array" ref="AD32">_xlfn.IFERROR(AB32*25%,"N/A")</f>
        <v>N/A</v>
      </c>
      <c r="AE32" t="str" s="648" cm="1">
        <f t="array" ref="AE32">IF(B32&gt;0,SUM(AB32:AD32),"N/A")</f>
        <v>N/A</v>
      </c>
      <c r="AF32" t="str" s="640" cm="1">
        <f t="array" ref="AF32">_xlfn.IFERROR(AE32/B32,"N/A")</f>
        <v>N/A</v>
      </c>
      <c r="AG32" s="424"/>
      <c r="AH32" t="str" s="648" cm="1">
        <f t="array" ref="AH32">IF(B32/VLOOKUP(C24,'Boats Data Sheet 2026'!$C$3:$H$57,6,0)&gt;VLOOKUP(C24,'Allocation OH and Target 2026'!$C$5:$J$23,8,0),IF(SUM(AI26:AI31)=0,AF32,"N/A"),"N/A")</f>
        <v>N/A</v>
      </c>
      <c r="AI32" s="424" cm="1">
        <f t="array" ref="AI32">IF(AH32="N/A",0,1)</f>
        <v>0</v>
      </c>
      <c r="AJ32" t="str" s="640" cm="1">
        <f t="array" ref="AJ32">IF(B32/VLOOKUP(C24,'Boats Data Sheet 2026'!$C$3:$H$57,6,0)&gt;VLOOKUP(C24,'Allocation OH and Target 2026'!$C$5:$J$23,8,0),IF(SUM(AI26:AI31)=0,V32/B32,"N/A"),"N/A")</f>
        <v>N/A</v>
      </c>
      <c r="AK32" s="424" cm="1">
        <f t="array" ref="AK32">IF(AJ32="N/A",0,1)</f>
        <v>0</v>
      </c>
      <c r="AL32" t="str" s="628" cm="1">
        <f t="array" ref="AL32">IF(SUM(1250000+700000)*B32&lt;SUM(AB32:AC32),"NO GO","GO")</f>
        <v>GO</v>
      </c>
      <c r="AM32" s="424"/>
      <c r="AN32" s="639"/>
      <c r="AO32" s="639"/>
      <c r="AP32" s="639"/>
      <c r="AQ32" s="645"/>
      <c r="AR32" s="601" cm="1">
        <f t="array" ref="AR32">B32</f>
        <v>0</v>
      </c>
    </row>
    <row r="33" ht="9" customHeight="1" hidden="1">
      <c r="A33" s="12"/>
      <c r="B33" s="646">
        <v>0</v>
      </c>
      <c r="C33" t="str" s="640" cm="1">
        <f t="array" ref="C33">IF(B33&gt;0,IF(VLOOKUP(C24,'Boats Data Sheet 2026'!$C$3:$J$57,8,0)="N/A",0,VLOOKUP(C24,'Boats Data Sheet 2026'!$C$3:$J$57,8,0)),"N/A")</f>
        <v>N/A</v>
      </c>
      <c r="D33" t="str" s="649" cm="1">
        <f t="array" ref="D33">IF(B33&gt;7,2,IF(B33=0,"N/A",1))</f>
        <v>N/A</v>
      </c>
      <c r="E33" t="str" s="640" cm="1">
        <f t="array" ref="E33">_xlfn.IFERROR(SUM('Direct Costs 2026'!$C$4:$C$6)*D33,"N/A")</f>
        <v>N/A</v>
      </c>
      <c r="F33" s="639" cm="1">
        <f t="array" ref="F33">_xlfn.IFERROR('Direct Costs 2026'!$C$43*B33,"N/A")</f>
        <v>0</v>
      </c>
      <c r="G33" t="str" s="640" cm="1">
        <f t="array" ref="G33">IF(B33&gt;0,'Direct Costs 2026'!$C$25,"N/A")</f>
        <v>N/A</v>
      </c>
      <c r="H33" t="str" s="640" cm="1">
        <f t="array" ref="H33">IF(B33&gt;0,('Direct Costs 2026'!$C$19+'Direct Costs 2026'!$C$18*B33),"N/A")</f>
        <v>N/A</v>
      </c>
      <c r="I33" t="str" s="640" cm="1">
        <f t="array" ref="I33">IF(B33&gt;0,SUM('Direct Costs 2026'!$C$20:$C$21),"N/A")</f>
        <v>N/A</v>
      </c>
      <c r="J33" t="str" s="640" cm="1">
        <f t="array" ref="J33">IF(B33&gt;0,'Direct Costs 2026'!$C$14,"N/A")</f>
        <v>N/A</v>
      </c>
      <c r="K33" t="str" s="640" cm="1">
        <f t="array" ref="K33">IF(B33&gt;0,'Direct Costs 2026'!$C$26,"N/A")</f>
        <v>N/A</v>
      </c>
      <c r="L33" t="str" s="640" cm="1">
        <f t="array" ref="L33">IF(B33&gt;0,SUM('Direct Costs 2026'!$C$23:$C$24),"N/A")</f>
        <v>N/A</v>
      </c>
      <c r="M33" t="str" s="640" cm="1">
        <f t="array" ref="M33">IF(B33&gt;0,'Direct Costs 2026'!$C$45*B33,"N/A")</f>
        <v>N/A</v>
      </c>
      <c r="N33" t="str" s="640" cm="1">
        <f t="array" ref="N33">IF($B33&gt;0,'Direct Costs 2026'!$C$29,"N/A")</f>
        <v>N/A</v>
      </c>
      <c r="O33" t="str" s="640" cm="1">
        <f t="array" ref="O33">IF($B33&gt;0,'Direct Costs 2026'!$C$31,"N/A")</f>
        <v>N/A</v>
      </c>
      <c r="P33" t="str" s="640" cm="1">
        <f t="array" ref="P33">IF(B33&gt;0,'Direct Costs 2026'!$C$59*B33,"N/A")</f>
        <v>N/A</v>
      </c>
      <c r="Q33" t="str" s="640" cm="1">
        <f t="array" ref="Q33">IF(B33&gt;0,_xlfn.IFERROR(VLOOKUP(C24,'Boats Data Sheet 2026'!$C$3:$I$57,7,0)*'Direct Costs 2026'!$C$36,"N/A"),"N/A")</f>
        <v>N/A</v>
      </c>
      <c r="R33" s="639"/>
      <c r="S33" t="str" s="640" cm="1">
        <f t="array" ref="S33">IF(B33&gt;0,IF(OR(VLOOKUP(C24,'Boats Data Sheet 2026'!$C$3:$F$57,4,0)="Own",VLOOKUP(C24,'Boats Data Sheet 2026'!$C$3:$F$57,4,0)="Management"),('Direct Costs 2026'!$C$37+'Direct Costs 2026'!$C$39),"N/A"),"N/A")</f>
        <v>N/A</v>
      </c>
      <c r="T33" t="str" s="640" cm="1">
        <f t="array" ref="T33">_xlfn.IFERROR(IF(B33&gt;5,IF(B33&gt;11,IF(B33&gt;15,4,3),2),IF(B33=0,"N/A",1))*SUM('Direct Costs 2026'!$C$67:$C$68),"N/A")</f>
        <v>N/A</v>
      </c>
      <c r="U33" t="str" s="640" cm="1">
        <f t="array" ref="U33">_xlfn.IFERROR('Direct Costs 2026'!$C$27*C33,"N/A")</f>
        <v>N/A</v>
      </c>
      <c r="V33" t="str" s="640" cm="1">
        <f t="array" ref="V33">_xlfn.IFERROR(C33+SUM(E33:U33),"N/A")</f>
        <v>N/A</v>
      </c>
      <c r="W33" s="424"/>
      <c r="X33" t="str" s="640" cm="1">
        <f t="array" ref="X33">IF(B33&gt;0,'Allocation OH and Target 2026'!$E$31,"N/A")</f>
        <v>N/A</v>
      </c>
      <c r="Y33" t="str" s="640" cm="1">
        <f t="array" ref="Y33">IF(B33&gt;0,VLOOKUP(C24,'Allocation OH and Target 2026'!$C$5:$T$23,16,0),"N/A")</f>
        <v>N/A</v>
      </c>
      <c r="Z33" t="str" s="640" cm="1">
        <f t="array" ref="Z33">_xlfn.IFERROR((X33+Y33),"N/A")</f>
        <v>N/A</v>
      </c>
      <c r="AA33" s="424"/>
      <c r="AB33" t="str" s="640" cm="1">
        <f t="array" ref="AB33">_xlfn.IFERROR(Z33+V33,"N/A")</f>
        <v>N/A</v>
      </c>
      <c r="AC33" t="str" s="640" cm="1">
        <f t="array" ref="AC33">_xlfn.IFERROR(AB33*0.5%,"N/A")</f>
        <v>N/A</v>
      </c>
      <c r="AD33" t="str" s="640" cm="1">
        <f t="array" ref="AD33">_xlfn.IFERROR(AB33*25%,"N/A")</f>
        <v>N/A</v>
      </c>
      <c r="AE33" t="str" s="648" cm="1">
        <f t="array" ref="AE33">IF(B33&gt;0,SUM(AB33:AD33),"N/A")</f>
        <v>N/A</v>
      </c>
      <c r="AF33" t="str" s="640" cm="1">
        <f t="array" ref="AF33">_xlfn.IFERROR(AE33/B33,"N/A")</f>
        <v>N/A</v>
      </c>
      <c r="AG33" s="424"/>
      <c r="AH33" t="str" s="648" cm="1">
        <f t="array" ref="AH33">IF(B33/VLOOKUP(C24,'Boats Data Sheet 2026'!$C$3:$H$57,6,0)&gt;VLOOKUP(C24,'Allocation OH and Target 2026'!$C$5:$J$23,8,0),IF(SUM(AI26:AI32)=0,AF33,"N/A"),"N/A")</f>
        <v>N/A</v>
      </c>
      <c r="AI33" s="424" cm="1">
        <f t="array" ref="AI33">IF(AH33="N/A",0,1)</f>
        <v>0</v>
      </c>
      <c r="AJ33" t="str" s="640" cm="1">
        <f t="array" ref="AJ33">IF(B33/VLOOKUP(C24,'Boats Data Sheet 2026'!$C$3:$H$57,6,0)&gt;VLOOKUP(C24,'Allocation OH and Target 2026'!$C$5:$J$23,8,0),IF(SUM(AI26:AI32)=0,V33/B33,"N/A"),"N/A")</f>
        <v>N/A</v>
      </c>
      <c r="AK33" s="424" cm="1">
        <f t="array" ref="AK33">IF(AJ33="N/A",0,1)</f>
        <v>0</v>
      </c>
      <c r="AL33" t="str" s="628" cm="1">
        <f t="array" ref="AL33">IF(SUM(1250000+700000)*B33&lt;SUM(AB33:AC33),"NO GO","GO")</f>
        <v>GO</v>
      </c>
      <c r="AM33" s="424"/>
      <c r="AN33" s="639"/>
      <c r="AO33" s="639"/>
      <c r="AP33" s="639"/>
      <c r="AQ33" s="645"/>
      <c r="AR33" s="601" cm="1">
        <f t="array" ref="AR33">B33</f>
        <v>0</v>
      </c>
    </row>
    <row r="34" ht="9" customHeight="1" hidden="1">
      <c r="A34" s="12"/>
      <c r="B34" s="646">
        <v>0</v>
      </c>
      <c r="C34" t="str" s="640" cm="1">
        <f t="array" ref="C34">IF(B34&gt;0,IF(VLOOKUP(C24,'Boats Data Sheet 2026'!$C$3:$J$57,8,0)="N/A",0,VLOOKUP(C24,'Boats Data Sheet 2026'!$C$3:$J$57,8,0)),"N/A")</f>
        <v>N/A</v>
      </c>
      <c r="D34" t="str" s="649" cm="1">
        <f t="array" ref="D34">IF(B34&gt;7,2,IF(B34=0,"N/A",1))</f>
        <v>N/A</v>
      </c>
      <c r="E34" t="str" s="640" cm="1">
        <f t="array" ref="E34">_xlfn.IFERROR(SUM('Direct Costs 2026'!$C$4:$C$6)*D34,"N/A")</f>
        <v>N/A</v>
      </c>
      <c r="F34" s="639" cm="1">
        <f t="array" ref="F34">_xlfn.IFERROR('Direct Costs 2026'!$C$43*B34,"N/A")</f>
        <v>0</v>
      </c>
      <c r="G34" t="str" s="640" cm="1">
        <f t="array" ref="G34">IF(B34&gt;0,'Direct Costs 2026'!$C$25,"N/A")</f>
        <v>N/A</v>
      </c>
      <c r="H34" t="str" s="640" cm="1">
        <f t="array" ref="H34">IF(B34&gt;0,('Direct Costs 2026'!$C$19+'Direct Costs 2026'!$C$18*B34),"N/A")</f>
        <v>N/A</v>
      </c>
      <c r="I34" t="str" s="640" cm="1">
        <f t="array" ref="I34">IF(B34&gt;0,SUM('Direct Costs 2026'!$C$20:$C$21),"N/A")</f>
        <v>N/A</v>
      </c>
      <c r="J34" t="str" s="640" cm="1">
        <f t="array" ref="J34">IF(B34&gt;0,'Direct Costs 2026'!$C$14,"N/A")</f>
        <v>N/A</v>
      </c>
      <c r="K34" t="str" s="640" cm="1">
        <f t="array" ref="K34">IF(B34&gt;0,'Direct Costs 2026'!$C$26,"N/A")</f>
        <v>N/A</v>
      </c>
      <c r="L34" t="str" s="640" cm="1">
        <f t="array" ref="L34">IF(B34&gt;0,SUM('Direct Costs 2026'!$C$23:$C$24),"N/A")</f>
        <v>N/A</v>
      </c>
      <c r="M34" t="str" s="640" cm="1">
        <f t="array" ref="M34">IF(B34&gt;0,'Direct Costs 2026'!$C$45*B34,"N/A")</f>
        <v>N/A</v>
      </c>
      <c r="N34" t="str" s="640" cm="1">
        <f t="array" ref="N34">IF($B34&gt;0,'Direct Costs 2026'!$C$29,"N/A")</f>
        <v>N/A</v>
      </c>
      <c r="O34" t="str" s="640" cm="1">
        <f t="array" ref="O34">IF($B34&gt;0,'Direct Costs 2026'!$C$31,"N/A")</f>
        <v>N/A</v>
      </c>
      <c r="P34" t="str" s="640" cm="1">
        <f t="array" ref="P34">IF(B34&gt;0,'Direct Costs 2026'!$C$59*B34,"N/A")</f>
        <v>N/A</v>
      </c>
      <c r="Q34" t="str" s="640" cm="1">
        <f t="array" ref="Q34">IF(B34&gt;0,_xlfn.IFERROR(VLOOKUP(C24,'Boats Data Sheet 2026'!$C$3:$I$57,7,0)*'Direct Costs 2026'!$C$36,"N/A"),"N/A")</f>
        <v>N/A</v>
      </c>
      <c r="R34" s="639"/>
      <c r="S34" t="str" s="640" cm="1">
        <f t="array" ref="S34">IF(B34&gt;0,IF(OR(VLOOKUP(C24,'Boats Data Sheet 2026'!$C$3:$F$57,4,0)="Own",VLOOKUP(C24,'Boats Data Sheet 2026'!$C$3:$F$57,4,0)="Management"),('Direct Costs 2026'!$C$37+'Direct Costs 2026'!$C$39),"N/A"),"N/A")</f>
        <v>N/A</v>
      </c>
      <c r="T34" t="str" s="640" cm="1">
        <f t="array" ref="T34">_xlfn.IFERROR(IF(B34&gt;5,IF(B34&gt;11,IF(B34&gt;15,4,3),2),IF(B34=0,"N/A",1))*SUM('Direct Costs 2026'!$C$67:$C$68),"N/A")</f>
        <v>N/A</v>
      </c>
      <c r="U34" t="str" s="640" cm="1">
        <f t="array" ref="U34">_xlfn.IFERROR('Direct Costs 2026'!$C$27*C34,"N/A")</f>
        <v>N/A</v>
      </c>
      <c r="V34" t="str" s="640" cm="1">
        <f t="array" ref="V34">_xlfn.IFERROR(C34+SUM(E34:U34),"N/A")</f>
        <v>N/A</v>
      </c>
      <c r="W34" s="424"/>
      <c r="X34" t="str" s="640" cm="1">
        <f t="array" ref="X34">IF(B34&gt;0,'Allocation OH and Target 2026'!$E$31,"N/A")</f>
        <v>N/A</v>
      </c>
      <c r="Y34" t="str" s="640" cm="1">
        <f t="array" ref="Y34">IF(B34&gt;0,VLOOKUP(C24,'Allocation OH and Target 2026'!$C$5:$T$23,16,0),"N/A")</f>
        <v>N/A</v>
      </c>
      <c r="Z34" t="str" s="640" cm="1">
        <f t="array" ref="Z34">_xlfn.IFERROR((X34+Y34),"N/A")</f>
        <v>N/A</v>
      </c>
      <c r="AA34" s="424"/>
      <c r="AB34" t="str" s="640" cm="1">
        <f t="array" ref="AB34">_xlfn.IFERROR(Z34+V34,"N/A")</f>
        <v>N/A</v>
      </c>
      <c r="AC34" t="str" s="640" cm="1">
        <f t="array" ref="AC34">_xlfn.IFERROR(AB34*0.5%,"N/A")</f>
        <v>N/A</v>
      </c>
      <c r="AD34" t="str" s="640" cm="1">
        <f t="array" ref="AD34">_xlfn.IFERROR(AB34*25%,"N/A")</f>
        <v>N/A</v>
      </c>
      <c r="AE34" t="str" s="648" cm="1">
        <f t="array" ref="AE34">IF(B34&gt;0,SUM(AB34:AD34),"N/A")</f>
        <v>N/A</v>
      </c>
      <c r="AF34" t="str" s="640" cm="1">
        <f t="array" ref="AF34">_xlfn.IFERROR(AE34/B34,"N/A")</f>
        <v>N/A</v>
      </c>
      <c r="AG34" s="424"/>
      <c r="AH34" t="str" s="648" cm="1">
        <f t="array" ref="AH34">IF(B34/VLOOKUP(C24,'Boats Data Sheet 2026'!$C$3:$H$57,6,0)&gt;VLOOKUP(C24,'Allocation OH and Target 2026'!$C$5:$J$23,8,0),IF(SUM(AI26:AI33)=0,AF34,"N/A"),"N/A")</f>
        <v>N/A</v>
      </c>
      <c r="AI34" s="424" cm="1">
        <f t="array" ref="AI34">IF(AH34="N/A",0,1)</f>
        <v>0</v>
      </c>
      <c r="AJ34" t="str" s="640" cm="1">
        <f t="array" ref="AJ34">IF(B34/VLOOKUP(C24,'Boats Data Sheet 2026'!$C$3:$H$57,6,0)&gt;VLOOKUP(C24,'Allocation OH and Target 2026'!$C$5:$J$23,8,0),IF(SUM(AI26:AI33)=0,V34/B34,"N/A"),"N/A")</f>
        <v>N/A</v>
      </c>
      <c r="AK34" s="424" cm="1">
        <f t="array" ref="AK34">IF(AJ34="N/A",0,1)</f>
        <v>0</v>
      </c>
      <c r="AL34" t="str" s="628" cm="1">
        <f t="array" ref="AL34">IF(SUM(1250000+700000)*B34&lt;SUM(AB34:AC34),"NO GO","GO")</f>
        <v>GO</v>
      </c>
      <c r="AM34" s="424"/>
      <c r="AN34" s="639"/>
      <c r="AO34" s="639"/>
      <c r="AP34" s="639"/>
      <c r="AQ34" s="645"/>
      <c r="AR34" s="601" cm="1">
        <f t="array" ref="AR34">B34</f>
        <v>0</v>
      </c>
    </row>
    <row r="35" ht="9" customHeight="1" hidden="1">
      <c r="A35" s="12"/>
      <c r="B35" s="646">
        <v>0</v>
      </c>
      <c r="C35" t="str" s="640" cm="1">
        <f t="array" ref="C35">IF(B35&gt;0,IF(VLOOKUP(C24,'Boats Data Sheet 2026'!$C$3:$J$57,8,0)="N/A",0,VLOOKUP(C24,'Boats Data Sheet 2026'!$C$3:$J$57,8,0)),"N/A")</f>
        <v>N/A</v>
      </c>
      <c r="D35" t="str" s="649" cm="1">
        <f t="array" ref="D35">IF(B35&gt;7,2,IF(B35=0,"N/A",1))</f>
        <v>N/A</v>
      </c>
      <c r="E35" t="str" s="640" cm="1">
        <f t="array" ref="E35">_xlfn.IFERROR(SUM('Direct Costs 2026'!$C$4:$C$6)*D35,"N/A")</f>
        <v>N/A</v>
      </c>
      <c r="F35" s="639" cm="1">
        <f t="array" ref="F35">_xlfn.IFERROR('Direct Costs 2026'!$C$43*B35,"N/A")</f>
        <v>0</v>
      </c>
      <c r="G35" t="str" s="640" cm="1">
        <f t="array" ref="G35">IF(B35&gt;0,'Direct Costs 2026'!$C$25,"N/A")</f>
        <v>N/A</v>
      </c>
      <c r="H35" t="str" s="640" cm="1">
        <f t="array" ref="H35">IF(B35&gt;0,('Direct Costs 2026'!$C$19+'Direct Costs 2026'!$C$18*B35),"N/A")</f>
        <v>N/A</v>
      </c>
      <c r="I35" t="str" s="640" cm="1">
        <f t="array" ref="I35">IF(B35&gt;0,SUM('Direct Costs 2026'!$C$20:$C$21),"N/A")</f>
        <v>N/A</v>
      </c>
      <c r="J35" t="str" s="640" cm="1">
        <f t="array" ref="J35">IF(B35&gt;0,'Direct Costs 2026'!$C$14,"N/A")</f>
        <v>N/A</v>
      </c>
      <c r="K35" t="str" s="640" cm="1">
        <f t="array" ref="K35">IF(B35&gt;0,'Direct Costs 2026'!$C$26,"N/A")</f>
        <v>N/A</v>
      </c>
      <c r="L35" t="str" s="640" cm="1">
        <f t="array" ref="L35">IF(B35&gt;0,SUM('Direct Costs 2026'!$C$23:$C$24),"N/A")</f>
        <v>N/A</v>
      </c>
      <c r="M35" t="str" s="640" cm="1">
        <f t="array" ref="M35">IF(B35&gt;0,'Direct Costs 2026'!$C$45*B35,"N/A")</f>
        <v>N/A</v>
      </c>
      <c r="N35" t="str" s="640" cm="1">
        <f t="array" ref="N35">IF($B35&gt;0,'Direct Costs 2026'!$C$29,"N/A")</f>
        <v>N/A</v>
      </c>
      <c r="O35" t="str" s="640" cm="1">
        <f t="array" ref="O35">IF($B35&gt;0,'Direct Costs 2026'!$C$31,"N/A")</f>
        <v>N/A</v>
      </c>
      <c r="P35" t="str" s="640" cm="1">
        <f t="array" ref="P35">IF(B35&gt;0,'Direct Costs 2026'!$C$59*B35,"N/A")</f>
        <v>N/A</v>
      </c>
      <c r="Q35" t="str" s="640" cm="1">
        <f t="array" ref="Q35">IF(B35&gt;0,_xlfn.IFERROR(VLOOKUP(C24,'Boats Data Sheet 2026'!$C$3:$I$57,7,0)*'Direct Costs 2026'!$C$36,"N/A"),"N/A")</f>
        <v>N/A</v>
      </c>
      <c r="R35" s="639"/>
      <c r="S35" t="str" s="640" cm="1">
        <f t="array" ref="S35">IF(B35&gt;0,IF(OR(VLOOKUP(C24,'Boats Data Sheet 2026'!$C$3:$F$57,4,0)="Own",VLOOKUP(C24,'Boats Data Sheet 2026'!$C$3:$F$57,4,0)="Management"),('Direct Costs 2026'!$C$37+'Direct Costs 2026'!$C$39),"N/A"),"N/A")</f>
        <v>N/A</v>
      </c>
      <c r="T35" t="str" s="640" cm="1">
        <f t="array" ref="T35">_xlfn.IFERROR(IF(B35&gt;5,IF(B35&gt;11,IF(B35&gt;15,4,3),2),IF(B35=0,"N/A",1))*SUM('Direct Costs 2026'!$C$67:$C$68),"N/A")</f>
        <v>N/A</v>
      </c>
      <c r="U35" t="str" s="640" cm="1">
        <f t="array" ref="U35">_xlfn.IFERROR('Direct Costs 2026'!$C$27*C35,"N/A")</f>
        <v>N/A</v>
      </c>
      <c r="V35" t="str" s="640" cm="1">
        <f t="array" ref="V35">_xlfn.IFERROR(C35+SUM(E35:U35),"N/A")</f>
        <v>N/A</v>
      </c>
      <c r="W35" s="424"/>
      <c r="X35" t="str" s="640" cm="1">
        <f t="array" ref="X35">IF(B35&gt;0,'Allocation OH and Target 2026'!$E$31,"N/A")</f>
        <v>N/A</v>
      </c>
      <c r="Y35" t="str" s="640" cm="1">
        <f t="array" ref="Y35">IF(B35&gt;0,VLOOKUP(C24,'Allocation OH and Target 2026'!$C$5:$T$23,16,0),"N/A")</f>
        <v>N/A</v>
      </c>
      <c r="Z35" t="str" s="640" cm="1">
        <f t="array" ref="Z35">_xlfn.IFERROR((X35+Y35),"N/A")</f>
        <v>N/A</v>
      </c>
      <c r="AA35" s="424"/>
      <c r="AB35" t="str" s="640" cm="1">
        <f t="array" ref="AB35">_xlfn.IFERROR(Z35+V35,"N/A")</f>
        <v>N/A</v>
      </c>
      <c r="AC35" t="str" s="640" cm="1">
        <f t="array" ref="AC35">_xlfn.IFERROR(AB35*0.5%,"N/A")</f>
        <v>N/A</v>
      </c>
      <c r="AD35" t="str" s="640" cm="1">
        <f t="array" ref="AD35">_xlfn.IFERROR(AB35*25%,"N/A")</f>
        <v>N/A</v>
      </c>
      <c r="AE35" t="str" s="648" cm="1">
        <f t="array" ref="AE35">IF(B35&gt;0,SUM(AB35:AD35),"N/A")</f>
        <v>N/A</v>
      </c>
      <c r="AF35" t="str" s="640" cm="1">
        <f t="array" ref="AF35">_xlfn.IFERROR(AE35/B35,"N/A")</f>
        <v>N/A</v>
      </c>
      <c r="AG35" s="424"/>
      <c r="AH35" t="str" s="648" cm="1">
        <f t="array" ref="AH35">IF(B35/VLOOKUP(C24,'Boats Data Sheet 2026'!$C$3:$H$57,6,0)&gt;VLOOKUP(C24,'Allocation OH and Target 2026'!$C$5:$J$23,8,0),IF(SUM(AI26:AI34)=0,AF35,"N/A"),"N/A")</f>
        <v>N/A</v>
      </c>
      <c r="AI35" s="424" cm="1">
        <f t="array" ref="AI35">IF(AH35="N/A",0,1)</f>
        <v>0</v>
      </c>
      <c r="AJ35" t="str" s="640" cm="1">
        <f t="array" ref="AJ35">IF(B35/VLOOKUP(C24,'Boats Data Sheet 2026'!$C$3:$H$57,6,0)&gt;VLOOKUP(C24,'Allocation OH and Target 2026'!$C$5:$J$23,8,0),IF(SUM(AI26:AI34)=0,V35/B35,"N/A"),"N/A")</f>
        <v>N/A</v>
      </c>
      <c r="AK35" s="424" cm="1">
        <f t="array" ref="AK35">IF(AJ35="N/A",0,1)</f>
        <v>0</v>
      </c>
      <c r="AL35" t="str" s="628" cm="1">
        <f t="array" ref="AL35">IF(SUM(1250000+700000)*B35&lt;SUM(AB35:AC35),"NO GO","GO")</f>
        <v>GO</v>
      </c>
      <c r="AM35" s="424"/>
      <c r="AN35" s="639"/>
      <c r="AO35" s="639"/>
      <c r="AP35" s="639"/>
      <c r="AQ35" s="645"/>
      <c r="AR35" s="601" cm="1">
        <f t="array" ref="AR35">B35</f>
        <v>0</v>
      </c>
    </row>
    <row r="36" ht="9" customHeight="1" hidden="1">
      <c r="A36" s="12"/>
      <c r="B36" s="646">
        <v>0</v>
      </c>
      <c r="C36" t="str" s="640" cm="1">
        <f t="array" ref="C36">IF(B36&gt;0,IF(VLOOKUP(C24,'Boats Data Sheet 2026'!$C$3:$J$57,8,0)="N/A",0,VLOOKUP(C24,'Boats Data Sheet 2026'!$C$3:$J$57,8,0)),"N/A")</f>
        <v>N/A</v>
      </c>
      <c r="D36" t="str" s="649" cm="1">
        <f t="array" ref="D36">IF(B36&gt;7,2,IF(B36=0,"N/A",1))</f>
        <v>N/A</v>
      </c>
      <c r="E36" t="str" s="640" cm="1">
        <f t="array" ref="E36">_xlfn.IFERROR(SUM('Direct Costs 2026'!$C$4:$C$6)*D36,"N/A")</f>
        <v>N/A</v>
      </c>
      <c r="F36" s="639" cm="1">
        <f t="array" ref="F36">_xlfn.IFERROR('Direct Costs 2026'!$C$43*B36,"N/A")</f>
        <v>0</v>
      </c>
      <c r="G36" t="str" s="640" cm="1">
        <f t="array" ref="G36">IF(B36&gt;0,'Direct Costs 2026'!$C$25,"N/A")</f>
        <v>N/A</v>
      </c>
      <c r="H36" t="str" s="640" cm="1">
        <f t="array" ref="H36">IF(B36&gt;0,('Direct Costs 2026'!$C$19+'Direct Costs 2026'!$C$18*B36),"N/A")</f>
        <v>N/A</v>
      </c>
      <c r="I36" t="str" s="640" cm="1">
        <f t="array" ref="I36">IF(B36&gt;0,SUM('Direct Costs 2026'!$C$20:$C$21),"N/A")</f>
        <v>N/A</v>
      </c>
      <c r="J36" t="str" s="640" cm="1">
        <f t="array" ref="J36">IF(B36&gt;0,'Direct Costs 2026'!$C$14,"N/A")</f>
        <v>N/A</v>
      </c>
      <c r="K36" t="str" s="640" cm="1">
        <f t="array" ref="K36">IF(B36&gt;0,'Direct Costs 2026'!$C$26,"N/A")</f>
        <v>N/A</v>
      </c>
      <c r="L36" t="str" s="640" cm="1">
        <f t="array" ref="L36">IF(B36&gt;0,SUM('Direct Costs 2026'!$C$23:$C$24),"N/A")</f>
        <v>N/A</v>
      </c>
      <c r="M36" t="str" s="640" cm="1">
        <f t="array" ref="M36">IF(B36&gt;0,'Direct Costs 2026'!$C$45*B36,"N/A")</f>
        <v>N/A</v>
      </c>
      <c r="N36" t="str" s="640" cm="1">
        <f t="array" ref="N36">IF($B36&gt;0,'Direct Costs 2026'!$C$29,"N/A")</f>
        <v>N/A</v>
      </c>
      <c r="O36" t="str" s="640" cm="1">
        <f t="array" ref="O36">IF($B36&gt;0,'Direct Costs 2026'!$C$31,"N/A")</f>
        <v>N/A</v>
      </c>
      <c r="P36" t="str" s="640" cm="1">
        <f t="array" ref="P36">IF(B36&gt;0,'Direct Costs 2026'!$C$59*B36,"N/A")</f>
        <v>N/A</v>
      </c>
      <c r="Q36" t="str" s="640" cm="1">
        <f t="array" ref="Q36">IF(B36&gt;0,_xlfn.IFERROR(VLOOKUP(C24,'Boats Data Sheet 2026'!$C$3:$I$57,7,0)*'Direct Costs 2026'!$C$36,"N/A"),"N/A")</f>
        <v>N/A</v>
      </c>
      <c r="R36" s="639"/>
      <c r="S36" t="str" s="640" cm="1">
        <f t="array" ref="S36">IF(B36&gt;0,IF(OR(VLOOKUP(C24,'Boats Data Sheet 2026'!$C$3:$F$57,4,0)="Own",VLOOKUP(C24,'Boats Data Sheet 2026'!$C$3:$F$57,4,0)="Management"),('Direct Costs 2026'!$C$37+'Direct Costs 2026'!$C$39),"N/A"),"N/A")</f>
        <v>N/A</v>
      </c>
      <c r="T36" t="str" s="640" cm="1">
        <f t="array" ref="T36">_xlfn.IFERROR(IF(B36&gt;5,IF(B36&gt;11,IF(B36&gt;15,4,3),2),IF(B36=0,"N/A",1))*SUM('Direct Costs 2026'!$C$67:$C$68),"N/A")</f>
        <v>N/A</v>
      </c>
      <c r="U36" t="str" s="640" cm="1">
        <f t="array" ref="U36">_xlfn.IFERROR('Direct Costs 2026'!$C$27*C36,"N/A")</f>
        <v>N/A</v>
      </c>
      <c r="V36" t="str" s="640" cm="1">
        <f t="array" ref="V36">_xlfn.IFERROR(C36+SUM(E36:U36),"N/A")</f>
        <v>N/A</v>
      </c>
      <c r="W36" s="424"/>
      <c r="X36" t="str" s="640" cm="1">
        <f t="array" ref="X36">IF(B36&gt;0,'Allocation OH and Target 2026'!$E$31,"N/A")</f>
        <v>N/A</v>
      </c>
      <c r="Y36" t="str" s="640" cm="1">
        <f t="array" ref="Y36">IF(B36&gt;0,VLOOKUP(C24,'Allocation OH and Target 2026'!$C$5:$T$23,16,0),"N/A")</f>
        <v>N/A</v>
      </c>
      <c r="Z36" t="str" s="640" cm="1">
        <f t="array" ref="Z36">_xlfn.IFERROR((X36+Y36),"N/A")</f>
        <v>N/A</v>
      </c>
      <c r="AA36" s="424"/>
      <c r="AB36" t="str" s="640" cm="1">
        <f t="array" ref="AB36">_xlfn.IFERROR(Z36+V36,"N/A")</f>
        <v>N/A</v>
      </c>
      <c r="AC36" t="str" s="640" cm="1">
        <f t="array" ref="AC36">_xlfn.IFERROR(AB36*0.5%,"N/A")</f>
        <v>N/A</v>
      </c>
      <c r="AD36" t="str" s="640" cm="1">
        <f t="array" ref="AD36">_xlfn.IFERROR(AB36*25%,"N/A")</f>
        <v>N/A</v>
      </c>
      <c r="AE36" t="str" s="648" cm="1">
        <f t="array" ref="AE36">IF(B36&gt;0,SUM(AB36:AD36),"N/A")</f>
        <v>N/A</v>
      </c>
      <c r="AF36" t="str" s="640" cm="1">
        <f t="array" ref="AF36">_xlfn.IFERROR(AE36/B36,"N/A")</f>
        <v>N/A</v>
      </c>
      <c r="AG36" s="424"/>
      <c r="AH36" t="str" s="648" cm="1">
        <f t="array" ref="AH36">IF(B36/VLOOKUP(C24,'Boats Data Sheet 2026'!$C$3:$H$57,6,0)&gt;VLOOKUP(C24,'Allocation OH and Target 2026'!$C$5:$J$23,8,0),IF(SUM(AI26:AI35)=0,AF36,"N/A"),"N/A")</f>
        <v>N/A</v>
      </c>
      <c r="AI36" s="424" cm="1">
        <f t="array" ref="AI36">IF(AH36="N/A",0,1)</f>
        <v>0</v>
      </c>
      <c r="AJ36" t="str" s="640" cm="1">
        <f t="array" ref="AJ36">IF(B36/VLOOKUP(C24,'Boats Data Sheet 2026'!$C$3:$H$57,6,0)&gt;VLOOKUP(C24,'Allocation OH and Target 2026'!$C$5:$J$23,8,0),IF(SUM(AI26:AI35)=0,V36/B36,"N/A"),"N/A")</f>
        <v>N/A</v>
      </c>
      <c r="AK36" s="424" cm="1">
        <f t="array" ref="AK36">IF(AJ36="N/A",0,1)</f>
        <v>0</v>
      </c>
      <c r="AL36" t="str" s="628" cm="1">
        <f t="array" ref="AL36">IF(SUM(1250000+700000)*B36&lt;SUM(AB36:AC36),"NO GO","GO")</f>
        <v>GO</v>
      </c>
      <c r="AM36" s="424"/>
      <c r="AN36" s="639"/>
      <c r="AO36" s="639"/>
      <c r="AP36" s="639"/>
      <c r="AQ36" s="645"/>
      <c r="AR36" s="601" cm="1">
        <f t="array" ref="AR36">B36</f>
        <v>0</v>
      </c>
    </row>
    <row r="37" ht="9" customHeight="1" hidden="1">
      <c r="A37" s="12"/>
      <c r="B37" s="646">
        <v>0</v>
      </c>
      <c r="C37" t="str" s="640" cm="1">
        <f t="array" ref="C37">IF(B37&gt;0,IF(VLOOKUP(C24,'Boats Data Sheet 2026'!$C$3:$J$57,8,0)="N/A",0,VLOOKUP(C24,'Boats Data Sheet 2026'!$C$3:$J$57,8,0)),"N/A")</f>
        <v>N/A</v>
      </c>
      <c r="D37" t="str" s="649" cm="1">
        <f t="array" ref="D37">IF(B37&gt;7,2,IF(B37=0,"N/A",1))</f>
        <v>N/A</v>
      </c>
      <c r="E37" t="str" s="640" cm="1">
        <f t="array" ref="E37">_xlfn.IFERROR(SUM('Direct Costs 2026'!$C$4:$C$6)*D37,"N/A")</f>
        <v>N/A</v>
      </c>
      <c r="F37" s="639" cm="1">
        <f t="array" ref="F37">_xlfn.IFERROR('Direct Costs 2026'!$C$43*B37,"N/A")</f>
        <v>0</v>
      </c>
      <c r="G37" t="str" s="640" cm="1">
        <f t="array" ref="G37">IF(B37&gt;0,'Direct Costs 2026'!$C$25,"N/A")</f>
        <v>N/A</v>
      </c>
      <c r="H37" t="str" s="640" cm="1">
        <f t="array" ref="H37">IF(B37&gt;0,('Direct Costs 2026'!$C$19+'Direct Costs 2026'!$C$18*B37),"N/A")</f>
        <v>N/A</v>
      </c>
      <c r="I37" t="str" s="640" cm="1">
        <f t="array" ref="I37">IF(B37&gt;0,SUM('Direct Costs 2026'!$C$20:$C$21),"N/A")</f>
        <v>N/A</v>
      </c>
      <c r="J37" t="str" s="640" cm="1">
        <f t="array" ref="J37">IF(B37&gt;0,'Direct Costs 2026'!$C$14,"N/A")</f>
        <v>N/A</v>
      </c>
      <c r="K37" t="str" s="640" cm="1">
        <f t="array" ref="K37">IF(B37&gt;0,'Direct Costs 2026'!$C$26,"N/A")</f>
        <v>N/A</v>
      </c>
      <c r="L37" t="str" s="640" cm="1">
        <f t="array" ref="L37">IF(B37&gt;0,SUM('Direct Costs 2026'!$C$23:$C$24),"N/A")</f>
        <v>N/A</v>
      </c>
      <c r="M37" t="str" s="640" cm="1">
        <f t="array" ref="M37">IF(B37&gt;0,'Direct Costs 2026'!$C$45*B37,"N/A")</f>
        <v>N/A</v>
      </c>
      <c r="N37" t="str" s="640" cm="1">
        <f t="array" ref="N37">IF($B37&gt;0,'Direct Costs 2026'!$C$29,"N/A")</f>
        <v>N/A</v>
      </c>
      <c r="O37" t="str" s="640" cm="1">
        <f t="array" ref="O37">IF($B37&gt;0,'Direct Costs 2026'!$C$31,"N/A")</f>
        <v>N/A</v>
      </c>
      <c r="P37" t="str" s="640" cm="1">
        <f t="array" ref="P37">IF(B37&gt;0,'Direct Costs 2026'!$C$59*B37,"N/A")</f>
        <v>N/A</v>
      </c>
      <c r="Q37" t="str" s="640" cm="1">
        <f t="array" ref="Q37">IF(B37&gt;0,_xlfn.IFERROR(VLOOKUP(C24,'Boats Data Sheet 2026'!$C$3:$I$57,7,0)*'Direct Costs 2026'!$C$36,"N/A"),"N/A")</f>
        <v>N/A</v>
      </c>
      <c r="R37" s="639"/>
      <c r="S37" t="str" s="640" cm="1">
        <f t="array" ref="S37">IF(B37&gt;0,IF(OR(VLOOKUP(C24,'Boats Data Sheet 2026'!$C$3:$F$57,4,0)="Own",VLOOKUP(C24,'Boats Data Sheet 2026'!$C$3:$F$57,4,0)="Management"),('Direct Costs 2026'!$C$37+'Direct Costs 2026'!$C$39),"N/A"),"N/A")</f>
        <v>N/A</v>
      </c>
      <c r="T37" t="str" s="640" cm="1">
        <f t="array" ref="T37">_xlfn.IFERROR(IF(B37&gt;5,IF(B37&gt;11,IF(B37&gt;15,4,3),2),IF(B37=0,"N/A",1))*SUM('Direct Costs 2026'!$C$67:$C$68),"N/A")</f>
        <v>N/A</v>
      </c>
      <c r="U37" t="str" s="640" cm="1">
        <f t="array" ref="U37">_xlfn.IFERROR('Direct Costs 2026'!$C$27*C37,"N/A")</f>
        <v>N/A</v>
      </c>
      <c r="V37" t="str" s="640" cm="1">
        <f t="array" ref="V37">_xlfn.IFERROR(C37+SUM(E37:U37),"N/A")</f>
        <v>N/A</v>
      </c>
      <c r="W37" s="424"/>
      <c r="X37" t="str" s="640" cm="1">
        <f t="array" ref="X37">IF(B37&gt;0,'Allocation OH and Target 2026'!$E$31,"N/A")</f>
        <v>N/A</v>
      </c>
      <c r="Y37" t="str" s="640" cm="1">
        <f t="array" ref="Y37">IF(B37&gt;0,VLOOKUP(C24,'Allocation OH and Target 2026'!$C$5:$T$23,16,0),"N/A")</f>
        <v>N/A</v>
      </c>
      <c r="Z37" t="str" s="640" cm="1">
        <f t="array" ref="Z37">_xlfn.IFERROR((X37+Y37),"N/A")</f>
        <v>N/A</v>
      </c>
      <c r="AA37" s="424"/>
      <c r="AB37" t="str" s="640" cm="1">
        <f t="array" ref="AB37">_xlfn.IFERROR(Z37+V37,"N/A")</f>
        <v>N/A</v>
      </c>
      <c r="AC37" t="str" s="640" cm="1">
        <f t="array" ref="AC37">_xlfn.IFERROR(AB37*0.5%,"N/A")</f>
        <v>N/A</v>
      </c>
      <c r="AD37" t="str" s="640" cm="1">
        <f t="array" ref="AD37">_xlfn.IFERROR(AB37*25%,"N/A")</f>
        <v>N/A</v>
      </c>
      <c r="AE37" t="str" s="648" cm="1">
        <f t="array" ref="AE37">IF(B37&gt;0,SUM(AB37:AD37),"N/A")</f>
        <v>N/A</v>
      </c>
      <c r="AF37" t="str" s="640" cm="1">
        <f t="array" ref="AF37">_xlfn.IFERROR(AE37/B37,"N/A")</f>
        <v>N/A</v>
      </c>
      <c r="AG37" s="424"/>
      <c r="AH37" t="str" s="648" cm="1">
        <f t="array" ref="AH37">IF(B37/VLOOKUP(C24,'Boats Data Sheet 2026'!$C$3:$H$57,6,0)&gt;VLOOKUP(C24,'Allocation OH and Target 2026'!$C$5:$J$23,8,0),IF(SUM(AI26:AI36)=0,AF37,"N/A"),"N/A")</f>
        <v>N/A</v>
      </c>
      <c r="AI37" s="424" cm="1">
        <f t="array" ref="AI37">IF(AH37="N/A",0,1)</f>
        <v>0</v>
      </c>
      <c r="AJ37" t="str" s="640" cm="1">
        <f t="array" ref="AJ37">IF(B37/VLOOKUP(C24,'Boats Data Sheet 2026'!$C$3:$H$57,6,0)&gt;VLOOKUP(C24,'Allocation OH and Target 2026'!$C$5:$J$23,8,0),IF(SUM(AI26:AI36)=0,V37/B37,"N/A"),"N/A")</f>
        <v>N/A</v>
      </c>
      <c r="AK37" s="424" cm="1">
        <f t="array" ref="AK37">IF(AJ37="N/A",0,1)</f>
        <v>0</v>
      </c>
      <c r="AL37" t="str" s="628" cm="1">
        <f t="array" ref="AL37">IF(SUM(1250000+700000)*B37&lt;SUM(AB37:AC37),"NO GO","GO")</f>
        <v>GO</v>
      </c>
      <c r="AM37" s="424"/>
      <c r="AN37" s="639"/>
      <c r="AO37" s="639"/>
      <c r="AP37" s="639"/>
      <c r="AQ37" s="645"/>
      <c r="AR37" s="601" cm="1">
        <f t="array" ref="AR37">B37</f>
        <v>0</v>
      </c>
    </row>
    <row r="38" ht="9" customHeight="1" hidden="1">
      <c r="A38" s="12"/>
      <c r="B38" s="646">
        <v>0</v>
      </c>
      <c r="C38" t="str" s="640" cm="1">
        <f t="array" ref="C38">IF(B38&gt;0,IF(VLOOKUP(C24,'Boats Data Sheet 2026'!$C$3:$J$57,8,0)="N/A",0,VLOOKUP(C24,'Boats Data Sheet 2026'!$C$3:$J$57,8,0)),"N/A")</f>
        <v>N/A</v>
      </c>
      <c r="D38" t="str" s="649" cm="1">
        <f t="array" ref="D38">IF(B38&gt;7,2,IF(B38=0,"N/A",1))</f>
        <v>N/A</v>
      </c>
      <c r="E38" t="str" s="640" cm="1">
        <f t="array" ref="E38">_xlfn.IFERROR(SUM('Direct Costs 2026'!$C$4:$C$6)*D38,"N/A")</f>
        <v>N/A</v>
      </c>
      <c r="F38" s="639" cm="1">
        <f t="array" ref="F38">_xlfn.IFERROR('Direct Costs 2026'!$C$43*B38,"N/A")</f>
        <v>0</v>
      </c>
      <c r="G38" t="str" s="640" cm="1">
        <f t="array" ref="G38">IF(B38&gt;0,'Direct Costs 2026'!$C$25,"N/A")</f>
        <v>N/A</v>
      </c>
      <c r="H38" t="str" s="640" cm="1">
        <f t="array" ref="H38">IF(B38&gt;0,('Direct Costs 2026'!$C$19+'Direct Costs 2026'!$C$18*B38),"N/A")</f>
        <v>N/A</v>
      </c>
      <c r="I38" t="str" s="640" cm="1">
        <f t="array" ref="I38">IF(B38&gt;0,SUM('Direct Costs 2026'!$C$20:$C$21),"N/A")</f>
        <v>N/A</v>
      </c>
      <c r="J38" t="str" s="640" cm="1">
        <f t="array" ref="J38">IF(B38&gt;0,'Direct Costs 2026'!$C$14,"N/A")</f>
        <v>N/A</v>
      </c>
      <c r="K38" t="str" s="640" cm="1">
        <f t="array" ref="K38">IF(B38&gt;0,'Direct Costs 2026'!$C$26,"N/A")</f>
        <v>N/A</v>
      </c>
      <c r="L38" t="str" s="640" cm="1">
        <f t="array" ref="L38">IF(B38&gt;0,SUM('Direct Costs 2026'!$C$23:$C$24),"N/A")</f>
        <v>N/A</v>
      </c>
      <c r="M38" t="str" s="640" cm="1">
        <f t="array" ref="M38">IF(B38&gt;0,'Direct Costs 2026'!$C$45*B38,"N/A")</f>
        <v>N/A</v>
      </c>
      <c r="N38" t="str" s="640" cm="1">
        <f t="array" ref="N38">IF($B38&gt;0,'Direct Costs 2026'!$C$29,"N/A")</f>
        <v>N/A</v>
      </c>
      <c r="O38" t="str" s="640" cm="1">
        <f t="array" ref="O38">IF($B38&gt;0,'Direct Costs 2026'!$C$31,"N/A")</f>
        <v>N/A</v>
      </c>
      <c r="P38" t="str" s="640" cm="1">
        <f t="array" ref="P38">IF(B38&gt;0,'Direct Costs 2026'!$C$59*B38,"N/A")</f>
        <v>N/A</v>
      </c>
      <c r="Q38" t="str" s="640" cm="1">
        <f t="array" ref="Q38">IF(B38&gt;0,_xlfn.IFERROR(VLOOKUP(C24,'Boats Data Sheet 2026'!$C$3:$I$57,7,0)*'Direct Costs 2026'!$C$36,"N/A"),"N/A")</f>
        <v>N/A</v>
      </c>
      <c r="R38" s="639"/>
      <c r="S38" t="str" s="640" cm="1">
        <f t="array" ref="S38">IF(B38&gt;0,IF(OR(VLOOKUP(C24,'Boats Data Sheet 2026'!$C$3:$F$57,4,0)="Own",VLOOKUP(C24,'Boats Data Sheet 2026'!$C$3:$F$57,4,0)="Management"),('Direct Costs 2026'!$C$37+'Direct Costs 2026'!$C$39),"N/A"),"N/A")</f>
        <v>N/A</v>
      </c>
      <c r="T38" t="str" s="640" cm="1">
        <f t="array" ref="T38">_xlfn.IFERROR(IF(B38&gt;5,IF(B38&gt;11,IF(B38&gt;15,4,3),2),IF(B38=0,"N/A",1))*SUM('Direct Costs 2026'!$C$67:$C$68),"N/A")</f>
        <v>N/A</v>
      </c>
      <c r="U38" t="str" s="640" cm="1">
        <f t="array" ref="U38">_xlfn.IFERROR('Direct Costs 2026'!$C$27*C38,"N/A")</f>
        <v>N/A</v>
      </c>
      <c r="V38" t="str" s="640" cm="1">
        <f t="array" ref="V38">_xlfn.IFERROR(C38+SUM(E38:U38),"N/A")</f>
        <v>N/A</v>
      </c>
      <c r="W38" s="424"/>
      <c r="X38" t="str" s="640" cm="1">
        <f t="array" ref="X38">IF(B38&gt;0,'Allocation OH and Target 2026'!$E$31,"N/A")</f>
        <v>N/A</v>
      </c>
      <c r="Y38" t="str" s="640" cm="1">
        <f t="array" ref="Y38">IF(B38&gt;0,VLOOKUP(C24,'Allocation OH and Target 2026'!$C$5:$T$23,16,0),"N/A")</f>
        <v>N/A</v>
      </c>
      <c r="Z38" t="str" s="640" cm="1">
        <f t="array" ref="Z38">_xlfn.IFERROR((X38+Y38),"N/A")</f>
        <v>N/A</v>
      </c>
      <c r="AA38" s="424"/>
      <c r="AB38" t="str" s="640" cm="1">
        <f t="array" ref="AB38">_xlfn.IFERROR(Z38+V38,"N/A")</f>
        <v>N/A</v>
      </c>
      <c r="AC38" t="str" s="640" cm="1">
        <f t="array" ref="AC38">_xlfn.IFERROR(AB38*0.5%,"N/A")</f>
        <v>N/A</v>
      </c>
      <c r="AD38" t="str" s="640" cm="1">
        <f t="array" ref="AD38">_xlfn.IFERROR(AB38*25%,"N/A")</f>
        <v>N/A</v>
      </c>
      <c r="AE38" t="str" s="648" cm="1">
        <f t="array" ref="AE38">IF(B38&gt;0,SUM(AB38:AD38),"N/A")</f>
        <v>N/A</v>
      </c>
      <c r="AF38" t="str" s="640" cm="1">
        <f t="array" ref="AF38">_xlfn.IFERROR(AE38/B38,"N/A")</f>
        <v>N/A</v>
      </c>
      <c r="AG38" s="424"/>
      <c r="AH38" t="str" s="648" cm="1">
        <f t="array" ref="AH38">IF(B38/VLOOKUP(C24,'Boats Data Sheet 2026'!$C$3:$H$57,6,0)&gt;VLOOKUP(C24,'Allocation OH and Target 2026'!$C$5:$J$23,8,0),IF(SUM(AI26:AI37)=0,AF38,"N/A"),"N/A")</f>
        <v>N/A</v>
      </c>
      <c r="AI38" s="424" cm="1">
        <f t="array" ref="AI38">IF(AH38="N/A",0,1)</f>
        <v>0</v>
      </c>
      <c r="AJ38" t="str" s="640" cm="1">
        <f t="array" ref="AJ38">IF(B38/VLOOKUP(C24,'Boats Data Sheet 2026'!$C$3:$H$57,6,0)&gt;VLOOKUP(C24,'Allocation OH and Target 2026'!$C$5:$J$23,8,0),IF(SUM(AI26:AI37)=0,V38/B38,"N/A"),"N/A")</f>
        <v>N/A</v>
      </c>
      <c r="AK38" s="424" cm="1">
        <f t="array" ref="AK38">IF(AJ38="N/A",0,1)</f>
        <v>0</v>
      </c>
      <c r="AL38" t="str" s="628" cm="1">
        <f t="array" ref="AL38">IF(SUM(1250000+700000)*B38&lt;SUM(AB38:AC38),"NO GO","GO")</f>
        <v>GO</v>
      </c>
      <c r="AM38" s="424"/>
      <c r="AN38" s="639"/>
      <c r="AO38" s="639"/>
      <c r="AP38" s="639"/>
      <c r="AQ38" s="645"/>
      <c r="AR38" s="601" cm="1">
        <f t="array" ref="AR38">B38</f>
        <v>0</v>
      </c>
    </row>
    <row r="39" ht="9" customHeight="1" hidden="1">
      <c r="A39" s="12"/>
      <c r="B39" s="646">
        <v>0</v>
      </c>
      <c r="C39" t="str" s="640" cm="1">
        <f t="array" ref="C39">IF(B39&gt;0,IF(VLOOKUP(C24,'Boats Data Sheet 2026'!$C$3:$J$57,8,0)="N/A",0,VLOOKUP(C24,'Boats Data Sheet 2026'!$C$3:$J$57,8,0)),"N/A")</f>
        <v>N/A</v>
      </c>
      <c r="D39" t="str" s="649" cm="1">
        <f t="array" ref="D39">IF(B39&gt;7,2,IF(B39=0,"N/A",1))</f>
        <v>N/A</v>
      </c>
      <c r="E39" t="str" s="640" cm="1">
        <f t="array" ref="E39">_xlfn.IFERROR(SUM('Direct Costs 2026'!$C$4:$C$6)*D39,"N/A")</f>
        <v>N/A</v>
      </c>
      <c r="F39" s="639" cm="1">
        <f t="array" ref="F39">_xlfn.IFERROR('Direct Costs 2026'!$C$43*B39,"N/A")</f>
        <v>0</v>
      </c>
      <c r="G39" t="str" s="640" cm="1">
        <f t="array" ref="G39">IF(B39&gt;0,'Direct Costs 2026'!$C$25,"N/A")</f>
        <v>N/A</v>
      </c>
      <c r="H39" t="str" s="640" cm="1">
        <f t="array" ref="H39">IF(B39&gt;0,('Direct Costs 2026'!$C$19+'Direct Costs 2026'!$C$18*B39),"N/A")</f>
        <v>N/A</v>
      </c>
      <c r="I39" t="str" s="640" cm="1">
        <f t="array" ref="I39">IF(B39&gt;0,SUM('Direct Costs 2026'!$C$20:$C$21),"N/A")</f>
        <v>N/A</v>
      </c>
      <c r="J39" t="str" s="640" cm="1">
        <f t="array" ref="J39">IF(B39&gt;0,'Direct Costs 2026'!$C$14,"N/A")</f>
        <v>N/A</v>
      </c>
      <c r="K39" t="str" s="640" cm="1">
        <f t="array" ref="K39">IF(B39&gt;0,'Direct Costs 2026'!$C$26,"N/A")</f>
        <v>N/A</v>
      </c>
      <c r="L39" t="str" s="640" cm="1">
        <f t="array" ref="L39">IF(B39&gt;0,SUM('Direct Costs 2026'!$C$23:$C$24),"N/A")</f>
        <v>N/A</v>
      </c>
      <c r="M39" t="str" s="640" cm="1">
        <f t="array" ref="M39">IF(B39&gt;0,'Direct Costs 2026'!$C$45*B39,"N/A")</f>
        <v>N/A</v>
      </c>
      <c r="N39" t="str" s="640" cm="1">
        <f t="array" ref="N39">IF($B39&gt;0,'Direct Costs 2026'!$C$29,"N/A")</f>
        <v>N/A</v>
      </c>
      <c r="O39" t="str" s="640" cm="1">
        <f t="array" ref="O39">IF($B39&gt;0,'Direct Costs 2026'!$C$31,"N/A")</f>
        <v>N/A</v>
      </c>
      <c r="P39" t="str" s="640" cm="1">
        <f t="array" ref="P39">IF(B39&gt;0,'Direct Costs 2026'!$C$59*B39,"N/A")</f>
        <v>N/A</v>
      </c>
      <c r="Q39" t="str" s="640" cm="1">
        <f t="array" ref="Q39">IF(B39&gt;0,_xlfn.IFERROR(VLOOKUP(C24,'Boats Data Sheet 2026'!$C$3:$I$57,7,0)*'Direct Costs 2026'!$C$36,"N/A"),"N/A")</f>
        <v>N/A</v>
      </c>
      <c r="R39" s="639"/>
      <c r="S39" t="str" s="640" cm="1">
        <f t="array" ref="S39">IF(B39&gt;0,IF(OR(VLOOKUP(C24,'Boats Data Sheet 2026'!$C$3:$F$57,4,0)="Own",VLOOKUP(C24,'Boats Data Sheet 2026'!$C$3:$F$57,4,0)="Management"),('Direct Costs 2026'!$C$37+'Direct Costs 2026'!$C$39),"N/A"),"N/A")</f>
        <v>N/A</v>
      </c>
      <c r="T39" t="str" s="640" cm="1">
        <f t="array" ref="T39">_xlfn.IFERROR(IF(B39&gt;5,IF(B39&gt;11,IF(B39&gt;15,4,3),2),IF(B39=0,"N/A",1))*SUM('Direct Costs 2026'!$C$67:$C$68),"N/A")</f>
        <v>N/A</v>
      </c>
      <c r="U39" t="str" s="640" cm="1">
        <f t="array" ref="U39">_xlfn.IFERROR('Direct Costs 2026'!$C$27*C39,"N/A")</f>
        <v>N/A</v>
      </c>
      <c r="V39" t="str" s="640" cm="1">
        <f t="array" ref="V39">_xlfn.IFERROR(C39+SUM(E39:U39),"N/A")</f>
        <v>N/A</v>
      </c>
      <c r="W39" s="424"/>
      <c r="X39" t="str" s="640" cm="1">
        <f t="array" ref="X39">IF(B39&gt;0,'Allocation OH and Target 2026'!$E$31,"N/A")</f>
        <v>N/A</v>
      </c>
      <c r="Y39" t="str" s="640" cm="1">
        <f t="array" ref="Y39">IF(B39&gt;0,VLOOKUP(C24,'Allocation OH and Target 2026'!$C$5:$T$23,16,0),"N/A")</f>
        <v>N/A</v>
      </c>
      <c r="Z39" t="str" s="640" cm="1">
        <f t="array" ref="Z39">_xlfn.IFERROR((X39+Y39),"N/A")</f>
        <v>N/A</v>
      </c>
      <c r="AA39" s="424"/>
      <c r="AB39" t="str" s="640" cm="1">
        <f t="array" ref="AB39">_xlfn.IFERROR(Z39+V39,"N/A")</f>
        <v>N/A</v>
      </c>
      <c r="AC39" t="str" s="640" cm="1">
        <f t="array" ref="AC39">_xlfn.IFERROR(AB39*0.5%,"N/A")</f>
        <v>N/A</v>
      </c>
      <c r="AD39" t="str" s="640" cm="1">
        <f t="array" ref="AD39">_xlfn.IFERROR(AB39*25%,"N/A")</f>
        <v>N/A</v>
      </c>
      <c r="AE39" t="str" s="648" cm="1">
        <f t="array" ref="AE39">IF(B39&gt;0,SUM(AB39:AD39),"N/A")</f>
        <v>N/A</v>
      </c>
      <c r="AF39" t="str" s="640" cm="1">
        <f t="array" ref="AF39">_xlfn.IFERROR(AE39/B39,"N/A")</f>
        <v>N/A</v>
      </c>
      <c r="AG39" s="424"/>
      <c r="AH39" t="str" s="648" cm="1">
        <f t="array" ref="AH39">IF(B39/VLOOKUP(C24,'Boats Data Sheet 2026'!$C$3:$H$57,6,0)&gt;VLOOKUP(C24,'Allocation OH and Target 2026'!$C$5:$J$23,8,0),IF(SUM(AI26:AI38)=0,AF39,"N/A"),"N/A")</f>
        <v>N/A</v>
      </c>
      <c r="AI39" s="424" cm="1">
        <f t="array" ref="AI39">IF(AH39="N/A",0,1)</f>
        <v>0</v>
      </c>
      <c r="AJ39" t="str" s="640" cm="1">
        <f t="array" ref="AJ39">IF(B39/VLOOKUP(C24,'Boats Data Sheet 2026'!$C$3:$H$57,6,0)&gt;VLOOKUP(C24,'Allocation OH and Target 2026'!$C$5:$J$23,8,0),IF(SUM(AI26:AI38)=0,V39/B39,"N/A"),"N/A")</f>
        <v>N/A</v>
      </c>
      <c r="AK39" s="424" cm="1">
        <f t="array" ref="AK39">IF(AJ39="N/A",0,1)</f>
        <v>0</v>
      </c>
      <c r="AL39" t="str" s="628" cm="1">
        <f t="array" ref="AL39">IF(SUM(1250000+700000)*B39&lt;SUM(AB39:AC39),"NO GO","GO")</f>
        <v>GO</v>
      </c>
      <c r="AM39" s="424"/>
      <c r="AN39" s="639"/>
      <c r="AO39" s="639"/>
      <c r="AP39" s="639"/>
      <c r="AQ39" s="645"/>
      <c r="AR39" s="601" cm="1">
        <f t="array" ref="AR39">B39</f>
        <v>0</v>
      </c>
    </row>
    <row r="40" ht="9" customHeight="1" hidden="1">
      <c r="A40" s="12"/>
      <c r="B40" s="646">
        <v>0</v>
      </c>
      <c r="C40" t="str" s="640" cm="1">
        <f t="array" ref="C40">IF(B40&gt;0,IF(VLOOKUP(C24,'Boats Data Sheet 2026'!$C$3:$J$57,8,0)="N/A",0,VLOOKUP(C24,'Boats Data Sheet 2026'!$C$3:$J$57,8,0)),"N/A")</f>
        <v>N/A</v>
      </c>
      <c r="D40" t="str" s="640" cm="1">
        <f t="array" ref="D40">IF(B40&gt;7,2,IF(B40=0,"N/A",1))</f>
        <v>N/A</v>
      </c>
      <c r="E40" t="str" s="640" cm="1">
        <f t="array" ref="E40">_xlfn.IFERROR(SUM('Direct Costs 2026'!$C$4:$C$6)*D40,"N/A")</f>
        <v>N/A</v>
      </c>
      <c r="F40" s="639" cm="1">
        <f t="array" ref="F40">_xlfn.IFERROR('Direct Costs 2026'!$C$43*B40,"N/A")</f>
        <v>0</v>
      </c>
      <c r="G40" t="str" s="640" cm="1">
        <f t="array" ref="G40">IF(B40&gt;0,'Direct Costs 2026'!$C$25,"N/A")</f>
        <v>N/A</v>
      </c>
      <c r="H40" t="str" s="640" cm="1">
        <f t="array" ref="H40">IF(B40&gt;0,('Direct Costs 2026'!$C$19+'Direct Costs 2026'!$C$18*B40),"N/A")</f>
        <v>N/A</v>
      </c>
      <c r="I40" t="str" s="640" cm="1">
        <f t="array" ref="I40">IF(B40&gt;0,SUM('Direct Costs 2026'!$C$20:$C$21),"N/A")</f>
        <v>N/A</v>
      </c>
      <c r="J40" t="str" s="640" cm="1">
        <f t="array" ref="J40">IF(B40&gt;0,'Direct Costs 2026'!$C$14,"N/A")</f>
        <v>N/A</v>
      </c>
      <c r="K40" t="str" s="640" cm="1">
        <f t="array" ref="K40">IF(B40&gt;0,'Direct Costs 2026'!$C$26,"N/A")</f>
        <v>N/A</v>
      </c>
      <c r="L40" t="str" s="640" cm="1">
        <f t="array" ref="L40">IF(B40&gt;0,SUM('Direct Costs 2026'!$C$23:$C$24),"N/A")</f>
        <v>N/A</v>
      </c>
      <c r="M40" t="str" s="640" cm="1">
        <f t="array" ref="M40">IF(B40&gt;0,'Direct Costs 2026'!$C$45*B40,"N/A")</f>
        <v>N/A</v>
      </c>
      <c r="N40" t="str" s="640" cm="1">
        <f t="array" ref="N40">IF($B40&gt;0,'Direct Costs 2026'!$C$29,"N/A")</f>
        <v>N/A</v>
      </c>
      <c r="O40" t="str" s="640" cm="1">
        <f t="array" ref="O40">IF($B40&gt;0,'Direct Costs 2026'!$C$31,"N/A")</f>
        <v>N/A</v>
      </c>
      <c r="P40" t="str" s="640" cm="1">
        <f t="array" ref="P40">IF(B40&gt;0,'Direct Costs 2026'!$C$59*B40,"N/A")</f>
        <v>N/A</v>
      </c>
      <c r="Q40" t="str" s="640" cm="1">
        <f t="array" ref="Q40">IF(B40&gt;0,_xlfn.IFERROR(VLOOKUP(C24,'Boats Data Sheet 2026'!$C$3:$I$57,7,0)*'Direct Costs 2026'!$C$36,"N/A"),"N/A")</f>
        <v>N/A</v>
      </c>
      <c r="R40" s="639"/>
      <c r="S40" t="str" s="640" cm="1">
        <f t="array" ref="S40">IF(B40&gt;0,IF(OR(VLOOKUP(C24,'Boats Data Sheet 2026'!$C$3:$F$57,4,0)="Own",VLOOKUP(C24,'Boats Data Sheet 2026'!$C$3:$F$57,4,0)="Management"),('Direct Costs 2026'!$C$37+'Direct Costs 2026'!$C$39),"N/A"),"N/A")</f>
        <v>N/A</v>
      </c>
      <c r="T40" t="str" s="640" cm="1">
        <f t="array" ref="T40">_xlfn.IFERROR(IF(B40&gt;5,IF(B40&gt;11,IF(B40&gt;15,4,3),2),IF(B40=0,"N/A",1))*SUM('Direct Costs 2026'!$C$67:$C$68),"N/A")</f>
        <v>N/A</v>
      </c>
      <c r="U40" t="str" s="640" cm="1">
        <f t="array" ref="U40">_xlfn.IFERROR('Direct Costs 2026'!$C$27*C40,"N/A")</f>
        <v>N/A</v>
      </c>
      <c r="V40" t="str" s="640" cm="1">
        <f t="array" ref="V40">_xlfn.IFERROR(C40+SUM(E40:U40),"N/A")</f>
        <v>N/A</v>
      </c>
      <c r="W40" s="424"/>
      <c r="X40" t="str" s="640" cm="1">
        <f t="array" ref="X40">IF(B40&gt;0,'Allocation OH and Target 2026'!$E$31,"N/A")</f>
        <v>N/A</v>
      </c>
      <c r="Y40" t="str" s="640" cm="1">
        <f t="array" ref="Y40">IF(B40&gt;0,VLOOKUP(C24,'Allocation OH and Target 2026'!$C$5:$T$23,16,0),"N/A")</f>
        <v>N/A</v>
      </c>
      <c r="Z40" t="str" s="640" cm="1">
        <f t="array" ref="Z40">_xlfn.IFERROR((X40+Y40),"N/A")</f>
        <v>N/A</v>
      </c>
      <c r="AA40" s="424"/>
      <c r="AB40" t="str" s="640" cm="1">
        <f t="array" ref="AB40">_xlfn.IFERROR(Z40+V40,"N/A")</f>
        <v>N/A</v>
      </c>
      <c r="AC40" t="str" s="640" cm="1">
        <f t="array" ref="AC40">_xlfn.IFERROR(AB40*0.5%,"N/A")</f>
        <v>N/A</v>
      </c>
      <c r="AD40" t="str" s="640" cm="1">
        <f t="array" ref="AD40">_xlfn.IFERROR(AB40*25%,"N/A")</f>
        <v>N/A</v>
      </c>
      <c r="AE40" t="str" s="648" cm="1">
        <f t="array" ref="AE40">IF(B40&gt;0,SUM(AB40:AD40),"N/A")</f>
        <v>N/A</v>
      </c>
      <c r="AF40" t="str" s="640" cm="1">
        <f t="array" ref="AF40">_xlfn.IFERROR(AE40/B40,"N/A")</f>
        <v>N/A</v>
      </c>
      <c r="AG40" s="424"/>
      <c r="AH40" t="str" s="648" cm="1">
        <f t="array" ref="AH40">IF(B40/VLOOKUP(C24,'Boats Data Sheet 2026'!$C$3:$H$57,6,0)&gt;VLOOKUP(C24,'Allocation OH and Target 2026'!$C$5:$J$23,8,0),IF(SUM(AI26:AI39)=0,AF40,"N/A"),"N/A")</f>
        <v>N/A</v>
      </c>
      <c r="AI40" s="424" cm="1">
        <f t="array" ref="AI40">IF(AH40="N/A",0,1)</f>
        <v>0</v>
      </c>
      <c r="AJ40" t="str" s="640" cm="1">
        <f t="array" ref="AJ40">IF(B40/VLOOKUP(C24,'Boats Data Sheet 2026'!$C$3:$H$57,6,0)&gt;VLOOKUP(C24,'Allocation OH and Target 2026'!$C$5:$J$23,8,0),IF(SUM(AI26:AI39)=0,V40/B40,"N/A"),"N/A")</f>
        <v>N/A</v>
      </c>
      <c r="AK40" s="424" cm="1">
        <f t="array" ref="AK40">IF(AJ40="N/A",0,1)</f>
        <v>0</v>
      </c>
      <c r="AL40" t="str" s="628" cm="1">
        <f t="array" ref="AL40">IF(SUM(1250000+700000)*B40&lt;SUM(AB40:AC40),"NO GO","GO")</f>
        <v>GO</v>
      </c>
      <c r="AM40" s="424"/>
      <c r="AN40" s="639"/>
      <c r="AO40" s="639"/>
      <c r="AP40" s="639"/>
      <c r="AQ40" s="645"/>
      <c r="AR40" s="601" cm="1">
        <f t="array" ref="AR40">B40</f>
        <v>0</v>
      </c>
    </row>
    <row r="41" ht="9" customHeight="1" hidden="1">
      <c r="A41" s="12"/>
      <c r="B41" s="646">
        <v>0</v>
      </c>
      <c r="C41" t="str" s="640" cm="1">
        <f t="array" ref="C41">IF(B41&gt;0,IF(VLOOKUP(C24,'Boats Data Sheet 2026'!$C$3:$J$57,8,0)="N/A",0,VLOOKUP(C24,'Boats Data Sheet 2026'!$C$3:$J$57,8,0)),"N/A")</f>
        <v>N/A</v>
      </c>
      <c r="D41" t="str" s="640" cm="1">
        <f t="array" ref="D41">IF(B41&gt;7,2,IF(B41=0,"N/A",1))</f>
        <v>N/A</v>
      </c>
      <c r="E41" t="str" s="640" cm="1">
        <f t="array" ref="E41">_xlfn.IFERROR(SUM('Direct Costs 2026'!$C$4:$C$6)*D41,"N/A")</f>
        <v>N/A</v>
      </c>
      <c r="F41" s="639" cm="1">
        <f t="array" ref="F41">_xlfn.IFERROR('Direct Costs 2026'!$C$43*B41,"N/A")</f>
        <v>0</v>
      </c>
      <c r="G41" t="str" s="640" cm="1">
        <f t="array" ref="G41">IF(B41&gt;0,'Direct Costs 2026'!$C$25,"N/A")</f>
        <v>N/A</v>
      </c>
      <c r="H41" t="str" s="640" cm="1">
        <f t="array" ref="H41">IF(B41&gt;0,('Direct Costs 2026'!$C$19+'Direct Costs 2026'!$C$18*B41),"N/A")</f>
        <v>N/A</v>
      </c>
      <c r="I41" t="str" s="640" cm="1">
        <f t="array" ref="I41">IF(B41&gt;0,SUM('Direct Costs 2026'!$C$20:$C$21),"N/A")</f>
        <v>N/A</v>
      </c>
      <c r="J41" t="str" s="640" cm="1">
        <f t="array" ref="J41">IF(B41&gt;0,'Direct Costs 2026'!$C$14,"N/A")</f>
        <v>N/A</v>
      </c>
      <c r="K41" t="str" s="640" cm="1">
        <f t="array" ref="K41">IF(B41&gt;0,'Direct Costs 2026'!$C$26,"N/A")</f>
        <v>N/A</v>
      </c>
      <c r="L41" t="str" s="640" cm="1">
        <f t="array" ref="L41">IF(B41&gt;0,SUM('Direct Costs 2026'!$C$23:$C$24),"N/A")</f>
        <v>N/A</v>
      </c>
      <c r="M41" t="str" s="640" cm="1">
        <f t="array" ref="M41">IF(B41&gt;0,'Direct Costs 2026'!$C$45*B41,"N/A")</f>
        <v>N/A</v>
      </c>
      <c r="N41" t="str" s="640" cm="1">
        <f t="array" ref="N41">IF($B41&gt;0,'Direct Costs 2026'!$C$29,"N/A")</f>
        <v>N/A</v>
      </c>
      <c r="O41" t="str" s="640" cm="1">
        <f t="array" ref="O41">IF($B41&gt;0,'Direct Costs 2026'!$C$31,"N/A")</f>
        <v>N/A</v>
      </c>
      <c r="P41" t="str" s="640" cm="1">
        <f t="array" ref="P41">IF(B41&gt;0,'Direct Costs 2026'!$C$59*B41,"N/A")</f>
        <v>N/A</v>
      </c>
      <c r="Q41" t="str" s="640" cm="1">
        <f t="array" ref="Q41">IF(B41&gt;0,_xlfn.IFERROR(VLOOKUP(C24,'Boats Data Sheet 2026'!$C$3:$I$57,7,0)*'Direct Costs 2026'!$C$36,"N/A"),"N/A")</f>
        <v>N/A</v>
      </c>
      <c r="R41" s="639"/>
      <c r="S41" t="str" s="640" cm="1">
        <f t="array" ref="S41">IF(B41&gt;0,IF(OR(VLOOKUP(C24,'Boats Data Sheet 2026'!$C$3:$F$57,4,0)="Own",VLOOKUP(C24,'Boats Data Sheet 2026'!$C$3:$F$57,4,0)="Management"),('Direct Costs 2026'!$C$37+'Direct Costs 2026'!$C$39),"N/A"),"N/A")</f>
        <v>N/A</v>
      </c>
      <c r="T41" t="str" s="640" cm="1">
        <f t="array" ref="T41">_xlfn.IFERROR(IF(B41&gt;5,IF(B41&gt;11,IF(B41&gt;15,4,3),2),IF(B41=0,"N/A",1))*SUM('Direct Costs 2026'!$C$67:$C$68),"N/A")</f>
        <v>N/A</v>
      </c>
      <c r="U41" t="str" s="640" cm="1">
        <f t="array" ref="U41">_xlfn.IFERROR('Direct Costs 2026'!$C$27*C41,"N/A")</f>
        <v>N/A</v>
      </c>
      <c r="V41" t="str" s="640" cm="1">
        <f t="array" ref="V41">_xlfn.IFERROR(C41+SUM(E41:U41),"N/A")</f>
        <v>N/A</v>
      </c>
      <c r="W41" s="424"/>
      <c r="X41" t="str" s="640" cm="1">
        <f t="array" ref="X41">IF(B41&gt;0,'Allocation OH and Target 2026'!$E$31,"N/A")</f>
        <v>N/A</v>
      </c>
      <c r="Y41" t="str" s="640" cm="1">
        <f t="array" ref="Y41">IF(B41&gt;0,VLOOKUP(C24,'Allocation OH and Target 2026'!$C$5:$T$23,16,0),"N/A")</f>
        <v>N/A</v>
      </c>
      <c r="Z41" t="str" s="640" cm="1">
        <f t="array" ref="Z41">_xlfn.IFERROR((X41+Y41),"N/A")</f>
        <v>N/A</v>
      </c>
      <c r="AA41" s="424"/>
      <c r="AB41" t="str" s="640" cm="1">
        <f t="array" ref="AB41">_xlfn.IFERROR(Z41+V41,"N/A")</f>
        <v>N/A</v>
      </c>
      <c r="AC41" t="str" s="640" cm="1">
        <f t="array" ref="AC41">_xlfn.IFERROR(AB41*0.5%,"N/A")</f>
        <v>N/A</v>
      </c>
      <c r="AD41" t="str" s="640" cm="1">
        <f t="array" ref="AD41">_xlfn.IFERROR(AB41*25%,"N/A")</f>
        <v>N/A</v>
      </c>
      <c r="AE41" t="str" s="648" cm="1">
        <f t="array" ref="AE41">IF(B41&gt;0,SUM(AB41:AD41),"N/A")</f>
        <v>N/A</v>
      </c>
      <c r="AF41" t="str" s="640" cm="1">
        <f t="array" ref="AF41">_xlfn.IFERROR(AE41/B41,"N/A")</f>
        <v>N/A</v>
      </c>
      <c r="AG41" s="424"/>
      <c r="AH41" t="str" s="648" cm="1">
        <f t="array" ref="AH41">IF(B41/VLOOKUP(C24,'Boats Data Sheet 2026'!$C$3:$H$57,6,0)&gt;VLOOKUP(C24,'Allocation OH and Target 2026'!$C$5:$J$23,8,0),IF(SUM(AI26:AI40)=0,AF41,"N/A"),"N/A")</f>
        <v>N/A</v>
      </c>
      <c r="AI41" s="424" cm="1">
        <f t="array" ref="AI41">IF(AH41="N/A",0,1)</f>
        <v>0</v>
      </c>
      <c r="AJ41" t="str" s="640" cm="1">
        <f t="array" ref="AJ41">IF(B41/VLOOKUP(C24,'Boats Data Sheet 2026'!$C$3:$H$57,6,0)&gt;VLOOKUP(C24,'Allocation OH and Target 2026'!$C$5:$J$23,8,0),IF(SUM(AI26:AI40)=0,V41/B41,"N/A"),"N/A")</f>
        <v>N/A</v>
      </c>
      <c r="AK41" s="424" cm="1">
        <f t="array" ref="AK41">IF(AJ41="N/A",0,1)</f>
        <v>0</v>
      </c>
      <c r="AL41" t="str" s="628" cm="1">
        <f t="array" ref="AL41">IF(SUM(1250000+700000)*B41&lt;SUM(AB41:AC41),"NO GO","GO")</f>
        <v>GO</v>
      </c>
      <c r="AM41" s="424"/>
      <c r="AN41" s="639"/>
      <c r="AO41" s="639"/>
      <c r="AP41" s="639"/>
      <c r="AQ41" s="645"/>
      <c r="AR41" s="601" cm="1">
        <f t="array" ref="AR41">B41</f>
        <v>0</v>
      </c>
    </row>
    <row r="42" ht="9" customHeight="1" hidden="1">
      <c r="A42" s="12"/>
      <c r="B42" s="646">
        <v>0</v>
      </c>
      <c r="C42" t="str" s="640" cm="1">
        <f t="array" ref="C42">IF(B42&gt;0,IF(VLOOKUP(C24,'Boats Data Sheet 2026'!$C$3:$J$57,8,0)="N/A",0,VLOOKUP(C24,'Boats Data Sheet 2026'!$C$3:$J$57,8,0)),"N/A")</f>
        <v>N/A</v>
      </c>
      <c r="D42" t="str" s="640" cm="1">
        <f t="array" ref="D42">IF(B42&gt;7,2,IF(B42=0,"N/A",1))</f>
        <v>N/A</v>
      </c>
      <c r="E42" t="str" s="640" cm="1">
        <f t="array" ref="E42">_xlfn.IFERROR(SUM('Direct Costs 2026'!$C$4:$C$6)*D42,"N/A")</f>
        <v>N/A</v>
      </c>
      <c r="F42" s="639" cm="1">
        <f t="array" ref="F42">_xlfn.IFERROR('Direct Costs 2026'!$C$43*B42,"N/A")</f>
        <v>0</v>
      </c>
      <c r="G42" t="str" s="640" cm="1">
        <f t="array" ref="G42">IF(B42&gt;0,'Direct Costs 2026'!$C$25,"N/A")</f>
        <v>N/A</v>
      </c>
      <c r="H42" t="str" s="640" cm="1">
        <f t="array" ref="H42">IF(B42&gt;0,('Direct Costs 2026'!$C$19+'Direct Costs 2026'!$C$18*B42),"N/A")</f>
        <v>N/A</v>
      </c>
      <c r="I42" t="str" s="640" cm="1">
        <f t="array" ref="I42">IF(B42&gt;0,SUM('Direct Costs 2026'!$C$20:$C$21),"N/A")</f>
        <v>N/A</v>
      </c>
      <c r="J42" t="str" s="640" cm="1">
        <f t="array" ref="J42">IF(B42&gt;0,'Direct Costs 2026'!$C$14,"N/A")</f>
        <v>N/A</v>
      </c>
      <c r="K42" t="str" s="640" cm="1">
        <f t="array" ref="K42">IF(B42&gt;0,'Direct Costs 2026'!$C$26,"N/A")</f>
        <v>N/A</v>
      </c>
      <c r="L42" t="str" s="640" cm="1">
        <f t="array" ref="L42">IF(B42&gt;0,SUM('Direct Costs 2026'!$C$23:$C$24),"N/A")</f>
        <v>N/A</v>
      </c>
      <c r="M42" t="str" s="640" cm="1">
        <f t="array" ref="M42">IF(B42&gt;0,'Direct Costs 2026'!$C$45*B42,"N/A")</f>
        <v>N/A</v>
      </c>
      <c r="N42" t="str" s="640" cm="1">
        <f t="array" ref="N42">IF($B42&gt;0,'Direct Costs 2026'!$C$29,"N/A")</f>
        <v>N/A</v>
      </c>
      <c r="O42" t="str" s="640" cm="1">
        <f t="array" ref="O42">IF($B42&gt;0,'Direct Costs 2026'!$C$31,"N/A")</f>
        <v>N/A</v>
      </c>
      <c r="P42" t="str" s="640" cm="1">
        <f t="array" ref="P42">IF(B42&gt;0,'Direct Costs 2026'!$C$59*B42,"N/A")</f>
        <v>N/A</v>
      </c>
      <c r="Q42" t="str" s="640" cm="1">
        <f t="array" ref="Q42">IF(B42&gt;0,_xlfn.IFERROR(VLOOKUP(C24,'Boats Data Sheet 2026'!$C$3:$I$57,7,0)*'Direct Costs 2026'!$C$36,"N/A"),"N/A")</f>
        <v>N/A</v>
      </c>
      <c r="R42" s="639"/>
      <c r="S42" t="str" s="640" cm="1">
        <f t="array" ref="S42">IF(B42&gt;0,IF(OR(VLOOKUP(C24,'Boats Data Sheet 2026'!$C$3:$F$57,4,0)="Own",VLOOKUP(C24,'Boats Data Sheet 2026'!$C$3:$F$57,4,0)="Management"),('Direct Costs 2026'!$C$37+'Direct Costs 2026'!$C$39),"N/A"),"N/A")</f>
        <v>N/A</v>
      </c>
      <c r="T42" t="str" s="640" cm="1">
        <f t="array" ref="T42">_xlfn.IFERROR(IF(B42&gt;5,IF(B42&gt;11,IF(B42&gt;15,4,3),2),IF(B42=0,"N/A",1))*SUM('Direct Costs 2026'!$C$67:$C$68),"N/A")</f>
        <v>N/A</v>
      </c>
      <c r="U42" t="str" s="640" cm="1">
        <f t="array" ref="U42">_xlfn.IFERROR('Direct Costs 2026'!$C$27*C42,"N/A")</f>
        <v>N/A</v>
      </c>
      <c r="V42" t="str" s="640" cm="1">
        <f t="array" ref="V42">_xlfn.IFERROR(C42+SUM(E42:U42),"N/A")</f>
        <v>N/A</v>
      </c>
      <c r="W42" s="424"/>
      <c r="X42" t="str" s="640" cm="1">
        <f t="array" ref="X42">IF(B42&gt;0,'Allocation OH and Target 2026'!$E$31,"N/A")</f>
        <v>N/A</v>
      </c>
      <c r="Y42" t="str" s="640" cm="1">
        <f t="array" ref="Y42">IF(B42&gt;0,VLOOKUP(C24,'Allocation OH and Target 2026'!$C$5:$T$23,16,0),"N/A")</f>
        <v>N/A</v>
      </c>
      <c r="Z42" t="str" s="640" cm="1">
        <f t="array" ref="Z42">_xlfn.IFERROR((X42+Y42),"N/A")</f>
        <v>N/A</v>
      </c>
      <c r="AA42" s="424"/>
      <c r="AB42" t="str" s="640" cm="1">
        <f t="array" ref="AB42">_xlfn.IFERROR(Z42+V42,"N/A")</f>
        <v>N/A</v>
      </c>
      <c r="AC42" t="str" s="640" cm="1">
        <f t="array" ref="AC42">_xlfn.IFERROR(AB42*0.5%,"N/A")</f>
        <v>N/A</v>
      </c>
      <c r="AD42" t="str" s="640" cm="1">
        <f t="array" ref="AD42">_xlfn.IFERROR(AB42*25%,"N/A")</f>
        <v>N/A</v>
      </c>
      <c r="AE42" t="str" s="648" cm="1">
        <f t="array" ref="AE42">IF(B42&gt;0,SUM(AB42:AD42),"N/A")</f>
        <v>N/A</v>
      </c>
      <c r="AF42" t="str" s="640" cm="1">
        <f t="array" ref="AF42">_xlfn.IFERROR(AE42/B42,"N/A")</f>
        <v>N/A</v>
      </c>
      <c r="AG42" s="424"/>
      <c r="AH42" t="str" s="648" cm="1">
        <f t="array" ref="AH42">IF(B42/VLOOKUP(C24,'Boats Data Sheet 2026'!$C$3:$H$57,6,0)&gt;VLOOKUP(C24,'Allocation OH and Target 2026'!$C$5:$J$23,8,0),IF(SUM(AI26:AI41)=0,AF42,"N/A"),"N/A")</f>
        <v>N/A</v>
      </c>
      <c r="AI42" s="424" cm="1">
        <f t="array" ref="AI42">IF(AH42="N/A",0,1)</f>
        <v>0</v>
      </c>
      <c r="AJ42" t="str" s="640" cm="1">
        <f t="array" ref="AJ42">IF(B42/VLOOKUP(C24,'Boats Data Sheet 2026'!$C$3:$H$57,6,0)&gt;VLOOKUP(C24,'Allocation OH and Target 2026'!$C$5:$J$23,8,0),IF(SUM(AI26:AI41)=0,V42/B42,"N/A"),"N/A")</f>
        <v>N/A</v>
      </c>
      <c r="AK42" s="424" cm="1">
        <f t="array" ref="AK42">IF(AJ42="N/A",0,1)</f>
        <v>0</v>
      </c>
      <c r="AL42" t="str" s="628" cm="1">
        <f t="array" ref="AL42">IF(SUM(1250000+700000)*B42&lt;SUM(AB42:AC42),"NO GO","GO")</f>
        <v>GO</v>
      </c>
      <c r="AM42" s="424"/>
      <c r="AN42" s="639"/>
      <c r="AO42" s="639"/>
      <c r="AP42" s="639"/>
      <c r="AQ42" s="645"/>
      <c r="AR42" s="601" cm="1">
        <f t="array" ref="AR42">B42</f>
        <v>0</v>
      </c>
    </row>
    <row r="43" ht="9" customHeight="1" hidden="1">
      <c r="A43" s="12"/>
      <c r="B43" s="646">
        <v>0</v>
      </c>
      <c r="C43" t="str" s="640" cm="1">
        <f t="array" ref="C43">IF(B43&gt;0,IF(VLOOKUP(C24,'Boats Data Sheet 2026'!$C$3:$J$57,8,0)="N/A",0,VLOOKUP(C24,'Boats Data Sheet 2026'!$C$3:$J$57,8,0)),"N/A")</f>
        <v>N/A</v>
      </c>
      <c r="D43" t="str" s="640" cm="1">
        <f t="array" ref="D43">IF(B43&gt;7,2,IF(B43=0,"N/A",1))</f>
        <v>N/A</v>
      </c>
      <c r="E43" t="str" s="640" cm="1">
        <f t="array" ref="E43">_xlfn.IFERROR(SUM('Direct Costs 2026'!$C$4:$C$6)*D43,"N/A")</f>
        <v>N/A</v>
      </c>
      <c r="F43" s="639" cm="1">
        <f t="array" ref="F43">_xlfn.IFERROR('Direct Costs 2026'!$C$43*B43,"N/A")</f>
        <v>0</v>
      </c>
      <c r="G43" t="str" s="640" cm="1">
        <f t="array" ref="G43">IF(B43&gt;0,'Direct Costs 2026'!$C$25,"N/A")</f>
        <v>N/A</v>
      </c>
      <c r="H43" t="str" s="640" cm="1">
        <f t="array" ref="H43">IF(B43&gt;0,('Direct Costs 2026'!$C$19+'Direct Costs 2026'!$C$18*B43),"N/A")</f>
        <v>N/A</v>
      </c>
      <c r="I43" t="str" s="640" cm="1">
        <f t="array" ref="I43">IF(B43&gt;0,SUM('Direct Costs 2026'!$C$20:$C$21),"N/A")</f>
        <v>N/A</v>
      </c>
      <c r="J43" t="str" s="640" cm="1">
        <f t="array" ref="J43">IF(B43&gt;0,'Direct Costs 2026'!$C$14,"N/A")</f>
        <v>N/A</v>
      </c>
      <c r="K43" t="str" s="640" cm="1">
        <f t="array" ref="K43">IF(B43&gt;0,'Direct Costs 2026'!$C$26,"N/A")</f>
        <v>N/A</v>
      </c>
      <c r="L43" t="str" s="640" cm="1">
        <f t="array" ref="L43">IF(B43&gt;0,SUM('Direct Costs 2026'!$C$23:$C$24),"N/A")</f>
        <v>N/A</v>
      </c>
      <c r="M43" t="str" s="640" cm="1">
        <f t="array" ref="M43">IF(B43&gt;0,'Direct Costs 2026'!$C$45*B43,"N/A")</f>
        <v>N/A</v>
      </c>
      <c r="N43" t="str" s="640" cm="1">
        <f t="array" ref="N43">IF($B43&gt;0,'Direct Costs 2026'!$C$29,"N/A")</f>
        <v>N/A</v>
      </c>
      <c r="O43" t="str" s="640" cm="1">
        <f t="array" ref="O43">IF($B43&gt;0,'Direct Costs 2026'!$C$31,"N/A")</f>
        <v>N/A</v>
      </c>
      <c r="P43" t="str" s="640" cm="1">
        <f t="array" ref="P43">IF(B43&gt;0,'Direct Costs 2026'!$C$59*B43,"N/A")</f>
        <v>N/A</v>
      </c>
      <c r="Q43" t="str" s="640" cm="1">
        <f t="array" ref="Q43">IF(B43&gt;0,_xlfn.IFERROR(VLOOKUP(C24,'Boats Data Sheet 2026'!$C$3:$I$57,7,0)*'Direct Costs 2026'!$C$36,"N/A"),"N/A")</f>
        <v>N/A</v>
      </c>
      <c r="R43" s="639"/>
      <c r="S43" t="str" s="640" cm="1">
        <f t="array" ref="S43">IF(B43&gt;0,IF(OR(VLOOKUP(C24,'Boats Data Sheet 2026'!$C$3:$F$57,4,0)="Own",VLOOKUP(C24,'Boats Data Sheet 2026'!$C$3:$F$57,4,0)="Management"),('Direct Costs 2026'!$C$37+'Direct Costs 2026'!$C$39),"N/A"),"N/A")</f>
        <v>N/A</v>
      </c>
      <c r="T43" t="str" s="640" cm="1">
        <f t="array" ref="T43">_xlfn.IFERROR(IF(B43&gt;5,IF(B43&gt;11,IF(B43&gt;15,4,3),2),IF(B43=0,"N/A",1))*SUM('Direct Costs 2026'!$C$67:$C$68),"N/A")</f>
        <v>N/A</v>
      </c>
      <c r="U43" t="str" s="640" cm="1">
        <f t="array" ref="U43">_xlfn.IFERROR('Direct Costs 2026'!$C$27*C43,"N/A")</f>
        <v>N/A</v>
      </c>
      <c r="V43" t="str" s="640" cm="1">
        <f t="array" ref="V43">_xlfn.IFERROR(C43+SUM(E43:U43),"N/A")</f>
        <v>N/A</v>
      </c>
      <c r="W43" s="424"/>
      <c r="X43" t="str" s="640" cm="1">
        <f t="array" ref="X43">IF(B43&gt;0,'Allocation OH and Target 2026'!$E$31,"N/A")</f>
        <v>N/A</v>
      </c>
      <c r="Y43" t="str" s="640" cm="1">
        <f t="array" ref="Y43">IF(B43&gt;0,VLOOKUP(C24,'Allocation OH and Target 2026'!$C$5:$T$23,16,0),"N/A")</f>
        <v>N/A</v>
      </c>
      <c r="Z43" t="str" s="640" cm="1">
        <f t="array" ref="Z43">_xlfn.IFERROR((X43+Y43),"N/A")</f>
        <v>N/A</v>
      </c>
      <c r="AA43" s="424"/>
      <c r="AB43" t="str" s="640" cm="1">
        <f t="array" ref="AB43">_xlfn.IFERROR(Z43+V43,"N/A")</f>
        <v>N/A</v>
      </c>
      <c r="AC43" t="str" s="640" cm="1">
        <f t="array" ref="AC43">_xlfn.IFERROR(AB43*0.5%,"N/A")</f>
        <v>N/A</v>
      </c>
      <c r="AD43" t="str" s="640" cm="1">
        <f t="array" ref="AD43">_xlfn.IFERROR(AB43*25%,"N/A")</f>
        <v>N/A</v>
      </c>
      <c r="AE43" t="str" s="648" cm="1">
        <f t="array" ref="AE43">IF(B43&gt;0,SUM(AB43:AD43),"N/A")</f>
        <v>N/A</v>
      </c>
      <c r="AF43" t="str" s="640" cm="1">
        <f t="array" ref="AF43">_xlfn.IFERROR(AE43/B43,"N/A")</f>
        <v>N/A</v>
      </c>
      <c r="AG43" s="424"/>
      <c r="AH43" t="str" s="648" cm="1">
        <f t="array" ref="AH43">IF(B43/VLOOKUP(C24,'Boats Data Sheet 2026'!$C$3:$H$57,6,0)&gt;VLOOKUP(C24,'Allocation OH and Target 2026'!$C$5:$J$23,8,0),IF(SUM(AI26:AI42)=0,AF43,"N/A"),"N/A")</f>
        <v>N/A</v>
      </c>
      <c r="AI43" s="424" cm="1">
        <f t="array" ref="AI43">IF(AH43="N/A",0,1)</f>
        <v>0</v>
      </c>
      <c r="AJ43" t="str" s="640" cm="1">
        <f t="array" ref="AJ43">IF(B43/VLOOKUP(C24,'Boats Data Sheet 2026'!$C$3:$H$57,6,0)&gt;VLOOKUP(C24,'Allocation OH and Target 2026'!$C$5:$J$23,8,0),IF(SUM(AI26:AI42)=0,V43/B43,"N/A"),"N/A")</f>
        <v>N/A</v>
      </c>
      <c r="AK43" s="424" cm="1">
        <f t="array" ref="AK43">IF(AJ43="N/A",0,1)</f>
        <v>0</v>
      </c>
      <c r="AL43" t="str" s="628" cm="1">
        <f t="array" ref="AL43">IF(SUM(1250000+700000)*B43&lt;SUM(AB43:AC43),"NO GO","GO")</f>
        <v>GO</v>
      </c>
      <c r="AM43" s="424"/>
      <c r="AN43" s="639"/>
      <c r="AO43" s="639"/>
      <c r="AP43" s="639"/>
      <c r="AQ43" s="645"/>
      <c r="AR43" s="601" cm="1">
        <f t="array" ref="AR43">B43</f>
        <v>0</v>
      </c>
    </row>
    <row r="44" ht="15.5" customHeight="1">
      <c r="A44" s="12"/>
      <c r="B44" s="650">
        <v>0</v>
      </c>
      <c r="C44" t="str" s="651" cm="1">
        <f t="array" ref="C44">IF(B44&gt;0,IF(VLOOKUP(C24,'Boats Data Sheet 2026'!$C$3:$J$57,8,0)="N/A",0,VLOOKUP(C24,'Boats Data Sheet 2026'!$C$3:$J$57,8,0)),"N/A")</f>
        <v>N/A</v>
      </c>
      <c r="D44" t="str" s="651" cm="1">
        <f t="array" ref="D44">IF(B44&gt;7,2,IF(B44=0,"N/A",1))</f>
        <v>N/A</v>
      </c>
      <c r="E44" t="str" s="651" cm="1">
        <f t="array" ref="E44">_xlfn.IFERROR(SUM('Direct Costs 2026'!$C$4:$C$6)*D44,"N/A")</f>
        <v>N/A</v>
      </c>
      <c r="F44" s="652" cm="1">
        <f t="array" ref="F44">_xlfn.IFERROR('Direct Costs 2026'!$C$43*B44,"N/A")</f>
        <v>0</v>
      </c>
      <c r="G44" t="str" s="651" cm="1">
        <f t="array" ref="G44">IF(B44&gt;0,'Direct Costs 2026'!$C$25,"N/A")</f>
        <v>N/A</v>
      </c>
      <c r="H44" t="str" s="651" cm="1">
        <f t="array" ref="H44">IF(B44&gt;0,('Direct Costs 2026'!$C$19+'Direct Costs 2026'!$C$18*B44),"N/A")</f>
        <v>N/A</v>
      </c>
      <c r="I44" t="str" s="651" cm="1">
        <f t="array" ref="I44">IF(B44&gt;0,SUM('Direct Costs 2026'!$C$20:$C$21),"N/A")</f>
        <v>N/A</v>
      </c>
      <c r="J44" t="str" s="651" cm="1">
        <f t="array" ref="J44">IF(B44&gt;0,'Direct Costs 2026'!$C$14,"N/A")</f>
        <v>N/A</v>
      </c>
      <c r="K44" t="str" s="651" cm="1">
        <f t="array" ref="K44">IF(B44&gt;0,'Direct Costs 2026'!$C$26,"N/A")</f>
        <v>N/A</v>
      </c>
      <c r="L44" t="str" s="651" cm="1">
        <f t="array" ref="L44">IF(B44&gt;0,SUM('Direct Costs 2026'!$C$23:$C$24),"N/A")</f>
        <v>N/A</v>
      </c>
      <c r="M44" t="str" s="651" cm="1">
        <f t="array" ref="M44">IF(B44&gt;0,'Direct Costs 2026'!$C$45*B44,"N/A")</f>
        <v>N/A</v>
      </c>
      <c r="N44" t="str" s="651" cm="1">
        <f t="array" ref="N44">IF($B44&gt;0,'Direct Costs 2026'!$C$29,"N/A")</f>
        <v>N/A</v>
      </c>
      <c r="O44" t="str" s="651" cm="1">
        <f t="array" ref="O44">IF($B44&gt;0,'Direct Costs 2026'!$C$31,"N/A")</f>
        <v>N/A</v>
      </c>
      <c r="P44" t="str" s="651" cm="1">
        <f t="array" ref="P44">IF(B44&gt;0,'Direct Costs 2026'!$C$59*B44,"N/A")</f>
        <v>N/A</v>
      </c>
      <c r="Q44" t="str" s="651" cm="1">
        <f t="array" ref="Q44">IF(B44&gt;0,_xlfn.IFERROR(VLOOKUP(C24,'Boats Data Sheet 2026'!$C$3:$I$57,7,0)*'Direct Costs 2026'!$C$36,"N/A"),"N/A")</f>
        <v>N/A</v>
      </c>
      <c r="R44" s="652"/>
      <c r="S44" t="str" s="651" cm="1">
        <f t="array" ref="S44">IF(B44&gt;0,IF(OR(VLOOKUP(C24,'Boats Data Sheet 2026'!$C$3:$F$57,4,0)="Own",VLOOKUP(C24,'Boats Data Sheet 2026'!$C$3:$F$57,4,0)="Management"),('Direct Costs 2026'!$C$37+'Direct Costs 2026'!$C$39),"N/A"),"N/A")</f>
        <v>N/A</v>
      </c>
      <c r="T44" t="str" s="651" cm="1">
        <f t="array" ref="T44">_xlfn.IFERROR(IF(B44&gt;5,IF(B44&gt;11,IF(B44&gt;15,4,3),2),IF(B44=0,"N/A",1))*SUM('Direct Costs 2026'!$C$67:$C$68),"N/A")</f>
        <v>N/A</v>
      </c>
      <c r="U44" t="str" s="651" cm="1">
        <f t="array" ref="U44">_xlfn.IFERROR('Direct Costs 2026'!$C$27*C44,"N/A")</f>
        <v>N/A</v>
      </c>
      <c r="V44" t="str" s="651" cm="1">
        <f t="array" ref="V44">_xlfn.IFERROR(C44+SUM(E44:U44),"N/A")</f>
        <v>N/A</v>
      </c>
      <c r="W44" s="435"/>
      <c r="X44" t="str" s="651" cm="1">
        <f t="array" ref="X44">IF(B44&gt;0,'Allocation OH and Target 2026'!$E$31,"N/A")</f>
        <v>N/A</v>
      </c>
      <c r="Y44" t="str" s="651" cm="1">
        <f t="array" ref="Y44">IF(B44&gt;0,VLOOKUP(C24,'Allocation OH and Target 2026'!$C$5:$T$23,16,0),"N/A")</f>
        <v>N/A</v>
      </c>
      <c r="Z44" t="str" s="651" cm="1">
        <f t="array" ref="Z44">_xlfn.IFERROR((X44+Y44),"N/A")</f>
        <v>N/A</v>
      </c>
      <c r="AA44" s="435"/>
      <c r="AB44" t="str" s="651" cm="1">
        <f t="array" ref="AB44">_xlfn.IFERROR(Z44+V44,"N/A")</f>
        <v>N/A</v>
      </c>
      <c r="AC44" t="str" s="651" cm="1">
        <f t="array" ref="AC44">_xlfn.IFERROR(AB44*0.5%,"N/A")</f>
        <v>N/A</v>
      </c>
      <c r="AD44" t="str" s="651" cm="1">
        <f t="array" ref="AD44">_xlfn.IFERROR(AB44*25%,"N/A")</f>
        <v>N/A</v>
      </c>
      <c r="AE44" t="str" s="653" cm="1">
        <f t="array" ref="AE44">IF(B44&gt;0,SUM(AB44:AD44),"N/A")</f>
        <v>N/A</v>
      </c>
      <c r="AF44" t="str" s="651" cm="1">
        <f t="array" ref="AF44">_xlfn.IFERROR(AE44/B44,"N/A")</f>
        <v>N/A</v>
      </c>
      <c r="AG44" s="435"/>
      <c r="AH44" t="str" s="653" cm="1">
        <f t="array" ref="AH44">IF(B44/VLOOKUP(C24,'Boats Data Sheet 2026'!$C$3:$H$57,6,0)&gt;VLOOKUP(C24,'Allocation OH and Target 2026'!$C$5:$J$23,8,0),IF(SUM(AI26:AI43)=0,AF44,"N/A"),"N/A")</f>
        <v>N/A</v>
      </c>
      <c r="AI44" s="435" cm="1">
        <f t="array" ref="AI44">IF(AH44="N/A",0,1)</f>
        <v>0</v>
      </c>
      <c r="AJ44" t="str" s="651" cm="1">
        <f t="array" ref="AJ44">IF(B44/VLOOKUP(C24,'Boats Data Sheet 2026'!$C$3:$H$57,6,0)&gt;VLOOKUP(C24,'Allocation OH and Target 2026'!$C$5:$J$23,8,0),IF(SUM(AI26:AI43)=0,V44/B44,"N/A"),"N/A")</f>
        <v>N/A</v>
      </c>
      <c r="AK44" s="435" cm="1">
        <f t="array" ref="AK44">IF(AJ44="N/A",0,1)</f>
        <v>0</v>
      </c>
      <c r="AL44" t="str" s="654" cm="1">
        <f t="array" ref="AL44">IF(SUM(1250000+700000)*B44&lt;SUM(AB44:AC44),"NO GO","GO")</f>
        <v>GO</v>
      </c>
      <c r="AM44" s="435"/>
      <c r="AN44" s="652"/>
      <c r="AO44" s="652"/>
      <c r="AP44" s="652"/>
      <c r="AQ44" s="655"/>
      <c r="AR44" s="601" cm="1">
        <f t="array" ref="AR44">B44</f>
        <v>0</v>
      </c>
    </row>
    <row r="45" ht="16" customHeight="1">
      <c r="A45" s="32"/>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18"/>
    </row>
    <row r="46" ht="15.5" customHeight="1">
      <c r="A46" s="395">
        <v>3</v>
      </c>
      <c r="B46" t="s" s="619">
        <v>506</v>
      </c>
      <c r="C46" t="s" s="620">
        <v>52</v>
      </c>
      <c r="D46" s="622"/>
      <c r="E46" s="621"/>
      <c r="F46" s="621"/>
      <c r="G46" s="621"/>
      <c r="H46" s="621"/>
      <c r="I46" s="621"/>
      <c r="J46" s="621"/>
      <c r="K46" s="621"/>
      <c r="L46" s="621"/>
      <c r="M46" s="621"/>
      <c r="N46" s="621"/>
      <c r="O46" s="621"/>
      <c r="P46" s="621"/>
      <c r="Q46" s="621"/>
      <c r="R46" s="621"/>
      <c r="S46" s="621"/>
      <c r="T46" s="621"/>
      <c r="U46" s="621"/>
      <c r="V46" s="621"/>
      <c r="W46" s="399"/>
      <c r="X46" s="621"/>
      <c r="Y46" s="621"/>
      <c r="Z46" s="621"/>
      <c r="AA46" s="399"/>
      <c r="AB46" s="621"/>
      <c r="AC46" s="621"/>
      <c r="AD46" s="621"/>
      <c r="AE46" s="621"/>
      <c r="AF46" s="621"/>
      <c r="AG46" s="399"/>
      <c r="AH46" s="622"/>
      <c r="AI46" s="399"/>
      <c r="AJ46" s="621"/>
      <c r="AK46" s="399"/>
      <c r="AL46" s="621"/>
      <c r="AM46" s="399"/>
      <c r="AN46" s="621"/>
      <c r="AO46" s="621"/>
      <c r="AP46" s="621"/>
      <c r="AQ46" s="623"/>
      <c r="AR46" s="578"/>
    </row>
    <row r="47" ht="16" customHeight="1">
      <c r="A47" s="12"/>
      <c r="B47" s="624"/>
      <c r="C47" t="s" s="625">
        <v>513</v>
      </c>
      <c r="D47" s="626"/>
      <c r="E47" s="626"/>
      <c r="F47" s="626"/>
      <c r="G47" s="626"/>
      <c r="H47" s="626"/>
      <c r="I47" s="626"/>
      <c r="J47" s="626"/>
      <c r="K47" s="626"/>
      <c r="L47" s="626"/>
      <c r="M47" s="626"/>
      <c r="N47" s="626"/>
      <c r="O47" s="626"/>
      <c r="P47" s="626"/>
      <c r="Q47" s="626"/>
      <c r="R47" s="626"/>
      <c r="S47" s="626"/>
      <c r="T47" s="626"/>
      <c r="U47" s="626"/>
      <c r="V47" s="627"/>
      <c r="W47" s="407"/>
      <c r="X47" t="s" s="625">
        <v>514</v>
      </c>
      <c r="Y47" s="626"/>
      <c r="Z47" s="627"/>
      <c r="AA47" s="407"/>
      <c r="AB47" t="s" s="625">
        <v>515</v>
      </c>
      <c r="AC47" s="626"/>
      <c r="AD47" s="626"/>
      <c r="AE47" s="626"/>
      <c r="AF47" s="627"/>
      <c r="AG47" s="410"/>
      <c r="AH47" s="628"/>
      <c r="AI47" s="410"/>
      <c r="AJ47" s="629"/>
      <c r="AK47" s="410"/>
      <c r="AL47" s="629"/>
      <c r="AM47" s="410"/>
      <c r="AN47" s="629"/>
      <c r="AO47" s="629"/>
      <c r="AP47" s="629"/>
      <c r="AQ47" s="630"/>
      <c r="AR47" s="578"/>
    </row>
    <row r="48" ht="60.5" customHeight="1">
      <c r="A48" s="12"/>
      <c r="B48" t="s" s="631">
        <v>517</v>
      </c>
      <c r="C48" t="s" s="632">
        <v>518</v>
      </c>
      <c r="D48" t="s" s="632">
        <v>519</v>
      </c>
      <c r="E48" t="s" s="632">
        <v>520</v>
      </c>
      <c r="F48" t="s" s="633">
        <v>521</v>
      </c>
      <c r="G48" t="s" s="633">
        <v>522</v>
      </c>
      <c r="H48" t="s" s="633">
        <v>524</v>
      </c>
      <c r="I48" t="s" s="633">
        <v>525</v>
      </c>
      <c r="J48" t="s" s="633">
        <v>553</v>
      </c>
      <c r="K48" t="s" s="633">
        <v>526</v>
      </c>
      <c r="L48" t="s" s="633">
        <v>527</v>
      </c>
      <c r="M48" t="s" s="633">
        <v>528</v>
      </c>
      <c r="N48" t="s" s="633">
        <v>608</v>
      </c>
      <c r="O48" t="s" s="633">
        <v>609</v>
      </c>
      <c r="P48" t="s" s="633">
        <v>604</v>
      </c>
      <c r="Q48" t="s" s="633">
        <v>610</v>
      </c>
      <c r="R48" t="s" s="633">
        <v>529</v>
      </c>
      <c r="S48" t="s" s="633">
        <v>530</v>
      </c>
      <c r="T48" t="s" s="633">
        <v>572</v>
      </c>
      <c r="U48" t="s" s="633">
        <v>531</v>
      </c>
      <c r="V48" t="s" s="633">
        <v>532</v>
      </c>
      <c r="W48" s="556"/>
      <c r="X48" t="s" s="633">
        <v>533</v>
      </c>
      <c r="Y48" t="s" s="633">
        <v>534</v>
      </c>
      <c r="Z48" t="s" s="633">
        <v>535</v>
      </c>
      <c r="AA48" s="556"/>
      <c r="AB48" t="s" s="633">
        <v>536</v>
      </c>
      <c r="AC48" t="s" s="633">
        <v>537</v>
      </c>
      <c r="AD48" t="s" s="633">
        <v>538</v>
      </c>
      <c r="AE48" t="s" s="633">
        <v>575</v>
      </c>
      <c r="AF48" t="s" s="633">
        <v>539</v>
      </c>
      <c r="AG48" s="557"/>
      <c r="AH48" t="s" s="633">
        <v>576</v>
      </c>
      <c r="AI48" s="557"/>
      <c r="AJ48" t="s" s="633">
        <v>577</v>
      </c>
      <c r="AK48" s="557"/>
      <c r="AL48" t="s" s="632">
        <v>578</v>
      </c>
      <c r="AM48" s="557"/>
      <c r="AN48" s="634"/>
      <c r="AO48" s="634"/>
      <c r="AP48" s="634"/>
      <c r="AQ48" s="635"/>
      <c r="AR48" s="578"/>
    </row>
    <row r="49" ht="16.5" customHeight="1">
      <c r="A49" s="12"/>
      <c r="B49" s="636">
        <v>1</v>
      </c>
      <c r="C49" s="637" cm="1">
        <f t="array" ref="C49">IF(B49&gt;0,IF(VLOOKUP(C46,'Boats Data Sheet 2026'!$C$3:$J$57,8,0)="N/A",0,VLOOKUP(C46,'Boats Data Sheet 2026'!$C$3:$J$57,8,0)),"N/A")</f>
        <v>0</v>
      </c>
      <c r="D49" s="638" cm="1">
        <f t="array" ref="D49">IF(B49&gt;7,2,IF(B49=0,"N/A",1))</f>
        <v>1</v>
      </c>
      <c r="E49" s="637" cm="1">
        <f t="array" ref="E49">_xlfn.IFERROR(SUM('Direct Costs 2026'!$C$4:$C$6)*D49,"N/A")</f>
        <v>975500</v>
      </c>
      <c r="F49" s="639" cm="1">
        <f t="array" ref="F49">_xlfn.IFERROR('Direct Costs 2026'!$C$43*B49,"N/A")</f>
        <v>6000</v>
      </c>
      <c r="G49" s="639" cm="1">
        <f t="array" ref="G49">IF(B49&gt;0,'Direct Costs 2026'!$C$25,"N/A")</f>
        <v>90000</v>
      </c>
      <c r="H49" s="639" cm="1">
        <f t="array" ref="H49">IF(B49&gt;0,('Direct Costs 2026'!$C$19+'Direct Costs 2026'!$C$18*B49),"N/A")</f>
        <v>110000</v>
      </c>
      <c r="I49" s="639" cm="1">
        <f t="array" ref="I49">IF(B49&gt;0,SUM('Direct Costs 2026'!$C$20:$C$21),"N/A")</f>
        <v>98333.3333333333</v>
      </c>
      <c r="J49" s="639" cm="1">
        <f t="array" ref="J49">IF(B49&gt;0,'Direct Costs 2026'!$C$14,"N/A")</f>
        <v>60000</v>
      </c>
      <c r="K49" s="639" cm="1">
        <f t="array" ref="K49">IF(B49&gt;0,'Direct Costs 2026'!$C$26,"N/A")</f>
        <v>20000</v>
      </c>
      <c r="L49" s="639" cm="1">
        <f t="array" ref="L49">IF(B49&gt;0,SUM('Direct Costs 2026'!$C$23:$C$24),"N/A")</f>
        <v>160000</v>
      </c>
      <c r="M49" s="639" cm="1">
        <f t="array" ref="M49">IF(B49&gt;0,'Direct Costs 2026'!$C$49*B49,"N/A")</f>
        <v>200000</v>
      </c>
      <c r="N49" s="639" cm="1">
        <f t="array" ref="N49">IF($B49&gt;0,'Direct Costs 2026'!$C$29,"N/A")</f>
        <v>1500000</v>
      </c>
      <c r="O49" s="639" cm="1">
        <f t="array" ref="O49">IF($B49&gt;0,'Direct Costs 2026'!$C$31/3,"N/A")</f>
        <v>290000</v>
      </c>
      <c r="P49" s="639" cm="1">
        <f t="array" ref="P49">IF(B49&gt;0,'Direct Costs 2026'!$C$59*B49,"N/A")</f>
        <v>41000</v>
      </c>
      <c r="Q49" s="639" cm="1">
        <f t="array" ref="Q49">IF($B49&gt;0,'Direct Costs 2026'!$C$34,"N/A")</f>
        <v>550000</v>
      </c>
      <c r="R49" s="639" cm="1">
        <f t="array" ref="R49">IF(B49&gt;0,_xlfn.IFERROR(VLOOKUP(C46,'Boats Data Sheet 2026'!$C$3:$I$57,7,0)*'Direct Costs 2026'!$C$36,"N/A"),"N/A")</f>
        <v>3325000</v>
      </c>
      <c r="S49" s="639" cm="1">
        <f t="array" ref="S49">IF(B49&gt;0,IF(OR(VLOOKUP(C46,'Boats Data Sheet 2026'!$C$3:$F$57,4,0)="Own",VLOOKUP(C46,'Boats Data Sheet 2026'!$C$3:$F$57,4,0)="Management"),('Direct Costs 2026'!$C$37+'Direct Costs 2026'!$C$39),"N/A"),"N/A")</f>
        <v>1112400</v>
      </c>
      <c r="T49" s="639" cm="1">
        <f t="array" ref="T49">_xlfn.IFERROR(IF(B49&gt;5,IF(B49&gt;11,IF(B49&gt;15,4,3),2),IF(B49=0,"N/A",1))*SUM('Direct Costs 2026'!$C$67:$C$68),"N/A")</f>
        <v>489600</v>
      </c>
      <c r="U49" s="639" cm="1">
        <f t="array" ref="U49">_xlfn.IFERROR('Direct Costs 2026'!$C$27*C49,"N/A")</f>
        <v>0</v>
      </c>
      <c r="V49" s="639" cm="1">
        <f t="array" ref="V49">_xlfn.IFERROR(C49+SUM(E49:U49),"N/A")</f>
        <v>9027833.33333333</v>
      </c>
      <c r="W49" s="424"/>
      <c r="X49" s="639" cm="1">
        <f t="array" ref="X49">IF(B49&gt;0,'Allocation OH and Target 2026'!$E$31,"N/A")</f>
        <v>3100447.15769812</v>
      </c>
      <c r="Y49" s="639" cm="1">
        <f t="array" ref="Y49">IF(B49&gt;0,VLOOKUP(C46,'Allocation OH and Target 2026'!$C$5:$T$23,17,0),"N/A")</f>
        <v>773816.669767442</v>
      </c>
      <c r="Z49" s="639" cm="1">
        <f t="array" ref="Z49">_xlfn.IFERROR((X49+Y49),"N/A")</f>
        <v>3874263.82746556</v>
      </c>
      <c r="AA49" s="424"/>
      <c r="AB49" s="639" cm="1">
        <f t="array" ref="AB49">_xlfn.IFERROR(Z49+V49,"N/A")</f>
        <v>12902097.1607989</v>
      </c>
      <c r="AC49" s="639" cm="1">
        <f t="array" ref="AC49">_xlfn.IFERROR(AB49*0.5%,"N/A")</f>
        <v>64510.4858039945</v>
      </c>
      <c r="AD49" s="639" cm="1">
        <f t="array" ref="AD49">_xlfn.IFERROR(AB49*25%,"N/A")</f>
        <v>3225524.29019973</v>
      </c>
      <c r="AE49" s="641" cm="1">
        <f t="array" ref="AE49">IF(B49&gt;0,SUM(AB49:AD49),"N/A")</f>
        <v>16192131.9368026</v>
      </c>
      <c r="AF49" s="639" cm="1">
        <f t="array" ref="AF49">_xlfn.IFERROR(AE49/B49,"N/A")</f>
        <v>16192131.9368026</v>
      </c>
      <c r="AG49" s="424"/>
      <c r="AH49" t="s" s="642">
        <v>14</v>
      </c>
      <c r="AI49" s="424" cm="1">
        <f t="array" ref="AI49">IF(AH49="N/A",0,1)</f>
        <v>0</v>
      </c>
      <c r="AJ49" t="s" s="643">
        <v>14</v>
      </c>
      <c r="AK49" s="424" cm="1">
        <f t="array" ref="AK49">IF(AJ49="N/A",0,1)</f>
        <v>0</v>
      </c>
      <c r="AL49" t="str" s="644" cm="1">
        <f t="array" ref="AL49">IF(SUM(1250000+700000)*B49&lt;SUM(AB49:AC49),"NO GO","GO")</f>
        <v>NO GO</v>
      </c>
      <c r="AM49" s="424"/>
      <c r="AN49" s="639"/>
      <c r="AO49" s="639"/>
      <c r="AP49" s="639"/>
      <c r="AQ49" s="645"/>
      <c r="AR49" s="601" cm="1">
        <f t="array" ref="AR49">B49</f>
        <v>1</v>
      </c>
    </row>
    <row r="50" ht="16" customHeight="1">
      <c r="A50" s="12"/>
      <c r="B50" s="646" cm="1">
        <f t="array" ref="B50">IF(B49=0,0,IF(B49&lt;VLOOKUP(C46,'Boats Data Sheet 2026'!$C$3:$H$57,6,0),B49+1,0))</f>
        <v>2</v>
      </c>
      <c r="C50" s="639" cm="1">
        <f t="array" ref="C50">IF(B50&gt;0,IF(VLOOKUP(C46,'Boats Data Sheet 2026'!$C$3:$J$57,8,0)="N/A",0,VLOOKUP(C46,'Boats Data Sheet 2026'!$C$3:$J$57,8,0)),"N/A")</f>
        <v>0</v>
      </c>
      <c r="D50" s="647" cm="1">
        <f t="array" ref="D50">IF(B50&gt;7,2,IF(B50=0,"N/A",1))</f>
        <v>1</v>
      </c>
      <c r="E50" s="639" cm="1">
        <f t="array" ref="E50">_xlfn.IFERROR(SUM('Direct Costs 2026'!$C$4:$C$6)*D50,"N/A")</f>
        <v>975500</v>
      </c>
      <c r="F50" s="639" cm="1">
        <f t="array" ref="F50">_xlfn.IFERROR('Direct Costs 2026'!$C$43*B50,"N/A")</f>
        <v>12000</v>
      </c>
      <c r="G50" s="639" cm="1">
        <f t="array" ref="G50">IF(B50&gt;0,'Direct Costs 2026'!$C$25,"N/A")</f>
        <v>90000</v>
      </c>
      <c r="H50" s="639" cm="1">
        <f t="array" ref="H50">IF(B50&gt;0,('Direct Costs 2026'!$C$19+'Direct Costs 2026'!$C$18*B50),"N/A")</f>
        <v>145000</v>
      </c>
      <c r="I50" s="639" cm="1">
        <f t="array" ref="I50">IF(B50&gt;0,SUM('Direct Costs 2026'!$C$20:$C$21),"N/A")</f>
        <v>98333.3333333333</v>
      </c>
      <c r="J50" s="639" cm="1">
        <f t="array" ref="J50">IF(B50&gt;0,'Direct Costs 2026'!$C$14,"N/A")</f>
        <v>60000</v>
      </c>
      <c r="K50" s="639" cm="1">
        <f t="array" ref="K50">IF(B50&gt;0,'Direct Costs 2026'!$C$26,"N/A")</f>
        <v>20000</v>
      </c>
      <c r="L50" s="639" cm="1">
        <f t="array" ref="L50">IF(B50&gt;0,SUM('Direct Costs 2026'!$C$23:$C$24),"N/A")</f>
        <v>160000</v>
      </c>
      <c r="M50" s="639" cm="1">
        <f t="array" ref="M50">IF(B50&gt;0,'Direct Costs 2026'!$C$49*B50,"N/A")</f>
        <v>400000</v>
      </c>
      <c r="N50" s="639" cm="1">
        <f t="array" ref="N50">IF($B50&gt;0,'Direct Costs 2026'!$C$29,"N/A")</f>
        <v>1500000</v>
      </c>
      <c r="O50" s="639" cm="1">
        <f t="array" ref="O50">IF($B50&gt;0,'Direct Costs 2026'!$C$31/3,"N/A")</f>
        <v>290000</v>
      </c>
      <c r="P50" s="639" cm="1">
        <f t="array" ref="P50">IF(B50&gt;0,'Direct Costs 2026'!$C$59*B50,"N/A")</f>
        <v>82000</v>
      </c>
      <c r="Q50" s="639" cm="1">
        <f t="array" ref="Q50">IF($B50&gt;0,'Direct Costs 2026'!$C$34,"N/A")</f>
        <v>550000</v>
      </c>
      <c r="R50" s="639" cm="1">
        <f t="array" ref="R50">IF(B50&gt;0,_xlfn.IFERROR(VLOOKUP(C46,'Boats Data Sheet 2026'!$C$3:$I$57,7,0)*'Direct Costs 2026'!$C$36,"N/A"),"N/A")</f>
        <v>3325000</v>
      </c>
      <c r="S50" s="639" cm="1">
        <f t="array" ref="S50">IF(B50&gt;0,IF(OR(VLOOKUP(C46,'Boats Data Sheet 2026'!$C$3:$F$57,4,0)="Own",VLOOKUP(C46,'Boats Data Sheet 2026'!$C$3:$F$57,4,0)="Management"),('Direct Costs 2026'!$C$37+'Direct Costs 2026'!$C$39),"N/A"),"N/A")</f>
        <v>1112400</v>
      </c>
      <c r="T50" s="639" cm="1">
        <f t="array" ref="T50">_xlfn.IFERROR(IF(B50&gt;5,IF(B50&gt;11,IF(B50&gt;15,4,3),2),IF(B50=0,"N/A",1))*SUM('Direct Costs 2026'!$C$67:$C$68),"N/A")</f>
        <v>489600</v>
      </c>
      <c r="U50" s="639" cm="1">
        <f t="array" ref="U50">_xlfn.IFERROR('Direct Costs 2026'!$C$27*C50,"N/A")</f>
        <v>0</v>
      </c>
      <c r="V50" s="639" cm="1">
        <f t="array" ref="V50">_xlfn.IFERROR(C50+SUM(E50:U50),"N/A")</f>
        <v>9309833.33333333</v>
      </c>
      <c r="W50" s="424"/>
      <c r="X50" s="639" cm="1">
        <f t="array" ref="X50">IF(B50&gt;0,'Allocation OH and Target 2026'!$E$31,"N/A")</f>
        <v>3100447.15769812</v>
      </c>
      <c r="Y50" s="639" cm="1">
        <f t="array" ref="Y50">IF(B50&gt;0,VLOOKUP(C46,'Allocation OH and Target 2026'!$C$5:$T$23,17,0),"N/A")</f>
        <v>773816.669767442</v>
      </c>
      <c r="Z50" s="639" cm="1">
        <f t="array" ref="Z50">_xlfn.IFERROR((X50+Y50),"N/A")</f>
        <v>3874263.82746556</v>
      </c>
      <c r="AA50" s="424"/>
      <c r="AB50" s="639" cm="1">
        <f t="array" ref="AB50">_xlfn.IFERROR(Z50+V50,"N/A")</f>
        <v>13184097.1607989</v>
      </c>
      <c r="AC50" s="639" cm="1">
        <f t="array" ref="AC50">_xlfn.IFERROR(AB50*0.5%,"N/A")</f>
        <v>65920.4858039945</v>
      </c>
      <c r="AD50" s="639" cm="1">
        <f t="array" ref="AD50">_xlfn.IFERROR(AB50*25%,"N/A")</f>
        <v>3296024.29019973</v>
      </c>
      <c r="AE50" s="641" cm="1">
        <f t="array" ref="AE50">IF(B50&gt;0,SUM(AB50:AD50),"N/A")</f>
        <v>16546041.9368026</v>
      </c>
      <c r="AF50" s="639" cm="1">
        <f t="array" ref="AF50">_xlfn.IFERROR(AE50/B50,"N/A")</f>
        <v>8273020.9684013</v>
      </c>
      <c r="AG50" s="424"/>
      <c r="AH50" t="str" s="648" cm="1">
        <f t="array" ref="AH50">IF(B50/VLOOKUP(C46,'Boats Data Sheet 2026'!$C$3:$H$57,6,0)&gt;VLOOKUP(C46,'Allocation OH and Target 2026'!$C$5:$J$23,8,0),IF(SUM(AI48:AI49)=0,AF50,"N/A"),"N/A")</f>
        <v>N/A</v>
      </c>
      <c r="AI50" s="424" cm="1">
        <f t="array" ref="AI50">IF(AH50="N/A",0,1)</f>
        <v>0</v>
      </c>
      <c r="AJ50" t="str" s="640" cm="1">
        <f t="array" ref="AJ50">IF(B50/VLOOKUP(C46,'Boats Data Sheet 2026'!$C$3:$H$57,6,0)&gt;VLOOKUP(C46,'Allocation OH and Target 2026'!$C$5:$J$23,8,0),IF(SUM(AI48:AI49)=0,V50/B50,"N/A"),"N/A")</f>
        <v>N/A</v>
      </c>
      <c r="AK50" s="424" cm="1">
        <f t="array" ref="AK50">IF(AJ50="N/A",0,1)</f>
        <v>0</v>
      </c>
      <c r="AL50" t="str" s="628" cm="1">
        <f t="array" ref="AL50">IF(SUM(1250000+700000)*B50&lt;SUM(AB50:AC50),"NO GO","GO")</f>
        <v>NO GO</v>
      </c>
      <c r="AM50" s="424"/>
      <c r="AN50" s="639"/>
      <c r="AO50" s="639"/>
      <c r="AP50" s="639"/>
      <c r="AQ50" s="645"/>
      <c r="AR50" s="601" cm="1">
        <f t="array" ref="AR50">B50</f>
        <v>2</v>
      </c>
    </row>
    <row r="51" ht="16" customHeight="1">
      <c r="A51" s="12"/>
      <c r="B51" s="646">
        <v>0</v>
      </c>
      <c r="C51" t="str" s="640" cm="1">
        <f t="array" ref="C51">IF(B51&gt;0,IF(VLOOKUP(C46,'Boats Data Sheet 2026'!$C$3:$J$57,8,0)="N/A",0,VLOOKUP(C46,'Boats Data Sheet 2026'!$C$3:$J$57,8,0)),"N/A")</f>
        <v>N/A</v>
      </c>
      <c r="D51" t="str" s="649" cm="1">
        <f t="array" ref="D51">IF(B51&gt;7,2,IF(B51=0,"N/A",1))</f>
        <v>N/A</v>
      </c>
      <c r="E51" t="str" s="640" cm="1">
        <f t="array" ref="E51">_xlfn.IFERROR(SUM('Direct Costs 2026'!$C$4:$C$6)*D51,"N/A")</f>
        <v>N/A</v>
      </c>
      <c r="F51" s="639" cm="1">
        <f t="array" ref="F51">_xlfn.IFERROR('Direct Costs 2026'!$C$43*B51,"N/A")</f>
        <v>0</v>
      </c>
      <c r="G51" t="str" s="640" cm="1">
        <f t="array" ref="G51">IF(B51&gt;0,'Direct Costs 2026'!$C$25,"N/A")</f>
        <v>N/A</v>
      </c>
      <c r="H51" t="str" s="640" cm="1">
        <f t="array" ref="H51">IF(B51&gt;0,('Direct Costs 2026'!$C$19+'Direct Costs 2026'!$C$18*B51),"N/A")</f>
        <v>N/A</v>
      </c>
      <c r="I51" t="str" s="640" cm="1">
        <f t="array" ref="I51">IF(B51&gt;0,SUM('Direct Costs 2026'!$C$20:$C$21),"N/A")</f>
        <v>N/A</v>
      </c>
      <c r="J51" t="str" s="640" cm="1">
        <f t="array" ref="J51">IF(B51&gt;0,'Direct Costs 2026'!$C$14,"N/A")</f>
        <v>N/A</v>
      </c>
      <c r="K51" t="str" s="640" cm="1">
        <f t="array" ref="K51">IF(B51&gt;0,'Direct Costs 2026'!$C$26,"N/A")</f>
        <v>N/A</v>
      </c>
      <c r="L51" t="str" s="640" cm="1">
        <f t="array" ref="L51">IF(B51&gt;0,SUM('Direct Costs 2026'!$C$23:$C$24),"N/A")</f>
        <v>N/A</v>
      </c>
      <c r="M51" t="str" s="640" cm="1">
        <f t="array" ref="M51">IF(B51&gt;0,'Direct Costs 2026'!$C$45*B51,"N/A")</f>
        <v>N/A</v>
      </c>
      <c r="N51" t="str" s="640" cm="1">
        <f t="array" ref="N51">IF($B51&gt;0,'Direct Costs 2026'!$C$29,"N/A")</f>
        <v>N/A</v>
      </c>
      <c r="O51" t="str" s="640" cm="1">
        <f t="array" ref="O51">IF($B51&gt;0,'Direct Costs 2026'!$C$31,"N/A")</f>
        <v>N/A</v>
      </c>
      <c r="P51" t="str" s="640" cm="1">
        <f t="array" ref="P51">IF(B51&gt;0,'Direct Costs 2026'!$C$59*B51,"N/A")</f>
        <v>N/A</v>
      </c>
      <c r="Q51" t="str" s="640" cm="1">
        <f t="array" ref="Q51">IF(B51&gt;0,_xlfn.IFERROR(VLOOKUP(C46,'Boats Data Sheet 2026'!$C$3:$I$57,7,0)*'Direct Costs 2026'!$C$36,"N/A"),"N/A")</f>
        <v>N/A</v>
      </c>
      <c r="R51" s="639"/>
      <c r="S51" t="str" s="640" cm="1">
        <f t="array" ref="S51">IF(B51&gt;0,IF(OR(VLOOKUP(C46,'Boats Data Sheet 2026'!$C$3:$F$57,4,0)="Own",VLOOKUP(C46,'Boats Data Sheet 2026'!$C$3:$F$57,4,0)="Management"),('Direct Costs 2026'!$C$37+'Direct Costs 2026'!$C$39),"N/A"),"N/A")</f>
        <v>N/A</v>
      </c>
      <c r="T51" t="str" s="640" cm="1">
        <f t="array" ref="T51">_xlfn.IFERROR(IF(B51&gt;5,IF(B51&gt;11,IF(B51&gt;15,4,3),2),IF(B51=0,"N/A",1))*SUM('Direct Costs 2026'!$C$67:$C$68),"N/A")</f>
        <v>N/A</v>
      </c>
      <c r="U51" t="str" s="640" cm="1">
        <f t="array" ref="U51">_xlfn.IFERROR('Direct Costs 2026'!$C$27*C51,"N/A")</f>
        <v>N/A</v>
      </c>
      <c r="V51" t="str" s="640" cm="1">
        <f t="array" ref="V51">_xlfn.IFERROR(C51+SUM(E51:U51),"N/A")</f>
        <v>N/A</v>
      </c>
      <c r="W51" s="424"/>
      <c r="X51" t="str" s="640" cm="1">
        <f t="array" ref="X51">IF(B51&gt;0,'Allocation OH and Target 2026'!$E$31,"N/A")</f>
        <v>N/A</v>
      </c>
      <c r="Y51" t="str" s="640" cm="1">
        <f t="array" ref="Y51">IF(B51&gt;0,VLOOKUP(C46,'Allocation OH and Target 2026'!$C$5:$T$23,16,0),"N/A")</f>
        <v>N/A</v>
      </c>
      <c r="Z51" t="str" s="640" cm="1">
        <f t="array" ref="Z51">_xlfn.IFERROR((X51+Y51),"N/A")</f>
        <v>N/A</v>
      </c>
      <c r="AA51" s="424"/>
      <c r="AB51" t="str" s="640" cm="1">
        <f t="array" ref="AB51">_xlfn.IFERROR(Z51+V51,"N/A")</f>
        <v>N/A</v>
      </c>
      <c r="AC51" t="str" s="640" cm="1">
        <f t="array" ref="AC51">_xlfn.IFERROR(AB51*0.5%,"N/A")</f>
        <v>N/A</v>
      </c>
      <c r="AD51" t="str" s="640" cm="1">
        <f t="array" ref="AD51">_xlfn.IFERROR(AB51*25%,"N/A")</f>
        <v>N/A</v>
      </c>
      <c r="AE51" t="str" s="648" cm="1">
        <f t="array" ref="AE51">IF(B51&gt;0,SUM(AB51:AD51),"N/A")</f>
        <v>N/A</v>
      </c>
      <c r="AF51" t="str" s="640" cm="1">
        <f t="array" ref="AF51">_xlfn.IFERROR(AE51/B51,"N/A")</f>
        <v>N/A</v>
      </c>
      <c r="AG51" s="424"/>
      <c r="AH51" t="str" s="648" cm="1">
        <f t="array" ref="AH51">IF(B51/VLOOKUP(C46,'Boats Data Sheet 2026'!$C$3:$H$57,6,0)&gt;VLOOKUP(C46,'Allocation OH and Target 2026'!$C$5:$J$23,8,0),IF(SUM(AI48:AI50)=0,AF51,"N/A"),"N/A")</f>
        <v>N/A</v>
      </c>
      <c r="AI51" s="424" cm="1">
        <f t="array" ref="AI51">IF(AH51="N/A",0,1)</f>
        <v>0</v>
      </c>
      <c r="AJ51" t="str" s="640" cm="1">
        <f t="array" ref="AJ51">IF(B51/VLOOKUP(C46,'Boats Data Sheet 2026'!$C$3:$H$57,6,0)&gt;VLOOKUP(C46,'Allocation OH and Target 2026'!$C$5:$J$23,8,0),IF(SUM(AI48:AI50)=0,V51/B51,"N/A"),"N/A")</f>
        <v>N/A</v>
      </c>
      <c r="AK51" s="424" cm="1">
        <f t="array" ref="AK51">IF(AJ51="N/A",0,1)</f>
        <v>0</v>
      </c>
      <c r="AL51" t="str" s="628" cm="1">
        <f t="array" ref="AL51">IF(SUM(1250000+700000)*B51&lt;SUM(AB51:AC51),"NO GO","GO")</f>
        <v>GO</v>
      </c>
      <c r="AM51" s="424"/>
      <c r="AN51" s="639"/>
      <c r="AO51" s="639"/>
      <c r="AP51" s="639"/>
      <c r="AQ51" s="645"/>
      <c r="AR51" s="601" cm="1">
        <f t="array" ref="AR51">B51</f>
        <v>0</v>
      </c>
    </row>
    <row r="52" ht="9" customHeight="1" hidden="1">
      <c r="A52" s="12"/>
      <c r="B52" s="646">
        <v>0</v>
      </c>
      <c r="C52" t="str" s="640" cm="1">
        <f t="array" ref="C52">IF(B52&gt;0,IF(VLOOKUP(C46,'Boats Data Sheet 2026'!$C$3:$J$57,8,0)="N/A",0,VLOOKUP(C46,'Boats Data Sheet 2026'!$C$3:$J$57,8,0)),"N/A")</f>
        <v>N/A</v>
      </c>
      <c r="D52" t="str" s="649" cm="1">
        <f t="array" ref="D52">IF(B52&gt;7,2,IF(B52=0,"N/A",1))</f>
        <v>N/A</v>
      </c>
      <c r="E52" t="str" s="640" cm="1">
        <f t="array" ref="E52">_xlfn.IFERROR(SUM('Direct Costs 2026'!$C$4:$C$6)*D52,"N/A")</f>
        <v>N/A</v>
      </c>
      <c r="F52" s="639" cm="1">
        <f t="array" ref="F52">_xlfn.IFERROR('Direct Costs 2026'!$C$43*B52,"N/A")</f>
        <v>0</v>
      </c>
      <c r="G52" t="str" s="640" cm="1">
        <f t="array" ref="G52">IF(B52&gt;0,'Direct Costs 2026'!$C$25,"N/A")</f>
        <v>N/A</v>
      </c>
      <c r="H52" t="str" s="640" cm="1">
        <f t="array" ref="H52">IF(B52&gt;0,('Direct Costs 2026'!$C$19+'Direct Costs 2026'!$C$18*B52),"N/A")</f>
        <v>N/A</v>
      </c>
      <c r="I52" t="str" s="640" cm="1">
        <f t="array" ref="I52">IF(B52&gt;0,SUM('Direct Costs 2026'!$C$20:$C$21),"N/A")</f>
        <v>N/A</v>
      </c>
      <c r="J52" t="str" s="640" cm="1">
        <f t="array" ref="J52">IF(B52&gt;0,'Direct Costs 2026'!$C$14,"N/A")</f>
        <v>N/A</v>
      </c>
      <c r="K52" t="str" s="640" cm="1">
        <f t="array" ref="K52">IF(B52&gt;0,'Direct Costs 2026'!$C$26,"N/A")</f>
        <v>N/A</v>
      </c>
      <c r="L52" t="str" s="640" cm="1">
        <f t="array" ref="L52">IF(B52&gt;0,SUM('Direct Costs 2026'!$C$23:$C$24),"N/A")</f>
        <v>N/A</v>
      </c>
      <c r="M52" t="str" s="640" cm="1">
        <f t="array" ref="M52">IF(B52&gt;0,'Direct Costs 2026'!$C$45*B52,"N/A")</f>
        <v>N/A</v>
      </c>
      <c r="N52" t="str" s="640" cm="1">
        <f t="array" ref="N52">IF($B52&gt;0,'Direct Costs 2026'!$C$29,"N/A")</f>
        <v>N/A</v>
      </c>
      <c r="O52" t="str" s="640" cm="1">
        <f t="array" ref="O52">IF($B52&gt;0,'Direct Costs 2026'!$C$31,"N/A")</f>
        <v>N/A</v>
      </c>
      <c r="P52" t="str" s="640" cm="1">
        <f t="array" ref="P52">IF(B52&gt;0,'Direct Costs 2026'!$C$59*B52,"N/A")</f>
        <v>N/A</v>
      </c>
      <c r="Q52" t="str" s="640" cm="1">
        <f t="array" ref="Q52">IF(B52&gt;0,_xlfn.IFERROR(VLOOKUP(C46,'Boats Data Sheet 2026'!$C$3:$I$57,7,0)*'Direct Costs 2026'!$C$36,"N/A"),"N/A")</f>
        <v>N/A</v>
      </c>
      <c r="R52" s="639"/>
      <c r="S52" t="str" s="640" cm="1">
        <f t="array" ref="S52">IF(B52&gt;0,IF(OR(VLOOKUP(C46,'Boats Data Sheet 2026'!$C$3:$F$57,4,0)="Own",VLOOKUP(C46,'Boats Data Sheet 2026'!$C$3:$F$57,4,0)="Management"),('Direct Costs 2026'!$C$37+'Direct Costs 2026'!$C$39),"N/A"),"N/A")</f>
        <v>N/A</v>
      </c>
      <c r="T52" t="str" s="640" cm="1">
        <f t="array" ref="T52">_xlfn.IFERROR(IF(B52&gt;5,IF(B52&gt;11,IF(B52&gt;15,4,3),2),IF(B52=0,"N/A",1))*SUM('Direct Costs 2026'!$C$67:$C$68),"N/A")</f>
        <v>N/A</v>
      </c>
      <c r="U52" t="str" s="640" cm="1">
        <f t="array" ref="U52">_xlfn.IFERROR('Direct Costs 2026'!$C$27*C52,"N/A")</f>
        <v>N/A</v>
      </c>
      <c r="V52" t="str" s="640" cm="1">
        <f t="array" ref="V52">_xlfn.IFERROR(C52+SUM(E52:U52),"N/A")</f>
        <v>N/A</v>
      </c>
      <c r="W52" s="424"/>
      <c r="X52" t="str" s="640" cm="1">
        <f t="array" ref="X52">IF(B52&gt;0,'Allocation OH and Target 2026'!$E$31,"N/A")</f>
        <v>N/A</v>
      </c>
      <c r="Y52" t="str" s="640" cm="1">
        <f t="array" ref="Y52">IF(B52&gt;0,VLOOKUP(C46,'Allocation OH and Target 2026'!$C$5:$T$23,16,0),"N/A")</f>
        <v>N/A</v>
      </c>
      <c r="Z52" t="str" s="640" cm="1">
        <f t="array" ref="Z52">_xlfn.IFERROR((X52+Y52),"N/A")</f>
        <v>N/A</v>
      </c>
      <c r="AA52" s="424"/>
      <c r="AB52" t="str" s="640" cm="1">
        <f t="array" ref="AB52">_xlfn.IFERROR(Z52+V52,"N/A")</f>
        <v>N/A</v>
      </c>
      <c r="AC52" t="str" s="640" cm="1">
        <f t="array" ref="AC52">_xlfn.IFERROR(AB52*0.5%,"N/A")</f>
        <v>N/A</v>
      </c>
      <c r="AD52" t="str" s="640" cm="1">
        <f t="array" ref="AD52">_xlfn.IFERROR(AB52*25%,"N/A")</f>
        <v>N/A</v>
      </c>
      <c r="AE52" t="str" s="648" cm="1">
        <f t="array" ref="AE52">IF(B52&gt;0,SUM(AB52:AD52),"N/A")</f>
        <v>N/A</v>
      </c>
      <c r="AF52" t="str" s="640" cm="1">
        <f t="array" ref="AF52">_xlfn.IFERROR(AE52/B52,"N/A")</f>
        <v>N/A</v>
      </c>
      <c r="AG52" s="424"/>
      <c r="AH52" t="str" s="648" cm="1">
        <f t="array" ref="AH52">IF(B52/VLOOKUP(C46,'Boats Data Sheet 2026'!$C$3:$H$57,6,0)&gt;VLOOKUP(C46,'Allocation OH and Target 2026'!$C$5:$J$23,8,0),IF(SUM(AI48:AI51)=0,AF52,"N/A"),"N/A")</f>
        <v>N/A</v>
      </c>
      <c r="AI52" s="424" cm="1">
        <f t="array" ref="AI52">IF(AH52="N/A",0,1)</f>
        <v>0</v>
      </c>
      <c r="AJ52" t="str" s="640" cm="1">
        <f t="array" ref="AJ52">IF(B52/VLOOKUP(C46,'Boats Data Sheet 2026'!$C$3:$H$57,6,0)&gt;VLOOKUP(C46,'Allocation OH and Target 2026'!$C$5:$J$23,8,0),IF(SUM(AI48:AI51)=0,V52/B52,"N/A"),"N/A")</f>
        <v>N/A</v>
      </c>
      <c r="AK52" s="424" cm="1">
        <f t="array" ref="AK52">IF(AJ52="N/A",0,1)</f>
        <v>0</v>
      </c>
      <c r="AL52" t="str" s="628" cm="1">
        <f t="array" ref="AL52">IF(SUM(1250000+700000)*B52&lt;SUM(AB52:AC52),"NO GO","GO")</f>
        <v>GO</v>
      </c>
      <c r="AM52" s="424"/>
      <c r="AN52" s="639"/>
      <c r="AO52" s="639"/>
      <c r="AP52" s="639"/>
      <c r="AQ52" s="645"/>
      <c r="AR52" s="601" cm="1">
        <f t="array" ref="AR52">B52</f>
        <v>0</v>
      </c>
    </row>
    <row r="53" ht="9" customHeight="1" hidden="1">
      <c r="A53" s="12"/>
      <c r="B53" s="646">
        <v>0</v>
      </c>
      <c r="C53" t="str" s="640" cm="1">
        <f t="array" ref="C53">IF(B53&gt;0,IF(VLOOKUP(C46,'Boats Data Sheet 2026'!$C$3:$J$57,8,0)="N/A",0,VLOOKUP(C46,'Boats Data Sheet 2026'!$C$3:$J$57,8,0)),"N/A")</f>
        <v>N/A</v>
      </c>
      <c r="D53" t="str" s="649" cm="1">
        <f t="array" ref="D53">IF(B53&gt;7,2,IF(B53=0,"N/A",1))</f>
        <v>N/A</v>
      </c>
      <c r="E53" t="str" s="640" cm="1">
        <f t="array" ref="E53">_xlfn.IFERROR(SUM('Direct Costs 2026'!$C$4:$C$6)*D53,"N/A")</f>
        <v>N/A</v>
      </c>
      <c r="F53" s="639" cm="1">
        <f t="array" ref="F53">_xlfn.IFERROR('Direct Costs 2026'!$C$43*B53,"N/A")</f>
        <v>0</v>
      </c>
      <c r="G53" t="str" s="640" cm="1">
        <f t="array" ref="G53">IF(B53&gt;0,'Direct Costs 2026'!$C$25,"N/A")</f>
        <v>N/A</v>
      </c>
      <c r="H53" t="str" s="640" cm="1">
        <f t="array" ref="H53">IF(B53&gt;0,('Direct Costs 2026'!$C$19+'Direct Costs 2026'!$C$18*B53),"N/A")</f>
        <v>N/A</v>
      </c>
      <c r="I53" t="str" s="640" cm="1">
        <f t="array" ref="I53">IF(B53&gt;0,SUM('Direct Costs 2026'!$C$20:$C$21),"N/A")</f>
        <v>N/A</v>
      </c>
      <c r="J53" t="str" s="640" cm="1">
        <f t="array" ref="J53">IF(B53&gt;0,'Direct Costs 2026'!$C$14,"N/A")</f>
        <v>N/A</v>
      </c>
      <c r="K53" t="str" s="640" cm="1">
        <f t="array" ref="K53">IF(B53&gt;0,'Direct Costs 2026'!$C$26,"N/A")</f>
        <v>N/A</v>
      </c>
      <c r="L53" t="str" s="640" cm="1">
        <f t="array" ref="L53">IF(B53&gt;0,SUM('Direct Costs 2026'!$C$23:$C$24),"N/A")</f>
        <v>N/A</v>
      </c>
      <c r="M53" t="str" s="640" cm="1">
        <f t="array" ref="M53">IF(B53&gt;0,'Direct Costs 2026'!$C$45*B53,"N/A")</f>
        <v>N/A</v>
      </c>
      <c r="N53" t="str" s="640" cm="1">
        <f t="array" ref="N53">IF($B53&gt;0,'Direct Costs 2026'!$C$29,"N/A")</f>
        <v>N/A</v>
      </c>
      <c r="O53" t="str" s="640" cm="1">
        <f t="array" ref="O53">IF($B53&gt;0,'Direct Costs 2026'!$C$31,"N/A")</f>
        <v>N/A</v>
      </c>
      <c r="P53" t="str" s="640" cm="1">
        <f t="array" ref="P53">IF(B53&gt;0,'Direct Costs 2026'!$C$59*B53,"N/A")</f>
        <v>N/A</v>
      </c>
      <c r="Q53" t="str" s="640" cm="1">
        <f t="array" ref="Q53">IF(B53&gt;0,_xlfn.IFERROR(VLOOKUP(C46,'Boats Data Sheet 2026'!$C$3:$I$57,7,0)*'Direct Costs 2026'!$C$36,"N/A"),"N/A")</f>
        <v>N/A</v>
      </c>
      <c r="R53" s="639"/>
      <c r="S53" t="str" s="640" cm="1">
        <f t="array" ref="S53">IF(B53&gt;0,IF(OR(VLOOKUP(C46,'Boats Data Sheet 2026'!$C$3:$F$57,4,0)="Own",VLOOKUP(C46,'Boats Data Sheet 2026'!$C$3:$F$57,4,0)="Management"),('Direct Costs 2026'!$C$37+'Direct Costs 2026'!$C$39),"N/A"),"N/A")</f>
        <v>N/A</v>
      </c>
      <c r="T53" t="str" s="640" cm="1">
        <f t="array" ref="T53">_xlfn.IFERROR(IF(B53&gt;5,IF(B53&gt;11,IF(B53&gt;15,4,3),2),IF(B53=0,"N/A",1))*SUM('Direct Costs 2026'!$C$67:$C$68),"N/A")</f>
        <v>N/A</v>
      </c>
      <c r="U53" t="str" s="640" cm="1">
        <f t="array" ref="U53">_xlfn.IFERROR('Direct Costs 2026'!$C$27*C53,"N/A")</f>
        <v>N/A</v>
      </c>
      <c r="V53" t="str" s="640" cm="1">
        <f t="array" ref="V53">_xlfn.IFERROR(C53+SUM(E53:U53),"N/A")</f>
        <v>N/A</v>
      </c>
      <c r="W53" s="424"/>
      <c r="X53" t="str" s="640" cm="1">
        <f t="array" ref="X53">IF(B53&gt;0,'Allocation OH and Target 2026'!$E$31,"N/A")</f>
        <v>N/A</v>
      </c>
      <c r="Y53" t="str" s="640" cm="1">
        <f t="array" ref="Y53">IF(B53&gt;0,VLOOKUP(C46,'Allocation OH and Target 2026'!$C$5:$T$23,16,0),"N/A")</f>
        <v>N/A</v>
      </c>
      <c r="Z53" t="str" s="640" cm="1">
        <f t="array" ref="Z53">_xlfn.IFERROR((X53+Y53),"N/A")</f>
        <v>N/A</v>
      </c>
      <c r="AA53" s="424"/>
      <c r="AB53" t="str" s="640" cm="1">
        <f t="array" ref="AB53">_xlfn.IFERROR(Z53+V53,"N/A")</f>
        <v>N/A</v>
      </c>
      <c r="AC53" t="str" s="640" cm="1">
        <f t="array" ref="AC53">_xlfn.IFERROR(AB53*0.5%,"N/A")</f>
        <v>N/A</v>
      </c>
      <c r="AD53" t="str" s="640" cm="1">
        <f t="array" ref="AD53">_xlfn.IFERROR(AB53*25%,"N/A")</f>
        <v>N/A</v>
      </c>
      <c r="AE53" t="str" s="648" cm="1">
        <f t="array" ref="AE53">IF(B53&gt;0,SUM(AB53:AD53),"N/A")</f>
        <v>N/A</v>
      </c>
      <c r="AF53" t="str" s="640" cm="1">
        <f t="array" ref="AF53">_xlfn.IFERROR(AE53/B53,"N/A")</f>
        <v>N/A</v>
      </c>
      <c r="AG53" s="424"/>
      <c r="AH53" t="str" s="648" cm="1">
        <f t="array" ref="AH53">IF(B53/VLOOKUP(C46,'Boats Data Sheet 2026'!$C$3:$H$57,6,0)&gt;VLOOKUP(C46,'Allocation OH and Target 2026'!$C$5:$J$23,8,0),IF(SUM(AI48:AI52)=0,AF53,"N/A"),"N/A")</f>
        <v>N/A</v>
      </c>
      <c r="AI53" s="424" cm="1">
        <f t="array" ref="AI53">IF(AH53="N/A",0,1)</f>
        <v>0</v>
      </c>
      <c r="AJ53" t="str" s="640" cm="1">
        <f t="array" ref="AJ53">IF(B53/VLOOKUP(C46,'Boats Data Sheet 2026'!$C$3:$H$57,6,0)&gt;VLOOKUP(C46,'Allocation OH and Target 2026'!$C$5:$J$23,8,0),IF(SUM(AI48:AI52)=0,V53/B53,"N/A"),"N/A")</f>
        <v>N/A</v>
      </c>
      <c r="AK53" s="424" cm="1">
        <f t="array" ref="AK53">IF(AJ53="N/A",0,1)</f>
        <v>0</v>
      </c>
      <c r="AL53" t="str" s="628" cm="1">
        <f t="array" ref="AL53">IF(SUM(1250000+700000)*B53&lt;SUM(AB53:AC53),"NO GO","GO")</f>
        <v>GO</v>
      </c>
      <c r="AM53" s="424"/>
      <c r="AN53" s="639"/>
      <c r="AO53" s="639"/>
      <c r="AP53" s="639"/>
      <c r="AQ53" s="645"/>
      <c r="AR53" s="601" cm="1">
        <f t="array" ref="AR53">B53</f>
        <v>0</v>
      </c>
    </row>
    <row r="54" ht="9" customHeight="1" hidden="1">
      <c r="A54" s="12"/>
      <c r="B54" s="646">
        <v>0</v>
      </c>
      <c r="C54" t="str" s="640" cm="1">
        <f t="array" ref="C54">IF(B54&gt;0,IF(VLOOKUP(C46,'Boats Data Sheet 2026'!$C$3:$J$57,8,0)="N/A",0,VLOOKUP(C46,'Boats Data Sheet 2026'!$C$3:$J$57,8,0)),"N/A")</f>
        <v>N/A</v>
      </c>
      <c r="D54" t="str" s="649" cm="1">
        <f t="array" ref="D54">IF(B54&gt;7,2,IF(B54=0,"N/A",1))</f>
        <v>N/A</v>
      </c>
      <c r="E54" t="str" s="640" cm="1">
        <f t="array" ref="E54">_xlfn.IFERROR(SUM('Direct Costs 2026'!$C$4:$C$6)*D54,"N/A")</f>
        <v>N/A</v>
      </c>
      <c r="F54" s="639" cm="1">
        <f t="array" ref="F54">_xlfn.IFERROR('Direct Costs 2026'!$C$43*B54,"N/A")</f>
        <v>0</v>
      </c>
      <c r="G54" t="str" s="640" cm="1">
        <f t="array" ref="G54">IF(B54&gt;0,'Direct Costs 2026'!$C$25,"N/A")</f>
        <v>N/A</v>
      </c>
      <c r="H54" t="str" s="640" cm="1">
        <f t="array" ref="H54">IF(B54&gt;0,('Direct Costs 2026'!$C$19+'Direct Costs 2026'!$C$18*B54),"N/A")</f>
        <v>N/A</v>
      </c>
      <c r="I54" t="str" s="640" cm="1">
        <f t="array" ref="I54">IF(B54&gt;0,SUM('Direct Costs 2026'!$C$20:$C$21),"N/A")</f>
        <v>N/A</v>
      </c>
      <c r="J54" t="str" s="640" cm="1">
        <f t="array" ref="J54">IF(B54&gt;0,'Direct Costs 2026'!$C$14,"N/A")</f>
        <v>N/A</v>
      </c>
      <c r="K54" t="str" s="640" cm="1">
        <f t="array" ref="K54">IF(B54&gt;0,'Direct Costs 2026'!$C$26,"N/A")</f>
        <v>N/A</v>
      </c>
      <c r="L54" t="str" s="640" cm="1">
        <f t="array" ref="L54">IF(B54&gt;0,SUM('Direct Costs 2026'!$C$23:$C$24),"N/A")</f>
        <v>N/A</v>
      </c>
      <c r="M54" t="str" s="640" cm="1">
        <f t="array" ref="M54">IF(B54&gt;0,'Direct Costs 2026'!$C$45*B54,"N/A")</f>
        <v>N/A</v>
      </c>
      <c r="N54" t="str" s="640" cm="1">
        <f t="array" ref="N54">IF($B54&gt;0,'Direct Costs 2026'!$C$29,"N/A")</f>
        <v>N/A</v>
      </c>
      <c r="O54" t="str" s="640" cm="1">
        <f t="array" ref="O54">IF($B54&gt;0,'Direct Costs 2026'!$C$31,"N/A")</f>
        <v>N/A</v>
      </c>
      <c r="P54" t="str" s="640" cm="1">
        <f t="array" ref="P54">IF(B54&gt;0,'Direct Costs 2026'!$C$59*B54,"N/A")</f>
        <v>N/A</v>
      </c>
      <c r="Q54" t="str" s="640" cm="1">
        <f t="array" ref="Q54">IF(B54&gt;0,_xlfn.IFERROR(VLOOKUP(C46,'Boats Data Sheet 2026'!$C$3:$I$57,7,0)*'Direct Costs 2026'!$C$36,"N/A"),"N/A")</f>
        <v>N/A</v>
      </c>
      <c r="R54" s="639"/>
      <c r="S54" t="str" s="640" cm="1">
        <f t="array" ref="S54">IF(B54&gt;0,IF(OR(VLOOKUP(C46,'Boats Data Sheet 2026'!$C$3:$F$57,4,0)="Own",VLOOKUP(C46,'Boats Data Sheet 2026'!$C$3:$F$57,4,0)="Management"),('Direct Costs 2026'!$C$37+'Direct Costs 2026'!$C$39),"N/A"),"N/A")</f>
        <v>N/A</v>
      </c>
      <c r="T54" t="str" s="640" cm="1">
        <f t="array" ref="T54">_xlfn.IFERROR(IF(B54&gt;5,IF(B54&gt;11,IF(B54&gt;15,4,3),2),IF(B54=0,"N/A",1))*SUM('Direct Costs 2026'!$C$67:$C$68),"N/A")</f>
        <v>N/A</v>
      </c>
      <c r="U54" t="str" s="640" cm="1">
        <f t="array" ref="U54">_xlfn.IFERROR('Direct Costs 2026'!$C$27*C54,"N/A")</f>
        <v>N/A</v>
      </c>
      <c r="V54" t="str" s="640" cm="1">
        <f t="array" ref="V54">_xlfn.IFERROR(C54+SUM(E54:U54),"N/A")</f>
        <v>N/A</v>
      </c>
      <c r="W54" s="424"/>
      <c r="X54" t="str" s="640" cm="1">
        <f t="array" ref="X54">IF(B54&gt;0,'Allocation OH and Target 2026'!$E$31,"N/A")</f>
        <v>N/A</v>
      </c>
      <c r="Y54" t="str" s="640" cm="1">
        <f t="array" ref="Y54">IF(B54&gt;0,VLOOKUP(C46,'Allocation OH and Target 2026'!$C$5:$T$23,16,0),"N/A")</f>
        <v>N/A</v>
      </c>
      <c r="Z54" t="str" s="640" cm="1">
        <f t="array" ref="Z54">_xlfn.IFERROR((X54+Y54),"N/A")</f>
        <v>N/A</v>
      </c>
      <c r="AA54" s="424"/>
      <c r="AB54" t="str" s="640" cm="1">
        <f t="array" ref="AB54">_xlfn.IFERROR(Z54+V54,"N/A")</f>
        <v>N/A</v>
      </c>
      <c r="AC54" t="str" s="640" cm="1">
        <f t="array" ref="AC54">_xlfn.IFERROR(AB54*0.5%,"N/A")</f>
        <v>N/A</v>
      </c>
      <c r="AD54" t="str" s="640" cm="1">
        <f t="array" ref="AD54">_xlfn.IFERROR(AB54*25%,"N/A")</f>
        <v>N/A</v>
      </c>
      <c r="AE54" t="str" s="648" cm="1">
        <f t="array" ref="AE54">IF(B54&gt;0,SUM(AB54:AD54),"N/A")</f>
        <v>N/A</v>
      </c>
      <c r="AF54" t="str" s="640" cm="1">
        <f t="array" ref="AF54">_xlfn.IFERROR(AE54/B54,"N/A")</f>
        <v>N/A</v>
      </c>
      <c r="AG54" s="424"/>
      <c r="AH54" t="str" s="648" cm="1">
        <f t="array" ref="AH54">IF(B54/VLOOKUP(C46,'Boats Data Sheet 2026'!$C$3:$H$57,6,0)&gt;VLOOKUP(C46,'Allocation OH and Target 2026'!$C$5:$J$23,8,0),IF(SUM(AI48:AI53)=0,AF54,"N/A"),"N/A")</f>
        <v>N/A</v>
      </c>
      <c r="AI54" s="424" cm="1">
        <f t="array" ref="AI54">IF(AH54="N/A",0,1)</f>
        <v>0</v>
      </c>
      <c r="AJ54" t="str" s="640" cm="1">
        <f t="array" ref="AJ54">IF(B54/VLOOKUP(C46,'Boats Data Sheet 2026'!$C$3:$H$57,6,0)&gt;VLOOKUP(C46,'Allocation OH and Target 2026'!$C$5:$J$23,8,0),IF(SUM(AI48:AI53)=0,V54/B54,"N/A"),"N/A")</f>
        <v>N/A</v>
      </c>
      <c r="AK54" s="424" cm="1">
        <f t="array" ref="AK54">IF(AJ54="N/A",0,1)</f>
        <v>0</v>
      </c>
      <c r="AL54" t="str" s="628" cm="1">
        <f t="array" ref="AL54">IF(SUM(1250000+700000)*B54&lt;SUM(AB54:AC54),"NO GO","GO")</f>
        <v>GO</v>
      </c>
      <c r="AM54" s="424"/>
      <c r="AN54" s="639"/>
      <c r="AO54" s="639"/>
      <c r="AP54" s="639"/>
      <c r="AQ54" s="645"/>
      <c r="AR54" s="601" cm="1">
        <f t="array" ref="AR54">B54</f>
        <v>0</v>
      </c>
    </row>
    <row r="55" ht="9" customHeight="1" hidden="1">
      <c r="A55" s="12"/>
      <c r="B55" s="646">
        <v>0</v>
      </c>
      <c r="C55" t="str" s="640" cm="1">
        <f t="array" ref="C55">IF(B55&gt;0,IF(VLOOKUP(C46,'Boats Data Sheet 2026'!$C$3:$J$57,8,0)="N/A",0,VLOOKUP(C46,'Boats Data Sheet 2026'!$C$3:$J$57,8,0)),"N/A")</f>
        <v>N/A</v>
      </c>
      <c r="D55" t="str" s="649" cm="1">
        <f t="array" ref="D55">IF(B55&gt;7,2,IF(B55=0,"N/A",1))</f>
        <v>N/A</v>
      </c>
      <c r="E55" t="str" s="640" cm="1">
        <f t="array" ref="E55">_xlfn.IFERROR(SUM('Direct Costs 2026'!$C$4:$C$6)*D55,"N/A")</f>
        <v>N/A</v>
      </c>
      <c r="F55" s="639" cm="1">
        <f t="array" ref="F55">_xlfn.IFERROR('Direct Costs 2026'!$C$43*B55,"N/A")</f>
        <v>0</v>
      </c>
      <c r="G55" t="str" s="640" cm="1">
        <f t="array" ref="G55">IF(B55&gt;0,'Direct Costs 2026'!$C$25,"N/A")</f>
        <v>N/A</v>
      </c>
      <c r="H55" t="str" s="640" cm="1">
        <f t="array" ref="H55">IF(B55&gt;0,('Direct Costs 2026'!$C$19+'Direct Costs 2026'!$C$18*B55),"N/A")</f>
        <v>N/A</v>
      </c>
      <c r="I55" t="str" s="640" cm="1">
        <f t="array" ref="I55">IF(B55&gt;0,SUM('Direct Costs 2026'!$C$20:$C$21),"N/A")</f>
        <v>N/A</v>
      </c>
      <c r="J55" t="str" s="640" cm="1">
        <f t="array" ref="J55">IF(B55&gt;0,'Direct Costs 2026'!$C$14,"N/A")</f>
        <v>N/A</v>
      </c>
      <c r="K55" t="str" s="640" cm="1">
        <f t="array" ref="K55">IF(B55&gt;0,'Direct Costs 2026'!$C$26,"N/A")</f>
        <v>N/A</v>
      </c>
      <c r="L55" t="str" s="640" cm="1">
        <f t="array" ref="L55">IF(B55&gt;0,SUM('Direct Costs 2026'!$C$23:$C$24),"N/A")</f>
        <v>N/A</v>
      </c>
      <c r="M55" t="str" s="640" cm="1">
        <f t="array" ref="M55">IF(B55&gt;0,'Direct Costs 2026'!$C$45*B55,"N/A")</f>
        <v>N/A</v>
      </c>
      <c r="N55" t="str" s="640" cm="1">
        <f t="array" ref="N55">IF($B55&gt;0,'Direct Costs 2026'!$C$29,"N/A")</f>
        <v>N/A</v>
      </c>
      <c r="O55" t="str" s="640" cm="1">
        <f t="array" ref="O55">IF($B55&gt;0,'Direct Costs 2026'!$C$31,"N/A")</f>
        <v>N/A</v>
      </c>
      <c r="P55" t="str" s="640" cm="1">
        <f t="array" ref="P55">IF(B55&gt;0,'Direct Costs 2026'!$C$59*B55,"N/A")</f>
        <v>N/A</v>
      </c>
      <c r="Q55" t="str" s="640" cm="1">
        <f t="array" ref="Q55">IF(B55&gt;0,_xlfn.IFERROR(VLOOKUP(C46,'Boats Data Sheet 2026'!$C$3:$I$57,7,0)*'Direct Costs 2026'!$C$36,"N/A"),"N/A")</f>
        <v>N/A</v>
      </c>
      <c r="R55" s="639"/>
      <c r="S55" t="str" s="640" cm="1">
        <f t="array" ref="S55">IF(B55&gt;0,IF(OR(VLOOKUP(C46,'Boats Data Sheet 2026'!$C$3:$F$57,4,0)="Own",VLOOKUP(C46,'Boats Data Sheet 2026'!$C$3:$F$57,4,0)="Management"),('Direct Costs 2026'!$C$37+'Direct Costs 2026'!$C$39),"N/A"),"N/A")</f>
        <v>N/A</v>
      </c>
      <c r="T55" t="str" s="640" cm="1">
        <f t="array" ref="T55">_xlfn.IFERROR(IF(B55&gt;5,IF(B55&gt;11,IF(B55&gt;15,4,3),2),IF(B55=0,"N/A",1))*SUM('Direct Costs 2026'!$C$67:$C$68),"N/A")</f>
        <v>N/A</v>
      </c>
      <c r="U55" t="str" s="640" cm="1">
        <f t="array" ref="U55">_xlfn.IFERROR('Direct Costs 2026'!$C$27*C55,"N/A")</f>
        <v>N/A</v>
      </c>
      <c r="V55" t="str" s="640" cm="1">
        <f t="array" ref="V55">_xlfn.IFERROR(C55+SUM(E55:U55),"N/A")</f>
        <v>N/A</v>
      </c>
      <c r="W55" s="424"/>
      <c r="X55" t="str" s="640" cm="1">
        <f t="array" ref="X55">IF(B55&gt;0,'Allocation OH and Target 2026'!$E$31,"N/A")</f>
        <v>N/A</v>
      </c>
      <c r="Y55" t="str" s="640" cm="1">
        <f t="array" ref="Y55">IF(B55&gt;0,VLOOKUP(C46,'Allocation OH and Target 2026'!$C$5:$T$23,16,0),"N/A")</f>
        <v>N/A</v>
      </c>
      <c r="Z55" t="str" s="640" cm="1">
        <f t="array" ref="Z55">_xlfn.IFERROR((X55+Y55),"N/A")</f>
        <v>N/A</v>
      </c>
      <c r="AA55" s="424"/>
      <c r="AB55" t="str" s="640" cm="1">
        <f t="array" ref="AB55">_xlfn.IFERROR(Z55+V55,"N/A")</f>
        <v>N/A</v>
      </c>
      <c r="AC55" t="str" s="640" cm="1">
        <f t="array" ref="AC55">_xlfn.IFERROR(AB55*0.5%,"N/A")</f>
        <v>N/A</v>
      </c>
      <c r="AD55" t="str" s="640" cm="1">
        <f t="array" ref="AD55">_xlfn.IFERROR(AB55*25%,"N/A")</f>
        <v>N/A</v>
      </c>
      <c r="AE55" t="str" s="648" cm="1">
        <f t="array" ref="AE55">IF(B55&gt;0,SUM(AB55:AD55),"N/A")</f>
        <v>N/A</v>
      </c>
      <c r="AF55" t="str" s="640" cm="1">
        <f t="array" ref="AF55">_xlfn.IFERROR(AE55/B55,"N/A")</f>
        <v>N/A</v>
      </c>
      <c r="AG55" s="424"/>
      <c r="AH55" t="str" s="648" cm="1">
        <f t="array" ref="AH55">IF(B55/VLOOKUP(C46,'Boats Data Sheet 2026'!$C$3:$H$57,6,0)&gt;VLOOKUP(C46,'Allocation OH and Target 2026'!$C$5:$J$23,8,0),IF(SUM(AI48:AI54)=0,AF55,"N/A"),"N/A")</f>
        <v>N/A</v>
      </c>
      <c r="AI55" s="424" cm="1">
        <f t="array" ref="AI55">IF(AH55="N/A",0,1)</f>
        <v>0</v>
      </c>
      <c r="AJ55" t="str" s="640" cm="1">
        <f t="array" ref="AJ55">IF(B55/VLOOKUP(C46,'Boats Data Sheet 2026'!$C$3:$H$57,6,0)&gt;VLOOKUP(C46,'Allocation OH and Target 2026'!$C$5:$J$23,8,0),IF(SUM(AI48:AI54)=0,V55/B55,"N/A"),"N/A")</f>
        <v>N/A</v>
      </c>
      <c r="AK55" s="424" cm="1">
        <f t="array" ref="AK55">IF(AJ55="N/A",0,1)</f>
        <v>0</v>
      </c>
      <c r="AL55" t="str" s="628" cm="1">
        <f t="array" ref="AL55">IF(SUM(1250000+700000)*B55&lt;SUM(AB55:AC55),"NO GO","GO")</f>
        <v>GO</v>
      </c>
      <c r="AM55" s="424"/>
      <c r="AN55" s="639"/>
      <c r="AO55" s="639"/>
      <c r="AP55" s="639"/>
      <c r="AQ55" s="645"/>
      <c r="AR55" s="601" cm="1">
        <f t="array" ref="AR55">B55</f>
        <v>0</v>
      </c>
    </row>
    <row r="56" ht="9" customHeight="1" hidden="1">
      <c r="A56" s="12"/>
      <c r="B56" s="646">
        <v>0</v>
      </c>
      <c r="C56" t="str" s="640" cm="1">
        <f t="array" ref="C56">IF(B56&gt;0,IF(VLOOKUP(C46,'Boats Data Sheet 2026'!$C$3:$J$57,8,0)="N/A",0,VLOOKUP(C46,'Boats Data Sheet 2026'!$C$3:$J$57,8,0)),"N/A")</f>
        <v>N/A</v>
      </c>
      <c r="D56" t="str" s="649" cm="1">
        <f t="array" ref="D56">IF(B56&gt;7,2,IF(B56=0,"N/A",1))</f>
        <v>N/A</v>
      </c>
      <c r="E56" t="str" s="640" cm="1">
        <f t="array" ref="E56">_xlfn.IFERROR(SUM('Direct Costs 2026'!$C$4:$C$6)*D56,"N/A")</f>
        <v>N/A</v>
      </c>
      <c r="F56" s="639" cm="1">
        <f t="array" ref="F56">_xlfn.IFERROR('Direct Costs 2026'!$C$43*B56,"N/A")</f>
        <v>0</v>
      </c>
      <c r="G56" t="str" s="640" cm="1">
        <f t="array" ref="G56">IF(B56&gt;0,'Direct Costs 2026'!$C$25,"N/A")</f>
        <v>N/A</v>
      </c>
      <c r="H56" t="str" s="640" cm="1">
        <f t="array" ref="H56">IF(B56&gt;0,('Direct Costs 2026'!$C$19+'Direct Costs 2026'!$C$18*B56),"N/A")</f>
        <v>N/A</v>
      </c>
      <c r="I56" t="str" s="640" cm="1">
        <f t="array" ref="I56">IF(B56&gt;0,SUM('Direct Costs 2026'!$C$20:$C$21),"N/A")</f>
        <v>N/A</v>
      </c>
      <c r="J56" t="str" s="640" cm="1">
        <f t="array" ref="J56">IF(B56&gt;0,'Direct Costs 2026'!$C$14,"N/A")</f>
        <v>N/A</v>
      </c>
      <c r="K56" t="str" s="640" cm="1">
        <f t="array" ref="K56">IF(B56&gt;0,'Direct Costs 2026'!$C$26,"N/A")</f>
        <v>N/A</v>
      </c>
      <c r="L56" t="str" s="640" cm="1">
        <f t="array" ref="L56">IF(B56&gt;0,SUM('Direct Costs 2026'!$C$23:$C$24),"N/A")</f>
        <v>N/A</v>
      </c>
      <c r="M56" t="str" s="640" cm="1">
        <f t="array" ref="M56">IF(B56&gt;0,'Direct Costs 2026'!$C$45*B56,"N/A")</f>
        <v>N/A</v>
      </c>
      <c r="N56" t="str" s="640" cm="1">
        <f t="array" ref="N56">IF($B56&gt;0,'Direct Costs 2026'!$C$29,"N/A")</f>
        <v>N/A</v>
      </c>
      <c r="O56" t="str" s="640" cm="1">
        <f t="array" ref="O56">IF($B56&gt;0,'Direct Costs 2026'!$C$31,"N/A")</f>
        <v>N/A</v>
      </c>
      <c r="P56" t="str" s="640" cm="1">
        <f t="array" ref="P56">IF(B56&gt;0,'Direct Costs 2026'!$C$59*B56,"N/A")</f>
        <v>N/A</v>
      </c>
      <c r="Q56" t="str" s="640" cm="1">
        <f t="array" ref="Q56">IF(B56&gt;0,_xlfn.IFERROR(VLOOKUP(C46,'Boats Data Sheet 2026'!$C$3:$I$57,7,0)*'Direct Costs 2026'!$C$36,"N/A"),"N/A")</f>
        <v>N/A</v>
      </c>
      <c r="R56" s="639"/>
      <c r="S56" t="str" s="640" cm="1">
        <f t="array" ref="S56">IF(B56&gt;0,IF(OR(VLOOKUP(C46,'Boats Data Sheet 2026'!$C$3:$F$57,4,0)="Own",VLOOKUP(C46,'Boats Data Sheet 2026'!$C$3:$F$57,4,0)="Management"),('Direct Costs 2026'!$C$37+'Direct Costs 2026'!$C$39),"N/A"),"N/A")</f>
        <v>N/A</v>
      </c>
      <c r="T56" t="str" s="640" cm="1">
        <f t="array" ref="T56">_xlfn.IFERROR(IF(B56&gt;5,IF(B56&gt;11,IF(B56&gt;15,4,3),2),IF(B56=0,"N/A",1))*SUM('Direct Costs 2026'!$C$67:$C$68),"N/A")</f>
        <v>N/A</v>
      </c>
      <c r="U56" t="str" s="640" cm="1">
        <f t="array" ref="U56">_xlfn.IFERROR('Direct Costs 2026'!$C$27*C56,"N/A")</f>
        <v>N/A</v>
      </c>
      <c r="V56" t="str" s="640" cm="1">
        <f t="array" ref="V56">_xlfn.IFERROR(C56+SUM(E56:U56),"N/A")</f>
        <v>N/A</v>
      </c>
      <c r="W56" s="424"/>
      <c r="X56" t="str" s="640" cm="1">
        <f t="array" ref="X56">IF(B56&gt;0,'Allocation OH and Target 2026'!$E$31,"N/A")</f>
        <v>N/A</v>
      </c>
      <c r="Y56" t="str" s="640" cm="1">
        <f t="array" ref="Y56">IF(B56&gt;0,VLOOKUP(C46,'Allocation OH and Target 2026'!$C$5:$T$23,16,0),"N/A")</f>
        <v>N/A</v>
      </c>
      <c r="Z56" t="str" s="640" cm="1">
        <f t="array" ref="Z56">_xlfn.IFERROR((X56+Y56),"N/A")</f>
        <v>N/A</v>
      </c>
      <c r="AA56" s="424"/>
      <c r="AB56" t="str" s="640" cm="1">
        <f t="array" ref="AB56">_xlfn.IFERROR(Z56+V56,"N/A")</f>
        <v>N/A</v>
      </c>
      <c r="AC56" t="str" s="640" cm="1">
        <f t="array" ref="AC56">_xlfn.IFERROR(AB56*0.5%,"N/A")</f>
        <v>N/A</v>
      </c>
      <c r="AD56" t="str" s="640" cm="1">
        <f t="array" ref="AD56">_xlfn.IFERROR(AB56*25%,"N/A")</f>
        <v>N/A</v>
      </c>
      <c r="AE56" t="str" s="648" cm="1">
        <f t="array" ref="AE56">IF(B56&gt;0,SUM(AB56:AD56),"N/A")</f>
        <v>N/A</v>
      </c>
      <c r="AF56" t="str" s="640" cm="1">
        <f t="array" ref="AF56">_xlfn.IFERROR(AE56/B56,"N/A")</f>
        <v>N/A</v>
      </c>
      <c r="AG56" s="424"/>
      <c r="AH56" t="str" s="648" cm="1">
        <f t="array" ref="AH56">IF(B56/VLOOKUP(C46,'Boats Data Sheet 2026'!$C$3:$H$57,6,0)&gt;VLOOKUP(C46,'Allocation OH and Target 2026'!$C$5:$J$23,8,0),IF(SUM(AI48:AI55)=0,AF56,"N/A"),"N/A")</f>
        <v>N/A</v>
      </c>
      <c r="AI56" s="424" cm="1">
        <f t="array" ref="AI56">IF(AH56="N/A",0,1)</f>
        <v>0</v>
      </c>
      <c r="AJ56" t="str" s="640" cm="1">
        <f t="array" ref="AJ56">IF(B56/VLOOKUP(C46,'Boats Data Sheet 2026'!$C$3:$H$57,6,0)&gt;VLOOKUP(C46,'Allocation OH and Target 2026'!$C$5:$J$23,8,0),IF(SUM(AI48:AI55)=0,V56/B56,"N/A"),"N/A")</f>
        <v>N/A</v>
      </c>
      <c r="AK56" s="424" cm="1">
        <f t="array" ref="AK56">IF(AJ56="N/A",0,1)</f>
        <v>0</v>
      </c>
      <c r="AL56" t="str" s="628" cm="1">
        <f t="array" ref="AL56">IF(SUM(1250000+700000)*B56&lt;SUM(AB56:AC56),"NO GO","GO")</f>
        <v>GO</v>
      </c>
      <c r="AM56" s="424"/>
      <c r="AN56" s="639"/>
      <c r="AO56" s="639"/>
      <c r="AP56" s="639"/>
      <c r="AQ56" s="645"/>
      <c r="AR56" s="601" cm="1">
        <f t="array" ref="AR56">B56</f>
        <v>0</v>
      </c>
    </row>
    <row r="57" ht="9" customHeight="1" hidden="1">
      <c r="A57" s="12"/>
      <c r="B57" s="646">
        <v>0</v>
      </c>
      <c r="C57" t="str" s="640" cm="1">
        <f t="array" ref="C57">IF(B57&gt;0,IF(VLOOKUP(C46,'Boats Data Sheet 2026'!$C$3:$J$57,8,0)="N/A",0,VLOOKUP(C46,'Boats Data Sheet 2026'!$C$3:$J$57,8,0)),"N/A")</f>
        <v>N/A</v>
      </c>
      <c r="D57" t="str" s="649" cm="1">
        <f t="array" ref="D57">IF(B57&gt;7,2,IF(B57=0,"N/A",1))</f>
        <v>N/A</v>
      </c>
      <c r="E57" t="str" s="640" cm="1">
        <f t="array" ref="E57">_xlfn.IFERROR(SUM('Direct Costs 2026'!$C$4:$C$6)*D57,"N/A")</f>
        <v>N/A</v>
      </c>
      <c r="F57" s="639" cm="1">
        <f t="array" ref="F57">_xlfn.IFERROR('Direct Costs 2026'!$C$43*B57,"N/A")</f>
        <v>0</v>
      </c>
      <c r="G57" t="str" s="640" cm="1">
        <f t="array" ref="G57">IF(B57&gt;0,'Direct Costs 2026'!$C$25,"N/A")</f>
        <v>N/A</v>
      </c>
      <c r="H57" t="str" s="640" cm="1">
        <f t="array" ref="H57">IF(B57&gt;0,('Direct Costs 2026'!$C$19+'Direct Costs 2026'!$C$18*B57),"N/A")</f>
        <v>N/A</v>
      </c>
      <c r="I57" t="str" s="640" cm="1">
        <f t="array" ref="I57">IF(B57&gt;0,SUM('Direct Costs 2026'!$C$20:$C$21),"N/A")</f>
        <v>N/A</v>
      </c>
      <c r="J57" t="str" s="640" cm="1">
        <f t="array" ref="J57">IF(B57&gt;0,'Direct Costs 2026'!$C$14,"N/A")</f>
        <v>N/A</v>
      </c>
      <c r="K57" t="str" s="640" cm="1">
        <f t="array" ref="K57">IF(B57&gt;0,'Direct Costs 2026'!$C$26,"N/A")</f>
        <v>N/A</v>
      </c>
      <c r="L57" t="str" s="640" cm="1">
        <f t="array" ref="L57">IF(B57&gt;0,SUM('Direct Costs 2026'!$C$23:$C$24),"N/A")</f>
        <v>N/A</v>
      </c>
      <c r="M57" t="str" s="640" cm="1">
        <f t="array" ref="M57">IF(B57&gt;0,'Direct Costs 2026'!$C$45*B57,"N/A")</f>
        <v>N/A</v>
      </c>
      <c r="N57" t="str" s="640" cm="1">
        <f t="array" ref="N57">IF($B57&gt;0,'Direct Costs 2026'!$C$29,"N/A")</f>
        <v>N/A</v>
      </c>
      <c r="O57" t="str" s="640" cm="1">
        <f t="array" ref="O57">IF($B57&gt;0,'Direct Costs 2026'!$C$31,"N/A")</f>
        <v>N/A</v>
      </c>
      <c r="P57" t="str" s="640" cm="1">
        <f t="array" ref="P57">IF(B57&gt;0,'Direct Costs 2026'!$C$59*B57,"N/A")</f>
        <v>N/A</v>
      </c>
      <c r="Q57" t="str" s="640" cm="1">
        <f t="array" ref="Q57">IF(B57&gt;0,_xlfn.IFERROR(VLOOKUP(C46,'Boats Data Sheet 2026'!$C$3:$I$57,7,0)*'Direct Costs 2026'!$C$36,"N/A"),"N/A")</f>
        <v>N/A</v>
      </c>
      <c r="R57" s="639"/>
      <c r="S57" t="str" s="640" cm="1">
        <f t="array" ref="S57">IF(B57&gt;0,IF(OR(VLOOKUP(C46,'Boats Data Sheet 2026'!$C$3:$F$57,4,0)="Own",VLOOKUP(C46,'Boats Data Sheet 2026'!$C$3:$F$57,4,0)="Management"),('Direct Costs 2026'!$C$37+'Direct Costs 2026'!$C$39),"N/A"),"N/A")</f>
        <v>N/A</v>
      </c>
      <c r="T57" t="str" s="640" cm="1">
        <f t="array" ref="T57">_xlfn.IFERROR(IF(B57&gt;5,IF(B57&gt;11,IF(B57&gt;15,4,3),2),IF(B57=0,"N/A",1))*SUM('Direct Costs 2026'!$C$67:$C$68),"N/A")</f>
        <v>N/A</v>
      </c>
      <c r="U57" t="str" s="640" cm="1">
        <f t="array" ref="U57">_xlfn.IFERROR('Direct Costs 2026'!$C$27*C57,"N/A")</f>
        <v>N/A</v>
      </c>
      <c r="V57" t="str" s="640" cm="1">
        <f t="array" ref="V57">_xlfn.IFERROR(C57+SUM(E57:U57),"N/A")</f>
        <v>N/A</v>
      </c>
      <c r="W57" s="424"/>
      <c r="X57" t="str" s="640" cm="1">
        <f t="array" ref="X57">IF(B57&gt;0,'Allocation OH and Target 2026'!$E$31,"N/A")</f>
        <v>N/A</v>
      </c>
      <c r="Y57" t="str" s="640" cm="1">
        <f t="array" ref="Y57">IF(B57&gt;0,VLOOKUP(C46,'Allocation OH and Target 2026'!$C$5:$T$23,16,0),"N/A")</f>
        <v>N/A</v>
      </c>
      <c r="Z57" t="str" s="640" cm="1">
        <f t="array" ref="Z57">_xlfn.IFERROR((X57+Y57),"N/A")</f>
        <v>N/A</v>
      </c>
      <c r="AA57" s="424"/>
      <c r="AB57" t="str" s="640" cm="1">
        <f t="array" ref="AB57">_xlfn.IFERROR(Z57+V57,"N/A")</f>
        <v>N/A</v>
      </c>
      <c r="AC57" t="str" s="640" cm="1">
        <f t="array" ref="AC57">_xlfn.IFERROR(AB57*0.5%,"N/A")</f>
        <v>N/A</v>
      </c>
      <c r="AD57" t="str" s="640" cm="1">
        <f t="array" ref="AD57">_xlfn.IFERROR(AB57*25%,"N/A")</f>
        <v>N/A</v>
      </c>
      <c r="AE57" t="str" s="648" cm="1">
        <f t="array" ref="AE57">IF(B57&gt;0,SUM(AB57:AD57),"N/A")</f>
        <v>N/A</v>
      </c>
      <c r="AF57" t="str" s="640" cm="1">
        <f t="array" ref="AF57">_xlfn.IFERROR(AE57/B57,"N/A")</f>
        <v>N/A</v>
      </c>
      <c r="AG57" s="424"/>
      <c r="AH57" t="str" s="648" cm="1">
        <f t="array" ref="AH57">IF(B57/VLOOKUP(C46,'Boats Data Sheet 2026'!$C$3:$H$57,6,0)&gt;VLOOKUP(C46,'Allocation OH and Target 2026'!$C$5:$J$23,8,0),IF(SUM(AI48:AI56)=0,AF57,"N/A"),"N/A")</f>
        <v>N/A</v>
      </c>
      <c r="AI57" s="424" cm="1">
        <f t="array" ref="AI57">IF(AH57="N/A",0,1)</f>
        <v>0</v>
      </c>
      <c r="AJ57" t="str" s="640" cm="1">
        <f t="array" ref="AJ57">IF(B57/VLOOKUP(C46,'Boats Data Sheet 2026'!$C$3:$H$57,6,0)&gt;VLOOKUP(C46,'Allocation OH and Target 2026'!$C$5:$J$23,8,0),IF(SUM(AI48:AI56)=0,V57/B57,"N/A"),"N/A")</f>
        <v>N/A</v>
      </c>
      <c r="AK57" s="424" cm="1">
        <f t="array" ref="AK57">IF(AJ57="N/A",0,1)</f>
        <v>0</v>
      </c>
      <c r="AL57" t="str" s="628" cm="1">
        <f t="array" ref="AL57">IF(SUM(1250000+700000)*B57&lt;SUM(AB57:AC57),"NO GO","GO")</f>
        <v>GO</v>
      </c>
      <c r="AM57" s="424"/>
      <c r="AN57" s="639"/>
      <c r="AO57" s="639"/>
      <c r="AP57" s="639"/>
      <c r="AQ57" s="645"/>
      <c r="AR57" s="601" cm="1">
        <f t="array" ref="AR57">B57</f>
        <v>0</v>
      </c>
    </row>
    <row r="58" ht="9" customHeight="1" hidden="1">
      <c r="A58" s="12"/>
      <c r="B58" s="646">
        <v>0</v>
      </c>
      <c r="C58" t="str" s="640" cm="1">
        <f t="array" ref="C58">IF(B58&gt;0,IF(VLOOKUP(C46,'Boats Data Sheet 2026'!$C$3:$J$57,8,0)="N/A",0,VLOOKUP(C46,'Boats Data Sheet 2026'!$C$3:$J$57,8,0)),"N/A")</f>
        <v>N/A</v>
      </c>
      <c r="D58" t="str" s="649" cm="1">
        <f t="array" ref="D58">IF(B58&gt;7,2,IF(B58=0,"N/A",1))</f>
        <v>N/A</v>
      </c>
      <c r="E58" t="str" s="640" cm="1">
        <f t="array" ref="E58">_xlfn.IFERROR(SUM('Direct Costs 2026'!$C$4:$C$6)*D58,"N/A")</f>
        <v>N/A</v>
      </c>
      <c r="F58" s="639" cm="1">
        <f t="array" ref="F58">_xlfn.IFERROR('Direct Costs 2026'!$C$43*B58,"N/A")</f>
        <v>0</v>
      </c>
      <c r="G58" t="str" s="640" cm="1">
        <f t="array" ref="G58">IF(B58&gt;0,'Direct Costs 2026'!$C$25,"N/A")</f>
        <v>N/A</v>
      </c>
      <c r="H58" t="str" s="640" cm="1">
        <f t="array" ref="H58">IF(B58&gt;0,('Direct Costs 2026'!$C$19+'Direct Costs 2026'!$C$18*B58),"N/A")</f>
        <v>N/A</v>
      </c>
      <c r="I58" t="str" s="640" cm="1">
        <f t="array" ref="I58">IF(B58&gt;0,SUM('Direct Costs 2026'!$C$20:$C$21),"N/A")</f>
        <v>N/A</v>
      </c>
      <c r="J58" t="str" s="640" cm="1">
        <f t="array" ref="J58">IF(B58&gt;0,'Direct Costs 2026'!$C$14,"N/A")</f>
        <v>N/A</v>
      </c>
      <c r="K58" t="str" s="640" cm="1">
        <f t="array" ref="K58">IF(B58&gt;0,'Direct Costs 2026'!$C$26,"N/A")</f>
        <v>N/A</v>
      </c>
      <c r="L58" t="str" s="640" cm="1">
        <f t="array" ref="L58">IF(B58&gt;0,SUM('Direct Costs 2026'!$C$23:$C$24),"N/A")</f>
        <v>N/A</v>
      </c>
      <c r="M58" t="str" s="640" cm="1">
        <f t="array" ref="M58">IF(B58&gt;0,'Direct Costs 2026'!$C$45*B58,"N/A")</f>
        <v>N/A</v>
      </c>
      <c r="N58" t="str" s="640" cm="1">
        <f t="array" ref="N58">IF($B58&gt;0,'Direct Costs 2026'!$C$29,"N/A")</f>
        <v>N/A</v>
      </c>
      <c r="O58" t="str" s="640" cm="1">
        <f t="array" ref="O58">IF($B58&gt;0,'Direct Costs 2026'!$C$31,"N/A")</f>
        <v>N/A</v>
      </c>
      <c r="P58" t="str" s="640" cm="1">
        <f t="array" ref="P58">IF(B58&gt;0,'Direct Costs 2026'!$C$59*B58,"N/A")</f>
        <v>N/A</v>
      </c>
      <c r="Q58" t="str" s="640" cm="1">
        <f t="array" ref="Q58">IF(B58&gt;0,_xlfn.IFERROR(VLOOKUP(C46,'Boats Data Sheet 2026'!$C$3:$I$57,7,0)*'Direct Costs 2026'!$C$36,"N/A"),"N/A")</f>
        <v>N/A</v>
      </c>
      <c r="R58" s="639"/>
      <c r="S58" t="str" s="640" cm="1">
        <f t="array" ref="S58">IF(B58&gt;0,IF(OR(VLOOKUP(C46,'Boats Data Sheet 2026'!$C$3:$F$57,4,0)="Own",VLOOKUP(C46,'Boats Data Sheet 2026'!$C$3:$F$57,4,0)="Management"),('Direct Costs 2026'!$C$37+'Direct Costs 2026'!$C$39),"N/A"),"N/A")</f>
        <v>N/A</v>
      </c>
      <c r="T58" t="str" s="640" cm="1">
        <f t="array" ref="T58">_xlfn.IFERROR(IF(B58&gt;5,IF(B58&gt;11,IF(B58&gt;15,4,3),2),IF(B58=0,"N/A",1))*SUM('Direct Costs 2026'!$C$67:$C$68),"N/A")</f>
        <v>N/A</v>
      </c>
      <c r="U58" t="str" s="640" cm="1">
        <f t="array" ref="U58">_xlfn.IFERROR('Direct Costs 2026'!$C$27*C58,"N/A")</f>
        <v>N/A</v>
      </c>
      <c r="V58" t="str" s="640" cm="1">
        <f t="array" ref="V58">_xlfn.IFERROR(C58+SUM(E58:U58),"N/A")</f>
        <v>N/A</v>
      </c>
      <c r="W58" s="424"/>
      <c r="X58" t="str" s="640" cm="1">
        <f t="array" ref="X58">IF(B58&gt;0,'Allocation OH and Target 2026'!$E$31,"N/A")</f>
        <v>N/A</v>
      </c>
      <c r="Y58" t="str" s="640" cm="1">
        <f t="array" ref="Y58">IF(B58&gt;0,VLOOKUP(C46,'Allocation OH and Target 2026'!$C$5:$T$23,16,0),"N/A")</f>
        <v>N/A</v>
      </c>
      <c r="Z58" t="str" s="640" cm="1">
        <f t="array" ref="Z58">_xlfn.IFERROR((X58+Y58),"N/A")</f>
        <v>N/A</v>
      </c>
      <c r="AA58" s="424"/>
      <c r="AB58" t="str" s="640" cm="1">
        <f t="array" ref="AB58">_xlfn.IFERROR(Z58+V58,"N/A")</f>
        <v>N/A</v>
      </c>
      <c r="AC58" t="str" s="640" cm="1">
        <f t="array" ref="AC58">_xlfn.IFERROR(AB58*0.5%,"N/A")</f>
        <v>N/A</v>
      </c>
      <c r="AD58" t="str" s="640" cm="1">
        <f t="array" ref="AD58">_xlfn.IFERROR(AB58*25%,"N/A")</f>
        <v>N/A</v>
      </c>
      <c r="AE58" t="str" s="648" cm="1">
        <f t="array" ref="AE58">IF(B58&gt;0,SUM(AB58:AD58),"N/A")</f>
        <v>N/A</v>
      </c>
      <c r="AF58" t="str" s="640" cm="1">
        <f t="array" ref="AF58">_xlfn.IFERROR(AE58/B58,"N/A")</f>
        <v>N/A</v>
      </c>
      <c r="AG58" s="424"/>
      <c r="AH58" t="str" s="648" cm="1">
        <f t="array" ref="AH58">IF(B58/VLOOKUP(C46,'Boats Data Sheet 2026'!$C$3:$H$57,6,0)&gt;VLOOKUP(C46,'Allocation OH and Target 2026'!$C$5:$J$23,8,0),IF(SUM(AI48:AI57)=0,AF58,"N/A"),"N/A")</f>
        <v>N/A</v>
      </c>
      <c r="AI58" s="424" cm="1">
        <f t="array" ref="AI58">IF(AH58="N/A",0,1)</f>
        <v>0</v>
      </c>
      <c r="AJ58" t="str" s="640" cm="1">
        <f t="array" ref="AJ58">IF(B58/VLOOKUP(C46,'Boats Data Sheet 2026'!$C$3:$H$57,6,0)&gt;VLOOKUP(C46,'Allocation OH and Target 2026'!$C$5:$J$23,8,0),IF(SUM(AI48:AI57)=0,V58/B58,"N/A"),"N/A")</f>
        <v>N/A</v>
      </c>
      <c r="AK58" s="424" cm="1">
        <f t="array" ref="AK58">IF(AJ58="N/A",0,1)</f>
        <v>0</v>
      </c>
      <c r="AL58" t="str" s="628" cm="1">
        <f t="array" ref="AL58">IF(SUM(1250000+700000)*B58&lt;SUM(AB58:AC58),"NO GO","GO")</f>
        <v>GO</v>
      </c>
      <c r="AM58" s="424"/>
      <c r="AN58" s="639"/>
      <c r="AO58" s="639"/>
      <c r="AP58" s="639"/>
      <c r="AQ58" s="645"/>
      <c r="AR58" s="601" cm="1">
        <f t="array" ref="AR58">B58</f>
        <v>0</v>
      </c>
    </row>
    <row r="59" ht="9" customHeight="1" hidden="1">
      <c r="A59" s="12"/>
      <c r="B59" s="646">
        <v>0</v>
      </c>
      <c r="C59" t="str" s="640" cm="1">
        <f t="array" ref="C59">IF(B59&gt;0,IF(VLOOKUP(C46,'Boats Data Sheet 2026'!$C$3:$J$57,8,0)="N/A",0,VLOOKUP(C46,'Boats Data Sheet 2026'!$C$3:$J$57,8,0)),"N/A")</f>
        <v>N/A</v>
      </c>
      <c r="D59" t="str" s="649" cm="1">
        <f t="array" ref="D59">IF(B59&gt;7,2,IF(B59=0,"N/A",1))</f>
        <v>N/A</v>
      </c>
      <c r="E59" t="str" s="640" cm="1">
        <f t="array" ref="E59">_xlfn.IFERROR(SUM('Direct Costs 2026'!$C$4:$C$6)*D59,"N/A")</f>
        <v>N/A</v>
      </c>
      <c r="F59" s="639" cm="1">
        <f t="array" ref="F59">_xlfn.IFERROR('Direct Costs 2026'!$C$43*B59,"N/A")</f>
        <v>0</v>
      </c>
      <c r="G59" t="str" s="640" cm="1">
        <f t="array" ref="G59">IF(B59&gt;0,'Direct Costs 2026'!$C$25,"N/A")</f>
        <v>N/A</v>
      </c>
      <c r="H59" t="str" s="640" cm="1">
        <f t="array" ref="H59">IF(B59&gt;0,('Direct Costs 2026'!$C$19+'Direct Costs 2026'!$C$18*B59),"N/A")</f>
        <v>N/A</v>
      </c>
      <c r="I59" t="str" s="640" cm="1">
        <f t="array" ref="I59">IF(B59&gt;0,SUM('Direct Costs 2026'!$C$20:$C$21),"N/A")</f>
        <v>N/A</v>
      </c>
      <c r="J59" t="str" s="640" cm="1">
        <f t="array" ref="J59">IF(B59&gt;0,'Direct Costs 2026'!$C$14,"N/A")</f>
        <v>N/A</v>
      </c>
      <c r="K59" t="str" s="640" cm="1">
        <f t="array" ref="K59">IF(B59&gt;0,'Direct Costs 2026'!$C$26,"N/A")</f>
        <v>N/A</v>
      </c>
      <c r="L59" t="str" s="640" cm="1">
        <f t="array" ref="L59">IF(B59&gt;0,SUM('Direct Costs 2026'!$C$23:$C$24),"N/A")</f>
        <v>N/A</v>
      </c>
      <c r="M59" t="str" s="640" cm="1">
        <f t="array" ref="M59">IF(B59&gt;0,'Direct Costs 2026'!$C$45*B59,"N/A")</f>
        <v>N/A</v>
      </c>
      <c r="N59" t="str" s="640" cm="1">
        <f t="array" ref="N59">IF($B59&gt;0,'Direct Costs 2026'!$C$29,"N/A")</f>
        <v>N/A</v>
      </c>
      <c r="O59" t="str" s="640" cm="1">
        <f t="array" ref="O59">IF($B59&gt;0,'Direct Costs 2026'!$C$31,"N/A")</f>
        <v>N/A</v>
      </c>
      <c r="P59" t="str" s="640" cm="1">
        <f t="array" ref="P59">IF(B59&gt;0,'Direct Costs 2026'!$C$59*B59,"N/A")</f>
        <v>N/A</v>
      </c>
      <c r="Q59" t="str" s="640" cm="1">
        <f t="array" ref="Q59">IF(B59&gt;0,_xlfn.IFERROR(VLOOKUP(C46,'Boats Data Sheet 2026'!$C$3:$I$57,7,0)*'Direct Costs 2026'!$C$36,"N/A"),"N/A")</f>
        <v>N/A</v>
      </c>
      <c r="R59" s="639"/>
      <c r="S59" t="str" s="640" cm="1">
        <f t="array" ref="S59">IF(B59&gt;0,IF(OR(VLOOKUP(C46,'Boats Data Sheet 2026'!$C$3:$F$57,4,0)="Own",VLOOKUP(C46,'Boats Data Sheet 2026'!$C$3:$F$57,4,0)="Management"),('Direct Costs 2026'!$C$37+'Direct Costs 2026'!$C$39),"N/A"),"N/A")</f>
        <v>N/A</v>
      </c>
      <c r="T59" t="str" s="640" cm="1">
        <f t="array" ref="T59">_xlfn.IFERROR(IF(B59&gt;5,IF(B59&gt;11,IF(B59&gt;15,4,3),2),IF(B59=0,"N/A",1))*SUM('Direct Costs 2026'!$C$67:$C$68),"N/A")</f>
        <v>N/A</v>
      </c>
      <c r="U59" t="str" s="640" cm="1">
        <f t="array" ref="U59">_xlfn.IFERROR('Direct Costs 2026'!$C$27*C59,"N/A")</f>
        <v>N/A</v>
      </c>
      <c r="V59" t="str" s="640" cm="1">
        <f t="array" ref="V59">_xlfn.IFERROR(C59+SUM(E59:U59),"N/A")</f>
        <v>N/A</v>
      </c>
      <c r="W59" s="424"/>
      <c r="X59" t="str" s="640" cm="1">
        <f t="array" ref="X59">IF(B59&gt;0,'Allocation OH and Target 2026'!$E$31,"N/A")</f>
        <v>N/A</v>
      </c>
      <c r="Y59" t="str" s="640" cm="1">
        <f t="array" ref="Y59">IF(B59&gt;0,VLOOKUP(C46,'Allocation OH and Target 2026'!$C$5:$T$23,16,0),"N/A")</f>
        <v>N/A</v>
      </c>
      <c r="Z59" t="str" s="640" cm="1">
        <f t="array" ref="Z59">_xlfn.IFERROR((X59+Y59),"N/A")</f>
        <v>N/A</v>
      </c>
      <c r="AA59" s="424"/>
      <c r="AB59" t="str" s="640" cm="1">
        <f t="array" ref="AB59">_xlfn.IFERROR(Z59+V59,"N/A")</f>
        <v>N/A</v>
      </c>
      <c r="AC59" t="str" s="640" cm="1">
        <f t="array" ref="AC59">_xlfn.IFERROR(AB59*0.5%,"N/A")</f>
        <v>N/A</v>
      </c>
      <c r="AD59" t="str" s="640" cm="1">
        <f t="array" ref="AD59">_xlfn.IFERROR(AB59*25%,"N/A")</f>
        <v>N/A</v>
      </c>
      <c r="AE59" t="str" s="648" cm="1">
        <f t="array" ref="AE59">IF(B59&gt;0,SUM(AB59:AD59),"N/A")</f>
        <v>N/A</v>
      </c>
      <c r="AF59" t="str" s="640" cm="1">
        <f t="array" ref="AF59">_xlfn.IFERROR(AE59/B59,"N/A")</f>
        <v>N/A</v>
      </c>
      <c r="AG59" s="424"/>
      <c r="AH59" t="str" s="648" cm="1">
        <f t="array" ref="AH59">IF(B59/VLOOKUP(C46,'Boats Data Sheet 2026'!$C$3:$H$57,6,0)&gt;VLOOKUP(C46,'Allocation OH and Target 2026'!$C$5:$J$23,8,0),IF(SUM(AI48:AI58)=0,AF59,"N/A"),"N/A")</f>
        <v>N/A</v>
      </c>
      <c r="AI59" s="424" cm="1">
        <f t="array" ref="AI59">IF(AH59="N/A",0,1)</f>
        <v>0</v>
      </c>
      <c r="AJ59" t="str" s="640" cm="1">
        <f t="array" ref="AJ59">IF(B59/VLOOKUP(C46,'Boats Data Sheet 2026'!$C$3:$H$57,6,0)&gt;VLOOKUP(C46,'Allocation OH and Target 2026'!$C$5:$J$23,8,0),IF(SUM(AI48:AI58)=0,V59/B59,"N/A"),"N/A")</f>
        <v>N/A</v>
      </c>
      <c r="AK59" s="424" cm="1">
        <f t="array" ref="AK59">IF(AJ59="N/A",0,1)</f>
        <v>0</v>
      </c>
      <c r="AL59" t="str" s="628" cm="1">
        <f t="array" ref="AL59">IF(SUM(1250000+700000)*B59&lt;SUM(AB59:AC59),"NO GO","GO")</f>
        <v>GO</v>
      </c>
      <c r="AM59" s="424"/>
      <c r="AN59" s="639"/>
      <c r="AO59" s="639"/>
      <c r="AP59" s="639"/>
      <c r="AQ59" s="645"/>
      <c r="AR59" s="601" cm="1">
        <f t="array" ref="AR59">B59</f>
        <v>0</v>
      </c>
    </row>
    <row r="60" ht="9" customHeight="1" hidden="1">
      <c r="A60" s="12"/>
      <c r="B60" s="646">
        <v>0</v>
      </c>
      <c r="C60" t="str" s="640" cm="1">
        <f t="array" ref="C60">IF(B60&gt;0,IF(VLOOKUP(C46,'Boats Data Sheet 2026'!$C$3:$J$57,8,0)="N/A",0,VLOOKUP(C46,'Boats Data Sheet 2026'!$C$3:$J$57,8,0)),"N/A")</f>
        <v>N/A</v>
      </c>
      <c r="D60" t="str" s="649" cm="1">
        <f t="array" ref="D60">IF(B60&gt;7,2,IF(B60=0,"N/A",1))</f>
        <v>N/A</v>
      </c>
      <c r="E60" t="str" s="640" cm="1">
        <f t="array" ref="E60">_xlfn.IFERROR(SUM('Direct Costs 2026'!$C$4:$C$6)*D60,"N/A")</f>
        <v>N/A</v>
      </c>
      <c r="F60" s="639" cm="1">
        <f t="array" ref="F60">_xlfn.IFERROR('Direct Costs 2026'!$C$43*B60,"N/A")</f>
        <v>0</v>
      </c>
      <c r="G60" t="str" s="640" cm="1">
        <f t="array" ref="G60">IF(B60&gt;0,'Direct Costs 2026'!$C$25,"N/A")</f>
        <v>N/A</v>
      </c>
      <c r="H60" t="str" s="640" cm="1">
        <f t="array" ref="H60">IF(B60&gt;0,('Direct Costs 2026'!$C$19+'Direct Costs 2026'!$C$18*B60),"N/A")</f>
        <v>N/A</v>
      </c>
      <c r="I60" t="str" s="640" cm="1">
        <f t="array" ref="I60">IF(B60&gt;0,SUM('Direct Costs 2026'!$C$20:$C$21),"N/A")</f>
        <v>N/A</v>
      </c>
      <c r="J60" t="str" s="640" cm="1">
        <f t="array" ref="J60">IF(B60&gt;0,'Direct Costs 2026'!$C$14,"N/A")</f>
        <v>N/A</v>
      </c>
      <c r="K60" t="str" s="640" cm="1">
        <f t="array" ref="K60">IF(B60&gt;0,'Direct Costs 2026'!$C$26,"N/A")</f>
        <v>N/A</v>
      </c>
      <c r="L60" t="str" s="640" cm="1">
        <f t="array" ref="L60">IF(B60&gt;0,SUM('Direct Costs 2026'!$C$23:$C$24),"N/A")</f>
        <v>N/A</v>
      </c>
      <c r="M60" t="str" s="640" cm="1">
        <f t="array" ref="M60">IF(B60&gt;0,'Direct Costs 2026'!$C$45*B60,"N/A")</f>
        <v>N/A</v>
      </c>
      <c r="N60" t="str" s="640" cm="1">
        <f t="array" ref="N60">IF($B60&gt;0,'Direct Costs 2026'!$C$29,"N/A")</f>
        <v>N/A</v>
      </c>
      <c r="O60" t="str" s="640" cm="1">
        <f t="array" ref="O60">IF($B60&gt;0,'Direct Costs 2026'!$C$31,"N/A")</f>
        <v>N/A</v>
      </c>
      <c r="P60" t="str" s="640" cm="1">
        <f t="array" ref="P60">IF(B60&gt;0,'Direct Costs 2026'!$C$59*B60,"N/A")</f>
        <v>N/A</v>
      </c>
      <c r="Q60" t="str" s="640" cm="1">
        <f t="array" ref="Q60">IF(B60&gt;0,_xlfn.IFERROR(VLOOKUP(C46,'Boats Data Sheet 2026'!$C$3:$I$57,7,0)*'Direct Costs 2026'!$C$36,"N/A"),"N/A")</f>
        <v>N/A</v>
      </c>
      <c r="R60" s="639"/>
      <c r="S60" t="str" s="640" cm="1">
        <f t="array" ref="S60">IF(B60&gt;0,IF(OR(VLOOKUP(C46,'Boats Data Sheet 2026'!$C$3:$F$57,4,0)="Own",VLOOKUP(C46,'Boats Data Sheet 2026'!$C$3:$F$57,4,0)="Management"),('Direct Costs 2026'!$C$37+'Direct Costs 2026'!$C$39),"N/A"),"N/A")</f>
        <v>N/A</v>
      </c>
      <c r="T60" t="str" s="640" cm="1">
        <f t="array" ref="T60">_xlfn.IFERROR(IF(B60&gt;5,IF(B60&gt;11,IF(B60&gt;15,4,3),2),IF(B60=0,"N/A",1))*SUM('Direct Costs 2026'!$C$67:$C$68),"N/A")</f>
        <v>N/A</v>
      </c>
      <c r="U60" t="str" s="640" cm="1">
        <f t="array" ref="U60">_xlfn.IFERROR('Direct Costs 2026'!$C$27*C60,"N/A")</f>
        <v>N/A</v>
      </c>
      <c r="V60" t="str" s="640" cm="1">
        <f t="array" ref="V60">_xlfn.IFERROR(C60+SUM(E60:U60),"N/A")</f>
        <v>N/A</v>
      </c>
      <c r="W60" s="424"/>
      <c r="X60" t="str" s="640" cm="1">
        <f t="array" ref="X60">IF(B60&gt;0,'Allocation OH and Target 2026'!$E$31,"N/A")</f>
        <v>N/A</v>
      </c>
      <c r="Y60" t="str" s="640" cm="1">
        <f t="array" ref="Y60">IF(B60&gt;0,VLOOKUP(C46,'Allocation OH and Target 2026'!$C$5:$T$23,16,0),"N/A")</f>
        <v>N/A</v>
      </c>
      <c r="Z60" t="str" s="640" cm="1">
        <f t="array" ref="Z60">_xlfn.IFERROR((X60+Y60),"N/A")</f>
        <v>N/A</v>
      </c>
      <c r="AA60" s="424"/>
      <c r="AB60" t="str" s="640" cm="1">
        <f t="array" ref="AB60">_xlfn.IFERROR(Z60+V60,"N/A")</f>
        <v>N/A</v>
      </c>
      <c r="AC60" t="str" s="640" cm="1">
        <f t="array" ref="AC60">_xlfn.IFERROR(AB60*0.5%,"N/A")</f>
        <v>N/A</v>
      </c>
      <c r="AD60" t="str" s="640" cm="1">
        <f t="array" ref="AD60">_xlfn.IFERROR(AB60*25%,"N/A")</f>
        <v>N/A</v>
      </c>
      <c r="AE60" t="str" s="648" cm="1">
        <f t="array" ref="AE60">IF(B60&gt;0,SUM(AB60:AD60),"N/A")</f>
        <v>N/A</v>
      </c>
      <c r="AF60" t="str" s="640" cm="1">
        <f t="array" ref="AF60">_xlfn.IFERROR(AE60/B60,"N/A")</f>
        <v>N/A</v>
      </c>
      <c r="AG60" s="424"/>
      <c r="AH60" t="str" s="648" cm="1">
        <f t="array" ref="AH60">IF(B60/VLOOKUP(C46,'Boats Data Sheet 2026'!$C$3:$H$57,6,0)&gt;VLOOKUP(C46,'Allocation OH and Target 2026'!$C$5:$J$23,8,0),IF(SUM(AI48:AI59)=0,AF60,"N/A"),"N/A")</f>
        <v>N/A</v>
      </c>
      <c r="AI60" s="424" cm="1">
        <f t="array" ref="AI60">IF(AH60="N/A",0,1)</f>
        <v>0</v>
      </c>
      <c r="AJ60" t="str" s="640" cm="1">
        <f t="array" ref="AJ60">IF(B60/VLOOKUP(C46,'Boats Data Sheet 2026'!$C$3:$H$57,6,0)&gt;VLOOKUP(C46,'Allocation OH and Target 2026'!$C$5:$J$23,8,0),IF(SUM(AI48:AI59)=0,V60/B60,"N/A"),"N/A")</f>
        <v>N/A</v>
      </c>
      <c r="AK60" s="424" cm="1">
        <f t="array" ref="AK60">IF(AJ60="N/A",0,1)</f>
        <v>0</v>
      </c>
      <c r="AL60" t="str" s="628" cm="1">
        <f t="array" ref="AL60">IF(SUM(1250000+700000)*B60&lt;SUM(AB60:AC60),"NO GO","GO")</f>
        <v>GO</v>
      </c>
      <c r="AM60" s="424"/>
      <c r="AN60" s="639"/>
      <c r="AO60" s="639"/>
      <c r="AP60" s="639"/>
      <c r="AQ60" s="645"/>
      <c r="AR60" s="601" cm="1">
        <f t="array" ref="AR60">B60</f>
        <v>0</v>
      </c>
    </row>
    <row r="61" ht="9" customHeight="1" hidden="1">
      <c r="A61" s="12"/>
      <c r="B61" s="646">
        <v>0</v>
      </c>
      <c r="C61" t="str" s="640" cm="1">
        <f t="array" ref="C61">IF(B61&gt;0,IF(VLOOKUP(C46,'Boats Data Sheet 2026'!$C$3:$J$57,8,0)="N/A",0,VLOOKUP(C46,'Boats Data Sheet 2026'!$C$3:$J$57,8,0)),"N/A")</f>
        <v>N/A</v>
      </c>
      <c r="D61" t="str" s="649" cm="1">
        <f t="array" ref="D61">IF(B61&gt;7,2,IF(B61=0,"N/A",1))</f>
        <v>N/A</v>
      </c>
      <c r="E61" t="str" s="640" cm="1">
        <f t="array" ref="E61">_xlfn.IFERROR(SUM('Direct Costs 2026'!$C$4:$C$6)*D61,"N/A")</f>
        <v>N/A</v>
      </c>
      <c r="F61" s="639" cm="1">
        <f t="array" ref="F61">_xlfn.IFERROR('Direct Costs 2026'!$C$43*B61,"N/A")</f>
        <v>0</v>
      </c>
      <c r="G61" t="str" s="640" cm="1">
        <f t="array" ref="G61">IF(B61&gt;0,'Direct Costs 2026'!$C$25,"N/A")</f>
        <v>N/A</v>
      </c>
      <c r="H61" t="str" s="640" cm="1">
        <f t="array" ref="H61">IF(B61&gt;0,('Direct Costs 2026'!$C$19+'Direct Costs 2026'!$C$18*B61),"N/A")</f>
        <v>N/A</v>
      </c>
      <c r="I61" t="str" s="640" cm="1">
        <f t="array" ref="I61">IF(B61&gt;0,SUM('Direct Costs 2026'!$C$20:$C$21),"N/A")</f>
        <v>N/A</v>
      </c>
      <c r="J61" t="str" s="640" cm="1">
        <f t="array" ref="J61">IF(B61&gt;0,'Direct Costs 2026'!$C$14,"N/A")</f>
        <v>N/A</v>
      </c>
      <c r="K61" t="str" s="640" cm="1">
        <f t="array" ref="K61">IF(B61&gt;0,'Direct Costs 2026'!$C$26,"N/A")</f>
        <v>N/A</v>
      </c>
      <c r="L61" t="str" s="640" cm="1">
        <f t="array" ref="L61">IF(B61&gt;0,SUM('Direct Costs 2026'!$C$23:$C$24),"N/A")</f>
        <v>N/A</v>
      </c>
      <c r="M61" t="str" s="640" cm="1">
        <f t="array" ref="M61">IF(B61&gt;0,'Direct Costs 2026'!$C$45*B61,"N/A")</f>
        <v>N/A</v>
      </c>
      <c r="N61" t="str" s="640" cm="1">
        <f t="array" ref="N61">IF($B61&gt;0,'Direct Costs 2026'!$C$29,"N/A")</f>
        <v>N/A</v>
      </c>
      <c r="O61" t="str" s="640" cm="1">
        <f t="array" ref="O61">IF($B61&gt;0,'Direct Costs 2026'!$C$31,"N/A")</f>
        <v>N/A</v>
      </c>
      <c r="P61" t="str" s="640" cm="1">
        <f t="array" ref="P61">IF(B61&gt;0,'Direct Costs 2026'!$C$59*B61,"N/A")</f>
        <v>N/A</v>
      </c>
      <c r="Q61" t="str" s="640" cm="1">
        <f t="array" ref="Q61">IF(B61&gt;0,_xlfn.IFERROR(VLOOKUP(C46,'Boats Data Sheet 2026'!$C$3:$I$57,7,0)*'Direct Costs 2026'!$C$36,"N/A"),"N/A")</f>
        <v>N/A</v>
      </c>
      <c r="R61" s="639"/>
      <c r="S61" t="str" s="640" cm="1">
        <f t="array" ref="S61">IF(B61&gt;0,IF(OR(VLOOKUP(C46,'Boats Data Sheet 2026'!$C$3:$F$57,4,0)="Own",VLOOKUP(C46,'Boats Data Sheet 2026'!$C$3:$F$57,4,0)="Management"),('Direct Costs 2026'!$C$37+'Direct Costs 2026'!$C$39),"N/A"),"N/A")</f>
        <v>N/A</v>
      </c>
      <c r="T61" t="str" s="640" cm="1">
        <f t="array" ref="T61">_xlfn.IFERROR(IF(B61&gt;5,IF(B61&gt;11,IF(B61&gt;15,4,3),2),IF(B61=0,"N/A",1))*SUM('Direct Costs 2026'!$C$67:$C$68),"N/A")</f>
        <v>N/A</v>
      </c>
      <c r="U61" t="str" s="640" cm="1">
        <f t="array" ref="U61">_xlfn.IFERROR('Direct Costs 2026'!$C$27*C61,"N/A")</f>
        <v>N/A</v>
      </c>
      <c r="V61" t="str" s="640" cm="1">
        <f t="array" ref="V61">_xlfn.IFERROR(C61+SUM(E61:U61),"N/A")</f>
        <v>N/A</v>
      </c>
      <c r="W61" s="424"/>
      <c r="X61" t="str" s="640" cm="1">
        <f t="array" ref="X61">IF(B61&gt;0,'Allocation OH and Target 2026'!$E$31,"N/A")</f>
        <v>N/A</v>
      </c>
      <c r="Y61" t="str" s="640" cm="1">
        <f t="array" ref="Y61">IF(B61&gt;0,VLOOKUP(C46,'Allocation OH and Target 2026'!$C$5:$T$23,16,0),"N/A")</f>
        <v>N/A</v>
      </c>
      <c r="Z61" t="str" s="640" cm="1">
        <f t="array" ref="Z61">_xlfn.IFERROR((X61+Y61),"N/A")</f>
        <v>N/A</v>
      </c>
      <c r="AA61" s="424"/>
      <c r="AB61" t="str" s="640" cm="1">
        <f t="array" ref="AB61">_xlfn.IFERROR(Z61+V61,"N/A")</f>
        <v>N/A</v>
      </c>
      <c r="AC61" t="str" s="640" cm="1">
        <f t="array" ref="AC61">_xlfn.IFERROR(AB61*0.5%,"N/A")</f>
        <v>N/A</v>
      </c>
      <c r="AD61" t="str" s="640" cm="1">
        <f t="array" ref="AD61">_xlfn.IFERROR(AB61*25%,"N/A")</f>
        <v>N/A</v>
      </c>
      <c r="AE61" t="str" s="648" cm="1">
        <f t="array" ref="AE61">IF(B61&gt;0,SUM(AB61:AD61),"N/A")</f>
        <v>N/A</v>
      </c>
      <c r="AF61" t="str" s="640" cm="1">
        <f t="array" ref="AF61">_xlfn.IFERROR(AE61/B61,"N/A")</f>
        <v>N/A</v>
      </c>
      <c r="AG61" s="424"/>
      <c r="AH61" t="str" s="648" cm="1">
        <f t="array" ref="AH61">IF(B61/VLOOKUP(C46,'Boats Data Sheet 2026'!$C$3:$H$57,6,0)&gt;VLOOKUP(C46,'Allocation OH and Target 2026'!$C$5:$J$23,8,0),IF(SUM(AI48:AI60)=0,AF61,"N/A"),"N/A")</f>
        <v>N/A</v>
      </c>
      <c r="AI61" s="424" cm="1">
        <f t="array" ref="AI61">IF(AH61="N/A",0,1)</f>
        <v>0</v>
      </c>
      <c r="AJ61" t="str" s="640" cm="1">
        <f t="array" ref="AJ61">IF(B61/VLOOKUP(C46,'Boats Data Sheet 2026'!$C$3:$H$57,6,0)&gt;VLOOKUP(C46,'Allocation OH and Target 2026'!$C$5:$J$23,8,0),IF(SUM(AI48:AI60)=0,V61/B61,"N/A"),"N/A")</f>
        <v>N/A</v>
      </c>
      <c r="AK61" s="424" cm="1">
        <f t="array" ref="AK61">IF(AJ61="N/A",0,1)</f>
        <v>0</v>
      </c>
      <c r="AL61" t="str" s="628" cm="1">
        <f t="array" ref="AL61">IF(SUM(1250000+700000)*B61&lt;SUM(AB61:AC61),"NO GO","GO")</f>
        <v>GO</v>
      </c>
      <c r="AM61" s="424"/>
      <c r="AN61" s="639"/>
      <c r="AO61" s="639"/>
      <c r="AP61" s="639"/>
      <c r="AQ61" s="645"/>
      <c r="AR61" s="601" cm="1">
        <f t="array" ref="AR61">B61</f>
        <v>0</v>
      </c>
    </row>
    <row r="62" ht="9" customHeight="1" hidden="1">
      <c r="A62" s="12"/>
      <c r="B62" s="646">
        <v>0</v>
      </c>
      <c r="C62" t="str" s="640" cm="1">
        <f t="array" ref="C62">IF(B62&gt;0,IF(VLOOKUP(C46,'Boats Data Sheet 2026'!$C$3:$J$57,8,0)="N/A",0,VLOOKUP(C46,'Boats Data Sheet 2026'!$C$3:$J$57,8,0)),"N/A")</f>
        <v>N/A</v>
      </c>
      <c r="D62" t="str" s="640" cm="1">
        <f t="array" ref="D62">IF(B62&gt;7,2,IF(B62=0,"N/A",1))</f>
        <v>N/A</v>
      </c>
      <c r="E62" t="str" s="640" cm="1">
        <f t="array" ref="E62">_xlfn.IFERROR(SUM('Direct Costs 2026'!$C$4:$C$6)*D62,"N/A")</f>
        <v>N/A</v>
      </c>
      <c r="F62" s="639" cm="1">
        <f t="array" ref="F62">_xlfn.IFERROR('Direct Costs 2026'!$C$43*B62,"N/A")</f>
        <v>0</v>
      </c>
      <c r="G62" t="str" s="640" cm="1">
        <f t="array" ref="G62">IF(B62&gt;0,'Direct Costs 2026'!$C$25,"N/A")</f>
        <v>N/A</v>
      </c>
      <c r="H62" t="str" s="640" cm="1">
        <f t="array" ref="H62">IF(B62&gt;0,('Direct Costs 2026'!$C$19+'Direct Costs 2026'!$C$18*B62),"N/A")</f>
        <v>N/A</v>
      </c>
      <c r="I62" t="str" s="640" cm="1">
        <f t="array" ref="I62">IF(B62&gt;0,SUM('Direct Costs 2026'!$C$20:$C$21),"N/A")</f>
        <v>N/A</v>
      </c>
      <c r="J62" t="str" s="640" cm="1">
        <f t="array" ref="J62">IF(B62&gt;0,'Direct Costs 2026'!$C$14,"N/A")</f>
        <v>N/A</v>
      </c>
      <c r="K62" t="str" s="640" cm="1">
        <f t="array" ref="K62">IF(B62&gt;0,'Direct Costs 2026'!$C$26,"N/A")</f>
        <v>N/A</v>
      </c>
      <c r="L62" t="str" s="640" cm="1">
        <f t="array" ref="L62">IF(B62&gt;0,SUM('Direct Costs 2026'!$C$23:$C$24),"N/A")</f>
        <v>N/A</v>
      </c>
      <c r="M62" t="str" s="640" cm="1">
        <f t="array" ref="M62">IF(B62&gt;0,'Direct Costs 2026'!$C$45*B62,"N/A")</f>
        <v>N/A</v>
      </c>
      <c r="N62" t="str" s="640" cm="1">
        <f t="array" ref="N62">IF($B62&gt;0,'Direct Costs 2026'!$C$29,"N/A")</f>
        <v>N/A</v>
      </c>
      <c r="O62" t="str" s="640" cm="1">
        <f t="array" ref="O62">IF($B62&gt;0,'Direct Costs 2026'!$C$31,"N/A")</f>
        <v>N/A</v>
      </c>
      <c r="P62" t="str" s="640" cm="1">
        <f t="array" ref="P62">IF(B62&gt;0,'Direct Costs 2026'!$C$59*B62,"N/A")</f>
        <v>N/A</v>
      </c>
      <c r="Q62" t="str" s="640" cm="1">
        <f t="array" ref="Q62">IF(B62&gt;0,_xlfn.IFERROR(VLOOKUP(C46,'Boats Data Sheet 2026'!$C$3:$I$57,7,0)*'Direct Costs 2026'!$C$36,"N/A"),"N/A")</f>
        <v>N/A</v>
      </c>
      <c r="R62" s="639"/>
      <c r="S62" t="str" s="640" cm="1">
        <f t="array" ref="S62">IF(B62&gt;0,IF(OR(VLOOKUP(C46,'Boats Data Sheet 2026'!$C$3:$F$57,4,0)="Own",VLOOKUP(C46,'Boats Data Sheet 2026'!$C$3:$F$57,4,0)="Management"),('Direct Costs 2026'!$C$37+'Direct Costs 2026'!$C$39),"N/A"),"N/A")</f>
        <v>N/A</v>
      </c>
      <c r="T62" t="str" s="640" cm="1">
        <f t="array" ref="T62">_xlfn.IFERROR(IF(B62&gt;5,IF(B62&gt;11,IF(B62&gt;15,4,3),2),IF(B62=0,"N/A",1))*SUM('Direct Costs 2026'!$C$67:$C$68),"N/A")</f>
        <v>N/A</v>
      </c>
      <c r="U62" t="str" s="640" cm="1">
        <f t="array" ref="U62">_xlfn.IFERROR('Direct Costs 2026'!$C$27*C62,"N/A")</f>
        <v>N/A</v>
      </c>
      <c r="V62" t="str" s="640" cm="1">
        <f t="array" ref="V62">_xlfn.IFERROR(C62+SUM(E62:U62),"N/A")</f>
        <v>N/A</v>
      </c>
      <c r="W62" s="424"/>
      <c r="X62" t="str" s="640" cm="1">
        <f t="array" ref="X62">IF(B62&gt;0,'Allocation OH and Target 2026'!$E$31,"N/A")</f>
        <v>N/A</v>
      </c>
      <c r="Y62" t="str" s="640" cm="1">
        <f t="array" ref="Y62">IF(B62&gt;0,VLOOKUP(C46,'Allocation OH and Target 2026'!$C$5:$T$23,16,0),"N/A")</f>
        <v>N/A</v>
      </c>
      <c r="Z62" t="str" s="640" cm="1">
        <f t="array" ref="Z62">_xlfn.IFERROR((X62+Y62),"N/A")</f>
        <v>N/A</v>
      </c>
      <c r="AA62" s="424"/>
      <c r="AB62" t="str" s="640" cm="1">
        <f t="array" ref="AB62">_xlfn.IFERROR(Z62+V62,"N/A")</f>
        <v>N/A</v>
      </c>
      <c r="AC62" t="str" s="640" cm="1">
        <f t="array" ref="AC62">_xlfn.IFERROR(AB62*0.5%,"N/A")</f>
        <v>N/A</v>
      </c>
      <c r="AD62" t="str" s="640" cm="1">
        <f t="array" ref="AD62">_xlfn.IFERROR(AB62*25%,"N/A")</f>
        <v>N/A</v>
      </c>
      <c r="AE62" t="str" s="648" cm="1">
        <f t="array" ref="AE62">IF(B62&gt;0,SUM(AB62:AD62),"N/A")</f>
        <v>N/A</v>
      </c>
      <c r="AF62" t="str" s="640" cm="1">
        <f t="array" ref="AF62">_xlfn.IFERROR(AE62/B62,"N/A")</f>
        <v>N/A</v>
      </c>
      <c r="AG62" s="424"/>
      <c r="AH62" t="str" s="648" cm="1">
        <f t="array" ref="AH62">IF(B62/VLOOKUP(C46,'Boats Data Sheet 2026'!$C$3:$H$57,6,0)&gt;VLOOKUP(C46,'Allocation OH and Target 2026'!$C$5:$J$23,8,0),IF(SUM(AI48:AI61)=0,AF62,"N/A"),"N/A")</f>
        <v>N/A</v>
      </c>
      <c r="AI62" s="424" cm="1">
        <f t="array" ref="AI62">IF(AH62="N/A",0,1)</f>
        <v>0</v>
      </c>
      <c r="AJ62" t="str" s="640" cm="1">
        <f t="array" ref="AJ62">IF(B62/VLOOKUP(C46,'Boats Data Sheet 2026'!$C$3:$H$57,6,0)&gt;VLOOKUP(C46,'Allocation OH and Target 2026'!$C$5:$J$23,8,0),IF(SUM(AI48:AI61)=0,V62/B62,"N/A"),"N/A")</f>
        <v>N/A</v>
      </c>
      <c r="AK62" s="424" cm="1">
        <f t="array" ref="AK62">IF(AJ62="N/A",0,1)</f>
        <v>0</v>
      </c>
      <c r="AL62" t="str" s="628" cm="1">
        <f t="array" ref="AL62">IF(SUM(1250000+700000)*B62&lt;SUM(AB62:AC62),"NO GO","GO")</f>
        <v>GO</v>
      </c>
      <c r="AM62" s="424"/>
      <c r="AN62" s="639"/>
      <c r="AO62" s="639"/>
      <c r="AP62" s="639"/>
      <c r="AQ62" s="645"/>
      <c r="AR62" s="601" cm="1">
        <f t="array" ref="AR62">B62</f>
        <v>0</v>
      </c>
    </row>
    <row r="63" ht="9" customHeight="1" hidden="1">
      <c r="A63" s="12"/>
      <c r="B63" s="646">
        <v>0</v>
      </c>
      <c r="C63" t="str" s="640" cm="1">
        <f t="array" ref="C63">IF(B63&gt;0,IF(VLOOKUP(C46,'Boats Data Sheet 2026'!$C$3:$J$57,8,0)="N/A",0,VLOOKUP(C46,'Boats Data Sheet 2026'!$C$3:$J$57,8,0)),"N/A")</f>
        <v>N/A</v>
      </c>
      <c r="D63" t="str" s="640" cm="1">
        <f t="array" ref="D63">IF(B63&gt;7,2,IF(B63=0,"N/A",1))</f>
        <v>N/A</v>
      </c>
      <c r="E63" t="str" s="640" cm="1">
        <f t="array" ref="E63">_xlfn.IFERROR(SUM('Direct Costs 2026'!$C$4:$C$6)*D63,"N/A")</f>
        <v>N/A</v>
      </c>
      <c r="F63" s="639" cm="1">
        <f t="array" ref="F63">_xlfn.IFERROR('Direct Costs 2026'!$C$43*B63,"N/A")</f>
        <v>0</v>
      </c>
      <c r="G63" t="str" s="640" cm="1">
        <f t="array" ref="G63">IF(B63&gt;0,'Direct Costs 2026'!$C$25,"N/A")</f>
        <v>N/A</v>
      </c>
      <c r="H63" t="str" s="640" cm="1">
        <f t="array" ref="H63">IF(B63&gt;0,('Direct Costs 2026'!$C$19+'Direct Costs 2026'!$C$18*B63),"N/A")</f>
        <v>N/A</v>
      </c>
      <c r="I63" t="str" s="640" cm="1">
        <f t="array" ref="I63">IF(B63&gt;0,SUM('Direct Costs 2026'!$C$20:$C$21),"N/A")</f>
        <v>N/A</v>
      </c>
      <c r="J63" t="str" s="640" cm="1">
        <f t="array" ref="J63">IF(B63&gt;0,'Direct Costs 2026'!$C$14,"N/A")</f>
        <v>N/A</v>
      </c>
      <c r="K63" t="str" s="640" cm="1">
        <f t="array" ref="K63">IF(B63&gt;0,'Direct Costs 2026'!$C$26,"N/A")</f>
        <v>N/A</v>
      </c>
      <c r="L63" t="str" s="640" cm="1">
        <f t="array" ref="L63">IF(B63&gt;0,SUM('Direct Costs 2026'!$C$23:$C$24),"N/A")</f>
        <v>N/A</v>
      </c>
      <c r="M63" t="str" s="640" cm="1">
        <f t="array" ref="M63">IF(B63&gt;0,'Direct Costs 2026'!$C$45*B63,"N/A")</f>
        <v>N/A</v>
      </c>
      <c r="N63" t="str" s="640" cm="1">
        <f t="array" ref="N63">IF($B63&gt;0,'Direct Costs 2026'!$C$29,"N/A")</f>
        <v>N/A</v>
      </c>
      <c r="O63" t="str" s="640" cm="1">
        <f t="array" ref="O63">IF($B63&gt;0,'Direct Costs 2026'!$C$31,"N/A")</f>
        <v>N/A</v>
      </c>
      <c r="P63" t="str" s="640" cm="1">
        <f t="array" ref="P63">IF(B63&gt;0,'Direct Costs 2026'!$C$59*B63,"N/A")</f>
        <v>N/A</v>
      </c>
      <c r="Q63" t="str" s="640" cm="1">
        <f t="array" ref="Q63">IF(B63&gt;0,_xlfn.IFERROR(VLOOKUP(C46,'Boats Data Sheet 2026'!$C$3:$I$57,7,0)*'Direct Costs 2026'!$C$36,"N/A"),"N/A")</f>
        <v>N/A</v>
      </c>
      <c r="R63" s="639"/>
      <c r="S63" t="str" s="640" cm="1">
        <f t="array" ref="S63">IF(B63&gt;0,IF(OR(VLOOKUP(C46,'Boats Data Sheet 2026'!$C$3:$F$57,4,0)="Own",VLOOKUP(C46,'Boats Data Sheet 2026'!$C$3:$F$57,4,0)="Management"),('Direct Costs 2026'!$C$37+'Direct Costs 2026'!$C$39),"N/A"),"N/A")</f>
        <v>N/A</v>
      </c>
      <c r="T63" t="str" s="640" cm="1">
        <f t="array" ref="T63">_xlfn.IFERROR(IF(B63&gt;5,IF(B63&gt;11,IF(B63&gt;15,4,3),2),IF(B63=0,"N/A",1))*SUM('Direct Costs 2026'!$C$67:$C$68),"N/A")</f>
        <v>N/A</v>
      </c>
      <c r="U63" t="str" s="640" cm="1">
        <f t="array" ref="U63">_xlfn.IFERROR('Direct Costs 2026'!$C$27*C63,"N/A")</f>
        <v>N/A</v>
      </c>
      <c r="V63" t="str" s="640" cm="1">
        <f t="array" ref="V63">_xlfn.IFERROR(C63+SUM(E63:U63),"N/A")</f>
        <v>N/A</v>
      </c>
      <c r="W63" s="424"/>
      <c r="X63" t="str" s="640" cm="1">
        <f t="array" ref="X63">IF(B63&gt;0,'Allocation OH and Target 2026'!$E$31,"N/A")</f>
        <v>N/A</v>
      </c>
      <c r="Y63" t="str" s="640" cm="1">
        <f t="array" ref="Y63">IF(B63&gt;0,VLOOKUP(C46,'Allocation OH and Target 2026'!$C$5:$T$23,16,0),"N/A")</f>
        <v>N/A</v>
      </c>
      <c r="Z63" t="str" s="640" cm="1">
        <f t="array" ref="Z63">_xlfn.IFERROR((X63+Y63),"N/A")</f>
        <v>N/A</v>
      </c>
      <c r="AA63" s="424"/>
      <c r="AB63" t="str" s="640" cm="1">
        <f t="array" ref="AB63">_xlfn.IFERROR(Z63+V63,"N/A")</f>
        <v>N/A</v>
      </c>
      <c r="AC63" t="str" s="640" cm="1">
        <f t="array" ref="AC63">_xlfn.IFERROR(AB63*0.5%,"N/A")</f>
        <v>N/A</v>
      </c>
      <c r="AD63" t="str" s="640" cm="1">
        <f t="array" ref="AD63">_xlfn.IFERROR(AB63*25%,"N/A")</f>
        <v>N/A</v>
      </c>
      <c r="AE63" t="str" s="648" cm="1">
        <f t="array" ref="AE63">IF(B63&gt;0,SUM(AB63:AD63),"N/A")</f>
        <v>N/A</v>
      </c>
      <c r="AF63" t="str" s="640" cm="1">
        <f t="array" ref="AF63">_xlfn.IFERROR(AE63/B63,"N/A")</f>
        <v>N/A</v>
      </c>
      <c r="AG63" s="424"/>
      <c r="AH63" t="str" s="648" cm="1">
        <f t="array" ref="AH63">IF(B63/VLOOKUP(C46,'Boats Data Sheet 2026'!$C$3:$H$57,6,0)&gt;VLOOKUP(C46,'Allocation OH and Target 2026'!$C$5:$J$23,8,0),IF(SUM(AI48:AI62)=0,AF63,"N/A"),"N/A")</f>
        <v>N/A</v>
      </c>
      <c r="AI63" s="424" cm="1">
        <f t="array" ref="AI63">IF(AH63="N/A",0,1)</f>
        <v>0</v>
      </c>
      <c r="AJ63" t="str" s="640" cm="1">
        <f t="array" ref="AJ63">IF(B63/VLOOKUP(C46,'Boats Data Sheet 2026'!$C$3:$H$57,6,0)&gt;VLOOKUP(C46,'Allocation OH and Target 2026'!$C$5:$J$23,8,0),IF(SUM(AI48:AI62)=0,V63/B63,"N/A"),"N/A")</f>
        <v>N/A</v>
      </c>
      <c r="AK63" s="424" cm="1">
        <f t="array" ref="AK63">IF(AJ63="N/A",0,1)</f>
        <v>0</v>
      </c>
      <c r="AL63" t="str" s="628" cm="1">
        <f t="array" ref="AL63">IF(SUM(1250000+700000)*B63&lt;SUM(AB63:AC63),"NO GO","GO")</f>
        <v>GO</v>
      </c>
      <c r="AM63" s="424"/>
      <c r="AN63" s="639"/>
      <c r="AO63" s="639"/>
      <c r="AP63" s="639"/>
      <c r="AQ63" s="645"/>
      <c r="AR63" s="601" cm="1">
        <f t="array" ref="AR63">B63</f>
        <v>0</v>
      </c>
    </row>
    <row r="64" ht="9" customHeight="1" hidden="1">
      <c r="A64" s="12"/>
      <c r="B64" s="646">
        <v>0</v>
      </c>
      <c r="C64" t="str" s="640" cm="1">
        <f t="array" ref="C64">IF(B64&gt;0,IF(VLOOKUP(C46,'Boats Data Sheet 2026'!$C$3:$J$57,8,0)="N/A",0,VLOOKUP(C46,'Boats Data Sheet 2026'!$C$3:$J$57,8,0)),"N/A")</f>
        <v>N/A</v>
      </c>
      <c r="D64" t="str" s="640" cm="1">
        <f t="array" ref="D64">IF(B64&gt;7,2,IF(B64=0,"N/A",1))</f>
        <v>N/A</v>
      </c>
      <c r="E64" t="str" s="640" cm="1">
        <f t="array" ref="E64">_xlfn.IFERROR(SUM('Direct Costs 2026'!$C$4:$C$6)*D64,"N/A")</f>
        <v>N/A</v>
      </c>
      <c r="F64" s="639" cm="1">
        <f t="array" ref="F64">_xlfn.IFERROR('Direct Costs 2026'!$C$43*B64,"N/A")</f>
        <v>0</v>
      </c>
      <c r="G64" t="str" s="640" cm="1">
        <f t="array" ref="G64">IF(B64&gt;0,'Direct Costs 2026'!$C$25,"N/A")</f>
        <v>N/A</v>
      </c>
      <c r="H64" t="str" s="640" cm="1">
        <f t="array" ref="H64">IF(B64&gt;0,('Direct Costs 2026'!$C$19+'Direct Costs 2026'!$C$18*B64),"N/A")</f>
        <v>N/A</v>
      </c>
      <c r="I64" t="str" s="640" cm="1">
        <f t="array" ref="I64">IF(B64&gt;0,SUM('Direct Costs 2026'!$C$20:$C$21),"N/A")</f>
        <v>N/A</v>
      </c>
      <c r="J64" t="str" s="640" cm="1">
        <f t="array" ref="J64">IF(B64&gt;0,'Direct Costs 2026'!$C$14,"N/A")</f>
        <v>N/A</v>
      </c>
      <c r="K64" t="str" s="640" cm="1">
        <f t="array" ref="K64">IF(B64&gt;0,'Direct Costs 2026'!$C$26,"N/A")</f>
        <v>N/A</v>
      </c>
      <c r="L64" t="str" s="640" cm="1">
        <f t="array" ref="L64">IF(B64&gt;0,SUM('Direct Costs 2026'!$C$23:$C$24),"N/A")</f>
        <v>N/A</v>
      </c>
      <c r="M64" t="str" s="640" cm="1">
        <f t="array" ref="M64">IF(B64&gt;0,'Direct Costs 2026'!$C$45*B64,"N/A")</f>
        <v>N/A</v>
      </c>
      <c r="N64" t="str" s="640" cm="1">
        <f t="array" ref="N64">IF($B64&gt;0,'Direct Costs 2026'!$C$29,"N/A")</f>
        <v>N/A</v>
      </c>
      <c r="O64" t="str" s="640" cm="1">
        <f t="array" ref="O64">IF($B64&gt;0,'Direct Costs 2026'!$C$31,"N/A")</f>
        <v>N/A</v>
      </c>
      <c r="P64" t="str" s="640" cm="1">
        <f t="array" ref="P64">IF(B64&gt;0,'Direct Costs 2026'!$C$59*B64,"N/A")</f>
        <v>N/A</v>
      </c>
      <c r="Q64" t="str" s="640" cm="1">
        <f t="array" ref="Q64">IF(B64&gt;0,_xlfn.IFERROR(VLOOKUP(C46,'Boats Data Sheet 2026'!$C$3:$I$57,7,0)*'Direct Costs 2026'!$C$36,"N/A"),"N/A")</f>
        <v>N/A</v>
      </c>
      <c r="R64" s="639"/>
      <c r="S64" t="str" s="640" cm="1">
        <f t="array" ref="S64">IF(B64&gt;0,IF(OR(VLOOKUP(C46,'Boats Data Sheet 2026'!$C$3:$F$57,4,0)="Own",VLOOKUP(C46,'Boats Data Sheet 2026'!$C$3:$F$57,4,0)="Management"),('Direct Costs 2026'!$C$37+'Direct Costs 2026'!$C$39),"N/A"),"N/A")</f>
        <v>N/A</v>
      </c>
      <c r="T64" t="str" s="640" cm="1">
        <f t="array" ref="T64">_xlfn.IFERROR(IF(B64&gt;5,IF(B64&gt;11,IF(B64&gt;15,4,3),2),IF(B64=0,"N/A",1))*SUM('Direct Costs 2026'!$C$67:$C$68),"N/A")</f>
        <v>N/A</v>
      </c>
      <c r="U64" t="str" s="640" cm="1">
        <f t="array" ref="U64">_xlfn.IFERROR('Direct Costs 2026'!$C$27*C64,"N/A")</f>
        <v>N/A</v>
      </c>
      <c r="V64" t="str" s="640" cm="1">
        <f t="array" ref="V64">_xlfn.IFERROR(C64+SUM(E64:U64),"N/A")</f>
        <v>N/A</v>
      </c>
      <c r="W64" s="424"/>
      <c r="X64" t="str" s="640" cm="1">
        <f t="array" ref="X64">IF(B64&gt;0,'Allocation OH and Target 2026'!$E$31,"N/A")</f>
        <v>N/A</v>
      </c>
      <c r="Y64" t="str" s="640" cm="1">
        <f t="array" ref="Y64">IF(B64&gt;0,VLOOKUP(C46,'Allocation OH and Target 2026'!$C$5:$T$23,16,0),"N/A")</f>
        <v>N/A</v>
      </c>
      <c r="Z64" t="str" s="640" cm="1">
        <f t="array" ref="Z64">_xlfn.IFERROR((X64+Y64),"N/A")</f>
        <v>N/A</v>
      </c>
      <c r="AA64" s="424"/>
      <c r="AB64" t="str" s="640" cm="1">
        <f t="array" ref="AB64">_xlfn.IFERROR(Z64+V64,"N/A")</f>
        <v>N/A</v>
      </c>
      <c r="AC64" t="str" s="640" cm="1">
        <f t="array" ref="AC64">_xlfn.IFERROR(AB64*0.5%,"N/A")</f>
        <v>N/A</v>
      </c>
      <c r="AD64" t="str" s="640" cm="1">
        <f t="array" ref="AD64">_xlfn.IFERROR(AB64*25%,"N/A")</f>
        <v>N/A</v>
      </c>
      <c r="AE64" t="str" s="648" cm="1">
        <f t="array" ref="AE64">IF(B64&gt;0,SUM(AB64:AD64),"N/A")</f>
        <v>N/A</v>
      </c>
      <c r="AF64" t="str" s="640" cm="1">
        <f t="array" ref="AF64">_xlfn.IFERROR(AE64/B64,"N/A")</f>
        <v>N/A</v>
      </c>
      <c r="AG64" s="424"/>
      <c r="AH64" t="str" s="648" cm="1">
        <f t="array" ref="AH64">IF(B64/VLOOKUP(C46,'Boats Data Sheet 2026'!$C$3:$H$57,6,0)&gt;VLOOKUP(C46,'Allocation OH and Target 2026'!$C$5:$J$23,8,0),IF(SUM(AI48:AI63)=0,AF64,"N/A"),"N/A")</f>
        <v>N/A</v>
      </c>
      <c r="AI64" s="424" cm="1">
        <f t="array" ref="AI64">IF(AH64="N/A",0,1)</f>
        <v>0</v>
      </c>
      <c r="AJ64" t="str" s="640" cm="1">
        <f t="array" ref="AJ64">IF(B64/VLOOKUP(C46,'Boats Data Sheet 2026'!$C$3:$H$57,6,0)&gt;VLOOKUP(C46,'Allocation OH and Target 2026'!$C$5:$J$23,8,0),IF(SUM(AI48:AI63)=0,V64/B64,"N/A"),"N/A")</f>
        <v>N/A</v>
      </c>
      <c r="AK64" s="424" cm="1">
        <f t="array" ref="AK64">IF(AJ64="N/A",0,1)</f>
        <v>0</v>
      </c>
      <c r="AL64" t="str" s="628" cm="1">
        <f t="array" ref="AL64">IF(SUM(1250000+700000)*B64&lt;SUM(AB64:AC64),"NO GO","GO")</f>
        <v>GO</v>
      </c>
      <c r="AM64" s="424"/>
      <c r="AN64" s="639"/>
      <c r="AO64" s="639"/>
      <c r="AP64" s="639"/>
      <c r="AQ64" s="645"/>
      <c r="AR64" s="601" cm="1">
        <f t="array" ref="AR64">B64</f>
        <v>0</v>
      </c>
    </row>
    <row r="65" ht="9" customHeight="1" hidden="1">
      <c r="A65" s="12"/>
      <c r="B65" s="646">
        <v>0</v>
      </c>
      <c r="C65" t="str" s="640" cm="1">
        <f t="array" ref="C65">IF(B65&gt;0,IF(VLOOKUP(C46,'Boats Data Sheet 2026'!$C$3:$J$57,8,0)="N/A",0,VLOOKUP(C46,'Boats Data Sheet 2026'!$C$3:$J$57,8,0)),"N/A")</f>
        <v>N/A</v>
      </c>
      <c r="D65" t="str" s="640" cm="1">
        <f t="array" ref="D65">IF(B65&gt;7,2,IF(B65=0,"N/A",1))</f>
        <v>N/A</v>
      </c>
      <c r="E65" t="str" s="640" cm="1">
        <f t="array" ref="E65">_xlfn.IFERROR(SUM('Direct Costs 2026'!$C$4:$C$6)*D65,"N/A")</f>
        <v>N/A</v>
      </c>
      <c r="F65" s="639" cm="1">
        <f t="array" ref="F65">_xlfn.IFERROR('Direct Costs 2026'!$C$43*B65,"N/A")</f>
        <v>0</v>
      </c>
      <c r="G65" t="str" s="640" cm="1">
        <f t="array" ref="G65">IF(B65&gt;0,'Direct Costs 2026'!$C$25,"N/A")</f>
        <v>N/A</v>
      </c>
      <c r="H65" t="str" s="640" cm="1">
        <f t="array" ref="H65">IF(B65&gt;0,('Direct Costs 2026'!$C$19+'Direct Costs 2026'!$C$18*B65),"N/A")</f>
        <v>N/A</v>
      </c>
      <c r="I65" t="str" s="640" cm="1">
        <f t="array" ref="I65">IF(B65&gt;0,SUM('Direct Costs 2026'!$C$20:$C$21),"N/A")</f>
        <v>N/A</v>
      </c>
      <c r="J65" t="str" s="640" cm="1">
        <f t="array" ref="J65">IF(B65&gt;0,'Direct Costs 2026'!$C$14,"N/A")</f>
        <v>N/A</v>
      </c>
      <c r="K65" t="str" s="640" cm="1">
        <f t="array" ref="K65">IF(B65&gt;0,'Direct Costs 2026'!$C$26,"N/A")</f>
        <v>N/A</v>
      </c>
      <c r="L65" t="str" s="640" cm="1">
        <f t="array" ref="L65">IF(B65&gt;0,SUM('Direct Costs 2026'!$C$23:$C$24),"N/A")</f>
        <v>N/A</v>
      </c>
      <c r="M65" t="str" s="640" cm="1">
        <f t="array" ref="M65">IF(B65&gt;0,'Direct Costs 2026'!$C$45*B65,"N/A")</f>
        <v>N/A</v>
      </c>
      <c r="N65" t="str" s="640" cm="1">
        <f t="array" ref="N65">IF($B65&gt;0,'Direct Costs 2026'!$C$29,"N/A")</f>
        <v>N/A</v>
      </c>
      <c r="O65" t="str" s="640" cm="1">
        <f t="array" ref="O65">IF($B65&gt;0,'Direct Costs 2026'!$C$31,"N/A")</f>
        <v>N/A</v>
      </c>
      <c r="P65" t="str" s="640" cm="1">
        <f t="array" ref="P65">IF(B65&gt;0,'Direct Costs 2026'!$C$59*B65,"N/A")</f>
        <v>N/A</v>
      </c>
      <c r="Q65" t="str" s="640" cm="1">
        <f t="array" ref="Q65">IF(B65&gt;0,_xlfn.IFERROR(VLOOKUP(C46,'Boats Data Sheet 2026'!$C$3:$I$57,7,0)*'Direct Costs 2026'!$C$36,"N/A"),"N/A")</f>
        <v>N/A</v>
      </c>
      <c r="R65" s="639"/>
      <c r="S65" t="str" s="640" cm="1">
        <f t="array" ref="S65">IF(B65&gt;0,IF(OR(VLOOKUP(C46,'Boats Data Sheet 2026'!$C$3:$F$57,4,0)="Own",VLOOKUP(C46,'Boats Data Sheet 2026'!$C$3:$F$57,4,0)="Management"),('Direct Costs 2026'!$C$37+'Direct Costs 2026'!$C$39),"N/A"),"N/A")</f>
        <v>N/A</v>
      </c>
      <c r="T65" t="str" s="640" cm="1">
        <f t="array" ref="T65">_xlfn.IFERROR(IF(B65&gt;5,IF(B65&gt;11,IF(B65&gt;15,4,3),2),IF(B65=0,"N/A",1))*SUM('Direct Costs 2026'!$C$67:$C$68),"N/A")</f>
        <v>N/A</v>
      </c>
      <c r="U65" t="str" s="640" cm="1">
        <f t="array" ref="U65">_xlfn.IFERROR('Direct Costs 2026'!$C$27*C65,"N/A")</f>
        <v>N/A</v>
      </c>
      <c r="V65" t="str" s="640" cm="1">
        <f t="array" ref="V65">_xlfn.IFERROR(C65+SUM(E65:U65),"N/A")</f>
        <v>N/A</v>
      </c>
      <c r="W65" s="424"/>
      <c r="X65" t="str" s="640" cm="1">
        <f t="array" ref="X65">IF(B65&gt;0,'Allocation OH and Target 2026'!$E$31,"N/A")</f>
        <v>N/A</v>
      </c>
      <c r="Y65" t="str" s="640" cm="1">
        <f t="array" ref="Y65">IF(B65&gt;0,VLOOKUP(C46,'Allocation OH and Target 2026'!$C$5:$T$23,16,0),"N/A")</f>
        <v>N/A</v>
      </c>
      <c r="Z65" t="str" s="640" cm="1">
        <f t="array" ref="Z65">_xlfn.IFERROR((X65+Y65),"N/A")</f>
        <v>N/A</v>
      </c>
      <c r="AA65" s="424"/>
      <c r="AB65" t="str" s="640" cm="1">
        <f t="array" ref="AB65">_xlfn.IFERROR(Z65+V65,"N/A")</f>
        <v>N/A</v>
      </c>
      <c r="AC65" t="str" s="640" cm="1">
        <f t="array" ref="AC65">_xlfn.IFERROR(AB65*0.5%,"N/A")</f>
        <v>N/A</v>
      </c>
      <c r="AD65" t="str" s="640" cm="1">
        <f t="array" ref="AD65">_xlfn.IFERROR(AB65*25%,"N/A")</f>
        <v>N/A</v>
      </c>
      <c r="AE65" t="str" s="648" cm="1">
        <f t="array" ref="AE65">IF(B65&gt;0,SUM(AB65:AD65),"N/A")</f>
        <v>N/A</v>
      </c>
      <c r="AF65" t="str" s="640" cm="1">
        <f t="array" ref="AF65">_xlfn.IFERROR(AE65/B65,"N/A")</f>
        <v>N/A</v>
      </c>
      <c r="AG65" s="424"/>
      <c r="AH65" t="str" s="648" cm="1">
        <f t="array" ref="AH65">IF(B65/VLOOKUP(C46,'Boats Data Sheet 2026'!$C$3:$H$57,6,0)&gt;VLOOKUP(C46,'Allocation OH and Target 2026'!$C$5:$J$23,8,0),IF(SUM(AI48:AI64)=0,AF65,"N/A"),"N/A")</f>
        <v>N/A</v>
      </c>
      <c r="AI65" s="424" cm="1">
        <f t="array" ref="AI65">IF(AH65="N/A",0,1)</f>
        <v>0</v>
      </c>
      <c r="AJ65" t="str" s="640" cm="1">
        <f t="array" ref="AJ65">IF(B65/VLOOKUP(C46,'Boats Data Sheet 2026'!$C$3:$H$57,6,0)&gt;VLOOKUP(C46,'Allocation OH and Target 2026'!$C$5:$J$23,8,0),IF(SUM(AI48:AI64)=0,V65/B65,"N/A"),"N/A")</f>
        <v>N/A</v>
      </c>
      <c r="AK65" s="424" cm="1">
        <f t="array" ref="AK65">IF(AJ65="N/A",0,1)</f>
        <v>0</v>
      </c>
      <c r="AL65" t="str" s="628" cm="1">
        <f t="array" ref="AL65">IF(SUM(1250000+700000)*B65&lt;SUM(AB65:AC65),"NO GO","GO")</f>
        <v>GO</v>
      </c>
      <c r="AM65" s="424"/>
      <c r="AN65" s="639"/>
      <c r="AO65" s="639"/>
      <c r="AP65" s="639"/>
      <c r="AQ65" s="645"/>
      <c r="AR65" s="601" cm="1">
        <f t="array" ref="AR65">B65</f>
        <v>0</v>
      </c>
    </row>
    <row r="66" ht="15.5" customHeight="1">
      <c r="A66" s="12"/>
      <c r="B66" s="650">
        <v>0</v>
      </c>
      <c r="C66" t="str" s="651" cm="1">
        <f t="array" ref="C66">IF(B66&gt;0,IF(VLOOKUP(C46,'Boats Data Sheet 2026'!$C$3:$J$57,8,0)="N/A",0,VLOOKUP(C46,'Boats Data Sheet 2026'!$C$3:$J$57,8,0)),"N/A")</f>
        <v>N/A</v>
      </c>
      <c r="D66" t="str" s="651" cm="1">
        <f t="array" ref="D66">IF(B66&gt;7,2,IF(B66=0,"N/A",1))</f>
        <v>N/A</v>
      </c>
      <c r="E66" t="str" s="651" cm="1">
        <f t="array" ref="E66">_xlfn.IFERROR(SUM('Direct Costs 2026'!$C$4:$C$6)*D66,"N/A")</f>
        <v>N/A</v>
      </c>
      <c r="F66" s="652" cm="1">
        <f t="array" ref="F66">_xlfn.IFERROR('Direct Costs 2026'!$C$43*B66,"N/A")</f>
        <v>0</v>
      </c>
      <c r="G66" t="str" s="651" cm="1">
        <f t="array" ref="G66">IF(B66&gt;0,'Direct Costs 2026'!$C$25,"N/A")</f>
        <v>N/A</v>
      </c>
      <c r="H66" t="str" s="651" cm="1">
        <f t="array" ref="H66">IF(B66&gt;0,('Direct Costs 2026'!$C$19+'Direct Costs 2026'!$C$18*B66),"N/A")</f>
        <v>N/A</v>
      </c>
      <c r="I66" t="str" s="651" cm="1">
        <f t="array" ref="I66">IF(B66&gt;0,SUM('Direct Costs 2026'!$C$20:$C$21),"N/A")</f>
        <v>N/A</v>
      </c>
      <c r="J66" t="str" s="651" cm="1">
        <f t="array" ref="J66">IF(B66&gt;0,'Direct Costs 2026'!$C$14,"N/A")</f>
        <v>N/A</v>
      </c>
      <c r="K66" t="str" s="651" cm="1">
        <f t="array" ref="K66">IF(B66&gt;0,'Direct Costs 2026'!$C$26,"N/A")</f>
        <v>N/A</v>
      </c>
      <c r="L66" t="str" s="651" cm="1">
        <f t="array" ref="L66">IF(B66&gt;0,SUM('Direct Costs 2026'!$C$23:$C$24),"N/A")</f>
        <v>N/A</v>
      </c>
      <c r="M66" t="str" s="651" cm="1">
        <f t="array" ref="M66">IF(B66&gt;0,'Direct Costs 2026'!$C$45*B66,"N/A")</f>
        <v>N/A</v>
      </c>
      <c r="N66" t="str" s="651" cm="1">
        <f t="array" ref="N66">IF($B66&gt;0,'Direct Costs 2026'!$C$29,"N/A")</f>
        <v>N/A</v>
      </c>
      <c r="O66" t="str" s="651" cm="1">
        <f t="array" ref="O66">IF($B66&gt;0,'Direct Costs 2026'!$C$31,"N/A")</f>
        <v>N/A</v>
      </c>
      <c r="P66" t="str" s="651" cm="1">
        <f t="array" ref="P66">IF(B66&gt;0,'Direct Costs 2026'!$C$59*B66,"N/A")</f>
        <v>N/A</v>
      </c>
      <c r="Q66" t="str" s="651" cm="1">
        <f t="array" ref="Q66">IF(B66&gt;0,_xlfn.IFERROR(VLOOKUP(C46,'Boats Data Sheet 2026'!$C$3:$I$57,7,0)*'Direct Costs 2026'!$C$36,"N/A"),"N/A")</f>
        <v>N/A</v>
      </c>
      <c r="R66" s="652"/>
      <c r="S66" t="str" s="651" cm="1">
        <f t="array" ref="S66">IF(B66&gt;0,IF(OR(VLOOKUP(C46,'Boats Data Sheet 2026'!$C$3:$F$57,4,0)="Own",VLOOKUP(C46,'Boats Data Sheet 2026'!$C$3:$F$57,4,0)="Management"),('Direct Costs 2026'!$C$37+'Direct Costs 2026'!$C$39),"N/A"),"N/A")</f>
        <v>N/A</v>
      </c>
      <c r="T66" t="str" s="651" cm="1">
        <f t="array" ref="T66">_xlfn.IFERROR(IF(B66&gt;5,IF(B66&gt;11,IF(B66&gt;15,4,3),2),IF(B66=0,"N/A",1))*SUM('Direct Costs 2026'!$C$67:$C$68),"N/A")</f>
        <v>N/A</v>
      </c>
      <c r="U66" t="str" s="651" cm="1">
        <f t="array" ref="U66">_xlfn.IFERROR('Direct Costs 2026'!$C$27*C66,"N/A")</f>
        <v>N/A</v>
      </c>
      <c r="V66" t="str" s="651" cm="1">
        <f t="array" ref="V66">_xlfn.IFERROR(C66+SUM(E66:U66),"N/A")</f>
        <v>N/A</v>
      </c>
      <c r="W66" s="435"/>
      <c r="X66" t="str" s="651" cm="1">
        <f t="array" ref="X66">IF(B66&gt;0,'Allocation OH and Target 2026'!$E$31,"N/A")</f>
        <v>N/A</v>
      </c>
      <c r="Y66" t="str" s="651" cm="1">
        <f t="array" ref="Y66">IF(B66&gt;0,VLOOKUP(C46,'Allocation OH and Target 2026'!$C$5:$T$23,16,0),"N/A")</f>
        <v>N/A</v>
      </c>
      <c r="Z66" t="str" s="651" cm="1">
        <f t="array" ref="Z66">_xlfn.IFERROR((X66+Y66),"N/A")</f>
        <v>N/A</v>
      </c>
      <c r="AA66" s="435"/>
      <c r="AB66" t="str" s="651" cm="1">
        <f t="array" ref="AB66">_xlfn.IFERROR(Z66+V66,"N/A")</f>
        <v>N/A</v>
      </c>
      <c r="AC66" t="str" s="651" cm="1">
        <f t="array" ref="AC66">_xlfn.IFERROR(AB66*0.5%,"N/A")</f>
        <v>N/A</v>
      </c>
      <c r="AD66" t="str" s="651" cm="1">
        <f t="array" ref="AD66">_xlfn.IFERROR(AB66*25%,"N/A")</f>
        <v>N/A</v>
      </c>
      <c r="AE66" t="str" s="653" cm="1">
        <f t="array" ref="AE66">IF(B66&gt;0,SUM(AB66:AD66),"N/A")</f>
        <v>N/A</v>
      </c>
      <c r="AF66" t="str" s="651" cm="1">
        <f t="array" ref="AF66">_xlfn.IFERROR(AE66/B66,"N/A")</f>
        <v>N/A</v>
      </c>
      <c r="AG66" s="435"/>
      <c r="AH66" t="str" s="653" cm="1">
        <f t="array" ref="AH66">IF(B66/VLOOKUP(C46,'Boats Data Sheet 2026'!$C$3:$H$57,6,0)&gt;VLOOKUP(C46,'Allocation OH and Target 2026'!$C$5:$J$23,8,0),IF(SUM(AI48:AI65)=0,AF66,"N/A"),"N/A")</f>
        <v>N/A</v>
      </c>
      <c r="AI66" s="435" cm="1">
        <f t="array" ref="AI66">IF(AH66="N/A",0,1)</f>
        <v>0</v>
      </c>
      <c r="AJ66" t="str" s="651" cm="1">
        <f t="array" ref="AJ66">IF(B66/VLOOKUP(C46,'Boats Data Sheet 2026'!$C$3:$H$57,6,0)&gt;VLOOKUP(C46,'Allocation OH and Target 2026'!$C$5:$J$23,8,0),IF(SUM(AI48:AI65)=0,V66/B66,"N/A"),"N/A")</f>
        <v>N/A</v>
      </c>
      <c r="AK66" s="435" cm="1">
        <f t="array" ref="AK66">IF(AJ66="N/A",0,1)</f>
        <v>0</v>
      </c>
      <c r="AL66" t="str" s="654" cm="1">
        <f t="array" ref="AL66">IF(SUM(1250000+700000)*B66&lt;SUM(AB66:AC66),"NO GO","GO")</f>
        <v>GO</v>
      </c>
      <c r="AM66" s="435"/>
      <c r="AN66" s="652"/>
      <c r="AO66" s="652"/>
      <c r="AP66" s="652"/>
      <c r="AQ66" s="655"/>
      <c r="AR66" s="601" cm="1">
        <f t="array" ref="AR66">B66</f>
        <v>0</v>
      </c>
    </row>
    <row r="67" ht="16" customHeight="1">
      <c r="A67" s="32"/>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18"/>
    </row>
    <row r="68" ht="15.5" customHeight="1">
      <c r="A68" s="395">
        <v>4</v>
      </c>
      <c r="B68" t="s" s="619">
        <v>506</v>
      </c>
      <c r="C68" t="s" s="620">
        <v>53</v>
      </c>
      <c r="D68" s="622"/>
      <c r="E68" s="621"/>
      <c r="F68" s="621"/>
      <c r="G68" s="621"/>
      <c r="H68" s="621"/>
      <c r="I68" s="621"/>
      <c r="J68" s="621"/>
      <c r="K68" s="621"/>
      <c r="L68" s="621"/>
      <c r="M68" s="621"/>
      <c r="N68" s="621"/>
      <c r="O68" s="621"/>
      <c r="P68" s="621"/>
      <c r="Q68" s="621"/>
      <c r="R68" s="621"/>
      <c r="S68" s="621"/>
      <c r="T68" s="621"/>
      <c r="U68" s="621"/>
      <c r="V68" s="621"/>
      <c r="W68" s="399"/>
      <c r="X68" s="621"/>
      <c r="Y68" s="621"/>
      <c r="Z68" s="621"/>
      <c r="AA68" s="399"/>
      <c r="AB68" s="621"/>
      <c r="AC68" s="621"/>
      <c r="AD68" s="621"/>
      <c r="AE68" s="621"/>
      <c r="AF68" s="621"/>
      <c r="AG68" s="399"/>
      <c r="AH68" s="622"/>
      <c r="AI68" s="399"/>
      <c r="AJ68" s="621"/>
      <c r="AK68" s="399"/>
      <c r="AL68" s="621"/>
      <c r="AM68" s="399"/>
      <c r="AN68" s="621"/>
      <c r="AO68" s="621"/>
      <c r="AP68" s="621"/>
      <c r="AQ68" s="623"/>
      <c r="AR68" s="578"/>
    </row>
    <row r="69" ht="16" customHeight="1">
      <c r="A69" s="12"/>
      <c r="B69" s="624"/>
      <c r="C69" t="s" s="625">
        <v>513</v>
      </c>
      <c r="D69" s="626"/>
      <c r="E69" s="626"/>
      <c r="F69" s="626"/>
      <c r="G69" s="626"/>
      <c r="H69" s="626"/>
      <c r="I69" s="626"/>
      <c r="J69" s="626"/>
      <c r="K69" s="626"/>
      <c r="L69" s="626"/>
      <c r="M69" s="626"/>
      <c r="N69" s="626"/>
      <c r="O69" s="626"/>
      <c r="P69" s="626"/>
      <c r="Q69" s="626"/>
      <c r="R69" s="626"/>
      <c r="S69" s="626"/>
      <c r="T69" s="626"/>
      <c r="U69" s="626"/>
      <c r="V69" s="627"/>
      <c r="W69" s="407"/>
      <c r="X69" t="s" s="625">
        <v>514</v>
      </c>
      <c r="Y69" s="626"/>
      <c r="Z69" s="627"/>
      <c r="AA69" s="407"/>
      <c r="AB69" t="s" s="625">
        <v>515</v>
      </c>
      <c r="AC69" s="626"/>
      <c r="AD69" s="626"/>
      <c r="AE69" s="626"/>
      <c r="AF69" s="627"/>
      <c r="AG69" s="410"/>
      <c r="AH69" s="628"/>
      <c r="AI69" s="410"/>
      <c r="AJ69" s="629"/>
      <c r="AK69" s="410"/>
      <c r="AL69" s="629"/>
      <c r="AM69" s="410"/>
      <c r="AN69" s="629"/>
      <c r="AO69" s="629"/>
      <c r="AP69" s="629"/>
      <c r="AQ69" s="630"/>
      <c r="AR69" s="578"/>
    </row>
    <row r="70" ht="60.5" customHeight="1">
      <c r="A70" s="12"/>
      <c r="B70" t="s" s="631">
        <v>517</v>
      </c>
      <c r="C70" t="s" s="632">
        <v>518</v>
      </c>
      <c r="D70" t="s" s="632">
        <v>519</v>
      </c>
      <c r="E70" t="s" s="632">
        <v>520</v>
      </c>
      <c r="F70" t="s" s="633">
        <v>521</v>
      </c>
      <c r="G70" t="s" s="633">
        <v>522</v>
      </c>
      <c r="H70" t="s" s="633">
        <v>524</v>
      </c>
      <c r="I70" t="s" s="633">
        <v>525</v>
      </c>
      <c r="J70" t="s" s="633">
        <v>553</v>
      </c>
      <c r="K70" t="s" s="633">
        <v>526</v>
      </c>
      <c r="L70" t="s" s="633">
        <v>527</v>
      </c>
      <c r="M70" t="s" s="633">
        <v>528</v>
      </c>
      <c r="N70" t="s" s="633">
        <v>608</v>
      </c>
      <c r="O70" t="s" s="633">
        <v>609</v>
      </c>
      <c r="P70" t="s" s="633">
        <v>604</v>
      </c>
      <c r="Q70" t="s" s="633">
        <v>610</v>
      </c>
      <c r="R70" t="s" s="633">
        <v>529</v>
      </c>
      <c r="S70" t="s" s="633">
        <v>530</v>
      </c>
      <c r="T70" t="s" s="633">
        <v>572</v>
      </c>
      <c r="U70" t="s" s="633">
        <v>531</v>
      </c>
      <c r="V70" t="s" s="633">
        <v>532</v>
      </c>
      <c r="W70" s="556"/>
      <c r="X70" t="s" s="633">
        <v>533</v>
      </c>
      <c r="Y70" t="s" s="633">
        <v>534</v>
      </c>
      <c r="Z70" t="s" s="633">
        <v>535</v>
      </c>
      <c r="AA70" s="556"/>
      <c r="AB70" t="s" s="633">
        <v>536</v>
      </c>
      <c r="AC70" t="s" s="633">
        <v>537</v>
      </c>
      <c r="AD70" t="s" s="633">
        <v>538</v>
      </c>
      <c r="AE70" t="s" s="633">
        <v>575</v>
      </c>
      <c r="AF70" t="s" s="633">
        <v>539</v>
      </c>
      <c r="AG70" s="557"/>
      <c r="AH70" t="s" s="633">
        <v>576</v>
      </c>
      <c r="AI70" s="557"/>
      <c r="AJ70" t="s" s="633">
        <v>577</v>
      </c>
      <c r="AK70" s="557"/>
      <c r="AL70" t="s" s="632">
        <v>578</v>
      </c>
      <c r="AM70" s="557"/>
      <c r="AN70" s="634"/>
      <c r="AO70" s="634"/>
      <c r="AP70" s="634"/>
      <c r="AQ70" s="635"/>
      <c r="AR70" s="578"/>
    </row>
    <row r="71" ht="16.5" customHeight="1">
      <c r="A71" s="12"/>
      <c r="B71" s="636">
        <v>1</v>
      </c>
      <c r="C71" s="637" cm="1">
        <f t="array" ref="C71">IF(B71&gt;0,IF(VLOOKUP(C68,'Boats Data Sheet 2026'!$C$3:$J$57,8,0)="N/A",0,VLOOKUP(C68,'Boats Data Sheet 2026'!$C$3:$J$57,8,0)),"N/A")</f>
        <v>0</v>
      </c>
      <c r="D71" s="638" cm="1">
        <f t="array" ref="D71">IF(B71&gt;7,2,IF(B71=0,"N/A",1))</f>
        <v>1</v>
      </c>
      <c r="E71" s="637" cm="1">
        <f t="array" ref="E71">_xlfn.IFERROR(SUM('Direct Costs 2026'!$C$4:$C$6)*D71,"N/A")</f>
        <v>975500</v>
      </c>
      <c r="F71" s="639" cm="1">
        <f t="array" ref="F71">_xlfn.IFERROR('Direct Costs 2026'!$C$43*B71,"N/A")</f>
        <v>6000</v>
      </c>
      <c r="G71" s="639" cm="1">
        <f t="array" ref="G71">IF(B71&gt;0,'Direct Costs 2026'!$C$25,"N/A")</f>
        <v>90000</v>
      </c>
      <c r="H71" s="639" cm="1">
        <f t="array" ref="H71">IF(B71&gt;0,('Direct Costs 2026'!$C$19+'Direct Costs 2026'!$C$18*B71),"N/A")</f>
        <v>110000</v>
      </c>
      <c r="I71" s="639" cm="1">
        <f t="array" ref="I71">IF(B71&gt;0,SUM('Direct Costs 2026'!$C$20:$C$21),"N/A")</f>
        <v>98333.3333333333</v>
      </c>
      <c r="J71" s="639" cm="1">
        <f t="array" ref="J71">IF(B71&gt;0,'Direct Costs 2026'!$C$14,"N/A")</f>
        <v>60000</v>
      </c>
      <c r="K71" s="639" cm="1">
        <f t="array" ref="K71">IF(B71&gt;0,'Direct Costs 2026'!$C$26,"N/A")</f>
        <v>20000</v>
      </c>
      <c r="L71" s="639" cm="1">
        <f t="array" ref="L71">IF(B71&gt;0,SUM('Direct Costs 2026'!$C$23:$C$24),"N/A")</f>
        <v>160000</v>
      </c>
      <c r="M71" s="639" cm="1">
        <f t="array" ref="M71">IF(B71&gt;0,'Direct Costs 2026'!$C$49*B71,"N/A")</f>
        <v>200000</v>
      </c>
      <c r="N71" s="639" cm="1">
        <f t="array" ref="N71">IF($B71&gt;0,'Direct Costs 2026'!$C$29,"N/A")</f>
        <v>1500000</v>
      </c>
      <c r="O71" s="639" cm="1">
        <f t="array" ref="O71">IF($B71&gt;0,'Direct Costs 2026'!$C$31/3,"N/A")</f>
        <v>290000</v>
      </c>
      <c r="P71" s="639" cm="1">
        <f t="array" ref="P71">IF(B71&gt;0,'Direct Costs 2026'!$C$59*B71,"N/A")</f>
        <v>41000</v>
      </c>
      <c r="Q71" s="639" cm="1">
        <f t="array" ref="Q71">IF($B71&gt;0,'Direct Costs 2026'!$C$34,"N/A")</f>
        <v>550000</v>
      </c>
      <c r="R71" s="639" cm="1">
        <f t="array" ref="R71">IF(B71&gt;0,_xlfn.IFERROR(VLOOKUP(C68,'Boats Data Sheet 2026'!$C$3:$I$57,7,0)*'Direct Costs 2026'!$C$36,"N/A"),"N/A")</f>
        <v>3325000</v>
      </c>
      <c r="S71" s="639" cm="1">
        <f t="array" ref="S71">IF(B71&gt;0,IF(OR(VLOOKUP(C68,'Boats Data Sheet 2026'!$C$3:$F$57,4,0)="Own",VLOOKUP(C68,'Boats Data Sheet 2026'!$C$3:$F$57,4,0)="Management"),('Direct Costs 2026'!$C$37+'Direct Costs 2026'!$C$39),"N/A"),"N/A")</f>
        <v>1112400</v>
      </c>
      <c r="T71" s="639" cm="1">
        <f t="array" ref="T71">_xlfn.IFERROR(IF(B71&gt;5,IF(B71&gt;11,IF(B71&gt;15,4,3),2),IF(B71=0,"N/A",1))*SUM('Direct Costs 2026'!$C$67:$C$68),"N/A")</f>
        <v>489600</v>
      </c>
      <c r="U71" s="639" cm="1">
        <f t="array" ref="U71">_xlfn.IFERROR('Direct Costs 2026'!$C$27*C71,"N/A")</f>
        <v>0</v>
      </c>
      <c r="V71" s="639" cm="1">
        <f t="array" ref="V71">_xlfn.IFERROR(C71+SUM(E71:U71),"N/A")</f>
        <v>9027833.33333333</v>
      </c>
      <c r="W71" s="424"/>
      <c r="X71" s="639" cm="1">
        <f t="array" ref="X71">IF(B71&gt;0,'Allocation OH and Target 2026'!$E$31,"N/A")</f>
        <v>3100447.15769812</v>
      </c>
      <c r="Y71" s="639" cm="1">
        <f t="array" ref="Y71">IF(B71&gt;0,VLOOKUP(C68,'Allocation OH and Target 2026'!$C$5:$T$23,17,0),"N/A")</f>
        <v>965292.639603957</v>
      </c>
      <c r="Z71" s="639" cm="1">
        <f t="array" ref="Z71">_xlfn.IFERROR((X71+Y71),"N/A")</f>
        <v>4065739.79730208</v>
      </c>
      <c r="AA71" s="424"/>
      <c r="AB71" s="639" cm="1">
        <f t="array" ref="AB71">_xlfn.IFERROR(Z71+V71,"N/A")</f>
        <v>13093573.1306354</v>
      </c>
      <c r="AC71" s="639" cm="1">
        <f t="array" ref="AC71">_xlfn.IFERROR(AB71*0.5%,"N/A")</f>
        <v>65467.865653177</v>
      </c>
      <c r="AD71" s="639" cm="1">
        <f t="array" ref="AD71">_xlfn.IFERROR(AB71*25%,"N/A")</f>
        <v>3273393.28265885</v>
      </c>
      <c r="AE71" s="641" cm="1">
        <f t="array" ref="AE71">IF(B71&gt;0,SUM(AB71:AD71),"N/A")</f>
        <v>16432434.2789474</v>
      </c>
      <c r="AF71" s="639" cm="1">
        <f t="array" ref="AF71">_xlfn.IFERROR(AE71/B71,"N/A")</f>
        <v>16432434.2789474</v>
      </c>
      <c r="AG71" s="424"/>
      <c r="AH71" t="s" s="642">
        <v>14</v>
      </c>
      <c r="AI71" s="424" cm="1">
        <f t="array" ref="AI71">IF(AH71="N/A",0,1)</f>
        <v>0</v>
      </c>
      <c r="AJ71" t="s" s="643">
        <v>14</v>
      </c>
      <c r="AK71" s="424" cm="1">
        <f t="array" ref="AK71">IF(AJ71="N/A",0,1)</f>
        <v>0</v>
      </c>
      <c r="AL71" t="str" s="644" cm="1">
        <f t="array" ref="AL71">IF(SUM(1250000+700000)*B71&lt;SUM(AB71:AC71),"NO GO","GO")</f>
        <v>NO GO</v>
      </c>
      <c r="AM71" s="424"/>
      <c r="AN71" s="639"/>
      <c r="AO71" s="639"/>
      <c r="AP71" s="639"/>
      <c r="AQ71" s="645"/>
      <c r="AR71" s="601" cm="1">
        <f t="array" ref="AR71">B71</f>
        <v>1</v>
      </c>
    </row>
    <row r="72" ht="16" customHeight="1">
      <c r="A72" s="12"/>
      <c r="B72" s="646" cm="1">
        <f t="array" ref="B72">IF(B71=0,0,IF(B71&lt;VLOOKUP(C68,'Boats Data Sheet 2026'!$C$3:$H$57,6,0),B71+1,0))</f>
        <v>2</v>
      </c>
      <c r="C72" s="639" cm="1">
        <f t="array" ref="C72">IF(B72&gt;0,IF(VLOOKUP(C68,'Boats Data Sheet 2026'!$C$3:$J$57,8,0)="N/A",0,VLOOKUP(C68,'Boats Data Sheet 2026'!$C$3:$J$57,8,0)),"N/A")</f>
        <v>0</v>
      </c>
      <c r="D72" s="647" cm="1">
        <f t="array" ref="D72">IF(B72&gt;7,2,IF(B72=0,"N/A",1))</f>
        <v>1</v>
      </c>
      <c r="E72" s="639" cm="1">
        <f t="array" ref="E72">_xlfn.IFERROR(SUM('Direct Costs 2026'!$C$4:$C$6)*D72,"N/A")</f>
        <v>975500</v>
      </c>
      <c r="F72" s="639" cm="1">
        <f t="array" ref="F72">_xlfn.IFERROR('Direct Costs 2026'!$C$43*B72,"N/A")</f>
        <v>12000</v>
      </c>
      <c r="G72" s="639" cm="1">
        <f t="array" ref="G72">IF(B72&gt;0,'Direct Costs 2026'!$C$25,"N/A")</f>
        <v>90000</v>
      </c>
      <c r="H72" s="639" cm="1">
        <f t="array" ref="H72">IF(B72&gt;0,('Direct Costs 2026'!$C$19+'Direct Costs 2026'!$C$18*B72),"N/A")</f>
        <v>145000</v>
      </c>
      <c r="I72" s="639" cm="1">
        <f t="array" ref="I72">IF(B72&gt;0,SUM('Direct Costs 2026'!$C$20:$C$21),"N/A")</f>
        <v>98333.3333333333</v>
      </c>
      <c r="J72" s="639" cm="1">
        <f t="array" ref="J72">IF(B72&gt;0,'Direct Costs 2026'!$C$14,"N/A")</f>
        <v>60000</v>
      </c>
      <c r="K72" s="639" cm="1">
        <f t="array" ref="K72">IF(B72&gt;0,'Direct Costs 2026'!$C$26,"N/A")</f>
        <v>20000</v>
      </c>
      <c r="L72" s="639" cm="1">
        <f t="array" ref="L72">IF(B72&gt;0,SUM('Direct Costs 2026'!$C$23:$C$24),"N/A")</f>
        <v>160000</v>
      </c>
      <c r="M72" s="639" cm="1">
        <f t="array" ref="M72">IF(B72&gt;0,'Direct Costs 2026'!$C$49*B72,"N/A")</f>
        <v>400000</v>
      </c>
      <c r="N72" s="639" cm="1">
        <f t="array" ref="N72">IF($B72&gt;0,'Direct Costs 2026'!$C$29,"N/A")</f>
        <v>1500000</v>
      </c>
      <c r="O72" s="639" cm="1">
        <f t="array" ref="O72">IF($B72&gt;0,'Direct Costs 2026'!$C$31/3,"N/A")</f>
        <v>290000</v>
      </c>
      <c r="P72" s="639" cm="1">
        <f t="array" ref="P72">IF(B72&gt;0,'Direct Costs 2026'!$C$59*B72,"N/A")</f>
        <v>82000</v>
      </c>
      <c r="Q72" s="639" cm="1">
        <f t="array" ref="Q72">IF($B72&gt;0,'Direct Costs 2026'!$C$34,"N/A")</f>
        <v>550000</v>
      </c>
      <c r="R72" s="639" cm="1">
        <f t="array" ref="R72">IF(B72&gt;0,_xlfn.IFERROR(VLOOKUP(C68,'Boats Data Sheet 2026'!$C$3:$I$57,7,0)*'Direct Costs 2026'!$C$36,"N/A"),"N/A")</f>
        <v>3325000</v>
      </c>
      <c r="S72" s="639" cm="1">
        <f t="array" ref="S72">IF(B72&gt;0,IF(OR(VLOOKUP(C68,'Boats Data Sheet 2026'!$C$3:$F$57,4,0)="Own",VLOOKUP(C68,'Boats Data Sheet 2026'!$C$3:$F$57,4,0)="Management"),('Direct Costs 2026'!$C$37+'Direct Costs 2026'!$C$39),"N/A"),"N/A")</f>
        <v>1112400</v>
      </c>
      <c r="T72" s="639" cm="1">
        <f t="array" ref="T72">_xlfn.IFERROR(IF(B72&gt;5,IF(B72&gt;11,IF(B72&gt;15,4,3),2),IF(B72=0,"N/A",1))*SUM('Direct Costs 2026'!$C$67:$C$68),"N/A")</f>
        <v>489600</v>
      </c>
      <c r="U72" s="639" cm="1">
        <f t="array" ref="U72">_xlfn.IFERROR('Direct Costs 2026'!$C$27*C72,"N/A")</f>
        <v>0</v>
      </c>
      <c r="V72" s="639" cm="1">
        <f t="array" ref="V72">_xlfn.IFERROR(C72+SUM(E72:U72),"N/A")</f>
        <v>9309833.33333333</v>
      </c>
      <c r="W72" s="424"/>
      <c r="X72" s="639" cm="1">
        <f t="array" ref="X72">IF(B72&gt;0,'Allocation OH and Target 2026'!$E$31,"N/A")</f>
        <v>3100447.15769812</v>
      </c>
      <c r="Y72" s="639" cm="1">
        <f t="array" ref="Y72">IF(B72&gt;0,VLOOKUP(C68,'Allocation OH and Target 2026'!$C$5:$T$23,17,0),"N/A")</f>
        <v>965292.639603957</v>
      </c>
      <c r="Z72" s="639" cm="1">
        <f t="array" ref="Z72">_xlfn.IFERROR((X72+Y72),"N/A")</f>
        <v>4065739.79730208</v>
      </c>
      <c r="AA72" s="424"/>
      <c r="AB72" s="639" cm="1">
        <f t="array" ref="AB72">_xlfn.IFERROR(Z72+V72,"N/A")</f>
        <v>13375573.1306354</v>
      </c>
      <c r="AC72" s="639" cm="1">
        <f t="array" ref="AC72">_xlfn.IFERROR(AB72*0.5%,"N/A")</f>
        <v>66877.865653177</v>
      </c>
      <c r="AD72" s="639" cm="1">
        <f t="array" ref="AD72">_xlfn.IFERROR(AB72*25%,"N/A")</f>
        <v>3343893.28265885</v>
      </c>
      <c r="AE72" s="641" cm="1">
        <f t="array" ref="AE72">IF(B72&gt;0,SUM(AB72:AD72),"N/A")</f>
        <v>16786344.2789474</v>
      </c>
      <c r="AF72" s="639" cm="1">
        <f t="array" ref="AF72">_xlfn.IFERROR(AE72/B72,"N/A")</f>
        <v>8393172.139473701</v>
      </c>
      <c r="AG72" s="424"/>
      <c r="AH72" t="str" s="648" cm="1">
        <f t="array" ref="AH72">IF(B72/VLOOKUP(C68,'Boats Data Sheet 2026'!$C$3:$H$57,6,0)&gt;VLOOKUP(C68,'Allocation OH and Target 2026'!$C$5:$J$23,8,0),IF(SUM(AI70:AI71)=0,AF72,"N/A"),"N/A")</f>
        <v>N/A</v>
      </c>
      <c r="AI72" s="424" cm="1">
        <f t="array" ref="AI72">IF(AH72="N/A",0,1)</f>
        <v>0</v>
      </c>
      <c r="AJ72" t="str" s="640" cm="1">
        <f t="array" ref="AJ72">IF(B72/VLOOKUP(C68,'Boats Data Sheet 2026'!$C$3:$H$57,6,0)&gt;VLOOKUP(C68,'Allocation OH and Target 2026'!$C$5:$J$23,8,0),IF(SUM(AI70:AI71)=0,V72/B72,"N/A"),"N/A")</f>
        <v>N/A</v>
      </c>
      <c r="AK72" s="424" cm="1">
        <f t="array" ref="AK72">IF(AJ72="N/A",0,1)</f>
        <v>0</v>
      </c>
      <c r="AL72" t="str" s="628" cm="1">
        <f t="array" ref="AL72">IF(SUM(1250000+700000)*B72&lt;SUM(AB72:AC72),"NO GO","GO")</f>
        <v>NO GO</v>
      </c>
      <c r="AM72" s="424"/>
      <c r="AN72" s="639"/>
      <c r="AO72" s="639"/>
      <c r="AP72" s="639"/>
      <c r="AQ72" s="645"/>
      <c r="AR72" s="601" cm="1">
        <f t="array" ref="AR72">B72</f>
        <v>2</v>
      </c>
    </row>
    <row r="73" ht="16" customHeight="1">
      <c r="A73" s="12"/>
      <c r="B73" s="646">
        <v>0</v>
      </c>
      <c r="C73" t="str" s="640" cm="1">
        <f t="array" ref="C73">IF(B73&gt;0,IF(VLOOKUP(C68,'Boats Data Sheet 2026'!$C$3:$J$57,8,0)="N/A",0,VLOOKUP(C68,'Boats Data Sheet 2026'!$C$3:$J$57,8,0)),"N/A")</f>
        <v>N/A</v>
      </c>
      <c r="D73" t="str" s="649" cm="1">
        <f t="array" ref="D73">IF(B73&gt;7,2,IF(B73=0,"N/A",1))</f>
        <v>N/A</v>
      </c>
      <c r="E73" t="str" s="640" cm="1">
        <f t="array" ref="E73">_xlfn.IFERROR(SUM('Direct Costs 2026'!$C$4:$C$6)*D73,"N/A")</f>
        <v>N/A</v>
      </c>
      <c r="F73" s="639" cm="1">
        <f t="array" ref="F73">_xlfn.IFERROR('Direct Costs 2026'!$C$43*B73,"N/A")</f>
        <v>0</v>
      </c>
      <c r="G73" t="str" s="640" cm="1">
        <f t="array" ref="G73">IF(B73&gt;0,'Direct Costs 2026'!$C$25,"N/A")</f>
        <v>N/A</v>
      </c>
      <c r="H73" t="str" s="640" cm="1">
        <f t="array" ref="H73">IF(B73&gt;0,('Direct Costs 2026'!$C$19+'Direct Costs 2026'!$C$18*B73),"N/A")</f>
        <v>N/A</v>
      </c>
      <c r="I73" t="str" s="640" cm="1">
        <f t="array" ref="I73">IF(B73&gt;0,SUM('Direct Costs 2026'!$C$20:$C$21),"N/A")</f>
        <v>N/A</v>
      </c>
      <c r="J73" t="str" s="640" cm="1">
        <f t="array" ref="J73">IF(B73&gt;0,'Direct Costs 2026'!$C$14,"N/A")</f>
        <v>N/A</v>
      </c>
      <c r="K73" t="str" s="640" cm="1">
        <f t="array" ref="K73">IF(B73&gt;0,'Direct Costs 2026'!$C$26,"N/A")</f>
        <v>N/A</v>
      </c>
      <c r="L73" t="str" s="640" cm="1">
        <f t="array" ref="L73">IF(B73&gt;0,SUM('Direct Costs 2026'!$C$23:$C$24),"N/A")</f>
        <v>N/A</v>
      </c>
      <c r="M73" t="str" s="640" cm="1">
        <f t="array" ref="M73">IF(B73&gt;0,'Direct Costs 2026'!$C$45*B73,"N/A")</f>
        <v>N/A</v>
      </c>
      <c r="N73" t="str" s="640" cm="1">
        <f t="array" ref="N73">IF($B73&gt;0,'Direct Costs 2026'!$C$29,"N/A")</f>
        <v>N/A</v>
      </c>
      <c r="O73" t="str" s="640" cm="1">
        <f t="array" ref="O73">IF($B73&gt;0,'Direct Costs 2026'!$C$31,"N/A")</f>
        <v>N/A</v>
      </c>
      <c r="P73" t="str" s="640" cm="1">
        <f t="array" ref="P73">IF(B73&gt;0,'Direct Costs 2026'!$C$59*B73,"N/A")</f>
        <v>N/A</v>
      </c>
      <c r="Q73" t="str" s="640" cm="1">
        <f t="array" ref="Q73">IF(B73&gt;0,_xlfn.IFERROR(VLOOKUP(C68,'Boats Data Sheet 2026'!$C$3:$I$57,7,0)*'Direct Costs 2026'!$C$36,"N/A"),"N/A")</f>
        <v>N/A</v>
      </c>
      <c r="R73" s="639"/>
      <c r="S73" t="str" s="640" cm="1">
        <f t="array" ref="S73">IF(B73&gt;0,IF(OR(VLOOKUP(C68,'Boats Data Sheet 2026'!$C$3:$F$57,4,0)="Own",VLOOKUP(C68,'Boats Data Sheet 2026'!$C$3:$F$57,4,0)="Management"),('Direct Costs 2026'!$C$37+'Direct Costs 2026'!$C$39),"N/A"),"N/A")</f>
        <v>N/A</v>
      </c>
      <c r="T73" t="str" s="640" cm="1">
        <f t="array" ref="T73">_xlfn.IFERROR(IF(B73&gt;5,IF(B73&gt;11,IF(B73&gt;15,4,3),2),IF(B73=0,"N/A",1))*SUM('Direct Costs 2026'!$C$67:$C$68),"N/A")</f>
        <v>N/A</v>
      </c>
      <c r="U73" t="str" s="640" cm="1">
        <f t="array" ref="U73">_xlfn.IFERROR('Direct Costs 2026'!$C$27*C73,"N/A")</f>
        <v>N/A</v>
      </c>
      <c r="V73" t="str" s="640" cm="1">
        <f t="array" ref="V73">_xlfn.IFERROR(C73+SUM(E73:U73),"N/A")</f>
        <v>N/A</v>
      </c>
      <c r="W73" s="424"/>
      <c r="X73" t="str" s="640" cm="1">
        <f t="array" ref="X73">IF(B73&gt;0,'Allocation OH and Target 2026'!$E$31,"N/A")</f>
        <v>N/A</v>
      </c>
      <c r="Y73" t="str" s="640" cm="1">
        <f t="array" ref="Y73">IF(B73&gt;0,VLOOKUP(C68,'Allocation OH and Target 2026'!$C$5:$T$23,16,0),"N/A")</f>
        <v>N/A</v>
      </c>
      <c r="Z73" t="str" s="640" cm="1">
        <f t="array" ref="Z73">_xlfn.IFERROR((X73+Y73),"N/A")</f>
        <v>N/A</v>
      </c>
      <c r="AA73" s="424"/>
      <c r="AB73" t="str" s="640" cm="1">
        <f t="array" ref="AB73">_xlfn.IFERROR(Z73+V73,"N/A")</f>
        <v>N/A</v>
      </c>
      <c r="AC73" t="str" s="640" cm="1">
        <f t="array" ref="AC73">_xlfn.IFERROR(AB73*0.5%,"N/A")</f>
        <v>N/A</v>
      </c>
      <c r="AD73" t="str" s="640" cm="1">
        <f t="array" ref="AD73">_xlfn.IFERROR(AB73*25%,"N/A")</f>
        <v>N/A</v>
      </c>
      <c r="AE73" t="str" s="648" cm="1">
        <f t="array" ref="AE73">IF(B73&gt;0,SUM(AB73:AD73),"N/A")</f>
        <v>N/A</v>
      </c>
      <c r="AF73" t="str" s="640" cm="1">
        <f t="array" ref="AF73">_xlfn.IFERROR(AE73/B73,"N/A")</f>
        <v>N/A</v>
      </c>
      <c r="AG73" s="424"/>
      <c r="AH73" t="str" s="648" cm="1">
        <f t="array" ref="AH73">IF(B73/VLOOKUP(C68,'Boats Data Sheet 2026'!$C$3:$H$57,6,0)&gt;VLOOKUP(C68,'Allocation OH and Target 2026'!$C$5:$J$23,8,0),IF(SUM(AI70:AI72)=0,AF73,"N/A"),"N/A")</f>
        <v>N/A</v>
      </c>
      <c r="AI73" s="424" cm="1">
        <f t="array" ref="AI73">IF(AH73="N/A",0,1)</f>
        <v>0</v>
      </c>
      <c r="AJ73" t="str" s="640" cm="1">
        <f t="array" ref="AJ73">IF(B73/VLOOKUP(C68,'Boats Data Sheet 2026'!$C$3:$H$57,6,0)&gt;VLOOKUP(C68,'Allocation OH and Target 2026'!$C$5:$J$23,8,0),IF(SUM(AI70:AI72)=0,V73/B73,"N/A"),"N/A")</f>
        <v>N/A</v>
      </c>
      <c r="AK73" s="424" cm="1">
        <f t="array" ref="AK73">IF(AJ73="N/A",0,1)</f>
        <v>0</v>
      </c>
      <c r="AL73" t="str" s="628" cm="1">
        <f t="array" ref="AL73">IF(SUM(1250000+700000)*B73&lt;SUM(AB73:AC73),"NO GO","GO")</f>
        <v>GO</v>
      </c>
      <c r="AM73" s="424"/>
      <c r="AN73" s="639"/>
      <c r="AO73" s="639"/>
      <c r="AP73" s="639"/>
      <c r="AQ73" s="645"/>
      <c r="AR73" s="601" cm="1">
        <f t="array" ref="AR73">B73</f>
        <v>0</v>
      </c>
    </row>
    <row r="74" ht="9" customHeight="1" hidden="1">
      <c r="A74" s="12"/>
      <c r="B74" s="646">
        <v>0</v>
      </c>
      <c r="C74" t="str" s="640" cm="1">
        <f t="array" ref="C74">IF(B74&gt;0,IF(VLOOKUP(C68,'Boats Data Sheet 2026'!$C$3:$J$57,8,0)="N/A",0,VLOOKUP(C68,'Boats Data Sheet 2026'!$C$3:$J$57,8,0)),"N/A")</f>
        <v>N/A</v>
      </c>
      <c r="D74" t="str" s="649" cm="1">
        <f t="array" ref="D74">IF(B74&gt;7,2,IF(B74=0,"N/A",1))</f>
        <v>N/A</v>
      </c>
      <c r="E74" t="str" s="640" cm="1">
        <f t="array" ref="E74">_xlfn.IFERROR(SUM('Direct Costs 2026'!$C$4:$C$6)*D74,"N/A")</f>
        <v>N/A</v>
      </c>
      <c r="F74" s="639" cm="1">
        <f t="array" ref="F74">_xlfn.IFERROR('Direct Costs 2026'!$C$43*B74,"N/A")</f>
        <v>0</v>
      </c>
      <c r="G74" t="str" s="640" cm="1">
        <f t="array" ref="G74">IF(B74&gt;0,'Direct Costs 2026'!$C$25,"N/A")</f>
        <v>N/A</v>
      </c>
      <c r="H74" t="str" s="640" cm="1">
        <f t="array" ref="H74">IF(B74&gt;0,('Direct Costs 2026'!$C$19+'Direct Costs 2026'!$C$18*B74),"N/A")</f>
        <v>N/A</v>
      </c>
      <c r="I74" t="str" s="640" cm="1">
        <f t="array" ref="I74">IF(B74&gt;0,SUM('Direct Costs 2026'!$C$20:$C$21),"N/A")</f>
        <v>N/A</v>
      </c>
      <c r="J74" t="str" s="640" cm="1">
        <f t="array" ref="J74">IF(B74&gt;0,'Direct Costs 2026'!$C$14,"N/A")</f>
        <v>N/A</v>
      </c>
      <c r="K74" t="str" s="640" cm="1">
        <f t="array" ref="K74">IF(B74&gt;0,'Direct Costs 2026'!$C$26,"N/A")</f>
        <v>N/A</v>
      </c>
      <c r="L74" t="str" s="640" cm="1">
        <f t="array" ref="L74">IF(B74&gt;0,SUM('Direct Costs 2026'!$C$23:$C$24),"N/A")</f>
        <v>N/A</v>
      </c>
      <c r="M74" t="str" s="640" cm="1">
        <f t="array" ref="M74">IF(B74&gt;0,'Direct Costs 2026'!$C$45*B74,"N/A")</f>
        <v>N/A</v>
      </c>
      <c r="N74" t="str" s="640" cm="1">
        <f t="array" ref="N74">IF($B74&gt;0,'Direct Costs 2026'!$C$29,"N/A")</f>
        <v>N/A</v>
      </c>
      <c r="O74" t="str" s="640" cm="1">
        <f t="array" ref="O74">IF($B74&gt;0,'Direct Costs 2026'!$C$31,"N/A")</f>
        <v>N/A</v>
      </c>
      <c r="P74" t="str" s="640" cm="1">
        <f t="array" ref="P74">IF(B74&gt;0,'Direct Costs 2026'!$C$59*B74,"N/A")</f>
        <v>N/A</v>
      </c>
      <c r="Q74" t="str" s="640" cm="1">
        <f t="array" ref="Q74">IF(B74&gt;0,_xlfn.IFERROR(VLOOKUP(C68,'Boats Data Sheet 2026'!$C$3:$I$57,7,0)*'Direct Costs 2026'!$C$36,"N/A"),"N/A")</f>
        <v>N/A</v>
      </c>
      <c r="R74" s="639"/>
      <c r="S74" t="str" s="640" cm="1">
        <f t="array" ref="S74">IF(B74&gt;0,IF(OR(VLOOKUP(C68,'Boats Data Sheet 2026'!$C$3:$F$57,4,0)="Own",VLOOKUP(C68,'Boats Data Sheet 2026'!$C$3:$F$57,4,0)="Management"),('Direct Costs 2026'!$C$37+'Direct Costs 2026'!$C$39),"N/A"),"N/A")</f>
        <v>N/A</v>
      </c>
      <c r="T74" t="str" s="640" cm="1">
        <f t="array" ref="T74">_xlfn.IFERROR(IF(B74&gt;5,IF(B74&gt;11,IF(B74&gt;15,4,3),2),IF(B74=0,"N/A",1))*SUM('Direct Costs 2026'!$C$67:$C$68),"N/A")</f>
        <v>N/A</v>
      </c>
      <c r="U74" t="str" s="640" cm="1">
        <f t="array" ref="U74">_xlfn.IFERROR('Direct Costs 2026'!$C$27*C74,"N/A")</f>
        <v>N/A</v>
      </c>
      <c r="V74" t="str" s="640" cm="1">
        <f t="array" ref="V74">_xlfn.IFERROR(C74+SUM(E74:U74),"N/A")</f>
        <v>N/A</v>
      </c>
      <c r="W74" s="424"/>
      <c r="X74" t="str" s="640" cm="1">
        <f t="array" ref="X74">IF(B74&gt;0,'Allocation OH and Target 2026'!$E$31,"N/A")</f>
        <v>N/A</v>
      </c>
      <c r="Y74" t="str" s="640" cm="1">
        <f t="array" ref="Y74">IF(B74&gt;0,VLOOKUP(C68,'Allocation OH and Target 2026'!$C$5:$T$23,16,0),"N/A")</f>
        <v>N/A</v>
      </c>
      <c r="Z74" t="str" s="640" cm="1">
        <f t="array" ref="Z74">_xlfn.IFERROR((X74+Y74),"N/A")</f>
        <v>N/A</v>
      </c>
      <c r="AA74" s="424"/>
      <c r="AB74" t="str" s="640" cm="1">
        <f t="array" ref="AB74">_xlfn.IFERROR(Z74+V74,"N/A")</f>
        <v>N/A</v>
      </c>
      <c r="AC74" t="str" s="640" cm="1">
        <f t="array" ref="AC74">_xlfn.IFERROR(AB74*0.5%,"N/A")</f>
        <v>N/A</v>
      </c>
      <c r="AD74" t="str" s="640" cm="1">
        <f t="array" ref="AD74">_xlfn.IFERROR(AB74*25%,"N/A")</f>
        <v>N/A</v>
      </c>
      <c r="AE74" t="str" s="648" cm="1">
        <f t="array" ref="AE74">IF(B74&gt;0,SUM(AB74:AD74),"N/A")</f>
        <v>N/A</v>
      </c>
      <c r="AF74" t="str" s="640" cm="1">
        <f t="array" ref="AF74">_xlfn.IFERROR(AE74/B74,"N/A")</f>
        <v>N/A</v>
      </c>
      <c r="AG74" s="424"/>
      <c r="AH74" t="str" s="648" cm="1">
        <f t="array" ref="AH74">IF(B74/VLOOKUP(C68,'Boats Data Sheet 2026'!$C$3:$H$57,6,0)&gt;VLOOKUP(C68,'Allocation OH and Target 2026'!$C$5:$J$23,8,0),IF(SUM(AI70:AI73)=0,AF74,"N/A"),"N/A")</f>
        <v>N/A</v>
      </c>
      <c r="AI74" s="424" cm="1">
        <f t="array" ref="AI74">IF(AH74="N/A",0,1)</f>
        <v>0</v>
      </c>
      <c r="AJ74" t="str" s="640" cm="1">
        <f t="array" ref="AJ74">IF(B74/VLOOKUP(C68,'Boats Data Sheet 2026'!$C$3:$H$57,6,0)&gt;VLOOKUP(C68,'Allocation OH and Target 2026'!$C$5:$J$23,8,0),IF(SUM(AI70:AI73)=0,V74/B74,"N/A"),"N/A")</f>
        <v>N/A</v>
      </c>
      <c r="AK74" s="424" cm="1">
        <f t="array" ref="AK74">IF(AJ74="N/A",0,1)</f>
        <v>0</v>
      </c>
      <c r="AL74" t="str" s="628" cm="1">
        <f t="array" ref="AL74">IF(SUM(1250000+700000)*B74&lt;SUM(AB74:AC74),"NO GO","GO")</f>
        <v>GO</v>
      </c>
      <c r="AM74" s="424"/>
      <c r="AN74" s="639"/>
      <c r="AO74" s="639"/>
      <c r="AP74" s="639"/>
      <c r="AQ74" s="645"/>
      <c r="AR74" s="601" cm="1">
        <f t="array" ref="AR74">B74</f>
        <v>0</v>
      </c>
    </row>
    <row r="75" ht="9" customHeight="1" hidden="1">
      <c r="A75" s="12"/>
      <c r="B75" s="646">
        <v>0</v>
      </c>
      <c r="C75" t="str" s="640" cm="1">
        <f t="array" ref="C75">IF(B75&gt;0,IF(VLOOKUP(C68,'Boats Data Sheet 2026'!$C$3:$J$57,8,0)="N/A",0,VLOOKUP(C68,'Boats Data Sheet 2026'!$C$3:$J$57,8,0)),"N/A")</f>
        <v>N/A</v>
      </c>
      <c r="D75" t="str" s="649" cm="1">
        <f t="array" ref="D75">IF(B75&gt;7,2,IF(B75=0,"N/A",1))</f>
        <v>N/A</v>
      </c>
      <c r="E75" t="str" s="640" cm="1">
        <f t="array" ref="E75">_xlfn.IFERROR(SUM('Direct Costs 2026'!$C$4:$C$6)*D75,"N/A")</f>
        <v>N/A</v>
      </c>
      <c r="F75" s="639" cm="1">
        <f t="array" ref="F75">_xlfn.IFERROR('Direct Costs 2026'!$C$43*B75,"N/A")</f>
        <v>0</v>
      </c>
      <c r="G75" t="str" s="640" cm="1">
        <f t="array" ref="G75">IF(B75&gt;0,'Direct Costs 2026'!$C$25,"N/A")</f>
        <v>N/A</v>
      </c>
      <c r="H75" t="str" s="640" cm="1">
        <f t="array" ref="H75">IF(B75&gt;0,('Direct Costs 2026'!$C$19+'Direct Costs 2026'!$C$18*B75),"N/A")</f>
        <v>N/A</v>
      </c>
      <c r="I75" t="str" s="640" cm="1">
        <f t="array" ref="I75">IF(B75&gt;0,SUM('Direct Costs 2026'!$C$20:$C$21),"N/A")</f>
        <v>N/A</v>
      </c>
      <c r="J75" t="str" s="640" cm="1">
        <f t="array" ref="J75">IF(B75&gt;0,'Direct Costs 2026'!$C$14,"N/A")</f>
        <v>N/A</v>
      </c>
      <c r="K75" t="str" s="640" cm="1">
        <f t="array" ref="K75">IF(B75&gt;0,'Direct Costs 2026'!$C$26,"N/A")</f>
        <v>N/A</v>
      </c>
      <c r="L75" t="str" s="640" cm="1">
        <f t="array" ref="L75">IF(B75&gt;0,SUM('Direct Costs 2026'!$C$23:$C$24),"N/A")</f>
        <v>N/A</v>
      </c>
      <c r="M75" t="str" s="640" cm="1">
        <f t="array" ref="M75">IF(B75&gt;0,'Direct Costs 2026'!$C$45*B75,"N/A")</f>
        <v>N/A</v>
      </c>
      <c r="N75" t="str" s="640" cm="1">
        <f t="array" ref="N75">IF($B75&gt;0,'Direct Costs 2026'!$C$29,"N/A")</f>
        <v>N/A</v>
      </c>
      <c r="O75" t="str" s="640" cm="1">
        <f t="array" ref="O75">IF($B75&gt;0,'Direct Costs 2026'!$C$31,"N/A")</f>
        <v>N/A</v>
      </c>
      <c r="P75" t="str" s="640" cm="1">
        <f t="array" ref="P75">IF(B75&gt;0,'Direct Costs 2026'!$C$59*B75,"N/A")</f>
        <v>N/A</v>
      </c>
      <c r="Q75" t="str" s="640" cm="1">
        <f t="array" ref="Q75">IF(B75&gt;0,_xlfn.IFERROR(VLOOKUP(C68,'Boats Data Sheet 2026'!$C$3:$I$57,7,0)*'Direct Costs 2026'!$C$36,"N/A"),"N/A")</f>
        <v>N/A</v>
      </c>
      <c r="R75" s="639"/>
      <c r="S75" t="str" s="640" cm="1">
        <f t="array" ref="S75">IF(B75&gt;0,IF(OR(VLOOKUP(C68,'Boats Data Sheet 2026'!$C$3:$F$57,4,0)="Own",VLOOKUP(C68,'Boats Data Sheet 2026'!$C$3:$F$57,4,0)="Management"),('Direct Costs 2026'!$C$37+'Direct Costs 2026'!$C$39),"N/A"),"N/A")</f>
        <v>N/A</v>
      </c>
      <c r="T75" t="str" s="640" cm="1">
        <f t="array" ref="T75">_xlfn.IFERROR(IF(B75&gt;5,IF(B75&gt;11,IF(B75&gt;15,4,3),2),IF(B75=0,"N/A",1))*SUM('Direct Costs 2026'!$C$67:$C$68),"N/A")</f>
        <v>N/A</v>
      </c>
      <c r="U75" t="str" s="640" cm="1">
        <f t="array" ref="U75">_xlfn.IFERROR('Direct Costs 2026'!$C$27*C75,"N/A")</f>
        <v>N/A</v>
      </c>
      <c r="V75" t="str" s="640" cm="1">
        <f t="array" ref="V75">_xlfn.IFERROR(C75+SUM(E75:U75),"N/A")</f>
        <v>N/A</v>
      </c>
      <c r="W75" s="424"/>
      <c r="X75" t="str" s="640" cm="1">
        <f t="array" ref="X75">IF(B75&gt;0,'Allocation OH and Target 2026'!$E$31,"N/A")</f>
        <v>N/A</v>
      </c>
      <c r="Y75" t="str" s="640" cm="1">
        <f t="array" ref="Y75">IF(B75&gt;0,VLOOKUP(C68,'Allocation OH and Target 2026'!$C$5:$T$23,16,0),"N/A")</f>
        <v>N/A</v>
      </c>
      <c r="Z75" t="str" s="640" cm="1">
        <f t="array" ref="Z75">_xlfn.IFERROR((X75+Y75),"N/A")</f>
        <v>N/A</v>
      </c>
      <c r="AA75" s="424"/>
      <c r="AB75" t="str" s="640" cm="1">
        <f t="array" ref="AB75">_xlfn.IFERROR(Z75+V75,"N/A")</f>
        <v>N/A</v>
      </c>
      <c r="AC75" t="str" s="640" cm="1">
        <f t="array" ref="AC75">_xlfn.IFERROR(AB75*0.5%,"N/A")</f>
        <v>N/A</v>
      </c>
      <c r="AD75" t="str" s="640" cm="1">
        <f t="array" ref="AD75">_xlfn.IFERROR(AB75*25%,"N/A")</f>
        <v>N/A</v>
      </c>
      <c r="AE75" t="str" s="648" cm="1">
        <f t="array" ref="AE75">IF(B75&gt;0,SUM(AB75:AD75),"N/A")</f>
        <v>N/A</v>
      </c>
      <c r="AF75" t="str" s="640" cm="1">
        <f t="array" ref="AF75">_xlfn.IFERROR(AE75/B75,"N/A")</f>
        <v>N/A</v>
      </c>
      <c r="AG75" s="424"/>
      <c r="AH75" t="str" s="648" cm="1">
        <f t="array" ref="AH75">IF(B75/VLOOKUP(C68,'Boats Data Sheet 2026'!$C$3:$H$57,6,0)&gt;VLOOKUP(C68,'Allocation OH and Target 2026'!$C$5:$J$23,8,0),IF(SUM(AI70:AI74)=0,AF75,"N/A"),"N/A")</f>
        <v>N/A</v>
      </c>
      <c r="AI75" s="424" cm="1">
        <f t="array" ref="AI75">IF(AH75="N/A",0,1)</f>
        <v>0</v>
      </c>
      <c r="AJ75" t="str" s="640" cm="1">
        <f t="array" ref="AJ75">IF(B75/VLOOKUP(C68,'Boats Data Sheet 2026'!$C$3:$H$57,6,0)&gt;VLOOKUP(C68,'Allocation OH and Target 2026'!$C$5:$J$23,8,0),IF(SUM(AI70:AI74)=0,V75/B75,"N/A"),"N/A")</f>
        <v>N/A</v>
      </c>
      <c r="AK75" s="424" cm="1">
        <f t="array" ref="AK75">IF(AJ75="N/A",0,1)</f>
        <v>0</v>
      </c>
      <c r="AL75" t="str" s="628" cm="1">
        <f t="array" ref="AL75">IF(SUM(1250000+700000)*B75&lt;SUM(AB75:AC75),"NO GO","GO")</f>
        <v>GO</v>
      </c>
      <c r="AM75" s="424"/>
      <c r="AN75" s="639"/>
      <c r="AO75" s="639"/>
      <c r="AP75" s="639"/>
      <c r="AQ75" s="645"/>
      <c r="AR75" s="601" cm="1">
        <f t="array" ref="AR75">B75</f>
        <v>0</v>
      </c>
    </row>
    <row r="76" ht="9" customHeight="1" hidden="1">
      <c r="A76" s="12"/>
      <c r="B76" s="646">
        <v>0</v>
      </c>
      <c r="C76" t="str" s="640" cm="1">
        <f t="array" ref="C76">IF(B76&gt;0,IF(VLOOKUP(C68,'Boats Data Sheet 2026'!$C$3:$J$57,8,0)="N/A",0,VLOOKUP(C68,'Boats Data Sheet 2026'!$C$3:$J$57,8,0)),"N/A")</f>
        <v>N/A</v>
      </c>
      <c r="D76" t="str" s="649" cm="1">
        <f t="array" ref="D76">IF(B76&gt;7,2,IF(B76=0,"N/A",1))</f>
        <v>N/A</v>
      </c>
      <c r="E76" t="str" s="640" cm="1">
        <f t="array" ref="E76">_xlfn.IFERROR(SUM('Direct Costs 2026'!$C$4:$C$6)*D76,"N/A")</f>
        <v>N/A</v>
      </c>
      <c r="F76" s="639" cm="1">
        <f t="array" ref="F76">_xlfn.IFERROR('Direct Costs 2026'!$C$43*B76,"N/A")</f>
        <v>0</v>
      </c>
      <c r="G76" t="str" s="640" cm="1">
        <f t="array" ref="G76">IF(B76&gt;0,'Direct Costs 2026'!$C$25,"N/A")</f>
        <v>N/A</v>
      </c>
      <c r="H76" t="str" s="640" cm="1">
        <f t="array" ref="H76">IF(B76&gt;0,('Direct Costs 2026'!$C$19+'Direct Costs 2026'!$C$18*B76),"N/A")</f>
        <v>N/A</v>
      </c>
      <c r="I76" t="str" s="640" cm="1">
        <f t="array" ref="I76">IF(B76&gt;0,SUM('Direct Costs 2026'!$C$20:$C$21),"N/A")</f>
        <v>N/A</v>
      </c>
      <c r="J76" t="str" s="640" cm="1">
        <f t="array" ref="J76">IF(B76&gt;0,'Direct Costs 2026'!$C$14,"N/A")</f>
        <v>N/A</v>
      </c>
      <c r="K76" t="str" s="640" cm="1">
        <f t="array" ref="K76">IF(B76&gt;0,'Direct Costs 2026'!$C$26,"N/A")</f>
        <v>N/A</v>
      </c>
      <c r="L76" t="str" s="640" cm="1">
        <f t="array" ref="L76">IF(B76&gt;0,SUM('Direct Costs 2026'!$C$23:$C$24),"N/A")</f>
        <v>N/A</v>
      </c>
      <c r="M76" t="str" s="640" cm="1">
        <f t="array" ref="M76">IF(B76&gt;0,'Direct Costs 2026'!$C$45*B76,"N/A")</f>
        <v>N/A</v>
      </c>
      <c r="N76" t="str" s="640" cm="1">
        <f t="array" ref="N76">IF($B76&gt;0,'Direct Costs 2026'!$C$29,"N/A")</f>
        <v>N/A</v>
      </c>
      <c r="O76" t="str" s="640" cm="1">
        <f t="array" ref="O76">IF($B76&gt;0,'Direct Costs 2026'!$C$31,"N/A")</f>
        <v>N/A</v>
      </c>
      <c r="P76" t="str" s="640" cm="1">
        <f t="array" ref="P76">IF(B76&gt;0,'Direct Costs 2026'!$C$59*B76,"N/A")</f>
        <v>N/A</v>
      </c>
      <c r="Q76" t="str" s="640" cm="1">
        <f t="array" ref="Q76">IF(B76&gt;0,_xlfn.IFERROR(VLOOKUP(C68,'Boats Data Sheet 2026'!$C$3:$I$57,7,0)*'Direct Costs 2026'!$C$36,"N/A"),"N/A")</f>
        <v>N/A</v>
      </c>
      <c r="R76" s="639"/>
      <c r="S76" t="str" s="640" cm="1">
        <f t="array" ref="S76">IF(B76&gt;0,IF(OR(VLOOKUP(C68,'Boats Data Sheet 2026'!$C$3:$F$57,4,0)="Own",VLOOKUP(C68,'Boats Data Sheet 2026'!$C$3:$F$57,4,0)="Management"),('Direct Costs 2026'!$C$37+'Direct Costs 2026'!$C$39),"N/A"),"N/A")</f>
        <v>N/A</v>
      </c>
      <c r="T76" t="str" s="640" cm="1">
        <f t="array" ref="T76">_xlfn.IFERROR(IF(B76&gt;5,IF(B76&gt;11,IF(B76&gt;15,4,3),2),IF(B76=0,"N/A",1))*SUM('Direct Costs 2026'!$C$67:$C$68),"N/A")</f>
        <v>N/A</v>
      </c>
      <c r="U76" t="str" s="640" cm="1">
        <f t="array" ref="U76">_xlfn.IFERROR('Direct Costs 2026'!$C$27*C76,"N/A")</f>
        <v>N/A</v>
      </c>
      <c r="V76" t="str" s="640" cm="1">
        <f t="array" ref="V76">_xlfn.IFERROR(C76+SUM(E76:U76),"N/A")</f>
        <v>N/A</v>
      </c>
      <c r="W76" s="424"/>
      <c r="X76" t="str" s="640" cm="1">
        <f t="array" ref="X76">IF(B76&gt;0,'Allocation OH and Target 2026'!$E$31,"N/A")</f>
        <v>N/A</v>
      </c>
      <c r="Y76" t="str" s="640" cm="1">
        <f t="array" ref="Y76">IF(B76&gt;0,VLOOKUP(C68,'Allocation OH and Target 2026'!$C$5:$T$23,16,0),"N/A")</f>
        <v>N/A</v>
      </c>
      <c r="Z76" t="str" s="640" cm="1">
        <f t="array" ref="Z76">_xlfn.IFERROR((X76+Y76),"N/A")</f>
        <v>N/A</v>
      </c>
      <c r="AA76" s="424"/>
      <c r="AB76" t="str" s="640" cm="1">
        <f t="array" ref="AB76">_xlfn.IFERROR(Z76+V76,"N/A")</f>
        <v>N/A</v>
      </c>
      <c r="AC76" t="str" s="640" cm="1">
        <f t="array" ref="AC76">_xlfn.IFERROR(AB76*0.5%,"N/A")</f>
        <v>N/A</v>
      </c>
      <c r="AD76" t="str" s="640" cm="1">
        <f t="array" ref="AD76">_xlfn.IFERROR(AB76*25%,"N/A")</f>
        <v>N/A</v>
      </c>
      <c r="AE76" t="str" s="648" cm="1">
        <f t="array" ref="AE76">IF(B76&gt;0,SUM(AB76:AD76),"N/A")</f>
        <v>N/A</v>
      </c>
      <c r="AF76" t="str" s="640" cm="1">
        <f t="array" ref="AF76">_xlfn.IFERROR(AE76/B76,"N/A")</f>
        <v>N/A</v>
      </c>
      <c r="AG76" s="424"/>
      <c r="AH76" t="str" s="648" cm="1">
        <f t="array" ref="AH76">IF(B76/VLOOKUP(C68,'Boats Data Sheet 2026'!$C$3:$H$57,6,0)&gt;VLOOKUP(C68,'Allocation OH and Target 2026'!$C$5:$J$23,8,0),IF(SUM(AI70:AI75)=0,AF76,"N/A"),"N/A")</f>
        <v>N/A</v>
      </c>
      <c r="AI76" s="424" cm="1">
        <f t="array" ref="AI76">IF(AH76="N/A",0,1)</f>
        <v>0</v>
      </c>
      <c r="AJ76" t="str" s="640" cm="1">
        <f t="array" ref="AJ76">IF(B76/VLOOKUP(C68,'Boats Data Sheet 2026'!$C$3:$H$57,6,0)&gt;VLOOKUP(C68,'Allocation OH and Target 2026'!$C$5:$J$23,8,0),IF(SUM(AI70:AI75)=0,V76/B76,"N/A"),"N/A")</f>
        <v>N/A</v>
      </c>
      <c r="AK76" s="424" cm="1">
        <f t="array" ref="AK76">IF(AJ76="N/A",0,1)</f>
        <v>0</v>
      </c>
      <c r="AL76" t="str" s="628" cm="1">
        <f t="array" ref="AL76">IF(SUM(1250000+700000)*B76&lt;SUM(AB76:AC76),"NO GO","GO")</f>
        <v>GO</v>
      </c>
      <c r="AM76" s="424"/>
      <c r="AN76" s="639"/>
      <c r="AO76" s="639"/>
      <c r="AP76" s="639"/>
      <c r="AQ76" s="645"/>
      <c r="AR76" s="601" cm="1">
        <f t="array" ref="AR76">B76</f>
        <v>0</v>
      </c>
    </row>
    <row r="77" ht="9" customHeight="1" hidden="1">
      <c r="A77" s="12"/>
      <c r="B77" s="646">
        <v>0</v>
      </c>
      <c r="C77" t="str" s="640" cm="1">
        <f t="array" ref="C77">IF(B77&gt;0,IF(VLOOKUP(C68,'Boats Data Sheet 2026'!$C$3:$J$57,8,0)="N/A",0,VLOOKUP(C68,'Boats Data Sheet 2026'!$C$3:$J$57,8,0)),"N/A")</f>
        <v>N/A</v>
      </c>
      <c r="D77" t="str" s="649" cm="1">
        <f t="array" ref="D77">IF(B77&gt;7,2,IF(B77=0,"N/A",1))</f>
        <v>N/A</v>
      </c>
      <c r="E77" t="str" s="640" cm="1">
        <f t="array" ref="E77">_xlfn.IFERROR(SUM('Direct Costs 2026'!$C$4:$C$6)*D77,"N/A")</f>
        <v>N/A</v>
      </c>
      <c r="F77" s="639" cm="1">
        <f t="array" ref="F77">_xlfn.IFERROR('Direct Costs 2026'!$C$43*B77,"N/A")</f>
        <v>0</v>
      </c>
      <c r="G77" t="str" s="640" cm="1">
        <f t="array" ref="G77">IF(B77&gt;0,'Direct Costs 2026'!$C$25,"N/A")</f>
        <v>N/A</v>
      </c>
      <c r="H77" t="str" s="640" cm="1">
        <f t="array" ref="H77">IF(B77&gt;0,('Direct Costs 2026'!$C$19+'Direct Costs 2026'!$C$18*B77),"N/A")</f>
        <v>N/A</v>
      </c>
      <c r="I77" t="str" s="640" cm="1">
        <f t="array" ref="I77">IF(B77&gt;0,SUM('Direct Costs 2026'!$C$20:$C$21),"N/A")</f>
        <v>N/A</v>
      </c>
      <c r="J77" t="str" s="640" cm="1">
        <f t="array" ref="J77">IF(B77&gt;0,'Direct Costs 2026'!$C$14,"N/A")</f>
        <v>N/A</v>
      </c>
      <c r="K77" t="str" s="640" cm="1">
        <f t="array" ref="K77">IF(B77&gt;0,'Direct Costs 2026'!$C$26,"N/A")</f>
        <v>N/A</v>
      </c>
      <c r="L77" t="str" s="640" cm="1">
        <f t="array" ref="L77">IF(B77&gt;0,SUM('Direct Costs 2026'!$C$23:$C$24),"N/A")</f>
        <v>N/A</v>
      </c>
      <c r="M77" t="str" s="640" cm="1">
        <f t="array" ref="M77">IF(B77&gt;0,'Direct Costs 2026'!$C$45*B77,"N/A")</f>
        <v>N/A</v>
      </c>
      <c r="N77" t="str" s="640" cm="1">
        <f t="array" ref="N77">IF($B77&gt;0,'Direct Costs 2026'!$C$29,"N/A")</f>
        <v>N/A</v>
      </c>
      <c r="O77" t="str" s="640" cm="1">
        <f t="array" ref="O77">IF($B77&gt;0,'Direct Costs 2026'!$C$31,"N/A")</f>
        <v>N/A</v>
      </c>
      <c r="P77" t="str" s="640" cm="1">
        <f t="array" ref="P77">IF(B77&gt;0,'Direct Costs 2026'!$C$59*B77,"N/A")</f>
        <v>N/A</v>
      </c>
      <c r="Q77" t="str" s="640" cm="1">
        <f t="array" ref="Q77">IF(B77&gt;0,_xlfn.IFERROR(VLOOKUP(C68,'Boats Data Sheet 2026'!$C$3:$I$57,7,0)*'Direct Costs 2026'!$C$36,"N/A"),"N/A")</f>
        <v>N/A</v>
      </c>
      <c r="R77" s="639"/>
      <c r="S77" t="str" s="640" cm="1">
        <f t="array" ref="S77">IF(B77&gt;0,IF(OR(VLOOKUP(C68,'Boats Data Sheet 2026'!$C$3:$F$57,4,0)="Own",VLOOKUP(C68,'Boats Data Sheet 2026'!$C$3:$F$57,4,0)="Management"),('Direct Costs 2026'!$C$37+'Direct Costs 2026'!$C$39),"N/A"),"N/A")</f>
        <v>N/A</v>
      </c>
      <c r="T77" t="str" s="640" cm="1">
        <f t="array" ref="T77">_xlfn.IFERROR(IF(B77&gt;5,IF(B77&gt;11,IF(B77&gt;15,4,3),2),IF(B77=0,"N/A",1))*SUM('Direct Costs 2026'!$C$67:$C$68),"N/A")</f>
        <v>N/A</v>
      </c>
      <c r="U77" t="str" s="640" cm="1">
        <f t="array" ref="U77">_xlfn.IFERROR('Direct Costs 2026'!$C$27*C77,"N/A")</f>
        <v>N/A</v>
      </c>
      <c r="V77" t="str" s="640" cm="1">
        <f t="array" ref="V77">_xlfn.IFERROR(C77+SUM(E77:U77),"N/A")</f>
        <v>N/A</v>
      </c>
      <c r="W77" s="424"/>
      <c r="X77" t="str" s="640" cm="1">
        <f t="array" ref="X77">IF(B77&gt;0,'Allocation OH and Target 2026'!$E$31,"N/A")</f>
        <v>N/A</v>
      </c>
      <c r="Y77" t="str" s="640" cm="1">
        <f t="array" ref="Y77">IF(B77&gt;0,VLOOKUP(C68,'Allocation OH and Target 2026'!$C$5:$T$23,16,0),"N/A")</f>
        <v>N/A</v>
      </c>
      <c r="Z77" t="str" s="640" cm="1">
        <f t="array" ref="Z77">_xlfn.IFERROR((X77+Y77),"N/A")</f>
        <v>N/A</v>
      </c>
      <c r="AA77" s="424"/>
      <c r="AB77" t="str" s="640" cm="1">
        <f t="array" ref="AB77">_xlfn.IFERROR(Z77+V77,"N/A")</f>
        <v>N/A</v>
      </c>
      <c r="AC77" t="str" s="640" cm="1">
        <f t="array" ref="AC77">_xlfn.IFERROR(AB77*0.5%,"N/A")</f>
        <v>N/A</v>
      </c>
      <c r="AD77" t="str" s="640" cm="1">
        <f t="array" ref="AD77">_xlfn.IFERROR(AB77*25%,"N/A")</f>
        <v>N/A</v>
      </c>
      <c r="AE77" t="str" s="648" cm="1">
        <f t="array" ref="AE77">IF(B77&gt;0,SUM(AB77:AD77),"N/A")</f>
        <v>N/A</v>
      </c>
      <c r="AF77" t="str" s="640" cm="1">
        <f t="array" ref="AF77">_xlfn.IFERROR(AE77/B77,"N/A")</f>
        <v>N/A</v>
      </c>
      <c r="AG77" s="424"/>
      <c r="AH77" t="str" s="648" cm="1">
        <f t="array" ref="AH77">IF(B77/VLOOKUP(C68,'Boats Data Sheet 2026'!$C$3:$H$57,6,0)&gt;VLOOKUP(C68,'Allocation OH and Target 2026'!$C$5:$J$23,8,0),IF(SUM(AI70:AI76)=0,AF77,"N/A"),"N/A")</f>
        <v>N/A</v>
      </c>
      <c r="AI77" s="424" cm="1">
        <f t="array" ref="AI77">IF(AH77="N/A",0,1)</f>
        <v>0</v>
      </c>
      <c r="AJ77" t="str" s="640" cm="1">
        <f t="array" ref="AJ77">IF(B77/VLOOKUP(C68,'Boats Data Sheet 2026'!$C$3:$H$57,6,0)&gt;VLOOKUP(C68,'Allocation OH and Target 2026'!$C$5:$J$23,8,0),IF(SUM(AI70:AI76)=0,V77/B77,"N/A"),"N/A")</f>
        <v>N/A</v>
      </c>
      <c r="AK77" s="424" cm="1">
        <f t="array" ref="AK77">IF(AJ77="N/A",0,1)</f>
        <v>0</v>
      </c>
      <c r="AL77" t="str" s="628" cm="1">
        <f t="array" ref="AL77">IF(SUM(1250000+700000)*B77&lt;SUM(AB77:AC77),"NO GO","GO")</f>
        <v>GO</v>
      </c>
      <c r="AM77" s="424"/>
      <c r="AN77" s="639"/>
      <c r="AO77" s="639"/>
      <c r="AP77" s="639"/>
      <c r="AQ77" s="645"/>
      <c r="AR77" s="601" cm="1">
        <f t="array" ref="AR77">B77</f>
        <v>0</v>
      </c>
    </row>
    <row r="78" ht="9" customHeight="1" hidden="1">
      <c r="A78" s="12"/>
      <c r="B78" s="646">
        <v>0</v>
      </c>
      <c r="C78" t="str" s="640" cm="1">
        <f t="array" ref="C78">IF(B78&gt;0,IF(VLOOKUP(C68,'Boats Data Sheet 2026'!$C$3:$J$57,8,0)="N/A",0,VLOOKUP(C68,'Boats Data Sheet 2026'!$C$3:$J$57,8,0)),"N/A")</f>
        <v>N/A</v>
      </c>
      <c r="D78" t="str" s="649" cm="1">
        <f t="array" ref="D78">IF(B78&gt;7,2,IF(B78=0,"N/A",1))</f>
        <v>N/A</v>
      </c>
      <c r="E78" t="str" s="640" cm="1">
        <f t="array" ref="E78">_xlfn.IFERROR(SUM('Direct Costs 2026'!$C$4:$C$6)*D78,"N/A")</f>
        <v>N/A</v>
      </c>
      <c r="F78" s="639" cm="1">
        <f t="array" ref="F78">_xlfn.IFERROR('Direct Costs 2026'!$C$43*B78,"N/A")</f>
        <v>0</v>
      </c>
      <c r="G78" t="str" s="640" cm="1">
        <f t="array" ref="G78">IF(B78&gt;0,'Direct Costs 2026'!$C$25,"N/A")</f>
        <v>N/A</v>
      </c>
      <c r="H78" t="str" s="640" cm="1">
        <f t="array" ref="H78">IF(B78&gt;0,('Direct Costs 2026'!$C$19+'Direct Costs 2026'!$C$18*B78),"N/A")</f>
        <v>N/A</v>
      </c>
      <c r="I78" t="str" s="640" cm="1">
        <f t="array" ref="I78">IF(B78&gt;0,SUM('Direct Costs 2026'!$C$20:$C$21),"N/A")</f>
        <v>N/A</v>
      </c>
      <c r="J78" t="str" s="640" cm="1">
        <f t="array" ref="J78">IF(B78&gt;0,'Direct Costs 2026'!$C$14,"N/A")</f>
        <v>N/A</v>
      </c>
      <c r="K78" t="str" s="640" cm="1">
        <f t="array" ref="K78">IF(B78&gt;0,'Direct Costs 2026'!$C$26,"N/A")</f>
        <v>N/A</v>
      </c>
      <c r="L78" t="str" s="640" cm="1">
        <f t="array" ref="L78">IF(B78&gt;0,SUM('Direct Costs 2026'!$C$23:$C$24),"N/A")</f>
        <v>N/A</v>
      </c>
      <c r="M78" t="str" s="640" cm="1">
        <f t="array" ref="M78">IF(B78&gt;0,'Direct Costs 2026'!$C$45*B78,"N/A")</f>
        <v>N/A</v>
      </c>
      <c r="N78" t="str" s="640" cm="1">
        <f t="array" ref="N78">IF($B78&gt;0,'Direct Costs 2026'!$C$29,"N/A")</f>
        <v>N/A</v>
      </c>
      <c r="O78" t="str" s="640" cm="1">
        <f t="array" ref="O78">IF($B78&gt;0,'Direct Costs 2026'!$C$31,"N/A")</f>
        <v>N/A</v>
      </c>
      <c r="P78" t="str" s="640" cm="1">
        <f t="array" ref="P78">IF(B78&gt;0,'Direct Costs 2026'!$C$59*B78,"N/A")</f>
        <v>N/A</v>
      </c>
      <c r="Q78" t="str" s="640" cm="1">
        <f t="array" ref="Q78">IF(B78&gt;0,_xlfn.IFERROR(VLOOKUP(C68,'Boats Data Sheet 2026'!$C$3:$I$57,7,0)*'Direct Costs 2026'!$C$36,"N/A"),"N/A")</f>
        <v>N/A</v>
      </c>
      <c r="R78" s="639"/>
      <c r="S78" t="str" s="640" cm="1">
        <f t="array" ref="S78">IF(B78&gt;0,IF(OR(VLOOKUP(C68,'Boats Data Sheet 2026'!$C$3:$F$57,4,0)="Own",VLOOKUP(C68,'Boats Data Sheet 2026'!$C$3:$F$57,4,0)="Management"),('Direct Costs 2026'!$C$37+'Direct Costs 2026'!$C$39),"N/A"),"N/A")</f>
        <v>N/A</v>
      </c>
      <c r="T78" t="str" s="640" cm="1">
        <f t="array" ref="T78">_xlfn.IFERROR(IF(B78&gt;5,IF(B78&gt;11,IF(B78&gt;15,4,3),2),IF(B78=0,"N/A",1))*SUM('Direct Costs 2026'!$C$67:$C$68),"N/A")</f>
        <v>N/A</v>
      </c>
      <c r="U78" t="str" s="640" cm="1">
        <f t="array" ref="U78">_xlfn.IFERROR('Direct Costs 2026'!$C$27*C78,"N/A")</f>
        <v>N/A</v>
      </c>
      <c r="V78" t="str" s="640" cm="1">
        <f t="array" ref="V78">_xlfn.IFERROR(C78+SUM(E78:U78),"N/A")</f>
        <v>N/A</v>
      </c>
      <c r="W78" s="424"/>
      <c r="X78" t="str" s="640" cm="1">
        <f t="array" ref="X78">IF(B78&gt;0,'Allocation OH and Target 2026'!$E$31,"N/A")</f>
        <v>N/A</v>
      </c>
      <c r="Y78" t="str" s="640" cm="1">
        <f t="array" ref="Y78">IF(B78&gt;0,VLOOKUP(C68,'Allocation OH and Target 2026'!$C$5:$T$23,16,0),"N/A")</f>
        <v>N/A</v>
      </c>
      <c r="Z78" t="str" s="640" cm="1">
        <f t="array" ref="Z78">_xlfn.IFERROR((X78+Y78),"N/A")</f>
        <v>N/A</v>
      </c>
      <c r="AA78" s="424"/>
      <c r="AB78" t="str" s="640" cm="1">
        <f t="array" ref="AB78">_xlfn.IFERROR(Z78+V78,"N/A")</f>
        <v>N/A</v>
      </c>
      <c r="AC78" t="str" s="640" cm="1">
        <f t="array" ref="AC78">_xlfn.IFERROR(AB78*0.5%,"N/A")</f>
        <v>N/A</v>
      </c>
      <c r="AD78" t="str" s="640" cm="1">
        <f t="array" ref="AD78">_xlfn.IFERROR(AB78*25%,"N/A")</f>
        <v>N/A</v>
      </c>
      <c r="AE78" t="str" s="648" cm="1">
        <f t="array" ref="AE78">IF(B78&gt;0,SUM(AB78:AD78),"N/A")</f>
        <v>N/A</v>
      </c>
      <c r="AF78" t="str" s="640" cm="1">
        <f t="array" ref="AF78">_xlfn.IFERROR(AE78/B78,"N/A")</f>
        <v>N/A</v>
      </c>
      <c r="AG78" s="424"/>
      <c r="AH78" t="str" s="648" cm="1">
        <f t="array" ref="AH78">IF(B78/VLOOKUP(C68,'Boats Data Sheet 2026'!$C$3:$H$57,6,0)&gt;VLOOKUP(C68,'Allocation OH and Target 2026'!$C$5:$J$23,8,0),IF(SUM(AI70:AI77)=0,AF78,"N/A"),"N/A")</f>
        <v>N/A</v>
      </c>
      <c r="AI78" s="424" cm="1">
        <f t="array" ref="AI78">IF(AH78="N/A",0,1)</f>
        <v>0</v>
      </c>
      <c r="AJ78" t="str" s="640" cm="1">
        <f t="array" ref="AJ78">IF(B78/VLOOKUP(C68,'Boats Data Sheet 2026'!$C$3:$H$57,6,0)&gt;VLOOKUP(C68,'Allocation OH and Target 2026'!$C$5:$J$23,8,0),IF(SUM(AI70:AI77)=0,V78/B78,"N/A"),"N/A")</f>
        <v>N/A</v>
      </c>
      <c r="AK78" s="424" cm="1">
        <f t="array" ref="AK78">IF(AJ78="N/A",0,1)</f>
        <v>0</v>
      </c>
      <c r="AL78" t="str" s="628" cm="1">
        <f t="array" ref="AL78">IF(SUM(1250000+700000)*B78&lt;SUM(AB78:AC78),"NO GO","GO")</f>
        <v>GO</v>
      </c>
      <c r="AM78" s="424"/>
      <c r="AN78" s="639"/>
      <c r="AO78" s="639"/>
      <c r="AP78" s="639"/>
      <c r="AQ78" s="645"/>
      <c r="AR78" s="601" cm="1">
        <f t="array" ref="AR78">B78</f>
        <v>0</v>
      </c>
    </row>
    <row r="79" ht="9" customHeight="1" hidden="1">
      <c r="A79" s="12"/>
      <c r="B79" s="646">
        <v>0</v>
      </c>
      <c r="C79" t="str" s="640" cm="1">
        <f t="array" ref="C79">IF(B79&gt;0,IF(VLOOKUP(C68,'Boats Data Sheet 2026'!$C$3:$J$57,8,0)="N/A",0,VLOOKUP(C68,'Boats Data Sheet 2026'!$C$3:$J$57,8,0)),"N/A")</f>
        <v>N/A</v>
      </c>
      <c r="D79" t="str" s="649" cm="1">
        <f t="array" ref="D79">IF(B79&gt;7,2,IF(B79=0,"N/A",1))</f>
        <v>N/A</v>
      </c>
      <c r="E79" t="str" s="640" cm="1">
        <f t="array" ref="E79">_xlfn.IFERROR(SUM('Direct Costs 2026'!$C$4:$C$6)*D79,"N/A")</f>
        <v>N/A</v>
      </c>
      <c r="F79" s="639" cm="1">
        <f t="array" ref="F79">_xlfn.IFERROR('Direct Costs 2026'!$C$43*B79,"N/A")</f>
        <v>0</v>
      </c>
      <c r="G79" t="str" s="640" cm="1">
        <f t="array" ref="G79">IF(B79&gt;0,'Direct Costs 2026'!$C$25,"N/A")</f>
        <v>N/A</v>
      </c>
      <c r="H79" t="str" s="640" cm="1">
        <f t="array" ref="H79">IF(B79&gt;0,('Direct Costs 2026'!$C$19+'Direct Costs 2026'!$C$18*B79),"N/A")</f>
        <v>N/A</v>
      </c>
      <c r="I79" t="str" s="640" cm="1">
        <f t="array" ref="I79">IF(B79&gt;0,SUM('Direct Costs 2026'!$C$20:$C$21),"N/A")</f>
        <v>N/A</v>
      </c>
      <c r="J79" t="str" s="640" cm="1">
        <f t="array" ref="J79">IF(B79&gt;0,'Direct Costs 2026'!$C$14,"N/A")</f>
        <v>N/A</v>
      </c>
      <c r="K79" t="str" s="640" cm="1">
        <f t="array" ref="K79">IF(B79&gt;0,'Direct Costs 2026'!$C$26,"N/A")</f>
        <v>N/A</v>
      </c>
      <c r="L79" t="str" s="640" cm="1">
        <f t="array" ref="L79">IF(B79&gt;0,SUM('Direct Costs 2026'!$C$23:$C$24),"N/A")</f>
        <v>N/A</v>
      </c>
      <c r="M79" t="str" s="640" cm="1">
        <f t="array" ref="M79">IF(B79&gt;0,'Direct Costs 2026'!$C$45*B79,"N/A")</f>
        <v>N/A</v>
      </c>
      <c r="N79" t="str" s="640" cm="1">
        <f t="array" ref="N79">IF($B79&gt;0,'Direct Costs 2026'!$C$29,"N/A")</f>
        <v>N/A</v>
      </c>
      <c r="O79" t="str" s="640" cm="1">
        <f t="array" ref="O79">IF($B79&gt;0,'Direct Costs 2026'!$C$31,"N/A")</f>
        <v>N/A</v>
      </c>
      <c r="P79" t="str" s="640" cm="1">
        <f t="array" ref="P79">IF(B79&gt;0,'Direct Costs 2026'!$C$59*B79,"N/A")</f>
        <v>N/A</v>
      </c>
      <c r="Q79" t="str" s="640" cm="1">
        <f t="array" ref="Q79">IF(B79&gt;0,_xlfn.IFERROR(VLOOKUP(C68,'Boats Data Sheet 2026'!$C$3:$I$57,7,0)*'Direct Costs 2026'!$C$36,"N/A"),"N/A")</f>
        <v>N/A</v>
      </c>
      <c r="R79" s="639"/>
      <c r="S79" t="str" s="640" cm="1">
        <f t="array" ref="S79">IF(B79&gt;0,IF(OR(VLOOKUP(C68,'Boats Data Sheet 2026'!$C$3:$F$57,4,0)="Own",VLOOKUP(C68,'Boats Data Sheet 2026'!$C$3:$F$57,4,0)="Management"),('Direct Costs 2026'!$C$37+'Direct Costs 2026'!$C$39),"N/A"),"N/A")</f>
        <v>N/A</v>
      </c>
      <c r="T79" t="str" s="640" cm="1">
        <f t="array" ref="T79">_xlfn.IFERROR(IF(B79&gt;5,IF(B79&gt;11,IF(B79&gt;15,4,3),2),IF(B79=0,"N/A",1))*SUM('Direct Costs 2026'!$C$67:$C$68),"N/A")</f>
        <v>N/A</v>
      </c>
      <c r="U79" t="str" s="640" cm="1">
        <f t="array" ref="U79">_xlfn.IFERROR('Direct Costs 2026'!$C$27*C79,"N/A")</f>
        <v>N/A</v>
      </c>
      <c r="V79" t="str" s="640" cm="1">
        <f t="array" ref="V79">_xlfn.IFERROR(C79+SUM(E79:U79),"N/A")</f>
        <v>N/A</v>
      </c>
      <c r="W79" s="424"/>
      <c r="X79" t="str" s="640" cm="1">
        <f t="array" ref="X79">IF(B79&gt;0,'Allocation OH and Target 2026'!$E$31,"N/A")</f>
        <v>N/A</v>
      </c>
      <c r="Y79" t="str" s="640" cm="1">
        <f t="array" ref="Y79">IF(B79&gt;0,VLOOKUP(C68,'Allocation OH and Target 2026'!$C$5:$T$23,16,0),"N/A")</f>
        <v>N/A</v>
      </c>
      <c r="Z79" t="str" s="640" cm="1">
        <f t="array" ref="Z79">_xlfn.IFERROR((X79+Y79),"N/A")</f>
        <v>N/A</v>
      </c>
      <c r="AA79" s="424"/>
      <c r="AB79" t="str" s="640" cm="1">
        <f t="array" ref="AB79">_xlfn.IFERROR(Z79+V79,"N/A")</f>
        <v>N/A</v>
      </c>
      <c r="AC79" t="str" s="640" cm="1">
        <f t="array" ref="AC79">_xlfn.IFERROR(AB79*0.5%,"N/A")</f>
        <v>N/A</v>
      </c>
      <c r="AD79" t="str" s="640" cm="1">
        <f t="array" ref="AD79">_xlfn.IFERROR(AB79*25%,"N/A")</f>
        <v>N/A</v>
      </c>
      <c r="AE79" t="str" s="648" cm="1">
        <f t="array" ref="AE79">IF(B79&gt;0,SUM(AB79:AD79),"N/A")</f>
        <v>N/A</v>
      </c>
      <c r="AF79" t="str" s="640" cm="1">
        <f t="array" ref="AF79">_xlfn.IFERROR(AE79/B79,"N/A")</f>
        <v>N/A</v>
      </c>
      <c r="AG79" s="424"/>
      <c r="AH79" t="str" s="648" cm="1">
        <f t="array" ref="AH79">IF(B79/VLOOKUP(C68,'Boats Data Sheet 2026'!$C$3:$H$57,6,0)&gt;VLOOKUP(C68,'Allocation OH and Target 2026'!$C$5:$J$23,8,0),IF(SUM(AI70:AI78)=0,AF79,"N/A"),"N/A")</f>
        <v>N/A</v>
      </c>
      <c r="AI79" s="424" cm="1">
        <f t="array" ref="AI79">IF(AH79="N/A",0,1)</f>
        <v>0</v>
      </c>
      <c r="AJ79" t="str" s="640" cm="1">
        <f t="array" ref="AJ79">IF(B79/VLOOKUP(C68,'Boats Data Sheet 2026'!$C$3:$H$57,6,0)&gt;VLOOKUP(C68,'Allocation OH and Target 2026'!$C$5:$J$23,8,0),IF(SUM(AI70:AI78)=0,V79/B79,"N/A"),"N/A")</f>
        <v>N/A</v>
      </c>
      <c r="AK79" s="424" cm="1">
        <f t="array" ref="AK79">IF(AJ79="N/A",0,1)</f>
        <v>0</v>
      </c>
      <c r="AL79" t="str" s="628" cm="1">
        <f t="array" ref="AL79">IF(SUM(1250000+700000)*B79&lt;SUM(AB79:AC79),"NO GO","GO")</f>
        <v>GO</v>
      </c>
      <c r="AM79" s="424"/>
      <c r="AN79" s="639"/>
      <c r="AO79" s="639"/>
      <c r="AP79" s="639"/>
      <c r="AQ79" s="645"/>
      <c r="AR79" s="601" cm="1">
        <f t="array" ref="AR79">B79</f>
        <v>0</v>
      </c>
    </row>
    <row r="80" ht="9" customHeight="1" hidden="1">
      <c r="A80" s="12"/>
      <c r="B80" s="646">
        <v>0</v>
      </c>
      <c r="C80" t="str" s="640" cm="1">
        <f t="array" ref="C80">IF(B80&gt;0,IF(VLOOKUP(C68,'Boats Data Sheet 2026'!$C$3:$J$57,8,0)="N/A",0,VLOOKUP(C68,'Boats Data Sheet 2026'!$C$3:$J$57,8,0)),"N/A")</f>
        <v>N/A</v>
      </c>
      <c r="D80" t="str" s="649" cm="1">
        <f t="array" ref="D80">IF(B80&gt;7,2,IF(B80=0,"N/A",1))</f>
        <v>N/A</v>
      </c>
      <c r="E80" t="str" s="640" cm="1">
        <f t="array" ref="E80">_xlfn.IFERROR(SUM('Direct Costs 2026'!$C$4:$C$6)*D80,"N/A")</f>
        <v>N/A</v>
      </c>
      <c r="F80" s="639" cm="1">
        <f t="array" ref="F80">_xlfn.IFERROR('Direct Costs 2026'!$C$43*B80,"N/A")</f>
        <v>0</v>
      </c>
      <c r="G80" t="str" s="640" cm="1">
        <f t="array" ref="G80">IF(B80&gt;0,'Direct Costs 2026'!$C$25,"N/A")</f>
        <v>N/A</v>
      </c>
      <c r="H80" t="str" s="640" cm="1">
        <f t="array" ref="H80">IF(B80&gt;0,('Direct Costs 2026'!$C$19+'Direct Costs 2026'!$C$18*B80),"N/A")</f>
        <v>N/A</v>
      </c>
      <c r="I80" t="str" s="640" cm="1">
        <f t="array" ref="I80">IF(B80&gt;0,SUM('Direct Costs 2026'!$C$20:$C$21),"N/A")</f>
        <v>N/A</v>
      </c>
      <c r="J80" t="str" s="640" cm="1">
        <f t="array" ref="J80">IF(B80&gt;0,'Direct Costs 2026'!$C$14,"N/A")</f>
        <v>N/A</v>
      </c>
      <c r="K80" t="str" s="640" cm="1">
        <f t="array" ref="K80">IF(B80&gt;0,'Direct Costs 2026'!$C$26,"N/A")</f>
        <v>N/A</v>
      </c>
      <c r="L80" t="str" s="640" cm="1">
        <f t="array" ref="L80">IF(B80&gt;0,SUM('Direct Costs 2026'!$C$23:$C$24),"N/A")</f>
        <v>N/A</v>
      </c>
      <c r="M80" t="str" s="640" cm="1">
        <f t="array" ref="M80">IF(B80&gt;0,'Direct Costs 2026'!$C$45*B80,"N/A")</f>
        <v>N/A</v>
      </c>
      <c r="N80" t="str" s="640" cm="1">
        <f t="array" ref="N80">IF($B80&gt;0,'Direct Costs 2026'!$C$29,"N/A")</f>
        <v>N/A</v>
      </c>
      <c r="O80" t="str" s="640" cm="1">
        <f t="array" ref="O80">IF($B80&gt;0,'Direct Costs 2026'!$C$31,"N/A")</f>
        <v>N/A</v>
      </c>
      <c r="P80" t="str" s="640" cm="1">
        <f t="array" ref="P80">IF(B80&gt;0,'Direct Costs 2026'!$C$59*B80,"N/A")</f>
        <v>N/A</v>
      </c>
      <c r="Q80" t="str" s="640" cm="1">
        <f t="array" ref="Q80">IF(B80&gt;0,_xlfn.IFERROR(VLOOKUP(C68,'Boats Data Sheet 2026'!$C$3:$I$57,7,0)*'Direct Costs 2026'!$C$36,"N/A"),"N/A")</f>
        <v>N/A</v>
      </c>
      <c r="R80" s="639"/>
      <c r="S80" t="str" s="640" cm="1">
        <f t="array" ref="S80">IF(B80&gt;0,IF(OR(VLOOKUP(C68,'Boats Data Sheet 2026'!$C$3:$F$57,4,0)="Own",VLOOKUP(C68,'Boats Data Sheet 2026'!$C$3:$F$57,4,0)="Management"),('Direct Costs 2026'!$C$37+'Direct Costs 2026'!$C$39),"N/A"),"N/A")</f>
        <v>N/A</v>
      </c>
      <c r="T80" t="str" s="640" cm="1">
        <f t="array" ref="T80">_xlfn.IFERROR(IF(B80&gt;5,IF(B80&gt;11,IF(B80&gt;15,4,3),2),IF(B80=0,"N/A",1))*SUM('Direct Costs 2026'!$C$67:$C$68),"N/A")</f>
        <v>N/A</v>
      </c>
      <c r="U80" t="str" s="640" cm="1">
        <f t="array" ref="U80">_xlfn.IFERROR('Direct Costs 2026'!$C$27*C80,"N/A")</f>
        <v>N/A</v>
      </c>
      <c r="V80" t="str" s="640" cm="1">
        <f t="array" ref="V80">_xlfn.IFERROR(C80+SUM(E80:U80),"N/A")</f>
        <v>N/A</v>
      </c>
      <c r="W80" s="424"/>
      <c r="X80" t="str" s="640" cm="1">
        <f t="array" ref="X80">IF(B80&gt;0,'Allocation OH and Target 2026'!$E$31,"N/A")</f>
        <v>N/A</v>
      </c>
      <c r="Y80" t="str" s="640" cm="1">
        <f t="array" ref="Y80">IF(B80&gt;0,VLOOKUP(C68,'Allocation OH and Target 2026'!$C$5:$T$23,16,0),"N/A")</f>
        <v>N/A</v>
      </c>
      <c r="Z80" t="str" s="640" cm="1">
        <f t="array" ref="Z80">_xlfn.IFERROR((X80+Y80),"N/A")</f>
        <v>N/A</v>
      </c>
      <c r="AA80" s="424"/>
      <c r="AB80" t="str" s="640" cm="1">
        <f t="array" ref="AB80">_xlfn.IFERROR(Z80+V80,"N/A")</f>
        <v>N/A</v>
      </c>
      <c r="AC80" t="str" s="640" cm="1">
        <f t="array" ref="AC80">_xlfn.IFERROR(AB80*0.5%,"N/A")</f>
        <v>N/A</v>
      </c>
      <c r="AD80" t="str" s="640" cm="1">
        <f t="array" ref="AD80">_xlfn.IFERROR(AB80*25%,"N/A")</f>
        <v>N/A</v>
      </c>
      <c r="AE80" t="str" s="648" cm="1">
        <f t="array" ref="AE80">IF(B80&gt;0,SUM(AB80:AD80),"N/A")</f>
        <v>N/A</v>
      </c>
      <c r="AF80" t="str" s="640" cm="1">
        <f t="array" ref="AF80">_xlfn.IFERROR(AE80/B80,"N/A")</f>
        <v>N/A</v>
      </c>
      <c r="AG80" s="424"/>
      <c r="AH80" t="str" s="648" cm="1">
        <f t="array" ref="AH80">IF(B80/VLOOKUP(C68,'Boats Data Sheet 2026'!$C$3:$H$57,6,0)&gt;VLOOKUP(C68,'Allocation OH and Target 2026'!$C$5:$J$23,8,0),IF(SUM(AI70:AI79)=0,AF80,"N/A"),"N/A")</f>
        <v>N/A</v>
      </c>
      <c r="AI80" s="424" cm="1">
        <f t="array" ref="AI80">IF(AH80="N/A",0,1)</f>
        <v>0</v>
      </c>
      <c r="AJ80" t="str" s="640" cm="1">
        <f t="array" ref="AJ80">IF(B80/VLOOKUP(C68,'Boats Data Sheet 2026'!$C$3:$H$57,6,0)&gt;VLOOKUP(C68,'Allocation OH and Target 2026'!$C$5:$J$23,8,0),IF(SUM(AI70:AI79)=0,V80/B80,"N/A"),"N/A")</f>
        <v>N/A</v>
      </c>
      <c r="AK80" s="424" cm="1">
        <f t="array" ref="AK80">IF(AJ80="N/A",0,1)</f>
        <v>0</v>
      </c>
      <c r="AL80" t="str" s="628" cm="1">
        <f t="array" ref="AL80">IF(SUM(1250000+700000)*B80&lt;SUM(AB80:AC80),"NO GO","GO")</f>
        <v>GO</v>
      </c>
      <c r="AM80" s="424"/>
      <c r="AN80" s="639"/>
      <c r="AO80" s="639"/>
      <c r="AP80" s="639"/>
      <c r="AQ80" s="645"/>
      <c r="AR80" s="601" cm="1">
        <f t="array" ref="AR80">B80</f>
        <v>0</v>
      </c>
    </row>
    <row r="81" ht="9" customHeight="1" hidden="1">
      <c r="A81" s="12"/>
      <c r="B81" s="646">
        <v>0</v>
      </c>
      <c r="C81" t="str" s="640" cm="1">
        <f t="array" ref="C81">IF(B81&gt;0,IF(VLOOKUP(C68,'Boats Data Sheet 2026'!$C$3:$J$57,8,0)="N/A",0,VLOOKUP(C68,'Boats Data Sheet 2026'!$C$3:$J$57,8,0)),"N/A")</f>
        <v>N/A</v>
      </c>
      <c r="D81" t="str" s="649" cm="1">
        <f t="array" ref="D81">IF(B81&gt;7,2,IF(B81=0,"N/A",1))</f>
        <v>N/A</v>
      </c>
      <c r="E81" t="str" s="640" cm="1">
        <f t="array" ref="E81">_xlfn.IFERROR(SUM('Direct Costs 2026'!$C$4:$C$6)*D81,"N/A")</f>
        <v>N/A</v>
      </c>
      <c r="F81" s="639" cm="1">
        <f t="array" ref="F81">_xlfn.IFERROR('Direct Costs 2026'!$C$43*B81,"N/A")</f>
        <v>0</v>
      </c>
      <c r="G81" t="str" s="640" cm="1">
        <f t="array" ref="G81">IF(B81&gt;0,'Direct Costs 2026'!$C$25,"N/A")</f>
        <v>N/A</v>
      </c>
      <c r="H81" t="str" s="640" cm="1">
        <f t="array" ref="H81">IF(B81&gt;0,('Direct Costs 2026'!$C$19+'Direct Costs 2026'!$C$18*B81),"N/A")</f>
        <v>N/A</v>
      </c>
      <c r="I81" t="str" s="640" cm="1">
        <f t="array" ref="I81">IF(B81&gt;0,SUM('Direct Costs 2026'!$C$20:$C$21),"N/A")</f>
        <v>N/A</v>
      </c>
      <c r="J81" t="str" s="640" cm="1">
        <f t="array" ref="J81">IF(B81&gt;0,'Direct Costs 2026'!$C$14,"N/A")</f>
        <v>N/A</v>
      </c>
      <c r="K81" t="str" s="640" cm="1">
        <f t="array" ref="K81">IF(B81&gt;0,'Direct Costs 2026'!$C$26,"N/A")</f>
        <v>N/A</v>
      </c>
      <c r="L81" t="str" s="640" cm="1">
        <f t="array" ref="L81">IF(B81&gt;0,SUM('Direct Costs 2026'!$C$23:$C$24),"N/A")</f>
        <v>N/A</v>
      </c>
      <c r="M81" t="str" s="640" cm="1">
        <f t="array" ref="M81">IF(B81&gt;0,'Direct Costs 2026'!$C$45*B81,"N/A")</f>
        <v>N/A</v>
      </c>
      <c r="N81" t="str" s="640" cm="1">
        <f t="array" ref="N81">IF($B81&gt;0,'Direct Costs 2026'!$C$29,"N/A")</f>
        <v>N/A</v>
      </c>
      <c r="O81" t="str" s="640" cm="1">
        <f t="array" ref="O81">IF($B81&gt;0,'Direct Costs 2026'!$C$31,"N/A")</f>
        <v>N/A</v>
      </c>
      <c r="P81" t="str" s="640" cm="1">
        <f t="array" ref="P81">IF(B81&gt;0,'Direct Costs 2026'!$C$59*B81,"N/A")</f>
        <v>N/A</v>
      </c>
      <c r="Q81" t="str" s="640" cm="1">
        <f t="array" ref="Q81">IF(B81&gt;0,_xlfn.IFERROR(VLOOKUP(C68,'Boats Data Sheet 2026'!$C$3:$I$57,7,0)*'Direct Costs 2026'!$C$36,"N/A"),"N/A")</f>
        <v>N/A</v>
      </c>
      <c r="R81" s="639"/>
      <c r="S81" t="str" s="640" cm="1">
        <f t="array" ref="S81">IF(B81&gt;0,IF(OR(VLOOKUP(C68,'Boats Data Sheet 2026'!$C$3:$F$57,4,0)="Own",VLOOKUP(C68,'Boats Data Sheet 2026'!$C$3:$F$57,4,0)="Management"),('Direct Costs 2026'!$C$37+'Direct Costs 2026'!$C$39),"N/A"),"N/A")</f>
        <v>N/A</v>
      </c>
      <c r="T81" t="str" s="640" cm="1">
        <f t="array" ref="T81">_xlfn.IFERROR(IF(B81&gt;5,IF(B81&gt;11,IF(B81&gt;15,4,3),2),IF(B81=0,"N/A",1))*SUM('Direct Costs 2026'!$C$67:$C$68),"N/A")</f>
        <v>N/A</v>
      </c>
      <c r="U81" t="str" s="640" cm="1">
        <f t="array" ref="U81">_xlfn.IFERROR('Direct Costs 2026'!$C$27*C81,"N/A")</f>
        <v>N/A</v>
      </c>
      <c r="V81" t="str" s="640" cm="1">
        <f t="array" ref="V81">_xlfn.IFERROR(C81+SUM(E81:U81),"N/A")</f>
        <v>N/A</v>
      </c>
      <c r="W81" s="424"/>
      <c r="X81" t="str" s="640" cm="1">
        <f t="array" ref="X81">IF(B81&gt;0,'Allocation OH and Target 2026'!$E$31,"N/A")</f>
        <v>N/A</v>
      </c>
      <c r="Y81" t="str" s="640" cm="1">
        <f t="array" ref="Y81">IF(B81&gt;0,VLOOKUP(C68,'Allocation OH and Target 2026'!$C$5:$T$23,16,0),"N/A")</f>
        <v>N/A</v>
      </c>
      <c r="Z81" t="str" s="640" cm="1">
        <f t="array" ref="Z81">_xlfn.IFERROR((X81+Y81),"N/A")</f>
        <v>N/A</v>
      </c>
      <c r="AA81" s="424"/>
      <c r="AB81" t="str" s="640" cm="1">
        <f t="array" ref="AB81">_xlfn.IFERROR(Z81+V81,"N/A")</f>
        <v>N/A</v>
      </c>
      <c r="AC81" t="str" s="640" cm="1">
        <f t="array" ref="AC81">_xlfn.IFERROR(AB81*0.5%,"N/A")</f>
        <v>N/A</v>
      </c>
      <c r="AD81" t="str" s="640" cm="1">
        <f t="array" ref="AD81">_xlfn.IFERROR(AB81*25%,"N/A")</f>
        <v>N/A</v>
      </c>
      <c r="AE81" t="str" s="648" cm="1">
        <f t="array" ref="AE81">IF(B81&gt;0,SUM(AB81:AD81),"N/A")</f>
        <v>N/A</v>
      </c>
      <c r="AF81" t="str" s="640" cm="1">
        <f t="array" ref="AF81">_xlfn.IFERROR(AE81/B81,"N/A")</f>
        <v>N/A</v>
      </c>
      <c r="AG81" s="424"/>
      <c r="AH81" t="str" s="648" cm="1">
        <f t="array" ref="AH81">IF(B81/VLOOKUP(C68,'Boats Data Sheet 2026'!$C$3:$H$57,6,0)&gt;VLOOKUP(C68,'Allocation OH and Target 2026'!$C$5:$J$23,8,0),IF(SUM(AI70:AI80)=0,AF81,"N/A"),"N/A")</f>
        <v>N/A</v>
      </c>
      <c r="AI81" s="424" cm="1">
        <f t="array" ref="AI81">IF(AH81="N/A",0,1)</f>
        <v>0</v>
      </c>
      <c r="AJ81" t="str" s="640" cm="1">
        <f t="array" ref="AJ81">IF(B81/VLOOKUP(C68,'Boats Data Sheet 2026'!$C$3:$H$57,6,0)&gt;VLOOKUP(C68,'Allocation OH and Target 2026'!$C$5:$J$23,8,0),IF(SUM(AI70:AI80)=0,V81/B81,"N/A"),"N/A")</f>
        <v>N/A</v>
      </c>
      <c r="AK81" s="424" cm="1">
        <f t="array" ref="AK81">IF(AJ81="N/A",0,1)</f>
        <v>0</v>
      </c>
      <c r="AL81" t="str" s="628" cm="1">
        <f t="array" ref="AL81">IF(SUM(1250000+700000)*B81&lt;SUM(AB81:AC81),"NO GO","GO")</f>
        <v>GO</v>
      </c>
      <c r="AM81" s="424"/>
      <c r="AN81" s="639"/>
      <c r="AO81" s="639"/>
      <c r="AP81" s="639"/>
      <c r="AQ81" s="645"/>
      <c r="AR81" s="601" cm="1">
        <f t="array" ref="AR81">B81</f>
        <v>0</v>
      </c>
    </row>
    <row r="82" ht="9" customHeight="1" hidden="1">
      <c r="A82" s="12"/>
      <c r="B82" s="646">
        <v>0</v>
      </c>
      <c r="C82" t="str" s="640" cm="1">
        <f t="array" ref="C82">IF(B82&gt;0,IF(VLOOKUP(C68,'Boats Data Sheet 2026'!$C$3:$J$57,8,0)="N/A",0,VLOOKUP(C68,'Boats Data Sheet 2026'!$C$3:$J$57,8,0)),"N/A")</f>
        <v>N/A</v>
      </c>
      <c r="D82" t="str" s="649" cm="1">
        <f t="array" ref="D82">IF(B82&gt;7,2,IF(B82=0,"N/A",1))</f>
        <v>N/A</v>
      </c>
      <c r="E82" t="str" s="640" cm="1">
        <f t="array" ref="E82">_xlfn.IFERROR(SUM('Direct Costs 2026'!$C$4:$C$6)*D82,"N/A")</f>
        <v>N/A</v>
      </c>
      <c r="F82" s="639" cm="1">
        <f t="array" ref="F82">_xlfn.IFERROR('Direct Costs 2026'!$C$43*B82,"N/A")</f>
        <v>0</v>
      </c>
      <c r="G82" t="str" s="640" cm="1">
        <f t="array" ref="G82">IF(B82&gt;0,'Direct Costs 2026'!$C$25,"N/A")</f>
        <v>N/A</v>
      </c>
      <c r="H82" t="str" s="640" cm="1">
        <f t="array" ref="H82">IF(B82&gt;0,('Direct Costs 2026'!$C$19+'Direct Costs 2026'!$C$18*B82),"N/A")</f>
        <v>N/A</v>
      </c>
      <c r="I82" t="str" s="640" cm="1">
        <f t="array" ref="I82">IF(B82&gt;0,SUM('Direct Costs 2026'!$C$20:$C$21),"N/A")</f>
        <v>N/A</v>
      </c>
      <c r="J82" t="str" s="640" cm="1">
        <f t="array" ref="J82">IF(B82&gt;0,'Direct Costs 2026'!$C$14,"N/A")</f>
        <v>N/A</v>
      </c>
      <c r="K82" t="str" s="640" cm="1">
        <f t="array" ref="K82">IF(B82&gt;0,'Direct Costs 2026'!$C$26,"N/A")</f>
        <v>N/A</v>
      </c>
      <c r="L82" t="str" s="640" cm="1">
        <f t="array" ref="L82">IF(B82&gt;0,SUM('Direct Costs 2026'!$C$23:$C$24),"N/A")</f>
        <v>N/A</v>
      </c>
      <c r="M82" t="str" s="640" cm="1">
        <f t="array" ref="M82">IF(B82&gt;0,'Direct Costs 2026'!$C$45*B82,"N/A")</f>
        <v>N/A</v>
      </c>
      <c r="N82" t="str" s="640" cm="1">
        <f t="array" ref="N82">IF($B82&gt;0,'Direct Costs 2026'!$C$29,"N/A")</f>
        <v>N/A</v>
      </c>
      <c r="O82" t="str" s="640" cm="1">
        <f t="array" ref="O82">IF($B82&gt;0,'Direct Costs 2026'!$C$31,"N/A")</f>
        <v>N/A</v>
      </c>
      <c r="P82" t="str" s="640" cm="1">
        <f t="array" ref="P82">IF(B82&gt;0,'Direct Costs 2026'!$C$59*B82,"N/A")</f>
        <v>N/A</v>
      </c>
      <c r="Q82" t="str" s="640" cm="1">
        <f t="array" ref="Q82">IF(B82&gt;0,_xlfn.IFERROR(VLOOKUP(C68,'Boats Data Sheet 2026'!$C$3:$I$57,7,0)*'Direct Costs 2026'!$C$36,"N/A"),"N/A")</f>
        <v>N/A</v>
      </c>
      <c r="R82" s="639"/>
      <c r="S82" t="str" s="640" cm="1">
        <f t="array" ref="S82">IF(B82&gt;0,IF(OR(VLOOKUP(C68,'Boats Data Sheet 2026'!$C$3:$F$57,4,0)="Own",VLOOKUP(C68,'Boats Data Sheet 2026'!$C$3:$F$57,4,0)="Management"),('Direct Costs 2026'!$C$37+'Direct Costs 2026'!$C$39),"N/A"),"N/A")</f>
        <v>N/A</v>
      </c>
      <c r="T82" t="str" s="640" cm="1">
        <f t="array" ref="T82">_xlfn.IFERROR(IF(B82&gt;5,IF(B82&gt;11,IF(B82&gt;15,4,3),2),IF(B82=0,"N/A",1))*SUM('Direct Costs 2026'!$C$67:$C$68),"N/A")</f>
        <v>N/A</v>
      </c>
      <c r="U82" t="str" s="640" cm="1">
        <f t="array" ref="U82">_xlfn.IFERROR('Direct Costs 2026'!$C$27*C82,"N/A")</f>
        <v>N/A</v>
      </c>
      <c r="V82" t="str" s="640" cm="1">
        <f t="array" ref="V82">_xlfn.IFERROR(C82+SUM(E82:U82),"N/A")</f>
        <v>N/A</v>
      </c>
      <c r="W82" s="424"/>
      <c r="X82" t="str" s="640" cm="1">
        <f t="array" ref="X82">IF(B82&gt;0,'Allocation OH and Target 2026'!$E$31,"N/A")</f>
        <v>N/A</v>
      </c>
      <c r="Y82" t="str" s="640" cm="1">
        <f t="array" ref="Y82">IF(B82&gt;0,VLOOKUP(C68,'Allocation OH and Target 2026'!$C$5:$T$23,16,0),"N/A")</f>
        <v>N/A</v>
      </c>
      <c r="Z82" t="str" s="640" cm="1">
        <f t="array" ref="Z82">_xlfn.IFERROR((X82+Y82),"N/A")</f>
        <v>N/A</v>
      </c>
      <c r="AA82" s="424"/>
      <c r="AB82" t="str" s="640" cm="1">
        <f t="array" ref="AB82">_xlfn.IFERROR(Z82+V82,"N/A")</f>
        <v>N/A</v>
      </c>
      <c r="AC82" t="str" s="640" cm="1">
        <f t="array" ref="AC82">_xlfn.IFERROR(AB82*0.5%,"N/A")</f>
        <v>N/A</v>
      </c>
      <c r="AD82" t="str" s="640" cm="1">
        <f t="array" ref="AD82">_xlfn.IFERROR(AB82*25%,"N/A")</f>
        <v>N/A</v>
      </c>
      <c r="AE82" t="str" s="648" cm="1">
        <f t="array" ref="AE82">IF(B82&gt;0,SUM(AB82:AD82),"N/A")</f>
        <v>N/A</v>
      </c>
      <c r="AF82" t="str" s="640" cm="1">
        <f t="array" ref="AF82">_xlfn.IFERROR(AE82/B82,"N/A")</f>
        <v>N/A</v>
      </c>
      <c r="AG82" s="424"/>
      <c r="AH82" t="str" s="648" cm="1">
        <f t="array" ref="AH82">IF(B82/VLOOKUP(C68,'Boats Data Sheet 2026'!$C$3:$H$57,6,0)&gt;VLOOKUP(C68,'Allocation OH and Target 2026'!$C$5:$J$23,8,0),IF(SUM(AI70:AI81)=0,AF82,"N/A"),"N/A")</f>
        <v>N/A</v>
      </c>
      <c r="AI82" s="424" cm="1">
        <f t="array" ref="AI82">IF(AH82="N/A",0,1)</f>
        <v>0</v>
      </c>
      <c r="AJ82" t="str" s="640" cm="1">
        <f t="array" ref="AJ82">IF(B82/VLOOKUP(C68,'Boats Data Sheet 2026'!$C$3:$H$57,6,0)&gt;VLOOKUP(C68,'Allocation OH and Target 2026'!$C$5:$J$23,8,0),IF(SUM(AI70:AI81)=0,V82/B82,"N/A"),"N/A")</f>
        <v>N/A</v>
      </c>
      <c r="AK82" s="424" cm="1">
        <f t="array" ref="AK82">IF(AJ82="N/A",0,1)</f>
        <v>0</v>
      </c>
      <c r="AL82" t="str" s="628" cm="1">
        <f t="array" ref="AL82">IF(SUM(1250000+700000)*B82&lt;SUM(AB82:AC82),"NO GO","GO")</f>
        <v>GO</v>
      </c>
      <c r="AM82" s="424"/>
      <c r="AN82" s="639"/>
      <c r="AO82" s="639"/>
      <c r="AP82" s="639"/>
      <c r="AQ82" s="645"/>
      <c r="AR82" s="601" cm="1">
        <f t="array" ref="AR82">B82</f>
        <v>0</v>
      </c>
    </row>
    <row r="83" ht="9" customHeight="1" hidden="1">
      <c r="A83" s="12"/>
      <c r="B83" s="646">
        <v>0</v>
      </c>
      <c r="C83" t="str" s="640" cm="1">
        <f t="array" ref="C83">IF(B83&gt;0,IF(VLOOKUP(C68,'Boats Data Sheet 2026'!$C$3:$J$57,8,0)="N/A",0,VLOOKUP(C68,'Boats Data Sheet 2026'!$C$3:$J$57,8,0)),"N/A")</f>
        <v>N/A</v>
      </c>
      <c r="D83" t="str" s="649" cm="1">
        <f t="array" ref="D83">IF(B83&gt;7,2,IF(B83=0,"N/A",1))</f>
        <v>N/A</v>
      </c>
      <c r="E83" t="str" s="640" cm="1">
        <f t="array" ref="E83">_xlfn.IFERROR(SUM('Direct Costs 2026'!$C$4:$C$6)*D83,"N/A")</f>
        <v>N/A</v>
      </c>
      <c r="F83" s="639" cm="1">
        <f t="array" ref="F83">_xlfn.IFERROR('Direct Costs 2026'!$C$43*B83,"N/A")</f>
        <v>0</v>
      </c>
      <c r="G83" t="str" s="640" cm="1">
        <f t="array" ref="G83">IF(B83&gt;0,'Direct Costs 2026'!$C$25,"N/A")</f>
        <v>N/A</v>
      </c>
      <c r="H83" t="str" s="640" cm="1">
        <f t="array" ref="H83">IF(B83&gt;0,('Direct Costs 2026'!$C$19+'Direct Costs 2026'!$C$18*B83),"N/A")</f>
        <v>N/A</v>
      </c>
      <c r="I83" t="str" s="640" cm="1">
        <f t="array" ref="I83">IF(B83&gt;0,SUM('Direct Costs 2026'!$C$20:$C$21),"N/A")</f>
        <v>N/A</v>
      </c>
      <c r="J83" t="str" s="640" cm="1">
        <f t="array" ref="J83">IF(B83&gt;0,'Direct Costs 2026'!$C$14,"N/A")</f>
        <v>N/A</v>
      </c>
      <c r="K83" t="str" s="640" cm="1">
        <f t="array" ref="K83">IF(B83&gt;0,'Direct Costs 2026'!$C$26,"N/A")</f>
        <v>N/A</v>
      </c>
      <c r="L83" t="str" s="640" cm="1">
        <f t="array" ref="L83">IF(B83&gt;0,SUM('Direct Costs 2026'!$C$23:$C$24),"N/A")</f>
        <v>N/A</v>
      </c>
      <c r="M83" t="str" s="640" cm="1">
        <f t="array" ref="M83">IF(B83&gt;0,'Direct Costs 2026'!$C$45*B83,"N/A")</f>
        <v>N/A</v>
      </c>
      <c r="N83" t="str" s="640" cm="1">
        <f t="array" ref="N83">IF($B83&gt;0,'Direct Costs 2026'!$C$29,"N/A")</f>
        <v>N/A</v>
      </c>
      <c r="O83" t="str" s="640" cm="1">
        <f t="array" ref="O83">IF($B83&gt;0,'Direct Costs 2026'!$C$31,"N/A")</f>
        <v>N/A</v>
      </c>
      <c r="P83" t="str" s="640" cm="1">
        <f t="array" ref="P83">IF(B83&gt;0,'Direct Costs 2026'!$C$59*B83,"N/A")</f>
        <v>N/A</v>
      </c>
      <c r="Q83" t="str" s="640" cm="1">
        <f t="array" ref="Q83">IF(B83&gt;0,_xlfn.IFERROR(VLOOKUP(C68,'Boats Data Sheet 2026'!$C$3:$I$57,7,0)*'Direct Costs 2026'!$C$36,"N/A"),"N/A")</f>
        <v>N/A</v>
      </c>
      <c r="R83" s="639"/>
      <c r="S83" t="str" s="640" cm="1">
        <f t="array" ref="S83">IF(B83&gt;0,IF(OR(VLOOKUP(C68,'Boats Data Sheet 2026'!$C$3:$F$57,4,0)="Own",VLOOKUP(C68,'Boats Data Sheet 2026'!$C$3:$F$57,4,0)="Management"),('Direct Costs 2026'!$C$37+'Direct Costs 2026'!$C$39),"N/A"),"N/A")</f>
        <v>N/A</v>
      </c>
      <c r="T83" t="str" s="640" cm="1">
        <f t="array" ref="T83">_xlfn.IFERROR(IF(B83&gt;5,IF(B83&gt;11,IF(B83&gt;15,4,3),2),IF(B83=0,"N/A",1))*SUM('Direct Costs 2026'!$C$67:$C$68),"N/A")</f>
        <v>N/A</v>
      </c>
      <c r="U83" t="str" s="640" cm="1">
        <f t="array" ref="U83">_xlfn.IFERROR('Direct Costs 2026'!$C$27*C83,"N/A")</f>
        <v>N/A</v>
      </c>
      <c r="V83" t="str" s="640" cm="1">
        <f t="array" ref="V83">_xlfn.IFERROR(C83+SUM(E83:U83),"N/A")</f>
        <v>N/A</v>
      </c>
      <c r="W83" s="424"/>
      <c r="X83" t="str" s="640" cm="1">
        <f t="array" ref="X83">IF(B83&gt;0,'Allocation OH and Target 2026'!$E$31,"N/A")</f>
        <v>N/A</v>
      </c>
      <c r="Y83" t="str" s="640" cm="1">
        <f t="array" ref="Y83">IF(B83&gt;0,VLOOKUP(C68,'Allocation OH and Target 2026'!$C$5:$T$23,16,0),"N/A")</f>
        <v>N/A</v>
      </c>
      <c r="Z83" t="str" s="640" cm="1">
        <f t="array" ref="Z83">_xlfn.IFERROR((X83+Y83),"N/A")</f>
        <v>N/A</v>
      </c>
      <c r="AA83" s="424"/>
      <c r="AB83" t="str" s="640" cm="1">
        <f t="array" ref="AB83">_xlfn.IFERROR(Z83+V83,"N/A")</f>
        <v>N/A</v>
      </c>
      <c r="AC83" t="str" s="640" cm="1">
        <f t="array" ref="AC83">_xlfn.IFERROR(AB83*0.5%,"N/A")</f>
        <v>N/A</v>
      </c>
      <c r="AD83" t="str" s="640" cm="1">
        <f t="array" ref="AD83">_xlfn.IFERROR(AB83*25%,"N/A")</f>
        <v>N/A</v>
      </c>
      <c r="AE83" t="str" s="648" cm="1">
        <f t="array" ref="AE83">IF(B83&gt;0,SUM(AB83:AD83),"N/A")</f>
        <v>N/A</v>
      </c>
      <c r="AF83" t="str" s="640" cm="1">
        <f t="array" ref="AF83">_xlfn.IFERROR(AE83/B83,"N/A")</f>
        <v>N/A</v>
      </c>
      <c r="AG83" s="424"/>
      <c r="AH83" t="str" s="648" cm="1">
        <f t="array" ref="AH83">IF(B83/VLOOKUP(C68,'Boats Data Sheet 2026'!$C$3:$H$57,6,0)&gt;VLOOKUP(C68,'Allocation OH and Target 2026'!$C$5:$J$23,8,0),IF(SUM(AI70:AI82)=0,AF83,"N/A"),"N/A")</f>
        <v>N/A</v>
      </c>
      <c r="AI83" s="424" cm="1">
        <f t="array" ref="AI83">IF(AH83="N/A",0,1)</f>
        <v>0</v>
      </c>
      <c r="AJ83" t="str" s="640" cm="1">
        <f t="array" ref="AJ83">IF(B83/VLOOKUP(C68,'Boats Data Sheet 2026'!$C$3:$H$57,6,0)&gt;VLOOKUP(C68,'Allocation OH and Target 2026'!$C$5:$J$23,8,0),IF(SUM(AI70:AI82)=0,V83/B83,"N/A"),"N/A")</f>
        <v>N/A</v>
      </c>
      <c r="AK83" s="424" cm="1">
        <f t="array" ref="AK83">IF(AJ83="N/A",0,1)</f>
        <v>0</v>
      </c>
      <c r="AL83" t="str" s="628" cm="1">
        <f t="array" ref="AL83">IF(SUM(1250000+700000)*B83&lt;SUM(AB83:AC83),"NO GO","GO")</f>
        <v>GO</v>
      </c>
      <c r="AM83" s="424"/>
      <c r="AN83" s="639"/>
      <c r="AO83" s="639"/>
      <c r="AP83" s="639"/>
      <c r="AQ83" s="645"/>
      <c r="AR83" s="601" cm="1">
        <f t="array" ref="AR83">B83</f>
        <v>0</v>
      </c>
    </row>
    <row r="84" ht="9" customHeight="1" hidden="1">
      <c r="A84" s="12"/>
      <c r="B84" s="646">
        <v>0</v>
      </c>
      <c r="C84" t="str" s="640" cm="1">
        <f t="array" ref="C84">IF(B84&gt;0,IF(VLOOKUP(C68,'Boats Data Sheet 2026'!$C$3:$J$57,8,0)="N/A",0,VLOOKUP(C68,'Boats Data Sheet 2026'!$C$3:$J$57,8,0)),"N/A")</f>
        <v>N/A</v>
      </c>
      <c r="D84" t="str" s="640" cm="1">
        <f t="array" ref="D84">IF(B84&gt;7,2,IF(B84=0,"N/A",1))</f>
        <v>N/A</v>
      </c>
      <c r="E84" t="str" s="640" cm="1">
        <f t="array" ref="E84">_xlfn.IFERROR(SUM('Direct Costs 2026'!$C$4:$C$6)*D84,"N/A")</f>
        <v>N/A</v>
      </c>
      <c r="F84" s="639" cm="1">
        <f t="array" ref="F84">_xlfn.IFERROR('Direct Costs 2026'!$C$43*B84,"N/A")</f>
        <v>0</v>
      </c>
      <c r="G84" t="str" s="640" cm="1">
        <f t="array" ref="G84">IF(B84&gt;0,'Direct Costs 2026'!$C$25,"N/A")</f>
        <v>N/A</v>
      </c>
      <c r="H84" t="str" s="640" cm="1">
        <f t="array" ref="H84">IF(B84&gt;0,('Direct Costs 2026'!$C$19+'Direct Costs 2026'!$C$18*B84),"N/A")</f>
        <v>N/A</v>
      </c>
      <c r="I84" t="str" s="640" cm="1">
        <f t="array" ref="I84">IF(B84&gt;0,SUM('Direct Costs 2026'!$C$20:$C$21),"N/A")</f>
        <v>N/A</v>
      </c>
      <c r="J84" t="str" s="640" cm="1">
        <f t="array" ref="J84">IF(B84&gt;0,'Direct Costs 2026'!$C$14,"N/A")</f>
        <v>N/A</v>
      </c>
      <c r="K84" t="str" s="640" cm="1">
        <f t="array" ref="K84">IF(B84&gt;0,'Direct Costs 2026'!$C$26,"N/A")</f>
        <v>N/A</v>
      </c>
      <c r="L84" t="str" s="640" cm="1">
        <f t="array" ref="L84">IF(B84&gt;0,SUM('Direct Costs 2026'!$C$23:$C$24),"N/A")</f>
        <v>N/A</v>
      </c>
      <c r="M84" t="str" s="640" cm="1">
        <f t="array" ref="M84">IF(B84&gt;0,'Direct Costs 2026'!$C$45*B84,"N/A")</f>
        <v>N/A</v>
      </c>
      <c r="N84" t="str" s="640" cm="1">
        <f t="array" ref="N84">IF($B84&gt;0,'Direct Costs 2026'!$C$29,"N/A")</f>
        <v>N/A</v>
      </c>
      <c r="O84" t="str" s="640" cm="1">
        <f t="array" ref="O84">IF($B84&gt;0,'Direct Costs 2026'!$C$31,"N/A")</f>
        <v>N/A</v>
      </c>
      <c r="P84" t="str" s="640" cm="1">
        <f t="array" ref="P84">IF(B84&gt;0,'Direct Costs 2026'!$C$59*B84,"N/A")</f>
        <v>N/A</v>
      </c>
      <c r="Q84" t="str" s="640" cm="1">
        <f t="array" ref="Q84">IF(B84&gt;0,_xlfn.IFERROR(VLOOKUP(C68,'Boats Data Sheet 2026'!$C$3:$I$57,7,0)*'Direct Costs 2026'!$C$36,"N/A"),"N/A")</f>
        <v>N/A</v>
      </c>
      <c r="R84" s="639"/>
      <c r="S84" t="str" s="640" cm="1">
        <f t="array" ref="S84">IF(B84&gt;0,IF(OR(VLOOKUP(C68,'Boats Data Sheet 2026'!$C$3:$F$57,4,0)="Own",VLOOKUP(C68,'Boats Data Sheet 2026'!$C$3:$F$57,4,0)="Management"),('Direct Costs 2026'!$C$37+'Direct Costs 2026'!$C$39),"N/A"),"N/A")</f>
        <v>N/A</v>
      </c>
      <c r="T84" t="str" s="640" cm="1">
        <f t="array" ref="T84">_xlfn.IFERROR(IF(B84&gt;5,IF(B84&gt;11,IF(B84&gt;15,4,3),2),IF(B84=0,"N/A",1))*SUM('Direct Costs 2026'!$C$67:$C$68),"N/A")</f>
        <v>N/A</v>
      </c>
      <c r="U84" t="str" s="640" cm="1">
        <f t="array" ref="U84">_xlfn.IFERROR('Direct Costs 2026'!$C$27*C84,"N/A")</f>
        <v>N/A</v>
      </c>
      <c r="V84" t="str" s="640" cm="1">
        <f t="array" ref="V84">_xlfn.IFERROR(C84+SUM(E84:U84),"N/A")</f>
        <v>N/A</v>
      </c>
      <c r="W84" s="424"/>
      <c r="X84" t="str" s="640" cm="1">
        <f t="array" ref="X84">IF(B84&gt;0,'Allocation OH and Target 2026'!$E$31,"N/A")</f>
        <v>N/A</v>
      </c>
      <c r="Y84" t="str" s="640" cm="1">
        <f t="array" ref="Y84">IF(B84&gt;0,VLOOKUP(C68,'Allocation OH and Target 2026'!$C$5:$T$23,16,0),"N/A")</f>
        <v>N/A</v>
      </c>
      <c r="Z84" t="str" s="640" cm="1">
        <f t="array" ref="Z84">_xlfn.IFERROR((X84+Y84),"N/A")</f>
        <v>N/A</v>
      </c>
      <c r="AA84" s="424"/>
      <c r="AB84" t="str" s="640" cm="1">
        <f t="array" ref="AB84">_xlfn.IFERROR(Z84+V84,"N/A")</f>
        <v>N/A</v>
      </c>
      <c r="AC84" t="str" s="640" cm="1">
        <f t="array" ref="AC84">_xlfn.IFERROR(AB84*0.5%,"N/A")</f>
        <v>N/A</v>
      </c>
      <c r="AD84" t="str" s="640" cm="1">
        <f t="array" ref="AD84">_xlfn.IFERROR(AB84*25%,"N/A")</f>
        <v>N/A</v>
      </c>
      <c r="AE84" t="str" s="648" cm="1">
        <f t="array" ref="AE84">IF(B84&gt;0,SUM(AB84:AD84),"N/A")</f>
        <v>N/A</v>
      </c>
      <c r="AF84" t="str" s="640" cm="1">
        <f t="array" ref="AF84">_xlfn.IFERROR(AE84/B84,"N/A")</f>
        <v>N/A</v>
      </c>
      <c r="AG84" s="424"/>
      <c r="AH84" t="str" s="648" cm="1">
        <f t="array" ref="AH84">IF(B84/VLOOKUP(C68,'Boats Data Sheet 2026'!$C$3:$H$57,6,0)&gt;VLOOKUP(C68,'Allocation OH and Target 2026'!$C$5:$J$23,8,0),IF(SUM(AI70:AI83)=0,AF84,"N/A"),"N/A")</f>
        <v>N/A</v>
      </c>
      <c r="AI84" s="424" cm="1">
        <f t="array" ref="AI84">IF(AH84="N/A",0,1)</f>
        <v>0</v>
      </c>
      <c r="AJ84" t="str" s="640" cm="1">
        <f t="array" ref="AJ84">IF(B84/VLOOKUP(C68,'Boats Data Sheet 2026'!$C$3:$H$57,6,0)&gt;VLOOKUP(C68,'Allocation OH and Target 2026'!$C$5:$J$23,8,0),IF(SUM(AI70:AI83)=0,V84/B84,"N/A"),"N/A")</f>
        <v>N/A</v>
      </c>
      <c r="AK84" s="424" cm="1">
        <f t="array" ref="AK84">IF(AJ84="N/A",0,1)</f>
        <v>0</v>
      </c>
      <c r="AL84" t="str" s="628" cm="1">
        <f t="array" ref="AL84">IF(SUM(1250000+700000)*B84&lt;SUM(AB84:AC84),"NO GO","GO")</f>
        <v>GO</v>
      </c>
      <c r="AM84" s="424"/>
      <c r="AN84" s="639"/>
      <c r="AO84" s="639"/>
      <c r="AP84" s="639"/>
      <c r="AQ84" s="645"/>
      <c r="AR84" s="601" cm="1">
        <f t="array" ref="AR84">B84</f>
        <v>0</v>
      </c>
    </row>
    <row r="85" ht="9" customHeight="1" hidden="1">
      <c r="A85" s="12"/>
      <c r="B85" s="646">
        <v>0</v>
      </c>
      <c r="C85" t="str" s="640" cm="1">
        <f t="array" ref="C85">IF(B85&gt;0,IF(VLOOKUP(C68,'Boats Data Sheet 2026'!$C$3:$J$57,8,0)="N/A",0,VLOOKUP(C68,'Boats Data Sheet 2026'!$C$3:$J$57,8,0)),"N/A")</f>
        <v>N/A</v>
      </c>
      <c r="D85" t="str" s="640" cm="1">
        <f t="array" ref="D85">IF(B85&gt;7,2,IF(B85=0,"N/A",1))</f>
        <v>N/A</v>
      </c>
      <c r="E85" t="str" s="640" cm="1">
        <f t="array" ref="E85">_xlfn.IFERROR(SUM('Direct Costs 2026'!$C$4:$C$6)*D85,"N/A")</f>
        <v>N/A</v>
      </c>
      <c r="F85" s="639" cm="1">
        <f t="array" ref="F85">_xlfn.IFERROR('Direct Costs 2026'!$C$43*B85,"N/A")</f>
        <v>0</v>
      </c>
      <c r="G85" t="str" s="640" cm="1">
        <f t="array" ref="G85">IF(B85&gt;0,'Direct Costs 2026'!$C$25,"N/A")</f>
        <v>N/A</v>
      </c>
      <c r="H85" t="str" s="640" cm="1">
        <f t="array" ref="H85">IF(B85&gt;0,('Direct Costs 2026'!$C$19+'Direct Costs 2026'!$C$18*B85),"N/A")</f>
        <v>N/A</v>
      </c>
      <c r="I85" t="str" s="640" cm="1">
        <f t="array" ref="I85">IF(B85&gt;0,SUM('Direct Costs 2026'!$C$20:$C$21),"N/A")</f>
        <v>N/A</v>
      </c>
      <c r="J85" t="str" s="640" cm="1">
        <f t="array" ref="J85">IF(B85&gt;0,'Direct Costs 2026'!$C$14,"N/A")</f>
        <v>N/A</v>
      </c>
      <c r="K85" t="str" s="640" cm="1">
        <f t="array" ref="K85">IF(B85&gt;0,'Direct Costs 2026'!$C$26,"N/A")</f>
        <v>N/A</v>
      </c>
      <c r="L85" t="str" s="640" cm="1">
        <f t="array" ref="L85">IF(B85&gt;0,SUM('Direct Costs 2026'!$C$23:$C$24),"N/A")</f>
        <v>N/A</v>
      </c>
      <c r="M85" t="str" s="640" cm="1">
        <f t="array" ref="M85">IF(B85&gt;0,'Direct Costs 2026'!$C$45*B85,"N/A")</f>
        <v>N/A</v>
      </c>
      <c r="N85" t="str" s="640" cm="1">
        <f t="array" ref="N85">IF($B85&gt;0,'Direct Costs 2026'!$C$29,"N/A")</f>
        <v>N/A</v>
      </c>
      <c r="O85" t="str" s="640" cm="1">
        <f t="array" ref="O85">IF($B85&gt;0,'Direct Costs 2026'!$C$31,"N/A")</f>
        <v>N/A</v>
      </c>
      <c r="P85" t="str" s="640" cm="1">
        <f t="array" ref="P85">IF(B85&gt;0,'Direct Costs 2026'!$C$59*B85,"N/A")</f>
        <v>N/A</v>
      </c>
      <c r="Q85" t="str" s="640" cm="1">
        <f t="array" ref="Q85">IF(B85&gt;0,_xlfn.IFERROR(VLOOKUP(C68,'Boats Data Sheet 2026'!$C$3:$I$57,7,0)*'Direct Costs 2026'!$C$36,"N/A"),"N/A")</f>
        <v>N/A</v>
      </c>
      <c r="R85" s="639"/>
      <c r="S85" t="str" s="640" cm="1">
        <f t="array" ref="S85">IF(B85&gt;0,IF(OR(VLOOKUP(C68,'Boats Data Sheet 2026'!$C$3:$F$57,4,0)="Own",VLOOKUP(C68,'Boats Data Sheet 2026'!$C$3:$F$57,4,0)="Management"),('Direct Costs 2026'!$C$37+'Direct Costs 2026'!$C$39),"N/A"),"N/A")</f>
        <v>N/A</v>
      </c>
      <c r="T85" t="str" s="640" cm="1">
        <f t="array" ref="T85">_xlfn.IFERROR(IF(B85&gt;5,IF(B85&gt;11,IF(B85&gt;15,4,3),2),IF(B85=0,"N/A",1))*SUM('Direct Costs 2026'!$C$67:$C$68),"N/A")</f>
        <v>N/A</v>
      </c>
      <c r="U85" t="str" s="640" cm="1">
        <f t="array" ref="U85">_xlfn.IFERROR('Direct Costs 2026'!$C$27*C85,"N/A")</f>
        <v>N/A</v>
      </c>
      <c r="V85" t="str" s="640" cm="1">
        <f t="array" ref="V85">_xlfn.IFERROR(C85+SUM(E85:U85),"N/A")</f>
        <v>N/A</v>
      </c>
      <c r="W85" s="424"/>
      <c r="X85" t="str" s="640" cm="1">
        <f t="array" ref="X85">IF(B85&gt;0,'Allocation OH and Target 2026'!$E$31,"N/A")</f>
        <v>N/A</v>
      </c>
      <c r="Y85" t="str" s="640" cm="1">
        <f t="array" ref="Y85">IF(B85&gt;0,VLOOKUP(C68,'Allocation OH and Target 2026'!$C$5:$T$23,16,0),"N/A")</f>
        <v>N/A</v>
      </c>
      <c r="Z85" t="str" s="640" cm="1">
        <f t="array" ref="Z85">_xlfn.IFERROR((X85+Y85),"N/A")</f>
        <v>N/A</v>
      </c>
      <c r="AA85" s="424"/>
      <c r="AB85" t="str" s="640" cm="1">
        <f t="array" ref="AB85">_xlfn.IFERROR(Z85+V85,"N/A")</f>
        <v>N/A</v>
      </c>
      <c r="AC85" t="str" s="640" cm="1">
        <f t="array" ref="AC85">_xlfn.IFERROR(AB85*0.5%,"N/A")</f>
        <v>N/A</v>
      </c>
      <c r="AD85" t="str" s="640" cm="1">
        <f t="array" ref="AD85">_xlfn.IFERROR(AB85*25%,"N/A")</f>
        <v>N/A</v>
      </c>
      <c r="AE85" t="str" s="648" cm="1">
        <f t="array" ref="AE85">IF(B85&gt;0,SUM(AB85:AD85),"N/A")</f>
        <v>N/A</v>
      </c>
      <c r="AF85" t="str" s="640" cm="1">
        <f t="array" ref="AF85">_xlfn.IFERROR(AE85/B85,"N/A")</f>
        <v>N/A</v>
      </c>
      <c r="AG85" s="424"/>
      <c r="AH85" t="str" s="648" cm="1">
        <f t="array" ref="AH85">IF(B85/VLOOKUP(C68,'Boats Data Sheet 2026'!$C$3:$H$57,6,0)&gt;VLOOKUP(C68,'Allocation OH and Target 2026'!$C$5:$J$23,8,0),IF(SUM(AI70:AI84)=0,AF85,"N/A"),"N/A")</f>
        <v>N/A</v>
      </c>
      <c r="AI85" s="424" cm="1">
        <f t="array" ref="AI85">IF(AH85="N/A",0,1)</f>
        <v>0</v>
      </c>
      <c r="AJ85" t="str" s="640" cm="1">
        <f t="array" ref="AJ85">IF(B85/VLOOKUP(C68,'Boats Data Sheet 2026'!$C$3:$H$57,6,0)&gt;VLOOKUP(C68,'Allocation OH and Target 2026'!$C$5:$J$23,8,0),IF(SUM(AI70:AI84)=0,V85/B85,"N/A"),"N/A")</f>
        <v>N/A</v>
      </c>
      <c r="AK85" s="424" cm="1">
        <f t="array" ref="AK85">IF(AJ85="N/A",0,1)</f>
        <v>0</v>
      </c>
      <c r="AL85" t="str" s="628" cm="1">
        <f t="array" ref="AL85">IF(SUM(1250000+700000)*B85&lt;SUM(AB85:AC85),"NO GO","GO")</f>
        <v>GO</v>
      </c>
      <c r="AM85" s="424"/>
      <c r="AN85" s="639"/>
      <c r="AO85" s="639"/>
      <c r="AP85" s="639"/>
      <c r="AQ85" s="645"/>
      <c r="AR85" s="601" cm="1">
        <f t="array" ref="AR85">B85</f>
        <v>0</v>
      </c>
    </row>
    <row r="86" ht="9" customHeight="1" hidden="1">
      <c r="A86" s="12"/>
      <c r="B86" s="646">
        <v>0</v>
      </c>
      <c r="C86" t="str" s="640" cm="1">
        <f t="array" ref="C86">IF(B86&gt;0,IF(VLOOKUP(C68,'Boats Data Sheet 2026'!$C$3:$J$57,8,0)="N/A",0,VLOOKUP(C68,'Boats Data Sheet 2026'!$C$3:$J$57,8,0)),"N/A")</f>
        <v>N/A</v>
      </c>
      <c r="D86" t="str" s="640" cm="1">
        <f t="array" ref="D86">IF(B86&gt;7,2,IF(B86=0,"N/A",1))</f>
        <v>N/A</v>
      </c>
      <c r="E86" t="str" s="640" cm="1">
        <f t="array" ref="E86">_xlfn.IFERROR(SUM('Direct Costs 2026'!$C$4:$C$6)*D86,"N/A")</f>
        <v>N/A</v>
      </c>
      <c r="F86" s="639" cm="1">
        <f t="array" ref="F86">_xlfn.IFERROR('Direct Costs 2026'!$C$43*B86,"N/A")</f>
        <v>0</v>
      </c>
      <c r="G86" t="str" s="640" cm="1">
        <f t="array" ref="G86">IF(B86&gt;0,'Direct Costs 2026'!$C$25,"N/A")</f>
        <v>N/A</v>
      </c>
      <c r="H86" t="str" s="640" cm="1">
        <f t="array" ref="H86">IF(B86&gt;0,('Direct Costs 2026'!$C$19+'Direct Costs 2026'!$C$18*B86),"N/A")</f>
        <v>N/A</v>
      </c>
      <c r="I86" t="str" s="640" cm="1">
        <f t="array" ref="I86">IF(B86&gt;0,SUM('Direct Costs 2026'!$C$20:$C$21),"N/A")</f>
        <v>N/A</v>
      </c>
      <c r="J86" t="str" s="640" cm="1">
        <f t="array" ref="J86">IF(B86&gt;0,'Direct Costs 2026'!$C$14,"N/A")</f>
        <v>N/A</v>
      </c>
      <c r="K86" t="str" s="640" cm="1">
        <f t="array" ref="K86">IF(B86&gt;0,'Direct Costs 2026'!$C$26,"N/A")</f>
        <v>N/A</v>
      </c>
      <c r="L86" t="str" s="640" cm="1">
        <f t="array" ref="L86">IF(B86&gt;0,SUM('Direct Costs 2026'!$C$23:$C$24),"N/A")</f>
        <v>N/A</v>
      </c>
      <c r="M86" t="str" s="640" cm="1">
        <f t="array" ref="M86">IF(B86&gt;0,'Direct Costs 2026'!$C$45*B86,"N/A")</f>
        <v>N/A</v>
      </c>
      <c r="N86" t="str" s="640" cm="1">
        <f t="array" ref="N86">IF($B86&gt;0,'Direct Costs 2026'!$C$29,"N/A")</f>
        <v>N/A</v>
      </c>
      <c r="O86" t="str" s="640" cm="1">
        <f t="array" ref="O86">IF($B86&gt;0,'Direct Costs 2026'!$C$31,"N/A")</f>
        <v>N/A</v>
      </c>
      <c r="P86" t="str" s="640" cm="1">
        <f t="array" ref="P86">IF(B86&gt;0,'Direct Costs 2026'!$C$59*B86,"N/A")</f>
        <v>N/A</v>
      </c>
      <c r="Q86" t="str" s="640" cm="1">
        <f t="array" ref="Q86">IF(B86&gt;0,_xlfn.IFERROR(VLOOKUP(C68,'Boats Data Sheet 2026'!$C$3:$I$57,7,0)*'Direct Costs 2026'!$C$36,"N/A"),"N/A")</f>
        <v>N/A</v>
      </c>
      <c r="R86" s="639"/>
      <c r="S86" t="str" s="640" cm="1">
        <f t="array" ref="S86">IF(B86&gt;0,IF(OR(VLOOKUP(C68,'Boats Data Sheet 2026'!$C$3:$F$57,4,0)="Own",VLOOKUP(C68,'Boats Data Sheet 2026'!$C$3:$F$57,4,0)="Management"),('Direct Costs 2026'!$C$37+'Direct Costs 2026'!$C$39),"N/A"),"N/A")</f>
        <v>N/A</v>
      </c>
      <c r="T86" t="str" s="640" cm="1">
        <f t="array" ref="T86">_xlfn.IFERROR(IF(B86&gt;5,IF(B86&gt;11,IF(B86&gt;15,4,3),2),IF(B86=0,"N/A",1))*SUM('Direct Costs 2026'!$C$67:$C$68),"N/A")</f>
        <v>N/A</v>
      </c>
      <c r="U86" t="str" s="640" cm="1">
        <f t="array" ref="U86">_xlfn.IFERROR('Direct Costs 2026'!$C$27*C86,"N/A")</f>
        <v>N/A</v>
      </c>
      <c r="V86" t="str" s="640" cm="1">
        <f t="array" ref="V86">_xlfn.IFERROR(C86+SUM(E86:U86),"N/A")</f>
        <v>N/A</v>
      </c>
      <c r="W86" s="424"/>
      <c r="X86" t="str" s="640" cm="1">
        <f t="array" ref="X86">IF(B86&gt;0,'Allocation OH and Target 2026'!$E$31,"N/A")</f>
        <v>N/A</v>
      </c>
      <c r="Y86" t="str" s="640" cm="1">
        <f t="array" ref="Y86">IF(B86&gt;0,VLOOKUP(C68,'Allocation OH and Target 2026'!$C$5:$T$23,16,0),"N/A")</f>
        <v>N/A</v>
      </c>
      <c r="Z86" t="str" s="640" cm="1">
        <f t="array" ref="Z86">_xlfn.IFERROR((X86+Y86),"N/A")</f>
        <v>N/A</v>
      </c>
      <c r="AA86" s="424"/>
      <c r="AB86" t="str" s="640" cm="1">
        <f t="array" ref="AB86">_xlfn.IFERROR(Z86+V86,"N/A")</f>
        <v>N/A</v>
      </c>
      <c r="AC86" t="str" s="640" cm="1">
        <f t="array" ref="AC86">_xlfn.IFERROR(AB86*0.5%,"N/A")</f>
        <v>N/A</v>
      </c>
      <c r="AD86" t="str" s="640" cm="1">
        <f t="array" ref="AD86">_xlfn.IFERROR(AB86*25%,"N/A")</f>
        <v>N/A</v>
      </c>
      <c r="AE86" t="str" s="648" cm="1">
        <f t="array" ref="AE86">IF(B86&gt;0,SUM(AB86:AD86),"N/A")</f>
        <v>N/A</v>
      </c>
      <c r="AF86" t="str" s="640" cm="1">
        <f t="array" ref="AF86">_xlfn.IFERROR(AE86/B86,"N/A")</f>
        <v>N/A</v>
      </c>
      <c r="AG86" s="424"/>
      <c r="AH86" t="str" s="648" cm="1">
        <f t="array" ref="AH86">IF(B86/VLOOKUP(C68,'Boats Data Sheet 2026'!$C$3:$H$57,6,0)&gt;VLOOKUP(C68,'Allocation OH and Target 2026'!$C$5:$J$23,8,0),IF(SUM(AI70:AI85)=0,AF86,"N/A"),"N/A")</f>
        <v>N/A</v>
      </c>
      <c r="AI86" s="424" cm="1">
        <f t="array" ref="AI86">IF(AH86="N/A",0,1)</f>
        <v>0</v>
      </c>
      <c r="AJ86" t="str" s="640" cm="1">
        <f t="array" ref="AJ86">IF(B86/VLOOKUP(C68,'Boats Data Sheet 2026'!$C$3:$H$57,6,0)&gt;VLOOKUP(C68,'Allocation OH and Target 2026'!$C$5:$J$23,8,0),IF(SUM(AI70:AI85)=0,V86/B86,"N/A"),"N/A")</f>
        <v>N/A</v>
      </c>
      <c r="AK86" s="424" cm="1">
        <f t="array" ref="AK86">IF(AJ86="N/A",0,1)</f>
        <v>0</v>
      </c>
      <c r="AL86" t="str" s="628" cm="1">
        <f t="array" ref="AL86">IF(SUM(1250000+700000)*B86&lt;SUM(AB86:AC86),"NO GO","GO")</f>
        <v>GO</v>
      </c>
      <c r="AM86" s="424"/>
      <c r="AN86" s="639"/>
      <c r="AO86" s="639"/>
      <c r="AP86" s="639"/>
      <c r="AQ86" s="645"/>
      <c r="AR86" s="601" cm="1">
        <f t="array" ref="AR86">B86</f>
        <v>0</v>
      </c>
    </row>
    <row r="87" ht="9" customHeight="1" hidden="1">
      <c r="A87" s="12"/>
      <c r="B87" s="646">
        <v>0</v>
      </c>
      <c r="C87" t="str" s="640" cm="1">
        <f t="array" ref="C87">IF(B87&gt;0,IF(VLOOKUP(C68,'Boats Data Sheet 2026'!$C$3:$J$57,8,0)="N/A",0,VLOOKUP(C68,'Boats Data Sheet 2026'!$C$3:$J$57,8,0)),"N/A")</f>
        <v>N/A</v>
      </c>
      <c r="D87" t="str" s="640" cm="1">
        <f t="array" ref="D87">IF(B87&gt;7,2,IF(B87=0,"N/A",1))</f>
        <v>N/A</v>
      </c>
      <c r="E87" t="str" s="640" cm="1">
        <f t="array" ref="E87">_xlfn.IFERROR(SUM('Direct Costs 2026'!$C$4:$C$6)*D87,"N/A")</f>
        <v>N/A</v>
      </c>
      <c r="F87" s="639" cm="1">
        <f t="array" ref="F87">_xlfn.IFERROR('Direct Costs 2026'!$C$43*B87,"N/A")</f>
        <v>0</v>
      </c>
      <c r="G87" t="str" s="640" cm="1">
        <f t="array" ref="G87">IF(B87&gt;0,'Direct Costs 2026'!$C$25,"N/A")</f>
        <v>N/A</v>
      </c>
      <c r="H87" t="str" s="640" cm="1">
        <f t="array" ref="H87">IF(B87&gt;0,('Direct Costs 2026'!$C$19+'Direct Costs 2026'!$C$18*B87),"N/A")</f>
        <v>N/A</v>
      </c>
      <c r="I87" t="str" s="640" cm="1">
        <f t="array" ref="I87">IF(B87&gt;0,SUM('Direct Costs 2026'!$C$20:$C$21),"N/A")</f>
        <v>N/A</v>
      </c>
      <c r="J87" t="str" s="640" cm="1">
        <f t="array" ref="J87">IF(B87&gt;0,'Direct Costs 2026'!$C$14,"N/A")</f>
        <v>N/A</v>
      </c>
      <c r="K87" t="str" s="640" cm="1">
        <f t="array" ref="K87">IF(B87&gt;0,'Direct Costs 2026'!$C$26,"N/A")</f>
        <v>N/A</v>
      </c>
      <c r="L87" t="str" s="640" cm="1">
        <f t="array" ref="L87">IF(B87&gt;0,SUM('Direct Costs 2026'!$C$23:$C$24),"N/A")</f>
        <v>N/A</v>
      </c>
      <c r="M87" t="str" s="640" cm="1">
        <f t="array" ref="M87">IF(B87&gt;0,'Direct Costs 2026'!$C$45*B87,"N/A")</f>
        <v>N/A</v>
      </c>
      <c r="N87" t="str" s="640" cm="1">
        <f t="array" ref="N87">IF($B87&gt;0,'Direct Costs 2026'!$C$29,"N/A")</f>
        <v>N/A</v>
      </c>
      <c r="O87" t="str" s="640" cm="1">
        <f t="array" ref="O87">IF($B87&gt;0,'Direct Costs 2026'!$C$31,"N/A")</f>
        <v>N/A</v>
      </c>
      <c r="P87" t="str" s="640" cm="1">
        <f t="array" ref="P87">IF(B87&gt;0,'Direct Costs 2026'!$C$59*B87,"N/A")</f>
        <v>N/A</v>
      </c>
      <c r="Q87" t="str" s="640" cm="1">
        <f t="array" ref="Q87">IF(B87&gt;0,_xlfn.IFERROR(VLOOKUP(C68,'Boats Data Sheet 2026'!$C$3:$I$57,7,0)*'Direct Costs 2026'!$C$36,"N/A"),"N/A")</f>
        <v>N/A</v>
      </c>
      <c r="R87" s="639"/>
      <c r="S87" t="str" s="640" cm="1">
        <f t="array" ref="S87">IF(B87&gt;0,IF(OR(VLOOKUP(C68,'Boats Data Sheet 2026'!$C$3:$F$57,4,0)="Own",VLOOKUP(C68,'Boats Data Sheet 2026'!$C$3:$F$57,4,0)="Management"),('Direct Costs 2026'!$C$37+'Direct Costs 2026'!$C$39),"N/A"),"N/A")</f>
        <v>N/A</v>
      </c>
      <c r="T87" t="str" s="640" cm="1">
        <f t="array" ref="T87">_xlfn.IFERROR(IF(B87&gt;5,IF(B87&gt;11,IF(B87&gt;15,4,3),2),IF(B87=0,"N/A",1))*SUM('Direct Costs 2026'!$C$67:$C$68),"N/A")</f>
        <v>N/A</v>
      </c>
      <c r="U87" t="str" s="640" cm="1">
        <f t="array" ref="U87">_xlfn.IFERROR('Direct Costs 2026'!$C$27*C87,"N/A")</f>
        <v>N/A</v>
      </c>
      <c r="V87" t="str" s="640" cm="1">
        <f t="array" ref="V87">_xlfn.IFERROR(C87+SUM(E87:U87),"N/A")</f>
        <v>N/A</v>
      </c>
      <c r="W87" s="424"/>
      <c r="X87" t="str" s="640" cm="1">
        <f t="array" ref="X87">IF(B87&gt;0,'Allocation OH and Target 2026'!$E$31,"N/A")</f>
        <v>N/A</v>
      </c>
      <c r="Y87" t="str" s="640" cm="1">
        <f t="array" ref="Y87">IF(B87&gt;0,VLOOKUP(C68,'Allocation OH and Target 2026'!$C$5:$T$23,16,0),"N/A")</f>
        <v>N/A</v>
      </c>
      <c r="Z87" t="str" s="640" cm="1">
        <f t="array" ref="Z87">_xlfn.IFERROR((X87+Y87),"N/A")</f>
        <v>N/A</v>
      </c>
      <c r="AA87" s="424"/>
      <c r="AB87" t="str" s="640" cm="1">
        <f t="array" ref="AB87">_xlfn.IFERROR(Z87+V87,"N/A")</f>
        <v>N/A</v>
      </c>
      <c r="AC87" t="str" s="640" cm="1">
        <f t="array" ref="AC87">_xlfn.IFERROR(AB87*0.5%,"N/A")</f>
        <v>N/A</v>
      </c>
      <c r="AD87" t="str" s="640" cm="1">
        <f t="array" ref="AD87">_xlfn.IFERROR(AB87*25%,"N/A")</f>
        <v>N/A</v>
      </c>
      <c r="AE87" t="str" s="648" cm="1">
        <f t="array" ref="AE87">IF(B87&gt;0,SUM(AB87:AD87),"N/A")</f>
        <v>N/A</v>
      </c>
      <c r="AF87" t="str" s="640" cm="1">
        <f t="array" ref="AF87">_xlfn.IFERROR(AE87/B87,"N/A")</f>
        <v>N/A</v>
      </c>
      <c r="AG87" s="424"/>
      <c r="AH87" t="str" s="648" cm="1">
        <f t="array" ref="AH87">IF(B87/VLOOKUP(C68,'Boats Data Sheet 2026'!$C$3:$H$57,6,0)&gt;VLOOKUP(C68,'Allocation OH and Target 2026'!$C$5:$J$23,8,0),IF(SUM(AI70:AI86)=0,AF87,"N/A"),"N/A")</f>
        <v>N/A</v>
      </c>
      <c r="AI87" s="424" cm="1">
        <f t="array" ref="AI87">IF(AH87="N/A",0,1)</f>
        <v>0</v>
      </c>
      <c r="AJ87" t="str" s="640" cm="1">
        <f t="array" ref="AJ87">IF(B87/VLOOKUP(C68,'Boats Data Sheet 2026'!$C$3:$H$57,6,0)&gt;VLOOKUP(C68,'Allocation OH and Target 2026'!$C$5:$J$23,8,0),IF(SUM(AI70:AI86)=0,V87/B87,"N/A"),"N/A")</f>
        <v>N/A</v>
      </c>
      <c r="AK87" s="424" cm="1">
        <f t="array" ref="AK87">IF(AJ87="N/A",0,1)</f>
        <v>0</v>
      </c>
      <c r="AL87" t="str" s="628" cm="1">
        <f t="array" ref="AL87">IF(SUM(1250000+700000)*B87&lt;SUM(AB87:AC87),"NO GO","GO")</f>
        <v>GO</v>
      </c>
      <c r="AM87" s="424"/>
      <c r="AN87" s="639"/>
      <c r="AO87" s="639"/>
      <c r="AP87" s="639"/>
      <c r="AQ87" s="645"/>
      <c r="AR87" s="601" cm="1">
        <f t="array" ref="AR87">B87</f>
        <v>0</v>
      </c>
    </row>
    <row r="88" ht="15.5" customHeight="1">
      <c r="A88" s="12"/>
      <c r="B88" s="650">
        <v>0</v>
      </c>
      <c r="C88" t="str" s="651" cm="1">
        <f t="array" ref="C88">IF(B88&gt;0,IF(VLOOKUP(C68,'Boats Data Sheet 2026'!$C$3:$J$57,8,0)="N/A",0,VLOOKUP(C68,'Boats Data Sheet 2026'!$C$3:$J$57,8,0)),"N/A")</f>
        <v>N/A</v>
      </c>
      <c r="D88" t="str" s="651" cm="1">
        <f t="array" ref="D88">IF(B88&gt;7,2,IF(B88=0,"N/A",1))</f>
        <v>N/A</v>
      </c>
      <c r="E88" t="str" s="651" cm="1">
        <f t="array" ref="E88">_xlfn.IFERROR(SUM('Direct Costs 2026'!$C$4:$C$6)*D88,"N/A")</f>
        <v>N/A</v>
      </c>
      <c r="F88" s="652" cm="1">
        <f t="array" ref="F88">_xlfn.IFERROR('Direct Costs 2026'!$C$43*B88,"N/A")</f>
        <v>0</v>
      </c>
      <c r="G88" t="str" s="651" cm="1">
        <f t="array" ref="G88">IF(B88&gt;0,'Direct Costs 2026'!$C$25,"N/A")</f>
        <v>N/A</v>
      </c>
      <c r="H88" t="str" s="651" cm="1">
        <f t="array" ref="H88">IF(B88&gt;0,('Direct Costs 2026'!$C$19+'Direct Costs 2026'!$C$18*B88),"N/A")</f>
        <v>N/A</v>
      </c>
      <c r="I88" t="str" s="651" cm="1">
        <f t="array" ref="I88">IF(B88&gt;0,SUM('Direct Costs 2026'!$C$20:$C$21),"N/A")</f>
        <v>N/A</v>
      </c>
      <c r="J88" t="str" s="651" cm="1">
        <f t="array" ref="J88">IF(B88&gt;0,'Direct Costs 2026'!$C$14,"N/A")</f>
        <v>N/A</v>
      </c>
      <c r="K88" t="str" s="651" cm="1">
        <f t="array" ref="K88">IF(B88&gt;0,'Direct Costs 2026'!$C$26,"N/A")</f>
        <v>N/A</v>
      </c>
      <c r="L88" t="str" s="651" cm="1">
        <f t="array" ref="L88">IF(B88&gt;0,SUM('Direct Costs 2026'!$C$23:$C$24),"N/A")</f>
        <v>N/A</v>
      </c>
      <c r="M88" t="str" s="651" cm="1">
        <f t="array" ref="M88">IF(B88&gt;0,'Direct Costs 2026'!$C$45*B88,"N/A")</f>
        <v>N/A</v>
      </c>
      <c r="N88" t="str" s="651" cm="1">
        <f t="array" ref="N88">IF($B88&gt;0,'Direct Costs 2026'!$C$29,"N/A")</f>
        <v>N/A</v>
      </c>
      <c r="O88" t="str" s="651" cm="1">
        <f t="array" ref="O88">IF($B88&gt;0,'Direct Costs 2026'!$C$31,"N/A")</f>
        <v>N/A</v>
      </c>
      <c r="P88" t="str" s="651" cm="1">
        <f t="array" ref="P88">IF(B88&gt;0,'Direct Costs 2026'!$C$59*B88,"N/A")</f>
        <v>N/A</v>
      </c>
      <c r="Q88" t="str" s="651" cm="1">
        <f t="array" ref="Q88">IF(B88&gt;0,_xlfn.IFERROR(VLOOKUP(C68,'Boats Data Sheet 2026'!$C$3:$I$57,7,0)*'Direct Costs 2026'!$C$36,"N/A"),"N/A")</f>
        <v>N/A</v>
      </c>
      <c r="R88" s="652"/>
      <c r="S88" t="str" s="651" cm="1">
        <f t="array" ref="S88">IF(B88&gt;0,IF(OR(VLOOKUP(C68,'Boats Data Sheet 2026'!$C$3:$F$57,4,0)="Own",VLOOKUP(C68,'Boats Data Sheet 2026'!$C$3:$F$57,4,0)="Management"),('Direct Costs 2026'!$C$37+'Direct Costs 2026'!$C$39),"N/A"),"N/A")</f>
        <v>N/A</v>
      </c>
      <c r="T88" t="str" s="651" cm="1">
        <f t="array" ref="T88">_xlfn.IFERROR(IF(B88&gt;5,IF(B88&gt;11,IF(B88&gt;15,4,3),2),IF(B88=0,"N/A",1))*SUM('Direct Costs 2026'!$C$67:$C$68),"N/A")</f>
        <v>N/A</v>
      </c>
      <c r="U88" t="str" s="651" cm="1">
        <f t="array" ref="U88">_xlfn.IFERROR('Direct Costs 2026'!$C$27*C88,"N/A")</f>
        <v>N/A</v>
      </c>
      <c r="V88" t="str" s="651" cm="1">
        <f t="array" ref="V88">_xlfn.IFERROR(C88+SUM(E88:U88),"N/A")</f>
        <v>N/A</v>
      </c>
      <c r="W88" s="435"/>
      <c r="X88" t="str" s="651" cm="1">
        <f t="array" ref="X88">IF(B88&gt;0,'Allocation OH and Target 2026'!$E$31,"N/A")</f>
        <v>N/A</v>
      </c>
      <c r="Y88" t="str" s="651" cm="1">
        <f t="array" ref="Y88">IF(B88&gt;0,VLOOKUP(C68,'Allocation OH and Target 2026'!$C$5:$T$23,16,0),"N/A")</f>
        <v>N/A</v>
      </c>
      <c r="Z88" t="str" s="651" cm="1">
        <f t="array" ref="Z88">_xlfn.IFERROR((X88+Y88),"N/A")</f>
        <v>N/A</v>
      </c>
      <c r="AA88" s="435"/>
      <c r="AB88" t="str" s="651" cm="1">
        <f t="array" ref="AB88">_xlfn.IFERROR(Z88+V88,"N/A")</f>
        <v>N/A</v>
      </c>
      <c r="AC88" t="str" s="651" cm="1">
        <f t="array" ref="AC88">_xlfn.IFERROR(AB88*0.5%,"N/A")</f>
        <v>N/A</v>
      </c>
      <c r="AD88" t="str" s="651" cm="1">
        <f t="array" ref="AD88">_xlfn.IFERROR(AB88*25%,"N/A")</f>
        <v>N/A</v>
      </c>
      <c r="AE88" t="str" s="653" cm="1">
        <f t="array" ref="AE88">IF(B88&gt;0,SUM(AB88:AD88),"N/A")</f>
        <v>N/A</v>
      </c>
      <c r="AF88" t="str" s="651" cm="1">
        <f t="array" ref="AF88">_xlfn.IFERROR(AE88/B88,"N/A")</f>
        <v>N/A</v>
      </c>
      <c r="AG88" s="435"/>
      <c r="AH88" t="str" s="653" cm="1">
        <f t="array" ref="AH88">IF(B88/VLOOKUP(C68,'Boats Data Sheet 2026'!$C$3:$H$57,6,0)&gt;VLOOKUP(C68,'Allocation OH and Target 2026'!$C$5:$J$23,8,0),IF(SUM(AI70:AI87)=0,AF88,"N/A"),"N/A")</f>
        <v>N/A</v>
      </c>
      <c r="AI88" s="435" cm="1">
        <f t="array" ref="AI88">IF(AH88="N/A",0,1)</f>
        <v>0</v>
      </c>
      <c r="AJ88" t="str" s="651" cm="1">
        <f t="array" ref="AJ88">IF(B88/VLOOKUP(C68,'Boats Data Sheet 2026'!$C$3:$H$57,6,0)&gt;VLOOKUP(C68,'Allocation OH and Target 2026'!$C$5:$J$23,8,0),IF(SUM(AI70:AI87)=0,V88/B88,"N/A"),"N/A")</f>
        <v>N/A</v>
      </c>
      <c r="AK88" s="435" cm="1">
        <f t="array" ref="AK88">IF(AJ88="N/A",0,1)</f>
        <v>0</v>
      </c>
      <c r="AL88" t="str" s="654" cm="1">
        <f t="array" ref="AL88">IF(SUM(1250000+700000)*B88&lt;SUM(AB88:AC88),"NO GO","GO")</f>
        <v>GO</v>
      </c>
      <c r="AM88" s="435"/>
      <c r="AN88" s="652"/>
      <c r="AO88" s="652"/>
      <c r="AP88" s="652"/>
      <c r="AQ88" s="655"/>
      <c r="AR88" s="601" cm="1">
        <f t="array" ref="AR88">B88</f>
        <v>0</v>
      </c>
    </row>
    <row r="89" ht="16" customHeight="1">
      <c r="A89" s="32"/>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18"/>
    </row>
    <row r="90" ht="15.5" customHeight="1">
      <c r="A90" s="395">
        <v>5</v>
      </c>
      <c r="B90" t="s" s="619">
        <v>506</v>
      </c>
      <c r="C90" t="s" s="620">
        <v>54</v>
      </c>
      <c r="D90" s="622"/>
      <c r="E90" s="621"/>
      <c r="F90" s="621"/>
      <c r="G90" s="621"/>
      <c r="H90" s="621"/>
      <c r="I90" s="621"/>
      <c r="J90" s="621"/>
      <c r="K90" s="621"/>
      <c r="L90" s="621"/>
      <c r="M90" s="621"/>
      <c r="N90" s="621"/>
      <c r="O90" s="621"/>
      <c r="P90" s="621"/>
      <c r="Q90" s="621"/>
      <c r="R90" s="621"/>
      <c r="S90" s="621"/>
      <c r="T90" s="621"/>
      <c r="U90" s="621"/>
      <c r="V90" s="621"/>
      <c r="W90" s="399"/>
      <c r="X90" s="621"/>
      <c r="Y90" s="621"/>
      <c r="Z90" s="621"/>
      <c r="AA90" s="399"/>
      <c r="AB90" s="621"/>
      <c r="AC90" s="621"/>
      <c r="AD90" s="621"/>
      <c r="AE90" s="621"/>
      <c r="AF90" s="621"/>
      <c r="AG90" s="399"/>
      <c r="AH90" s="622"/>
      <c r="AI90" s="399"/>
      <c r="AJ90" s="621"/>
      <c r="AK90" s="399"/>
      <c r="AL90" s="621"/>
      <c r="AM90" s="399"/>
      <c r="AN90" s="621"/>
      <c r="AO90" s="621"/>
      <c r="AP90" s="621"/>
      <c r="AQ90" s="623"/>
      <c r="AR90" s="578"/>
    </row>
    <row r="91" ht="16" customHeight="1">
      <c r="A91" s="12"/>
      <c r="B91" s="624"/>
      <c r="C91" t="s" s="625">
        <v>513</v>
      </c>
      <c r="D91" s="626"/>
      <c r="E91" s="626"/>
      <c r="F91" s="626"/>
      <c r="G91" s="626"/>
      <c r="H91" s="626"/>
      <c r="I91" s="626"/>
      <c r="J91" s="626"/>
      <c r="K91" s="626"/>
      <c r="L91" s="626"/>
      <c r="M91" s="626"/>
      <c r="N91" s="626"/>
      <c r="O91" s="626"/>
      <c r="P91" s="626"/>
      <c r="Q91" s="626"/>
      <c r="R91" s="626"/>
      <c r="S91" s="626"/>
      <c r="T91" s="626"/>
      <c r="U91" s="626"/>
      <c r="V91" s="627"/>
      <c r="W91" s="407"/>
      <c r="X91" t="s" s="625">
        <v>514</v>
      </c>
      <c r="Y91" s="626"/>
      <c r="Z91" s="627"/>
      <c r="AA91" s="407"/>
      <c r="AB91" t="s" s="625">
        <v>515</v>
      </c>
      <c r="AC91" s="626"/>
      <c r="AD91" s="626"/>
      <c r="AE91" s="626"/>
      <c r="AF91" s="627"/>
      <c r="AG91" s="410"/>
      <c r="AH91" s="628"/>
      <c r="AI91" s="410"/>
      <c r="AJ91" s="629"/>
      <c r="AK91" s="410"/>
      <c r="AL91" s="629"/>
      <c r="AM91" s="410"/>
      <c r="AN91" s="629"/>
      <c r="AO91" s="629"/>
      <c r="AP91" s="629"/>
      <c r="AQ91" s="630"/>
      <c r="AR91" s="578"/>
    </row>
    <row r="92" ht="60.5" customHeight="1">
      <c r="A92" s="12"/>
      <c r="B92" t="s" s="631">
        <v>517</v>
      </c>
      <c r="C92" t="s" s="632">
        <v>518</v>
      </c>
      <c r="D92" t="s" s="632">
        <v>519</v>
      </c>
      <c r="E92" t="s" s="632">
        <v>520</v>
      </c>
      <c r="F92" t="s" s="633">
        <v>521</v>
      </c>
      <c r="G92" t="s" s="633">
        <v>522</v>
      </c>
      <c r="H92" t="s" s="633">
        <v>524</v>
      </c>
      <c r="I92" t="s" s="633">
        <v>525</v>
      </c>
      <c r="J92" t="s" s="633">
        <v>553</v>
      </c>
      <c r="K92" t="s" s="633">
        <v>526</v>
      </c>
      <c r="L92" t="s" s="633">
        <v>527</v>
      </c>
      <c r="M92" t="s" s="633">
        <v>528</v>
      </c>
      <c r="N92" t="s" s="633">
        <v>608</v>
      </c>
      <c r="O92" t="s" s="633">
        <v>609</v>
      </c>
      <c r="P92" t="s" s="633">
        <v>604</v>
      </c>
      <c r="Q92" t="s" s="633">
        <v>610</v>
      </c>
      <c r="R92" t="s" s="633">
        <v>529</v>
      </c>
      <c r="S92" t="s" s="633">
        <v>530</v>
      </c>
      <c r="T92" t="s" s="633">
        <v>572</v>
      </c>
      <c r="U92" t="s" s="633">
        <v>531</v>
      </c>
      <c r="V92" t="s" s="633">
        <v>532</v>
      </c>
      <c r="W92" s="556"/>
      <c r="X92" t="s" s="633">
        <v>533</v>
      </c>
      <c r="Y92" t="s" s="633">
        <v>534</v>
      </c>
      <c r="Z92" t="s" s="633">
        <v>535</v>
      </c>
      <c r="AA92" s="556"/>
      <c r="AB92" t="s" s="633">
        <v>536</v>
      </c>
      <c r="AC92" t="s" s="633">
        <v>537</v>
      </c>
      <c r="AD92" t="s" s="633">
        <v>538</v>
      </c>
      <c r="AE92" t="s" s="633">
        <v>575</v>
      </c>
      <c r="AF92" t="s" s="633">
        <v>539</v>
      </c>
      <c r="AG92" s="557"/>
      <c r="AH92" t="s" s="633">
        <v>576</v>
      </c>
      <c r="AI92" s="557"/>
      <c r="AJ92" t="s" s="633">
        <v>577</v>
      </c>
      <c r="AK92" s="557"/>
      <c r="AL92" t="s" s="632">
        <v>578</v>
      </c>
      <c r="AM92" s="557"/>
      <c r="AN92" s="634"/>
      <c r="AO92" s="634"/>
      <c r="AP92" s="634"/>
      <c r="AQ92" s="635"/>
      <c r="AR92" s="578"/>
    </row>
    <row r="93" ht="16.5" customHeight="1">
      <c r="A93" s="12"/>
      <c r="B93" s="636">
        <v>1</v>
      </c>
      <c r="C93" s="637" cm="1">
        <f t="array" ref="C93">IF(B93&gt;0,IF(VLOOKUP(C90,'Boats Data Sheet 2026'!$C$3:$J$57,8,0)="N/A",0,VLOOKUP(C90,'Boats Data Sheet 2026'!$C$3:$J$57,8,0)),"N/A")</f>
        <v>0</v>
      </c>
      <c r="D93" s="638" cm="1">
        <f t="array" ref="D93">IF(B93&gt;7,2,IF(B93=0,"N/A",1))</f>
        <v>1</v>
      </c>
      <c r="E93" s="637" cm="1">
        <f t="array" ref="E93">_xlfn.IFERROR(SUM('Direct Costs 2026'!$C$4:$C$6)*D93,"N/A")</f>
        <v>975500</v>
      </c>
      <c r="F93" s="639" cm="1">
        <f t="array" ref="F93">_xlfn.IFERROR('Direct Costs 2026'!$C$43*B93,"N/A")</f>
        <v>6000</v>
      </c>
      <c r="G93" s="639" cm="1">
        <f t="array" ref="G93">IF(B93&gt;0,'Direct Costs 2026'!$C$25,"N/A")</f>
        <v>90000</v>
      </c>
      <c r="H93" s="639" cm="1">
        <f t="array" ref="H93">IF(B93&gt;0,('Direct Costs 2026'!$C$19+'Direct Costs 2026'!$C$18*B93),"N/A")</f>
        <v>110000</v>
      </c>
      <c r="I93" s="639" cm="1">
        <f t="array" ref="I93">IF(B93&gt;0,SUM('Direct Costs 2026'!$C$20:$C$21),"N/A")</f>
        <v>98333.3333333333</v>
      </c>
      <c r="J93" s="639" cm="1">
        <f t="array" ref="J93">IF(B93&gt;0,'Direct Costs 2026'!$C$14,"N/A")</f>
        <v>60000</v>
      </c>
      <c r="K93" s="639" cm="1">
        <f t="array" ref="K93">IF(B93&gt;0,'Direct Costs 2026'!$C$26,"N/A")</f>
        <v>20000</v>
      </c>
      <c r="L93" s="639" cm="1">
        <f t="array" ref="L93">IF(B93&gt;0,SUM('Direct Costs 2026'!$C$23:$C$24),"N/A")</f>
        <v>160000</v>
      </c>
      <c r="M93" s="639" cm="1">
        <f t="array" ref="M93">IF(B93&gt;0,'Direct Costs 2026'!$C$49*B93,"N/A")</f>
        <v>200000</v>
      </c>
      <c r="N93" s="639" cm="1">
        <f t="array" ref="N93">IF($B93&gt;0,'Direct Costs 2026'!$C$29,"N/A")</f>
        <v>1500000</v>
      </c>
      <c r="O93" s="639" cm="1">
        <f t="array" ref="O93">IF($B93&gt;0,'Direct Costs 2026'!$C$31/3,"N/A")</f>
        <v>290000</v>
      </c>
      <c r="P93" s="639" cm="1">
        <f t="array" ref="P93">IF(B93&gt;0,'Direct Costs 2026'!$C$59*B93,"N/A")</f>
        <v>41000</v>
      </c>
      <c r="Q93" s="639" cm="1">
        <f t="array" ref="Q93">IF($B93&gt;0,'Direct Costs 2026'!$C$34,"N/A")</f>
        <v>550000</v>
      </c>
      <c r="R93" s="639" cm="1">
        <f t="array" ref="R93">IF(B93&gt;0,_xlfn.IFERROR(VLOOKUP(C90,'Boats Data Sheet 2026'!$C$3:$I$57,7,0)*'Direct Costs 2026'!$C$36,"N/A"),"N/A")</f>
        <v>3325000</v>
      </c>
      <c r="S93" s="639" cm="1">
        <f t="array" ref="S93">IF(B93&gt;0,IF(OR(VLOOKUP(C90,'Boats Data Sheet 2026'!$C$3:$F$57,4,0)="Own",VLOOKUP(C90,'Boats Data Sheet 2026'!$C$3:$F$57,4,0)="Management"),('Direct Costs 2026'!$C$37+'Direct Costs 2026'!$C$39),"N/A"),"N/A")</f>
        <v>1112400</v>
      </c>
      <c r="T93" s="639" cm="1">
        <f t="array" ref="T93">_xlfn.IFERROR(IF(B93&gt;5,IF(B93&gt;11,IF(B93&gt;15,4,3),2),IF(B93=0,"N/A",1))*SUM('Direct Costs 2026'!$C$67:$C$68),"N/A")</f>
        <v>489600</v>
      </c>
      <c r="U93" s="639" cm="1">
        <f t="array" ref="U93">_xlfn.IFERROR('Direct Costs 2026'!$C$27*C93,"N/A")</f>
        <v>0</v>
      </c>
      <c r="V93" s="639" cm="1">
        <f t="array" ref="V93">_xlfn.IFERROR(C93+SUM(E93:U93),"N/A")</f>
        <v>9027833.33333333</v>
      </c>
      <c r="W93" s="424"/>
      <c r="X93" s="639" cm="1">
        <f t="array" ref="X93">IF(B93&gt;0,'Allocation OH and Target 2026'!$E$31,"N/A")</f>
        <v>3100447.15769812</v>
      </c>
      <c r="Y93" s="639" cm="1">
        <f t="array" ref="Y93">IF(B93&gt;0,VLOOKUP(C90,'Allocation OH and Target 2026'!$C$5:$T$23,17,0),"N/A")</f>
        <v>965292.6396039641</v>
      </c>
      <c r="Z93" s="639" cm="1">
        <f t="array" ref="Z93">_xlfn.IFERROR((X93+Y93),"N/A")</f>
        <v>4065739.79730208</v>
      </c>
      <c r="AA93" s="424"/>
      <c r="AB93" s="639" cm="1">
        <f t="array" ref="AB93">_xlfn.IFERROR(Z93+V93,"N/A")</f>
        <v>13093573.1306354</v>
      </c>
      <c r="AC93" s="639" cm="1">
        <f t="array" ref="AC93">_xlfn.IFERROR(AB93*0.5%,"N/A")</f>
        <v>65467.865653177</v>
      </c>
      <c r="AD93" s="639" cm="1">
        <f t="array" ref="AD93">_xlfn.IFERROR(AB93*25%,"N/A")</f>
        <v>3273393.28265885</v>
      </c>
      <c r="AE93" s="641" cm="1">
        <f t="array" ref="AE93">IF(B93&gt;0,SUM(AB93:AD93),"N/A")</f>
        <v>16432434.2789474</v>
      </c>
      <c r="AF93" s="639" cm="1">
        <f t="array" ref="AF93">_xlfn.IFERROR(AE93/B93,"N/A")</f>
        <v>16432434.2789474</v>
      </c>
      <c r="AG93" s="424"/>
      <c r="AH93" t="s" s="642">
        <v>14</v>
      </c>
      <c r="AI93" s="424" cm="1">
        <f t="array" ref="AI93">IF(AH93="N/A",0,1)</f>
        <v>0</v>
      </c>
      <c r="AJ93" t="s" s="643">
        <v>14</v>
      </c>
      <c r="AK93" s="424" cm="1">
        <f t="array" ref="AK93">IF(AJ93="N/A",0,1)</f>
        <v>0</v>
      </c>
      <c r="AL93" t="str" s="644" cm="1">
        <f t="array" ref="AL93">IF(SUM(1250000+700000)*B93&lt;SUM(AB93:AC93),"NO GO","GO")</f>
        <v>NO GO</v>
      </c>
      <c r="AM93" s="424"/>
      <c r="AN93" s="639"/>
      <c r="AO93" s="639"/>
      <c r="AP93" s="639"/>
      <c r="AQ93" s="645"/>
      <c r="AR93" s="601" cm="1">
        <f t="array" ref="AR93">B93</f>
        <v>1</v>
      </c>
    </row>
    <row r="94" ht="16" customHeight="1">
      <c r="A94" s="12"/>
      <c r="B94" s="646" cm="1">
        <f t="array" ref="B94">IF(B93=0,0,IF(B93&lt;VLOOKUP(C90,'Boats Data Sheet 2026'!$C$3:$H$57,6,0),B93+1,0))</f>
        <v>2</v>
      </c>
      <c r="C94" s="639" cm="1">
        <f t="array" ref="C94">IF(B94&gt;0,IF(VLOOKUP(C90,'Boats Data Sheet 2026'!$C$3:$J$57,8,0)="N/A",0,VLOOKUP(C90,'Boats Data Sheet 2026'!$C$3:$J$57,8,0)),"N/A")</f>
        <v>0</v>
      </c>
      <c r="D94" s="647" cm="1">
        <f t="array" ref="D94">IF(B94&gt;7,2,IF(B94=0,"N/A",1))</f>
        <v>1</v>
      </c>
      <c r="E94" s="639" cm="1">
        <f t="array" ref="E94">_xlfn.IFERROR(SUM('Direct Costs 2026'!$C$4:$C$6)*D94,"N/A")</f>
        <v>975500</v>
      </c>
      <c r="F94" s="639" cm="1">
        <f t="array" ref="F94">_xlfn.IFERROR('Direct Costs 2026'!$C$43*B94,"N/A")</f>
        <v>12000</v>
      </c>
      <c r="G94" s="639" cm="1">
        <f t="array" ref="G94">IF(B94&gt;0,'Direct Costs 2026'!$C$25,"N/A")</f>
        <v>90000</v>
      </c>
      <c r="H94" s="639" cm="1">
        <f t="array" ref="H94">IF(B94&gt;0,('Direct Costs 2026'!$C$19+'Direct Costs 2026'!$C$18*B94),"N/A")</f>
        <v>145000</v>
      </c>
      <c r="I94" s="639" cm="1">
        <f t="array" ref="I94">IF(B94&gt;0,SUM('Direct Costs 2026'!$C$20:$C$21),"N/A")</f>
        <v>98333.3333333333</v>
      </c>
      <c r="J94" s="639" cm="1">
        <f t="array" ref="J94">IF(B94&gt;0,'Direct Costs 2026'!$C$14,"N/A")</f>
        <v>60000</v>
      </c>
      <c r="K94" s="639" cm="1">
        <f t="array" ref="K94">IF(B94&gt;0,'Direct Costs 2026'!$C$26,"N/A")</f>
        <v>20000</v>
      </c>
      <c r="L94" s="639" cm="1">
        <f t="array" ref="L94">IF(B94&gt;0,SUM('Direct Costs 2026'!$C$23:$C$24),"N/A")</f>
        <v>160000</v>
      </c>
      <c r="M94" s="639" cm="1">
        <f t="array" ref="M94">IF(B94&gt;0,'Direct Costs 2026'!$C$49*B94,"N/A")</f>
        <v>400000</v>
      </c>
      <c r="N94" s="639" cm="1">
        <f t="array" ref="N94">IF($B94&gt;0,'Direct Costs 2026'!$C$29,"N/A")</f>
        <v>1500000</v>
      </c>
      <c r="O94" s="639" cm="1">
        <f t="array" ref="O94">IF($B94&gt;0,'Direct Costs 2026'!$C$31/3,"N/A")</f>
        <v>290000</v>
      </c>
      <c r="P94" s="639" cm="1">
        <f t="array" ref="P94">IF(B94&gt;0,'Direct Costs 2026'!$C$59*B94,"N/A")</f>
        <v>82000</v>
      </c>
      <c r="Q94" s="639" cm="1">
        <f t="array" ref="Q94">IF($B94&gt;0,'Direct Costs 2026'!$C$34,"N/A")</f>
        <v>550000</v>
      </c>
      <c r="R94" s="639" cm="1">
        <f t="array" ref="R94">IF(B94&gt;0,_xlfn.IFERROR(VLOOKUP(C90,'Boats Data Sheet 2026'!$C$3:$I$57,7,0)*'Direct Costs 2026'!$C$36,"N/A"),"N/A")</f>
        <v>3325000</v>
      </c>
      <c r="S94" s="639" cm="1">
        <f t="array" ref="S94">IF(B94&gt;0,IF(OR(VLOOKUP(C90,'Boats Data Sheet 2026'!$C$3:$F$57,4,0)="Own",VLOOKUP(C90,'Boats Data Sheet 2026'!$C$3:$F$57,4,0)="Management"),('Direct Costs 2026'!$C$37+'Direct Costs 2026'!$C$39),"N/A"),"N/A")</f>
        <v>1112400</v>
      </c>
      <c r="T94" s="639" cm="1">
        <f t="array" ref="T94">_xlfn.IFERROR(IF(B94&gt;5,IF(B94&gt;11,IF(B94&gt;15,4,3),2),IF(B94=0,"N/A",1))*SUM('Direct Costs 2026'!$C$67:$C$68),"N/A")</f>
        <v>489600</v>
      </c>
      <c r="U94" s="639" cm="1">
        <f t="array" ref="U94">_xlfn.IFERROR('Direct Costs 2026'!$C$27*C94,"N/A")</f>
        <v>0</v>
      </c>
      <c r="V94" s="639" cm="1">
        <f t="array" ref="V94">_xlfn.IFERROR(C94+SUM(E94:U94),"N/A")</f>
        <v>9309833.33333333</v>
      </c>
      <c r="W94" s="424"/>
      <c r="X94" s="639" cm="1">
        <f t="array" ref="X94">IF(B94&gt;0,'Allocation OH and Target 2026'!$E$31,"N/A")</f>
        <v>3100447.15769812</v>
      </c>
      <c r="Y94" s="639" cm="1">
        <f t="array" ref="Y94">IF(B94&gt;0,VLOOKUP(C90,'Allocation OH and Target 2026'!$C$5:$T$23,17,0),"N/A")</f>
        <v>965292.6396039641</v>
      </c>
      <c r="Z94" s="639" cm="1">
        <f t="array" ref="Z94">_xlfn.IFERROR((X94+Y94),"N/A")</f>
        <v>4065739.79730208</v>
      </c>
      <c r="AA94" s="424"/>
      <c r="AB94" s="639" cm="1">
        <f t="array" ref="AB94">_xlfn.IFERROR(Z94+V94,"N/A")</f>
        <v>13375573.1306354</v>
      </c>
      <c r="AC94" s="639" cm="1">
        <f t="array" ref="AC94">_xlfn.IFERROR(AB94*0.5%,"N/A")</f>
        <v>66877.865653177</v>
      </c>
      <c r="AD94" s="639" cm="1">
        <f t="array" ref="AD94">_xlfn.IFERROR(AB94*25%,"N/A")</f>
        <v>3343893.28265885</v>
      </c>
      <c r="AE94" s="641" cm="1">
        <f t="array" ref="AE94">IF(B94&gt;0,SUM(AB94:AD94),"N/A")</f>
        <v>16786344.2789474</v>
      </c>
      <c r="AF94" s="639" cm="1">
        <f t="array" ref="AF94">_xlfn.IFERROR(AE94/B94,"N/A")</f>
        <v>8393172.139473701</v>
      </c>
      <c r="AG94" s="424"/>
      <c r="AH94" t="str" s="648" cm="1">
        <f t="array" ref="AH94">IF(B94/VLOOKUP(C90,'Boats Data Sheet 2026'!$C$3:$H$57,6,0)&gt;VLOOKUP(C90,'Allocation OH and Target 2026'!$C$5:$J$23,8,0),IF(SUM(AI92:AI93)=0,AF94,"N/A"),"N/A")</f>
        <v>N/A</v>
      </c>
      <c r="AI94" s="424" cm="1">
        <f t="array" ref="AI94">IF(AH94="N/A",0,1)</f>
        <v>0</v>
      </c>
      <c r="AJ94" t="str" s="640" cm="1">
        <f t="array" ref="AJ94">IF(B94/VLOOKUP(C90,'Boats Data Sheet 2026'!$C$3:$H$57,6,0)&gt;VLOOKUP(C90,'Allocation OH and Target 2026'!$C$5:$J$23,8,0),IF(SUM(AI92:AI93)=0,V94/B94,"N/A"),"N/A")</f>
        <v>N/A</v>
      </c>
      <c r="AK94" s="424" cm="1">
        <f t="array" ref="AK94">IF(AJ94="N/A",0,1)</f>
        <v>0</v>
      </c>
      <c r="AL94" t="str" s="628" cm="1">
        <f t="array" ref="AL94">IF(SUM(1250000+700000)*B94&lt;SUM(AB94:AC94),"NO GO","GO")</f>
        <v>NO GO</v>
      </c>
      <c r="AM94" s="424"/>
      <c r="AN94" s="639"/>
      <c r="AO94" s="639"/>
      <c r="AP94" s="639"/>
      <c r="AQ94" s="645"/>
      <c r="AR94" s="601" cm="1">
        <f t="array" ref="AR94">B94</f>
        <v>2</v>
      </c>
    </row>
    <row r="95" ht="16" customHeight="1">
      <c r="A95" s="12"/>
      <c r="B95" s="646">
        <v>0</v>
      </c>
      <c r="C95" t="str" s="640" cm="1">
        <f t="array" ref="C95">IF(B95&gt;0,IF(VLOOKUP(C90,'Boats Data Sheet 2026'!$C$3:$J$57,8,0)="N/A",0,VLOOKUP(C90,'Boats Data Sheet 2026'!$C$3:$J$57,8,0)),"N/A")</f>
        <v>N/A</v>
      </c>
      <c r="D95" t="str" s="649" cm="1">
        <f t="array" ref="D95">IF(B95&gt;7,2,IF(B95=0,"N/A",1))</f>
        <v>N/A</v>
      </c>
      <c r="E95" t="str" s="640" cm="1">
        <f t="array" ref="E95">_xlfn.IFERROR(SUM('Direct Costs 2026'!$C$4:$C$6)*D95,"N/A")</f>
        <v>N/A</v>
      </c>
      <c r="F95" s="639" cm="1">
        <f t="array" ref="F95">_xlfn.IFERROR('Direct Costs 2026'!$C$43*B95,"N/A")</f>
        <v>0</v>
      </c>
      <c r="G95" t="str" s="640" cm="1">
        <f t="array" ref="G95">IF(B95&gt;0,'Direct Costs 2026'!$C$25,"N/A")</f>
        <v>N/A</v>
      </c>
      <c r="H95" t="str" s="640" cm="1">
        <f t="array" ref="H95">IF(B95&gt;0,('Direct Costs 2026'!$C$19+'Direct Costs 2026'!$C$18*B95),"N/A")</f>
        <v>N/A</v>
      </c>
      <c r="I95" t="str" s="640" cm="1">
        <f t="array" ref="I95">IF(B95&gt;0,SUM('Direct Costs 2026'!$C$20:$C$21),"N/A")</f>
        <v>N/A</v>
      </c>
      <c r="J95" t="str" s="640" cm="1">
        <f t="array" ref="J95">IF(B95&gt;0,'Direct Costs 2026'!$C$14,"N/A")</f>
        <v>N/A</v>
      </c>
      <c r="K95" t="str" s="640" cm="1">
        <f t="array" ref="K95">IF(B95&gt;0,'Direct Costs 2026'!$C$26,"N/A")</f>
        <v>N/A</v>
      </c>
      <c r="L95" t="str" s="640" cm="1">
        <f t="array" ref="L95">IF(B95&gt;0,SUM('Direct Costs 2026'!$C$23:$C$24),"N/A")</f>
        <v>N/A</v>
      </c>
      <c r="M95" t="str" s="640" cm="1">
        <f t="array" ref="M95">IF(B95&gt;0,'Direct Costs 2026'!$C$45*B95,"N/A")</f>
        <v>N/A</v>
      </c>
      <c r="N95" t="str" s="640" cm="1">
        <f t="array" ref="N95">IF($B95&gt;0,'Direct Costs 2026'!$C$29,"N/A")</f>
        <v>N/A</v>
      </c>
      <c r="O95" t="str" s="640" cm="1">
        <f t="array" ref="O95">IF($B95&gt;0,'Direct Costs 2026'!$C$31,"N/A")</f>
        <v>N/A</v>
      </c>
      <c r="P95" t="str" s="640" cm="1">
        <f t="array" ref="P95">IF(B95&gt;0,'Direct Costs 2026'!$C$59*B95,"N/A")</f>
        <v>N/A</v>
      </c>
      <c r="Q95" t="str" s="640" cm="1">
        <f t="array" ref="Q95">IF(B95&gt;0,_xlfn.IFERROR(VLOOKUP(C90,'Boats Data Sheet 2026'!$C$3:$I$57,7,0)*'Direct Costs 2026'!$C$36,"N/A"),"N/A")</f>
        <v>N/A</v>
      </c>
      <c r="R95" s="639"/>
      <c r="S95" t="str" s="640" cm="1">
        <f t="array" ref="S95">IF(B95&gt;0,IF(OR(VLOOKUP(C90,'Boats Data Sheet 2026'!$C$3:$F$57,4,0)="Own",VLOOKUP(C90,'Boats Data Sheet 2026'!$C$3:$F$57,4,0)="Management"),('Direct Costs 2026'!$C$37+'Direct Costs 2026'!$C$39),"N/A"),"N/A")</f>
        <v>N/A</v>
      </c>
      <c r="T95" t="str" s="640" cm="1">
        <f t="array" ref="T95">_xlfn.IFERROR(IF(B95&gt;5,IF(B95&gt;11,IF(B95&gt;15,4,3),2),IF(B95=0,"N/A",1))*SUM('Direct Costs 2026'!$C$67:$C$68),"N/A")</f>
        <v>N/A</v>
      </c>
      <c r="U95" t="str" s="640" cm="1">
        <f t="array" ref="U95">_xlfn.IFERROR('Direct Costs 2026'!$C$27*C95,"N/A")</f>
        <v>N/A</v>
      </c>
      <c r="V95" t="str" s="640" cm="1">
        <f t="array" ref="V95">_xlfn.IFERROR(C95+SUM(E95:U95),"N/A")</f>
        <v>N/A</v>
      </c>
      <c r="W95" s="424"/>
      <c r="X95" t="str" s="640" cm="1">
        <f t="array" ref="X95">IF(B95&gt;0,'Allocation OH and Target 2026'!$E$31,"N/A")</f>
        <v>N/A</v>
      </c>
      <c r="Y95" t="str" s="640" cm="1">
        <f t="array" ref="Y95">IF(B95&gt;0,VLOOKUP(C90,'Allocation OH and Target 2026'!$C$5:$T$23,16,0),"N/A")</f>
        <v>N/A</v>
      </c>
      <c r="Z95" t="str" s="640" cm="1">
        <f t="array" ref="Z95">_xlfn.IFERROR((X95+Y95),"N/A")</f>
        <v>N/A</v>
      </c>
      <c r="AA95" s="424"/>
      <c r="AB95" t="str" s="640" cm="1">
        <f t="array" ref="AB95">_xlfn.IFERROR(Z95+V95,"N/A")</f>
        <v>N/A</v>
      </c>
      <c r="AC95" t="str" s="640" cm="1">
        <f t="array" ref="AC95">_xlfn.IFERROR(AB95*0.5%,"N/A")</f>
        <v>N/A</v>
      </c>
      <c r="AD95" t="str" s="640" cm="1">
        <f t="array" ref="AD95">_xlfn.IFERROR(AB95*25%,"N/A")</f>
        <v>N/A</v>
      </c>
      <c r="AE95" t="str" s="648" cm="1">
        <f t="array" ref="AE95">IF(B95&gt;0,SUM(AB95:AD95),"N/A")</f>
        <v>N/A</v>
      </c>
      <c r="AF95" t="str" s="640" cm="1">
        <f t="array" ref="AF95">_xlfn.IFERROR(AE95/B95,"N/A")</f>
        <v>N/A</v>
      </c>
      <c r="AG95" s="424"/>
      <c r="AH95" t="str" s="648" cm="1">
        <f t="array" ref="AH95">IF(B95/VLOOKUP(C90,'Boats Data Sheet 2026'!$C$3:$H$57,6,0)&gt;VLOOKUP(C90,'Allocation OH and Target 2026'!$C$5:$J$23,8,0),IF(SUM(AI92:AI94)=0,AF95,"N/A"),"N/A")</f>
        <v>N/A</v>
      </c>
      <c r="AI95" s="424" cm="1">
        <f t="array" ref="AI95">IF(AH95="N/A",0,1)</f>
        <v>0</v>
      </c>
      <c r="AJ95" t="str" s="640" cm="1">
        <f t="array" ref="AJ95">IF(B95/VLOOKUP(C90,'Boats Data Sheet 2026'!$C$3:$H$57,6,0)&gt;VLOOKUP(C90,'Allocation OH and Target 2026'!$C$5:$J$23,8,0),IF(SUM(AI92:AI94)=0,V95/B95,"N/A"),"N/A")</f>
        <v>N/A</v>
      </c>
      <c r="AK95" s="424" cm="1">
        <f t="array" ref="AK95">IF(AJ95="N/A",0,1)</f>
        <v>0</v>
      </c>
      <c r="AL95" t="str" s="628" cm="1">
        <f t="array" ref="AL95">IF(SUM(1250000+700000)*B95&lt;SUM(AB95:AC95),"NO GO","GO")</f>
        <v>GO</v>
      </c>
      <c r="AM95" s="424"/>
      <c r="AN95" s="639"/>
      <c r="AO95" s="639"/>
      <c r="AP95" s="639"/>
      <c r="AQ95" s="645"/>
      <c r="AR95" s="601" cm="1">
        <f t="array" ref="AR95">B95</f>
        <v>0</v>
      </c>
    </row>
    <row r="96" ht="9" customHeight="1" hidden="1">
      <c r="A96" s="12"/>
      <c r="B96" s="646">
        <v>0</v>
      </c>
      <c r="C96" t="str" s="640" cm="1">
        <f t="array" ref="C96">IF(B96&gt;0,IF(VLOOKUP(C90,'Boats Data Sheet 2026'!$C$3:$J$57,8,0)="N/A",0,VLOOKUP(C90,'Boats Data Sheet 2026'!$C$3:$J$57,8,0)),"N/A")</f>
        <v>N/A</v>
      </c>
      <c r="D96" t="str" s="649" cm="1">
        <f t="array" ref="D96">IF(B96&gt;7,2,IF(B96=0,"N/A",1))</f>
        <v>N/A</v>
      </c>
      <c r="E96" t="str" s="640" cm="1">
        <f t="array" ref="E96">_xlfn.IFERROR(SUM('Direct Costs 2026'!$C$4:$C$6)*D96,"N/A")</f>
        <v>N/A</v>
      </c>
      <c r="F96" s="639" cm="1">
        <f t="array" ref="F96">_xlfn.IFERROR('Direct Costs 2026'!$C$43*B96,"N/A")</f>
        <v>0</v>
      </c>
      <c r="G96" t="str" s="640" cm="1">
        <f t="array" ref="G96">IF(B96&gt;0,'Direct Costs 2026'!$C$25,"N/A")</f>
        <v>N/A</v>
      </c>
      <c r="H96" t="str" s="640" cm="1">
        <f t="array" ref="H96">IF(B96&gt;0,('Direct Costs 2026'!$C$19+'Direct Costs 2026'!$C$18*B96),"N/A")</f>
        <v>N/A</v>
      </c>
      <c r="I96" t="str" s="640" cm="1">
        <f t="array" ref="I96">IF(B96&gt;0,SUM('Direct Costs 2026'!$C$20:$C$21),"N/A")</f>
        <v>N/A</v>
      </c>
      <c r="J96" t="str" s="640" cm="1">
        <f t="array" ref="J96">IF(B96&gt;0,'Direct Costs 2026'!$C$14,"N/A")</f>
        <v>N/A</v>
      </c>
      <c r="K96" t="str" s="640" cm="1">
        <f t="array" ref="K96">IF(B96&gt;0,'Direct Costs 2026'!$C$26,"N/A")</f>
        <v>N/A</v>
      </c>
      <c r="L96" t="str" s="640" cm="1">
        <f t="array" ref="L96">IF(B96&gt;0,SUM('Direct Costs 2026'!$C$23:$C$24),"N/A")</f>
        <v>N/A</v>
      </c>
      <c r="M96" t="str" s="640" cm="1">
        <f t="array" ref="M96">IF(B96&gt;0,'Direct Costs 2026'!$C$45*B96,"N/A")</f>
        <v>N/A</v>
      </c>
      <c r="N96" t="str" s="640" cm="1">
        <f t="array" ref="N96">IF($B96&gt;0,'Direct Costs 2026'!$C$29,"N/A")</f>
        <v>N/A</v>
      </c>
      <c r="O96" t="str" s="640" cm="1">
        <f t="array" ref="O96">IF($B96&gt;0,'Direct Costs 2026'!$C$31,"N/A")</f>
        <v>N/A</v>
      </c>
      <c r="P96" t="str" s="640" cm="1">
        <f t="array" ref="P96">IF(B96&gt;0,'Direct Costs 2026'!$C$59*B96,"N/A")</f>
        <v>N/A</v>
      </c>
      <c r="Q96" t="str" s="640" cm="1">
        <f t="array" ref="Q96">IF(B96&gt;0,_xlfn.IFERROR(VLOOKUP(C90,'Boats Data Sheet 2026'!$C$3:$I$57,7,0)*'Direct Costs 2026'!$C$36,"N/A"),"N/A")</f>
        <v>N/A</v>
      </c>
      <c r="R96" s="639"/>
      <c r="S96" t="str" s="640" cm="1">
        <f t="array" ref="S96">IF(B96&gt;0,IF(OR(VLOOKUP(C90,'Boats Data Sheet 2026'!$C$3:$F$57,4,0)="Own",VLOOKUP(C90,'Boats Data Sheet 2026'!$C$3:$F$57,4,0)="Management"),('Direct Costs 2026'!$C$37+'Direct Costs 2026'!$C$39),"N/A"),"N/A")</f>
        <v>N/A</v>
      </c>
      <c r="T96" t="str" s="640" cm="1">
        <f t="array" ref="T96">_xlfn.IFERROR(IF(B96&gt;5,IF(B96&gt;11,IF(B96&gt;15,4,3),2),IF(B96=0,"N/A",1))*SUM('Direct Costs 2026'!$C$67:$C$68),"N/A")</f>
        <v>N/A</v>
      </c>
      <c r="U96" t="str" s="640" cm="1">
        <f t="array" ref="U96">_xlfn.IFERROR('Direct Costs 2026'!$C$27*C96,"N/A")</f>
        <v>N/A</v>
      </c>
      <c r="V96" t="str" s="640" cm="1">
        <f t="array" ref="V96">_xlfn.IFERROR(C96+SUM(E96:U96),"N/A")</f>
        <v>N/A</v>
      </c>
      <c r="W96" s="424"/>
      <c r="X96" t="str" s="640" cm="1">
        <f t="array" ref="X96">IF(B96&gt;0,'Allocation OH and Target 2026'!$E$31,"N/A")</f>
        <v>N/A</v>
      </c>
      <c r="Y96" t="str" s="640" cm="1">
        <f t="array" ref="Y96">IF(B96&gt;0,VLOOKUP(C90,'Allocation OH and Target 2026'!$C$5:$T$23,16,0),"N/A")</f>
        <v>N/A</v>
      </c>
      <c r="Z96" t="str" s="640" cm="1">
        <f t="array" ref="Z96">_xlfn.IFERROR((X96+Y96),"N/A")</f>
        <v>N/A</v>
      </c>
      <c r="AA96" s="424"/>
      <c r="AB96" t="str" s="640" cm="1">
        <f t="array" ref="AB96">_xlfn.IFERROR(Z96+V96,"N/A")</f>
        <v>N/A</v>
      </c>
      <c r="AC96" t="str" s="640" cm="1">
        <f t="array" ref="AC96">_xlfn.IFERROR(AB96*0.5%,"N/A")</f>
        <v>N/A</v>
      </c>
      <c r="AD96" t="str" s="640" cm="1">
        <f t="array" ref="AD96">_xlfn.IFERROR(AB96*25%,"N/A")</f>
        <v>N/A</v>
      </c>
      <c r="AE96" t="str" s="648" cm="1">
        <f t="array" ref="AE96">IF(B96&gt;0,SUM(AB96:AD96),"N/A")</f>
        <v>N/A</v>
      </c>
      <c r="AF96" t="str" s="640" cm="1">
        <f t="array" ref="AF96">_xlfn.IFERROR(AE96/B96,"N/A")</f>
        <v>N/A</v>
      </c>
      <c r="AG96" s="424"/>
      <c r="AH96" t="str" s="648" cm="1">
        <f t="array" ref="AH96">IF(B96/VLOOKUP(C90,'Boats Data Sheet 2026'!$C$3:$H$57,6,0)&gt;VLOOKUP(C90,'Allocation OH and Target 2026'!$C$5:$J$23,8,0),IF(SUM(AI92:AI95)=0,AF96,"N/A"),"N/A")</f>
        <v>N/A</v>
      </c>
      <c r="AI96" s="424" cm="1">
        <f t="array" ref="AI96">IF(AH96="N/A",0,1)</f>
        <v>0</v>
      </c>
      <c r="AJ96" t="str" s="640" cm="1">
        <f t="array" ref="AJ96">IF(B96/VLOOKUP(C90,'Boats Data Sheet 2026'!$C$3:$H$57,6,0)&gt;VLOOKUP(C90,'Allocation OH and Target 2026'!$C$5:$J$23,8,0),IF(SUM(AI92:AI95)=0,V96/B96,"N/A"),"N/A")</f>
        <v>N/A</v>
      </c>
      <c r="AK96" s="424" cm="1">
        <f t="array" ref="AK96">IF(AJ96="N/A",0,1)</f>
        <v>0</v>
      </c>
      <c r="AL96" t="str" s="628" cm="1">
        <f t="array" ref="AL96">IF(SUM(1250000+700000)*B96&lt;SUM(AB96:AC96),"NO GO","GO")</f>
        <v>GO</v>
      </c>
      <c r="AM96" s="424"/>
      <c r="AN96" s="639"/>
      <c r="AO96" s="639"/>
      <c r="AP96" s="639"/>
      <c r="AQ96" s="645"/>
      <c r="AR96" s="601" cm="1">
        <f t="array" ref="AR96">B96</f>
        <v>0</v>
      </c>
    </row>
    <row r="97" ht="9" customHeight="1" hidden="1">
      <c r="A97" s="12"/>
      <c r="B97" s="646">
        <v>0</v>
      </c>
      <c r="C97" t="str" s="640" cm="1">
        <f t="array" ref="C97">IF(B97&gt;0,IF(VLOOKUP(C90,'Boats Data Sheet 2026'!$C$3:$J$57,8,0)="N/A",0,VLOOKUP(C90,'Boats Data Sheet 2026'!$C$3:$J$57,8,0)),"N/A")</f>
        <v>N/A</v>
      </c>
      <c r="D97" t="str" s="649" cm="1">
        <f t="array" ref="D97">IF(B97&gt;7,2,IF(B97=0,"N/A",1))</f>
        <v>N/A</v>
      </c>
      <c r="E97" t="str" s="640" cm="1">
        <f t="array" ref="E97">_xlfn.IFERROR(SUM('Direct Costs 2026'!$C$4:$C$6)*D97,"N/A")</f>
        <v>N/A</v>
      </c>
      <c r="F97" s="639" cm="1">
        <f t="array" ref="F97">_xlfn.IFERROR('Direct Costs 2026'!$C$43*B97,"N/A")</f>
        <v>0</v>
      </c>
      <c r="G97" t="str" s="640" cm="1">
        <f t="array" ref="G97">IF(B97&gt;0,'Direct Costs 2026'!$C$25,"N/A")</f>
        <v>N/A</v>
      </c>
      <c r="H97" t="str" s="640" cm="1">
        <f t="array" ref="H97">IF(B97&gt;0,('Direct Costs 2026'!$C$19+'Direct Costs 2026'!$C$18*B97),"N/A")</f>
        <v>N/A</v>
      </c>
      <c r="I97" t="str" s="640" cm="1">
        <f t="array" ref="I97">IF(B97&gt;0,SUM('Direct Costs 2026'!$C$20:$C$21),"N/A")</f>
        <v>N/A</v>
      </c>
      <c r="J97" t="str" s="640" cm="1">
        <f t="array" ref="J97">IF(B97&gt;0,'Direct Costs 2026'!$C$14,"N/A")</f>
        <v>N/A</v>
      </c>
      <c r="K97" t="str" s="640" cm="1">
        <f t="array" ref="K97">IF(B97&gt;0,'Direct Costs 2026'!$C$26,"N/A")</f>
        <v>N/A</v>
      </c>
      <c r="L97" t="str" s="640" cm="1">
        <f t="array" ref="L97">IF(B97&gt;0,SUM('Direct Costs 2026'!$C$23:$C$24),"N/A")</f>
        <v>N/A</v>
      </c>
      <c r="M97" t="str" s="640" cm="1">
        <f t="array" ref="M97">IF(B97&gt;0,'Direct Costs 2026'!$C$45*B97,"N/A")</f>
        <v>N/A</v>
      </c>
      <c r="N97" t="str" s="640" cm="1">
        <f t="array" ref="N97">IF($B97&gt;0,'Direct Costs 2026'!$C$29,"N/A")</f>
        <v>N/A</v>
      </c>
      <c r="O97" t="str" s="640" cm="1">
        <f t="array" ref="O97">IF($B97&gt;0,'Direct Costs 2026'!$C$31,"N/A")</f>
        <v>N/A</v>
      </c>
      <c r="P97" t="str" s="640" cm="1">
        <f t="array" ref="P97">IF(B97&gt;0,'Direct Costs 2026'!$C$59*B97,"N/A")</f>
        <v>N/A</v>
      </c>
      <c r="Q97" t="str" s="640" cm="1">
        <f t="array" ref="Q97">IF(B97&gt;0,_xlfn.IFERROR(VLOOKUP(C90,'Boats Data Sheet 2026'!$C$3:$I$57,7,0)*'Direct Costs 2026'!$C$36,"N/A"),"N/A")</f>
        <v>N/A</v>
      </c>
      <c r="R97" s="639"/>
      <c r="S97" t="str" s="640" cm="1">
        <f t="array" ref="S97">IF(B97&gt;0,IF(OR(VLOOKUP(C90,'Boats Data Sheet 2026'!$C$3:$F$57,4,0)="Own",VLOOKUP(C90,'Boats Data Sheet 2026'!$C$3:$F$57,4,0)="Management"),('Direct Costs 2026'!$C$37+'Direct Costs 2026'!$C$39),"N/A"),"N/A")</f>
        <v>N/A</v>
      </c>
      <c r="T97" t="str" s="640" cm="1">
        <f t="array" ref="T97">_xlfn.IFERROR(IF(B97&gt;5,IF(B97&gt;11,IF(B97&gt;15,4,3),2),IF(B97=0,"N/A",1))*SUM('Direct Costs 2026'!$C$67:$C$68),"N/A")</f>
        <v>N/A</v>
      </c>
      <c r="U97" t="str" s="640" cm="1">
        <f t="array" ref="U97">_xlfn.IFERROR('Direct Costs 2026'!$C$27*C97,"N/A")</f>
        <v>N/A</v>
      </c>
      <c r="V97" t="str" s="640" cm="1">
        <f t="array" ref="V97">_xlfn.IFERROR(C97+SUM(E97:U97),"N/A")</f>
        <v>N/A</v>
      </c>
      <c r="W97" s="424"/>
      <c r="X97" t="str" s="640" cm="1">
        <f t="array" ref="X97">IF(B97&gt;0,'Allocation OH and Target 2026'!$E$31,"N/A")</f>
        <v>N/A</v>
      </c>
      <c r="Y97" t="str" s="640" cm="1">
        <f t="array" ref="Y97">IF(B97&gt;0,VLOOKUP(C90,'Allocation OH and Target 2026'!$C$5:$T$23,16,0),"N/A")</f>
        <v>N/A</v>
      </c>
      <c r="Z97" t="str" s="640" cm="1">
        <f t="array" ref="Z97">_xlfn.IFERROR((X97+Y97),"N/A")</f>
        <v>N/A</v>
      </c>
      <c r="AA97" s="424"/>
      <c r="AB97" t="str" s="640" cm="1">
        <f t="array" ref="AB97">_xlfn.IFERROR(Z97+V97,"N/A")</f>
        <v>N/A</v>
      </c>
      <c r="AC97" t="str" s="640" cm="1">
        <f t="array" ref="AC97">_xlfn.IFERROR(AB97*0.5%,"N/A")</f>
        <v>N/A</v>
      </c>
      <c r="AD97" t="str" s="640" cm="1">
        <f t="array" ref="AD97">_xlfn.IFERROR(AB97*25%,"N/A")</f>
        <v>N/A</v>
      </c>
      <c r="AE97" t="str" s="648" cm="1">
        <f t="array" ref="AE97">IF(B97&gt;0,SUM(AB97:AD97),"N/A")</f>
        <v>N/A</v>
      </c>
      <c r="AF97" t="str" s="640" cm="1">
        <f t="array" ref="AF97">_xlfn.IFERROR(AE97/B97,"N/A")</f>
        <v>N/A</v>
      </c>
      <c r="AG97" s="424"/>
      <c r="AH97" t="str" s="648" cm="1">
        <f t="array" ref="AH97">IF(B97/VLOOKUP(C90,'Boats Data Sheet 2026'!$C$3:$H$57,6,0)&gt;VLOOKUP(C90,'Allocation OH and Target 2026'!$C$5:$J$23,8,0),IF(SUM(AI92:AI96)=0,AF97,"N/A"),"N/A")</f>
        <v>N/A</v>
      </c>
      <c r="AI97" s="424" cm="1">
        <f t="array" ref="AI97">IF(AH97="N/A",0,1)</f>
        <v>0</v>
      </c>
      <c r="AJ97" t="str" s="640" cm="1">
        <f t="array" ref="AJ97">IF(B97/VLOOKUP(C90,'Boats Data Sheet 2026'!$C$3:$H$57,6,0)&gt;VLOOKUP(C90,'Allocation OH and Target 2026'!$C$5:$J$23,8,0),IF(SUM(AI92:AI96)=0,V97/B97,"N/A"),"N/A")</f>
        <v>N/A</v>
      </c>
      <c r="AK97" s="424" cm="1">
        <f t="array" ref="AK97">IF(AJ97="N/A",0,1)</f>
        <v>0</v>
      </c>
      <c r="AL97" t="str" s="628" cm="1">
        <f t="array" ref="AL97">IF(SUM(1250000+700000)*B97&lt;SUM(AB97:AC97),"NO GO","GO")</f>
        <v>GO</v>
      </c>
      <c r="AM97" s="424"/>
      <c r="AN97" s="639"/>
      <c r="AO97" s="639"/>
      <c r="AP97" s="639"/>
      <c r="AQ97" s="645"/>
      <c r="AR97" s="601" cm="1">
        <f t="array" ref="AR97">B97</f>
        <v>0</v>
      </c>
    </row>
    <row r="98" ht="9" customHeight="1" hidden="1">
      <c r="A98" s="12"/>
      <c r="B98" s="646">
        <v>0</v>
      </c>
      <c r="C98" t="str" s="640" cm="1">
        <f t="array" ref="C98">IF(B98&gt;0,IF(VLOOKUP(C90,'Boats Data Sheet 2026'!$C$3:$J$57,8,0)="N/A",0,VLOOKUP(C90,'Boats Data Sheet 2026'!$C$3:$J$57,8,0)),"N/A")</f>
        <v>N/A</v>
      </c>
      <c r="D98" t="str" s="649" cm="1">
        <f t="array" ref="D98">IF(B98&gt;7,2,IF(B98=0,"N/A",1))</f>
        <v>N/A</v>
      </c>
      <c r="E98" t="str" s="640" cm="1">
        <f t="array" ref="E98">_xlfn.IFERROR(SUM('Direct Costs 2026'!$C$4:$C$6)*D98,"N/A")</f>
        <v>N/A</v>
      </c>
      <c r="F98" s="639" cm="1">
        <f t="array" ref="F98">_xlfn.IFERROR('Direct Costs 2026'!$C$43*B98,"N/A")</f>
        <v>0</v>
      </c>
      <c r="G98" t="str" s="640" cm="1">
        <f t="array" ref="G98">IF(B98&gt;0,'Direct Costs 2026'!$C$25,"N/A")</f>
        <v>N/A</v>
      </c>
      <c r="H98" t="str" s="640" cm="1">
        <f t="array" ref="H98">IF(B98&gt;0,('Direct Costs 2026'!$C$19+'Direct Costs 2026'!$C$18*B98),"N/A")</f>
        <v>N/A</v>
      </c>
      <c r="I98" t="str" s="640" cm="1">
        <f t="array" ref="I98">IF(B98&gt;0,SUM('Direct Costs 2026'!$C$20:$C$21),"N/A")</f>
        <v>N/A</v>
      </c>
      <c r="J98" t="str" s="640" cm="1">
        <f t="array" ref="J98">IF(B98&gt;0,'Direct Costs 2026'!$C$14,"N/A")</f>
        <v>N/A</v>
      </c>
      <c r="K98" t="str" s="640" cm="1">
        <f t="array" ref="K98">IF(B98&gt;0,'Direct Costs 2026'!$C$26,"N/A")</f>
        <v>N/A</v>
      </c>
      <c r="L98" t="str" s="640" cm="1">
        <f t="array" ref="L98">IF(B98&gt;0,SUM('Direct Costs 2026'!$C$23:$C$24),"N/A")</f>
        <v>N/A</v>
      </c>
      <c r="M98" t="str" s="640" cm="1">
        <f t="array" ref="M98">IF(B98&gt;0,'Direct Costs 2026'!$C$45*B98,"N/A")</f>
        <v>N/A</v>
      </c>
      <c r="N98" t="str" s="640" cm="1">
        <f t="array" ref="N98">IF($B98&gt;0,'Direct Costs 2026'!$C$29,"N/A")</f>
        <v>N/A</v>
      </c>
      <c r="O98" t="str" s="640" cm="1">
        <f t="array" ref="O98">IF($B98&gt;0,'Direct Costs 2026'!$C$31,"N/A")</f>
        <v>N/A</v>
      </c>
      <c r="P98" t="str" s="640" cm="1">
        <f t="array" ref="P98">IF(B98&gt;0,'Direct Costs 2026'!$C$59*B98,"N/A")</f>
        <v>N/A</v>
      </c>
      <c r="Q98" t="str" s="640" cm="1">
        <f t="array" ref="Q98">IF(B98&gt;0,_xlfn.IFERROR(VLOOKUP(C90,'Boats Data Sheet 2026'!$C$3:$I$57,7,0)*'Direct Costs 2026'!$C$36,"N/A"),"N/A")</f>
        <v>N/A</v>
      </c>
      <c r="R98" s="639"/>
      <c r="S98" t="str" s="640" cm="1">
        <f t="array" ref="S98">IF(B98&gt;0,IF(OR(VLOOKUP(C90,'Boats Data Sheet 2026'!$C$3:$F$57,4,0)="Own",VLOOKUP(C90,'Boats Data Sheet 2026'!$C$3:$F$57,4,0)="Management"),('Direct Costs 2026'!$C$37+'Direct Costs 2026'!$C$39),"N/A"),"N/A")</f>
        <v>N/A</v>
      </c>
      <c r="T98" t="str" s="640" cm="1">
        <f t="array" ref="T98">_xlfn.IFERROR(IF(B98&gt;5,IF(B98&gt;11,IF(B98&gt;15,4,3),2),IF(B98=0,"N/A",1))*SUM('Direct Costs 2026'!$C$67:$C$68),"N/A")</f>
        <v>N/A</v>
      </c>
      <c r="U98" t="str" s="640" cm="1">
        <f t="array" ref="U98">_xlfn.IFERROR('Direct Costs 2026'!$C$27*C98,"N/A")</f>
        <v>N/A</v>
      </c>
      <c r="V98" t="str" s="640" cm="1">
        <f t="array" ref="V98">_xlfn.IFERROR(C98+SUM(E98:U98),"N/A")</f>
        <v>N/A</v>
      </c>
      <c r="W98" s="424"/>
      <c r="X98" t="str" s="640" cm="1">
        <f t="array" ref="X98">IF(B98&gt;0,'Allocation OH and Target 2026'!$E$31,"N/A")</f>
        <v>N/A</v>
      </c>
      <c r="Y98" t="str" s="640" cm="1">
        <f t="array" ref="Y98">IF(B98&gt;0,VLOOKUP(C90,'Allocation OH and Target 2026'!$C$5:$T$23,16,0),"N/A")</f>
        <v>N/A</v>
      </c>
      <c r="Z98" t="str" s="640" cm="1">
        <f t="array" ref="Z98">_xlfn.IFERROR((X98+Y98),"N/A")</f>
        <v>N/A</v>
      </c>
      <c r="AA98" s="424"/>
      <c r="AB98" t="str" s="640" cm="1">
        <f t="array" ref="AB98">_xlfn.IFERROR(Z98+V98,"N/A")</f>
        <v>N/A</v>
      </c>
      <c r="AC98" t="str" s="640" cm="1">
        <f t="array" ref="AC98">_xlfn.IFERROR(AB98*0.5%,"N/A")</f>
        <v>N/A</v>
      </c>
      <c r="AD98" t="str" s="640" cm="1">
        <f t="array" ref="AD98">_xlfn.IFERROR(AB98*25%,"N/A")</f>
        <v>N/A</v>
      </c>
      <c r="AE98" t="str" s="648" cm="1">
        <f t="array" ref="AE98">IF(B98&gt;0,SUM(AB98:AD98),"N/A")</f>
        <v>N/A</v>
      </c>
      <c r="AF98" t="str" s="640" cm="1">
        <f t="array" ref="AF98">_xlfn.IFERROR(AE98/B98,"N/A")</f>
        <v>N/A</v>
      </c>
      <c r="AG98" s="424"/>
      <c r="AH98" t="str" s="648" cm="1">
        <f t="array" ref="AH98">IF(B98/VLOOKUP(C90,'Boats Data Sheet 2026'!$C$3:$H$57,6,0)&gt;VLOOKUP(C90,'Allocation OH and Target 2026'!$C$5:$J$23,8,0),IF(SUM(AI92:AI97)=0,AF98,"N/A"),"N/A")</f>
        <v>N/A</v>
      </c>
      <c r="AI98" s="424" cm="1">
        <f t="array" ref="AI98">IF(AH98="N/A",0,1)</f>
        <v>0</v>
      </c>
      <c r="AJ98" t="str" s="640" cm="1">
        <f t="array" ref="AJ98">IF(B98/VLOOKUP(C90,'Boats Data Sheet 2026'!$C$3:$H$57,6,0)&gt;VLOOKUP(C90,'Allocation OH and Target 2026'!$C$5:$J$23,8,0),IF(SUM(AI92:AI97)=0,V98/B98,"N/A"),"N/A")</f>
        <v>N/A</v>
      </c>
      <c r="AK98" s="424" cm="1">
        <f t="array" ref="AK98">IF(AJ98="N/A",0,1)</f>
        <v>0</v>
      </c>
      <c r="AL98" t="str" s="628" cm="1">
        <f t="array" ref="AL98">IF(SUM(1250000+700000)*B98&lt;SUM(AB98:AC98),"NO GO","GO")</f>
        <v>GO</v>
      </c>
      <c r="AM98" s="424"/>
      <c r="AN98" s="639"/>
      <c r="AO98" s="639"/>
      <c r="AP98" s="639"/>
      <c r="AQ98" s="645"/>
      <c r="AR98" s="601" cm="1">
        <f t="array" ref="AR98">B98</f>
        <v>0</v>
      </c>
    </row>
    <row r="99" ht="9" customHeight="1" hidden="1">
      <c r="A99" s="12"/>
      <c r="B99" s="646">
        <v>0</v>
      </c>
      <c r="C99" t="str" s="640" cm="1">
        <f t="array" ref="C99">IF(B99&gt;0,IF(VLOOKUP(C90,'Boats Data Sheet 2026'!$C$3:$J$57,8,0)="N/A",0,VLOOKUP(C90,'Boats Data Sheet 2026'!$C$3:$J$57,8,0)),"N/A")</f>
        <v>N/A</v>
      </c>
      <c r="D99" t="str" s="649" cm="1">
        <f t="array" ref="D99">IF(B99&gt;7,2,IF(B99=0,"N/A",1))</f>
        <v>N/A</v>
      </c>
      <c r="E99" t="str" s="640" cm="1">
        <f t="array" ref="E99">_xlfn.IFERROR(SUM('Direct Costs 2026'!$C$4:$C$6)*D99,"N/A")</f>
        <v>N/A</v>
      </c>
      <c r="F99" s="639" cm="1">
        <f t="array" ref="F99">_xlfn.IFERROR('Direct Costs 2026'!$C$43*B99,"N/A")</f>
        <v>0</v>
      </c>
      <c r="G99" t="str" s="640" cm="1">
        <f t="array" ref="G99">IF(B99&gt;0,'Direct Costs 2026'!$C$25,"N/A")</f>
        <v>N/A</v>
      </c>
      <c r="H99" t="str" s="640" cm="1">
        <f t="array" ref="H99">IF(B99&gt;0,('Direct Costs 2026'!$C$19+'Direct Costs 2026'!$C$18*B99),"N/A")</f>
        <v>N/A</v>
      </c>
      <c r="I99" t="str" s="640" cm="1">
        <f t="array" ref="I99">IF(B99&gt;0,SUM('Direct Costs 2026'!$C$20:$C$21),"N/A")</f>
        <v>N/A</v>
      </c>
      <c r="J99" t="str" s="640" cm="1">
        <f t="array" ref="J99">IF(B99&gt;0,'Direct Costs 2026'!$C$14,"N/A")</f>
        <v>N/A</v>
      </c>
      <c r="K99" t="str" s="640" cm="1">
        <f t="array" ref="K99">IF(B99&gt;0,'Direct Costs 2026'!$C$26,"N/A")</f>
        <v>N/A</v>
      </c>
      <c r="L99" t="str" s="640" cm="1">
        <f t="array" ref="L99">IF(B99&gt;0,SUM('Direct Costs 2026'!$C$23:$C$24),"N/A")</f>
        <v>N/A</v>
      </c>
      <c r="M99" t="str" s="640" cm="1">
        <f t="array" ref="M99">IF(B99&gt;0,'Direct Costs 2026'!$C$45*B99,"N/A")</f>
        <v>N/A</v>
      </c>
      <c r="N99" t="str" s="640" cm="1">
        <f t="array" ref="N99">IF($B99&gt;0,'Direct Costs 2026'!$C$29,"N/A")</f>
        <v>N/A</v>
      </c>
      <c r="O99" t="str" s="640" cm="1">
        <f t="array" ref="O99">IF($B99&gt;0,'Direct Costs 2026'!$C$31,"N/A")</f>
        <v>N/A</v>
      </c>
      <c r="P99" t="str" s="640" cm="1">
        <f t="array" ref="P99">IF(B99&gt;0,'Direct Costs 2026'!$C$59*B99,"N/A")</f>
        <v>N/A</v>
      </c>
      <c r="Q99" t="str" s="640" cm="1">
        <f t="array" ref="Q99">IF(B99&gt;0,_xlfn.IFERROR(VLOOKUP(C90,'Boats Data Sheet 2026'!$C$3:$I$57,7,0)*'Direct Costs 2026'!$C$36,"N/A"),"N/A")</f>
        <v>N/A</v>
      </c>
      <c r="R99" s="639"/>
      <c r="S99" t="str" s="640" cm="1">
        <f t="array" ref="S99">IF(B99&gt;0,IF(OR(VLOOKUP(C90,'Boats Data Sheet 2026'!$C$3:$F$57,4,0)="Own",VLOOKUP(C90,'Boats Data Sheet 2026'!$C$3:$F$57,4,0)="Management"),('Direct Costs 2026'!$C$37+'Direct Costs 2026'!$C$39),"N/A"),"N/A")</f>
        <v>N/A</v>
      </c>
      <c r="T99" t="str" s="640" cm="1">
        <f t="array" ref="T99">_xlfn.IFERROR(IF(B99&gt;5,IF(B99&gt;11,IF(B99&gt;15,4,3),2),IF(B99=0,"N/A",1))*SUM('Direct Costs 2026'!$C$67:$C$68),"N/A")</f>
        <v>N/A</v>
      </c>
      <c r="U99" t="str" s="640" cm="1">
        <f t="array" ref="U99">_xlfn.IFERROR('Direct Costs 2026'!$C$27*C99,"N/A")</f>
        <v>N/A</v>
      </c>
      <c r="V99" t="str" s="640" cm="1">
        <f t="array" ref="V99">_xlfn.IFERROR(C99+SUM(E99:U99),"N/A")</f>
        <v>N/A</v>
      </c>
      <c r="W99" s="424"/>
      <c r="X99" t="str" s="640" cm="1">
        <f t="array" ref="X99">IF(B99&gt;0,'Allocation OH and Target 2026'!$E$31,"N/A")</f>
        <v>N/A</v>
      </c>
      <c r="Y99" t="str" s="640" cm="1">
        <f t="array" ref="Y99">IF(B99&gt;0,VLOOKUP(C90,'Allocation OH and Target 2026'!$C$5:$T$23,16,0),"N/A")</f>
        <v>N/A</v>
      </c>
      <c r="Z99" t="str" s="640" cm="1">
        <f t="array" ref="Z99">_xlfn.IFERROR((X99+Y99),"N/A")</f>
        <v>N/A</v>
      </c>
      <c r="AA99" s="424"/>
      <c r="AB99" t="str" s="640" cm="1">
        <f t="array" ref="AB99">_xlfn.IFERROR(Z99+V99,"N/A")</f>
        <v>N/A</v>
      </c>
      <c r="AC99" t="str" s="640" cm="1">
        <f t="array" ref="AC99">_xlfn.IFERROR(AB99*0.5%,"N/A")</f>
        <v>N/A</v>
      </c>
      <c r="AD99" t="str" s="640" cm="1">
        <f t="array" ref="AD99">_xlfn.IFERROR(AB99*25%,"N/A")</f>
        <v>N/A</v>
      </c>
      <c r="AE99" t="str" s="648" cm="1">
        <f t="array" ref="AE99">IF(B99&gt;0,SUM(AB99:AD99),"N/A")</f>
        <v>N/A</v>
      </c>
      <c r="AF99" t="str" s="640" cm="1">
        <f t="array" ref="AF99">_xlfn.IFERROR(AE99/B99,"N/A")</f>
        <v>N/A</v>
      </c>
      <c r="AG99" s="424"/>
      <c r="AH99" t="str" s="648" cm="1">
        <f t="array" ref="AH99">IF(B99/VLOOKUP(C90,'Boats Data Sheet 2026'!$C$3:$H$57,6,0)&gt;VLOOKUP(C90,'Allocation OH and Target 2026'!$C$5:$J$23,8,0),IF(SUM(AI92:AI98)=0,AF99,"N/A"),"N/A")</f>
        <v>N/A</v>
      </c>
      <c r="AI99" s="424" cm="1">
        <f t="array" ref="AI99">IF(AH99="N/A",0,1)</f>
        <v>0</v>
      </c>
      <c r="AJ99" t="str" s="640" cm="1">
        <f t="array" ref="AJ99">IF(B99/VLOOKUP(C90,'Boats Data Sheet 2026'!$C$3:$H$57,6,0)&gt;VLOOKUP(C90,'Allocation OH and Target 2026'!$C$5:$J$23,8,0),IF(SUM(AI92:AI98)=0,V99/B99,"N/A"),"N/A")</f>
        <v>N/A</v>
      </c>
      <c r="AK99" s="424" cm="1">
        <f t="array" ref="AK99">IF(AJ99="N/A",0,1)</f>
        <v>0</v>
      </c>
      <c r="AL99" t="str" s="628" cm="1">
        <f t="array" ref="AL99">IF(SUM(1250000+700000)*B99&lt;SUM(AB99:AC99),"NO GO","GO")</f>
        <v>GO</v>
      </c>
      <c r="AM99" s="424"/>
      <c r="AN99" s="639"/>
      <c r="AO99" s="639"/>
      <c r="AP99" s="639"/>
      <c r="AQ99" s="645"/>
      <c r="AR99" s="601" cm="1">
        <f t="array" ref="AR99">B99</f>
        <v>0</v>
      </c>
    </row>
    <row r="100" ht="9" customHeight="1" hidden="1">
      <c r="A100" s="12"/>
      <c r="B100" s="646">
        <v>0</v>
      </c>
      <c r="C100" t="str" s="640" cm="1">
        <f t="array" ref="C100">IF(B100&gt;0,IF(VLOOKUP(C90,'Boats Data Sheet 2026'!$C$3:$J$57,8,0)="N/A",0,VLOOKUP(C90,'Boats Data Sheet 2026'!$C$3:$J$57,8,0)),"N/A")</f>
        <v>N/A</v>
      </c>
      <c r="D100" t="str" s="649" cm="1">
        <f t="array" ref="D100">IF(B100&gt;7,2,IF(B100=0,"N/A",1))</f>
        <v>N/A</v>
      </c>
      <c r="E100" t="str" s="640" cm="1">
        <f t="array" ref="E100">_xlfn.IFERROR(SUM('Direct Costs 2026'!$C$4:$C$6)*D100,"N/A")</f>
        <v>N/A</v>
      </c>
      <c r="F100" s="639" cm="1">
        <f t="array" ref="F100">_xlfn.IFERROR('Direct Costs 2026'!$C$43*B100,"N/A")</f>
        <v>0</v>
      </c>
      <c r="G100" t="str" s="640" cm="1">
        <f t="array" ref="G100">IF(B100&gt;0,'Direct Costs 2026'!$C$25,"N/A")</f>
        <v>N/A</v>
      </c>
      <c r="H100" t="str" s="640" cm="1">
        <f t="array" ref="H100">IF(B100&gt;0,('Direct Costs 2026'!$C$19+'Direct Costs 2026'!$C$18*B100),"N/A")</f>
        <v>N/A</v>
      </c>
      <c r="I100" t="str" s="640" cm="1">
        <f t="array" ref="I100">IF(B100&gt;0,SUM('Direct Costs 2026'!$C$20:$C$21),"N/A")</f>
        <v>N/A</v>
      </c>
      <c r="J100" t="str" s="640" cm="1">
        <f t="array" ref="J100">IF(B100&gt;0,'Direct Costs 2026'!$C$14,"N/A")</f>
        <v>N/A</v>
      </c>
      <c r="K100" t="str" s="640" cm="1">
        <f t="array" ref="K100">IF(B100&gt;0,'Direct Costs 2026'!$C$26,"N/A")</f>
        <v>N/A</v>
      </c>
      <c r="L100" t="str" s="640" cm="1">
        <f t="array" ref="L100">IF(B100&gt;0,SUM('Direct Costs 2026'!$C$23:$C$24),"N/A")</f>
        <v>N/A</v>
      </c>
      <c r="M100" t="str" s="640" cm="1">
        <f t="array" ref="M100">IF(B100&gt;0,'Direct Costs 2026'!$C$45*B100,"N/A")</f>
        <v>N/A</v>
      </c>
      <c r="N100" t="str" s="640" cm="1">
        <f t="array" ref="N100">IF($B100&gt;0,'Direct Costs 2026'!$C$29,"N/A")</f>
        <v>N/A</v>
      </c>
      <c r="O100" t="str" s="640" cm="1">
        <f t="array" ref="O100">IF($B100&gt;0,'Direct Costs 2026'!$C$31,"N/A")</f>
        <v>N/A</v>
      </c>
      <c r="P100" t="str" s="640" cm="1">
        <f t="array" ref="P100">IF(B100&gt;0,'Direct Costs 2026'!$C$59*B100,"N/A")</f>
        <v>N/A</v>
      </c>
      <c r="Q100" t="str" s="640" cm="1">
        <f t="array" ref="Q100">IF(B100&gt;0,_xlfn.IFERROR(VLOOKUP(C90,'Boats Data Sheet 2026'!$C$3:$I$57,7,0)*'Direct Costs 2026'!$C$36,"N/A"),"N/A")</f>
        <v>N/A</v>
      </c>
      <c r="R100" s="639"/>
      <c r="S100" t="str" s="640" cm="1">
        <f t="array" ref="S100">IF(B100&gt;0,IF(OR(VLOOKUP(C90,'Boats Data Sheet 2026'!$C$3:$F$57,4,0)="Own",VLOOKUP(C90,'Boats Data Sheet 2026'!$C$3:$F$57,4,0)="Management"),('Direct Costs 2026'!$C$37+'Direct Costs 2026'!$C$39),"N/A"),"N/A")</f>
        <v>N/A</v>
      </c>
      <c r="T100" t="str" s="640" cm="1">
        <f t="array" ref="T100">_xlfn.IFERROR(IF(B100&gt;5,IF(B100&gt;11,IF(B100&gt;15,4,3),2),IF(B100=0,"N/A",1))*SUM('Direct Costs 2026'!$C$67:$C$68),"N/A")</f>
        <v>N/A</v>
      </c>
      <c r="U100" t="str" s="640" cm="1">
        <f t="array" ref="U100">_xlfn.IFERROR('Direct Costs 2026'!$C$27*C100,"N/A")</f>
        <v>N/A</v>
      </c>
      <c r="V100" t="str" s="640" cm="1">
        <f t="array" ref="V100">_xlfn.IFERROR(C100+SUM(E100:U100),"N/A")</f>
        <v>N/A</v>
      </c>
      <c r="W100" s="424"/>
      <c r="X100" t="str" s="640" cm="1">
        <f t="array" ref="X100">IF(B100&gt;0,'Allocation OH and Target 2026'!$E$31,"N/A")</f>
        <v>N/A</v>
      </c>
      <c r="Y100" t="str" s="640" cm="1">
        <f t="array" ref="Y100">IF(B100&gt;0,VLOOKUP(C90,'Allocation OH and Target 2026'!$C$5:$T$23,16,0),"N/A")</f>
        <v>N/A</v>
      </c>
      <c r="Z100" t="str" s="640" cm="1">
        <f t="array" ref="Z100">_xlfn.IFERROR((X100+Y100),"N/A")</f>
        <v>N/A</v>
      </c>
      <c r="AA100" s="424"/>
      <c r="AB100" t="str" s="640" cm="1">
        <f t="array" ref="AB100">_xlfn.IFERROR(Z100+V100,"N/A")</f>
        <v>N/A</v>
      </c>
      <c r="AC100" t="str" s="640" cm="1">
        <f t="array" ref="AC100">_xlfn.IFERROR(AB100*0.5%,"N/A")</f>
        <v>N/A</v>
      </c>
      <c r="AD100" t="str" s="640" cm="1">
        <f t="array" ref="AD100">_xlfn.IFERROR(AB100*25%,"N/A")</f>
        <v>N/A</v>
      </c>
      <c r="AE100" t="str" s="648" cm="1">
        <f t="array" ref="AE100">IF(B100&gt;0,SUM(AB100:AD100),"N/A")</f>
        <v>N/A</v>
      </c>
      <c r="AF100" t="str" s="640" cm="1">
        <f t="array" ref="AF100">_xlfn.IFERROR(AE100/B100,"N/A")</f>
        <v>N/A</v>
      </c>
      <c r="AG100" s="424"/>
      <c r="AH100" t="str" s="648" cm="1">
        <f t="array" ref="AH100">IF(B100/VLOOKUP(C90,'Boats Data Sheet 2026'!$C$3:$H$57,6,0)&gt;VLOOKUP(C90,'Allocation OH and Target 2026'!$C$5:$J$23,8,0),IF(SUM(AI92:AI99)=0,AF100,"N/A"),"N/A")</f>
        <v>N/A</v>
      </c>
      <c r="AI100" s="424" cm="1">
        <f t="array" ref="AI100">IF(AH100="N/A",0,1)</f>
        <v>0</v>
      </c>
      <c r="AJ100" t="str" s="640" cm="1">
        <f t="array" ref="AJ100">IF(B100/VLOOKUP(C90,'Boats Data Sheet 2026'!$C$3:$H$57,6,0)&gt;VLOOKUP(C90,'Allocation OH and Target 2026'!$C$5:$J$23,8,0),IF(SUM(AI92:AI99)=0,V100/B100,"N/A"),"N/A")</f>
        <v>N/A</v>
      </c>
      <c r="AK100" s="424" cm="1">
        <f t="array" ref="AK100">IF(AJ100="N/A",0,1)</f>
        <v>0</v>
      </c>
      <c r="AL100" t="str" s="628" cm="1">
        <f t="array" ref="AL100">IF(SUM(1250000+700000)*B100&lt;SUM(AB100:AC100),"NO GO","GO")</f>
        <v>GO</v>
      </c>
      <c r="AM100" s="424"/>
      <c r="AN100" s="639"/>
      <c r="AO100" s="639"/>
      <c r="AP100" s="639"/>
      <c r="AQ100" s="645"/>
      <c r="AR100" s="601" cm="1">
        <f t="array" ref="AR100">B100</f>
        <v>0</v>
      </c>
    </row>
    <row r="101" ht="9" customHeight="1" hidden="1">
      <c r="A101" s="12"/>
      <c r="B101" s="646">
        <v>0</v>
      </c>
      <c r="C101" t="str" s="640" cm="1">
        <f t="array" ref="C101">IF(B101&gt;0,IF(VLOOKUP(C90,'Boats Data Sheet 2026'!$C$3:$J$57,8,0)="N/A",0,VLOOKUP(C90,'Boats Data Sheet 2026'!$C$3:$J$57,8,0)),"N/A")</f>
        <v>N/A</v>
      </c>
      <c r="D101" t="str" s="649" cm="1">
        <f t="array" ref="D101">IF(B101&gt;7,2,IF(B101=0,"N/A",1))</f>
        <v>N/A</v>
      </c>
      <c r="E101" t="str" s="640" cm="1">
        <f t="array" ref="E101">_xlfn.IFERROR(SUM('Direct Costs 2026'!$C$4:$C$6)*D101,"N/A")</f>
        <v>N/A</v>
      </c>
      <c r="F101" s="639" cm="1">
        <f t="array" ref="F101">_xlfn.IFERROR('Direct Costs 2026'!$C$43*B101,"N/A")</f>
        <v>0</v>
      </c>
      <c r="G101" t="str" s="640" cm="1">
        <f t="array" ref="G101">IF(B101&gt;0,'Direct Costs 2026'!$C$25,"N/A")</f>
        <v>N/A</v>
      </c>
      <c r="H101" t="str" s="640" cm="1">
        <f t="array" ref="H101">IF(B101&gt;0,('Direct Costs 2026'!$C$19+'Direct Costs 2026'!$C$18*B101),"N/A")</f>
        <v>N/A</v>
      </c>
      <c r="I101" t="str" s="640" cm="1">
        <f t="array" ref="I101">IF(B101&gt;0,SUM('Direct Costs 2026'!$C$20:$C$21),"N/A")</f>
        <v>N/A</v>
      </c>
      <c r="J101" t="str" s="640" cm="1">
        <f t="array" ref="J101">IF(B101&gt;0,'Direct Costs 2026'!$C$14,"N/A")</f>
        <v>N/A</v>
      </c>
      <c r="K101" t="str" s="640" cm="1">
        <f t="array" ref="K101">IF(B101&gt;0,'Direct Costs 2026'!$C$26,"N/A")</f>
        <v>N/A</v>
      </c>
      <c r="L101" t="str" s="640" cm="1">
        <f t="array" ref="L101">IF(B101&gt;0,SUM('Direct Costs 2026'!$C$23:$C$24),"N/A")</f>
        <v>N/A</v>
      </c>
      <c r="M101" t="str" s="640" cm="1">
        <f t="array" ref="M101">IF(B101&gt;0,'Direct Costs 2026'!$C$45*B101,"N/A")</f>
        <v>N/A</v>
      </c>
      <c r="N101" t="str" s="640" cm="1">
        <f t="array" ref="N101">IF($B101&gt;0,'Direct Costs 2026'!$C$29,"N/A")</f>
        <v>N/A</v>
      </c>
      <c r="O101" t="str" s="640" cm="1">
        <f t="array" ref="O101">IF($B101&gt;0,'Direct Costs 2026'!$C$31,"N/A")</f>
        <v>N/A</v>
      </c>
      <c r="P101" t="str" s="640" cm="1">
        <f t="array" ref="P101">IF(B101&gt;0,'Direct Costs 2026'!$C$59*B101,"N/A")</f>
        <v>N/A</v>
      </c>
      <c r="Q101" t="str" s="640" cm="1">
        <f t="array" ref="Q101">IF(B101&gt;0,_xlfn.IFERROR(VLOOKUP(C90,'Boats Data Sheet 2026'!$C$3:$I$57,7,0)*'Direct Costs 2026'!$C$36,"N/A"),"N/A")</f>
        <v>N/A</v>
      </c>
      <c r="R101" s="639"/>
      <c r="S101" t="str" s="640" cm="1">
        <f t="array" ref="S101">IF(B101&gt;0,IF(OR(VLOOKUP(C90,'Boats Data Sheet 2026'!$C$3:$F$57,4,0)="Own",VLOOKUP(C90,'Boats Data Sheet 2026'!$C$3:$F$57,4,0)="Management"),('Direct Costs 2026'!$C$37+'Direct Costs 2026'!$C$39),"N/A"),"N/A")</f>
        <v>N/A</v>
      </c>
      <c r="T101" t="str" s="640" cm="1">
        <f t="array" ref="T101">_xlfn.IFERROR(IF(B101&gt;5,IF(B101&gt;11,IF(B101&gt;15,4,3),2),IF(B101=0,"N/A",1))*SUM('Direct Costs 2026'!$C$67:$C$68),"N/A")</f>
        <v>N/A</v>
      </c>
      <c r="U101" t="str" s="640" cm="1">
        <f t="array" ref="U101">_xlfn.IFERROR('Direct Costs 2026'!$C$27*C101,"N/A")</f>
        <v>N/A</v>
      </c>
      <c r="V101" t="str" s="640" cm="1">
        <f t="array" ref="V101">_xlfn.IFERROR(C101+SUM(E101:U101),"N/A")</f>
        <v>N/A</v>
      </c>
      <c r="W101" s="424"/>
      <c r="X101" t="str" s="640" cm="1">
        <f t="array" ref="X101">IF(B101&gt;0,'Allocation OH and Target 2026'!$E$31,"N/A")</f>
        <v>N/A</v>
      </c>
      <c r="Y101" t="str" s="640" cm="1">
        <f t="array" ref="Y101">IF(B101&gt;0,VLOOKUP(C90,'Allocation OH and Target 2026'!$C$5:$T$23,16,0),"N/A")</f>
        <v>N/A</v>
      </c>
      <c r="Z101" t="str" s="640" cm="1">
        <f t="array" ref="Z101">_xlfn.IFERROR((X101+Y101),"N/A")</f>
        <v>N/A</v>
      </c>
      <c r="AA101" s="424"/>
      <c r="AB101" t="str" s="640" cm="1">
        <f t="array" ref="AB101">_xlfn.IFERROR(Z101+V101,"N/A")</f>
        <v>N/A</v>
      </c>
      <c r="AC101" t="str" s="640" cm="1">
        <f t="array" ref="AC101">_xlfn.IFERROR(AB101*0.5%,"N/A")</f>
        <v>N/A</v>
      </c>
      <c r="AD101" t="str" s="640" cm="1">
        <f t="array" ref="AD101">_xlfn.IFERROR(AB101*25%,"N/A")</f>
        <v>N/A</v>
      </c>
      <c r="AE101" t="str" s="648" cm="1">
        <f t="array" ref="AE101">IF(B101&gt;0,SUM(AB101:AD101),"N/A")</f>
        <v>N/A</v>
      </c>
      <c r="AF101" t="str" s="640" cm="1">
        <f t="array" ref="AF101">_xlfn.IFERROR(AE101/B101,"N/A")</f>
        <v>N/A</v>
      </c>
      <c r="AG101" s="424"/>
      <c r="AH101" t="str" s="648" cm="1">
        <f t="array" ref="AH101">IF(B101/VLOOKUP(C90,'Boats Data Sheet 2026'!$C$3:$H$57,6,0)&gt;VLOOKUP(C90,'Allocation OH and Target 2026'!$C$5:$J$23,8,0),IF(SUM(AI92:AI100)=0,AF101,"N/A"),"N/A")</f>
        <v>N/A</v>
      </c>
      <c r="AI101" s="424" cm="1">
        <f t="array" ref="AI101">IF(AH101="N/A",0,1)</f>
        <v>0</v>
      </c>
      <c r="AJ101" t="str" s="640" cm="1">
        <f t="array" ref="AJ101">IF(B101/VLOOKUP(C90,'Boats Data Sheet 2026'!$C$3:$H$57,6,0)&gt;VLOOKUP(C90,'Allocation OH and Target 2026'!$C$5:$J$23,8,0),IF(SUM(AI92:AI100)=0,V101/B101,"N/A"),"N/A")</f>
        <v>N/A</v>
      </c>
      <c r="AK101" s="424" cm="1">
        <f t="array" ref="AK101">IF(AJ101="N/A",0,1)</f>
        <v>0</v>
      </c>
      <c r="AL101" t="str" s="628" cm="1">
        <f t="array" ref="AL101">IF(SUM(1250000+700000)*B101&lt;SUM(AB101:AC101),"NO GO","GO")</f>
        <v>GO</v>
      </c>
      <c r="AM101" s="424"/>
      <c r="AN101" s="639"/>
      <c r="AO101" s="639"/>
      <c r="AP101" s="639"/>
      <c r="AQ101" s="645"/>
      <c r="AR101" s="601" cm="1">
        <f t="array" ref="AR101">B101</f>
        <v>0</v>
      </c>
    </row>
    <row r="102" ht="9" customHeight="1" hidden="1">
      <c r="A102" s="12"/>
      <c r="B102" s="646">
        <v>0</v>
      </c>
      <c r="C102" t="str" s="640" cm="1">
        <f t="array" ref="C102">IF(B102&gt;0,IF(VLOOKUP(C90,'Boats Data Sheet 2026'!$C$3:$J$57,8,0)="N/A",0,VLOOKUP(C90,'Boats Data Sheet 2026'!$C$3:$J$57,8,0)),"N/A")</f>
        <v>N/A</v>
      </c>
      <c r="D102" t="str" s="649" cm="1">
        <f t="array" ref="D102">IF(B102&gt;7,2,IF(B102=0,"N/A",1))</f>
        <v>N/A</v>
      </c>
      <c r="E102" t="str" s="640" cm="1">
        <f t="array" ref="E102">_xlfn.IFERROR(SUM('Direct Costs 2026'!$C$4:$C$6)*D102,"N/A")</f>
        <v>N/A</v>
      </c>
      <c r="F102" s="639" cm="1">
        <f t="array" ref="F102">_xlfn.IFERROR('Direct Costs 2026'!$C$43*B102,"N/A")</f>
        <v>0</v>
      </c>
      <c r="G102" t="str" s="640" cm="1">
        <f t="array" ref="G102">IF(B102&gt;0,'Direct Costs 2026'!$C$25,"N/A")</f>
        <v>N/A</v>
      </c>
      <c r="H102" t="str" s="640" cm="1">
        <f t="array" ref="H102">IF(B102&gt;0,('Direct Costs 2026'!$C$19+'Direct Costs 2026'!$C$18*B102),"N/A")</f>
        <v>N/A</v>
      </c>
      <c r="I102" t="str" s="640" cm="1">
        <f t="array" ref="I102">IF(B102&gt;0,SUM('Direct Costs 2026'!$C$20:$C$21),"N/A")</f>
        <v>N/A</v>
      </c>
      <c r="J102" t="str" s="640" cm="1">
        <f t="array" ref="J102">IF(B102&gt;0,'Direct Costs 2026'!$C$14,"N/A")</f>
        <v>N/A</v>
      </c>
      <c r="K102" t="str" s="640" cm="1">
        <f t="array" ref="K102">IF(B102&gt;0,'Direct Costs 2026'!$C$26,"N/A")</f>
        <v>N/A</v>
      </c>
      <c r="L102" t="str" s="640" cm="1">
        <f t="array" ref="L102">IF(B102&gt;0,SUM('Direct Costs 2026'!$C$23:$C$24),"N/A")</f>
        <v>N/A</v>
      </c>
      <c r="M102" t="str" s="640" cm="1">
        <f t="array" ref="M102">IF(B102&gt;0,'Direct Costs 2026'!$C$45*B102,"N/A")</f>
        <v>N/A</v>
      </c>
      <c r="N102" t="str" s="640" cm="1">
        <f t="array" ref="N102">IF($B102&gt;0,'Direct Costs 2026'!$C$29,"N/A")</f>
        <v>N/A</v>
      </c>
      <c r="O102" t="str" s="640" cm="1">
        <f t="array" ref="O102">IF($B102&gt;0,'Direct Costs 2026'!$C$31,"N/A")</f>
        <v>N/A</v>
      </c>
      <c r="P102" t="str" s="640" cm="1">
        <f t="array" ref="P102">IF(B102&gt;0,'Direct Costs 2026'!$C$59*B102,"N/A")</f>
        <v>N/A</v>
      </c>
      <c r="Q102" t="str" s="640" cm="1">
        <f t="array" ref="Q102">IF(B102&gt;0,_xlfn.IFERROR(VLOOKUP(C90,'Boats Data Sheet 2026'!$C$3:$I$57,7,0)*'Direct Costs 2026'!$C$36,"N/A"),"N/A")</f>
        <v>N/A</v>
      </c>
      <c r="R102" s="639"/>
      <c r="S102" t="str" s="640" cm="1">
        <f t="array" ref="S102">IF(B102&gt;0,IF(OR(VLOOKUP(C90,'Boats Data Sheet 2026'!$C$3:$F$57,4,0)="Own",VLOOKUP(C90,'Boats Data Sheet 2026'!$C$3:$F$57,4,0)="Management"),('Direct Costs 2026'!$C$37+'Direct Costs 2026'!$C$39),"N/A"),"N/A")</f>
        <v>N/A</v>
      </c>
      <c r="T102" t="str" s="640" cm="1">
        <f t="array" ref="T102">_xlfn.IFERROR(IF(B102&gt;5,IF(B102&gt;11,IF(B102&gt;15,4,3),2),IF(B102=0,"N/A",1))*SUM('Direct Costs 2026'!$C$67:$C$68),"N/A")</f>
        <v>N/A</v>
      </c>
      <c r="U102" t="str" s="640" cm="1">
        <f t="array" ref="U102">_xlfn.IFERROR('Direct Costs 2026'!$C$27*C102,"N/A")</f>
        <v>N/A</v>
      </c>
      <c r="V102" t="str" s="640" cm="1">
        <f t="array" ref="V102">_xlfn.IFERROR(C102+SUM(E102:U102),"N/A")</f>
        <v>N/A</v>
      </c>
      <c r="W102" s="424"/>
      <c r="X102" t="str" s="640" cm="1">
        <f t="array" ref="X102">IF(B102&gt;0,'Allocation OH and Target 2026'!$E$31,"N/A")</f>
        <v>N/A</v>
      </c>
      <c r="Y102" t="str" s="640" cm="1">
        <f t="array" ref="Y102">IF(B102&gt;0,VLOOKUP(C90,'Allocation OH and Target 2026'!$C$5:$T$23,16,0),"N/A")</f>
        <v>N/A</v>
      </c>
      <c r="Z102" t="str" s="640" cm="1">
        <f t="array" ref="Z102">_xlfn.IFERROR((X102+Y102),"N/A")</f>
        <v>N/A</v>
      </c>
      <c r="AA102" s="424"/>
      <c r="AB102" t="str" s="640" cm="1">
        <f t="array" ref="AB102">_xlfn.IFERROR(Z102+V102,"N/A")</f>
        <v>N/A</v>
      </c>
      <c r="AC102" t="str" s="640" cm="1">
        <f t="array" ref="AC102">_xlfn.IFERROR(AB102*0.5%,"N/A")</f>
        <v>N/A</v>
      </c>
      <c r="AD102" t="str" s="640" cm="1">
        <f t="array" ref="AD102">_xlfn.IFERROR(AB102*25%,"N/A")</f>
        <v>N/A</v>
      </c>
      <c r="AE102" t="str" s="648" cm="1">
        <f t="array" ref="AE102">IF(B102&gt;0,SUM(AB102:AD102),"N/A")</f>
        <v>N/A</v>
      </c>
      <c r="AF102" t="str" s="640" cm="1">
        <f t="array" ref="AF102">_xlfn.IFERROR(AE102/B102,"N/A")</f>
        <v>N/A</v>
      </c>
      <c r="AG102" s="424"/>
      <c r="AH102" t="str" s="648" cm="1">
        <f t="array" ref="AH102">IF(B102/VLOOKUP(C90,'Boats Data Sheet 2026'!$C$3:$H$57,6,0)&gt;VLOOKUP(C90,'Allocation OH and Target 2026'!$C$5:$J$23,8,0),IF(SUM(AI92:AI101)=0,AF102,"N/A"),"N/A")</f>
        <v>N/A</v>
      </c>
      <c r="AI102" s="424" cm="1">
        <f t="array" ref="AI102">IF(AH102="N/A",0,1)</f>
        <v>0</v>
      </c>
      <c r="AJ102" t="str" s="640" cm="1">
        <f t="array" ref="AJ102">IF(B102/VLOOKUP(C90,'Boats Data Sheet 2026'!$C$3:$H$57,6,0)&gt;VLOOKUP(C90,'Allocation OH and Target 2026'!$C$5:$J$23,8,0),IF(SUM(AI92:AI101)=0,V102/B102,"N/A"),"N/A")</f>
        <v>N/A</v>
      </c>
      <c r="AK102" s="424" cm="1">
        <f t="array" ref="AK102">IF(AJ102="N/A",0,1)</f>
        <v>0</v>
      </c>
      <c r="AL102" t="str" s="628" cm="1">
        <f t="array" ref="AL102">IF(SUM(1250000+700000)*B102&lt;SUM(AB102:AC102),"NO GO","GO")</f>
        <v>GO</v>
      </c>
      <c r="AM102" s="424"/>
      <c r="AN102" s="639"/>
      <c r="AO102" s="639"/>
      <c r="AP102" s="639"/>
      <c r="AQ102" s="645"/>
      <c r="AR102" s="601" cm="1">
        <f t="array" ref="AR102">B102</f>
        <v>0</v>
      </c>
    </row>
    <row r="103" ht="9" customHeight="1" hidden="1">
      <c r="A103" s="12"/>
      <c r="B103" s="646">
        <v>0</v>
      </c>
      <c r="C103" t="str" s="640" cm="1">
        <f t="array" ref="C103">IF(B103&gt;0,IF(VLOOKUP(C90,'Boats Data Sheet 2026'!$C$3:$J$57,8,0)="N/A",0,VLOOKUP(C90,'Boats Data Sheet 2026'!$C$3:$J$57,8,0)),"N/A")</f>
        <v>N/A</v>
      </c>
      <c r="D103" t="str" s="649" cm="1">
        <f t="array" ref="D103">IF(B103&gt;7,2,IF(B103=0,"N/A",1))</f>
        <v>N/A</v>
      </c>
      <c r="E103" t="str" s="640" cm="1">
        <f t="array" ref="E103">_xlfn.IFERROR(SUM('Direct Costs 2026'!$C$4:$C$6)*D103,"N/A")</f>
        <v>N/A</v>
      </c>
      <c r="F103" s="639" cm="1">
        <f t="array" ref="F103">_xlfn.IFERROR('Direct Costs 2026'!$C$43*B103,"N/A")</f>
        <v>0</v>
      </c>
      <c r="G103" t="str" s="640" cm="1">
        <f t="array" ref="G103">IF(B103&gt;0,'Direct Costs 2026'!$C$25,"N/A")</f>
        <v>N/A</v>
      </c>
      <c r="H103" t="str" s="640" cm="1">
        <f t="array" ref="H103">IF(B103&gt;0,('Direct Costs 2026'!$C$19+'Direct Costs 2026'!$C$18*B103),"N/A")</f>
        <v>N/A</v>
      </c>
      <c r="I103" t="str" s="640" cm="1">
        <f t="array" ref="I103">IF(B103&gt;0,SUM('Direct Costs 2026'!$C$20:$C$21),"N/A")</f>
        <v>N/A</v>
      </c>
      <c r="J103" t="str" s="640" cm="1">
        <f t="array" ref="J103">IF(B103&gt;0,'Direct Costs 2026'!$C$14,"N/A")</f>
        <v>N/A</v>
      </c>
      <c r="K103" t="str" s="640" cm="1">
        <f t="array" ref="K103">IF(B103&gt;0,'Direct Costs 2026'!$C$26,"N/A")</f>
        <v>N/A</v>
      </c>
      <c r="L103" t="str" s="640" cm="1">
        <f t="array" ref="L103">IF(B103&gt;0,SUM('Direct Costs 2026'!$C$23:$C$24),"N/A")</f>
        <v>N/A</v>
      </c>
      <c r="M103" t="str" s="640" cm="1">
        <f t="array" ref="M103">IF(B103&gt;0,'Direct Costs 2026'!$C$45*B103,"N/A")</f>
        <v>N/A</v>
      </c>
      <c r="N103" t="str" s="640" cm="1">
        <f t="array" ref="N103">IF($B103&gt;0,'Direct Costs 2026'!$C$29,"N/A")</f>
        <v>N/A</v>
      </c>
      <c r="O103" t="str" s="640" cm="1">
        <f t="array" ref="O103">IF($B103&gt;0,'Direct Costs 2026'!$C$31,"N/A")</f>
        <v>N/A</v>
      </c>
      <c r="P103" t="str" s="640" cm="1">
        <f t="array" ref="P103">IF(B103&gt;0,'Direct Costs 2026'!$C$59*B103,"N/A")</f>
        <v>N/A</v>
      </c>
      <c r="Q103" t="str" s="640" cm="1">
        <f t="array" ref="Q103">IF(B103&gt;0,_xlfn.IFERROR(VLOOKUP(C90,'Boats Data Sheet 2026'!$C$3:$I$57,7,0)*'Direct Costs 2026'!$C$36,"N/A"),"N/A")</f>
        <v>N/A</v>
      </c>
      <c r="R103" s="639"/>
      <c r="S103" t="str" s="640" cm="1">
        <f t="array" ref="S103">IF(B103&gt;0,IF(OR(VLOOKUP(C90,'Boats Data Sheet 2026'!$C$3:$F$57,4,0)="Own",VLOOKUP(C90,'Boats Data Sheet 2026'!$C$3:$F$57,4,0)="Management"),('Direct Costs 2026'!$C$37+'Direct Costs 2026'!$C$39),"N/A"),"N/A")</f>
        <v>N/A</v>
      </c>
      <c r="T103" t="str" s="640" cm="1">
        <f t="array" ref="T103">_xlfn.IFERROR(IF(B103&gt;5,IF(B103&gt;11,IF(B103&gt;15,4,3),2),IF(B103=0,"N/A",1))*SUM('Direct Costs 2026'!$C$67:$C$68),"N/A")</f>
        <v>N/A</v>
      </c>
      <c r="U103" t="str" s="640" cm="1">
        <f t="array" ref="U103">_xlfn.IFERROR('Direct Costs 2026'!$C$27*C103,"N/A")</f>
        <v>N/A</v>
      </c>
      <c r="V103" t="str" s="640" cm="1">
        <f t="array" ref="V103">_xlfn.IFERROR(C103+SUM(E103:U103),"N/A")</f>
        <v>N/A</v>
      </c>
      <c r="W103" s="424"/>
      <c r="X103" t="str" s="640" cm="1">
        <f t="array" ref="X103">IF(B103&gt;0,'Allocation OH and Target 2026'!$E$31,"N/A")</f>
        <v>N/A</v>
      </c>
      <c r="Y103" t="str" s="640" cm="1">
        <f t="array" ref="Y103">IF(B103&gt;0,VLOOKUP(C90,'Allocation OH and Target 2026'!$C$5:$T$23,16,0),"N/A")</f>
        <v>N/A</v>
      </c>
      <c r="Z103" t="str" s="640" cm="1">
        <f t="array" ref="Z103">_xlfn.IFERROR((X103+Y103),"N/A")</f>
        <v>N/A</v>
      </c>
      <c r="AA103" s="424"/>
      <c r="AB103" t="str" s="640" cm="1">
        <f t="array" ref="AB103">_xlfn.IFERROR(Z103+V103,"N/A")</f>
        <v>N/A</v>
      </c>
      <c r="AC103" t="str" s="640" cm="1">
        <f t="array" ref="AC103">_xlfn.IFERROR(AB103*0.5%,"N/A")</f>
        <v>N/A</v>
      </c>
      <c r="AD103" t="str" s="640" cm="1">
        <f t="array" ref="AD103">_xlfn.IFERROR(AB103*25%,"N/A")</f>
        <v>N/A</v>
      </c>
      <c r="AE103" t="str" s="648" cm="1">
        <f t="array" ref="AE103">IF(B103&gt;0,SUM(AB103:AD103),"N/A")</f>
        <v>N/A</v>
      </c>
      <c r="AF103" t="str" s="640" cm="1">
        <f t="array" ref="AF103">_xlfn.IFERROR(AE103/B103,"N/A")</f>
        <v>N/A</v>
      </c>
      <c r="AG103" s="424"/>
      <c r="AH103" t="str" s="648" cm="1">
        <f t="array" ref="AH103">IF(B103/VLOOKUP(C90,'Boats Data Sheet 2026'!$C$3:$H$57,6,0)&gt;VLOOKUP(C90,'Allocation OH and Target 2026'!$C$5:$J$23,8,0),IF(SUM(AI92:AI102)=0,AF103,"N/A"),"N/A")</f>
        <v>N/A</v>
      </c>
      <c r="AI103" s="424" cm="1">
        <f t="array" ref="AI103">IF(AH103="N/A",0,1)</f>
        <v>0</v>
      </c>
      <c r="AJ103" t="str" s="640" cm="1">
        <f t="array" ref="AJ103">IF(B103/VLOOKUP(C90,'Boats Data Sheet 2026'!$C$3:$H$57,6,0)&gt;VLOOKUP(C90,'Allocation OH and Target 2026'!$C$5:$J$23,8,0),IF(SUM(AI92:AI102)=0,V103/B103,"N/A"),"N/A")</f>
        <v>N/A</v>
      </c>
      <c r="AK103" s="424" cm="1">
        <f t="array" ref="AK103">IF(AJ103="N/A",0,1)</f>
        <v>0</v>
      </c>
      <c r="AL103" t="str" s="628" cm="1">
        <f t="array" ref="AL103">IF(SUM(1250000+700000)*B103&lt;SUM(AB103:AC103),"NO GO","GO")</f>
        <v>GO</v>
      </c>
      <c r="AM103" s="424"/>
      <c r="AN103" s="639"/>
      <c r="AO103" s="639"/>
      <c r="AP103" s="639"/>
      <c r="AQ103" s="645"/>
      <c r="AR103" s="601" cm="1">
        <f t="array" ref="AR103">B103</f>
        <v>0</v>
      </c>
    </row>
    <row r="104" ht="9" customHeight="1" hidden="1">
      <c r="A104" s="12"/>
      <c r="B104" s="646">
        <v>0</v>
      </c>
      <c r="C104" t="str" s="640" cm="1">
        <f t="array" ref="C104">IF(B104&gt;0,IF(VLOOKUP(C90,'Boats Data Sheet 2026'!$C$3:$J$57,8,0)="N/A",0,VLOOKUP(C90,'Boats Data Sheet 2026'!$C$3:$J$57,8,0)),"N/A")</f>
        <v>N/A</v>
      </c>
      <c r="D104" t="str" s="649" cm="1">
        <f t="array" ref="D104">IF(B104&gt;7,2,IF(B104=0,"N/A",1))</f>
        <v>N/A</v>
      </c>
      <c r="E104" t="str" s="640" cm="1">
        <f t="array" ref="E104">_xlfn.IFERROR(SUM('Direct Costs 2026'!$C$4:$C$6)*D104,"N/A")</f>
        <v>N/A</v>
      </c>
      <c r="F104" s="639" cm="1">
        <f t="array" ref="F104">_xlfn.IFERROR('Direct Costs 2026'!$C$43*B104,"N/A")</f>
        <v>0</v>
      </c>
      <c r="G104" t="str" s="640" cm="1">
        <f t="array" ref="G104">IF(B104&gt;0,'Direct Costs 2026'!$C$25,"N/A")</f>
        <v>N/A</v>
      </c>
      <c r="H104" t="str" s="640" cm="1">
        <f t="array" ref="H104">IF(B104&gt;0,('Direct Costs 2026'!$C$19+'Direct Costs 2026'!$C$18*B104),"N/A")</f>
        <v>N/A</v>
      </c>
      <c r="I104" t="str" s="640" cm="1">
        <f t="array" ref="I104">IF(B104&gt;0,SUM('Direct Costs 2026'!$C$20:$C$21),"N/A")</f>
        <v>N/A</v>
      </c>
      <c r="J104" t="str" s="640" cm="1">
        <f t="array" ref="J104">IF(B104&gt;0,'Direct Costs 2026'!$C$14,"N/A")</f>
        <v>N/A</v>
      </c>
      <c r="K104" t="str" s="640" cm="1">
        <f t="array" ref="K104">IF(B104&gt;0,'Direct Costs 2026'!$C$26,"N/A")</f>
        <v>N/A</v>
      </c>
      <c r="L104" t="str" s="640" cm="1">
        <f t="array" ref="L104">IF(B104&gt;0,SUM('Direct Costs 2026'!$C$23:$C$24),"N/A")</f>
        <v>N/A</v>
      </c>
      <c r="M104" t="str" s="640" cm="1">
        <f t="array" ref="M104">IF(B104&gt;0,'Direct Costs 2026'!$C$45*B104,"N/A")</f>
        <v>N/A</v>
      </c>
      <c r="N104" t="str" s="640" cm="1">
        <f t="array" ref="N104">IF($B104&gt;0,'Direct Costs 2026'!$C$29,"N/A")</f>
        <v>N/A</v>
      </c>
      <c r="O104" t="str" s="640" cm="1">
        <f t="array" ref="O104">IF($B104&gt;0,'Direct Costs 2026'!$C$31,"N/A")</f>
        <v>N/A</v>
      </c>
      <c r="P104" t="str" s="640" cm="1">
        <f t="array" ref="P104">IF(B104&gt;0,'Direct Costs 2026'!$C$59*B104,"N/A")</f>
        <v>N/A</v>
      </c>
      <c r="Q104" t="str" s="640" cm="1">
        <f t="array" ref="Q104">IF(B104&gt;0,_xlfn.IFERROR(VLOOKUP(C90,'Boats Data Sheet 2026'!$C$3:$I$57,7,0)*'Direct Costs 2026'!$C$36,"N/A"),"N/A")</f>
        <v>N/A</v>
      </c>
      <c r="R104" s="639"/>
      <c r="S104" t="str" s="640" cm="1">
        <f t="array" ref="S104">IF(B104&gt;0,IF(OR(VLOOKUP(C90,'Boats Data Sheet 2026'!$C$3:$F$57,4,0)="Own",VLOOKUP(C90,'Boats Data Sheet 2026'!$C$3:$F$57,4,0)="Management"),('Direct Costs 2026'!$C$37+'Direct Costs 2026'!$C$39),"N/A"),"N/A")</f>
        <v>N/A</v>
      </c>
      <c r="T104" t="str" s="640" cm="1">
        <f t="array" ref="T104">_xlfn.IFERROR(IF(B104&gt;5,IF(B104&gt;11,IF(B104&gt;15,4,3),2),IF(B104=0,"N/A",1))*SUM('Direct Costs 2026'!$C$67:$C$68),"N/A")</f>
        <v>N/A</v>
      </c>
      <c r="U104" t="str" s="640" cm="1">
        <f t="array" ref="U104">_xlfn.IFERROR('Direct Costs 2026'!$C$27*C104,"N/A")</f>
        <v>N/A</v>
      </c>
      <c r="V104" t="str" s="640" cm="1">
        <f t="array" ref="V104">_xlfn.IFERROR(C104+SUM(E104:U104),"N/A")</f>
        <v>N/A</v>
      </c>
      <c r="W104" s="424"/>
      <c r="X104" t="str" s="640" cm="1">
        <f t="array" ref="X104">IF(B104&gt;0,'Allocation OH and Target 2026'!$E$31,"N/A")</f>
        <v>N/A</v>
      </c>
      <c r="Y104" t="str" s="640" cm="1">
        <f t="array" ref="Y104">IF(B104&gt;0,VLOOKUP(C90,'Allocation OH and Target 2026'!$C$5:$T$23,16,0),"N/A")</f>
        <v>N/A</v>
      </c>
      <c r="Z104" t="str" s="640" cm="1">
        <f t="array" ref="Z104">_xlfn.IFERROR((X104+Y104),"N/A")</f>
        <v>N/A</v>
      </c>
      <c r="AA104" s="424"/>
      <c r="AB104" t="str" s="640" cm="1">
        <f t="array" ref="AB104">_xlfn.IFERROR(Z104+V104,"N/A")</f>
        <v>N/A</v>
      </c>
      <c r="AC104" t="str" s="640" cm="1">
        <f t="array" ref="AC104">_xlfn.IFERROR(AB104*0.5%,"N/A")</f>
        <v>N/A</v>
      </c>
      <c r="AD104" t="str" s="640" cm="1">
        <f t="array" ref="AD104">_xlfn.IFERROR(AB104*25%,"N/A")</f>
        <v>N/A</v>
      </c>
      <c r="AE104" t="str" s="648" cm="1">
        <f t="array" ref="AE104">IF(B104&gt;0,SUM(AB104:AD104),"N/A")</f>
        <v>N/A</v>
      </c>
      <c r="AF104" t="str" s="640" cm="1">
        <f t="array" ref="AF104">_xlfn.IFERROR(AE104/B104,"N/A")</f>
        <v>N/A</v>
      </c>
      <c r="AG104" s="424"/>
      <c r="AH104" t="str" s="648" cm="1">
        <f t="array" ref="AH104">IF(B104/VLOOKUP(C90,'Boats Data Sheet 2026'!$C$3:$H$57,6,0)&gt;VLOOKUP(C90,'Allocation OH and Target 2026'!$C$5:$J$23,8,0),IF(SUM(AI92:AI103)=0,AF104,"N/A"),"N/A")</f>
        <v>N/A</v>
      </c>
      <c r="AI104" s="424" cm="1">
        <f t="array" ref="AI104">IF(AH104="N/A",0,1)</f>
        <v>0</v>
      </c>
      <c r="AJ104" t="str" s="640" cm="1">
        <f t="array" ref="AJ104">IF(B104/VLOOKUP(C90,'Boats Data Sheet 2026'!$C$3:$H$57,6,0)&gt;VLOOKUP(C90,'Allocation OH and Target 2026'!$C$5:$J$23,8,0),IF(SUM(AI92:AI103)=0,V104/B104,"N/A"),"N/A")</f>
        <v>N/A</v>
      </c>
      <c r="AK104" s="424" cm="1">
        <f t="array" ref="AK104">IF(AJ104="N/A",0,1)</f>
        <v>0</v>
      </c>
      <c r="AL104" t="str" s="628" cm="1">
        <f t="array" ref="AL104">IF(SUM(1250000+700000)*B104&lt;SUM(AB104:AC104),"NO GO","GO")</f>
        <v>GO</v>
      </c>
      <c r="AM104" s="424"/>
      <c r="AN104" s="639"/>
      <c r="AO104" s="639"/>
      <c r="AP104" s="639"/>
      <c r="AQ104" s="645"/>
      <c r="AR104" s="601" cm="1">
        <f t="array" ref="AR104">B104</f>
        <v>0</v>
      </c>
    </row>
    <row r="105" ht="9" customHeight="1" hidden="1">
      <c r="A105" s="12"/>
      <c r="B105" s="646">
        <v>0</v>
      </c>
      <c r="C105" t="str" s="640" cm="1">
        <f t="array" ref="C105">IF(B105&gt;0,IF(VLOOKUP(C90,'Boats Data Sheet 2026'!$C$3:$J$57,8,0)="N/A",0,VLOOKUP(C90,'Boats Data Sheet 2026'!$C$3:$J$57,8,0)),"N/A")</f>
        <v>N/A</v>
      </c>
      <c r="D105" t="str" s="649" cm="1">
        <f t="array" ref="D105">IF(B105&gt;7,2,IF(B105=0,"N/A",1))</f>
        <v>N/A</v>
      </c>
      <c r="E105" t="str" s="640" cm="1">
        <f t="array" ref="E105">_xlfn.IFERROR(SUM('Direct Costs 2026'!$C$4:$C$6)*D105,"N/A")</f>
        <v>N/A</v>
      </c>
      <c r="F105" s="639" cm="1">
        <f t="array" ref="F105">_xlfn.IFERROR('Direct Costs 2026'!$C$43*B105,"N/A")</f>
        <v>0</v>
      </c>
      <c r="G105" t="str" s="640" cm="1">
        <f t="array" ref="G105">IF(B105&gt;0,'Direct Costs 2026'!$C$25,"N/A")</f>
        <v>N/A</v>
      </c>
      <c r="H105" t="str" s="640" cm="1">
        <f t="array" ref="H105">IF(B105&gt;0,('Direct Costs 2026'!$C$19+'Direct Costs 2026'!$C$18*B105),"N/A")</f>
        <v>N/A</v>
      </c>
      <c r="I105" t="str" s="640" cm="1">
        <f t="array" ref="I105">IF(B105&gt;0,SUM('Direct Costs 2026'!$C$20:$C$21),"N/A")</f>
        <v>N/A</v>
      </c>
      <c r="J105" t="str" s="640" cm="1">
        <f t="array" ref="J105">IF(B105&gt;0,'Direct Costs 2026'!$C$14,"N/A")</f>
        <v>N/A</v>
      </c>
      <c r="K105" t="str" s="640" cm="1">
        <f t="array" ref="K105">IF(B105&gt;0,'Direct Costs 2026'!$C$26,"N/A")</f>
        <v>N/A</v>
      </c>
      <c r="L105" t="str" s="640" cm="1">
        <f t="array" ref="L105">IF(B105&gt;0,SUM('Direct Costs 2026'!$C$23:$C$24),"N/A")</f>
        <v>N/A</v>
      </c>
      <c r="M105" t="str" s="640" cm="1">
        <f t="array" ref="M105">IF(B105&gt;0,'Direct Costs 2026'!$C$45*B105,"N/A")</f>
        <v>N/A</v>
      </c>
      <c r="N105" t="str" s="640" cm="1">
        <f t="array" ref="N105">IF($B105&gt;0,'Direct Costs 2026'!$C$29,"N/A")</f>
        <v>N/A</v>
      </c>
      <c r="O105" t="str" s="640" cm="1">
        <f t="array" ref="O105">IF($B105&gt;0,'Direct Costs 2026'!$C$31,"N/A")</f>
        <v>N/A</v>
      </c>
      <c r="P105" t="str" s="640" cm="1">
        <f t="array" ref="P105">IF(B105&gt;0,'Direct Costs 2026'!$C$59*B105,"N/A")</f>
        <v>N/A</v>
      </c>
      <c r="Q105" t="str" s="640" cm="1">
        <f t="array" ref="Q105">IF(B105&gt;0,_xlfn.IFERROR(VLOOKUP(C90,'Boats Data Sheet 2026'!$C$3:$I$57,7,0)*'Direct Costs 2026'!$C$36,"N/A"),"N/A")</f>
        <v>N/A</v>
      </c>
      <c r="R105" s="639"/>
      <c r="S105" t="str" s="640" cm="1">
        <f t="array" ref="S105">IF(B105&gt;0,IF(OR(VLOOKUP(C90,'Boats Data Sheet 2026'!$C$3:$F$57,4,0)="Own",VLOOKUP(C90,'Boats Data Sheet 2026'!$C$3:$F$57,4,0)="Management"),('Direct Costs 2026'!$C$37+'Direct Costs 2026'!$C$39),"N/A"),"N/A")</f>
        <v>N/A</v>
      </c>
      <c r="T105" t="str" s="640" cm="1">
        <f t="array" ref="T105">_xlfn.IFERROR(IF(B105&gt;5,IF(B105&gt;11,IF(B105&gt;15,4,3),2),IF(B105=0,"N/A",1))*SUM('Direct Costs 2026'!$C$67:$C$68),"N/A")</f>
        <v>N/A</v>
      </c>
      <c r="U105" t="str" s="640" cm="1">
        <f t="array" ref="U105">_xlfn.IFERROR('Direct Costs 2026'!$C$27*C105,"N/A")</f>
        <v>N/A</v>
      </c>
      <c r="V105" t="str" s="640" cm="1">
        <f t="array" ref="V105">_xlfn.IFERROR(C105+SUM(E105:U105),"N/A")</f>
        <v>N/A</v>
      </c>
      <c r="W105" s="424"/>
      <c r="X105" t="str" s="640" cm="1">
        <f t="array" ref="X105">IF(B105&gt;0,'Allocation OH and Target 2026'!$E$31,"N/A")</f>
        <v>N/A</v>
      </c>
      <c r="Y105" t="str" s="640" cm="1">
        <f t="array" ref="Y105">IF(B105&gt;0,VLOOKUP(C90,'Allocation OH and Target 2026'!$C$5:$T$23,16,0),"N/A")</f>
        <v>N/A</v>
      </c>
      <c r="Z105" t="str" s="640" cm="1">
        <f t="array" ref="Z105">_xlfn.IFERROR((X105+Y105),"N/A")</f>
        <v>N/A</v>
      </c>
      <c r="AA105" s="424"/>
      <c r="AB105" t="str" s="640" cm="1">
        <f t="array" ref="AB105">_xlfn.IFERROR(Z105+V105,"N/A")</f>
        <v>N/A</v>
      </c>
      <c r="AC105" t="str" s="640" cm="1">
        <f t="array" ref="AC105">_xlfn.IFERROR(AB105*0.5%,"N/A")</f>
        <v>N/A</v>
      </c>
      <c r="AD105" t="str" s="640" cm="1">
        <f t="array" ref="AD105">_xlfn.IFERROR(AB105*25%,"N/A")</f>
        <v>N/A</v>
      </c>
      <c r="AE105" t="str" s="648" cm="1">
        <f t="array" ref="AE105">IF(B105&gt;0,SUM(AB105:AD105),"N/A")</f>
        <v>N/A</v>
      </c>
      <c r="AF105" t="str" s="640" cm="1">
        <f t="array" ref="AF105">_xlfn.IFERROR(AE105/B105,"N/A")</f>
        <v>N/A</v>
      </c>
      <c r="AG105" s="424"/>
      <c r="AH105" t="str" s="648" cm="1">
        <f t="array" ref="AH105">IF(B105/VLOOKUP(C90,'Boats Data Sheet 2026'!$C$3:$H$57,6,0)&gt;VLOOKUP(C90,'Allocation OH and Target 2026'!$C$5:$J$23,8,0),IF(SUM(AI92:AI104)=0,AF105,"N/A"),"N/A")</f>
        <v>N/A</v>
      </c>
      <c r="AI105" s="424" cm="1">
        <f t="array" ref="AI105">IF(AH105="N/A",0,1)</f>
        <v>0</v>
      </c>
      <c r="AJ105" t="str" s="640" cm="1">
        <f t="array" ref="AJ105">IF(B105/VLOOKUP(C90,'Boats Data Sheet 2026'!$C$3:$H$57,6,0)&gt;VLOOKUP(C90,'Allocation OH and Target 2026'!$C$5:$J$23,8,0),IF(SUM(AI92:AI104)=0,V105/B105,"N/A"),"N/A")</f>
        <v>N/A</v>
      </c>
      <c r="AK105" s="424" cm="1">
        <f t="array" ref="AK105">IF(AJ105="N/A",0,1)</f>
        <v>0</v>
      </c>
      <c r="AL105" t="str" s="628" cm="1">
        <f t="array" ref="AL105">IF(SUM(1250000+700000)*B105&lt;SUM(AB105:AC105),"NO GO","GO")</f>
        <v>GO</v>
      </c>
      <c r="AM105" s="424"/>
      <c r="AN105" s="639"/>
      <c r="AO105" s="639"/>
      <c r="AP105" s="639"/>
      <c r="AQ105" s="645"/>
      <c r="AR105" s="601" cm="1">
        <f t="array" ref="AR105">B105</f>
        <v>0</v>
      </c>
    </row>
    <row r="106" ht="9" customHeight="1" hidden="1">
      <c r="A106" s="12"/>
      <c r="B106" s="646">
        <v>0</v>
      </c>
      <c r="C106" t="str" s="640" cm="1">
        <f t="array" ref="C106">IF(B106&gt;0,IF(VLOOKUP(C90,'Boats Data Sheet 2026'!$C$3:$J$57,8,0)="N/A",0,VLOOKUP(C90,'Boats Data Sheet 2026'!$C$3:$J$57,8,0)),"N/A")</f>
        <v>N/A</v>
      </c>
      <c r="D106" t="str" s="640" cm="1">
        <f t="array" ref="D106">IF(B106&gt;7,2,IF(B106=0,"N/A",1))</f>
        <v>N/A</v>
      </c>
      <c r="E106" t="str" s="640" cm="1">
        <f t="array" ref="E106">_xlfn.IFERROR(SUM('Direct Costs 2026'!$C$4:$C$6)*D106,"N/A")</f>
        <v>N/A</v>
      </c>
      <c r="F106" s="639" cm="1">
        <f t="array" ref="F106">_xlfn.IFERROR('Direct Costs 2026'!$C$43*B106,"N/A")</f>
        <v>0</v>
      </c>
      <c r="G106" t="str" s="640" cm="1">
        <f t="array" ref="G106">IF(B106&gt;0,'Direct Costs 2026'!$C$25,"N/A")</f>
        <v>N/A</v>
      </c>
      <c r="H106" t="str" s="640" cm="1">
        <f t="array" ref="H106">IF(B106&gt;0,('Direct Costs 2026'!$C$19+'Direct Costs 2026'!$C$18*B106),"N/A")</f>
        <v>N/A</v>
      </c>
      <c r="I106" t="str" s="640" cm="1">
        <f t="array" ref="I106">IF(B106&gt;0,SUM('Direct Costs 2026'!$C$20:$C$21),"N/A")</f>
        <v>N/A</v>
      </c>
      <c r="J106" t="str" s="640" cm="1">
        <f t="array" ref="J106">IF(B106&gt;0,'Direct Costs 2026'!$C$14,"N/A")</f>
        <v>N/A</v>
      </c>
      <c r="K106" t="str" s="640" cm="1">
        <f t="array" ref="K106">IF(B106&gt;0,'Direct Costs 2026'!$C$26,"N/A")</f>
        <v>N/A</v>
      </c>
      <c r="L106" t="str" s="640" cm="1">
        <f t="array" ref="L106">IF(B106&gt;0,SUM('Direct Costs 2026'!$C$23:$C$24),"N/A")</f>
        <v>N/A</v>
      </c>
      <c r="M106" t="str" s="640" cm="1">
        <f t="array" ref="M106">IF(B106&gt;0,'Direct Costs 2026'!$C$45*B106,"N/A")</f>
        <v>N/A</v>
      </c>
      <c r="N106" t="str" s="640" cm="1">
        <f t="array" ref="N106">IF($B106&gt;0,'Direct Costs 2026'!$C$29,"N/A")</f>
        <v>N/A</v>
      </c>
      <c r="O106" t="str" s="640" cm="1">
        <f t="array" ref="O106">IF($B106&gt;0,'Direct Costs 2026'!$C$31,"N/A")</f>
        <v>N/A</v>
      </c>
      <c r="P106" t="str" s="640" cm="1">
        <f t="array" ref="P106">IF(B106&gt;0,'Direct Costs 2026'!$C$59*B106,"N/A")</f>
        <v>N/A</v>
      </c>
      <c r="Q106" t="str" s="640" cm="1">
        <f t="array" ref="Q106">IF(B106&gt;0,_xlfn.IFERROR(VLOOKUP(C90,'Boats Data Sheet 2026'!$C$3:$I$57,7,0)*'Direct Costs 2026'!$C$36,"N/A"),"N/A")</f>
        <v>N/A</v>
      </c>
      <c r="R106" s="639"/>
      <c r="S106" t="str" s="640" cm="1">
        <f t="array" ref="S106">IF(B106&gt;0,IF(OR(VLOOKUP(C90,'Boats Data Sheet 2026'!$C$3:$F$57,4,0)="Own",VLOOKUP(C90,'Boats Data Sheet 2026'!$C$3:$F$57,4,0)="Management"),('Direct Costs 2026'!$C$37+'Direct Costs 2026'!$C$39),"N/A"),"N/A")</f>
        <v>N/A</v>
      </c>
      <c r="T106" t="str" s="640" cm="1">
        <f t="array" ref="T106">_xlfn.IFERROR(IF(B106&gt;5,IF(B106&gt;11,IF(B106&gt;15,4,3),2),IF(B106=0,"N/A",1))*SUM('Direct Costs 2026'!$C$67:$C$68),"N/A")</f>
        <v>N/A</v>
      </c>
      <c r="U106" t="str" s="640" cm="1">
        <f t="array" ref="U106">_xlfn.IFERROR('Direct Costs 2026'!$C$27*C106,"N/A")</f>
        <v>N/A</v>
      </c>
      <c r="V106" t="str" s="640" cm="1">
        <f t="array" ref="V106">_xlfn.IFERROR(C106+SUM(E106:U106),"N/A")</f>
        <v>N/A</v>
      </c>
      <c r="W106" s="424"/>
      <c r="X106" t="str" s="640" cm="1">
        <f t="array" ref="X106">IF(B106&gt;0,'Allocation OH and Target 2026'!$E$31,"N/A")</f>
        <v>N/A</v>
      </c>
      <c r="Y106" t="str" s="640" cm="1">
        <f t="array" ref="Y106">IF(B106&gt;0,VLOOKUP(C90,'Allocation OH and Target 2026'!$C$5:$T$23,16,0),"N/A")</f>
        <v>N/A</v>
      </c>
      <c r="Z106" t="str" s="640" cm="1">
        <f t="array" ref="Z106">_xlfn.IFERROR((X106+Y106),"N/A")</f>
        <v>N/A</v>
      </c>
      <c r="AA106" s="424"/>
      <c r="AB106" t="str" s="640" cm="1">
        <f t="array" ref="AB106">_xlfn.IFERROR(Z106+V106,"N/A")</f>
        <v>N/A</v>
      </c>
      <c r="AC106" t="str" s="640" cm="1">
        <f t="array" ref="AC106">_xlfn.IFERROR(AB106*0.5%,"N/A")</f>
        <v>N/A</v>
      </c>
      <c r="AD106" t="str" s="640" cm="1">
        <f t="array" ref="AD106">_xlfn.IFERROR(AB106*25%,"N/A")</f>
        <v>N/A</v>
      </c>
      <c r="AE106" t="str" s="648" cm="1">
        <f t="array" ref="AE106">IF(B106&gt;0,SUM(AB106:AD106),"N/A")</f>
        <v>N/A</v>
      </c>
      <c r="AF106" t="str" s="640" cm="1">
        <f t="array" ref="AF106">_xlfn.IFERROR(AE106/B106,"N/A")</f>
        <v>N/A</v>
      </c>
      <c r="AG106" s="424"/>
      <c r="AH106" t="str" s="648" cm="1">
        <f t="array" ref="AH106">IF(B106/VLOOKUP(C90,'Boats Data Sheet 2026'!$C$3:$H$57,6,0)&gt;VLOOKUP(C90,'Allocation OH and Target 2026'!$C$5:$J$23,8,0),IF(SUM(AI92:AI105)=0,AF106,"N/A"),"N/A")</f>
        <v>N/A</v>
      </c>
      <c r="AI106" s="424" cm="1">
        <f t="array" ref="AI106">IF(AH106="N/A",0,1)</f>
        <v>0</v>
      </c>
      <c r="AJ106" t="str" s="640" cm="1">
        <f t="array" ref="AJ106">IF(B106/VLOOKUP(C90,'Boats Data Sheet 2026'!$C$3:$H$57,6,0)&gt;VLOOKUP(C90,'Allocation OH and Target 2026'!$C$5:$J$23,8,0),IF(SUM(AI92:AI105)=0,V106/B106,"N/A"),"N/A")</f>
        <v>N/A</v>
      </c>
      <c r="AK106" s="424" cm="1">
        <f t="array" ref="AK106">IF(AJ106="N/A",0,1)</f>
        <v>0</v>
      </c>
      <c r="AL106" t="str" s="628" cm="1">
        <f t="array" ref="AL106">IF(SUM(1250000+700000)*B106&lt;SUM(AB106:AC106),"NO GO","GO")</f>
        <v>GO</v>
      </c>
      <c r="AM106" s="424"/>
      <c r="AN106" s="639"/>
      <c r="AO106" s="639"/>
      <c r="AP106" s="639"/>
      <c r="AQ106" s="645"/>
      <c r="AR106" s="601" cm="1">
        <f t="array" ref="AR106">B106</f>
        <v>0</v>
      </c>
    </row>
    <row r="107" ht="9" customHeight="1" hidden="1">
      <c r="A107" s="12"/>
      <c r="B107" s="646">
        <v>0</v>
      </c>
      <c r="C107" t="str" s="640" cm="1">
        <f t="array" ref="C107">IF(B107&gt;0,IF(VLOOKUP(C90,'Boats Data Sheet 2026'!$C$3:$J$57,8,0)="N/A",0,VLOOKUP(C90,'Boats Data Sheet 2026'!$C$3:$J$57,8,0)),"N/A")</f>
        <v>N/A</v>
      </c>
      <c r="D107" t="str" s="640" cm="1">
        <f t="array" ref="D107">IF(B107&gt;7,2,IF(B107=0,"N/A",1))</f>
        <v>N/A</v>
      </c>
      <c r="E107" t="str" s="640" cm="1">
        <f t="array" ref="E107">_xlfn.IFERROR(SUM('Direct Costs 2026'!$C$4:$C$6)*D107,"N/A")</f>
        <v>N/A</v>
      </c>
      <c r="F107" s="639" cm="1">
        <f t="array" ref="F107">_xlfn.IFERROR('Direct Costs 2026'!$C$43*B107,"N/A")</f>
        <v>0</v>
      </c>
      <c r="G107" t="str" s="640" cm="1">
        <f t="array" ref="G107">IF(B107&gt;0,'Direct Costs 2026'!$C$25,"N/A")</f>
        <v>N/A</v>
      </c>
      <c r="H107" t="str" s="640" cm="1">
        <f t="array" ref="H107">IF(B107&gt;0,('Direct Costs 2026'!$C$19+'Direct Costs 2026'!$C$18*B107),"N/A")</f>
        <v>N/A</v>
      </c>
      <c r="I107" t="str" s="640" cm="1">
        <f t="array" ref="I107">IF(B107&gt;0,SUM('Direct Costs 2026'!$C$20:$C$21),"N/A")</f>
        <v>N/A</v>
      </c>
      <c r="J107" t="str" s="640" cm="1">
        <f t="array" ref="J107">IF(B107&gt;0,'Direct Costs 2026'!$C$14,"N/A")</f>
        <v>N/A</v>
      </c>
      <c r="K107" t="str" s="640" cm="1">
        <f t="array" ref="K107">IF(B107&gt;0,'Direct Costs 2026'!$C$26,"N/A")</f>
        <v>N/A</v>
      </c>
      <c r="L107" t="str" s="640" cm="1">
        <f t="array" ref="L107">IF(B107&gt;0,SUM('Direct Costs 2026'!$C$23:$C$24),"N/A")</f>
        <v>N/A</v>
      </c>
      <c r="M107" t="str" s="640" cm="1">
        <f t="array" ref="M107">IF(B107&gt;0,'Direct Costs 2026'!$C$45*B107,"N/A")</f>
        <v>N/A</v>
      </c>
      <c r="N107" t="str" s="640" cm="1">
        <f t="array" ref="N107">IF($B107&gt;0,'Direct Costs 2026'!$C$29,"N/A")</f>
        <v>N/A</v>
      </c>
      <c r="O107" t="str" s="640" cm="1">
        <f t="array" ref="O107">IF($B107&gt;0,'Direct Costs 2026'!$C$31,"N/A")</f>
        <v>N/A</v>
      </c>
      <c r="P107" t="str" s="640" cm="1">
        <f t="array" ref="P107">IF(B107&gt;0,'Direct Costs 2026'!$C$59*B107,"N/A")</f>
        <v>N/A</v>
      </c>
      <c r="Q107" t="str" s="640" cm="1">
        <f t="array" ref="Q107">IF(B107&gt;0,_xlfn.IFERROR(VLOOKUP(C90,'Boats Data Sheet 2026'!$C$3:$I$57,7,0)*'Direct Costs 2026'!$C$36,"N/A"),"N/A")</f>
        <v>N/A</v>
      </c>
      <c r="R107" s="639"/>
      <c r="S107" t="str" s="640" cm="1">
        <f t="array" ref="S107">IF(B107&gt;0,IF(OR(VLOOKUP(C90,'Boats Data Sheet 2026'!$C$3:$F$57,4,0)="Own",VLOOKUP(C90,'Boats Data Sheet 2026'!$C$3:$F$57,4,0)="Management"),('Direct Costs 2026'!$C$37+'Direct Costs 2026'!$C$39),"N/A"),"N/A")</f>
        <v>N/A</v>
      </c>
      <c r="T107" t="str" s="640" cm="1">
        <f t="array" ref="T107">_xlfn.IFERROR(IF(B107&gt;5,IF(B107&gt;11,IF(B107&gt;15,4,3),2),IF(B107=0,"N/A",1))*SUM('Direct Costs 2026'!$C$67:$C$68),"N/A")</f>
        <v>N/A</v>
      </c>
      <c r="U107" t="str" s="640" cm="1">
        <f t="array" ref="U107">_xlfn.IFERROR('Direct Costs 2026'!$C$27*C107,"N/A")</f>
        <v>N/A</v>
      </c>
      <c r="V107" t="str" s="640" cm="1">
        <f t="array" ref="V107">_xlfn.IFERROR(C107+SUM(E107:U107),"N/A")</f>
        <v>N/A</v>
      </c>
      <c r="W107" s="424"/>
      <c r="X107" t="str" s="640" cm="1">
        <f t="array" ref="X107">IF(B107&gt;0,'Allocation OH and Target 2026'!$E$31,"N/A")</f>
        <v>N/A</v>
      </c>
      <c r="Y107" t="str" s="640" cm="1">
        <f t="array" ref="Y107">IF(B107&gt;0,VLOOKUP(C90,'Allocation OH and Target 2026'!$C$5:$T$23,16,0),"N/A")</f>
        <v>N/A</v>
      </c>
      <c r="Z107" t="str" s="640" cm="1">
        <f t="array" ref="Z107">_xlfn.IFERROR((X107+Y107),"N/A")</f>
        <v>N/A</v>
      </c>
      <c r="AA107" s="424"/>
      <c r="AB107" t="str" s="640" cm="1">
        <f t="array" ref="AB107">_xlfn.IFERROR(Z107+V107,"N/A")</f>
        <v>N/A</v>
      </c>
      <c r="AC107" t="str" s="640" cm="1">
        <f t="array" ref="AC107">_xlfn.IFERROR(AB107*0.5%,"N/A")</f>
        <v>N/A</v>
      </c>
      <c r="AD107" t="str" s="640" cm="1">
        <f t="array" ref="AD107">_xlfn.IFERROR(AB107*25%,"N/A")</f>
        <v>N/A</v>
      </c>
      <c r="AE107" t="str" s="648" cm="1">
        <f t="array" ref="AE107">IF(B107&gt;0,SUM(AB107:AD107),"N/A")</f>
        <v>N/A</v>
      </c>
      <c r="AF107" t="str" s="640" cm="1">
        <f t="array" ref="AF107">_xlfn.IFERROR(AE107/B107,"N/A")</f>
        <v>N/A</v>
      </c>
      <c r="AG107" s="424"/>
      <c r="AH107" t="str" s="648" cm="1">
        <f t="array" ref="AH107">IF(B107/VLOOKUP(C90,'Boats Data Sheet 2026'!$C$3:$H$57,6,0)&gt;VLOOKUP(C90,'Allocation OH and Target 2026'!$C$5:$J$23,8,0),IF(SUM(AI92:AI106)=0,AF107,"N/A"),"N/A")</f>
        <v>N/A</v>
      </c>
      <c r="AI107" s="424" cm="1">
        <f t="array" ref="AI107">IF(AH107="N/A",0,1)</f>
        <v>0</v>
      </c>
      <c r="AJ107" t="str" s="640" cm="1">
        <f t="array" ref="AJ107">IF(B107/VLOOKUP(C90,'Boats Data Sheet 2026'!$C$3:$H$57,6,0)&gt;VLOOKUP(C90,'Allocation OH and Target 2026'!$C$5:$J$23,8,0),IF(SUM(AI92:AI106)=0,V107/B107,"N/A"),"N/A")</f>
        <v>N/A</v>
      </c>
      <c r="AK107" s="424" cm="1">
        <f t="array" ref="AK107">IF(AJ107="N/A",0,1)</f>
        <v>0</v>
      </c>
      <c r="AL107" t="str" s="628" cm="1">
        <f t="array" ref="AL107">IF(SUM(1250000+700000)*B107&lt;SUM(AB107:AC107),"NO GO","GO")</f>
        <v>GO</v>
      </c>
      <c r="AM107" s="424"/>
      <c r="AN107" s="639"/>
      <c r="AO107" s="639"/>
      <c r="AP107" s="639"/>
      <c r="AQ107" s="645"/>
      <c r="AR107" s="601" cm="1">
        <f t="array" ref="AR107">B107</f>
        <v>0</v>
      </c>
    </row>
    <row r="108" ht="9" customHeight="1" hidden="1">
      <c r="A108" s="12"/>
      <c r="B108" s="646">
        <v>0</v>
      </c>
      <c r="C108" t="str" s="640" cm="1">
        <f t="array" ref="C108">IF(B108&gt;0,IF(VLOOKUP(C90,'Boats Data Sheet 2026'!$C$3:$J$57,8,0)="N/A",0,VLOOKUP(C90,'Boats Data Sheet 2026'!$C$3:$J$57,8,0)),"N/A")</f>
        <v>N/A</v>
      </c>
      <c r="D108" t="str" s="640" cm="1">
        <f t="array" ref="D108">IF(B108&gt;7,2,IF(B108=0,"N/A",1))</f>
        <v>N/A</v>
      </c>
      <c r="E108" t="str" s="640" cm="1">
        <f t="array" ref="E108">_xlfn.IFERROR(SUM('Direct Costs 2026'!$C$4:$C$6)*D108,"N/A")</f>
        <v>N/A</v>
      </c>
      <c r="F108" s="639" cm="1">
        <f t="array" ref="F108">_xlfn.IFERROR('Direct Costs 2026'!$C$43*B108,"N/A")</f>
        <v>0</v>
      </c>
      <c r="G108" t="str" s="640" cm="1">
        <f t="array" ref="G108">IF(B108&gt;0,'Direct Costs 2026'!$C$25,"N/A")</f>
        <v>N/A</v>
      </c>
      <c r="H108" t="str" s="640" cm="1">
        <f t="array" ref="H108">IF(B108&gt;0,('Direct Costs 2026'!$C$19+'Direct Costs 2026'!$C$18*B108),"N/A")</f>
        <v>N/A</v>
      </c>
      <c r="I108" t="str" s="640" cm="1">
        <f t="array" ref="I108">IF(B108&gt;0,SUM('Direct Costs 2026'!$C$20:$C$21),"N/A")</f>
        <v>N/A</v>
      </c>
      <c r="J108" t="str" s="640" cm="1">
        <f t="array" ref="J108">IF(B108&gt;0,'Direct Costs 2026'!$C$14,"N/A")</f>
        <v>N/A</v>
      </c>
      <c r="K108" t="str" s="640" cm="1">
        <f t="array" ref="K108">IF(B108&gt;0,'Direct Costs 2026'!$C$26,"N/A")</f>
        <v>N/A</v>
      </c>
      <c r="L108" t="str" s="640" cm="1">
        <f t="array" ref="L108">IF(B108&gt;0,SUM('Direct Costs 2026'!$C$23:$C$24),"N/A")</f>
        <v>N/A</v>
      </c>
      <c r="M108" t="str" s="640" cm="1">
        <f t="array" ref="M108">IF(B108&gt;0,'Direct Costs 2026'!$C$45*B108,"N/A")</f>
        <v>N/A</v>
      </c>
      <c r="N108" t="str" s="640" cm="1">
        <f t="array" ref="N108">IF($B108&gt;0,'Direct Costs 2026'!$C$29,"N/A")</f>
        <v>N/A</v>
      </c>
      <c r="O108" t="str" s="640" cm="1">
        <f t="array" ref="O108">IF($B108&gt;0,'Direct Costs 2026'!$C$31,"N/A")</f>
        <v>N/A</v>
      </c>
      <c r="P108" t="str" s="640" cm="1">
        <f t="array" ref="P108">IF(B108&gt;0,'Direct Costs 2026'!$C$59*B108,"N/A")</f>
        <v>N/A</v>
      </c>
      <c r="Q108" t="str" s="640" cm="1">
        <f t="array" ref="Q108">IF(B108&gt;0,_xlfn.IFERROR(VLOOKUP(C90,'Boats Data Sheet 2026'!$C$3:$I$57,7,0)*'Direct Costs 2026'!$C$36,"N/A"),"N/A")</f>
        <v>N/A</v>
      </c>
      <c r="R108" s="639"/>
      <c r="S108" t="str" s="640" cm="1">
        <f t="array" ref="S108">IF(B108&gt;0,IF(OR(VLOOKUP(C90,'Boats Data Sheet 2026'!$C$3:$F$57,4,0)="Own",VLOOKUP(C90,'Boats Data Sheet 2026'!$C$3:$F$57,4,0)="Management"),('Direct Costs 2026'!$C$37+'Direct Costs 2026'!$C$39),"N/A"),"N/A")</f>
        <v>N/A</v>
      </c>
      <c r="T108" t="str" s="640" cm="1">
        <f t="array" ref="T108">_xlfn.IFERROR(IF(B108&gt;5,IF(B108&gt;11,IF(B108&gt;15,4,3),2),IF(B108=0,"N/A",1))*SUM('Direct Costs 2026'!$C$67:$C$68),"N/A")</f>
        <v>N/A</v>
      </c>
      <c r="U108" t="str" s="640" cm="1">
        <f t="array" ref="U108">_xlfn.IFERROR('Direct Costs 2026'!$C$27*C108,"N/A")</f>
        <v>N/A</v>
      </c>
      <c r="V108" t="str" s="640" cm="1">
        <f t="array" ref="V108">_xlfn.IFERROR(C108+SUM(E108:U108),"N/A")</f>
        <v>N/A</v>
      </c>
      <c r="W108" s="424"/>
      <c r="X108" t="str" s="640" cm="1">
        <f t="array" ref="X108">IF(B108&gt;0,'Allocation OH and Target 2026'!$E$31,"N/A")</f>
        <v>N/A</v>
      </c>
      <c r="Y108" t="str" s="640" cm="1">
        <f t="array" ref="Y108">IF(B108&gt;0,VLOOKUP(C90,'Allocation OH and Target 2026'!$C$5:$T$23,16,0),"N/A")</f>
        <v>N/A</v>
      </c>
      <c r="Z108" t="str" s="640" cm="1">
        <f t="array" ref="Z108">_xlfn.IFERROR((X108+Y108),"N/A")</f>
        <v>N/A</v>
      </c>
      <c r="AA108" s="424"/>
      <c r="AB108" t="str" s="640" cm="1">
        <f t="array" ref="AB108">_xlfn.IFERROR(Z108+V108,"N/A")</f>
        <v>N/A</v>
      </c>
      <c r="AC108" t="str" s="640" cm="1">
        <f t="array" ref="AC108">_xlfn.IFERROR(AB108*0.5%,"N/A")</f>
        <v>N/A</v>
      </c>
      <c r="AD108" t="str" s="640" cm="1">
        <f t="array" ref="AD108">_xlfn.IFERROR(AB108*25%,"N/A")</f>
        <v>N/A</v>
      </c>
      <c r="AE108" t="str" s="648" cm="1">
        <f t="array" ref="AE108">IF(B108&gt;0,SUM(AB108:AD108),"N/A")</f>
        <v>N/A</v>
      </c>
      <c r="AF108" t="str" s="640" cm="1">
        <f t="array" ref="AF108">_xlfn.IFERROR(AE108/B108,"N/A")</f>
        <v>N/A</v>
      </c>
      <c r="AG108" s="424"/>
      <c r="AH108" t="str" s="648" cm="1">
        <f t="array" ref="AH108">IF(B108/VLOOKUP(C90,'Boats Data Sheet 2026'!$C$3:$H$57,6,0)&gt;VLOOKUP(C90,'Allocation OH and Target 2026'!$C$5:$J$23,8,0),IF(SUM(AI92:AI107)=0,AF108,"N/A"),"N/A")</f>
        <v>N/A</v>
      </c>
      <c r="AI108" s="424" cm="1">
        <f t="array" ref="AI108">IF(AH108="N/A",0,1)</f>
        <v>0</v>
      </c>
      <c r="AJ108" t="str" s="640" cm="1">
        <f t="array" ref="AJ108">IF(B108/VLOOKUP(C90,'Boats Data Sheet 2026'!$C$3:$H$57,6,0)&gt;VLOOKUP(C90,'Allocation OH and Target 2026'!$C$5:$J$23,8,0),IF(SUM(AI92:AI107)=0,V108/B108,"N/A"),"N/A")</f>
        <v>N/A</v>
      </c>
      <c r="AK108" s="424" cm="1">
        <f t="array" ref="AK108">IF(AJ108="N/A",0,1)</f>
        <v>0</v>
      </c>
      <c r="AL108" t="str" s="628" cm="1">
        <f t="array" ref="AL108">IF(SUM(1250000+700000)*B108&lt;SUM(AB108:AC108),"NO GO","GO")</f>
        <v>GO</v>
      </c>
      <c r="AM108" s="424"/>
      <c r="AN108" s="639"/>
      <c r="AO108" s="639"/>
      <c r="AP108" s="639"/>
      <c r="AQ108" s="645"/>
      <c r="AR108" s="601" cm="1">
        <f t="array" ref="AR108">B108</f>
        <v>0</v>
      </c>
    </row>
    <row r="109" ht="9" customHeight="1" hidden="1">
      <c r="A109" s="12"/>
      <c r="B109" s="646">
        <v>0</v>
      </c>
      <c r="C109" t="str" s="640" cm="1">
        <f t="array" ref="C109">IF(B109&gt;0,IF(VLOOKUP(C90,'Boats Data Sheet 2026'!$C$3:$J$57,8,0)="N/A",0,VLOOKUP(C90,'Boats Data Sheet 2026'!$C$3:$J$57,8,0)),"N/A")</f>
        <v>N/A</v>
      </c>
      <c r="D109" t="str" s="640" cm="1">
        <f t="array" ref="D109">IF(B109&gt;7,2,IF(B109=0,"N/A",1))</f>
        <v>N/A</v>
      </c>
      <c r="E109" t="str" s="640" cm="1">
        <f t="array" ref="E109">_xlfn.IFERROR(SUM('Direct Costs 2026'!$C$4:$C$6)*D109,"N/A")</f>
        <v>N/A</v>
      </c>
      <c r="F109" s="639" cm="1">
        <f t="array" ref="F109">_xlfn.IFERROR('Direct Costs 2026'!$C$43*B109,"N/A")</f>
        <v>0</v>
      </c>
      <c r="G109" t="str" s="640" cm="1">
        <f t="array" ref="G109">IF(B109&gt;0,'Direct Costs 2026'!$C$25,"N/A")</f>
        <v>N/A</v>
      </c>
      <c r="H109" t="str" s="640" cm="1">
        <f t="array" ref="H109">IF(B109&gt;0,('Direct Costs 2026'!$C$19+'Direct Costs 2026'!$C$18*B109),"N/A")</f>
        <v>N/A</v>
      </c>
      <c r="I109" t="str" s="640" cm="1">
        <f t="array" ref="I109">IF(B109&gt;0,SUM('Direct Costs 2026'!$C$20:$C$21),"N/A")</f>
        <v>N/A</v>
      </c>
      <c r="J109" t="str" s="640" cm="1">
        <f t="array" ref="J109">IF(B109&gt;0,'Direct Costs 2026'!$C$14,"N/A")</f>
        <v>N/A</v>
      </c>
      <c r="K109" t="str" s="640" cm="1">
        <f t="array" ref="K109">IF(B109&gt;0,'Direct Costs 2026'!$C$26,"N/A")</f>
        <v>N/A</v>
      </c>
      <c r="L109" t="str" s="640" cm="1">
        <f t="array" ref="L109">IF(B109&gt;0,SUM('Direct Costs 2026'!$C$23:$C$24),"N/A")</f>
        <v>N/A</v>
      </c>
      <c r="M109" t="str" s="640" cm="1">
        <f t="array" ref="M109">IF(B109&gt;0,'Direct Costs 2026'!$C$45*B109,"N/A")</f>
        <v>N/A</v>
      </c>
      <c r="N109" t="str" s="640" cm="1">
        <f t="array" ref="N109">IF($B109&gt;0,'Direct Costs 2026'!$C$29,"N/A")</f>
        <v>N/A</v>
      </c>
      <c r="O109" t="str" s="640" cm="1">
        <f t="array" ref="O109">IF($B109&gt;0,'Direct Costs 2026'!$C$31,"N/A")</f>
        <v>N/A</v>
      </c>
      <c r="P109" t="str" s="640" cm="1">
        <f t="array" ref="P109">IF(B109&gt;0,'Direct Costs 2026'!$C$59*B109,"N/A")</f>
        <v>N/A</v>
      </c>
      <c r="Q109" t="str" s="640" cm="1">
        <f t="array" ref="Q109">IF(B109&gt;0,_xlfn.IFERROR(VLOOKUP(C90,'Boats Data Sheet 2026'!$C$3:$I$57,7,0)*'Direct Costs 2026'!$C$36,"N/A"),"N/A")</f>
        <v>N/A</v>
      </c>
      <c r="R109" s="639"/>
      <c r="S109" t="str" s="640" cm="1">
        <f t="array" ref="S109">IF(B109&gt;0,IF(OR(VLOOKUP(C90,'Boats Data Sheet 2026'!$C$3:$F$57,4,0)="Own",VLOOKUP(C90,'Boats Data Sheet 2026'!$C$3:$F$57,4,0)="Management"),('Direct Costs 2026'!$C$37+'Direct Costs 2026'!$C$39),"N/A"),"N/A")</f>
        <v>N/A</v>
      </c>
      <c r="T109" t="str" s="640" cm="1">
        <f t="array" ref="T109">_xlfn.IFERROR(IF(B109&gt;5,IF(B109&gt;11,IF(B109&gt;15,4,3),2),IF(B109=0,"N/A",1))*SUM('Direct Costs 2026'!$C$67:$C$68),"N/A")</f>
        <v>N/A</v>
      </c>
      <c r="U109" t="str" s="640" cm="1">
        <f t="array" ref="U109">_xlfn.IFERROR('Direct Costs 2026'!$C$27*C109,"N/A")</f>
        <v>N/A</v>
      </c>
      <c r="V109" t="str" s="640" cm="1">
        <f t="array" ref="V109">_xlfn.IFERROR(C109+SUM(E109:U109),"N/A")</f>
        <v>N/A</v>
      </c>
      <c r="W109" s="424"/>
      <c r="X109" t="str" s="640" cm="1">
        <f t="array" ref="X109">IF(B109&gt;0,'Allocation OH and Target 2026'!$E$31,"N/A")</f>
        <v>N/A</v>
      </c>
      <c r="Y109" t="str" s="640" cm="1">
        <f t="array" ref="Y109">IF(B109&gt;0,VLOOKUP(C90,'Allocation OH and Target 2026'!$C$5:$T$23,16,0),"N/A")</f>
        <v>N/A</v>
      </c>
      <c r="Z109" t="str" s="640" cm="1">
        <f t="array" ref="Z109">_xlfn.IFERROR((X109+Y109),"N/A")</f>
        <v>N/A</v>
      </c>
      <c r="AA109" s="424"/>
      <c r="AB109" t="str" s="640" cm="1">
        <f t="array" ref="AB109">_xlfn.IFERROR(Z109+V109,"N/A")</f>
        <v>N/A</v>
      </c>
      <c r="AC109" t="str" s="640" cm="1">
        <f t="array" ref="AC109">_xlfn.IFERROR(AB109*0.5%,"N/A")</f>
        <v>N/A</v>
      </c>
      <c r="AD109" t="str" s="640" cm="1">
        <f t="array" ref="AD109">_xlfn.IFERROR(AB109*25%,"N/A")</f>
        <v>N/A</v>
      </c>
      <c r="AE109" t="str" s="648" cm="1">
        <f t="array" ref="AE109">IF(B109&gt;0,SUM(AB109:AD109),"N/A")</f>
        <v>N/A</v>
      </c>
      <c r="AF109" t="str" s="640" cm="1">
        <f t="array" ref="AF109">_xlfn.IFERROR(AE109/B109,"N/A")</f>
        <v>N/A</v>
      </c>
      <c r="AG109" s="424"/>
      <c r="AH109" t="str" s="648" cm="1">
        <f t="array" ref="AH109">IF(B109/VLOOKUP(C90,'Boats Data Sheet 2026'!$C$3:$H$57,6,0)&gt;VLOOKUP(C90,'Allocation OH and Target 2026'!$C$5:$J$23,8,0),IF(SUM(AI92:AI108)=0,AF109,"N/A"),"N/A")</f>
        <v>N/A</v>
      </c>
      <c r="AI109" s="424" cm="1">
        <f t="array" ref="AI109">IF(AH109="N/A",0,1)</f>
        <v>0</v>
      </c>
      <c r="AJ109" t="str" s="640" cm="1">
        <f t="array" ref="AJ109">IF(B109/VLOOKUP(C90,'Boats Data Sheet 2026'!$C$3:$H$57,6,0)&gt;VLOOKUP(C90,'Allocation OH and Target 2026'!$C$5:$J$23,8,0),IF(SUM(AI92:AI108)=0,V109/B109,"N/A"),"N/A")</f>
        <v>N/A</v>
      </c>
      <c r="AK109" s="424" cm="1">
        <f t="array" ref="AK109">IF(AJ109="N/A",0,1)</f>
        <v>0</v>
      </c>
      <c r="AL109" t="str" s="628" cm="1">
        <f t="array" ref="AL109">IF(SUM(1250000+700000)*B109&lt;SUM(AB109:AC109),"NO GO","GO")</f>
        <v>GO</v>
      </c>
      <c r="AM109" s="424"/>
      <c r="AN109" s="639"/>
      <c r="AO109" s="639"/>
      <c r="AP109" s="639"/>
      <c r="AQ109" s="645"/>
      <c r="AR109" s="601" cm="1">
        <f t="array" ref="AR109">B109</f>
        <v>0</v>
      </c>
    </row>
    <row r="110" ht="15.5" customHeight="1">
      <c r="A110" s="12"/>
      <c r="B110" s="650">
        <v>0</v>
      </c>
      <c r="C110" t="str" s="651" cm="1">
        <f t="array" ref="C110">IF(B110&gt;0,IF(VLOOKUP(C90,'Boats Data Sheet 2026'!$C$3:$J$57,8,0)="N/A",0,VLOOKUP(C90,'Boats Data Sheet 2026'!$C$3:$J$57,8,0)),"N/A")</f>
        <v>N/A</v>
      </c>
      <c r="D110" t="str" s="651" cm="1">
        <f t="array" ref="D110">IF(B110&gt;7,2,IF(B110=0,"N/A",1))</f>
        <v>N/A</v>
      </c>
      <c r="E110" t="str" s="651" cm="1">
        <f t="array" ref="E110">_xlfn.IFERROR(SUM('Direct Costs 2026'!$C$4:$C$6)*D110,"N/A")</f>
        <v>N/A</v>
      </c>
      <c r="F110" s="652" cm="1">
        <f t="array" ref="F110">_xlfn.IFERROR('Direct Costs 2026'!$C$43*B110,"N/A")</f>
        <v>0</v>
      </c>
      <c r="G110" t="str" s="651" cm="1">
        <f t="array" ref="G110">IF(B110&gt;0,'Direct Costs 2026'!$C$25,"N/A")</f>
        <v>N/A</v>
      </c>
      <c r="H110" t="str" s="651" cm="1">
        <f t="array" ref="H110">IF(B110&gt;0,('Direct Costs 2026'!$C$19+'Direct Costs 2026'!$C$18*B110),"N/A")</f>
        <v>N/A</v>
      </c>
      <c r="I110" t="str" s="651" cm="1">
        <f t="array" ref="I110">IF(B110&gt;0,SUM('Direct Costs 2026'!$C$20:$C$21),"N/A")</f>
        <v>N/A</v>
      </c>
      <c r="J110" t="str" s="651" cm="1">
        <f t="array" ref="J110">IF(B110&gt;0,'Direct Costs 2026'!$C$14,"N/A")</f>
        <v>N/A</v>
      </c>
      <c r="K110" t="str" s="651" cm="1">
        <f t="array" ref="K110">IF(B110&gt;0,'Direct Costs 2026'!$C$26,"N/A")</f>
        <v>N/A</v>
      </c>
      <c r="L110" t="str" s="651" cm="1">
        <f t="array" ref="L110">IF(B110&gt;0,SUM('Direct Costs 2026'!$C$23:$C$24),"N/A")</f>
        <v>N/A</v>
      </c>
      <c r="M110" t="str" s="651" cm="1">
        <f t="array" ref="M110">IF(B110&gt;0,'Direct Costs 2026'!$C$45*B110,"N/A")</f>
        <v>N/A</v>
      </c>
      <c r="N110" t="str" s="651" cm="1">
        <f t="array" ref="N110">IF($B110&gt;0,'Direct Costs 2026'!$C$29,"N/A")</f>
        <v>N/A</v>
      </c>
      <c r="O110" t="str" s="651" cm="1">
        <f t="array" ref="O110">IF($B110&gt;0,'Direct Costs 2026'!$C$31,"N/A")</f>
        <v>N/A</v>
      </c>
      <c r="P110" t="str" s="651" cm="1">
        <f t="array" ref="P110">IF(B110&gt;0,'Direct Costs 2026'!$C$59*B110,"N/A")</f>
        <v>N/A</v>
      </c>
      <c r="Q110" t="str" s="651" cm="1">
        <f t="array" ref="Q110">IF(B110&gt;0,_xlfn.IFERROR(VLOOKUP(C90,'Boats Data Sheet 2026'!$C$3:$I$57,7,0)*'Direct Costs 2026'!$C$36,"N/A"),"N/A")</f>
        <v>N/A</v>
      </c>
      <c r="R110" s="652"/>
      <c r="S110" t="str" s="651" cm="1">
        <f t="array" ref="S110">IF(B110&gt;0,IF(OR(VLOOKUP(C90,'Boats Data Sheet 2026'!$C$3:$F$57,4,0)="Own",VLOOKUP(C90,'Boats Data Sheet 2026'!$C$3:$F$57,4,0)="Management"),('Direct Costs 2026'!$C$37+'Direct Costs 2026'!$C$39),"N/A"),"N/A")</f>
        <v>N/A</v>
      </c>
      <c r="T110" t="str" s="651" cm="1">
        <f t="array" ref="T110">_xlfn.IFERROR(IF(B110&gt;5,IF(B110&gt;11,IF(B110&gt;15,4,3),2),IF(B110=0,"N/A",1))*SUM('Direct Costs 2026'!$C$67:$C$68),"N/A")</f>
        <v>N/A</v>
      </c>
      <c r="U110" t="str" s="651" cm="1">
        <f t="array" ref="U110">_xlfn.IFERROR('Direct Costs 2026'!$C$27*C110,"N/A")</f>
        <v>N/A</v>
      </c>
      <c r="V110" t="str" s="651" cm="1">
        <f t="array" ref="V110">_xlfn.IFERROR(C110+SUM(E110:U110),"N/A")</f>
        <v>N/A</v>
      </c>
      <c r="W110" s="435"/>
      <c r="X110" t="str" s="651" cm="1">
        <f t="array" ref="X110">IF(B110&gt;0,'Allocation OH and Target 2026'!$E$31,"N/A")</f>
        <v>N/A</v>
      </c>
      <c r="Y110" t="str" s="651" cm="1">
        <f t="array" ref="Y110">IF(B110&gt;0,VLOOKUP(C90,'Allocation OH and Target 2026'!$C$5:$T$23,16,0),"N/A")</f>
        <v>N/A</v>
      </c>
      <c r="Z110" t="str" s="651" cm="1">
        <f t="array" ref="Z110">_xlfn.IFERROR((X110+Y110),"N/A")</f>
        <v>N/A</v>
      </c>
      <c r="AA110" s="435"/>
      <c r="AB110" t="str" s="651" cm="1">
        <f t="array" ref="AB110">_xlfn.IFERROR(Z110+V110,"N/A")</f>
        <v>N/A</v>
      </c>
      <c r="AC110" t="str" s="651" cm="1">
        <f t="array" ref="AC110">_xlfn.IFERROR(AB110*0.5%,"N/A")</f>
        <v>N/A</v>
      </c>
      <c r="AD110" t="str" s="651" cm="1">
        <f t="array" ref="AD110">_xlfn.IFERROR(AB110*25%,"N/A")</f>
        <v>N/A</v>
      </c>
      <c r="AE110" t="str" s="653" cm="1">
        <f t="array" ref="AE110">IF(B110&gt;0,SUM(AB110:AD110),"N/A")</f>
        <v>N/A</v>
      </c>
      <c r="AF110" t="str" s="651" cm="1">
        <f t="array" ref="AF110">_xlfn.IFERROR(AE110/B110,"N/A")</f>
        <v>N/A</v>
      </c>
      <c r="AG110" s="435"/>
      <c r="AH110" t="str" s="653" cm="1">
        <f t="array" ref="AH110">IF(B110/VLOOKUP(C90,'Boats Data Sheet 2026'!$C$3:$H$57,6,0)&gt;VLOOKUP(C90,'Allocation OH and Target 2026'!$C$5:$J$23,8,0),IF(SUM(AI92:AI109)=0,AF110,"N/A"),"N/A")</f>
        <v>N/A</v>
      </c>
      <c r="AI110" s="435" cm="1">
        <f t="array" ref="AI110">IF(AH110="N/A",0,1)</f>
        <v>0</v>
      </c>
      <c r="AJ110" t="str" s="651" cm="1">
        <f t="array" ref="AJ110">IF(B110/VLOOKUP(C90,'Boats Data Sheet 2026'!$C$3:$H$57,6,0)&gt;VLOOKUP(C90,'Allocation OH and Target 2026'!$C$5:$J$23,8,0),IF(SUM(AI92:AI109)=0,V110/B110,"N/A"),"N/A")</f>
        <v>N/A</v>
      </c>
      <c r="AK110" s="435" cm="1">
        <f t="array" ref="AK110">IF(AJ110="N/A",0,1)</f>
        <v>0</v>
      </c>
      <c r="AL110" t="str" s="654" cm="1">
        <f t="array" ref="AL110">IF(SUM(1250000+700000)*B110&lt;SUM(AB110:AC110),"NO GO","GO")</f>
        <v>GO</v>
      </c>
      <c r="AM110" s="435"/>
      <c r="AN110" s="652"/>
      <c r="AO110" s="652"/>
      <c r="AP110" s="652"/>
      <c r="AQ110" s="655"/>
      <c r="AR110" s="601" cm="1">
        <f t="array" ref="AR110">B110</f>
        <v>0</v>
      </c>
    </row>
    <row r="111" ht="16" customHeight="1">
      <c r="A111" s="32"/>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18"/>
    </row>
    <row r="112" ht="15.5" customHeight="1">
      <c r="A112" s="395">
        <v>6</v>
      </c>
      <c r="B112" t="s" s="619">
        <v>506</v>
      </c>
      <c r="C112" t="s" s="620">
        <v>55</v>
      </c>
      <c r="D112" s="622"/>
      <c r="E112" s="621"/>
      <c r="F112" s="621"/>
      <c r="G112" s="621"/>
      <c r="H112" s="621"/>
      <c r="I112" s="621"/>
      <c r="J112" s="621"/>
      <c r="K112" s="621"/>
      <c r="L112" s="621"/>
      <c r="M112" s="621"/>
      <c r="N112" s="621"/>
      <c r="O112" s="621"/>
      <c r="P112" s="621"/>
      <c r="Q112" s="621"/>
      <c r="R112" s="621"/>
      <c r="S112" s="621"/>
      <c r="T112" s="621"/>
      <c r="U112" s="621"/>
      <c r="V112" s="621"/>
      <c r="W112" s="399"/>
      <c r="X112" s="621"/>
      <c r="Y112" s="621"/>
      <c r="Z112" s="621"/>
      <c r="AA112" s="399"/>
      <c r="AB112" s="621"/>
      <c r="AC112" s="621"/>
      <c r="AD112" s="621"/>
      <c r="AE112" s="621"/>
      <c r="AF112" s="621"/>
      <c r="AG112" s="399"/>
      <c r="AH112" s="622"/>
      <c r="AI112" s="399"/>
      <c r="AJ112" s="621"/>
      <c r="AK112" s="399"/>
      <c r="AL112" s="621"/>
      <c r="AM112" s="399"/>
      <c r="AN112" s="621"/>
      <c r="AO112" s="621"/>
      <c r="AP112" s="621"/>
      <c r="AQ112" s="623"/>
      <c r="AR112" s="578"/>
    </row>
    <row r="113" ht="16" customHeight="1">
      <c r="A113" s="12"/>
      <c r="B113" s="624"/>
      <c r="C113" t="s" s="625">
        <v>513</v>
      </c>
      <c r="D113" s="626"/>
      <c r="E113" s="626"/>
      <c r="F113" s="626"/>
      <c r="G113" s="626"/>
      <c r="H113" s="626"/>
      <c r="I113" s="626"/>
      <c r="J113" s="626"/>
      <c r="K113" s="626"/>
      <c r="L113" s="626"/>
      <c r="M113" s="626"/>
      <c r="N113" s="626"/>
      <c r="O113" s="626"/>
      <c r="P113" s="626"/>
      <c r="Q113" s="626"/>
      <c r="R113" s="626"/>
      <c r="S113" s="626"/>
      <c r="T113" s="626"/>
      <c r="U113" s="626"/>
      <c r="V113" s="627"/>
      <c r="W113" s="407"/>
      <c r="X113" t="s" s="625">
        <v>514</v>
      </c>
      <c r="Y113" s="626"/>
      <c r="Z113" s="627"/>
      <c r="AA113" s="407"/>
      <c r="AB113" t="s" s="625">
        <v>515</v>
      </c>
      <c r="AC113" s="626"/>
      <c r="AD113" s="626"/>
      <c r="AE113" s="626"/>
      <c r="AF113" s="627"/>
      <c r="AG113" s="410"/>
      <c r="AH113" s="628"/>
      <c r="AI113" s="410"/>
      <c r="AJ113" s="629"/>
      <c r="AK113" s="410"/>
      <c r="AL113" s="629"/>
      <c r="AM113" s="410"/>
      <c r="AN113" s="629"/>
      <c r="AO113" s="629"/>
      <c r="AP113" s="629"/>
      <c r="AQ113" s="630"/>
      <c r="AR113" s="578"/>
    </row>
    <row r="114" ht="60.5" customHeight="1">
      <c r="A114" s="12"/>
      <c r="B114" t="s" s="631">
        <v>517</v>
      </c>
      <c r="C114" t="s" s="632">
        <v>518</v>
      </c>
      <c r="D114" t="s" s="632">
        <v>519</v>
      </c>
      <c r="E114" t="s" s="632">
        <v>520</v>
      </c>
      <c r="F114" t="s" s="633">
        <v>521</v>
      </c>
      <c r="G114" t="s" s="633">
        <v>522</v>
      </c>
      <c r="H114" t="s" s="633">
        <v>524</v>
      </c>
      <c r="I114" t="s" s="633">
        <v>525</v>
      </c>
      <c r="J114" t="s" s="633">
        <v>553</v>
      </c>
      <c r="K114" t="s" s="633">
        <v>526</v>
      </c>
      <c r="L114" t="s" s="633">
        <v>527</v>
      </c>
      <c r="M114" t="s" s="633">
        <v>528</v>
      </c>
      <c r="N114" t="s" s="633">
        <v>608</v>
      </c>
      <c r="O114" t="s" s="633">
        <v>609</v>
      </c>
      <c r="P114" t="s" s="633">
        <v>604</v>
      </c>
      <c r="Q114" t="s" s="633">
        <v>610</v>
      </c>
      <c r="R114" t="s" s="633">
        <v>529</v>
      </c>
      <c r="S114" t="s" s="633">
        <v>530</v>
      </c>
      <c r="T114" t="s" s="633">
        <v>572</v>
      </c>
      <c r="U114" t="s" s="633">
        <v>531</v>
      </c>
      <c r="V114" t="s" s="633">
        <v>532</v>
      </c>
      <c r="W114" s="556"/>
      <c r="X114" t="s" s="633">
        <v>533</v>
      </c>
      <c r="Y114" t="s" s="633">
        <v>534</v>
      </c>
      <c r="Z114" t="s" s="633">
        <v>535</v>
      </c>
      <c r="AA114" s="556"/>
      <c r="AB114" t="s" s="633">
        <v>536</v>
      </c>
      <c r="AC114" t="s" s="633">
        <v>537</v>
      </c>
      <c r="AD114" t="s" s="633">
        <v>538</v>
      </c>
      <c r="AE114" t="s" s="633">
        <v>575</v>
      </c>
      <c r="AF114" t="s" s="633">
        <v>539</v>
      </c>
      <c r="AG114" s="557"/>
      <c r="AH114" t="s" s="633">
        <v>576</v>
      </c>
      <c r="AI114" s="557"/>
      <c r="AJ114" t="s" s="633">
        <v>577</v>
      </c>
      <c r="AK114" s="557"/>
      <c r="AL114" t="s" s="632">
        <v>578</v>
      </c>
      <c r="AM114" s="557"/>
      <c r="AN114" s="634"/>
      <c r="AO114" s="634"/>
      <c r="AP114" s="634"/>
      <c r="AQ114" s="635"/>
      <c r="AR114" s="578"/>
    </row>
    <row r="115" ht="16.5" customHeight="1">
      <c r="A115" s="12"/>
      <c r="B115" s="636">
        <v>1</v>
      </c>
      <c r="C115" s="637" cm="1">
        <f t="array" ref="C115">IF(B115&gt;0,IF(VLOOKUP(C112,'Boats Data Sheet 2026'!$C$3:$J$57,8,0)="N/A",0,VLOOKUP(C112,'Boats Data Sheet 2026'!$C$3:$J$57,8,0)),"N/A")</f>
        <v>0</v>
      </c>
      <c r="D115" s="638" cm="1">
        <f t="array" ref="D115">IF(B115&gt;7,2,IF(B115=0,"N/A",1))</f>
        <v>1</v>
      </c>
      <c r="E115" s="637" cm="1">
        <f t="array" ref="E115">_xlfn.IFERROR(SUM('Direct Costs 2026'!$C$4:$C$6)*D115,"N/A")</f>
        <v>975500</v>
      </c>
      <c r="F115" s="639" cm="1">
        <f t="array" ref="F115">_xlfn.IFERROR('Direct Costs 2026'!$C$43*B115,"N/A")</f>
        <v>6000</v>
      </c>
      <c r="G115" s="639" cm="1">
        <f t="array" ref="G115">IF(B115&gt;0,'Direct Costs 2026'!$C$25,"N/A")</f>
        <v>90000</v>
      </c>
      <c r="H115" s="639" cm="1">
        <f t="array" ref="H115">IF(B115&gt;0,('Direct Costs 2026'!$C$19+'Direct Costs 2026'!$C$18*B115),"N/A")</f>
        <v>110000</v>
      </c>
      <c r="I115" s="639" cm="1">
        <f t="array" ref="I115">IF(B115&gt;0,SUM('Direct Costs 2026'!$C$20:$C$21),"N/A")</f>
        <v>98333.3333333333</v>
      </c>
      <c r="J115" s="639" cm="1">
        <f t="array" ref="J115">IF(B115&gt;0,'Direct Costs 2026'!$C$14,"N/A")</f>
        <v>60000</v>
      </c>
      <c r="K115" s="639" cm="1">
        <f t="array" ref="K115">IF(B115&gt;0,'Direct Costs 2026'!$C$26,"N/A")</f>
        <v>20000</v>
      </c>
      <c r="L115" s="639" cm="1">
        <f t="array" ref="L115">IF(B115&gt;0,SUM('Direct Costs 2026'!$C$23:$C$24),"N/A")</f>
        <v>160000</v>
      </c>
      <c r="M115" s="639" cm="1">
        <f t="array" ref="M115">IF(B115&gt;0,'Direct Costs 2026'!$C$49*B115,"N/A")</f>
        <v>200000</v>
      </c>
      <c r="N115" s="639" cm="1">
        <f t="array" ref="N115">IF($B115&gt;0,'Direct Costs 2026'!$C$29,"N/A")</f>
        <v>1500000</v>
      </c>
      <c r="O115" s="639" cm="1">
        <f t="array" ref="O115">IF($B115&gt;0,'Direct Costs 2026'!$C$31/3,"N/A")</f>
        <v>290000</v>
      </c>
      <c r="P115" s="639" cm="1">
        <f t="array" ref="P115">IF(B115&gt;0,'Direct Costs 2026'!$C$59*B115,"N/A")</f>
        <v>41000</v>
      </c>
      <c r="Q115" s="639" cm="1">
        <f t="array" ref="Q115">IF($B115&gt;0,'Direct Costs 2026'!$C$34,"N/A")</f>
        <v>550000</v>
      </c>
      <c r="R115" s="639" cm="1">
        <f t="array" ref="R115">IF(B115&gt;0,_xlfn.IFERROR(VLOOKUP(C112,'Boats Data Sheet 2026'!$C$3:$I$57,7,0)*'Direct Costs 2026'!$C$36,"N/A"),"N/A")</f>
        <v>3325000</v>
      </c>
      <c r="S115" s="639" cm="1">
        <f t="array" ref="S115">IF(B115&gt;0,IF(OR(VLOOKUP(C112,'Boats Data Sheet 2026'!$C$3:$F$57,4,0)="Own",VLOOKUP(C112,'Boats Data Sheet 2026'!$C$3:$F$57,4,0)="Management"),('Direct Costs 2026'!$C$37+'Direct Costs 2026'!$C$39),"N/A"),"N/A")</f>
        <v>1112400</v>
      </c>
      <c r="T115" s="639" cm="1">
        <f t="array" ref="T115">_xlfn.IFERROR(IF(B115&gt;5,IF(B115&gt;11,IF(B115&gt;15,4,3),2),IF(B115=0,"N/A",1))*SUM('Direct Costs 2026'!$C$67:$C$68),"N/A")</f>
        <v>489600</v>
      </c>
      <c r="U115" s="639" cm="1">
        <f t="array" ref="U115">_xlfn.IFERROR('Direct Costs 2026'!$C$27*C115,"N/A")</f>
        <v>0</v>
      </c>
      <c r="V115" s="639" cm="1">
        <f t="array" ref="V115">_xlfn.IFERROR(C115+SUM(E115:U115),"N/A")</f>
        <v>9027833.33333333</v>
      </c>
      <c r="W115" s="424"/>
      <c r="X115" s="639" cm="1">
        <f t="array" ref="X115">IF(B115&gt;0,'Allocation OH and Target 2026'!$E$31,"N/A")</f>
        <v>3100447.15769812</v>
      </c>
      <c r="Y115" s="639" cm="1">
        <f t="array" ref="Y115">IF(B115&gt;0,VLOOKUP(C112,'Allocation OH and Target 2026'!$C$5:$T$23,17,0),"N/A")</f>
        <v>1319153.22736842</v>
      </c>
      <c r="Z115" s="639" cm="1">
        <f t="array" ref="Z115">_xlfn.IFERROR((X115+Y115),"N/A")</f>
        <v>4419600.38506654</v>
      </c>
      <c r="AA115" s="424"/>
      <c r="AB115" s="639" cm="1">
        <f t="array" ref="AB115">_xlfn.IFERROR(Z115+V115,"N/A")</f>
        <v>13447433.7183999</v>
      </c>
      <c r="AC115" s="639" cm="1">
        <f t="array" ref="AC115">_xlfn.IFERROR(AB115*0.5%,"N/A")</f>
        <v>67237.168591999507</v>
      </c>
      <c r="AD115" s="639" cm="1">
        <f t="array" ref="AD115">_xlfn.IFERROR(AB115*25%,"N/A")</f>
        <v>3361858.42959998</v>
      </c>
      <c r="AE115" s="641" cm="1">
        <f t="array" ref="AE115">IF(B115&gt;0,SUM(AB115:AD115),"N/A")</f>
        <v>16876529.3165919</v>
      </c>
      <c r="AF115" s="639" cm="1">
        <f t="array" ref="AF115">_xlfn.IFERROR(AE115/B115,"N/A")</f>
        <v>16876529.3165919</v>
      </c>
      <c r="AG115" s="424"/>
      <c r="AH115" t="s" s="642">
        <v>14</v>
      </c>
      <c r="AI115" s="424" cm="1">
        <f t="array" ref="AI115">IF(AH115="N/A",0,1)</f>
        <v>0</v>
      </c>
      <c r="AJ115" t="s" s="643">
        <v>14</v>
      </c>
      <c r="AK115" s="424" cm="1">
        <f t="array" ref="AK115">IF(AJ115="N/A",0,1)</f>
        <v>0</v>
      </c>
      <c r="AL115" t="str" s="644" cm="1">
        <f t="array" ref="AL115">IF(SUM(1250000+700000)*B115&lt;SUM(AB115:AC115),"NO GO","GO")</f>
        <v>NO GO</v>
      </c>
      <c r="AM115" s="424"/>
      <c r="AN115" s="639"/>
      <c r="AO115" s="639"/>
      <c r="AP115" s="639"/>
      <c r="AQ115" s="645"/>
      <c r="AR115" s="601" cm="1">
        <f t="array" ref="AR115">B115</f>
        <v>1</v>
      </c>
    </row>
    <row r="116" ht="16" customHeight="1">
      <c r="A116" s="12"/>
      <c r="B116" s="646" cm="1">
        <f t="array" ref="B116">IF(B115=0,0,IF(B115&lt;VLOOKUP(C112,'Boats Data Sheet 2026'!$C$3:$H$57,6,0),B115+1,0))</f>
        <v>2</v>
      </c>
      <c r="C116" s="639" cm="1">
        <f t="array" ref="C116">IF(B116&gt;0,IF(VLOOKUP(C112,'Boats Data Sheet 2026'!$C$3:$J$57,8,0)="N/A",0,VLOOKUP(C112,'Boats Data Sheet 2026'!$C$3:$J$57,8,0)),"N/A")</f>
        <v>0</v>
      </c>
      <c r="D116" s="647" cm="1">
        <f t="array" ref="D116">IF(B116&gt;7,2,IF(B116=0,"N/A",1))</f>
        <v>1</v>
      </c>
      <c r="E116" s="639" cm="1">
        <f t="array" ref="E116">_xlfn.IFERROR(SUM('Direct Costs 2026'!$C$4:$C$6)*D116,"N/A")</f>
        <v>975500</v>
      </c>
      <c r="F116" s="639" cm="1">
        <f t="array" ref="F116">_xlfn.IFERROR('Direct Costs 2026'!$C$43*B116,"N/A")</f>
        <v>12000</v>
      </c>
      <c r="G116" s="639" cm="1">
        <f t="array" ref="G116">IF(B116&gt;0,'Direct Costs 2026'!$C$25,"N/A")</f>
        <v>90000</v>
      </c>
      <c r="H116" s="639" cm="1">
        <f t="array" ref="H116">IF(B116&gt;0,('Direct Costs 2026'!$C$19+'Direct Costs 2026'!$C$18*B116),"N/A")</f>
        <v>145000</v>
      </c>
      <c r="I116" s="639" cm="1">
        <f t="array" ref="I116">IF(B116&gt;0,SUM('Direct Costs 2026'!$C$20:$C$21),"N/A")</f>
        <v>98333.3333333333</v>
      </c>
      <c r="J116" s="639" cm="1">
        <f t="array" ref="J116">IF(B116&gt;0,'Direct Costs 2026'!$C$14,"N/A")</f>
        <v>60000</v>
      </c>
      <c r="K116" s="639" cm="1">
        <f t="array" ref="K116">IF(B116&gt;0,'Direct Costs 2026'!$C$26,"N/A")</f>
        <v>20000</v>
      </c>
      <c r="L116" s="639" cm="1">
        <f t="array" ref="L116">IF(B116&gt;0,SUM('Direct Costs 2026'!$C$23:$C$24),"N/A")</f>
        <v>160000</v>
      </c>
      <c r="M116" s="639" cm="1">
        <f t="array" ref="M116">IF(B116&gt;0,'Direct Costs 2026'!$C$49*B116,"N/A")</f>
        <v>400000</v>
      </c>
      <c r="N116" s="639" cm="1">
        <f t="array" ref="N116">IF($B116&gt;0,'Direct Costs 2026'!$C$29,"N/A")</f>
        <v>1500000</v>
      </c>
      <c r="O116" s="639" cm="1">
        <f t="array" ref="O116">IF($B116&gt;0,'Direct Costs 2026'!$C$31/3,"N/A")</f>
        <v>290000</v>
      </c>
      <c r="P116" s="639" cm="1">
        <f t="array" ref="P116">IF(B116&gt;0,'Direct Costs 2026'!$C$59*B116,"N/A")</f>
        <v>82000</v>
      </c>
      <c r="Q116" s="639" cm="1">
        <f t="array" ref="Q116">IF($B116&gt;0,'Direct Costs 2026'!$C$34,"N/A")</f>
        <v>550000</v>
      </c>
      <c r="R116" s="639" cm="1">
        <f t="array" ref="R116">IF(B116&gt;0,_xlfn.IFERROR(VLOOKUP(C112,'Boats Data Sheet 2026'!$C$3:$I$57,7,0)*'Direct Costs 2026'!$C$36,"N/A"),"N/A")</f>
        <v>3325000</v>
      </c>
      <c r="S116" s="639" cm="1">
        <f t="array" ref="S116">IF(B116&gt;0,IF(OR(VLOOKUP(C112,'Boats Data Sheet 2026'!$C$3:$F$57,4,0)="Own",VLOOKUP(C112,'Boats Data Sheet 2026'!$C$3:$F$57,4,0)="Management"),('Direct Costs 2026'!$C$37+'Direct Costs 2026'!$C$39),"N/A"),"N/A")</f>
        <v>1112400</v>
      </c>
      <c r="T116" s="639" cm="1">
        <f t="array" ref="T116">_xlfn.IFERROR(IF(B116&gt;5,IF(B116&gt;11,IF(B116&gt;15,4,3),2),IF(B116=0,"N/A",1))*SUM('Direct Costs 2026'!$C$67:$C$68),"N/A")</f>
        <v>489600</v>
      </c>
      <c r="U116" s="639" cm="1">
        <f t="array" ref="U116">_xlfn.IFERROR('Direct Costs 2026'!$C$27*C116,"N/A")</f>
        <v>0</v>
      </c>
      <c r="V116" s="639" cm="1">
        <f t="array" ref="V116">_xlfn.IFERROR(C116+SUM(E116:U116),"N/A")</f>
        <v>9309833.33333333</v>
      </c>
      <c r="W116" s="424"/>
      <c r="X116" s="639" cm="1">
        <f t="array" ref="X116">IF(B116&gt;0,'Allocation OH and Target 2026'!$E$31,"N/A")</f>
        <v>3100447.15769812</v>
      </c>
      <c r="Y116" s="639" cm="1">
        <f t="array" ref="Y116">IF(B116&gt;0,VLOOKUP(C112,'Allocation OH and Target 2026'!$C$5:$T$23,17,0),"N/A")</f>
        <v>1319153.22736842</v>
      </c>
      <c r="Z116" s="639" cm="1">
        <f t="array" ref="Z116">_xlfn.IFERROR((X116+Y116),"N/A")</f>
        <v>4419600.38506654</v>
      </c>
      <c r="AA116" s="424"/>
      <c r="AB116" s="639" cm="1">
        <f t="array" ref="AB116">_xlfn.IFERROR(Z116+V116,"N/A")</f>
        <v>13729433.7183999</v>
      </c>
      <c r="AC116" s="639" cm="1">
        <f t="array" ref="AC116">_xlfn.IFERROR(AB116*0.5%,"N/A")</f>
        <v>68647.168591999507</v>
      </c>
      <c r="AD116" s="639" cm="1">
        <f t="array" ref="AD116">_xlfn.IFERROR(AB116*25%,"N/A")</f>
        <v>3432358.42959998</v>
      </c>
      <c r="AE116" s="641" cm="1">
        <f t="array" ref="AE116">IF(B116&gt;0,SUM(AB116:AD116),"N/A")</f>
        <v>17230439.3165919</v>
      </c>
      <c r="AF116" s="639" cm="1">
        <f t="array" ref="AF116">_xlfn.IFERROR(AE116/B116,"N/A")</f>
        <v>8615219.65829595</v>
      </c>
      <c r="AG116" s="424"/>
      <c r="AH116" t="str" s="648" cm="1">
        <f t="array" ref="AH116">IF(B116/VLOOKUP(C112,'Boats Data Sheet 2026'!$C$3:$H$57,6,0)&gt;VLOOKUP(C112,'Allocation OH and Target 2026'!$C$5:$J$23,8,0),IF(SUM(AI114:AI115)=0,AF116,"N/A"),"N/A")</f>
        <v>N/A</v>
      </c>
      <c r="AI116" s="424" cm="1">
        <f t="array" ref="AI116">IF(AH116="N/A",0,1)</f>
        <v>0</v>
      </c>
      <c r="AJ116" t="str" s="640" cm="1">
        <f t="array" ref="AJ116">IF(B116/VLOOKUP(C112,'Boats Data Sheet 2026'!$C$3:$H$57,6,0)&gt;VLOOKUP(C112,'Allocation OH and Target 2026'!$C$5:$J$23,8,0),IF(SUM(AI114:AI115)=0,V116/B116,"N/A"),"N/A")</f>
        <v>N/A</v>
      </c>
      <c r="AK116" s="424" cm="1">
        <f t="array" ref="AK116">IF(AJ116="N/A",0,1)</f>
        <v>0</v>
      </c>
      <c r="AL116" t="str" s="628" cm="1">
        <f t="array" ref="AL116">IF(SUM(1250000+700000)*B116&lt;SUM(AB116:AC116),"NO GO","GO")</f>
        <v>NO GO</v>
      </c>
      <c r="AM116" s="424"/>
      <c r="AN116" s="639"/>
      <c r="AO116" s="639"/>
      <c r="AP116" s="639"/>
      <c r="AQ116" s="645"/>
      <c r="AR116" s="601" cm="1">
        <f t="array" ref="AR116">B116</f>
        <v>2</v>
      </c>
    </row>
    <row r="117" ht="16" customHeight="1">
      <c r="A117" s="12"/>
      <c r="B117" s="646">
        <v>0</v>
      </c>
      <c r="C117" t="str" s="640" cm="1">
        <f t="array" ref="C117">IF(B117&gt;0,IF(VLOOKUP(C112,'Boats Data Sheet 2026'!$C$3:$J$57,8,0)="N/A",0,VLOOKUP(C112,'Boats Data Sheet 2026'!$C$3:$J$57,8,0)),"N/A")</f>
        <v>N/A</v>
      </c>
      <c r="D117" t="str" s="649" cm="1">
        <f t="array" ref="D117">IF(B117&gt;7,2,IF(B117=0,"N/A",1))</f>
        <v>N/A</v>
      </c>
      <c r="E117" t="str" s="640" cm="1">
        <f t="array" ref="E117">_xlfn.IFERROR(SUM('Direct Costs 2026'!$C$4:$C$6)*D117,"N/A")</f>
        <v>N/A</v>
      </c>
      <c r="F117" s="639" cm="1">
        <f t="array" ref="F117">_xlfn.IFERROR('Direct Costs 2026'!$C$43*B117,"N/A")</f>
        <v>0</v>
      </c>
      <c r="G117" t="str" s="640" cm="1">
        <f t="array" ref="G117">IF(B117&gt;0,'Direct Costs 2026'!$C$25,"N/A")</f>
        <v>N/A</v>
      </c>
      <c r="H117" t="str" s="640" cm="1">
        <f t="array" ref="H117">IF(B117&gt;0,('Direct Costs 2026'!$C$19+'Direct Costs 2026'!$C$18*B117),"N/A")</f>
        <v>N/A</v>
      </c>
      <c r="I117" t="str" s="640" cm="1">
        <f t="array" ref="I117">IF(B117&gt;0,SUM('Direct Costs 2026'!$C$20:$C$21),"N/A")</f>
        <v>N/A</v>
      </c>
      <c r="J117" t="str" s="640" cm="1">
        <f t="array" ref="J117">IF(B117&gt;0,'Direct Costs 2026'!$C$14,"N/A")</f>
        <v>N/A</v>
      </c>
      <c r="K117" t="str" s="640" cm="1">
        <f t="array" ref="K117">IF(B117&gt;0,'Direct Costs 2026'!$C$26,"N/A")</f>
        <v>N/A</v>
      </c>
      <c r="L117" t="str" s="640" cm="1">
        <f t="array" ref="L117">IF(B117&gt;0,SUM('Direct Costs 2026'!$C$23:$C$24),"N/A")</f>
        <v>N/A</v>
      </c>
      <c r="M117" t="str" s="640" cm="1">
        <f t="array" ref="M117">IF(B117&gt;0,'Direct Costs 2026'!$C$45*B117,"N/A")</f>
        <v>N/A</v>
      </c>
      <c r="N117" t="str" s="640" cm="1">
        <f t="array" ref="N117">IF($B117&gt;0,'Direct Costs 2026'!$C$29,"N/A")</f>
        <v>N/A</v>
      </c>
      <c r="O117" t="str" s="640" cm="1">
        <f t="array" ref="O117">IF($B117&gt;0,'Direct Costs 2026'!$C$31,"N/A")</f>
        <v>N/A</v>
      </c>
      <c r="P117" t="str" s="640" cm="1">
        <f t="array" ref="P117">IF(B117&gt;0,'Direct Costs 2026'!$C$59*B117,"N/A")</f>
        <v>N/A</v>
      </c>
      <c r="Q117" t="str" s="640" cm="1">
        <f t="array" ref="Q117">IF(B117&gt;0,_xlfn.IFERROR(VLOOKUP(C112,'Boats Data Sheet 2026'!$C$3:$I$57,7,0)*'Direct Costs 2026'!$C$36,"N/A"),"N/A")</f>
        <v>N/A</v>
      </c>
      <c r="R117" s="639"/>
      <c r="S117" t="str" s="640" cm="1">
        <f t="array" ref="S117">IF(B117&gt;0,IF(OR(VLOOKUP(C112,'Boats Data Sheet 2026'!$C$3:$F$57,4,0)="Own",VLOOKUP(C112,'Boats Data Sheet 2026'!$C$3:$F$57,4,0)="Management"),('Direct Costs 2026'!$C$37+'Direct Costs 2026'!$C$39),"N/A"),"N/A")</f>
        <v>N/A</v>
      </c>
      <c r="T117" t="str" s="640" cm="1">
        <f t="array" ref="T117">_xlfn.IFERROR(IF(B117&gt;5,IF(B117&gt;11,IF(B117&gt;15,4,3),2),IF(B117=0,"N/A",1))*SUM('Direct Costs 2026'!$C$67:$C$68),"N/A")</f>
        <v>N/A</v>
      </c>
      <c r="U117" t="str" s="640" cm="1">
        <f t="array" ref="U117">_xlfn.IFERROR('Direct Costs 2026'!$C$27*C117,"N/A")</f>
        <v>N/A</v>
      </c>
      <c r="V117" t="str" s="640" cm="1">
        <f t="array" ref="V117">_xlfn.IFERROR(C117+SUM(E117:U117),"N/A")</f>
        <v>N/A</v>
      </c>
      <c r="W117" s="424"/>
      <c r="X117" t="str" s="640" cm="1">
        <f t="array" ref="X117">IF(B117&gt;0,'Allocation OH and Target 2026'!$E$31,"N/A")</f>
        <v>N/A</v>
      </c>
      <c r="Y117" t="str" s="640" cm="1">
        <f t="array" ref="Y117">IF(B117&gt;0,VLOOKUP(C112,'Allocation OH and Target 2026'!$C$5:$T$23,16,0),"N/A")</f>
        <v>N/A</v>
      </c>
      <c r="Z117" t="str" s="640" cm="1">
        <f t="array" ref="Z117">_xlfn.IFERROR((X117+Y117),"N/A")</f>
        <v>N/A</v>
      </c>
      <c r="AA117" s="424"/>
      <c r="AB117" t="str" s="640" cm="1">
        <f t="array" ref="AB117">_xlfn.IFERROR(Z117+V117,"N/A")</f>
        <v>N/A</v>
      </c>
      <c r="AC117" t="str" s="640" cm="1">
        <f t="array" ref="AC117">_xlfn.IFERROR(AB117*0.5%,"N/A")</f>
        <v>N/A</v>
      </c>
      <c r="AD117" t="str" s="640" cm="1">
        <f t="array" ref="AD117">_xlfn.IFERROR(AB117*25%,"N/A")</f>
        <v>N/A</v>
      </c>
      <c r="AE117" t="str" s="648" cm="1">
        <f t="array" ref="AE117">IF(B117&gt;0,SUM(AB117:AD117),"N/A")</f>
        <v>N/A</v>
      </c>
      <c r="AF117" t="str" s="640" cm="1">
        <f t="array" ref="AF117">_xlfn.IFERROR(AE117/B117,"N/A")</f>
        <v>N/A</v>
      </c>
      <c r="AG117" s="424"/>
      <c r="AH117" t="str" s="648" cm="1">
        <f t="array" ref="AH117">IF(B117/VLOOKUP(C112,'Boats Data Sheet 2026'!$C$3:$H$57,6,0)&gt;VLOOKUP(C112,'Allocation OH and Target 2026'!$C$5:$J$23,8,0),IF(SUM(AI114:AI116)=0,AF117,"N/A"),"N/A")</f>
        <v>N/A</v>
      </c>
      <c r="AI117" s="424" cm="1">
        <f t="array" ref="AI117">IF(AH117="N/A",0,1)</f>
        <v>0</v>
      </c>
      <c r="AJ117" t="str" s="640" cm="1">
        <f t="array" ref="AJ117">IF(B117/VLOOKUP(C112,'Boats Data Sheet 2026'!$C$3:$H$57,6,0)&gt;VLOOKUP(C112,'Allocation OH and Target 2026'!$C$5:$J$23,8,0),IF(SUM(AI114:AI116)=0,V117/B117,"N/A"),"N/A")</f>
        <v>N/A</v>
      </c>
      <c r="AK117" s="424" cm="1">
        <f t="array" ref="AK117">IF(AJ117="N/A",0,1)</f>
        <v>0</v>
      </c>
      <c r="AL117" t="str" s="628" cm="1">
        <f t="array" ref="AL117">IF(SUM(1250000+700000)*B117&lt;SUM(AB117:AC117),"NO GO","GO")</f>
        <v>GO</v>
      </c>
      <c r="AM117" s="424"/>
      <c r="AN117" s="639"/>
      <c r="AO117" s="639"/>
      <c r="AP117" s="639"/>
      <c r="AQ117" s="645"/>
      <c r="AR117" s="601" cm="1">
        <f t="array" ref="AR117">B117</f>
        <v>0</v>
      </c>
    </row>
    <row r="118" ht="9" customHeight="1" hidden="1">
      <c r="A118" s="12"/>
      <c r="B118" s="646">
        <v>0</v>
      </c>
      <c r="C118" t="str" s="640" cm="1">
        <f t="array" ref="C118">IF(B118&gt;0,IF(VLOOKUP(C112,'Boats Data Sheet 2026'!$C$3:$J$57,8,0)="N/A",0,VLOOKUP(C112,'Boats Data Sheet 2026'!$C$3:$J$57,8,0)),"N/A")</f>
        <v>N/A</v>
      </c>
      <c r="D118" t="str" s="649" cm="1">
        <f t="array" ref="D118">IF(B118&gt;7,2,IF(B118=0,"N/A",1))</f>
        <v>N/A</v>
      </c>
      <c r="E118" t="str" s="640" cm="1">
        <f t="array" ref="E118">_xlfn.IFERROR(SUM('Direct Costs 2026'!$C$4:$C$6)*D118,"N/A")</f>
        <v>N/A</v>
      </c>
      <c r="F118" s="639" cm="1">
        <f t="array" ref="F118">_xlfn.IFERROR('Direct Costs 2026'!$C$43*B118,"N/A")</f>
        <v>0</v>
      </c>
      <c r="G118" t="str" s="640" cm="1">
        <f t="array" ref="G118">IF(B118&gt;0,'Direct Costs 2026'!$C$25,"N/A")</f>
        <v>N/A</v>
      </c>
      <c r="H118" t="str" s="640" cm="1">
        <f t="array" ref="H118">IF(B118&gt;0,('Direct Costs 2026'!$C$19+'Direct Costs 2026'!$C$18*B118),"N/A")</f>
        <v>N/A</v>
      </c>
      <c r="I118" t="str" s="640" cm="1">
        <f t="array" ref="I118">IF(B118&gt;0,SUM('Direct Costs 2026'!$C$20:$C$21),"N/A")</f>
        <v>N/A</v>
      </c>
      <c r="J118" t="str" s="640" cm="1">
        <f t="array" ref="J118">IF(B118&gt;0,'Direct Costs 2026'!$C$14,"N/A")</f>
        <v>N/A</v>
      </c>
      <c r="K118" t="str" s="640" cm="1">
        <f t="array" ref="K118">IF(B118&gt;0,'Direct Costs 2026'!$C$26,"N/A")</f>
        <v>N/A</v>
      </c>
      <c r="L118" t="str" s="640" cm="1">
        <f t="array" ref="L118">IF(B118&gt;0,SUM('Direct Costs 2026'!$C$23:$C$24),"N/A")</f>
        <v>N/A</v>
      </c>
      <c r="M118" t="str" s="640" cm="1">
        <f t="array" ref="M118">IF(B118&gt;0,'Direct Costs 2026'!$C$45*B118,"N/A")</f>
        <v>N/A</v>
      </c>
      <c r="N118" t="str" s="640" cm="1">
        <f t="array" ref="N118">IF($B118&gt;0,'Direct Costs 2026'!$C$29,"N/A")</f>
        <v>N/A</v>
      </c>
      <c r="O118" t="str" s="640" cm="1">
        <f t="array" ref="O118">IF($B118&gt;0,'Direct Costs 2026'!$C$31,"N/A")</f>
        <v>N/A</v>
      </c>
      <c r="P118" t="str" s="640" cm="1">
        <f t="array" ref="P118">IF(B118&gt;0,'Direct Costs 2026'!$C$59*B118,"N/A")</f>
        <v>N/A</v>
      </c>
      <c r="Q118" t="str" s="640" cm="1">
        <f t="array" ref="Q118">IF(B118&gt;0,_xlfn.IFERROR(VLOOKUP(C112,'Boats Data Sheet 2026'!$C$3:$I$57,7,0)*'Direct Costs 2026'!$C$36,"N/A"),"N/A")</f>
        <v>N/A</v>
      </c>
      <c r="R118" s="639"/>
      <c r="S118" t="str" s="640" cm="1">
        <f t="array" ref="S118">IF(B118&gt;0,IF(OR(VLOOKUP(C112,'Boats Data Sheet 2026'!$C$3:$F$57,4,0)="Own",VLOOKUP(C112,'Boats Data Sheet 2026'!$C$3:$F$57,4,0)="Management"),('Direct Costs 2026'!$C$37+'Direct Costs 2026'!$C$39),"N/A"),"N/A")</f>
        <v>N/A</v>
      </c>
      <c r="T118" t="str" s="640" cm="1">
        <f t="array" ref="T118">_xlfn.IFERROR(IF(B118&gt;5,IF(B118&gt;11,IF(B118&gt;15,4,3),2),IF(B118=0,"N/A",1))*SUM('Direct Costs 2026'!$C$67:$C$68),"N/A")</f>
        <v>N/A</v>
      </c>
      <c r="U118" t="str" s="640" cm="1">
        <f t="array" ref="U118">_xlfn.IFERROR('Direct Costs 2026'!$C$27*C118,"N/A")</f>
        <v>N/A</v>
      </c>
      <c r="V118" t="str" s="640" cm="1">
        <f t="array" ref="V118">_xlfn.IFERROR(C118+SUM(E118:U118),"N/A")</f>
        <v>N/A</v>
      </c>
      <c r="W118" s="424"/>
      <c r="X118" t="str" s="640" cm="1">
        <f t="array" ref="X118">IF(B118&gt;0,'Allocation OH and Target 2026'!$E$31,"N/A")</f>
        <v>N/A</v>
      </c>
      <c r="Y118" t="str" s="640" cm="1">
        <f t="array" ref="Y118">IF(B118&gt;0,VLOOKUP(C112,'Allocation OH and Target 2026'!$C$5:$T$23,16,0),"N/A")</f>
        <v>N/A</v>
      </c>
      <c r="Z118" t="str" s="640" cm="1">
        <f t="array" ref="Z118">_xlfn.IFERROR((X118+Y118),"N/A")</f>
        <v>N/A</v>
      </c>
      <c r="AA118" s="424"/>
      <c r="AB118" t="str" s="640" cm="1">
        <f t="array" ref="AB118">_xlfn.IFERROR(Z118+V118,"N/A")</f>
        <v>N/A</v>
      </c>
      <c r="AC118" t="str" s="640" cm="1">
        <f t="array" ref="AC118">_xlfn.IFERROR(AB118*0.5%,"N/A")</f>
        <v>N/A</v>
      </c>
      <c r="AD118" t="str" s="640" cm="1">
        <f t="array" ref="AD118">_xlfn.IFERROR(AB118*25%,"N/A")</f>
        <v>N/A</v>
      </c>
      <c r="AE118" t="str" s="648" cm="1">
        <f t="array" ref="AE118">IF(B118&gt;0,SUM(AB118:AD118),"N/A")</f>
        <v>N/A</v>
      </c>
      <c r="AF118" t="str" s="640" cm="1">
        <f t="array" ref="AF118">_xlfn.IFERROR(AE118/B118,"N/A")</f>
        <v>N/A</v>
      </c>
      <c r="AG118" s="424"/>
      <c r="AH118" t="str" s="648" cm="1">
        <f t="array" ref="AH118">IF(B118/VLOOKUP(C112,'Boats Data Sheet 2026'!$C$3:$H$57,6,0)&gt;VLOOKUP(C112,'Allocation OH and Target 2026'!$C$5:$J$23,8,0),IF(SUM(AI114:AI117)=0,AF118,"N/A"),"N/A")</f>
        <v>N/A</v>
      </c>
      <c r="AI118" s="424" cm="1">
        <f t="array" ref="AI118">IF(AH118="N/A",0,1)</f>
        <v>0</v>
      </c>
      <c r="AJ118" t="str" s="640" cm="1">
        <f t="array" ref="AJ118">IF(B118/VLOOKUP(C112,'Boats Data Sheet 2026'!$C$3:$H$57,6,0)&gt;VLOOKUP(C112,'Allocation OH and Target 2026'!$C$5:$J$23,8,0),IF(SUM(AI114:AI117)=0,V118/B118,"N/A"),"N/A")</f>
        <v>N/A</v>
      </c>
      <c r="AK118" s="424" cm="1">
        <f t="array" ref="AK118">IF(AJ118="N/A",0,1)</f>
        <v>0</v>
      </c>
      <c r="AL118" t="str" s="628" cm="1">
        <f t="array" ref="AL118">IF(SUM(1250000+700000)*B118&lt;SUM(AB118:AC118),"NO GO","GO")</f>
        <v>GO</v>
      </c>
      <c r="AM118" s="424"/>
      <c r="AN118" s="639"/>
      <c r="AO118" s="639"/>
      <c r="AP118" s="639"/>
      <c r="AQ118" s="645"/>
      <c r="AR118" s="601" cm="1">
        <f t="array" ref="AR118">B118</f>
        <v>0</v>
      </c>
    </row>
    <row r="119" ht="9" customHeight="1" hidden="1">
      <c r="A119" s="12"/>
      <c r="B119" s="646">
        <v>0</v>
      </c>
      <c r="C119" t="str" s="640" cm="1">
        <f t="array" ref="C119">IF(B119&gt;0,IF(VLOOKUP(C112,'Boats Data Sheet 2026'!$C$3:$J$57,8,0)="N/A",0,VLOOKUP(C112,'Boats Data Sheet 2026'!$C$3:$J$57,8,0)),"N/A")</f>
        <v>N/A</v>
      </c>
      <c r="D119" t="str" s="649" cm="1">
        <f t="array" ref="D119">IF(B119&gt;7,2,IF(B119=0,"N/A",1))</f>
        <v>N/A</v>
      </c>
      <c r="E119" t="str" s="640" cm="1">
        <f t="array" ref="E119">_xlfn.IFERROR(SUM('Direct Costs 2026'!$C$4:$C$6)*D119,"N/A")</f>
        <v>N/A</v>
      </c>
      <c r="F119" s="639" cm="1">
        <f t="array" ref="F119">_xlfn.IFERROR('Direct Costs 2026'!$C$43*B119,"N/A")</f>
        <v>0</v>
      </c>
      <c r="G119" t="str" s="640" cm="1">
        <f t="array" ref="G119">IF(B119&gt;0,'Direct Costs 2026'!$C$25,"N/A")</f>
        <v>N/A</v>
      </c>
      <c r="H119" t="str" s="640" cm="1">
        <f t="array" ref="H119">IF(B119&gt;0,('Direct Costs 2026'!$C$19+'Direct Costs 2026'!$C$18*B119),"N/A")</f>
        <v>N/A</v>
      </c>
      <c r="I119" t="str" s="640" cm="1">
        <f t="array" ref="I119">IF(B119&gt;0,SUM('Direct Costs 2026'!$C$20:$C$21),"N/A")</f>
        <v>N/A</v>
      </c>
      <c r="J119" t="str" s="640" cm="1">
        <f t="array" ref="J119">IF(B119&gt;0,'Direct Costs 2026'!$C$14,"N/A")</f>
        <v>N/A</v>
      </c>
      <c r="K119" t="str" s="640" cm="1">
        <f t="array" ref="K119">IF(B119&gt;0,'Direct Costs 2026'!$C$26,"N/A")</f>
        <v>N/A</v>
      </c>
      <c r="L119" t="str" s="640" cm="1">
        <f t="array" ref="L119">IF(B119&gt;0,SUM('Direct Costs 2026'!$C$23:$C$24),"N/A")</f>
        <v>N/A</v>
      </c>
      <c r="M119" t="str" s="640" cm="1">
        <f t="array" ref="M119">IF(B119&gt;0,'Direct Costs 2026'!$C$45*B119,"N/A")</f>
        <v>N/A</v>
      </c>
      <c r="N119" t="str" s="640" cm="1">
        <f t="array" ref="N119">IF($B119&gt;0,'Direct Costs 2026'!$C$29,"N/A")</f>
        <v>N/A</v>
      </c>
      <c r="O119" t="str" s="640" cm="1">
        <f t="array" ref="O119">IF($B119&gt;0,'Direct Costs 2026'!$C$31,"N/A")</f>
        <v>N/A</v>
      </c>
      <c r="P119" t="str" s="640" cm="1">
        <f t="array" ref="P119">IF(B119&gt;0,'Direct Costs 2026'!$C$59*B119,"N/A")</f>
        <v>N/A</v>
      </c>
      <c r="Q119" t="str" s="640" cm="1">
        <f t="array" ref="Q119">IF(B119&gt;0,_xlfn.IFERROR(VLOOKUP(C112,'Boats Data Sheet 2026'!$C$3:$I$57,7,0)*'Direct Costs 2026'!$C$36,"N/A"),"N/A")</f>
        <v>N/A</v>
      </c>
      <c r="R119" s="639"/>
      <c r="S119" t="str" s="640" cm="1">
        <f t="array" ref="S119">IF(B119&gt;0,IF(OR(VLOOKUP(C112,'Boats Data Sheet 2026'!$C$3:$F$57,4,0)="Own",VLOOKUP(C112,'Boats Data Sheet 2026'!$C$3:$F$57,4,0)="Management"),('Direct Costs 2026'!$C$37+'Direct Costs 2026'!$C$39),"N/A"),"N/A")</f>
        <v>N/A</v>
      </c>
      <c r="T119" t="str" s="640" cm="1">
        <f t="array" ref="T119">_xlfn.IFERROR(IF(B119&gt;5,IF(B119&gt;11,IF(B119&gt;15,4,3),2),IF(B119=0,"N/A",1))*SUM('Direct Costs 2026'!$C$67:$C$68),"N/A")</f>
        <v>N/A</v>
      </c>
      <c r="U119" t="str" s="640" cm="1">
        <f t="array" ref="U119">_xlfn.IFERROR('Direct Costs 2026'!$C$27*C119,"N/A")</f>
        <v>N/A</v>
      </c>
      <c r="V119" t="str" s="640" cm="1">
        <f t="array" ref="V119">_xlfn.IFERROR(C119+SUM(E119:U119),"N/A")</f>
        <v>N/A</v>
      </c>
      <c r="W119" s="424"/>
      <c r="X119" t="str" s="640" cm="1">
        <f t="array" ref="X119">IF(B119&gt;0,'Allocation OH and Target 2026'!$E$31,"N/A")</f>
        <v>N/A</v>
      </c>
      <c r="Y119" t="str" s="640" cm="1">
        <f t="array" ref="Y119">IF(B119&gt;0,VLOOKUP(C112,'Allocation OH and Target 2026'!$C$5:$T$23,16,0),"N/A")</f>
        <v>N/A</v>
      </c>
      <c r="Z119" t="str" s="640" cm="1">
        <f t="array" ref="Z119">_xlfn.IFERROR((X119+Y119),"N/A")</f>
        <v>N/A</v>
      </c>
      <c r="AA119" s="424"/>
      <c r="AB119" t="str" s="640" cm="1">
        <f t="array" ref="AB119">_xlfn.IFERROR(Z119+V119,"N/A")</f>
        <v>N/A</v>
      </c>
      <c r="AC119" t="str" s="640" cm="1">
        <f t="array" ref="AC119">_xlfn.IFERROR(AB119*0.5%,"N/A")</f>
        <v>N/A</v>
      </c>
      <c r="AD119" t="str" s="640" cm="1">
        <f t="array" ref="AD119">_xlfn.IFERROR(AB119*25%,"N/A")</f>
        <v>N/A</v>
      </c>
      <c r="AE119" t="str" s="648" cm="1">
        <f t="array" ref="AE119">IF(B119&gt;0,SUM(AB119:AD119),"N/A")</f>
        <v>N/A</v>
      </c>
      <c r="AF119" t="str" s="640" cm="1">
        <f t="array" ref="AF119">_xlfn.IFERROR(AE119/B119,"N/A")</f>
        <v>N/A</v>
      </c>
      <c r="AG119" s="424"/>
      <c r="AH119" t="str" s="648" cm="1">
        <f t="array" ref="AH119">IF(B119/VLOOKUP(C112,'Boats Data Sheet 2026'!$C$3:$H$57,6,0)&gt;VLOOKUP(C112,'Allocation OH and Target 2026'!$C$5:$J$23,8,0),IF(SUM(AI114:AI118)=0,AF119,"N/A"),"N/A")</f>
        <v>N/A</v>
      </c>
      <c r="AI119" s="424" cm="1">
        <f t="array" ref="AI119">IF(AH119="N/A",0,1)</f>
        <v>0</v>
      </c>
      <c r="AJ119" t="str" s="640" cm="1">
        <f t="array" ref="AJ119">IF(B119/VLOOKUP(C112,'Boats Data Sheet 2026'!$C$3:$H$57,6,0)&gt;VLOOKUP(C112,'Allocation OH and Target 2026'!$C$5:$J$23,8,0),IF(SUM(AI114:AI118)=0,V119/B119,"N/A"),"N/A")</f>
        <v>N/A</v>
      </c>
      <c r="AK119" s="424" cm="1">
        <f t="array" ref="AK119">IF(AJ119="N/A",0,1)</f>
        <v>0</v>
      </c>
      <c r="AL119" t="str" s="628" cm="1">
        <f t="array" ref="AL119">IF(SUM(1250000+700000)*B119&lt;SUM(AB119:AC119),"NO GO","GO")</f>
        <v>GO</v>
      </c>
      <c r="AM119" s="424"/>
      <c r="AN119" s="639"/>
      <c r="AO119" s="639"/>
      <c r="AP119" s="639"/>
      <c r="AQ119" s="645"/>
      <c r="AR119" s="601" cm="1">
        <f t="array" ref="AR119">B119</f>
        <v>0</v>
      </c>
    </row>
    <row r="120" ht="9" customHeight="1" hidden="1">
      <c r="A120" s="12"/>
      <c r="B120" s="646">
        <v>0</v>
      </c>
      <c r="C120" t="str" s="640" cm="1">
        <f t="array" ref="C120">IF(B120&gt;0,IF(VLOOKUP(C112,'Boats Data Sheet 2026'!$C$3:$J$57,8,0)="N/A",0,VLOOKUP(C112,'Boats Data Sheet 2026'!$C$3:$J$57,8,0)),"N/A")</f>
        <v>N/A</v>
      </c>
      <c r="D120" t="str" s="649" cm="1">
        <f t="array" ref="D120">IF(B120&gt;7,2,IF(B120=0,"N/A",1))</f>
        <v>N/A</v>
      </c>
      <c r="E120" t="str" s="640" cm="1">
        <f t="array" ref="E120">_xlfn.IFERROR(SUM('Direct Costs 2026'!$C$4:$C$6)*D120,"N/A")</f>
        <v>N/A</v>
      </c>
      <c r="F120" s="639" cm="1">
        <f t="array" ref="F120">_xlfn.IFERROR('Direct Costs 2026'!$C$43*B120,"N/A")</f>
        <v>0</v>
      </c>
      <c r="G120" t="str" s="640" cm="1">
        <f t="array" ref="G120">IF(B120&gt;0,'Direct Costs 2026'!$C$25,"N/A")</f>
        <v>N/A</v>
      </c>
      <c r="H120" t="str" s="640" cm="1">
        <f t="array" ref="H120">IF(B120&gt;0,('Direct Costs 2026'!$C$19+'Direct Costs 2026'!$C$18*B120),"N/A")</f>
        <v>N/A</v>
      </c>
      <c r="I120" t="str" s="640" cm="1">
        <f t="array" ref="I120">IF(B120&gt;0,SUM('Direct Costs 2026'!$C$20:$C$21),"N/A")</f>
        <v>N/A</v>
      </c>
      <c r="J120" t="str" s="640" cm="1">
        <f t="array" ref="J120">IF(B120&gt;0,'Direct Costs 2026'!$C$14,"N/A")</f>
        <v>N/A</v>
      </c>
      <c r="K120" t="str" s="640" cm="1">
        <f t="array" ref="K120">IF(B120&gt;0,'Direct Costs 2026'!$C$26,"N/A")</f>
        <v>N/A</v>
      </c>
      <c r="L120" t="str" s="640" cm="1">
        <f t="array" ref="L120">IF(B120&gt;0,SUM('Direct Costs 2026'!$C$23:$C$24),"N/A")</f>
        <v>N/A</v>
      </c>
      <c r="M120" t="str" s="640" cm="1">
        <f t="array" ref="M120">IF(B120&gt;0,'Direct Costs 2026'!$C$45*B120,"N/A")</f>
        <v>N/A</v>
      </c>
      <c r="N120" t="str" s="640" cm="1">
        <f t="array" ref="N120">IF($B120&gt;0,'Direct Costs 2026'!$C$29,"N/A")</f>
        <v>N/A</v>
      </c>
      <c r="O120" t="str" s="640" cm="1">
        <f t="array" ref="O120">IF($B120&gt;0,'Direct Costs 2026'!$C$31,"N/A")</f>
        <v>N/A</v>
      </c>
      <c r="P120" t="str" s="640" cm="1">
        <f t="array" ref="P120">IF(B120&gt;0,'Direct Costs 2026'!$C$59*B120,"N/A")</f>
        <v>N/A</v>
      </c>
      <c r="Q120" t="str" s="640" cm="1">
        <f t="array" ref="Q120">IF(B120&gt;0,_xlfn.IFERROR(VLOOKUP(C112,'Boats Data Sheet 2026'!$C$3:$I$57,7,0)*'Direct Costs 2026'!$C$36,"N/A"),"N/A")</f>
        <v>N/A</v>
      </c>
      <c r="R120" s="639"/>
      <c r="S120" t="str" s="640" cm="1">
        <f t="array" ref="S120">IF(B120&gt;0,IF(OR(VLOOKUP(C112,'Boats Data Sheet 2026'!$C$3:$F$57,4,0)="Own",VLOOKUP(C112,'Boats Data Sheet 2026'!$C$3:$F$57,4,0)="Management"),('Direct Costs 2026'!$C$37+'Direct Costs 2026'!$C$39),"N/A"),"N/A")</f>
        <v>N/A</v>
      </c>
      <c r="T120" t="str" s="640" cm="1">
        <f t="array" ref="T120">_xlfn.IFERROR(IF(B120&gt;5,IF(B120&gt;11,IF(B120&gt;15,4,3),2),IF(B120=0,"N/A",1))*SUM('Direct Costs 2026'!$C$67:$C$68),"N/A")</f>
        <v>N/A</v>
      </c>
      <c r="U120" t="str" s="640" cm="1">
        <f t="array" ref="U120">_xlfn.IFERROR('Direct Costs 2026'!$C$27*C120,"N/A")</f>
        <v>N/A</v>
      </c>
      <c r="V120" t="str" s="640" cm="1">
        <f t="array" ref="V120">_xlfn.IFERROR(C120+SUM(E120:U120),"N/A")</f>
        <v>N/A</v>
      </c>
      <c r="W120" s="424"/>
      <c r="X120" t="str" s="640" cm="1">
        <f t="array" ref="X120">IF(B120&gt;0,'Allocation OH and Target 2026'!$E$31,"N/A")</f>
        <v>N/A</v>
      </c>
      <c r="Y120" t="str" s="640" cm="1">
        <f t="array" ref="Y120">IF(B120&gt;0,VLOOKUP(C112,'Allocation OH and Target 2026'!$C$5:$T$23,16,0),"N/A")</f>
        <v>N/A</v>
      </c>
      <c r="Z120" t="str" s="640" cm="1">
        <f t="array" ref="Z120">_xlfn.IFERROR((X120+Y120),"N/A")</f>
        <v>N/A</v>
      </c>
      <c r="AA120" s="424"/>
      <c r="AB120" t="str" s="640" cm="1">
        <f t="array" ref="AB120">_xlfn.IFERROR(Z120+V120,"N/A")</f>
        <v>N/A</v>
      </c>
      <c r="AC120" t="str" s="640" cm="1">
        <f t="array" ref="AC120">_xlfn.IFERROR(AB120*0.5%,"N/A")</f>
        <v>N/A</v>
      </c>
      <c r="AD120" t="str" s="640" cm="1">
        <f t="array" ref="AD120">_xlfn.IFERROR(AB120*25%,"N/A")</f>
        <v>N/A</v>
      </c>
      <c r="AE120" t="str" s="648" cm="1">
        <f t="array" ref="AE120">IF(B120&gt;0,SUM(AB120:AD120),"N/A")</f>
        <v>N/A</v>
      </c>
      <c r="AF120" t="str" s="640" cm="1">
        <f t="array" ref="AF120">_xlfn.IFERROR(AE120/B120,"N/A")</f>
        <v>N/A</v>
      </c>
      <c r="AG120" s="424"/>
      <c r="AH120" t="str" s="648" cm="1">
        <f t="array" ref="AH120">IF(B120/VLOOKUP(C112,'Boats Data Sheet 2026'!$C$3:$H$57,6,0)&gt;VLOOKUP(C112,'Allocation OH and Target 2026'!$C$5:$J$23,8,0),IF(SUM(AI114:AI119)=0,AF120,"N/A"),"N/A")</f>
        <v>N/A</v>
      </c>
      <c r="AI120" s="424" cm="1">
        <f t="array" ref="AI120">IF(AH120="N/A",0,1)</f>
        <v>0</v>
      </c>
      <c r="AJ120" t="str" s="640" cm="1">
        <f t="array" ref="AJ120">IF(B120/VLOOKUP(C112,'Boats Data Sheet 2026'!$C$3:$H$57,6,0)&gt;VLOOKUP(C112,'Allocation OH and Target 2026'!$C$5:$J$23,8,0),IF(SUM(AI114:AI119)=0,V120/B120,"N/A"),"N/A")</f>
        <v>N/A</v>
      </c>
      <c r="AK120" s="424" cm="1">
        <f t="array" ref="AK120">IF(AJ120="N/A",0,1)</f>
        <v>0</v>
      </c>
      <c r="AL120" t="str" s="628" cm="1">
        <f t="array" ref="AL120">IF(SUM(1250000+700000)*B120&lt;SUM(AB120:AC120),"NO GO","GO")</f>
        <v>GO</v>
      </c>
      <c r="AM120" s="424"/>
      <c r="AN120" s="639"/>
      <c r="AO120" s="639"/>
      <c r="AP120" s="639"/>
      <c r="AQ120" s="645"/>
      <c r="AR120" s="601" cm="1">
        <f t="array" ref="AR120">B120</f>
        <v>0</v>
      </c>
    </row>
    <row r="121" ht="9" customHeight="1" hidden="1">
      <c r="A121" s="12"/>
      <c r="B121" s="646">
        <v>0</v>
      </c>
      <c r="C121" t="str" s="640" cm="1">
        <f t="array" ref="C121">IF(B121&gt;0,IF(VLOOKUP(C112,'Boats Data Sheet 2026'!$C$3:$J$57,8,0)="N/A",0,VLOOKUP(C112,'Boats Data Sheet 2026'!$C$3:$J$57,8,0)),"N/A")</f>
        <v>N/A</v>
      </c>
      <c r="D121" t="str" s="649" cm="1">
        <f t="array" ref="D121">IF(B121&gt;7,2,IF(B121=0,"N/A",1))</f>
        <v>N/A</v>
      </c>
      <c r="E121" t="str" s="640" cm="1">
        <f t="array" ref="E121">_xlfn.IFERROR(SUM('Direct Costs 2026'!$C$4:$C$6)*D121,"N/A")</f>
        <v>N/A</v>
      </c>
      <c r="F121" s="639" cm="1">
        <f t="array" ref="F121">_xlfn.IFERROR('Direct Costs 2026'!$C$43*B121,"N/A")</f>
        <v>0</v>
      </c>
      <c r="G121" t="str" s="640" cm="1">
        <f t="array" ref="G121">IF(B121&gt;0,'Direct Costs 2026'!$C$25,"N/A")</f>
        <v>N/A</v>
      </c>
      <c r="H121" t="str" s="640" cm="1">
        <f t="array" ref="H121">IF(B121&gt;0,('Direct Costs 2026'!$C$19+'Direct Costs 2026'!$C$18*B121),"N/A")</f>
        <v>N/A</v>
      </c>
      <c r="I121" t="str" s="640" cm="1">
        <f t="array" ref="I121">IF(B121&gt;0,SUM('Direct Costs 2026'!$C$20:$C$21),"N/A")</f>
        <v>N/A</v>
      </c>
      <c r="J121" t="str" s="640" cm="1">
        <f t="array" ref="J121">IF(B121&gt;0,'Direct Costs 2026'!$C$14,"N/A")</f>
        <v>N/A</v>
      </c>
      <c r="K121" t="str" s="640" cm="1">
        <f t="array" ref="K121">IF(B121&gt;0,'Direct Costs 2026'!$C$26,"N/A")</f>
        <v>N/A</v>
      </c>
      <c r="L121" t="str" s="640" cm="1">
        <f t="array" ref="L121">IF(B121&gt;0,SUM('Direct Costs 2026'!$C$23:$C$24),"N/A")</f>
        <v>N/A</v>
      </c>
      <c r="M121" t="str" s="640" cm="1">
        <f t="array" ref="M121">IF(B121&gt;0,'Direct Costs 2026'!$C$45*B121,"N/A")</f>
        <v>N/A</v>
      </c>
      <c r="N121" t="str" s="640" cm="1">
        <f t="array" ref="N121">IF($B121&gt;0,'Direct Costs 2026'!$C$29,"N/A")</f>
        <v>N/A</v>
      </c>
      <c r="O121" t="str" s="640" cm="1">
        <f t="array" ref="O121">IF($B121&gt;0,'Direct Costs 2026'!$C$31,"N/A")</f>
        <v>N/A</v>
      </c>
      <c r="P121" t="str" s="640" cm="1">
        <f t="array" ref="P121">IF(B121&gt;0,'Direct Costs 2026'!$C$59*B121,"N/A")</f>
        <v>N/A</v>
      </c>
      <c r="Q121" t="str" s="640" cm="1">
        <f t="array" ref="Q121">IF(B121&gt;0,_xlfn.IFERROR(VLOOKUP(C112,'Boats Data Sheet 2026'!$C$3:$I$57,7,0)*'Direct Costs 2026'!$C$36,"N/A"),"N/A")</f>
        <v>N/A</v>
      </c>
      <c r="R121" s="639"/>
      <c r="S121" t="str" s="640" cm="1">
        <f t="array" ref="S121">IF(B121&gt;0,IF(OR(VLOOKUP(C112,'Boats Data Sheet 2026'!$C$3:$F$57,4,0)="Own",VLOOKUP(C112,'Boats Data Sheet 2026'!$C$3:$F$57,4,0)="Management"),('Direct Costs 2026'!$C$37+'Direct Costs 2026'!$C$39),"N/A"),"N/A")</f>
        <v>N/A</v>
      </c>
      <c r="T121" t="str" s="640" cm="1">
        <f t="array" ref="T121">_xlfn.IFERROR(IF(B121&gt;5,IF(B121&gt;11,IF(B121&gt;15,4,3),2),IF(B121=0,"N/A",1))*SUM('Direct Costs 2026'!$C$67:$C$68),"N/A")</f>
        <v>N/A</v>
      </c>
      <c r="U121" t="str" s="640" cm="1">
        <f t="array" ref="U121">_xlfn.IFERROR('Direct Costs 2026'!$C$27*C121,"N/A")</f>
        <v>N/A</v>
      </c>
      <c r="V121" t="str" s="640" cm="1">
        <f t="array" ref="V121">_xlfn.IFERROR(C121+SUM(E121:U121),"N/A")</f>
        <v>N/A</v>
      </c>
      <c r="W121" s="424"/>
      <c r="X121" t="str" s="640" cm="1">
        <f t="array" ref="X121">IF(B121&gt;0,'Allocation OH and Target 2026'!$E$31,"N/A")</f>
        <v>N/A</v>
      </c>
      <c r="Y121" t="str" s="640" cm="1">
        <f t="array" ref="Y121">IF(B121&gt;0,VLOOKUP(C112,'Allocation OH and Target 2026'!$C$5:$T$23,16,0),"N/A")</f>
        <v>N/A</v>
      </c>
      <c r="Z121" t="str" s="640" cm="1">
        <f t="array" ref="Z121">_xlfn.IFERROR((X121+Y121),"N/A")</f>
        <v>N/A</v>
      </c>
      <c r="AA121" s="424"/>
      <c r="AB121" t="str" s="640" cm="1">
        <f t="array" ref="AB121">_xlfn.IFERROR(Z121+V121,"N/A")</f>
        <v>N/A</v>
      </c>
      <c r="AC121" t="str" s="640" cm="1">
        <f t="array" ref="AC121">_xlfn.IFERROR(AB121*0.5%,"N/A")</f>
        <v>N/A</v>
      </c>
      <c r="AD121" t="str" s="640" cm="1">
        <f t="array" ref="AD121">_xlfn.IFERROR(AB121*25%,"N/A")</f>
        <v>N/A</v>
      </c>
      <c r="AE121" t="str" s="648" cm="1">
        <f t="array" ref="AE121">IF(B121&gt;0,SUM(AB121:AD121),"N/A")</f>
        <v>N/A</v>
      </c>
      <c r="AF121" t="str" s="640" cm="1">
        <f t="array" ref="AF121">_xlfn.IFERROR(AE121/B121,"N/A")</f>
        <v>N/A</v>
      </c>
      <c r="AG121" s="424"/>
      <c r="AH121" t="str" s="648" cm="1">
        <f t="array" ref="AH121">IF(B121/VLOOKUP(C112,'Boats Data Sheet 2026'!$C$3:$H$57,6,0)&gt;VLOOKUP(C112,'Allocation OH and Target 2026'!$C$5:$J$23,8,0),IF(SUM(AI114:AI120)=0,AF121,"N/A"),"N/A")</f>
        <v>N/A</v>
      </c>
      <c r="AI121" s="424" cm="1">
        <f t="array" ref="AI121">IF(AH121="N/A",0,1)</f>
        <v>0</v>
      </c>
      <c r="AJ121" t="str" s="640" cm="1">
        <f t="array" ref="AJ121">IF(B121/VLOOKUP(C112,'Boats Data Sheet 2026'!$C$3:$H$57,6,0)&gt;VLOOKUP(C112,'Allocation OH and Target 2026'!$C$5:$J$23,8,0),IF(SUM(AI114:AI120)=0,V121/B121,"N/A"),"N/A")</f>
        <v>N/A</v>
      </c>
      <c r="AK121" s="424" cm="1">
        <f t="array" ref="AK121">IF(AJ121="N/A",0,1)</f>
        <v>0</v>
      </c>
      <c r="AL121" t="str" s="628" cm="1">
        <f t="array" ref="AL121">IF(SUM(1250000+700000)*B121&lt;SUM(AB121:AC121),"NO GO","GO")</f>
        <v>GO</v>
      </c>
      <c r="AM121" s="424"/>
      <c r="AN121" s="639"/>
      <c r="AO121" s="639"/>
      <c r="AP121" s="639"/>
      <c r="AQ121" s="645"/>
      <c r="AR121" s="601" cm="1">
        <f t="array" ref="AR121">B121</f>
        <v>0</v>
      </c>
    </row>
    <row r="122" ht="9" customHeight="1" hidden="1">
      <c r="A122" s="12"/>
      <c r="B122" s="646">
        <v>0</v>
      </c>
      <c r="C122" t="str" s="640" cm="1">
        <f t="array" ref="C122">IF(B122&gt;0,IF(VLOOKUP(C112,'Boats Data Sheet 2026'!$C$3:$J$57,8,0)="N/A",0,VLOOKUP(C112,'Boats Data Sheet 2026'!$C$3:$J$57,8,0)),"N/A")</f>
        <v>N/A</v>
      </c>
      <c r="D122" t="str" s="649" cm="1">
        <f t="array" ref="D122">IF(B122&gt;7,2,IF(B122=0,"N/A",1))</f>
        <v>N/A</v>
      </c>
      <c r="E122" t="str" s="640" cm="1">
        <f t="array" ref="E122">_xlfn.IFERROR(SUM('Direct Costs 2026'!$C$4:$C$6)*D122,"N/A")</f>
        <v>N/A</v>
      </c>
      <c r="F122" s="639" cm="1">
        <f t="array" ref="F122">_xlfn.IFERROR('Direct Costs 2026'!$C$43*B122,"N/A")</f>
        <v>0</v>
      </c>
      <c r="G122" t="str" s="640" cm="1">
        <f t="array" ref="G122">IF(B122&gt;0,'Direct Costs 2026'!$C$25,"N/A")</f>
        <v>N/A</v>
      </c>
      <c r="H122" t="str" s="640" cm="1">
        <f t="array" ref="H122">IF(B122&gt;0,('Direct Costs 2026'!$C$19+'Direct Costs 2026'!$C$18*B122),"N/A")</f>
        <v>N/A</v>
      </c>
      <c r="I122" t="str" s="640" cm="1">
        <f t="array" ref="I122">IF(B122&gt;0,SUM('Direct Costs 2026'!$C$20:$C$21),"N/A")</f>
        <v>N/A</v>
      </c>
      <c r="J122" t="str" s="640" cm="1">
        <f t="array" ref="J122">IF(B122&gt;0,'Direct Costs 2026'!$C$14,"N/A")</f>
        <v>N/A</v>
      </c>
      <c r="K122" t="str" s="640" cm="1">
        <f t="array" ref="K122">IF(B122&gt;0,'Direct Costs 2026'!$C$26,"N/A")</f>
        <v>N/A</v>
      </c>
      <c r="L122" t="str" s="640" cm="1">
        <f t="array" ref="L122">IF(B122&gt;0,SUM('Direct Costs 2026'!$C$23:$C$24),"N/A")</f>
        <v>N/A</v>
      </c>
      <c r="M122" t="str" s="640" cm="1">
        <f t="array" ref="M122">IF(B122&gt;0,'Direct Costs 2026'!$C$45*B122,"N/A")</f>
        <v>N/A</v>
      </c>
      <c r="N122" t="str" s="640" cm="1">
        <f t="array" ref="N122">IF($B122&gt;0,'Direct Costs 2026'!$C$29,"N/A")</f>
        <v>N/A</v>
      </c>
      <c r="O122" t="str" s="640" cm="1">
        <f t="array" ref="O122">IF($B122&gt;0,'Direct Costs 2026'!$C$31,"N/A")</f>
        <v>N/A</v>
      </c>
      <c r="P122" t="str" s="640" cm="1">
        <f t="array" ref="P122">IF(B122&gt;0,'Direct Costs 2026'!$C$59*B122,"N/A")</f>
        <v>N/A</v>
      </c>
      <c r="Q122" t="str" s="640" cm="1">
        <f t="array" ref="Q122">IF(B122&gt;0,_xlfn.IFERROR(VLOOKUP(C112,'Boats Data Sheet 2026'!$C$3:$I$57,7,0)*'Direct Costs 2026'!$C$36,"N/A"),"N/A")</f>
        <v>N/A</v>
      </c>
      <c r="R122" s="639"/>
      <c r="S122" t="str" s="640" cm="1">
        <f t="array" ref="S122">IF(B122&gt;0,IF(OR(VLOOKUP(C112,'Boats Data Sheet 2026'!$C$3:$F$57,4,0)="Own",VLOOKUP(C112,'Boats Data Sheet 2026'!$C$3:$F$57,4,0)="Management"),('Direct Costs 2026'!$C$37+'Direct Costs 2026'!$C$39),"N/A"),"N/A")</f>
        <v>N/A</v>
      </c>
      <c r="T122" t="str" s="640" cm="1">
        <f t="array" ref="T122">_xlfn.IFERROR(IF(B122&gt;5,IF(B122&gt;11,IF(B122&gt;15,4,3),2),IF(B122=0,"N/A",1))*SUM('Direct Costs 2026'!$C$67:$C$68),"N/A")</f>
        <v>N/A</v>
      </c>
      <c r="U122" t="str" s="640" cm="1">
        <f t="array" ref="U122">_xlfn.IFERROR('Direct Costs 2026'!$C$27*C122,"N/A")</f>
        <v>N/A</v>
      </c>
      <c r="V122" t="str" s="640" cm="1">
        <f t="array" ref="V122">_xlfn.IFERROR(C122+SUM(E122:U122),"N/A")</f>
        <v>N/A</v>
      </c>
      <c r="W122" s="424"/>
      <c r="X122" t="str" s="640" cm="1">
        <f t="array" ref="X122">IF(B122&gt;0,'Allocation OH and Target 2026'!$E$31,"N/A")</f>
        <v>N/A</v>
      </c>
      <c r="Y122" t="str" s="640" cm="1">
        <f t="array" ref="Y122">IF(B122&gt;0,VLOOKUP(C112,'Allocation OH and Target 2026'!$C$5:$T$23,16,0),"N/A")</f>
        <v>N/A</v>
      </c>
      <c r="Z122" t="str" s="640" cm="1">
        <f t="array" ref="Z122">_xlfn.IFERROR((X122+Y122),"N/A")</f>
        <v>N/A</v>
      </c>
      <c r="AA122" s="424"/>
      <c r="AB122" t="str" s="640" cm="1">
        <f t="array" ref="AB122">_xlfn.IFERROR(Z122+V122,"N/A")</f>
        <v>N/A</v>
      </c>
      <c r="AC122" t="str" s="640" cm="1">
        <f t="array" ref="AC122">_xlfn.IFERROR(AB122*0.5%,"N/A")</f>
        <v>N/A</v>
      </c>
      <c r="AD122" t="str" s="640" cm="1">
        <f t="array" ref="AD122">_xlfn.IFERROR(AB122*25%,"N/A")</f>
        <v>N/A</v>
      </c>
      <c r="AE122" t="str" s="648" cm="1">
        <f t="array" ref="AE122">IF(B122&gt;0,SUM(AB122:AD122),"N/A")</f>
        <v>N/A</v>
      </c>
      <c r="AF122" t="str" s="640" cm="1">
        <f t="array" ref="AF122">_xlfn.IFERROR(AE122/B122,"N/A")</f>
        <v>N/A</v>
      </c>
      <c r="AG122" s="424"/>
      <c r="AH122" t="str" s="648" cm="1">
        <f t="array" ref="AH122">IF(B122/VLOOKUP(C112,'Boats Data Sheet 2026'!$C$3:$H$57,6,0)&gt;VLOOKUP(C112,'Allocation OH and Target 2026'!$C$5:$J$23,8,0),IF(SUM(AI114:AI121)=0,AF122,"N/A"),"N/A")</f>
        <v>N/A</v>
      </c>
      <c r="AI122" s="424" cm="1">
        <f t="array" ref="AI122">IF(AH122="N/A",0,1)</f>
        <v>0</v>
      </c>
      <c r="AJ122" t="str" s="640" cm="1">
        <f t="array" ref="AJ122">IF(B122/VLOOKUP(C112,'Boats Data Sheet 2026'!$C$3:$H$57,6,0)&gt;VLOOKUP(C112,'Allocation OH and Target 2026'!$C$5:$J$23,8,0),IF(SUM(AI114:AI121)=0,V122/B122,"N/A"),"N/A")</f>
        <v>N/A</v>
      </c>
      <c r="AK122" s="424" cm="1">
        <f t="array" ref="AK122">IF(AJ122="N/A",0,1)</f>
        <v>0</v>
      </c>
      <c r="AL122" t="str" s="628" cm="1">
        <f t="array" ref="AL122">IF(SUM(1250000+700000)*B122&lt;SUM(AB122:AC122),"NO GO","GO")</f>
        <v>GO</v>
      </c>
      <c r="AM122" s="424"/>
      <c r="AN122" s="639"/>
      <c r="AO122" s="639"/>
      <c r="AP122" s="639"/>
      <c r="AQ122" s="645"/>
      <c r="AR122" s="601" cm="1">
        <f t="array" ref="AR122">B122</f>
        <v>0</v>
      </c>
    </row>
    <row r="123" ht="9" customHeight="1" hidden="1">
      <c r="A123" s="12"/>
      <c r="B123" s="646">
        <v>0</v>
      </c>
      <c r="C123" t="str" s="640" cm="1">
        <f t="array" ref="C123">IF(B123&gt;0,IF(VLOOKUP(C112,'Boats Data Sheet 2026'!$C$3:$J$57,8,0)="N/A",0,VLOOKUP(C112,'Boats Data Sheet 2026'!$C$3:$J$57,8,0)),"N/A")</f>
        <v>N/A</v>
      </c>
      <c r="D123" t="str" s="649" cm="1">
        <f t="array" ref="D123">IF(B123&gt;7,2,IF(B123=0,"N/A",1))</f>
        <v>N/A</v>
      </c>
      <c r="E123" t="str" s="640" cm="1">
        <f t="array" ref="E123">_xlfn.IFERROR(SUM('Direct Costs 2026'!$C$4:$C$6)*D123,"N/A")</f>
        <v>N/A</v>
      </c>
      <c r="F123" s="639" cm="1">
        <f t="array" ref="F123">_xlfn.IFERROR('Direct Costs 2026'!$C$43*B123,"N/A")</f>
        <v>0</v>
      </c>
      <c r="G123" t="str" s="640" cm="1">
        <f t="array" ref="G123">IF(B123&gt;0,'Direct Costs 2026'!$C$25,"N/A")</f>
        <v>N/A</v>
      </c>
      <c r="H123" t="str" s="640" cm="1">
        <f t="array" ref="H123">IF(B123&gt;0,('Direct Costs 2026'!$C$19+'Direct Costs 2026'!$C$18*B123),"N/A")</f>
        <v>N/A</v>
      </c>
      <c r="I123" t="str" s="640" cm="1">
        <f t="array" ref="I123">IF(B123&gt;0,SUM('Direct Costs 2026'!$C$20:$C$21),"N/A")</f>
        <v>N/A</v>
      </c>
      <c r="J123" t="str" s="640" cm="1">
        <f t="array" ref="J123">IF(B123&gt;0,'Direct Costs 2026'!$C$14,"N/A")</f>
        <v>N/A</v>
      </c>
      <c r="K123" t="str" s="640" cm="1">
        <f t="array" ref="K123">IF(B123&gt;0,'Direct Costs 2026'!$C$26,"N/A")</f>
        <v>N/A</v>
      </c>
      <c r="L123" t="str" s="640" cm="1">
        <f t="array" ref="L123">IF(B123&gt;0,SUM('Direct Costs 2026'!$C$23:$C$24),"N/A")</f>
        <v>N/A</v>
      </c>
      <c r="M123" t="str" s="640" cm="1">
        <f t="array" ref="M123">IF(B123&gt;0,'Direct Costs 2026'!$C$45*B123,"N/A")</f>
        <v>N/A</v>
      </c>
      <c r="N123" t="str" s="640" cm="1">
        <f t="array" ref="N123">IF($B123&gt;0,'Direct Costs 2026'!$C$29,"N/A")</f>
        <v>N/A</v>
      </c>
      <c r="O123" t="str" s="640" cm="1">
        <f t="array" ref="O123">IF($B123&gt;0,'Direct Costs 2026'!$C$31,"N/A")</f>
        <v>N/A</v>
      </c>
      <c r="P123" t="str" s="640" cm="1">
        <f t="array" ref="P123">IF(B123&gt;0,'Direct Costs 2026'!$C$59*B123,"N/A")</f>
        <v>N/A</v>
      </c>
      <c r="Q123" t="str" s="640" cm="1">
        <f t="array" ref="Q123">IF(B123&gt;0,_xlfn.IFERROR(VLOOKUP(C112,'Boats Data Sheet 2026'!$C$3:$I$57,7,0)*'Direct Costs 2026'!$C$36,"N/A"),"N/A")</f>
        <v>N/A</v>
      </c>
      <c r="R123" s="639"/>
      <c r="S123" t="str" s="640" cm="1">
        <f t="array" ref="S123">IF(B123&gt;0,IF(OR(VLOOKUP(C112,'Boats Data Sheet 2026'!$C$3:$F$57,4,0)="Own",VLOOKUP(C112,'Boats Data Sheet 2026'!$C$3:$F$57,4,0)="Management"),('Direct Costs 2026'!$C$37+'Direct Costs 2026'!$C$39),"N/A"),"N/A")</f>
        <v>N/A</v>
      </c>
      <c r="T123" t="str" s="640" cm="1">
        <f t="array" ref="T123">_xlfn.IFERROR(IF(B123&gt;5,IF(B123&gt;11,IF(B123&gt;15,4,3),2),IF(B123=0,"N/A",1))*SUM('Direct Costs 2026'!$C$67:$C$68),"N/A")</f>
        <v>N/A</v>
      </c>
      <c r="U123" t="str" s="640" cm="1">
        <f t="array" ref="U123">_xlfn.IFERROR('Direct Costs 2026'!$C$27*C123,"N/A")</f>
        <v>N/A</v>
      </c>
      <c r="V123" t="str" s="640" cm="1">
        <f t="array" ref="V123">_xlfn.IFERROR(C123+SUM(E123:U123),"N/A")</f>
        <v>N/A</v>
      </c>
      <c r="W123" s="424"/>
      <c r="X123" t="str" s="640" cm="1">
        <f t="array" ref="X123">IF(B123&gt;0,'Allocation OH and Target 2026'!$E$31,"N/A")</f>
        <v>N/A</v>
      </c>
      <c r="Y123" t="str" s="640" cm="1">
        <f t="array" ref="Y123">IF(B123&gt;0,VLOOKUP(C112,'Allocation OH and Target 2026'!$C$5:$T$23,16,0),"N/A")</f>
        <v>N/A</v>
      </c>
      <c r="Z123" t="str" s="640" cm="1">
        <f t="array" ref="Z123">_xlfn.IFERROR((X123+Y123),"N/A")</f>
        <v>N/A</v>
      </c>
      <c r="AA123" s="424"/>
      <c r="AB123" t="str" s="640" cm="1">
        <f t="array" ref="AB123">_xlfn.IFERROR(Z123+V123,"N/A")</f>
        <v>N/A</v>
      </c>
      <c r="AC123" t="str" s="640" cm="1">
        <f t="array" ref="AC123">_xlfn.IFERROR(AB123*0.5%,"N/A")</f>
        <v>N/A</v>
      </c>
      <c r="AD123" t="str" s="640" cm="1">
        <f t="array" ref="AD123">_xlfn.IFERROR(AB123*25%,"N/A")</f>
        <v>N/A</v>
      </c>
      <c r="AE123" t="str" s="648" cm="1">
        <f t="array" ref="AE123">IF(B123&gt;0,SUM(AB123:AD123),"N/A")</f>
        <v>N/A</v>
      </c>
      <c r="AF123" t="str" s="640" cm="1">
        <f t="array" ref="AF123">_xlfn.IFERROR(AE123/B123,"N/A")</f>
        <v>N/A</v>
      </c>
      <c r="AG123" s="424"/>
      <c r="AH123" t="str" s="648" cm="1">
        <f t="array" ref="AH123">IF(B123/VLOOKUP(C112,'Boats Data Sheet 2026'!$C$3:$H$57,6,0)&gt;VLOOKUP(C112,'Allocation OH and Target 2026'!$C$5:$J$23,8,0),IF(SUM(AI114:AI122)=0,AF123,"N/A"),"N/A")</f>
        <v>N/A</v>
      </c>
      <c r="AI123" s="424" cm="1">
        <f t="array" ref="AI123">IF(AH123="N/A",0,1)</f>
        <v>0</v>
      </c>
      <c r="AJ123" t="str" s="640" cm="1">
        <f t="array" ref="AJ123">IF(B123/VLOOKUP(C112,'Boats Data Sheet 2026'!$C$3:$H$57,6,0)&gt;VLOOKUP(C112,'Allocation OH and Target 2026'!$C$5:$J$23,8,0),IF(SUM(AI114:AI122)=0,V123/B123,"N/A"),"N/A")</f>
        <v>N/A</v>
      </c>
      <c r="AK123" s="424" cm="1">
        <f t="array" ref="AK123">IF(AJ123="N/A",0,1)</f>
        <v>0</v>
      </c>
      <c r="AL123" t="str" s="628" cm="1">
        <f t="array" ref="AL123">IF(SUM(1250000+700000)*B123&lt;SUM(AB123:AC123),"NO GO","GO")</f>
        <v>GO</v>
      </c>
      <c r="AM123" s="424"/>
      <c r="AN123" s="639"/>
      <c r="AO123" s="639"/>
      <c r="AP123" s="639"/>
      <c r="AQ123" s="645"/>
      <c r="AR123" s="601" cm="1">
        <f t="array" ref="AR123">B123</f>
        <v>0</v>
      </c>
    </row>
    <row r="124" ht="9" customHeight="1" hidden="1">
      <c r="A124" s="12"/>
      <c r="B124" s="646">
        <v>0</v>
      </c>
      <c r="C124" t="str" s="640" cm="1">
        <f t="array" ref="C124">IF(B124&gt;0,IF(VLOOKUP(C112,'Boats Data Sheet 2026'!$C$3:$J$57,8,0)="N/A",0,VLOOKUP(C112,'Boats Data Sheet 2026'!$C$3:$J$57,8,0)),"N/A")</f>
        <v>N/A</v>
      </c>
      <c r="D124" t="str" s="649" cm="1">
        <f t="array" ref="D124">IF(B124&gt;7,2,IF(B124=0,"N/A",1))</f>
        <v>N/A</v>
      </c>
      <c r="E124" t="str" s="640" cm="1">
        <f t="array" ref="E124">_xlfn.IFERROR(SUM('Direct Costs 2026'!$C$4:$C$6)*D124,"N/A")</f>
        <v>N/A</v>
      </c>
      <c r="F124" s="639" cm="1">
        <f t="array" ref="F124">_xlfn.IFERROR('Direct Costs 2026'!$C$43*B124,"N/A")</f>
        <v>0</v>
      </c>
      <c r="G124" t="str" s="640" cm="1">
        <f t="array" ref="G124">IF(B124&gt;0,'Direct Costs 2026'!$C$25,"N/A")</f>
        <v>N/A</v>
      </c>
      <c r="H124" t="str" s="640" cm="1">
        <f t="array" ref="H124">IF(B124&gt;0,('Direct Costs 2026'!$C$19+'Direct Costs 2026'!$C$18*B124),"N/A")</f>
        <v>N/A</v>
      </c>
      <c r="I124" t="str" s="640" cm="1">
        <f t="array" ref="I124">IF(B124&gt;0,SUM('Direct Costs 2026'!$C$20:$C$21),"N/A")</f>
        <v>N/A</v>
      </c>
      <c r="J124" t="str" s="640" cm="1">
        <f t="array" ref="J124">IF(B124&gt;0,'Direct Costs 2026'!$C$14,"N/A")</f>
        <v>N/A</v>
      </c>
      <c r="K124" t="str" s="640" cm="1">
        <f t="array" ref="K124">IF(B124&gt;0,'Direct Costs 2026'!$C$26,"N/A")</f>
        <v>N/A</v>
      </c>
      <c r="L124" t="str" s="640" cm="1">
        <f t="array" ref="L124">IF(B124&gt;0,SUM('Direct Costs 2026'!$C$23:$C$24),"N/A")</f>
        <v>N/A</v>
      </c>
      <c r="M124" t="str" s="640" cm="1">
        <f t="array" ref="M124">IF(B124&gt;0,'Direct Costs 2026'!$C$45*B124,"N/A")</f>
        <v>N/A</v>
      </c>
      <c r="N124" t="str" s="640" cm="1">
        <f t="array" ref="N124">IF($B124&gt;0,'Direct Costs 2026'!$C$29,"N/A")</f>
        <v>N/A</v>
      </c>
      <c r="O124" t="str" s="640" cm="1">
        <f t="array" ref="O124">IF($B124&gt;0,'Direct Costs 2026'!$C$31,"N/A")</f>
        <v>N/A</v>
      </c>
      <c r="P124" t="str" s="640" cm="1">
        <f t="array" ref="P124">IF(B124&gt;0,'Direct Costs 2026'!$C$59*B124,"N/A")</f>
        <v>N/A</v>
      </c>
      <c r="Q124" t="str" s="640" cm="1">
        <f t="array" ref="Q124">IF(B124&gt;0,_xlfn.IFERROR(VLOOKUP(C112,'Boats Data Sheet 2026'!$C$3:$I$57,7,0)*'Direct Costs 2026'!$C$36,"N/A"),"N/A")</f>
        <v>N/A</v>
      </c>
      <c r="R124" s="639"/>
      <c r="S124" t="str" s="640" cm="1">
        <f t="array" ref="S124">IF(B124&gt;0,IF(OR(VLOOKUP(C112,'Boats Data Sheet 2026'!$C$3:$F$57,4,0)="Own",VLOOKUP(C112,'Boats Data Sheet 2026'!$C$3:$F$57,4,0)="Management"),('Direct Costs 2026'!$C$37+'Direct Costs 2026'!$C$39),"N/A"),"N/A")</f>
        <v>N/A</v>
      </c>
      <c r="T124" t="str" s="640" cm="1">
        <f t="array" ref="T124">_xlfn.IFERROR(IF(B124&gt;5,IF(B124&gt;11,IF(B124&gt;15,4,3),2),IF(B124=0,"N/A",1))*SUM('Direct Costs 2026'!$C$67:$C$68),"N/A")</f>
        <v>N/A</v>
      </c>
      <c r="U124" t="str" s="640" cm="1">
        <f t="array" ref="U124">_xlfn.IFERROR('Direct Costs 2026'!$C$27*C124,"N/A")</f>
        <v>N/A</v>
      </c>
      <c r="V124" t="str" s="640" cm="1">
        <f t="array" ref="V124">_xlfn.IFERROR(C124+SUM(E124:U124),"N/A")</f>
        <v>N/A</v>
      </c>
      <c r="W124" s="424"/>
      <c r="X124" t="str" s="640" cm="1">
        <f t="array" ref="X124">IF(B124&gt;0,'Allocation OH and Target 2026'!$E$31,"N/A")</f>
        <v>N/A</v>
      </c>
      <c r="Y124" t="str" s="640" cm="1">
        <f t="array" ref="Y124">IF(B124&gt;0,VLOOKUP(C112,'Allocation OH and Target 2026'!$C$5:$T$23,16,0),"N/A")</f>
        <v>N/A</v>
      </c>
      <c r="Z124" t="str" s="640" cm="1">
        <f t="array" ref="Z124">_xlfn.IFERROR((X124+Y124),"N/A")</f>
        <v>N/A</v>
      </c>
      <c r="AA124" s="424"/>
      <c r="AB124" t="str" s="640" cm="1">
        <f t="array" ref="AB124">_xlfn.IFERROR(Z124+V124,"N/A")</f>
        <v>N/A</v>
      </c>
      <c r="AC124" t="str" s="640" cm="1">
        <f t="array" ref="AC124">_xlfn.IFERROR(AB124*0.5%,"N/A")</f>
        <v>N/A</v>
      </c>
      <c r="AD124" t="str" s="640" cm="1">
        <f t="array" ref="AD124">_xlfn.IFERROR(AB124*25%,"N/A")</f>
        <v>N/A</v>
      </c>
      <c r="AE124" t="str" s="648" cm="1">
        <f t="array" ref="AE124">IF(B124&gt;0,SUM(AB124:AD124),"N/A")</f>
        <v>N/A</v>
      </c>
      <c r="AF124" t="str" s="640" cm="1">
        <f t="array" ref="AF124">_xlfn.IFERROR(AE124/B124,"N/A")</f>
        <v>N/A</v>
      </c>
      <c r="AG124" s="424"/>
      <c r="AH124" t="str" s="648" cm="1">
        <f t="array" ref="AH124">IF(B124/VLOOKUP(C112,'Boats Data Sheet 2026'!$C$3:$H$57,6,0)&gt;VLOOKUP(C112,'Allocation OH and Target 2026'!$C$5:$J$23,8,0),IF(SUM(AI114:AI123)=0,AF124,"N/A"),"N/A")</f>
        <v>N/A</v>
      </c>
      <c r="AI124" s="424" cm="1">
        <f t="array" ref="AI124">IF(AH124="N/A",0,1)</f>
        <v>0</v>
      </c>
      <c r="AJ124" t="str" s="640" cm="1">
        <f t="array" ref="AJ124">IF(B124/VLOOKUP(C112,'Boats Data Sheet 2026'!$C$3:$H$57,6,0)&gt;VLOOKUP(C112,'Allocation OH and Target 2026'!$C$5:$J$23,8,0),IF(SUM(AI114:AI123)=0,V124/B124,"N/A"),"N/A")</f>
        <v>N/A</v>
      </c>
      <c r="AK124" s="424" cm="1">
        <f t="array" ref="AK124">IF(AJ124="N/A",0,1)</f>
        <v>0</v>
      </c>
      <c r="AL124" t="str" s="628" cm="1">
        <f t="array" ref="AL124">IF(SUM(1250000+700000)*B124&lt;SUM(AB124:AC124),"NO GO","GO")</f>
        <v>GO</v>
      </c>
      <c r="AM124" s="424"/>
      <c r="AN124" s="639"/>
      <c r="AO124" s="639"/>
      <c r="AP124" s="639"/>
      <c r="AQ124" s="645"/>
      <c r="AR124" s="601" cm="1">
        <f t="array" ref="AR124">B124</f>
        <v>0</v>
      </c>
    </row>
    <row r="125" ht="9" customHeight="1" hidden="1">
      <c r="A125" s="12"/>
      <c r="B125" s="646">
        <v>0</v>
      </c>
      <c r="C125" t="str" s="640" cm="1">
        <f t="array" ref="C125">IF(B125&gt;0,IF(VLOOKUP(C112,'Boats Data Sheet 2026'!$C$3:$J$57,8,0)="N/A",0,VLOOKUP(C112,'Boats Data Sheet 2026'!$C$3:$J$57,8,0)),"N/A")</f>
        <v>N/A</v>
      </c>
      <c r="D125" t="str" s="649" cm="1">
        <f t="array" ref="D125">IF(B125&gt;7,2,IF(B125=0,"N/A",1))</f>
        <v>N/A</v>
      </c>
      <c r="E125" t="str" s="640" cm="1">
        <f t="array" ref="E125">_xlfn.IFERROR(SUM('Direct Costs 2026'!$C$4:$C$6)*D125,"N/A")</f>
        <v>N/A</v>
      </c>
      <c r="F125" s="639" cm="1">
        <f t="array" ref="F125">_xlfn.IFERROR('Direct Costs 2026'!$C$43*B125,"N/A")</f>
        <v>0</v>
      </c>
      <c r="G125" t="str" s="640" cm="1">
        <f t="array" ref="G125">IF(B125&gt;0,'Direct Costs 2026'!$C$25,"N/A")</f>
        <v>N/A</v>
      </c>
      <c r="H125" t="str" s="640" cm="1">
        <f t="array" ref="H125">IF(B125&gt;0,('Direct Costs 2026'!$C$19+'Direct Costs 2026'!$C$18*B125),"N/A")</f>
        <v>N/A</v>
      </c>
      <c r="I125" t="str" s="640" cm="1">
        <f t="array" ref="I125">IF(B125&gt;0,SUM('Direct Costs 2026'!$C$20:$C$21),"N/A")</f>
        <v>N/A</v>
      </c>
      <c r="J125" t="str" s="640" cm="1">
        <f t="array" ref="J125">IF(B125&gt;0,'Direct Costs 2026'!$C$14,"N/A")</f>
        <v>N/A</v>
      </c>
      <c r="K125" t="str" s="640" cm="1">
        <f t="array" ref="K125">IF(B125&gt;0,'Direct Costs 2026'!$C$26,"N/A")</f>
        <v>N/A</v>
      </c>
      <c r="L125" t="str" s="640" cm="1">
        <f t="array" ref="L125">IF(B125&gt;0,SUM('Direct Costs 2026'!$C$23:$C$24),"N/A")</f>
        <v>N/A</v>
      </c>
      <c r="M125" t="str" s="640" cm="1">
        <f t="array" ref="M125">IF(B125&gt;0,'Direct Costs 2026'!$C$45*B125,"N/A")</f>
        <v>N/A</v>
      </c>
      <c r="N125" t="str" s="640" cm="1">
        <f t="array" ref="N125">IF($B125&gt;0,'Direct Costs 2026'!$C$29,"N/A")</f>
        <v>N/A</v>
      </c>
      <c r="O125" t="str" s="640" cm="1">
        <f t="array" ref="O125">IF($B125&gt;0,'Direct Costs 2026'!$C$31,"N/A")</f>
        <v>N/A</v>
      </c>
      <c r="P125" t="str" s="640" cm="1">
        <f t="array" ref="P125">IF(B125&gt;0,'Direct Costs 2026'!$C$59*B125,"N/A")</f>
        <v>N/A</v>
      </c>
      <c r="Q125" t="str" s="640" cm="1">
        <f t="array" ref="Q125">IF(B125&gt;0,_xlfn.IFERROR(VLOOKUP(C112,'Boats Data Sheet 2026'!$C$3:$I$57,7,0)*'Direct Costs 2026'!$C$36,"N/A"),"N/A")</f>
        <v>N/A</v>
      </c>
      <c r="R125" s="639"/>
      <c r="S125" t="str" s="640" cm="1">
        <f t="array" ref="S125">IF(B125&gt;0,IF(OR(VLOOKUP(C112,'Boats Data Sheet 2026'!$C$3:$F$57,4,0)="Own",VLOOKUP(C112,'Boats Data Sheet 2026'!$C$3:$F$57,4,0)="Management"),('Direct Costs 2026'!$C$37+'Direct Costs 2026'!$C$39),"N/A"),"N/A")</f>
        <v>N/A</v>
      </c>
      <c r="T125" t="str" s="640" cm="1">
        <f t="array" ref="T125">_xlfn.IFERROR(IF(B125&gt;5,IF(B125&gt;11,IF(B125&gt;15,4,3),2),IF(B125=0,"N/A",1))*SUM('Direct Costs 2026'!$C$67:$C$68),"N/A")</f>
        <v>N/A</v>
      </c>
      <c r="U125" t="str" s="640" cm="1">
        <f t="array" ref="U125">_xlfn.IFERROR('Direct Costs 2026'!$C$27*C125,"N/A")</f>
        <v>N/A</v>
      </c>
      <c r="V125" t="str" s="640" cm="1">
        <f t="array" ref="V125">_xlfn.IFERROR(C125+SUM(E125:U125),"N/A")</f>
        <v>N/A</v>
      </c>
      <c r="W125" s="424"/>
      <c r="X125" t="str" s="640" cm="1">
        <f t="array" ref="X125">IF(B125&gt;0,'Allocation OH and Target 2026'!$E$31,"N/A")</f>
        <v>N/A</v>
      </c>
      <c r="Y125" t="str" s="640" cm="1">
        <f t="array" ref="Y125">IF(B125&gt;0,VLOOKUP(C112,'Allocation OH and Target 2026'!$C$5:$T$23,16,0),"N/A")</f>
        <v>N/A</v>
      </c>
      <c r="Z125" t="str" s="640" cm="1">
        <f t="array" ref="Z125">_xlfn.IFERROR((X125+Y125),"N/A")</f>
        <v>N/A</v>
      </c>
      <c r="AA125" s="424"/>
      <c r="AB125" t="str" s="640" cm="1">
        <f t="array" ref="AB125">_xlfn.IFERROR(Z125+V125,"N/A")</f>
        <v>N/A</v>
      </c>
      <c r="AC125" t="str" s="640" cm="1">
        <f t="array" ref="AC125">_xlfn.IFERROR(AB125*0.5%,"N/A")</f>
        <v>N/A</v>
      </c>
      <c r="AD125" t="str" s="640" cm="1">
        <f t="array" ref="AD125">_xlfn.IFERROR(AB125*25%,"N/A")</f>
        <v>N/A</v>
      </c>
      <c r="AE125" t="str" s="648" cm="1">
        <f t="array" ref="AE125">IF(B125&gt;0,SUM(AB125:AD125),"N/A")</f>
        <v>N/A</v>
      </c>
      <c r="AF125" t="str" s="640" cm="1">
        <f t="array" ref="AF125">_xlfn.IFERROR(AE125/B125,"N/A")</f>
        <v>N/A</v>
      </c>
      <c r="AG125" s="424"/>
      <c r="AH125" t="str" s="648" cm="1">
        <f t="array" ref="AH125">IF(B125/VLOOKUP(C112,'Boats Data Sheet 2026'!$C$3:$H$57,6,0)&gt;VLOOKUP(C112,'Allocation OH and Target 2026'!$C$5:$J$23,8,0),IF(SUM(AI114:AI124)=0,AF125,"N/A"),"N/A")</f>
        <v>N/A</v>
      </c>
      <c r="AI125" s="424" cm="1">
        <f t="array" ref="AI125">IF(AH125="N/A",0,1)</f>
        <v>0</v>
      </c>
      <c r="AJ125" t="str" s="640" cm="1">
        <f t="array" ref="AJ125">IF(B125/VLOOKUP(C112,'Boats Data Sheet 2026'!$C$3:$H$57,6,0)&gt;VLOOKUP(C112,'Allocation OH and Target 2026'!$C$5:$J$23,8,0),IF(SUM(AI114:AI124)=0,V125/B125,"N/A"),"N/A")</f>
        <v>N/A</v>
      </c>
      <c r="AK125" s="424" cm="1">
        <f t="array" ref="AK125">IF(AJ125="N/A",0,1)</f>
        <v>0</v>
      </c>
      <c r="AL125" t="str" s="628" cm="1">
        <f t="array" ref="AL125">IF(SUM(1250000+700000)*B125&lt;SUM(AB125:AC125),"NO GO","GO")</f>
        <v>GO</v>
      </c>
      <c r="AM125" s="424"/>
      <c r="AN125" s="639"/>
      <c r="AO125" s="639"/>
      <c r="AP125" s="639"/>
      <c r="AQ125" s="645"/>
      <c r="AR125" s="601" cm="1">
        <f t="array" ref="AR125">B125</f>
        <v>0</v>
      </c>
    </row>
    <row r="126" ht="9" customHeight="1" hidden="1">
      <c r="A126" s="12"/>
      <c r="B126" s="646">
        <v>0</v>
      </c>
      <c r="C126" t="str" s="640" cm="1">
        <f t="array" ref="C126">IF(B126&gt;0,IF(VLOOKUP(C112,'Boats Data Sheet 2026'!$C$3:$J$57,8,0)="N/A",0,VLOOKUP(C112,'Boats Data Sheet 2026'!$C$3:$J$57,8,0)),"N/A")</f>
        <v>N/A</v>
      </c>
      <c r="D126" t="str" s="649" cm="1">
        <f t="array" ref="D126">IF(B126&gt;7,2,IF(B126=0,"N/A",1))</f>
        <v>N/A</v>
      </c>
      <c r="E126" t="str" s="640" cm="1">
        <f t="array" ref="E126">_xlfn.IFERROR(SUM('Direct Costs 2026'!$C$4:$C$6)*D126,"N/A")</f>
        <v>N/A</v>
      </c>
      <c r="F126" s="639" cm="1">
        <f t="array" ref="F126">_xlfn.IFERROR('Direct Costs 2026'!$C$43*B126,"N/A")</f>
        <v>0</v>
      </c>
      <c r="G126" t="str" s="640" cm="1">
        <f t="array" ref="G126">IF(B126&gt;0,'Direct Costs 2026'!$C$25,"N/A")</f>
        <v>N/A</v>
      </c>
      <c r="H126" t="str" s="640" cm="1">
        <f t="array" ref="H126">IF(B126&gt;0,('Direct Costs 2026'!$C$19+'Direct Costs 2026'!$C$18*B126),"N/A")</f>
        <v>N/A</v>
      </c>
      <c r="I126" t="str" s="640" cm="1">
        <f t="array" ref="I126">IF(B126&gt;0,SUM('Direct Costs 2026'!$C$20:$C$21),"N/A")</f>
        <v>N/A</v>
      </c>
      <c r="J126" t="str" s="640" cm="1">
        <f t="array" ref="J126">IF(B126&gt;0,'Direct Costs 2026'!$C$14,"N/A")</f>
        <v>N/A</v>
      </c>
      <c r="K126" t="str" s="640" cm="1">
        <f t="array" ref="K126">IF(B126&gt;0,'Direct Costs 2026'!$C$26,"N/A")</f>
        <v>N/A</v>
      </c>
      <c r="L126" t="str" s="640" cm="1">
        <f t="array" ref="L126">IF(B126&gt;0,SUM('Direct Costs 2026'!$C$23:$C$24),"N/A")</f>
        <v>N/A</v>
      </c>
      <c r="M126" t="str" s="640" cm="1">
        <f t="array" ref="M126">IF(B126&gt;0,'Direct Costs 2026'!$C$45*B126,"N/A")</f>
        <v>N/A</v>
      </c>
      <c r="N126" t="str" s="640" cm="1">
        <f t="array" ref="N126">IF($B126&gt;0,'Direct Costs 2026'!$C$29,"N/A")</f>
        <v>N/A</v>
      </c>
      <c r="O126" t="str" s="640" cm="1">
        <f t="array" ref="O126">IF($B126&gt;0,'Direct Costs 2026'!$C$31,"N/A")</f>
        <v>N/A</v>
      </c>
      <c r="P126" t="str" s="640" cm="1">
        <f t="array" ref="P126">IF(B126&gt;0,'Direct Costs 2026'!$C$59*B126,"N/A")</f>
        <v>N/A</v>
      </c>
      <c r="Q126" t="str" s="640" cm="1">
        <f t="array" ref="Q126">IF(B126&gt;0,_xlfn.IFERROR(VLOOKUP(C112,'Boats Data Sheet 2026'!$C$3:$I$57,7,0)*'Direct Costs 2026'!$C$36,"N/A"),"N/A")</f>
        <v>N/A</v>
      </c>
      <c r="R126" s="639"/>
      <c r="S126" t="str" s="640" cm="1">
        <f t="array" ref="S126">IF(B126&gt;0,IF(OR(VLOOKUP(C112,'Boats Data Sheet 2026'!$C$3:$F$57,4,0)="Own",VLOOKUP(C112,'Boats Data Sheet 2026'!$C$3:$F$57,4,0)="Management"),('Direct Costs 2026'!$C$37+'Direct Costs 2026'!$C$39),"N/A"),"N/A")</f>
        <v>N/A</v>
      </c>
      <c r="T126" t="str" s="640" cm="1">
        <f t="array" ref="T126">_xlfn.IFERROR(IF(B126&gt;5,IF(B126&gt;11,IF(B126&gt;15,4,3),2),IF(B126=0,"N/A",1))*SUM('Direct Costs 2026'!$C$67:$C$68),"N/A")</f>
        <v>N/A</v>
      </c>
      <c r="U126" t="str" s="640" cm="1">
        <f t="array" ref="U126">_xlfn.IFERROR('Direct Costs 2026'!$C$27*C126,"N/A")</f>
        <v>N/A</v>
      </c>
      <c r="V126" t="str" s="640" cm="1">
        <f t="array" ref="V126">_xlfn.IFERROR(C126+SUM(E126:U126),"N/A")</f>
        <v>N/A</v>
      </c>
      <c r="W126" s="424"/>
      <c r="X126" t="str" s="640" cm="1">
        <f t="array" ref="X126">IF(B126&gt;0,'Allocation OH and Target 2026'!$E$31,"N/A")</f>
        <v>N/A</v>
      </c>
      <c r="Y126" t="str" s="640" cm="1">
        <f t="array" ref="Y126">IF(B126&gt;0,VLOOKUP(C112,'Allocation OH and Target 2026'!$C$5:$T$23,16,0),"N/A")</f>
        <v>N/A</v>
      </c>
      <c r="Z126" t="str" s="640" cm="1">
        <f t="array" ref="Z126">_xlfn.IFERROR((X126+Y126),"N/A")</f>
        <v>N/A</v>
      </c>
      <c r="AA126" s="424"/>
      <c r="AB126" t="str" s="640" cm="1">
        <f t="array" ref="AB126">_xlfn.IFERROR(Z126+V126,"N/A")</f>
        <v>N/A</v>
      </c>
      <c r="AC126" t="str" s="640" cm="1">
        <f t="array" ref="AC126">_xlfn.IFERROR(AB126*0.5%,"N/A")</f>
        <v>N/A</v>
      </c>
      <c r="AD126" t="str" s="640" cm="1">
        <f t="array" ref="AD126">_xlfn.IFERROR(AB126*25%,"N/A")</f>
        <v>N/A</v>
      </c>
      <c r="AE126" t="str" s="648" cm="1">
        <f t="array" ref="AE126">IF(B126&gt;0,SUM(AB126:AD126),"N/A")</f>
        <v>N/A</v>
      </c>
      <c r="AF126" t="str" s="640" cm="1">
        <f t="array" ref="AF126">_xlfn.IFERROR(AE126/B126,"N/A")</f>
        <v>N/A</v>
      </c>
      <c r="AG126" s="424"/>
      <c r="AH126" t="str" s="648" cm="1">
        <f t="array" ref="AH126">IF(B126/VLOOKUP(C112,'Boats Data Sheet 2026'!$C$3:$H$57,6,0)&gt;VLOOKUP(C112,'Allocation OH and Target 2026'!$C$5:$J$23,8,0),IF(SUM(AI114:AI125)=0,AF126,"N/A"),"N/A")</f>
        <v>N/A</v>
      </c>
      <c r="AI126" s="424" cm="1">
        <f t="array" ref="AI126">IF(AH126="N/A",0,1)</f>
        <v>0</v>
      </c>
      <c r="AJ126" t="str" s="640" cm="1">
        <f t="array" ref="AJ126">IF(B126/VLOOKUP(C112,'Boats Data Sheet 2026'!$C$3:$H$57,6,0)&gt;VLOOKUP(C112,'Allocation OH and Target 2026'!$C$5:$J$23,8,0),IF(SUM(AI114:AI125)=0,V126/B126,"N/A"),"N/A")</f>
        <v>N/A</v>
      </c>
      <c r="AK126" s="424" cm="1">
        <f t="array" ref="AK126">IF(AJ126="N/A",0,1)</f>
        <v>0</v>
      </c>
      <c r="AL126" t="str" s="628" cm="1">
        <f t="array" ref="AL126">IF(SUM(1250000+700000)*B126&lt;SUM(AB126:AC126),"NO GO","GO")</f>
        <v>GO</v>
      </c>
      <c r="AM126" s="424"/>
      <c r="AN126" s="639"/>
      <c r="AO126" s="639"/>
      <c r="AP126" s="639"/>
      <c r="AQ126" s="645"/>
      <c r="AR126" s="601" cm="1">
        <f t="array" ref="AR126">B126</f>
        <v>0</v>
      </c>
    </row>
    <row r="127" ht="9" customHeight="1" hidden="1">
      <c r="A127" s="12"/>
      <c r="B127" s="646">
        <v>0</v>
      </c>
      <c r="C127" t="str" s="640" cm="1">
        <f t="array" ref="C127">IF(B127&gt;0,IF(VLOOKUP(C112,'Boats Data Sheet 2026'!$C$3:$J$57,8,0)="N/A",0,VLOOKUP(C112,'Boats Data Sheet 2026'!$C$3:$J$57,8,0)),"N/A")</f>
        <v>N/A</v>
      </c>
      <c r="D127" t="str" s="649" cm="1">
        <f t="array" ref="D127">IF(B127&gt;7,2,IF(B127=0,"N/A",1))</f>
        <v>N/A</v>
      </c>
      <c r="E127" t="str" s="640" cm="1">
        <f t="array" ref="E127">_xlfn.IFERROR(SUM('Direct Costs 2026'!$C$4:$C$6)*D127,"N/A")</f>
        <v>N/A</v>
      </c>
      <c r="F127" s="639" cm="1">
        <f t="array" ref="F127">_xlfn.IFERROR('Direct Costs 2026'!$C$43*B127,"N/A")</f>
        <v>0</v>
      </c>
      <c r="G127" t="str" s="640" cm="1">
        <f t="array" ref="G127">IF(B127&gt;0,'Direct Costs 2026'!$C$25,"N/A")</f>
        <v>N/A</v>
      </c>
      <c r="H127" t="str" s="640" cm="1">
        <f t="array" ref="H127">IF(B127&gt;0,('Direct Costs 2026'!$C$19+'Direct Costs 2026'!$C$18*B127),"N/A")</f>
        <v>N/A</v>
      </c>
      <c r="I127" t="str" s="640" cm="1">
        <f t="array" ref="I127">IF(B127&gt;0,SUM('Direct Costs 2026'!$C$20:$C$21),"N/A")</f>
        <v>N/A</v>
      </c>
      <c r="J127" t="str" s="640" cm="1">
        <f t="array" ref="J127">IF(B127&gt;0,'Direct Costs 2026'!$C$14,"N/A")</f>
        <v>N/A</v>
      </c>
      <c r="K127" t="str" s="640" cm="1">
        <f t="array" ref="K127">IF(B127&gt;0,'Direct Costs 2026'!$C$26,"N/A")</f>
        <v>N/A</v>
      </c>
      <c r="L127" t="str" s="640" cm="1">
        <f t="array" ref="L127">IF(B127&gt;0,SUM('Direct Costs 2026'!$C$23:$C$24),"N/A")</f>
        <v>N/A</v>
      </c>
      <c r="M127" t="str" s="640" cm="1">
        <f t="array" ref="M127">IF(B127&gt;0,'Direct Costs 2026'!$C$45*B127,"N/A")</f>
        <v>N/A</v>
      </c>
      <c r="N127" t="str" s="640" cm="1">
        <f t="array" ref="N127">IF($B127&gt;0,'Direct Costs 2026'!$C$29,"N/A")</f>
        <v>N/A</v>
      </c>
      <c r="O127" t="str" s="640" cm="1">
        <f t="array" ref="O127">IF($B127&gt;0,'Direct Costs 2026'!$C$31,"N/A")</f>
        <v>N/A</v>
      </c>
      <c r="P127" t="str" s="640" cm="1">
        <f t="array" ref="P127">IF(B127&gt;0,'Direct Costs 2026'!$C$59*B127,"N/A")</f>
        <v>N/A</v>
      </c>
      <c r="Q127" t="str" s="640" cm="1">
        <f t="array" ref="Q127">IF(B127&gt;0,_xlfn.IFERROR(VLOOKUP(C112,'Boats Data Sheet 2026'!$C$3:$I$57,7,0)*'Direct Costs 2026'!$C$36,"N/A"),"N/A")</f>
        <v>N/A</v>
      </c>
      <c r="R127" s="639"/>
      <c r="S127" t="str" s="640" cm="1">
        <f t="array" ref="S127">IF(B127&gt;0,IF(OR(VLOOKUP(C112,'Boats Data Sheet 2026'!$C$3:$F$57,4,0)="Own",VLOOKUP(C112,'Boats Data Sheet 2026'!$C$3:$F$57,4,0)="Management"),('Direct Costs 2026'!$C$37+'Direct Costs 2026'!$C$39),"N/A"),"N/A")</f>
        <v>N/A</v>
      </c>
      <c r="T127" t="str" s="640" cm="1">
        <f t="array" ref="T127">_xlfn.IFERROR(IF(B127&gt;5,IF(B127&gt;11,IF(B127&gt;15,4,3),2),IF(B127=0,"N/A",1))*SUM('Direct Costs 2026'!$C$67:$C$68),"N/A")</f>
        <v>N/A</v>
      </c>
      <c r="U127" t="str" s="640" cm="1">
        <f t="array" ref="U127">_xlfn.IFERROR('Direct Costs 2026'!$C$27*C127,"N/A")</f>
        <v>N/A</v>
      </c>
      <c r="V127" t="str" s="640" cm="1">
        <f t="array" ref="V127">_xlfn.IFERROR(C127+SUM(E127:U127),"N/A")</f>
        <v>N/A</v>
      </c>
      <c r="W127" s="424"/>
      <c r="X127" t="str" s="640" cm="1">
        <f t="array" ref="X127">IF(B127&gt;0,'Allocation OH and Target 2026'!$E$31,"N/A")</f>
        <v>N/A</v>
      </c>
      <c r="Y127" t="str" s="640" cm="1">
        <f t="array" ref="Y127">IF(B127&gt;0,VLOOKUP(C112,'Allocation OH and Target 2026'!$C$5:$T$23,16,0),"N/A")</f>
        <v>N/A</v>
      </c>
      <c r="Z127" t="str" s="640" cm="1">
        <f t="array" ref="Z127">_xlfn.IFERROR((X127+Y127),"N/A")</f>
        <v>N/A</v>
      </c>
      <c r="AA127" s="424"/>
      <c r="AB127" t="str" s="640" cm="1">
        <f t="array" ref="AB127">_xlfn.IFERROR(Z127+V127,"N/A")</f>
        <v>N/A</v>
      </c>
      <c r="AC127" t="str" s="640" cm="1">
        <f t="array" ref="AC127">_xlfn.IFERROR(AB127*0.5%,"N/A")</f>
        <v>N/A</v>
      </c>
      <c r="AD127" t="str" s="640" cm="1">
        <f t="array" ref="AD127">_xlfn.IFERROR(AB127*25%,"N/A")</f>
        <v>N/A</v>
      </c>
      <c r="AE127" t="str" s="648" cm="1">
        <f t="array" ref="AE127">IF(B127&gt;0,SUM(AB127:AD127),"N/A")</f>
        <v>N/A</v>
      </c>
      <c r="AF127" t="str" s="640" cm="1">
        <f t="array" ref="AF127">_xlfn.IFERROR(AE127/B127,"N/A")</f>
        <v>N/A</v>
      </c>
      <c r="AG127" s="424"/>
      <c r="AH127" t="str" s="648" cm="1">
        <f t="array" ref="AH127">IF(B127/VLOOKUP(C112,'Boats Data Sheet 2026'!$C$3:$H$57,6,0)&gt;VLOOKUP(C112,'Allocation OH and Target 2026'!$C$5:$J$23,8,0),IF(SUM(AI114:AI126)=0,AF127,"N/A"),"N/A")</f>
        <v>N/A</v>
      </c>
      <c r="AI127" s="424" cm="1">
        <f t="array" ref="AI127">IF(AH127="N/A",0,1)</f>
        <v>0</v>
      </c>
      <c r="AJ127" t="str" s="640" cm="1">
        <f t="array" ref="AJ127">IF(B127/VLOOKUP(C112,'Boats Data Sheet 2026'!$C$3:$H$57,6,0)&gt;VLOOKUP(C112,'Allocation OH and Target 2026'!$C$5:$J$23,8,0),IF(SUM(AI114:AI126)=0,V127/B127,"N/A"),"N/A")</f>
        <v>N/A</v>
      </c>
      <c r="AK127" s="424" cm="1">
        <f t="array" ref="AK127">IF(AJ127="N/A",0,1)</f>
        <v>0</v>
      </c>
      <c r="AL127" t="str" s="628" cm="1">
        <f t="array" ref="AL127">IF(SUM(1250000+700000)*B127&lt;SUM(AB127:AC127),"NO GO","GO")</f>
        <v>GO</v>
      </c>
      <c r="AM127" s="424"/>
      <c r="AN127" s="639"/>
      <c r="AO127" s="639"/>
      <c r="AP127" s="639"/>
      <c r="AQ127" s="645"/>
      <c r="AR127" s="601" cm="1">
        <f t="array" ref="AR127">B127</f>
        <v>0</v>
      </c>
    </row>
    <row r="128" ht="9" customHeight="1" hidden="1">
      <c r="A128" s="12"/>
      <c r="B128" s="646">
        <v>0</v>
      </c>
      <c r="C128" t="str" s="640" cm="1">
        <f t="array" ref="C128">IF(B128&gt;0,IF(VLOOKUP(C112,'Boats Data Sheet 2026'!$C$3:$J$57,8,0)="N/A",0,VLOOKUP(C112,'Boats Data Sheet 2026'!$C$3:$J$57,8,0)),"N/A")</f>
        <v>N/A</v>
      </c>
      <c r="D128" t="str" s="640" cm="1">
        <f t="array" ref="D128">IF(B128&gt;7,2,IF(B128=0,"N/A",1))</f>
        <v>N/A</v>
      </c>
      <c r="E128" t="str" s="640" cm="1">
        <f t="array" ref="E128">_xlfn.IFERROR(SUM('Direct Costs 2026'!$C$4:$C$6)*D128,"N/A")</f>
        <v>N/A</v>
      </c>
      <c r="F128" s="639" cm="1">
        <f t="array" ref="F128">_xlfn.IFERROR('Direct Costs 2026'!$C$43*B128,"N/A")</f>
        <v>0</v>
      </c>
      <c r="G128" t="str" s="640" cm="1">
        <f t="array" ref="G128">IF(B128&gt;0,'Direct Costs 2026'!$C$25,"N/A")</f>
        <v>N/A</v>
      </c>
      <c r="H128" t="str" s="640" cm="1">
        <f t="array" ref="H128">IF(B128&gt;0,('Direct Costs 2026'!$C$19+'Direct Costs 2026'!$C$18*B128),"N/A")</f>
        <v>N/A</v>
      </c>
      <c r="I128" t="str" s="640" cm="1">
        <f t="array" ref="I128">IF(B128&gt;0,SUM('Direct Costs 2026'!$C$20:$C$21),"N/A")</f>
        <v>N/A</v>
      </c>
      <c r="J128" t="str" s="640" cm="1">
        <f t="array" ref="J128">IF(B128&gt;0,'Direct Costs 2026'!$C$14,"N/A")</f>
        <v>N/A</v>
      </c>
      <c r="K128" t="str" s="640" cm="1">
        <f t="array" ref="K128">IF(B128&gt;0,'Direct Costs 2026'!$C$26,"N/A")</f>
        <v>N/A</v>
      </c>
      <c r="L128" t="str" s="640" cm="1">
        <f t="array" ref="L128">IF(B128&gt;0,SUM('Direct Costs 2026'!$C$23:$C$24),"N/A")</f>
        <v>N/A</v>
      </c>
      <c r="M128" t="str" s="640" cm="1">
        <f t="array" ref="M128">IF(B128&gt;0,'Direct Costs 2026'!$C$45*B128,"N/A")</f>
        <v>N/A</v>
      </c>
      <c r="N128" t="str" s="640" cm="1">
        <f t="array" ref="N128">IF($B128&gt;0,'Direct Costs 2026'!$C$29,"N/A")</f>
        <v>N/A</v>
      </c>
      <c r="O128" t="str" s="640" cm="1">
        <f t="array" ref="O128">IF($B128&gt;0,'Direct Costs 2026'!$C$31,"N/A")</f>
        <v>N/A</v>
      </c>
      <c r="P128" t="str" s="640" cm="1">
        <f t="array" ref="P128">IF(B128&gt;0,'Direct Costs 2026'!$C$59*B128,"N/A")</f>
        <v>N/A</v>
      </c>
      <c r="Q128" t="str" s="640" cm="1">
        <f t="array" ref="Q128">IF(B128&gt;0,_xlfn.IFERROR(VLOOKUP(C112,'Boats Data Sheet 2026'!$C$3:$I$57,7,0)*'Direct Costs 2026'!$C$36,"N/A"),"N/A")</f>
        <v>N/A</v>
      </c>
      <c r="R128" s="639"/>
      <c r="S128" t="str" s="640" cm="1">
        <f t="array" ref="S128">IF(B128&gt;0,IF(OR(VLOOKUP(C112,'Boats Data Sheet 2026'!$C$3:$F$57,4,0)="Own",VLOOKUP(C112,'Boats Data Sheet 2026'!$C$3:$F$57,4,0)="Management"),('Direct Costs 2026'!$C$37+'Direct Costs 2026'!$C$39),"N/A"),"N/A")</f>
        <v>N/A</v>
      </c>
      <c r="T128" t="str" s="640" cm="1">
        <f t="array" ref="T128">_xlfn.IFERROR(IF(B128&gt;5,IF(B128&gt;11,IF(B128&gt;15,4,3),2),IF(B128=0,"N/A",1))*SUM('Direct Costs 2026'!$C$67:$C$68),"N/A")</f>
        <v>N/A</v>
      </c>
      <c r="U128" t="str" s="640" cm="1">
        <f t="array" ref="U128">_xlfn.IFERROR('Direct Costs 2026'!$C$27*C128,"N/A")</f>
        <v>N/A</v>
      </c>
      <c r="V128" t="str" s="640" cm="1">
        <f t="array" ref="V128">_xlfn.IFERROR(C128+SUM(E128:U128),"N/A")</f>
        <v>N/A</v>
      </c>
      <c r="W128" s="424"/>
      <c r="X128" t="str" s="640" cm="1">
        <f t="array" ref="X128">IF(B128&gt;0,'Allocation OH and Target 2026'!$E$31,"N/A")</f>
        <v>N/A</v>
      </c>
      <c r="Y128" t="str" s="640" cm="1">
        <f t="array" ref="Y128">IF(B128&gt;0,VLOOKUP(C112,'Allocation OH and Target 2026'!$C$5:$T$23,16,0),"N/A")</f>
        <v>N/A</v>
      </c>
      <c r="Z128" t="str" s="640" cm="1">
        <f t="array" ref="Z128">_xlfn.IFERROR((X128+Y128),"N/A")</f>
        <v>N/A</v>
      </c>
      <c r="AA128" s="424"/>
      <c r="AB128" t="str" s="640" cm="1">
        <f t="array" ref="AB128">_xlfn.IFERROR(Z128+V128,"N/A")</f>
        <v>N/A</v>
      </c>
      <c r="AC128" t="str" s="640" cm="1">
        <f t="array" ref="AC128">_xlfn.IFERROR(AB128*0.5%,"N/A")</f>
        <v>N/A</v>
      </c>
      <c r="AD128" t="str" s="640" cm="1">
        <f t="array" ref="AD128">_xlfn.IFERROR(AB128*25%,"N/A")</f>
        <v>N/A</v>
      </c>
      <c r="AE128" t="str" s="648" cm="1">
        <f t="array" ref="AE128">IF(B128&gt;0,SUM(AB128:AD128),"N/A")</f>
        <v>N/A</v>
      </c>
      <c r="AF128" t="str" s="640" cm="1">
        <f t="array" ref="AF128">_xlfn.IFERROR(AE128/B128,"N/A")</f>
        <v>N/A</v>
      </c>
      <c r="AG128" s="424"/>
      <c r="AH128" t="str" s="648" cm="1">
        <f t="array" ref="AH128">IF(B128/VLOOKUP(C112,'Boats Data Sheet 2026'!$C$3:$H$57,6,0)&gt;VLOOKUP(C112,'Allocation OH and Target 2026'!$C$5:$J$23,8,0),IF(SUM(AI114:AI127)=0,AF128,"N/A"),"N/A")</f>
        <v>N/A</v>
      </c>
      <c r="AI128" s="424" cm="1">
        <f t="array" ref="AI128">IF(AH128="N/A",0,1)</f>
        <v>0</v>
      </c>
      <c r="AJ128" t="str" s="640" cm="1">
        <f t="array" ref="AJ128">IF(B128/VLOOKUP(C112,'Boats Data Sheet 2026'!$C$3:$H$57,6,0)&gt;VLOOKUP(C112,'Allocation OH and Target 2026'!$C$5:$J$23,8,0),IF(SUM(AI114:AI127)=0,V128/B128,"N/A"),"N/A")</f>
        <v>N/A</v>
      </c>
      <c r="AK128" s="424" cm="1">
        <f t="array" ref="AK128">IF(AJ128="N/A",0,1)</f>
        <v>0</v>
      </c>
      <c r="AL128" t="str" s="628" cm="1">
        <f t="array" ref="AL128">IF(SUM(1250000+700000)*B128&lt;SUM(AB128:AC128),"NO GO","GO")</f>
        <v>GO</v>
      </c>
      <c r="AM128" s="424"/>
      <c r="AN128" s="639"/>
      <c r="AO128" s="639"/>
      <c r="AP128" s="639"/>
      <c r="AQ128" s="645"/>
      <c r="AR128" s="601" cm="1">
        <f t="array" ref="AR128">B128</f>
        <v>0</v>
      </c>
    </row>
    <row r="129" ht="9" customHeight="1" hidden="1">
      <c r="A129" s="12"/>
      <c r="B129" s="646">
        <v>0</v>
      </c>
      <c r="C129" t="str" s="640" cm="1">
        <f t="array" ref="C129">IF(B129&gt;0,IF(VLOOKUP(C112,'Boats Data Sheet 2026'!$C$3:$J$57,8,0)="N/A",0,VLOOKUP(C112,'Boats Data Sheet 2026'!$C$3:$J$57,8,0)),"N/A")</f>
        <v>N/A</v>
      </c>
      <c r="D129" t="str" s="640" cm="1">
        <f t="array" ref="D129">IF(B129&gt;7,2,IF(B129=0,"N/A",1))</f>
        <v>N/A</v>
      </c>
      <c r="E129" t="str" s="640" cm="1">
        <f t="array" ref="E129">_xlfn.IFERROR(SUM('Direct Costs 2026'!$C$4:$C$6)*D129,"N/A")</f>
        <v>N/A</v>
      </c>
      <c r="F129" s="639" cm="1">
        <f t="array" ref="F129">_xlfn.IFERROR('Direct Costs 2026'!$C$43*B129,"N/A")</f>
        <v>0</v>
      </c>
      <c r="G129" t="str" s="640" cm="1">
        <f t="array" ref="G129">IF(B129&gt;0,'Direct Costs 2026'!$C$25,"N/A")</f>
        <v>N/A</v>
      </c>
      <c r="H129" t="str" s="640" cm="1">
        <f t="array" ref="H129">IF(B129&gt;0,('Direct Costs 2026'!$C$19+'Direct Costs 2026'!$C$18*B129),"N/A")</f>
        <v>N/A</v>
      </c>
      <c r="I129" t="str" s="640" cm="1">
        <f t="array" ref="I129">IF(B129&gt;0,SUM('Direct Costs 2026'!$C$20:$C$21),"N/A")</f>
        <v>N/A</v>
      </c>
      <c r="J129" t="str" s="640" cm="1">
        <f t="array" ref="J129">IF(B129&gt;0,'Direct Costs 2026'!$C$14,"N/A")</f>
        <v>N/A</v>
      </c>
      <c r="K129" t="str" s="640" cm="1">
        <f t="array" ref="K129">IF(B129&gt;0,'Direct Costs 2026'!$C$26,"N/A")</f>
        <v>N/A</v>
      </c>
      <c r="L129" t="str" s="640" cm="1">
        <f t="array" ref="L129">IF(B129&gt;0,SUM('Direct Costs 2026'!$C$23:$C$24),"N/A")</f>
        <v>N/A</v>
      </c>
      <c r="M129" t="str" s="640" cm="1">
        <f t="array" ref="M129">IF(B129&gt;0,'Direct Costs 2026'!$C$45*B129,"N/A")</f>
        <v>N/A</v>
      </c>
      <c r="N129" t="str" s="640" cm="1">
        <f t="array" ref="N129">IF($B129&gt;0,'Direct Costs 2026'!$C$29,"N/A")</f>
        <v>N/A</v>
      </c>
      <c r="O129" t="str" s="640" cm="1">
        <f t="array" ref="O129">IF($B129&gt;0,'Direct Costs 2026'!$C$31,"N/A")</f>
        <v>N/A</v>
      </c>
      <c r="P129" t="str" s="640" cm="1">
        <f t="array" ref="P129">IF(B129&gt;0,'Direct Costs 2026'!$C$59*B129,"N/A")</f>
        <v>N/A</v>
      </c>
      <c r="Q129" t="str" s="640" cm="1">
        <f t="array" ref="Q129">IF(B129&gt;0,_xlfn.IFERROR(VLOOKUP(C112,'Boats Data Sheet 2026'!$C$3:$I$57,7,0)*'Direct Costs 2026'!$C$36,"N/A"),"N/A")</f>
        <v>N/A</v>
      </c>
      <c r="R129" s="639"/>
      <c r="S129" t="str" s="640" cm="1">
        <f t="array" ref="S129">IF(B129&gt;0,IF(OR(VLOOKUP(C112,'Boats Data Sheet 2026'!$C$3:$F$57,4,0)="Own",VLOOKUP(C112,'Boats Data Sheet 2026'!$C$3:$F$57,4,0)="Management"),('Direct Costs 2026'!$C$37+'Direct Costs 2026'!$C$39),"N/A"),"N/A")</f>
        <v>N/A</v>
      </c>
      <c r="T129" t="str" s="640" cm="1">
        <f t="array" ref="T129">_xlfn.IFERROR(IF(B129&gt;5,IF(B129&gt;11,IF(B129&gt;15,4,3),2),IF(B129=0,"N/A",1))*SUM('Direct Costs 2026'!$C$67:$C$68),"N/A")</f>
        <v>N/A</v>
      </c>
      <c r="U129" t="str" s="640" cm="1">
        <f t="array" ref="U129">_xlfn.IFERROR('Direct Costs 2026'!$C$27*C129,"N/A")</f>
        <v>N/A</v>
      </c>
      <c r="V129" t="str" s="640" cm="1">
        <f t="array" ref="V129">_xlfn.IFERROR(C129+SUM(E129:U129),"N/A")</f>
        <v>N/A</v>
      </c>
      <c r="W129" s="424"/>
      <c r="X129" t="str" s="640" cm="1">
        <f t="array" ref="X129">IF(B129&gt;0,'Allocation OH and Target 2026'!$E$31,"N/A")</f>
        <v>N/A</v>
      </c>
      <c r="Y129" t="str" s="640" cm="1">
        <f t="array" ref="Y129">IF(B129&gt;0,VLOOKUP(C112,'Allocation OH and Target 2026'!$C$5:$T$23,16,0),"N/A")</f>
        <v>N/A</v>
      </c>
      <c r="Z129" t="str" s="640" cm="1">
        <f t="array" ref="Z129">_xlfn.IFERROR((X129+Y129),"N/A")</f>
        <v>N/A</v>
      </c>
      <c r="AA129" s="424"/>
      <c r="AB129" t="str" s="640" cm="1">
        <f t="array" ref="AB129">_xlfn.IFERROR(Z129+V129,"N/A")</f>
        <v>N/A</v>
      </c>
      <c r="AC129" t="str" s="640" cm="1">
        <f t="array" ref="AC129">_xlfn.IFERROR(AB129*0.5%,"N/A")</f>
        <v>N/A</v>
      </c>
      <c r="AD129" t="str" s="640" cm="1">
        <f t="array" ref="AD129">_xlfn.IFERROR(AB129*25%,"N/A")</f>
        <v>N/A</v>
      </c>
      <c r="AE129" t="str" s="648" cm="1">
        <f t="array" ref="AE129">IF(B129&gt;0,SUM(AB129:AD129),"N/A")</f>
        <v>N/A</v>
      </c>
      <c r="AF129" t="str" s="640" cm="1">
        <f t="array" ref="AF129">_xlfn.IFERROR(AE129/B129,"N/A")</f>
        <v>N/A</v>
      </c>
      <c r="AG129" s="424"/>
      <c r="AH129" t="str" s="648" cm="1">
        <f t="array" ref="AH129">IF(B129/VLOOKUP(C112,'Boats Data Sheet 2026'!$C$3:$H$57,6,0)&gt;VLOOKUP(C112,'Allocation OH and Target 2026'!$C$5:$J$23,8,0),IF(SUM(AI114:AI128)=0,AF129,"N/A"),"N/A")</f>
        <v>N/A</v>
      </c>
      <c r="AI129" s="424" cm="1">
        <f t="array" ref="AI129">IF(AH129="N/A",0,1)</f>
        <v>0</v>
      </c>
      <c r="AJ129" t="str" s="640" cm="1">
        <f t="array" ref="AJ129">IF(B129/VLOOKUP(C112,'Boats Data Sheet 2026'!$C$3:$H$57,6,0)&gt;VLOOKUP(C112,'Allocation OH and Target 2026'!$C$5:$J$23,8,0),IF(SUM(AI114:AI128)=0,V129/B129,"N/A"),"N/A")</f>
        <v>N/A</v>
      </c>
      <c r="AK129" s="424" cm="1">
        <f t="array" ref="AK129">IF(AJ129="N/A",0,1)</f>
        <v>0</v>
      </c>
      <c r="AL129" t="str" s="628" cm="1">
        <f t="array" ref="AL129">IF(SUM(1250000+700000)*B129&lt;SUM(AB129:AC129),"NO GO","GO")</f>
        <v>GO</v>
      </c>
      <c r="AM129" s="424"/>
      <c r="AN129" s="639"/>
      <c r="AO129" s="639"/>
      <c r="AP129" s="639"/>
      <c r="AQ129" s="645"/>
      <c r="AR129" s="601" cm="1">
        <f t="array" ref="AR129">B129</f>
        <v>0</v>
      </c>
    </row>
    <row r="130" ht="9" customHeight="1" hidden="1">
      <c r="A130" s="12"/>
      <c r="B130" s="646">
        <v>0</v>
      </c>
      <c r="C130" t="str" s="640" cm="1">
        <f t="array" ref="C130">IF(B130&gt;0,IF(VLOOKUP(C112,'Boats Data Sheet 2026'!$C$3:$J$57,8,0)="N/A",0,VLOOKUP(C112,'Boats Data Sheet 2026'!$C$3:$J$57,8,0)),"N/A")</f>
        <v>N/A</v>
      </c>
      <c r="D130" t="str" s="640" cm="1">
        <f t="array" ref="D130">IF(B130&gt;7,2,IF(B130=0,"N/A",1))</f>
        <v>N/A</v>
      </c>
      <c r="E130" t="str" s="640" cm="1">
        <f t="array" ref="E130">_xlfn.IFERROR(SUM('Direct Costs 2026'!$C$4:$C$6)*D130,"N/A")</f>
        <v>N/A</v>
      </c>
      <c r="F130" s="639" cm="1">
        <f t="array" ref="F130">_xlfn.IFERROR('Direct Costs 2026'!$C$43*B130,"N/A")</f>
        <v>0</v>
      </c>
      <c r="G130" t="str" s="640" cm="1">
        <f t="array" ref="G130">IF(B130&gt;0,'Direct Costs 2026'!$C$25,"N/A")</f>
        <v>N/A</v>
      </c>
      <c r="H130" t="str" s="640" cm="1">
        <f t="array" ref="H130">IF(B130&gt;0,('Direct Costs 2026'!$C$19+'Direct Costs 2026'!$C$18*B130),"N/A")</f>
        <v>N/A</v>
      </c>
      <c r="I130" t="str" s="640" cm="1">
        <f t="array" ref="I130">IF(B130&gt;0,SUM('Direct Costs 2026'!$C$20:$C$21),"N/A")</f>
        <v>N/A</v>
      </c>
      <c r="J130" t="str" s="640" cm="1">
        <f t="array" ref="J130">IF(B130&gt;0,'Direct Costs 2026'!$C$14,"N/A")</f>
        <v>N/A</v>
      </c>
      <c r="K130" t="str" s="640" cm="1">
        <f t="array" ref="K130">IF(B130&gt;0,'Direct Costs 2026'!$C$26,"N/A")</f>
        <v>N/A</v>
      </c>
      <c r="L130" t="str" s="640" cm="1">
        <f t="array" ref="L130">IF(B130&gt;0,SUM('Direct Costs 2026'!$C$23:$C$24),"N/A")</f>
        <v>N/A</v>
      </c>
      <c r="M130" t="str" s="640" cm="1">
        <f t="array" ref="M130">IF(B130&gt;0,'Direct Costs 2026'!$C$45*B130,"N/A")</f>
        <v>N/A</v>
      </c>
      <c r="N130" t="str" s="640" cm="1">
        <f t="array" ref="N130">IF($B130&gt;0,'Direct Costs 2026'!$C$29,"N/A")</f>
        <v>N/A</v>
      </c>
      <c r="O130" t="str" s="640" cm="1">
        <f t="array" ref="O130">IF($B130&gt;0,'Direct Costs 2026'!$C$31,"N/A")</f>
        <v>N/A</v>
      </c>
      <c r="P130" t="str" s="640" cm="1">
        <f t="array" ref="P130">IF(B130&gt;0,'Direct Costs 2026'!$C$59*B130,"N/A")</f>
        <v>N/A</v>
      </c>
      <c r="Q130" t="str" s="640" cm="1">
        <f t="array" ref="Q130">IF(B130&gt;0,_xlfn.IFERROR(VLOOKUP(C112,'Boats Data Sheet 2026'!$C$3:$I$57,7,0)*'Direct Costs 2026'!$C$36,"N/A"),"N/A")</f>
        <v>N/A</v>
      </c>
      <c r="R130" s="639"/>
      <c r="S130" t="str" s="640" cm="1">
        <f t="array" ref="S130">IF(B130&gt;0,IF(OR(VLOOKUP(C112,'Boats Data Sheet 2026'!$C$3:$F$57,4,0)="Own",VLOOKUP(C112,'Boats Data Sheet 2026'!$C$3:$F$57,4,0)="Management"),('Direct Costs 2026'!$C$37+'Direct Costs 2026'!$C$39),"N/A"),"N/A")</f>
        <v>N/A</v>
      </c>
      <c r="T130" t="str" s="640" cm="1">
        <f t="array" ref="T130">_xlfn.IFERROR(IF(B130&gt;5,IF(B130&gt;11,IF(B130&gt;15,4,3),2),IF(B130=0,"N/A",1))*SUM('Direct Costs 2026'!$C$67:$C$68),"N/A")</f>
        <v>N/A</v>
      </c>
      <c r="U130" t="str" s="640" cm="1">
        <f t="array" ref="U130">_xlfn.IFERROR('Direct Costs 2026'!$C$27*C130,"N/A")</f>
        <v>N/A</v>
      </c>
      <c r="V130" t="str" s="640" cm="1">
        <f t="array" ref="V130">_xlfn.IFERROR(C130+SUM(E130:U130),"N/A")</f>
        <v>N/A</v>
      </c>
      <c r="W130" s="424"/>
      <c r="X130" t="str" s="640" cm="1">
        <f t="array" ref="X130">IF(B130&gt;0,'Allocation OH and Target 2026'!$E$31,"N/A")</f>
        <v>N/A</v>
      </c>
      <c r="Y130" t="str" s="640" cm="1">
        <f t="array" ref="Y130">IF(B130&gt;0,VLOOKUP(C112,'Allocation OH and Target 2026'!$C$5:$T$23,16,0),"N/A")</f>
        <v>N/A</v>
      </c>
      <c r="Z130" t="str" s="640" cm="1">
        <f t="array" ref="Z130">_xlfn.IFERROR((X130+Y130),"N/A")</f>
        <v>N/A</v>
      </c>
      <c r="AA130" s="424"/>
      <c r="AB130" t="str" s="640" cm="1">
        <f t="array" ref="AB130">_xlfn.IFERROR(Z130+V130,"N/A")</f>
        <v>N/A</v>
      </c>
      <c r="AC130" t="str" s="640" cm="1">
        <f t="array" ref="AC130">_xlfn.IFERROR(AB130*0.5%,"N/A")</f>
        <v>N/A</v>
      </c>
      <c r="AD130" t="str" s="640" cm="1">
        <f t="array" ref="AD130">_xlfn.IFERROR(AB130*25%,"N/A")</f>
        <v>N/A</v>
      </c>
      <c r="AE130" t="str" s="648" cm="1">
        <f t="array" ref="AE130">IF(B130&gt;0,SUM(AB130:AD130),"N/A")</f>
        <v>N/A</v>
      </c>
      <c r="AF130" t="str" s="640" cm="1">
        <f t="array" ref="AF130">_xlfn.IFERROR(AE130/B130,"N/A")</f>
        <v>N/A</v>
      </c>
      <c r="AG130" s="424"/>
      <c r="AH130" t="str" s="648" cm="1">
        <f t="array" ref="AH130">IF(B130/VLOOKUP(C112,'Boats Data Sheet 2026'!$C$3:$H$57,6,0)&gt;VLOOKUP(C112,'Allocation OH and Target 2026'!$C$5:$J$23,8,0),IF(SUM(AI114:AI129)=0,AF130,"N/A"),"N/A")</f>
        <v>N/A</v>
      </c>
      <c r="AI130" s="424" cm="1">
        <f t="array" ref="AI130">IF(AH130="N/A",0,1)</f>
        <v>0</v>
      </c>
      <c r="AJ130" t="str" s="640" cm="1">
        <f t="array" ref="AJ130">IF(B130/VLOOKUP(C112,'Boats Data Sheet 2026'!$C$3:$H$57,6,0)&gt;VLOOKUP(C112,'Allocation OH and Target 2026'!$C$5:$J$23,8,0),IF(SUM(AI114:AI129)=0,V130/B130,"N/A"),"N/A")</f>
        <v>N/A</v>
      </c>
      <c r="AK130" s="424" cm="1">
        <f t="array" ref="AK130">IF(AJ130="N/A",0,1)</f>
        <v>0</v>
      </c>
      <c r="AL130" t="str" s="628" cm="1">
        <f t="array" ref="AL130">IF(SUM(1250000+700000)*B130&lt;SUM(AB130:AC130),"NO GO","GO")</f>
        <v>GO</v>
      </c>
      <c r="AM130" s="424"/>
      <c r="AN130" s="639"/>
      <c r="AO130" s="639"/>
      <c r="AP130" s="639"/>
      <c r="AQ130" s="645"/>
      <c r="AR130" s="601" cm="1">
        <f t="array" ref="AR130">B130</f>
        <v>0</v>
      </c>
    </row>
    <row r="131" ht="9" customHeight="1" hidden="1">
      <c r="A131" s="12"/>
      <c r="B131" s="646">
        <v>0</v>
      </c>
      <c r="C131" t="str" s="640" cm="1">
        <f t="array" ref="C131">IF(B131&gt;0,IF(VLOOKUP(C112,'Boats Data Sheet 2026'!$C$3:$J$57,8,0)="N/A",0,VLOOKUP(C112,'Boats Data Sheet 2026'!$C$3:$J$57,8,0)),"N/A")</f>
        <v>N/A</v>
      </c>
      <c r="D131" t="str" s="640" cm="1">
        <f t="array" ref="D131">IF(B131&gt;7,2,IF(B131=0,"N/A",1))</f>
        <v>N/A</v>
      </c>
      <c r="E131" t="str" s="640" cm="1">
        <f t="array" ref="E131">_xlfn.IFERROR(SUM('Direct Costs 2026'!$C$4:$C$6)*D131,"N/A")</f>
        <v>N/A</v>
      </c>
      <c r="F131" s="639" cm="1">
        <f t="array" ref="F131">_xlfn.IFERROR('Direct Costs 2026'!$C$43*B131,"N/A")</f>
        <v>0</v>
      </c>
      <c r="G131" t="str" s="640" cm="1">
        <f t="array" ref="G131">IF(B131&gt;0,'Direct Costs 2026'!$C$25,"N/A")</f>
        <v>N/A</v>
      </c>
      <c r="H131" t="str" s="640" cm="1">
        <f t="array" ref="H131">IF(B131&gt;0,('Direct Costs 2026'!$C$19+'Direct Costs 2026'!$C$18*B131),"N/A")</f>
        <v>N/A</v>
      </c>
      <c r="I131" t="str" s="640" cm="1">
        <f t="array" ref="I131">IF(B131&gt;0,SUM('Direct Costs 2026'!$C$20:$C$21),"N/A")</f>
        <v>N/A</v>
      </c>
      <c r="J131" t="str" s="640" cm="1">
        <f t="array" ref="J131">IF(B131&gt;0,'Direct Costs 2026'!$C$14,"N/A")</f>
        <v>N/A</v>
      </c>
      <c r="K131" t="str" s="640" cm="1">
        <f t="array" ref="K131">IF(B131&gt;0,'Direct Costs 2026'!$C$26,"N/A")</f>
        <v>N/A</v>
      </c>
      <c r="L131" t="str" s="640" cm="1">
        <f t="array" ref="L131">IF(B131&gt;0,SUM('Direct Costs 2026'!$C$23:$C$24),"N/A")</f>
        <v>N/A</v>
      </c>
      <c r="M131" t="str" s="640" cm="1">
        <f t="array" ref="M131">IF(B131&gt;0,'Direct Costs 2026'!$C$45*B131,"N/A")</f>
        <v>N/A</v>
      </c>
      <c r="N131" t="str" s="640" cm="1">
        <f t="array" ref="N131">IF($B131&gt;0,'Direct Costs 2026'!$C$29,"N/A")</f>
        <v>N/A</v>
      </c>
      <c r="O131" t="str" s="640" cm="1">
        <f t="array" ref="O131">IF($B131&gt;0,'Direct Costs 2026'!$C$31,"N/A")</f>
        <v>N/A</v>
      </c>
      <c r="P131" t="str" s="640" cm="1">
        <f t="array" ref="P131">IF(B131&gt;0,'Direct Costs 2026'!$C$59*B131,"N/A")</f>
        <v>N/A</v>
      </c>
      <c r="Q131" t="str" s="640" cm="1">
        <f t="array" ref="Q131">IF(B131&gt;0,_xlfn.IFERROR(VLOOKUP(C112,'Boats Data Sheet 2026'!$C$3:$I$57,7,0)*'Direct Costs 2026'!$C$36,"N/A"),"N/A")</f>
        <v>N/A</v>
      </c>
      <c r="R131" s="639"/>
      <c r="S131" t="str" s="640" cm="1">
        <f t="array" ref="S131">IF(B131&gt;0,IF(OR(VLOOKUP(C112,'Boats Data Sheet 2026'!$C$3:$F$57,4,0)="Own",VLOOKUP(C112,'Boats Data Sheet 2026'!$C$3:$F$57,4,0)="Management"),('Direct Costs 2026'!$C$37+'Direct Costs 2026'!$C$39),"N/A"),"N/A")</f>
        <v>N/A</v>
      </c>
      <c r="T131" t="str" s="640" cm="1">
        <f t="array" ref="T131">_xlfn.IFERROR(IF(B131&gt;5,IF(B131&gt;11,IF(B131&gt;15,4,3),2),IF(B131=0,"N/A",1))*SUM('Direct Costs 2026'!$C$67:$C$68),"N/A")</f>
        <v>N/A</v>
      </c>
      <c r="U131" t="str" s="640" cm="1">
        <f t="array" ref="U131">_xlfn.IFERROR('Direct Costs 2026'!$C$27*C131,"N/A")</f>
        <v>N/A</v>
      </c>
      <c r="V131" t="str" s="640" cm="1">
        <f t="array" ref="V131">_xlfn.IFERROR(C131+SUM(E131:U131),"N/A")</f>
        <v>N/A</v>
      </c>
      <c r="W131" s="424"/>
      <c r="X131" t="str" s="640" cm="1">
        <f t="array" ref="X131">IF(B131&gt;0,'Allocation OH and Target 2026'!$E$31,"N/A")</f>
        <v>N/A</v>
      </c>
      <c r="Y131" t="str" s="640" cm="1">
        <f t="array" ref="Y131">IF(B131&gt;0,VLOOKUP(C112,'Allocation OH and Target 2026'!$C$5:$T$23,16,0),"N/A")</f>
        <v>N/A</v>
      </c>
      <c r="Z131" t="str" s="640" cm="1">
        <f t="array" ref="Z131">_xlfn.IFERROR((X131+Y131),"N/A")</f>
        <v>N/A</v>
      </c>
      <c r="AA131" s="424"/>
      <c r="AB131" t="str" s="640" cm="1">
        <f t="array" ref="AB131">_xlfn.IFERROR(Z131+V131,"N/A")</f>
        <v>N/A</v>
      </c>
      <c r="AC131" t="str" s="640" cm="1">
        <f t="array" ref="AC131">_xlfn.IFERROR(AB131*0.5%,"N/A")</f>
        <v>N/A</v>
      </c>
      <c r="AD131" t="str" s="640" cm="1">
        <f t="array" ref="AD131">_xlfn.IFERROR(AB131*25%,"N/A")</f>
        <v>N/A</v>
      </c>
      <c r="AE131" t="str" s="648" cm="1">
        <f t="array" ref="AE131">IF(B131&gt;0,SUM(AB131:AD131),"N/A")</f>
        <v>N/A</v>
      </c>
      <c r="AF131" t="str" s="640" cm="1">
        <f t="array" ref="AF131">_xlfn.IFERROR(AE131/B131,"N/A")</f>
        <v>N/A</v>
      </c>
      <c r="AG131" s="424"/>
      <c r="AH131" t="str" s="648" cm="1">
        <f t="array" ref="AH131">IF(B131/VLOOKUP(C112,'Boats Data Sheet 2026'!$C$3:$H$57,6,0)&gt;VLOOKUP(C112,'Allocation OH and Target 2026'!$C$5:$J$23,8,0),IF(SUM(AI114:AI130)=0,AF131,"N/A"),"N/A")</f>
        <v>N/A</v>
      </c>
      <c r="AI131" s="424" cm="1">
        <f t="array" ref="AI131">IF(AH131="N/A",0,1)</f>
        <v>0</v>
      </c>
      <c r="AJ131" t="str" s="640" cm="1">
        <f t="array" ref="AJ131">IF(B131/VLOOKUP(C112,'Boats Data Sheet 2026'!$C$3:$H$57,6,0)&gt;VLOOKUP(C112,'Allocation OH and Target 2026'!$C$5:$J$23,8,0),IF(SUM(AI114:AI130)=0,V131/B131,"N/A"),"N/A")</f>
        <v>N/A</v>
      </c>
      <c r="AK131" s="424" cm="1">
        <f t="array" ref="AK131">IF(AJ131="N/A",0,1)</f>
        <v>0</v>
      </c>
      <c r="AL131" t="str" s="628" cm="1">
        <f t="array" ref="AL131">IF(SUM(1250000+700000)*B131&lt;SUM(AB131:AC131),"NO GO","GO")</f>
        <v>GO</v>
      </c>
      <c r="AM131" s="424"/>
      <c r="AN131" s="639"/>
      <c r="AO131" s="639"/>
      <c r="AP131" s="639"/>
      <c r="AQ131" s="645"/>
      <c r="AR131" s="601" cm="1">
        <f t="array" ref="AR131">B131</f>
        <v>0</v>
      </c>
    </row>
    <row r="132" ht="15.5" customHeight="1">
      <c r="A132" s="12"/>
      <c r="B132" s="650">
        <v>0</v>
      </c>
      <c r="C132" t="str" s="651" cm="1">
        <f t="array" ref="C132">IF(B132&gt;0,IF(VLOOKUP(C112,'Boats Data Sheet 2026'!$C$3:$J$57,8,0)="N/A",0,VLOOKUP(C112,'Boats Data Sheet 2026'!$C$3:$J$57,8,0)),"N/A")</f>
        <v>N/A</v>
      </c>
      <c r="D132" t="str" s="651" cm="1">
        <f t="array" ref="D132">IF(B132&gt;7,2,IF(B132=0,"N/A",1))</f>
        <v>N/A</v>
      </c>
      <c r="E132" t="str" s="651" cm="1">
        <f t="array" ref="E132">_xlfn.IFERROR(SUM('Direct Costs 2026'!$C$4:$C$6)*D132,"N/A")</f>
        <v>N/A</v>
      </c>
      <c r="F132" s="652" cm="1">
        <f t="array" ref="F132">_xlfn.IFERROR('Direct Costs 2026'!$C$43*B132,"N/A")</f>
        <v>0</v>
      </c>
      <c r="G132" t="str" s="651" cm="1">
        <f t="array" ref="G132">IF(B132&gt;0,'Direct Costs 2026'!$C$25,"N/A")</f>
        <v>N/A</v>
      </c>
      <c r="H132" t="str" s="651" cm="1">
        <f t="array" ref="H132">IF(B132&gt;0,('Direct Costs 2026'!$C$19+'Direct Costs 2026'!$C$18*B132),"N/A")</f>
        <v>N/A</v>
      </c>
      <c r="I132" t="str" s="651" cm="1">
        <f t="array" ref="I132">IF(B132&gt;0,SUM('Direct Costs 2026'!$C$20:$C$21),"N/A")</f>
        <v>N/A</v>
      </c>
      <c r="J132" t="str" s="651" cm="1">
        <f t="array" ref="J132">IF(B132&gt;0,'Direct Costs 2026'!$C$14,"N/A")</f>
        <v>N/A</v>
      </c>
      <c r="K132" t="str" s="651" cm="1">
        <f t="array" ref="K132">IF(B132&gt;0,'Direct Costs 2026'!$C$26,"N/A")</f>
        <v>N/A</v>
      </c>
      <c r="L132" t="str" s="651" cm="1">
        <f t="array" ref="L132">IF(B132&gt;0,SUM('Direct Costs 2026'!$C$23:$C$24),"N/A")</f>
        <v>N/A</v>
      </c>
      <c r="M132" t="str" s="651" cm="1">
        <f t="array" ref="M132">IF(B132&gt;0,'Direct Costs 2026'!$C$45*B132,"N/A")</f>
        <v>N/A</v>
      </c>
      <c r="N132" t="str" s="651" cm="1">
        <f t="array" ref="N132">IF($B132&gt;0,'Direct Costs 2026'!$C$29,"N/A")</f>
        <v>N/A</v>
      </c>
      <c r="O132" t="str" s="651" cm="1">
        <f t="array" ref="O132">IF($B132&gt;0,'Direct Costs 2026'!$C$31,"N/A")</f>
        <v>N/A</v>
      </c>
      <c r="P132" t="str" s="651" cm="1">
        <f t="array" ref="P132">IF(B132&gt;0,'Direct Costs 2026'!$C$59*B132,"N/A")</f>
        <v>N/A</v>
      </c>
      <c r="Q132" t="str" s="651" cm="1">
        <f t="array" ref="Q132">IF(B132&gt;0,_xlfn.IFERROR(VLOOKUP(C112,'Boats Data Sheet 2026'!$C$3:$I$57,7,0)*'Direct Costs 2026'!$C$36,"N/A"),"N/A")</f>
        <v>N/A</v>
      </c>
      <c r="R132" s="652"/>
      <c r="S132" t="str" s="651" cm="1">
        <f t="array" ref="S132">IF(B132&gt;0,IF(OR(VLOOKUP(C112,'Boats Data Sheet 2026'!$C$3:$F$57,4,0)="Own",VLOOKUP(C112,'Boats Data Sheet 2026'!$C$3:$F$57,4,0)="Management"),('Direct Costs 2026'!$C$37+'Direct Costs 2026'!$C$39),"N/A"),"N/A")</f>
        <v>N/A</v>
      </c>
      <c r="T132" t="str" s="651" cm="1">
        <f t="array" ref="T132">_xlfn.IFERROR(IF(B132&gt;5,IF(B132&gt;11,IF(B132&gt;15,4,3),2),IF(B132=0,"N/A",1))*SUM('Direct Costs 2026'!$C$67:$C$68),"N/A")</f>
        <v>N/A</v>
      </c>
      <c r="U132" t="str" s="651" cm="1">
        <f t="array" ref="U132">_xlfn.IFERROR('Direct Costs 2026'!$C$27*C132,"N/A")</f>
        <v>N/A</v>
      </c>
      <c r="V132" t="str" s="651" cm="1">
        <f t="array" ref="V132">_xlfn.IFERROR(C132+SUM(E132:U132),"N/A")</f>
        <v>N/A</v>
      </c>
      <c r="W132" s="435"/>
      <c r="X132" t="str" s="651" cm="1">
        <f t="array" ref="X132">IF(B132&gt;0,'Allocation OH and Target 2026'!$E$31,"N/A")</f>
        <v>N/A</v>
      </c>
      <c r="Y132" t="str" s="651" cm="1">
        <f t="array" ref="Y132">IF(B132&gt;0,VLOOKUP(C112,'Allocation OH and Target 2026'!$C$5:$T$23,16,0),"N/A")</f>
        <v>N/A</v>
      </c>
      <c r="Z132" t="str" s="651" cm="1">
        <f t="array" ref="Z132">_xlfn.IFERROR((X132+Y132),"N/A")</f>
        <v>N/A</v>
      </c>
      <c r="AA132" s="435"/>
      <c r="AB132" t="str" s="651" cm="1">
        <f t="array" ref="AB132">_xlfn.IFERROR(Z132+V132,"N/A")</f>
        <v>N/A</v>
      </c>
      <c r="AC132" t="str" s="651" cm="1">
        <f t="array" ref="AC132">_xlfn.IFERROR(AB132*0.5%,"N/A")</f>
        <v>N/A</v>
      </c>
      <c r="AD132" t="str" s="651" cm="1">
        <f t="array" ref="AD132">_xlfn.IFERROR(AB132*25%,"N/A")</f>
        <v>N/A</v>
      </c>
      <c r="AE132" t="str" s="653" cm="1">
        <f t="array" ref="AE132">IF(B132&gt;0,SUM(AB132:AD132),"N/A")</f>
        <v>N/A</v>
      </c>
      <c r="AF132" t="str" s="651" cm="1">
        <f t="array" ref="AF132">_xlfn.IFERROR(AE132/B132,"N/A")</f>
        <v>N/A</v>
      </c>
      <c r="AG132" s="435"/>
      <c r="AH132" t="str" s="653" cm="1">
        <f t="array" ref="AH132">IF(B132/VLOOKUP(C112,'Boats Data Sheet 2026'!$C$3:$H$57,6,0)&gt;VLOOKUP(C112,'Allocation OH and Target 2026'!$C$5:$J$23,8,0),IF(SUM(AI114:AI131)=0,AF132,"N/A"),"N/A")</f>
        <v>N/A</v>
      </c>
      <c r="AI132" s="435" cm="1">
        <f t="array" ref="AI132">IF(AH132="N/A",0,1)</f>
        <v>0</v>
      </c>
      <c r="AJ132" t="str" s="651" cm="1">
        <f t="array" ref="AJ132">IF(B132/VLOOKUP(C112,'Boats Data Sheet 2026'!$C$3:$H$57,6,0)&gt;VLOOKUP(C112,'Allocation OH and Target 2026'!$C$5:$J$23,8,0),IF(SUM(AI114:AI131)=0,V132/B132,"N/A"),"N/A")</f>
        <v>N/A</v>
      </c>
      <c r="AK132" s="435" cm="1">
        <f t="array" ref="AK132">IF(AJ132="N/A",0,1)</f>
        <v>0</v>
      </c>
      <c r="AL132" t="str" s="654" cm="1">
        <f t="array" ref="AL132">IF(SUM(1250000+700000)*B132&lt;SUM(AB132:AC132),"NO GO","GO")</f>
        <v>GO</v>
      </c>
      <c r="AM132" s="435"/>
      <c r="AN132" s="652"/>
      <c r="AO132" s="652"/>
      <c r="AP132" s="652"/>
      <c r="AQ132" s="655"/>
      <c r="AR132" s="601" cm="1">
        <f t="array" ref="AR132">B132</f>
        <v>0</v>
      </c>
    </row>
    <row r="133" ht="16" customHeight="1">
      <c r="A133" s="32"/>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18"/>
    </row>
    <row r="134" ht="15.5" customHeight="1">
      <c r="A134" s="395">
        <v>7</v>
      </c>
      <c r="B134" t="s" s="619">
        <v>506</v>
      </c>
      <c r="C134" t="s" s="620">
        <v>56</v>
      </c>
      <c r="D134" s="622"/>
      <c r="E134" s="621"/>
      <c r="F134" s="621"/>
      <c r="G134" s="621"/>
      <c r="H134" s="621"/>
      <c r="I134" s="621"/>
      <c r="J134" s="621"/>
      <c r="K134" s="621"/>
      <c r="L134" s="621"/>
      <c r="M134" s="621"/>
      <c r="N134" s="621"/>
      <c r="O134" s="621"/>
      <c r="P134" s="621"/>
      <c r="Q134" s="621"/>
      <c r="R134" s="621"/>
      <c r="S134" s="621"/>
      <c r="T134" s="621"/>
      <c r="U134" s="621"/>
      <c r="V134" s="621"/>
      <c r="W134" s="399"/>
      <c r="X134" s="621"/>
      <c r="Y134" s="621"/>
      <c r="Z134" s="621"/>
      <c r="AA134" s="399"/>
      <c r="AB134" s="621"/>
      <c r="AC134" s="621"/>
      <c r="AD134" s="621"/>
      <c r="AE134" s="621"/>
      <c r="AF134" s="621"/>
      <c r="AG134" s="399"/>
      <c r="AH134" s="622"/>
      <c r="AI134" s="399"/>
      <c r="AJ134" s="621"/>
      <c r="AK134" s="399"/>
      <c r="AL134" s="621"/>
      <c r="AM134" s="399"/>
      <c r="AN134" s="621"/>
      <c r="AO134" s="621"/>
      <c r="AP134" s="621"/>
      <c r="AQ134" s="623"/>
      <c r="AR134" s="578"/>
    </row>
    <row r="135" ht="16" customHeight="1">
      <c r="A135" s="12"/>
      <c r="B135" s="624"/>
      <c r="C135" t="s" s="625">
        <v>513</v>
      </c>
      <c r="D135" s="626"/>
      <c r="E135" s="626"/>
      <c r="F135" s="626"/>
      <c r="G135" s="626"/>
      <c r="H135" s="626"/>
      <c r="I135" s="626"/>
      <c r="J135" s="626"/>
      <c r="K135" s="626"/>
      <c r="L135" s="626"/>
      <c r="M135" s="626"/>
      <c r="N135" s="626"/>
      <c r="O135" s="626"/>
      <c r="P135" s="626"/>
      <c r="Q135" s="626"/>
      <c r="R135" s="626"/>
      <c r="S135" s="626"/>
      <c r="T135" s="626"/>
      <c r="U135" s="626"/>
      <c r="V135" s="627"/>
      <c r="W135" s="407"/>
      <c r="X135" t="s" s="625">
        <v>514</v>
      </c>
      <c r="Y135" s="626"/>
      <c r="Z135" s="627"/>
      <c r="AA135" s="407"/>
      <c r="AB135" t="s" s="625">
        <v>515</v>
      </c>
      <c r="AC135" s="626"/>
      <c r="AD135" s="626"/>
      <c r="AE135" s="626"/>
      <c r="AF135" s="627"/>
      <c r="AG135" s="410"/>
      <c r="AH135" s="628"/>
      <c r="AI135" s="410"/>
      <c r="AJ135" s="629"/>
      <c r="AK135" s="410"/>
      <c r="AL135" s="629"/>
      <c r="AM135" s="410"/>
      <c r="AN135" s="629"/>
      <c r="AO135" s="629"/>
      <c r="AP135" s="629"/>
      <c r="AQ135" s="630"/>
      <c r="AR135" s="578"/>
    </row>
    <row r="136" ht="60.5" customHeight="1">
      <c r="A136" s="12"/>
      <c r="B136" t="s" s="631">
        <v>517</v>
      </c>
      <c r="C136" t="s" s="632">
        <v>518</v>
      </c>
      <c r="D136" t="s" s="632">
        <v>519</v>
      </c>
      <c r="E136" t="s" s="632">
        <v>520</v>
      </c>
      <c r="F136" t="s" s="633">
        <v>521</v>
      </c>
      <c r="G136" t="s" s="633">
        <v>522</v>
      </c>
      <c r="H136" t="s" s="633">
        <v>524</v>
      </c>
      <c r="I136" t="s" s="633">
        <v>525</v>
      </c>
      <c r="J136" t="s" s="633">
        <v>553</v>
      </c>
      <c r="K136" t="s" s="633">
        <v>526</v>
      </c>
      <c r="L136" t="s" s="633">
        <v>527</v>
      </c>
      <c r="M136" t="s" s="633">
        <v>528</v>
      </c>
      <c r="N136" t="s" s="633">
        <v>608</v>
      </c>
      <c r="O136" t="s" s="633">
        <v>609</v>
      </c>
      <c r="P136" t="s" s="633">
        <v>604</v>
      </c>
      <c r="Q136" t="s" s="633">
        <v>610</v>
      </c>
      <c r="R136" t="s" s="633">
        <v>529</v>
      </c>
      <c r="S136" t="s" s="633">
        <v>530</v>
      </c>
      <c r="T136" t="s" s="633">
        <v>572</v>
      </c>
      <c r="U136" t="s" s="633">
        <v>531</v>
      </c>
      <c r="V136" t="s" s="633">
        <v>532</v>
      </c>
      <c r="W136" s="556"/>
      <c r="X136" t="s" s="633">
        <v>533</v>
      </c>
      <c r="Y136" t="s" s="633">
        <v>534</v>
      </c>
      <c r="Z136" t="s" s="633">
        <v>535</v>
      </c>
      <c r="AA136" s="556"/>
      <c r="AB136" t="s" s="633">
        <v>536</v>
      </c>
      <c r="AC136" t="s" s="633">
        <v>537</v>
      </c>
      <c r="AD136" t="s" s="633">
        <v>538</v>
      </c>
      <c r="AE136" t="s" s="633">
        <v>575</v>
      </c>
      <c r="AF136" t="s" s="633">
        <v>539</v>
      </c>
      <c r="AG136" s="557"/>
      <c r="AH136" t="s" s="633">
        <v>576</v>
      </c>
      <c r="AI136" s="557"/>
      <c r="AJ136" t="s" s="633">
        <v>577</v>
      </c>
      <c r="AK136" s="557"/>
      <c r="AL136" t="s" s="632">
        <v>578</v>
      </c>
      <c r="AM136" s="557"/>
      <c r="AN136" s="634"/>
      <c r="AO136" s="634"/>
      <c r="AP136" s="634"/>
      <c r="AQ136" s="635"/>
      <c r="AR136" s="578"/>
    </row>
    <row r="137" ht="16.5" customHeight="1">
      <c r="A137" s="12"/>
      <c r="B137" s="636">
        <v>1</v>
      </c>
      <c r="C137" s="637" cm="1">
        <f t="array" ref="C137">IF(B137&gt;0,IF(VLOOKUP(C134,'Boats Data Sheet 2026'!$C$3:$J$57,8,0)="N/A",0,VLOOKUP(C134,'Boats Data Sheet 2026'!$C$3:$J$57,8,0)),"N/A")</f>
        <v>8000000</v>
      </c>
      <c r="D137" s="638" cm="1">
        <f t="array" ref="D137">IF(B137&gt;7,2,IF(B137=0,"N/A",1))</f>
        <v>1</v>
      </c>
      <c r="E137" s="637" cm="1">
        <f t="array" ref="E137">_xlfn.IFERROR(SUM('Direct Costs 2026'!$C$4:$C$6)*D137,"N/A")</f>
        <v>975500</v>
      </c>
      <c r="F137" s="639" cm="1">
        <f t="array" ref="F137">_xlfn.IFERROR('Direct Costs 2026'!$C$43*B137,"N/A")</f>
        <v>6000</v>
      </c>
      <c r="G137" s="639" cm="1">
        <f t="array" ref="G137">IF(B137&gt;0,'Direct Costs 2026'!$C$25,"N/A")</f>
        <v>90000</v>
      </c>
      <c r="H137" s="639" cm="1">
        <f t="array" ref="H137">IF(B137&gt;0,('Direct Costs 2026'!$C$19+'Direct Costs 2026'!$C$18*B137),"N/A")</f>
        <v>110000</v>
      </c>
      <c r="I137" s="639" cm="1">
        <f t="array" ref="I137">IF(B137&gt;0,SUM('Direct Costs 2026'!$C$20:$C$21),"N/A")</f>
        <v>98333.3333333333</v>
      </c>
      <c r="J137" s="639" cm="1">
        <f t="array" ref="J137">IF(B137&gt;0,'Direct Costs 2026'!$C$14,"N/A")</f>
        <v>60000</v>
      </c>
      <c r="K137" s="639" cm="1">
        <f t="array" ref="K137">IF(B137&gt;0,'Direct Costs 2026'!$C$26,"N/A")</f>
        <v>20000</v>
      </c>
      <c r="L137" s="639" cm="1">
        <f t="array" ref="L137">IF(B137&gt;0,SUM('Direct Costs 2026'!$C$23:$C$24),"N/A")</f>
        <v>160000</v>
      </c>
      <c r="M137" s="639" cm="1">
        <f t="array" ref="M137">IF(B137&gt;0,'Direct Costs 2026'!$C$49*B137,"N/A")</f>
        <v>200000</v>
      </c>
      <c r="N137" s="639" cm="1">
        <f t="array" ref="N137">IF($B137&gt;0,'Direct Costs 2026'!$C$29,"N/A")</f>
        <v>1500000</v>
      </c>
      <c r="O137" s="639" cm="1">
        <f t="array" ref="O137">IF($B137&gt;0,'Direct Costs 2026'!$C$31/3,"N/A")</f>
        <v>290000</v>
      </c>
      <c r="P137" s="639" cm="1">
        <f t="array" ref="P137">IF(B137&gt;0,'Direct Costs 2026'!$C$59*B137,"N/A")</f>
        <v>41000</v>
      </c>
      <c r="Q137" s="639" cm="1">
        <f t="array" ref="Q137">IF($B137&gt;0,'Direct Costs 2026'!$C$34,"N/A")</f>
        <v>550000</v>
      </c>
      <c r="R137" t="str" s="640" cm="1">
        <f t="array" ref="R137">IF(B137&gt;0,_xlfn.IFERROR(VLOOKUP(C134,'Boats Data Sheet 2026'!$C$3:$I$57,7,0)*'Direct Costs 2026'!$C$36,"N/A"),"N/A")</f>
        <v>N/A</v>
      </c>
      <c r="S137" t="str" s="640" cm="1">
        <f t="array" ref="S137">IF(B137&gt;0,IF(OR(VLOOKUP(C134,'Boats Data Sheet 2026'!$C$3:$F$57,4,0)="Own",VLOOKUP(C134,'Boats Data Sheet 2026'!$C$3:$F$57,4,0)="Management"),('Direct Costs 2026'!$C$37+'Direct Costs 2026'!$C$39),"N/A"),"N/A")</f>
        <v>N/A</v>
      </c>
      <c r="T137" s="639" cm="1">
        <f t="array" ref="T137">_xlfn.IFERROR(IF(B137&gt;5,IF(B137&gt;11,IF(B137&gt;15,4,3),2),IF(B137=0,"N/A",1))*SUM('Direct Costs 2026'!$C$67:$C$68),"N/A")</f>
        <v>489600</v>
      </c>
      <c r="U137" s="639" cm="1">
        <f t="array" ref="U137">_xlfn.IFERROR('Direct Costs 2026'!$C$27*C137,"N/A")</f>
        <v>160000</v>
      </c>
      <c r="V137" s="639" cm="1">
        <f t="array" ref="V137">_xlfn.IFERROR(C137+SUM(E137:U137),"N/A")</f>
        <v>12750433.3333333</v>
      </c>
      <c r="W137" s="424"/>
      <c r="X137" s="639" cm="1">
        <f t="array" ref="X137">IF(B137&gt;0,'Allocation OH and Target 2026'!$E$31,"N/A")</f>
        <v>3100447.15769812</v>
      </c>
      <c r="Y137" s="639" cm="1">
        <f t="array" ref="Y137">IF(B137&gt;0,VLOOKUP(C134,'Allocation OH and Target 2026'!$C$5:$T$23,17,0),"N/A")</f>
        <v>0</v>
      </c>
      <c r="Z137" s="639" cm="1">
        <f t="array" ref="Z137">_xlfn.IFERROR((X137+Y137),"N/A")</f>
        <v>3100447.15769812</v>
      </c>
      <c r="AA137" s="424"/>
      <c r="AB137" s="639" cm="1">
        <f t="array" ref="AB137">_xlfn.IFERROR(Z137+V137,"N/A")</f>
        <v>15850880.4910314</v>
      </c>
      <c r="AC137" s="639" cm="1">
        <f t="array" ref="AC137">_xlfn.IFERROR(AB137*0.5%,"N/A")</f>
        <v>79254.402455157</v>
      </c>
      <c r="AD137" s="639" cm="1">
        <f t="array" ref="AD137">_xlfn.IFERROR(AB137*25%,"N/A")</f>
        <v>3962720.12275785</v>
      </c>
      <c r="AE137" s="641" cm="1">
        <f t="array" ref="AE137">IF(B137&gt;0,SUM(AB137:AD137),"N/A")</f>
        <v>19892855.0162444</v>
      </c>
      <c r="AF137" s="639" cm="1">
        <f t="array" ref="AF137">_xlfn.IFERROR(AE137/B137,"N/A")</f>
        <v>19892855.0162444</v>
      </c>
      <c r="AG137" s="424"/>
      <c r="AH137" t="s" s="642">
        <v>14</v>
      </c>
      <c r="AI137" s="424" cm="1">
        <f t="array" ref="AI137">IF(AH137="N/A",0,1)</f>
        <v>0</v>
      </c>
      <c r="AJ137" t="s" s="643">
        <v>14</v>
      </c>
      <c r="AK137" s="424" cm="1">
        <f t="array" ref="AK137">IF(AJ137="N/A",0,1)</f>
        <v>0</v>
      </c>
      <c r="AL137" t="str" s="644" cm="1">
        <f t="array" ref="AL137">IF(SUM(1250000+700000)*B137&lt;SUM(AB137:AC137),"NO GO","GO")</f>
        <v>NO GO</v>
      </c>
      <c r="AM137" s="424"/>
      <c r="AN137" s="639"/>
      <c r="AO137" s="639"/>
      <c r="AP137" s="639"/>
      <c r="AQ137" s="645"/>
      <c r="AR137" s="601" cm="1">
        <f t="array" ref="AR137">B137</f>
        <v>1</v>
      </c>
    </row>
    <row r="138" ht="16" customHeight="1">
      <c r="A138" s="12"/>
      <c r="B138" s="646" cm="1">
        <f t="array" ref="B138">IF(B137=0,0,IF(B137&lt;VLOOKUP(C134,'Boats Data Sheet 2026'!$C$3:$H$57,6,0),B137+1,0))</f>
        <v>2</v>
      </c>
      <c r="C138" s="639" cm="1">
        <f t="array" ref="C138">IF(B138&gt;0,IF(VLOOKUP(C134,'Boats Data Sheet 2026'!$C$3:$J$57,8,0)="N/A",0,VLOOKUP(C134,'Boats Data Sheet 2026'!$C$3:$J$57,8,0)),"N/A")</f>
        <v>8000000</v>
      </c>
      <c r="D138" s="647" cm="1">
        <f t="array" ref="D138">IF(B138&gt;7,2,IF(B138=0,"N/A",1))</f>
        <v>1</v>
      </c>
      <c r="E138" s="639" cm="1">
        <f t="array" ref="E138">_xlfn.IFERROR(SUM('Direct Costs 2026'!$C$4:$C$6)*D138,"N/A")</f>
        <v>975500</v>
      </c>
      <c r="F138" s="639" cm="1">
        <f t="array" ref="F138">_xlfn.IFERROR('Direct Costs 2026'!$C$43*B138,"N/A")</f>
        <v>12000</v>
      </c>
      <c r="G138" s="639" cm="1">
        <f t="array" ref="G138">IF(B138&gt;0,'Direct Costs 2026'!$C$25,"N/A")</f>
        <v>90000</v>
      </c>
      <c r="H138" s="639" cm="1">
        <f t="array" ref="H138">IF(B138&gt;0,('Direct Costs 2026'!$C$19+'Direct Costs 2026'!$C$18*B138),"N/A")</f>
        <v>145000</v>
      </c>
      <c r="I138" s="639" cm="1">
        <f t="array" ref="I138">IF(B138&gt;0,SUM('Direct Costs 2026'!$C$20:$C$21),"N/A")</f>
        <v>98333.3333333333</v>
      </c>
      <c r="J138" s="639" cm="1">
        <f t="array" ref="J138">IF(B138&gt;0,'Direct Costs 2026'!$C$14,"N/A")</f>
        <v>60000</v>
      </c>
      <c r="K138" s="639" cm="1">
        <f t="array" ref="K138">IF(B138&gt;0,'Direct Costs 2026'!$C$26,"N/A")</f>
        <v>20000</v>
      </c>
      <c r="L138" s="639" cm="1">
        <f t="array" ref="L138">IF(B138&gt;0,SUM('Direct Costs 2026'!$C$23:$C$24),"N/A")</f>
        <v>160000</v>
      </c>
      <c r="M138" s="639" cm="1">
        <f t="array" ref="M138">IF(B138&gt;0,'Direct Costs 2026'!$C$49*B138,"N/A")</f>
        <v>400000</v>
      </c>
      <c r="N138" s="639" cm="1">
        <f t="array" ref="N138">IF($B138&gt;0,'Direct Costs 2026'!$C$29,"N/A")</f>
        <v>1500000</v>
      </c>
      <c r="O138" s="639" cm="1">
        <f t="array" ref="O138">IF($B138&gt;0,'Direct Costs 2026'!$C$31/3,"N/A")</f>
        <v>290000</v>
      </c>
      <c r="P138" s="639" cm="1">
        <f t="array" ref="P138">IF(B138&gt;0,'Direct Costs 2026'!$C$59*B138,"N/A")</f>
        <v>82000</v>
      </c>
      <c r="Q138" s="639" cm="1">
        <f t="array" ref="Q138">IF($B138&gt;0,'Direct Costs 2026'!$C$34,"N/A")</f>
        <v>550000</v>
      </c>
      <c r="R138" t="str" s="640" cm="1">
        <f t="array" ref="R138">IF(B138&gt;0,_xlfn.IFERROR(VLOOKUP(C134,'Boats Data Sheet 2026'!$C$3:$I$57,7,0)*'Direct Costs 2026'!$C$36,"N/A"),"N/A")</f>
        <v>N/A</v>
      </c>
      <c r="S138" t="str" s="640" cm="1">
        <f t="array" ref="S138">IF(B138&gt;0,IF(OR(VLOOKUP(C134,'Boats Data Sheet 2026'!$C$3:$F$57,4,0)="Own",VLOOKUP(C134,'Boats Data Sheet 2026'!$C$3:$F$57,4,0)="Management"),('Direct Costs 2026'!$C$37+'Direct Costs 2026'!$C$39),"N/A"),"N/A")</f>
        <v>N/A</v>
      </c>
      <c r="T138" s="639" cm="1">
        <f t="array" ref="T138">_xlfn.IFERROR(IF(B138&gt;5,IF(B138&gt;11,IF(B138&gt;15,4,3),2),IF(B138=0,"N/A",1))*SUM('Direct Costs 2026'!$C$67:$C$68),"N/A")</f>
        <v>489600</v>
      </c>
      <c r="U138" s="639" cm="1">
        <f t="array" ref="U138">_xlfn.IFERROR('Direct Costs 2026'!$C$27*C138,"N/A")</f>
        <v>160000</v>
      </c>
      <c r="V138" s="639" cm="1">
        <f t="array" ref="V138">_xlfn.IFERROR(C138+SUM(E138:U138),"N/A")</f>
        <v>13032433.3333333</v>
      </c>
      <c r="W138" s="424"/>
      <c r="X138" s="639" cm="1">
        <f t="array" ref="X138">IF(B138&gt;0,'Allocation OH and Target 2026'!$E$31,"N/A")</f>
        <v>3100447.15769812</v>
      </c>
      <c r="Y138" s="639" cm="1">
        <f t="array" ref="Y138">IF(B138&gt;0,VLOOKUP(C134,'Allocation OH and Target 2026'!$C$5:$T$23,17,0),"N/A")</f>
        <v>0</v>
      </c>
      <c r="Z138" s="639" cm="1">
        <f t="array" ref="Z138">_xlfn.IFERROR((X138+Y138),"N/A")</f>
        <v>3100447.15769812</v>
      </c>
      <c r="AA138" s="424"/>
      <c r="AB138" s="639" cm="1">
        <f t="array" ref="AB138">_xlfn.IFERROR(Z138+V138,"N/A")</f>
        <v>16132880.4910314</v>
      </c>
      <c r="AC138" s="639" cm="1">
        <f t="array" ref="AC138">_xlfn.IFERROR(AB138*0.5%,"N/A")</f>
        <v>80664.402455157</v>
      </c>
      <c r="AD138" s="639" cm="1">
        <f t="array" ref="AD138">_xlfn.IFERROR(AB138*25%,"N/A")</f>
        <v>4033220.12275785</v>
      </c>
      <c r="AE138" s="641" cm="1">
        <f t="array" ref="AE138">IF(B138&gt;0,SUM(AB138:AD138),"N/A")</f>
        <v>20246765.0162444</v>
      </c>
      <c r="AF138" s="639" cm="1">
        <f t="array" ref="AF138">_xlfn.IFERROR(AE138/B138,"N/A")</f>
        <v>10123382.5081222</v>
      </c>
      <c r="AG138" s="424"/>
      <c r="AH138" t="str" s="648" cm="1">
        <f t="array" ref="AH138">IF(B138/VLOOKUP(C134,'Boats Data Sheet 2026'!$C$3:$H$57,6,0)&gt;VLOOKUP(C134,'Allocation OH and Target 2026'!$C$5:$J$23,8,0),IF(SUM(AI136:AI137)=0,AF138,"N/A"),"N/A")</f>
        <v>N/A</v>
      </c>
      <c r="AI138" s="424" cm="1">
        <f t="array" ref="AI138">IF(AH138="N/A",0,1)</f>
        <v>0</v>
      </c>
      <c r="AJ138" t="str" s="640" cm="1">
        <f t="array" ref="AJ138">IF(B138/VLOOKUP(C134,'Boats Data Sheet 2026'!$C$3:$H$57,6,0)&gt;VLOOKUP(C134,'Allocation OH and Target 2026'!$C$5:$J$23,8,0),IF(SUM(AI136:AI137)=0,V138/B138,"N/A"),"N/A")</f>
        <v>N/A</v>
      </c>
      <c r="AK138" s="424" cm="1">
        <f t="array" ref="AK138">IF(AJ138="N/A",0,1)</f>
        <v>0</v>
      </c>
      <c r="AL138" t="str" s="628" cm="1">
        <f t="array" ref="AL138">IF(SUM(1250000+700000)*B138&lt;SUM(AB138:AC138),"NO GO","GO")</f>
        <v>NO GO</v>
      </c>
      <c r="AM138" s="424"/>
      <c r="AN138" s="639"/>
      <c r="AO138" s="639"/>
      <c r="AP138" s="639"/>
      <c r="AQ138" s="645"/>
      <c r="AR138" s="601" cm="1">
        <f t="array" ref="AR138">B138</f>
        <v>2</v>
      </c>
    </row>
    <row r="139" ht="16" customHeight="1">
      <c r="A139" s="12"/>
      <c r="B139" s="646">
        <v>0</v>
      </c>
      <c r="C139" t="str" s="640" cm="1">
        <f t="array" ref="C139">IF(B139&gt;0,IF(VLOOKUP(C134,'Boats Data Sheet 2026'!$C$3:$J$57,8,0)="N/A",0,VLOOKUP(C134,'Boats Data Sheet 2026'!$C$3:$J$57,8,0)),"N/A")</f>
        <v>N/A</v>
      </c>
      <c r="D139" t="str" s="649" cm="1">
        <f t="array" ref="D139">IF(B139&gt;7,2,IF(B139=0,"N/A",1))</f>
        <v>N/A</v>
      </c>
      <c r="E139" t="str" s="640" cm="1">
        <f t="array" ref="E139">_xlfn.IFERROR(SUM('Direct Costs 2026'!$C$4:$C$6)*D139,"N/A")</f>
        <v>N/A</v>
      </c>
      <c r="F139" s="639" cm="1">
        <f t="array" ref="F139">_xlfn.IFERROR('Direct Costs 2026'!$C$43*B139,"N/A")</f>
        <v>0</v>
      </c>
      <c r="G139" t="str" s="640" cm="1">
        <f t="array" ref="G139">IF(B139&gt;0,'Direct Costs 2026'!$C$25,"N/A")</f>
        <v>N/A</v>
      </c>
      <c r="H139" t="str" s="640" cm="1">
        <f t="array" ref="H139">IF(B139&gt;0,('Direct Costs 2026'!$C$19+'Direct Costs 2026'!$C$18*B139),"N/A")</f>
        <v>N/A</v>
      </c>
      <c r="I139" t="str" s="640" cm="1">
        <f t="array" ref="I139">IF(B139&gt;0,SUM('Direct Costs 2026'!$C$20:$C$21),"N/A")</f>
        <v>N/A</v>
      </c>
      <c r="J139" t="str" s="640" cm="1">
        <f t="array" ref="J139">IF(B139&gt;0,'Direct Costs 2026'!$C$14,"N/A")</f>
        <v>N/A</v>
      </c>
      <c r="K139" t="str" s="640" cm="1">
        <f t="array" ref="K139">IF(B139&gt;0,'Direct Costs 2026'!$C$26,"N/A")</f>
        <v>N/A</v>
      </c>
      <c r="L139" t="str" s="640" cm="1">
        <f t="array" ref="L139">IF(B139&gt;0,SUM('Direct Costs 2026'!$C$23:$C$24),"N/A")</f>
        <v>N/A</v>
      </c>
      <c r="M139" t="str" s="640" cm="1">
        <f t="array" ref="M139">IF(B139&gt;0,'Direct Costs 2026'!$C$45*B139,"N/A")</f>
        <v>N/A</v>
      </c>
      <c r="N139" t="str" s="640" cm="1">
        <f t="array" ref="N139">IF($B139&gt;0,'Direct Costs 2026'!$C$29,"N/A")</f>
        <v>N/A</v>
      </c>
      <c r="O139" t="str" s="640" cm="1">
        <f t="array" ref="O139">IF($B139&gt;0,'Direct Costs 2026'!$C$31,"N/A")</f>
        <v>N/A</v>
      </c>
      <c r="P139" t="str" s="640" cm="1">
        <f t="array" ref="P139">IF(B139&gt;0,'Direct Costs 2026'!$C$59*B139,"N/A")</f>
        <v>N/A</v>
      </c>
      <c r="Q139" t="str" s="640" cm="1">
        <f t="array" ref="Q139">IF(B139&gt;0,_xlfn.IFERROR(VLOOKUP(C134,'Boats Data Sheet 2026'!$C$3:$I$57,7,0)*'Direct Costs 2026'!$C$36,"N/A"),"N/A")</f>
        <v>N/A</v>
      </c>
      <c r="R139" s="639"/>
      <c r="S139" t="str" s="640" cm="1">
        <f t="array" ref="S139">IF(B139&gt;0,IF(OR(VLOOKUP(C134,'Boats Data Sheet 2026'!$C$3:$F$57,4,0)="Own",VLOOKUP(C134,'Boats Data Sheet 2026'!$C$3:$F$57,4,0)="Management"),('Direct Costs 2026'!$C$37+'Direct Costs 2026'!$C$39),"N/A"),"N/A")</f>
        <v>N/A</v>
      </c>
      <c r="T139" t="str" s="640" cm="1">
        <f t="array" ref="T139">_xlfn.IFERROR(IF(B139&gt;5,IF(B139&gt;11,IF(B139&gt;15,4,3),2),IF(B139=0,"N/A",1))*SUM('Direct Costs 2026'!$C$67:$C$68),"N/A")</f>
        <v>N/A</v>
      </c>
      <c r="U139" t="str" s="640" cm="1">
        <f t="array" ref="U139">_xlfn.IFERROR('Direct Costs 2026'!$C$27*C139,"N/A")</f>
        <v>N/A</v>
      </c>
      <c r="V139" t="str" s="640" cm="1">
        <f t="array" ref="V139">_xlfn.IFERROR(C139+SUM(E139:U139),"N/A")</f>
        <v>N/A</v>
      </c>
      <c r="W139" s="424"/>
      <c r="X139" t="str" s="640" cm="1">
        <f t="array" ref="X139">IF(B139&gt;0,'Allocation OH and Target 2026'!$E$31,"N/A")</f>
        <v>N/A</v>
      </c>
      <c r="Y139" t="str" s="640" cm="1">
        <f t="array" ref="Y139">IF(B139&gt;0,VLOOKUP(C134,'Allocation OH and Target 2026'!$C$5:$T$23,16,0),"N/A")</f>
        <v>N/A</v>
      </c>
      <c r="Z139" t="str" s="640" cm="1">
        <f t="array" ref="Z139">_xlfn.IFERROR((X139+Y139),"N/A")</f>
        <v>N/A</v>
      </c>
      <c r="AA139" s="424"/>
      <c r="AB139" t="str" s="640" cm="1">
        <f t="array" ref="AB139">_xlfn.IFERROR(Z139+V139,"N/A")</f>
        <v>N/A</v>
      </c>
      <c r="AC139" t="str" s="640" cm="1">
        <f t="array" ref="AC139">_xlfn.IFERROR(AB139*0.5%,"N/A")</f>
        <v>N/A</v>
      </c>
      <c r="AD139" t="str" s="640" cm="1">
        <f t="array" ref="AD139">_xlfn.IFERROR(AB139*25%,"N/A")</f>
        <v>N/A</v>
      </c>
      <c r="AE139" t="str" s="648" cm="1">
        <f t="array" ref="AE139">IF(B139&gt;0,SUM(AB139:AD139),"N/A")</f>
        <v>N/A</v>
      </c>
      <c r="AF139" t="str" s="640" cm="1">
        <f t="array" ref="AF139">_xlfn.IFERROR(AE139/B139,"N/A")</f>
        <v>N/A</v>
      </c>
      <c r="AG139" s="424"/>
      <c r="AH139" t="str" s="648" cm="1">
        <f t="array" ref="AH139">IF(B139/VLOOKUP(C134,'Boats Data Sheet 2026'!$C$3:$H$57,6,0)&gt;VLOOKUP(C134,'Allocation OH and Target 2026'!$C$5:$J$23,8,0),IF(SUM(AI136:AI138)=0,AF139,"N/A"),"N/A")</f>
        <v>N/A</v>
      </c>
      <c r="AI139" s="424" cm="1">
        <f t="array" ref="AI139">IF(AH139="N/A",0,1)</f>
        <v>0</v>
      </c>
      <c r="AJ139" t="str" s="640" cm="1">
        <f t="array" ref="AJ139">IF(B139/VLOOKUP(C134,'Boats Data Sheet 2026'!$C$3:$H$57,6,0)&gt;VLOOKUP(C134,'Allocation OH and Target 2026'!$C$5:$J$23,8,0),IF(SUM(AI136:AI138)=0,V139/B139,"N/A"),"N/A")</f>
        <v>N/A</v>
      </c>
      <c r="AK139" s="424" cm="1">
        <f t="array" ref="AK139">IF(AJ139="N/A",0,1)</f>
        <v>0</v>
      </c>
      <c r="AL139" t="str" s="628" cm="1">
        <f t="array" ref="AL139">IF(SUM(1250000+700000)*B139&lt;SUM(AB139:AC139),"NO GO","GO")</f>
        <v>GO</v>
      </c>
      <c r="AM139" s="424"/>
      <c r="AN139" s="639"/>
      <c r="AO139" s="639"/>
      <c r="AP139" s="639"/>
      <c r="AQ139" s="645"/>
      <c r="AR139" s="601" cm="1">
        <f t="array" ref="AR139">B139</f>
        <v>0</v>
      </c>
    </row>
    <row r="140" ht="9" customHeight="1" hidden="1">
      <c r="A140" s="12"/>
      <c r="B140" s="646">
        <v>0</v>
      </c>
      <c r="C140" t="str" s="640" cm="1">
        <f t="array" ref="C140">IF(B140&gt;0,IF(VLOOKUP(C134,'Boats Data Sheet 2026'!$C$3:$J$57,8,0)="N/A",0,VLOOKUP(C134,'Boats Data Sheet 2026'!$C$3:$J$57,8,0)),"N/A")</f>
        <v>N/A</v>
      </c>
      <c r="D140" t="str" s="649" cm="1">
        <f t="array" ref="D140">IF(B140&gt;7,2,IF(B140=0,"N/A",1))</f>
        <v>N/A</v>
      </c>
      <c r="E140" t="str" s="640" cm="1">
        <f t="array" ref="E140">_xlfn.IFERROR(SUM('Direct Costs 2026'!$C$4:$C$6)*D140,"N/A")</f>
        <v>N/A</v>
      </c>
      <c r="F140" s="639" cm="1">
        <f t="array" ref="F140">_xlfn.IFERROR('Direct Costs 2026'!$C$43*B140,"N/A")</f>
        <v>0</v>
      </c>
      <c r="G140" t="str" s="640" cm="1">
        <f t="array" ref="G140">IF(B140&gt;0,'Direct Costs 2026'!$C$25,"N/A")</f>
        <v>N/A</v>
      </c>
      <c r="H140" t="str" s="640" cm="1">
        <f t="array" ref="H140">IF(B140&gt;0,('Direct Costs 2026'!$C$19+'Direct Costs 2026'!$C$18*B140),"N/A")</f>
        <v>N/A</v>
      </c>
      <c r="I140" t="str" s="640" cm="1">
        <f t="array" ref="I140">IF(B140&gt;0,SUM('Direct Costs 2026'!$C$20:$C$21),"N/A")</f>
        <v>N/A</v>
      </c>
      <c r="J140" t="str" s="640" cm="1">
        <f t="array" ref="J140">IF(B140&gt;0,'Direct Costs 2026'!$C$14,"N/A")</f>
        <v>N/A</v>
      </c>
      <c r="K140" t="str" s="640" cm="1">
        <f t="array" ref="K140">IF(B140&gt;0,'Direct Costs 2026'!$C$26,"N/A")</f>
        <v>N/A</v>
      </c>
      <c r="L140" t="str" s="640" cm="1">
        <f t="array" ref="L140">IF(B140&gt;0,SUM('Direct Costs 2026'!$C$23:$C$24),"N/A")</f>
        <v>N/A</v>
      </c>
      <c r="M140" t="str" s="640" cm="1">
        <f t="array" ref="M140">IF(B140&gt;0,'Direct Costs 2026'!$C$45*B140,"N/A")</f>
        <v>N/A</v>
      </c>
      <c r="N140" t="str" s="640" cm="1">
        <f t="array" ref="N140">IF($B140&gt;0,'Direct Costs 2026'!$C$29,"N/A")</f>
        <v>N/A</v>
      </c>
      <c r="O140" t="str" s="640" cm="1">
        <f t="array" ref="O140">IF($B140&gt;0,'Direct Costs 2026'!$C$31,"N/A")</f>
        <v>N/A</v>
      </c>
      <c r="P140" t="str" s="640" cm="1">
        <f t="array" ref="P140">IF(B140&gt;0,'Direct Costs 2026'!$C$59*B140,"N/A")</f>
        <v>N/A</v>
      </c>
      <c r="Q140" t="str" s="640" cm="1">
        <f t="array" ref="Q140">IF(B140&gt;0,_xlfn.IFERROR(VLOOKUP(C134,'Boats Data Sheet 2026'!$C$3:$I$57,7,0)*'Direct Costs 2026'!$C$36,"N/A"),"N/A")</f>
        <v>N/A</v>
      </c>
      <c r="R140" s="639"/>
      <c r="S140" t="str" s="640" cm="1">
        <f t="array" ref="S140">IF(B140&gt;0,IF(OR(VLOOKUP(C134,'Boats Data Sheet 2026'!$C$3:$F$57,4,0)="Own",VLOOKUP(C134,'Boats Data Sheet 2026'!$C$3:$F$57,4,0)="Management"),('Direct Costs 2026'!$C$37+'Direct Costs 2026'!$C$39),"N/A"),"N/A")</f>
        <v>N/A</v>
      </c>
      <c r="T140" t="str" s="640" cm="1">
        <f t="array" ref="T140">_xlfn.IFERROR(IF(B140&gt;5,IF(B140&gt;11,IF(B140&gt;15,4,3),2),IF(B140=0,"N/A",1))*SUM('Direct Costs 2026'!$C$67:$C$68),"N/A")</f>
        <v>N/A</v>
      </c>
      <c r="U140" t="str" s="640" cm="1">
        <f t="array" ref="U140">_xlfn.IFERROR('Direct Costs 2026'!$C$27*C140,"N/A")</f>
        <v>N/A</v>
      </c>
      <c r="V140" t="str" s="640" cm="1">
        <f t="array" ref="V140">_xlfn.IFERROR(C140+SUM(E140:U140),"N/A")</f>
        <v>N/A</v>
      </c>
      <c r="W140" s="424"/>
      <c r="X140" t="str" s="640" cm="1">
        <f t="array" ref="X140">IF(B140&gt;0,'Allocation OH and Target 2026'!$E$31,"N/A")</f>
        <v>N/A</v>
      </c>
      <c r="Y140" t="str" s="640" cm="1">
        <f t="array" ref="Y140">IF(B140&gt;0,VLOOKUP(C134,'Allocation OH and Target 2026'!$C$5:$T$23,16,0),"N/A")</f>
        <v>N/A</v>
      </c>
      <c r="Z140" t="str" s="640" cm="1">
        <f t="array" ref="Z140">_xlfn.IFERROR((X140+Y140),"N/A")</f>
        <v>N/A</v>
      </c>
      <c r="AA140" s="424"/>
      <c r="AB140" t="str" s="640" cm="1">
        <f t="array" ref="AB140">_xlfn.IFERROR(Z140+V140,"N/A")</f>
        <v>N/A</v>
      </c>
      <c r="AC140" t="str" s="640" cm="1">
        <f t="array" ref="AC140">_xlfn.IFERROR(AB140*0.5%,"N/A")</f>
        <v>N/A</v>
      </c>
      <c r="AD140" t="str" s="640" cm="1">
        <f t="array" ref="AD140">_xlfn.IFERROR(AB140*25%,"N/A")</f>
        <v>N/A</v>
      </c>
      <c r="AE140" t="str" s="648" cm="1">
        <f t="array" ref="AE140">IF(B140&gt;0,SUM(AB140:AD140),"N/A")</f>
        <v>N/A</v>
      </c>
      <c r="AF140" t="str" s="640" cm="1">
        <f t="array" ref="AF140">_xlfn.IFERROR(AE140/B140,"N/A")</f>
        <v>N/A</v>
      </c>
      <c r="AG140" s="424"/>
      <c r="AH140" t="str" s="648" cm="1">
        <f t="array" ref="AH140">IF(B140/VLOOKUP(C134,'Boats Data Sheet 2026'!$C$3:$H$57,6,0)&gt;VLOOKUP(C134,'Allocation OH and Target 2026'!$C$5:$J$23,8,0),IF(SUM(AI136:AI139)=0,AF140,"N/A"),"N/A")</f>
        <v>N/A</v>
      </c>
      <c r="AI140" s="424" cm="1">
        <f t="array" ref="AI140">IF(AH140="N/A",0,1)</f>
        <v>0</v>
      </c>
      <c r="AJ140" t="str" s="640" cm="1">
        <f t="array" ref="AJ140">IF(B140/VLOOKUP(C134,'Boats Data Sheet 2026'!$C$3:$H$57,6,0)&gt;VLOOKUP(C134,'Allocation OH and Target 2026'!$C$5:$J$23,8,0),IF(SUM(AI136:AI139)=0,V140/B140,"N/A"),"N/A")</f>
        <v>N/A</v>
      </c>
      <c r="AK140" s="424" cm="1">
        <f t="array" ref="AK140">IF(AJ140="N/A",0,1)</f>
        <v>0</v>
      </c>
      <c r="AL140" t="str" s="628" cm="1">
        <f t="array" ref="AL140">IF(SUM(1250000+700000)*B140&lt;SUM(AB140:AC140),"NO GO","GO")</f>
        <v>GO</v>
      </c>
      <c r="AM140" s="424"/>
      <c r="AN140" s="639"/>
      <c r="AO140" s="639"/>
      <c r="AP140" s="639"/>
      <c r="AQ140" s="645"/>
      <c r="AR140" s="601" cm="1">
        <f t="array" ref="AR140">B140</f>
        <v>0</v>
      </c>
    </row>
    <row r="141" ht="9" customHeight="1" hidden="1">
      <c r="A141" s="12"/>
      <c r="B141" s="646">
        <v>0</v>
      </c>
      <c r="C141" t="str" s="640" cm="1">
        <f t="array" ref="C141">IF(B141&gt;0,IF(VLOOKUP(C134,'Boats Data Sheet 2026'!$C$3:$J$57,8,0)="N/A",0,VLOOKUP(C134,'Boats Data Sheet 2026'!$C$3:$J$57,8,0)),"N/A")</f>
        <v>N/A</v>
      </c>
      <c r="D141" t="str" s="649" cm="1">
        <f t="array" ref="D141">IF(B141&gt;7,2,IF(B141=0,"N/A",1))</f>
        <v>N/A</v>
      </c>
      <c r="E141" t="str" s="640" cm="1">
        <f t="array" ref="E141">_xlfn.IFERROR(SUM('Direct Costs 2026'!$C$4:$C$6)*D141,"N/A")</f>
        <v>N/A</v>
      </c>
      <c r="F141" s="639" cm="1">
        <f t="array" ref="F141">_xlfn.IFERROR('Direct Costs 2026'!$C$43*B141,"N/A")</f>
        <v>0</v>
      </c>
      <c r="G141" t="str" s="640" cm="1">
        <f t="array" ref="G141">IF(B141&gt;0,'Direct Costs 2026'!$C$25,"N/A")</f>
        <v>N/A</v>
      </c>
      <c r="H141" t="str" s="640" cm="1">
        <f t="array" ref="H141">IF(B141&gt;0,('Direct Costs 2026'!$C$19+'Direct Costs 2026'!$C$18*B141),"N/A")</f>
        <v>N/A</v>
      </c>
      <c r="I141" t="str" s="640" cm="1">
        <f t="array" ref="I141">IF(B141&gt;0,SUM('Direct Costs 2026'!$C$20:$C$21),"N/A")</f>
        <v>N/A</v>
      </c>
      <c r="J141" t="str" s="640" cm="1">
        <f t="array" ref="J141">IF(B141&gt;0,'Direct Costs 2026'!$C$14,"N/A")</f>
        <v>N/A</v>
      </c>
      <c r="K141" t="str" s="640" cm="1">
        <f t="array" ref="K141">IF(B141&gt;0,'Direct Costs 2026'!$C$26,"N/A")</f>
        <v>N/A</v>
      </c>
      <c r="L141" t="str" s="640" cm="1">
        <f t="array" ref="L141">IF(B141&gt;0,SUM('Direct Costs 2026'!$C$23:$C$24),"N/A")</f>
        <v>N/A</v>
      </c>
      <c r="M141" t="str" s="640" cm="1">
        <f t="array" ref="M141">IF(B141&gt;0,'Direct Costs 2026'!$C$45*B141,"N/A")</f>
        <v>N/A</v>
      </c>
      <c r="N141" t="str" s="640" cm="1">
        <f t="array" ref="N141">IF($B141&gt;0,'Direct Costs 2026'!$C$29,"N/A")</f>
        <v>N/A</v>
      </c>
      <c r="O141" t="str" s="640" cm="1">
        <f t="array" ref="O141">IF($B141&gt;0,'Direct Costs 2026'!$C$31,"N/A")</f>
        <v>N/A</v>
      </c>
      <c r="P141" t="str" s="640" cm="1">
        <f t="array" ref="P141">IF(B141&gt;0,'Direct Costs 2026'!$C$59*B141,"N/A")</f>
        <v>N/A</v>
      </c>
      <c r="Q141" t="str" s="640" cm="1">
        <f t="array" ref="Q141">IF(B141&gt;0,_xlfn.IFERROR(VLOOKUP(C134,'Boats Data Sheet 2026'!$C$3:$I$57,7,0)*'Direct Costs 2026'!$C$36,"N/A"),"N/A")</f>
        <v>N/A</v>
      </c>
      <c r="R141" s="639"/>
      <c r="S141" t="str" s="640" cm="1">
        <f t="array" ref="S141">IF(B141&gt;0,IF(OR(VLOOKUP(C134,'Boats Data Sheet 2026'!$C$3:$F$57,4,0)="Own",VLOOKUP(C134,'Boats Data Sheet 2026'!$C$3:$F$57,4,0)="Management"),('Direct Costs 2026'!$C$37+'Direct Costs 2026'!$C$39),"N/A"),"N/A")</f>
        <v>N/A</v>
      </c>
      <c r="T141" t="str" s="640" cm="1">
        <f t="array" ref="T141">_xlfn.IFERROR(IF(B141&gt;5,IF(B141&gt;11,IF(B141&gt;15,4,3),2),IF(B141=0,"N/A",1))*SUM('Direct Costs 2026'!$C$67:$C$68),"N/A")</f>
        <v>N/A</v>
      </c>
      <c r="U141" t="str" s="640" cm="1">
        <f t="array" ref="U141">_xlfn.IFERROR('Direct Costs 2026'!$C$27*C141,"N/A")</f>
        <v>N/A</v>
      </c>
      <c r="V141" t="str" s="640" cm="1">
        <f t="array" ref="V141">_xlfn.IFERROR(C141+SUM(E141:U141),"N/A")</f>
        <v>N/A</v>
      </c>
      <c r="W141" s="424"/>
      <c r="X141" t="str" s="640" cm="1">
        <f t="array" ref="X141">IF(B141&gt;0,'Allocation OH and Target 2026'!$E$31,"N/A")</f>
        <v>N/A</v>
      </c>
      <c r="Y141" t="str" s="640" cm="1">
        <f t="array" ref="Y141">IF(B141&gt;0,VLOOKUP(C134,'Allocation OH and Target 2026'!$C$5:$T$23,16,0),"N/A")</f>
        <v>N/A</v>
      </c>
      <c r="Z141" t="str" s="640" cm="1">
        <f t="array" ref="Z141">_xlfn.IFERROR((X141+Y141),"N/A")</f>
        <v>N/A</v>
      </c>
      <c r="AA141" s="424"/>
      <c r="AB141" t="str" s="640" cm="1">
        <f t="array" ref="AB141">_xlfn.IFERROR(Z141+V141,"N/A")</f>
        <v>N/A</v>
      </c>
      <c r="AC141" t="str" s="640" cm="1">
        <f t="array" ref="AC141">_xlfn.IFERROR(AB141*0.5%,"N/A")</f>
        <v>N/A</v>
      </c>
      <c r="AD141" t="str" s="640" cm="1">
        <f t="array" ref="AD141">_xlfn.IFERROR(AB141*25%,"N/A")</f>
        <v>N/A</v>
      </c>
      <c r="AE141" t="str" s="648" cm="1">
        <f t="array" ref="AE141">IF(B141&gt;0,SUM(AB141:AD141),"N/A")</f>
        <v>N/A</v>
      </c>
      <c r="AF141" t="str" s="640" cm="1">
        <f t="array" ref="AF141">_xlfn.IFERROR(AE141/B141,"N/A")</f>
        <v>N/A</v>
      </c>
      <c r="AG141" s="424"/>
      <c r="AH141" t="str" s="648" cm="1">
        <f t="array" ref="AH141">IF(B141/VLOOKUP(C134,'Boats Data Sheet 2026'!$C$3:$H$57,6,0)&gt;VLOOKUP(C134,'Allocation OH and Target 2026'!$C$5:$J$23,8,0),IF(SUM(AI136:AI140)=0,AF141,"N/A"),"N/A")</f>
        <v>N/A</v>
      </c>
      <c r="AI141" s="424" cm="1">
        <f t="array" ref="AI141">IF(AH141="N/A",0,1)</f>
        <v>0</v>
      </c>
      <c r="AJ141" t="str" s="640" cm="1">
        <f t="array" ref="AJ141">IF(B141/VLOOKUP(C134,'Boats Data Sheet 2026'!$C$3:$H$57,6,0)&gt;VLOOKUP(C134,'Allocation OH and Target 2026'!$C$5:$J$23,8,0),IF(SUM(AI136:AI140)=0,V141/B141,"N/A"),"N/A")</f>
        <v>N/A</v>
      </c>
      <c r="AK141" s="424" cm="1">
        <f t="array" ref="AK141">IF(AJ141="N/A",0,1)</f>
        <v>0</v>
      </c>
      <c r="AL141" t="str" s="628" cm="1">
        <f t="array" ref="AL141">IF(SUM(1250000+700000)*B141&lt;SUM(AB141:AC141),"NO GO","GO")</f>
        <v>GO</v>
      </c>
      <c r="AM141" s="424"/>
      <c r="AN141" s="639"/>
      <c r="AO141" s="639"/>
      <c r="AP141" s="639"/>
      <c r="AQ141" s="645"/>
      <c r="AR141" s="601" cm="1">
        <f t="array" ref="AR141">B141</f>
        <v>0</v>
      </c>
    </row>
    <row r="142" ht="9" customHeight="1" hidden="1">
      <c r="A142" s="12"/>
      <c r="B142" s="646">
        <v>0</v>
      </c>
      <c r="C142" t="str" s="640" cm="1">
        <f t="array" ref="C142">IF(B142&gt;0,IF(VLOOKUP(C134,'Boats Data Sheet 2026'!$C$3:$J$57,8,0)="N/A",0,VLOOKUP(C134,'Boats Data Sheet 2026'!$C$3:$J$57,8,0)),"N/A")</f>
        <v>N/A</v>
      </c>
      <c r="D142" t="str" s="649" cm="1">
        <f t="array" ref="D142">IF(B142&gt;7,2,IF(B142=0,"N/A",1))</f>
        <v>N/A</v>
      </c>
      <c r="E142" t="str" s="640" cm="1">
        <f t="array" ref="E142">_xlfn.IFERROR(SUM('Direct Costs 2026'!$C$4:$C$6)*D142,"N/A")</f>
        <v>N/A</v>
      </c>
      <c r="F142" s="639" cm="1">
        <f t="array" ref="F142">_xlfn.IFERROR('Direct Costs 2026'!$C$43*B142,"N/A")</f>
        <v>0</v>
      </c>
      <c r="G142" t="str" s="640" cm="1">
        <f t="array" ref="G142">IF(B142&gt;0,'Direct Costs 2026'!$C$25,"N/A")</f>
        <v>N/A</v>
      </c>
      <c r="H142" t="str" s="640" cm="1">
        <f t="array" ref="H142">IF(B142&gt;0,('Direct Costs 2026'!$C$19+'Direct Costs 2026'!$C$18*B142),"N/A")</f>
        <v>N/A</v>
      </c>
      <c r="I142" t="str" s="640" cm="1">
        <f t="array" ref="I142">IF(B142&gt;0,SUM('Direct Costs 2026'!$C$20:$C$21),"N/A")</f>
        <v>N/A</v>
      </c>
      <c r="J142" t="str" s="640" cm="1">
        <f t="array" ref="J142">IF(B142&gt;0,'Direct Costs 2026'!$C$14,"N/A")</f>
        <v>N/A</v>
      </c>
      <c r="K142" t="str" s="640" cm="1">
        <f t="array" ref="K142">IF(B142&gt;0,'Direct Costs 2026'!$C$26,"N/A")</f>
        <v>N/A</v>
      </c>
      <c r="L142" t="str" s="640" cm="1">
        <f t="array" ref="L142">IF(B142&gt;0,SUM('Direct Costs 2026'!$C$23:$C$24),"N/A")</f>
        <v>N/A</v>
      </c>
      <c r="M142" t="str" s="640" cm="1">
        <f t="array" ref="M142">IF(B142&gt;0,'Direct Costs 2026'!$C$45*B142,"N/A")</f>
        <v>N/A</v>
      </c>
      <c r="N142" t="str" s="640" cm="1">
        <f t="array" ref="N142">IF($B142&gt;0,'Direct Costs 2026'!$C$29,"N/A")</f>
        <v>N/A</v>
      </c>
      <c r="O142" t="str" s="640" cm="1">
        <f t="array" ref="O142">IF($B142&gt;0,'Direct Costs 2026'!$C$31,"N/A")</f>
        <v>N/A</v>
      </c>
      <c r="P142" t="str" s="640" cm="1">
        <f t="array" ref="P142">IF(B142&gt;0,'Direct Costs 2026'!$C$59*B142,"N/A")</f>
        <v>N/A</v>
      </c>
      <c r="Q142" t="str" s="640" cm="1">
        <f t="array" ref="Q142">IF(B142&gt;0,_xlfn.IFERROR(VLOOKUP(C134,'Boats Data Sheet 2026'!$C$3:$I$57,7,0)*'Direct Costs 2026'!$C$36,"N/A"),"N/A")</f>
        <v>N/A</v>
      </c>
      <c r="R142" s="639"/>
      <c r="S142" t="str" s="640" cm="1">
        <f t="array" ref="S142">IF(B142&gt;0,IF(OR(VLOOKUP(C134,'Boats Data Sheet 2026'!$C$3:$F$57,4,0)="Own",VLOOKUP(C134,'Boats Data Sheet 2026'!$C$3:$F$57,4,0)="Management"),('Direct Costs 2026'!$C$37+'Direct Costs 2026'!$C$39),"N/A"),"N/A")</f>
        <v>N/A</v>
      </c>
      <c r="T142" t="str" s="640" cm="1">
        <f t="array" ref="T142">_xlfn.IFERROR(IF(B142&gt;5,IF(B142&gt;11,IF(B142&gt;15,4,3),2),IF(B142=0,"N/A",1))*SUM('Direct Costs 2026'!$C$67:$C$68),"N/A")</f>
        <v>N/A</v>
      </c>
      <c r="U142" t="str" s="640" cm="1">
        <f t="array" ref="U142">_xlfn.IFERROR('Direct Costs 2026'!$C$27*C142,"N/A")</f>
        <v>N/A</v>
      </c>
      <c r="V142" t="str" s="640" cm="1">
        <f t="array" ref="V142">_xlfn.IFERROR(C142+SUM(E142:U142),"N/A")</f>
        <v>N/A</v>
      </c>
      <c r="W142" s="424"/>
      <c r="X142" t="str" s="640" cm="1">
        <f t="array" ref="X142">IF(B142&gt;0,'Allocation OH and Target 2026'!$E$31,"N/A")</f>
        <v>N/A</v>
      </c>
      <c r="Y142" t="str" s="640" cm="1">
        <f t="array" ref="Y142">IF(B142&gt;0,VLOOKUP(C134,'Allocation OH and Target 2026'!$C$5:$T$23,16,0),"N/A")</f>
        <v>N/A</v>
      </c>
      <c r="Z142" t="str" s="640" cm="1">
        <f t="array" ref="Z142">_xlfn.IFERROR((X142+Y142),"N/A")</f>
        <v>N/A</v>
      </c>
      <c r="AA142" s="424"/>
      <c r="AB142" t="str" s="640" cm="1">
        <f t="array" ref="AB142">_xlfn.IFERROR(Z142+V142,"N/A")</f>
        <v>N/A</v>
      </c>
      <c r="AC142" t="str" s="640" cm="1">
        <f t="array" ref="AC142">_xlfn.IFERROR(AB142*0.5%,"N/A")</f>
        <v>N/A</v>
      </c>
      <c r="AD142" t="str" s="640" cm="1">
        <f t="array" ref="AD142">_xlfn.IFERROR(AB142*25%,"N/A")</f>
        <v>N/A</v>
      </c>
      <c r="AE142" t="str" s="648" cm="1">
        <f t="array" ref="AE142">IF(B142&gt;0,SUM(AB142:AD142),"N/A")</f>
        <v>N/A</v>
      </c>
      <c r="AF142" t="str" s="640" cm="1">
        <f t="array" ref="AF142">_xlfn.IFERROR(AE142/B142,"N/A")</f>
        <v>N/A</v>
      </c>
      <c r="AG142" s="424"/>
      <c r="AH142" t="str" s="648" cm="1">
        <f t="array" ref="AH142">IF(B142/VLOOKUP(C134,'Boats Data Sheet 2026'!$C$3:$H$57,6,0)&gt;VLOOKUP(C134,'Allocation OH and Target 2026'!$C$5:$J$23,8,0),IF(SUM(AI136:AI141)=0,AF142,"N/A"),"N/A")</f>
        <v>N/A</v>
      </c>
      <c r="AI142" s="424" cm="1">
        <f t="array" ref="AI142">IF(AH142="N/A",0,1)</f>
        <v>0</v>
      </c>
      <c r="AJ142" t="str" s="640" cm="1">
        <f t="array" ref="AJ142">IF(B142/VLOOKUP(C134,'Boats Data Sheet 2026'!$C$3:$H$57,6,0)&gt;VLOOKUP(C134,'Allocation OH and Target 2026'!$C$5:$J$23,8,0),IF(SUM(AI136:AI141)=0,V142/B142,"N/A"),"N/A")</f>
        <v>N/A</v>
      </c>
      <c r="AK142" s="424" cm="1">
        <f t="array" ref="AK142">IF(AJ142="N/A",0,1)</f>
        <v>0</v>
      </c>
      <c r="AL142" t="str" s="628" cm="1">
        <f t="array" ref="AL142">IF(SUM(1250000+700000)*B142&lt;SUM(AB142:AC142),"NO GO","GO")</f>
        <v>GO</v>
      </c>
      <c r="AM142" s="424"/>
      <c r="AN142" s="639"/>
      <c r="AO142" s="639"/>
      <c r="AP142" s="639"/>
      <c r="AQ142" s="645"/>
      <c r="AR142" s="601" cm="1">
        <f t="array" ref="AR142">B142</f>
        <v>0</v>
      </c>
    </row>
    <row r="143" ht="9" customHeight="1" hidden="1">
      <c r="A143" s="12"/>
      <c r="B143" s="646">
        <v>0</v>
      </c>
      <c r="C143" t="str" s="640" cm="1">
        <f t="array" ref="C143">IF(B143&gt;0,IF(VLOOKUP(C134,'Boats Data Sheet 2026'!$C$3:$J$57,8,0)="N/A",0,VLOOKUP(C134,'Boats Data Sheet 2026'!$C$3:$J$57,8,0)),"N/A")</f>
        <v>N/A</v>
      </c>
      <c r="D143" t="str" s="649" cm="1">
        <f t="array" ref="D143">IF(B143&gt;7,2,IF(B143=0,"N/A",1))</f>
        <v>N/A</v>
      </c>
      <c r="E143" t="str" s="640" cm="1">
        <f t="array" ref="E143">_xlfn.IFERROR(SUM('Direct Costs 2026'!$C$4:$C$6)*D143,"N/A")</f>
        <v>N/A</v>
      </c>
      <c r="F143" s="639" cm="1">
        <f t="array" ref="F143">_xlfn.IFERROR('Direct Costs 2026'!$C$43*B143,"N/A")</f>
        <v>0</v>
      </c>
      <c r="G143" t="str" s="640" cm="1">
        <f t="array" ref="G143">IF(B143&gt;0,'Direct Costs 2026'!$C$25,"N/A")</f>
        <v>N/A</v>
      </c>
      <c r="H143" t="str" s="640" cm="1">
        <f t="array" ref="H143">IF(B143&gt;0,('Direct Costs 2026'!$C$19+'Direct Costs 2026'!$C$18*B143),"N/A")</f>
        <v>N/A</v>
      </c>
      <c r="I143" t="str" s="640" cm="1">
        <f t="array" ref="I143">IF(B143&gt;0,SUM('Direct Costs 2026'!$C$20:$C$21),"N/A")</f>
        <v>N/A</v>
      </c>
      <c r="J143" t="str" s="640" cm="1">
        <f t="array" ref="J143">IF(B143&gt;0,'Direct Costs 2026'!$C$14,"N/A")</f>
        <v>N/A</v>
      </c>
      <c r="K143" t="str" s="640" cm="1">
        <f t="array" ref="K143">IF(B143&gt;0,'Direct Costs 2026'!$C$26,"N/A")</f>
        <v>N/A</v>
      </c>
      <c r="L143" t="str" s="640" cm="1">
        <f t="array" ref="L143">IF(B143&gt;0,SUM('Direct Costs 2026'!$C$23:$C$24),"N/A")</f>
        <v>N/A</v>
      </c>
      <c r="M143" t="str" s="640" cm="1">
        <f t="array" ref="M143">IF(B143&gt;0,'Direct Costs 2026'!$C$45*B143,"N/A")</f>
        <v>N/A</v>
      </c>
      <c r="N143" t="str" s="640" cm="1">
        <f t="array" ref="N143">IF($B143&gt;0,'Direct Costs 2026'!$C$29,"N/A")</f>
        <v>N/A</v>
      </c>
      <c r="O143" t="str" s="640" cm="1">
        <f t="array" ref="O143">IF($B143&gt;0,'Direct Costs 2026'!$C$31,"N/A")</f>
        <v>N/A</v>
      </c>
      <c r="P143" t="str" s="640" cm="1">
        <f t="array" ref="P143">IF(B143&gt;0,'Direct Costs 2026'!$C$59*B143,"N/A")</f>
        <v>N/A</v>
      </c>
      <c r="Q143" t="str" s="640" cm="1">
        <f t="array" ref="Q143">IF(B143&gt;0,_xlfn.IFERROR(VLOOKUP(C134,'Boats Data Sheet 2026'!$C$3:$I$57,7,0)*'Direct Costs 2026'!$C$36,"N/A"),"N/A")</f>
        <v>N/A</v>
      </c>
      <c r="R143" s="639"/>
      <c r="S143" t="str" s="640" cm="1">
        <f t="array" ref="S143">IF(B143&gt;0,IF(OR(VLOOKUP(C134,'Boats Data Sheet 2026'!$C$3:$F$57,4,0)="Own",VLOOKUP(C134,'Boats Data Sheet 2026'!$C$3:$F$57,4,0)="Management"),('Direct Costs 2026'!$C$37+'Direct Costs 2026'!$C$39),"N/A"),"N/A")</f>
        <v>N/A</v>
      </c>
      <c r="T143" t="str" s="640" cm="1">
        <f t="array" ref="T143">_xlfn.IFERROR(IF(B143&gt;5,IF(B143&gt;11,IF(B143&gt;15,4,3),2),IF(B143=0,"N/A",1))*SUM('Direct Costs 2026'!$C$67:$C$68),"N/A")</f>
        <v>N/A</v>
      </c>
      <c r="U143" t="str" s="640" cm="1">
        <f t="array" ref="U143">_xlfn.IFERROR('Direct Costs 2026'!$C$27*C143,"N/A")</f>
        <v>N/A</v>
      </c>
      <c r="V143" t="str" s="640" cm="1">
        <f t="array" ref="V143">_xlfn.IFERROR(C143+SUM(E143:U143),"N/A")</f>
        <v>N/A</v>
      </c>
      <c r="W143" s="424"/>
      <c r="X143" t="str" s="640" cm="1">
        <f t="array" ref="X143">IF(B143&gt;0,'Allocation OH and Target 2026'!$E$31,"N/A")</f>
        <v>N/A</v>
      </c>
      <c r="Y143" t="str" s="640" cm="1">
        <f t="array" ref="Y143">IF(B143&gt;0,VLOOKUP(C134,'Allocation OH and Target 2026'!$C$5:$T$23,16,0),"N/A")</f>
        <v>N/A</v>
      </c>
      <c r="Z143" t="str" s="640" cm="1">
        <f t="array" ref="Z143">_xlfn.IFERROR((X143+Y143),"N/A")</f>
        <v>N/A</v>
      </c>
      <c r="AA143" s="424"/>
      <c r="AB143" t="str" s="640" cm="1">
        <f t="array" ref="AB143">_xlfn.IFERROR(Z143+V143,"N/A")</f>
        <v>N/A</v>
      </c>
      <c r="AC143" t="str" s="640" cm="1">
        <f t="array" ref="AC143">_xlfn.IFERROR(AB143*0.5%,"N/A")</f>
        <v>N/A</v>
      </c>
      <c r="AD143" t="str" s="640" cm="1">
        <f t="array" ref="AD143">_xlfn.IFERROR(AB143*25%,"N/A")</f>
        <v>N/A</v>
      </c>
      <c r="AE143" t="str" s="648" cm="1">
        <f t="array" ref="AE143">IF(B143&gt;0,SUM(AB143:AD143),"N/A")</f>
        <v>N/A</v>
      </c>
      <c r="AF143" t="str" s="640" cm="1">
        <f t="array" ref="AF143">_xlfn.IFERROR(AE143/B143,"N/A")</f>
        <v>N/A</v>
      </c>
      <c r="AG143" s="424"/>
      <c r="AH143" t="str" s="648" cm="1">
        <f t="array" ref="AH143">IF(B143/VLOOKUP(C134,'Boats Data Sheet 2026'!$C$3:$H$57,6,0)&gt;VLOOKUP(C134,'Allocation OH and Target 2026'!$C$5:$J$23,8,0),IF(SUM(AI136:AI142)=0,AF143,"N/A"),"N/A")</f>
        <v>N/A</v>
      </c>
      <c r="AI143" s="424" cm="1">
        <f t="array" ref="AI143">IF(AH143="N/A",0,1)</f>
        <v>0</v>
      </c>
      <c r="AJ143" t="str" s="640" cm="1">
        <f t="array" ref="AJ143">IF(B143/VLOOKUP(C134,'Boats Data Sheet 2026'!$C$3:$H$57,6,0)&gt;VLOOKUP(C134,'Allocation OH and Target 2026'!$C$5:$J$23,8,0),IF(SUM(AI136:AI142)=0,V143/B143,"N/A"),"N/A")</f>
        <v>N/A</v>
      </c>
      <c r="AK143" s="424" cm="1">
        <f t="array" ref="AK143">IF(AJ143="N/A",0,1)</f>
        <v>0</v>
      </c>
      <c r="AL143" t="str" s="628" cm="1">
        <f t="array" ref="AL143">IF(SUM(1250000+700000)*B143&lt;SUM(AB143:AC143),"NO GO","GO")</f>
        <v>GO</v>
      </c>
      <c r="AM143" s="424"/>
      <c r="AN143" s="639"/>
      <c r="AO143" s="639"/>
      <c r="AP143" s="639"/>
      <c r="AQ143" s="645"/>
      <c r="AR143" s="601" cm="1">
        <f t="array" ref="AR143">B143</f>
        <v>0</v>
      </c>
    </row>
    <row r="144" ht="9" customHeight="1" hidden="1">
      <c r="A144" s="12"/>
      <c r="B144" s="646">
        <v>0</v>
      </c>
      <c r="C144" t="str" s="640" cm="1">
        <f t="array" ref="C144">IF(B144&gt;0,IF(VLOOKUP(C134,'Boats Data Sheet 2026'!$C$3:$J$57,8,0)="N/A",0,VLOOKUP(C134,'Boats Data Sheet 2026'!$C$3:$J$57,8,0)),"N/A")</f>
        <v>N/A</v>
      </c>
      <c r="D144" t="str" s="649" cm="1">
        <f t="array" ref="D144">IF(B144&gt;7,2,IF(B144=0,"N/A",1))</f>
        <v>N/A</v>
      </c>
      <c r="E144" t="str" s="640" cm="1">
        <f t="array" ref="E144">_xlfn.IFERROR(SUM('Direct Costs 2026'!$C$4:$C$6)*D144,"N/A")</f>
        <v>N/A</v>
      </c>
      <c r="F144" s="639" cm="1">
        <f t="array" ref="F144">_xlfn.IFERROR('Direct Costs 2026'!$C$43*B144,"N/A")</f>
        <v>0</v>
      </c>
      <c r="G144" t="str" s="640" cm="1">
        <f t="array" ref="G144">IF(B144&gt;0,'Direct Costs 2026'!$C$25,"N/A")</f>
        <v>N/A</v>
      </c>
      <c r="H144" t="str" s="640" cm="1">
        <f t="array" ref="H144">IF(B144&gt;0,('Direct Costs 2026'!$C$19+'Direct Costs 2026'!$C$18*B144),"N/A")</f>
        <v>N/A</v>
      </c>
      <c r="I144" t="str" s="640" cm="1">
        <f t="array" ref="I144">IF(B144&gt;0,SUM('Direct Costs 2026'!$C$20:$C$21),"N/A")</f>
        <v>N/A</v>
      </c>
      <c r="J144" t="str" s="640" cm="1">
        <f t="array" ref="J144">IF(B144&gt;0,'Direct Costs 2026'!$C$14,"N/A")</f>
        <v>N/A</v>
      </c>
      <c r="K144" t="str" s="640" cm="1">
        <f t="array" ref="K144">IF(B144&gt;0,'Direct Costs 2026'!$C$26,"N/A")</f>
        <v>N/A</v>
      </c>
      <c r="L144" t="str" s="640" cm="1">
        <f t="array" ref="L144">IF(B144&gt;0,SUM('Direct Costs 2026'!$C$23:$C$24),"N/A")</f>
        <v>N/A</v>
      </c>
      <c r="M144" t="str" s="640" cm="1">
        <f t="array" ref="M144">IF(B144&gt;0,'Direct Costs 2026'!$C$45*B144,"N/A")</f>
        <v>N/A</v>
      </c>
      <c r="N144" t="str" s="640" cm="1">
        <f t="array" ref="N144">IF($B144&gt;0,'Direct Costs 2026'!$C$29,"N/A")</f>
        <v>N/A</v>
      </c>
      <c r="O144" t="str" s="640" cm="1">
        <f t="array" ref="O144">IF($B144&gt;0,'Direct Costs 2026'!$C$31,"N/A")</f>
        <v>N/A</v>
      </c>
      <c r="P144" t="str" s="640" cm="1">
        <f t="array" ref="P144">IF(B144&gt;0,'Direct Costs 2026'!$C$59*B144,"N/A")</f>
        <v>N/A</v>
      </c>
      <c r="Q144" t="str" s="640" cm="1">
        <f t="array" ref="Q144">IF(B144&gt;0,_xlfn.IFERROR(VLOOKUP(C134,'Boats Data Sheet 2026'!$C$3:$I$57,7,0)*'Direct Costs 2026'!$C$36,"N/A"),"N/A")</f>
        <v>N/A</v>
      </c>
      <c r="R144" s="639"/>
      <c r="S144" t="str" s="640" cm="1">
        <f t="array" ref="S144">IF(B144&gt;0,IF(OR(VLOOKUP(C134,'Boats Data Sheet 2026'!$C$3:$F$57,4,0)="Own",VLOOKUP(C134,'Boats Data Sheet 2026'!$C$3:$F$57,4,0)="Management"),('Direct Costs 2026'!$C$37+'Direct Costs 2026'!$C$39),"N/A"),"N/A")</f>
        <v>N/A</v>
      </c>
      <c r="T144" t="str" s="640" cm="1">
        <f t="array" ref="T144">_xlfn.IFERROR(IF(B144&gt;5,IF(B144&gt;11,IF(B144&gt;15,4,3),2),IF(B144=0,"N/A",1))*SUM('Direct Costs 2026'!$C$67:$C$68),"N/A")</f>
        <v>N/A</v>
      </c>
      <c r="U144" t="str" s="640" cm="1">
        <f t="array" ref="U144">_xlfn.IFERROR('Direct Costs 2026'!$C$27*C144,"N/A")</f>
        <v>N/A</v>
      </c>
      <c r="V144" t="str" s="640" cm="1">
        <f t="array" ref="V144">_xlfn.IFERROR(C144+SUM(E144:U144),"N/A")</f>
        <v>N/A</v>
      </c>
      <c r="W144" s="424"/>
      <c r="X144" t="str" s="640" cm="1">
        <f t="array" ref="X144">IF(B144&gt;0,'Allocation OH and Target 2026'!$E$31,"N/A")</f>
        <v>N/A</v>
      </c>
      <c r="Y144" t="str" s="640" cm="1">
        <f t="array" ref="Y144">IF(B144&gt;0,VLOOKUP(C134,'Allocation OH and Target 2026'!$C$5:$T$23,16,0),"N/A")</f>
        <v>N/A</v>
      </c>
      <c r="Z144" t="str" s="640" cm="1">
        <f t="array" ref="Z144">_xlfn.IFERROR((X144+Y144),"N/A")</f>
        <v>N/A</v>
      </c>
      <c r="AA144" s="424"/>
      <c r="AB144" t="str" s="640" cm="1">
        <f t="array" ref="AB144">_xlfn.IFERROR(Z144+V144,"N/A")</f>
        <v>N/A</v>
      </c>
      <c r="AC144" t="str" s="640" cm="1">
        <f t="array" ref="AC144">_xlfn.IFERROR(AB144*0.5%,"N/A")</f>
        <v>N/A</v>
      </c>
      <c r="AD144" t="str" s="640" cm="1">
        <f t="array" ref="AD144">_xlfn.IFERROR(AB144*25%,"N/A")</f>
        <v>N/A</v>
      </c>
      <c r="AE144" t="str" s="648" cm="1">
        <f t="array" ref="AE144">IF(B144&gt;0,SUM(AB144:AD144),"N/A")</f>
        <v>N/A</v>
      </c>
      <c r="AF144" t="str" s="640" cm="1">
        <f t="array" ref="AF144">_xlfn.IFERROR(AE144/B144,"N/A")</f>
        <v>N/A</v>
      </c>
      <c r="AG144" s="424"/>
      <c r="AH144" t="str" s="648" cm="1">
        <f t="array" ref="AH144">IF(B144/VLOOKUP(C134,'Boats Data Sheet 2026'!$C$3:$H$57,6,0)&gt;VLOOKUP(C134,'Allocation OH and Target 2026'!$C$5:$J$23,8,0),IF(SUM(AI136:AI143)=0,AF144,"N/A"),"N/A")</f>
        <v>N/A</v>
      </c>
      <c r="AI144" s="424" cm="1">
        <f t="array" ref="AI144">IF(AH144="N/A",0,1)</f>
        <v>0</v>
      </c>
      <c r="AJ144" t="str" s="640" cm="1">
        <f t="array" ref="AJ144">IF(B144/VLOOKUP(C134,'Boats Data Sheet 2026'!$C$3:$H$57,6,0)&gt;VLOOKUP(C134,'Allocation OH and Target 2026'!$C$5:$J$23,8,0),IF(SUM(AI136:AI143)=0,V144/B144,"N/A"),"N/A")</f>
        <v>N/A</v>
      </c>
      <c r="AK144" s="424" cm="1">
        <f t="array" ref="AK144">IF(AJ144="N/A",0,1)</f>
        <v>0</v>
      </c>
      <c r="AL144" t="str" s="628" cm="1">
        <f t="array" ref="AL144">IF(SUM(1250000+700000)*B144&lt;SUM(AB144:AC144),"NO GO","GO")</f>
        <v>GO</v>
      </c>
      <c r="AM144" s="424"/>
      <c r="AN144" s="639"/>
      <c r="AO144" s="639"/>
      <c r="AP144" s="639"/>
      <c r="AQ144" s="645"/>
      <c r="AR144" s="601" cm="1">
        <f t="array" ref="AR144">B144</f>
        <v>0</v>
      </c>
    </row>
    <row r="145" ht="9" customHeight="1" hidden="1">
      <c r="A145" s="12"/>
      <c r="B145" s="646">
        <v>0</v>
      </c>
      <c r="C145" t="str" s="640" cm="1">
        <f t="array" ref="C145">IF(B145&gt;0,IF(VLOOKUP(C134,'Boats Data Sheet 2026'!$C$3:$J$57,8,0)="N/A",0,VLOOKUP(C134,'Boats Data Sheet 2026'!$C$3:$J$57,8,0)),"N/A")</f>
        <v>N/A</v>
      </c>
      <c r="D145" t="str" s="649" cm="1">
        <f t="array" ref="D145">IF(B145&gt;7,2,IF(B145=0,"N/A",1))</f>
        <v>N/A</v>
      </c>
      <c r="E145" t="str" s="640" cm="1">
        <f t="array" ref="E145">_xlfn.IFERROR(SUM('Direct Costs 2026'!$C$4:$C$6)*D145,"N/A")</f>
        <v>N/A</v>
      </c>
      <c r="F145" s="639" cm="1">
        <f t="array" ref="F145">_xlfn.IFERROR('Direct Costs 2026'!$C$43*B145,"N/A")</f>
        <v>0</v>
      </c>
      <c r="G145" t="str" s="640" cm="1">
        <f t="array" ref="G145">IF(B145&gt;0,'Direct Costs 2026'!$C$25,"N/A")</f>
        <v>N/A</v>
      </c>
      <c r="H145" t="str" s="640" cm="1">
        <f t="array" ref="H145">IF(B145&gt;0,('Direct Costs 2026'!$C$19+'Direct Costs 2026'!$C$18*B145),"N/A")</f>
        <v>N/A</v>
      </c>
      <c r="I145" t="str" s="640" cm="1">
        <f t="array" ref="I145">IF(B145&gt;0,SUM('Direct Costs 2026'!$C$20:$C$21),"N/A")</f>
        <v>N/A</v>
      </c>
      <c r="J145" t="str" s="640" cm="1">
        <f t="array" ref="J145">IF(B145&gt;0,'Direct Costs 2026'!$C$14,"N/A")</f>
        <v>N/A</v>
      </c>
      <c r="K145" t="str" s="640" cm="1">
        <f t="array" ref="K145">IF(B145&gt;0,'Direct Costs 2026'!$C$26,"N/A")</f>
        <v>N/A</v>
      </c>
      <c r="L145" t="str" s="640" cm="1">
        <f t="array" ref="L145">IF(B145&gt;0,SUM('Direct Costs 2026'!$C$23:$C$24),"N/A")</f>
        <v>N/A</v>
      </c>
      <c r="M145" t="str" s="640" cm="1">
        <f t="array" ref="M145">IF(B145&gt;0,'Direct Costs 2026'!$C$45*B145,"N/A")</f>
        <v>N/A</v>
      </c>
      <c r="N145" t="str" s="640" cm="1">
        <f t="array" ref="N145">IF($B145&gt;0,'Direct Costs 2026'!$C$29,"N/A")</f>
        <v>N/A</v>
      </c>
      <c r="O145" t="str" s="640" cm="1">
        <f t="array" ref="O145">IF($B145&gt;0,'Direct Costs 2026'!$C$31,"N/A")</f>
        <v>N/A</v>
      </c>
      <c r="P145" t="str" s="640" cm="1">
        <f t="array" ref="P145">IF(B145&gt;0,'Direct Costs 2026'!$C$59*B145,"N/A")</f>
        <v>N/A</v>
      </c>
      <c r="Q145" t="str" s="640" cm="1">
        <f t="array" ref="Q145">IF(B145&gt;0,_xlfn.IFERROR(VLOOKUP(C134,'Boats Data Sheet 2026'!$C$3:$I$57,7,0)*'Direct Costs 2026'!$C$36,"N/A"),"N/A")</f>
        <v>N/A</v>
      </c>
      <c r="R145" s="639"/>
      <c r="S145" t="str" s="640" cm="1">
        <f t="array" ref="S145">IF(B145&gt;0,IF(OR(VLOOKUP(C134,'Boats Data Sheet 2026'!$C$3:$F$57,4,0)="Own",VLOOKUP(C134,'Boats Data Sheet 2026'!$C$3:$F$57,4,0)="Management"),('Direct Costs 2026'!$C$37+'Direct Costs 2026'!$C$39),"N/A"),"N/A")</f>
        <v>N/A</v>
      </c>
      <c r="T145" t="str" s="640" cm="1">
        <f t="array" ref="T145">_xlfn.IFERROR(IF(B145&gt;5,IF(B145&gt;11,IF(B145&gt;15,4,3),2),IF(B145=0,"N/A",1))*SUM('Direct Costs 2026'!$C$67:$C$68),"N/A")</f>
        <v>N/A</v>
      </c>
      <c r="U145" t="str" s="640" cm="1">
        <f t="array" ref="U145">_xlfn.IFERROR('Direct Costs 2026'!$C$27*C145,"N/A")</f>
        <v>N/A</v>
      </c>
      <c r="V145" t="str" s="640" cm="1">
        <f t="array" ref="V145">_xlfn.IFERROR(C145+SUM(E145:U145),"N/A")</f>
        <v>N/A</v>
      </c>
      <c r="W145" s="424"/>
      <c r="X145" t="str" s="640" cm="1">
        <f t="array" ref="X145">IF(B145&gt;0,'Allocation OH and Target 2026'!$E$31,"N/A")</f>
        <v>N/A</v>
      </c>
      <c r="Y145" t="str" s="640" cm="1">
        <f t="array" ref="Y145">IF(B145&gt;0,VLOOKUP(C134,'Allocation OH and Target 2026'!$C$5:$T$23,16,0),"N/A")</f>
        <v>N/A</v>
      </c>
      <c r="Z145" t="str" s="640" cm="1">
        <f t="array" ref="Z145">_xlfn.IFERROR((X145+Y145),"N/A")</f>
        <v>N/A</v>
      </c>
      <c r="AA145" s="424"/>
      <c r="AB145" t="str" s="640" cm="1">
        <f t="array" ref="AB145">_xlfn.IFERROR(Z145+V145,"N/A")</f>
        <v>N/A</v>
      </c>
      <c r="AC145" t="str" s="640" cm="1">
        <f t="array" ref="AC145">_xlfn.IFERROR(AB145*0.5%,"N/A")</f>
        <v>N/A</v>
      </c>
      <c r="AD145" t="str" s="640" cm="1">
        <f t="array" ref="AD145">_xlfn.IFERROR(AB145*25%,"N/A")</f>
        <v>N/A</v>
      </c>
      <c r="AE145" t="str" s="648" cm="1">
        <f t="array" ref="AE145">IF(B145&gt;0,SUM(AB145:AD145),"N/A")</f>
        <v>N/A</v>
      </c>
      <c r="AF145" t="str" s="640" cm="1">
        <f t="array" ref="AF145">_xlfn.IFERROR(AE145/B145,"N/A")</f>
        <v>N/A</v>
      </c>
      <c r="AG145" s="424"/>
      <c r="AH145" t="str" s="648" cm="1">
        <f t="array" ref="AH145">IF(B145/VLOOKUP(C134,'Boats Data Sheet 2026'!$C$3:$H$57,6,0)&gt;VLOOKUP(C134,'Allocation OH and Target 2026'!$C$5:$J$23,8,0),IF(SUM(AI136:AI144)=0,AF145,"N/A"),"N/A")</f>
        <v>N/A</v>
      </c>
      <c r="AI145" s="424" cm="1">
        <f t="array" ref="AI145">IF(AH145="N/A",0,1)</f>
        <v>0</v>
      </c>
      <c r="AJ145" t="str" s="640" cm="1">
        <f t="array" ref="AJ145">IF(B145/VLOOKUP(C134,'Boats Data Sheet 2026'!$C$3:$H$57,6,0)&gt;VLOOKUP(C134,'Allocation OH and Target 2026'!$C$5:$J$23,8,0),IF(SUM(AI136:AI144)=0,V145/B145,"N/A"),"N/A")</f>
        <v>N/A</v>
      </c>
      <c r="AK145" s="424" cm="1">
        <f t="array" ref="AK145">IF(AJ145="N/A",0,1)</f>
        <v>0</v>
      </c>
      <c r="AL145" t="str" s="628" cm="1">
        <f t="array" ref="AL145">IF(SUM(1250000+700000)*B145&lt;SUM(AB145:AC145),"NO GO","GO")</f>
        <v>GO</v>
      </c>
      <c r="AM145" s="424"/>
      <c r="AN145" s="639"/>
      <c r="AO145" s="639"/>
      <c r="AP145" s="639"/>
      <c r="AQ145" s="645"/>
      <c r="AR145" s="601" cm="1">
        <f t="array" ref="AR145">B145</f>
        <v>0</v>
      </c>
    </row>
    <row r="146" ht="9" customHeight="1" hidden="1">
      <c r="A146" s="12"/>
      <c r="B146" s="646">
        <v>0</v>
      </c>
      <c r="C146" t="str" s="640" cm="1">
        <f t="array" ref="C146">IF(B146&gt;0,IF(VLOOKUP(C134,'Boats Data Sheet 2026'!$C$3:$J$57,8,0)="N/A",0,VLOOKUP(C134,'Boats Data Sheet 2026'!$C$3:$J$57,8,0)),"N/A")</f>
        <v>N/A</v>
      </c>
      <c r="D146" t="str" s="649" cm="1">
        <f t="array" ref="D146">IF(B146&gt;7,2,IF(B146=0,"N/A",1))</f>
        <v>N/A</v>
      </c>
      <c r="E146" t="str" s="640" cm="1">
        <f t="array" ref="E146">_xlfn.IFERROR(SUM('Direct Costs 2026'!$C$4:$C$6)*D146,"N/A")</f>
        <v>N/A</v>
      </c>
      <c r="F146" s="639" cm="1">
        <f t="array" ref="F146">_xlfn.IFERROR('Direct Costs 2026'!$C$43*B146,"N/A")</f>
        <v>0</v>
      </c>
      <c r="G146" t="str" s="640" cm="1">
        <f t="array" ref="G146">IF(B146&gt;0,'Direct Costs 2026'!$C$25,"N/A")</f>
        <v>N/A</v>
      </c>
      <c r="H146" t="str" s="640" cm="1">
        <f t="array" ref="H146">IF(B146&gt;0,('Direct Costs 2026'!$C$19+'Direct Costs 2026'!$C$18*B146),"N/A")</f>
        <v>N/A</v>
      </c>
      <c r="I146" t="str" s="640" cm="1">
        <f t="array" ref="I146">IF(B146&gt;0,SUM('Direct Costs 2026'!$C$20:$C$21),"N/A")</f>
        <v>N/A</v>
      </c>
      <c r="J146" t="str" s="640" cm="1">
        <f t="array" ref="J146">IF(B146&gt;0,'Direct Costs 2026'!$C$14,"N/A")</f>
        <v>N/A</v>
      </c>
      <c r="K146" t="str" s="640" cm="1">
        <f t="array" ref="K146">IF(B146&gt;0,'Direct Costs 2026'!$C$26,"N/A")</f>
        <v>N/A</v>
      </c>
      <c r="L146" t="str" s="640" cm="1">
        <f t="array" ref="L146">IF(B146&gt;0,SUM('Direct Costs 2026'!$C$23:$C$24),"N/A")</f>
        <v>N/A</v>
      </c>
      <c r="M146" t="str" s="640" cm="1">
        <f t="array" ref="M146">IF(B146&gt;0,'Direct Costs 2026'!$C$45*B146,"N/A")</f>
        <v>N/A</v>
      </c>
      <c r="N146" t="str" s="640" cm="1">
        <f t="array" ref="N146">IF($B146&gt;0,'Direct Costs 2026'!$C$29,"N/A")</f>
        <v>N/A</v>
      </c>
      <c r="O146" t="str" s="640" cm="1">
        <f t="array" ref="O146">IF($B146&gt;0,'Direct Costs 2026'!$C$31,"N/A")</f>
        <v>N/A</v>
      </c>
      <c r="P146" t="str" s="640" cm="1">
        <f t="array" ref="P146">IF(B146&gt;0,'Direct Costs 2026'!$C$59*B146,"N/A")</f>
        <v>N/A</v>
      </c>
      <c r="Q146" t="str" s="640" cm="1">
        <f t="array" ref="Q146">IF(B146&gt;0,_xlfn.IFERROR(VLOOKUP(C134,'Boats Data Sheet 2026'!$C$3:$I$57,7,0)*'Direct Costs 2026'!$C$36,"N/A"),"N/A")</f>
        <v>N/A</v>
      </c>
      <c r="R146" s="639"/>
      <c r="S146" t="str" s="640" cm="1">
        <f t="array" ref="S146">IF(B146&gt;0,IF(OR(VLOOKUP(C134,'Boats Data Sheet 2026'!$C$3:$F$57,4,0)="Own",VLOOKUP(C134,'Boats Data Sheet 2026'!$C$3:$F$57,4,0)="Management"),('Direct Costs 2026'!$C$37+'Direct Costs 2026'!$C$39),"N/A"),"N/A")</f>
        <v>N/A</v>
      </c>
      <c r="T146" t="str" s="640" cm="1">
        <f t="array" ref="T146">_xlfn.IFERROR(IF(B146&gt;5,IF(B146&gt;11,IF(B146&gt;15,4,3),2),IF(B146=0,"N/A",1))*SUM('Direct Costs 2026'!$C$67:$C$68),"N/A")</f>
        <v>N/A</v>
      </c>
      <c r="U146" t="str" s="640" cm="1">
        <f t="array" ref="U146">_xlfn.IFERROR('Direct Costs 2026'!$C$27*C146,"N/A")</f>
        <v>N/A</v>
      </c>
      <c r="V146" t="str" s="640" cm="1">
        <f t="array" ref="V146">_xlfn.IFERROR(C146+SUM(E146:U146),"N/A")</f>
        <v>N/A</v>
      </c>
      <c r="W146" s="424"/>
      <c r="X146" t="str" s="640" cm="1">
        <f t="array" ref="X146">IF(B146&gt;0,'Allocation OH and Target 2026'!$E$31,"N/A")</f>
        <v>N/A</v>
      </c>
      <c r="Y146" t="str" s="640" cm="1">
        <f t="array" ref="Y146">IF(B146&gt;0,VLOOKUP(C134,'Allocation OH and Target 2026'!$C$5:$T$23,16,0),"N/A")</f>
        <v>N/A</v>
      </c>
      <c r="Z146" t="str" s="640" cm="1">
        <f t="array" ref="Z146">_xlfn.IFERROR((X146+Y146),"N/A")</f>
        <v>N/A</v>
      </c>
      <c r="AA146" s="424"/>
      <c r="AB146" t="str" s="640" cm="1">
        <f t="array" ref="AB146">_xlfn.IFERROR(Z146+V146,"N/A")</f>
        <v>N/A</v>
      </c>
      <c r="AC146" t="str" s="640" cm="1">
        <f t="array" ref="AC146">_xlfn.IFERROR(AB146*0.5%,"N/A")</f>
        <v>N/A</v>
      </c>
      <c r="AD146" t="str" s="640" cm="1">
        <f t="array" ref="AD146">_xlfn.IFERROR(AB146*25%,"N/A")</f>
        <v>N/A</v>
      </c>
      <c r="AE146" t="str" s="648" cm="1">
        <f t="array" ref="AE146">IF(B146&gt;0,SUM(AB146:AD146),"N/A")</f>
        <v>N/A</v>
      </c>
      <c r="AF146" t="str" s="640" cm="1">
        <f t="array" ref="AF146">_xlfn.IFERROR(AE146/B146,"N/A")</f>
        <v>N/A</v>
      </c>
      <c r="AG146" s="424"/>
      <c r="AH146" t="str" s="648" cm="1">
        <f t="array" ref="AH146">IF(B146/VLOOKUP(C134,'Boats Data Sheet 2026'!$C$3:$H$57,6,0)&gt;VLOOKUP(C134,'Allocation OH and Target 2026'!$C$5:$J$23,8,0),IF(SUM(AI136:AI145)=0,AF146,"N/A"),"N/A")</f>
        <v>N/A</v>
      </c>
      <c r="AI146" s="424" cm="1">
        <f t="array" ref="AI146">IF(AH146="N/A",0,1)</f>
        <v>0</v>
      </c>
      <c r="AJ146" t="str" s="640" cm="1">
        <f t="array" ref="AJ146">IF(B146/VLOOKUP(C134,'Boats Data Sheet 2026'!$C$3:$H$57,6,0)&gt;VLOOKUP(C134,'Allocation OH and Target 2026'!$C$5:$J$23,8,0),IF(SUM(AI136:AI145)=0,V146/B146,"N/A"),"N/A")</f>
        <v>N/A</v>
      </c>
      <c r="AK146" s="424" cm="1">
        <f t="array" ref="AK146">IF(AJ146="N/A",0,1)</f>
        <v>0</v>
      </c>
      <c r="AL146" t="str" s="628" cm="1">
        <f t="array" ref="AL146">IF(SUM(1250000+700000)*B146&lt;SUM(AB146:AC146),"NO GO","GO")</f>
        <v>GO</v>
      </c>
      <c r="AM146" s="424"/>
      <c r="AN146" s="639"/>
      <c r="AO146" s="639"/>
      <c r="AP146" s="639"/>
      <c r="AQ146" s="645"/>
      <c r="AR146" s="601" cm="1">
        <f t="array" ref="AR146">B146</f>
        <v>0</v>
      </c>
    </row>
    <row r="147" ht="9" customHeight="1" hidden="1">
      <c r="A147" s="12"/>
      <c r="B147" s="646">
        <v>0</v>
      </c>
      <c r="C147" t="str" s="640" cm="1">
        <f t="array" ref="C147">IF(B147&gt;0,IF(VLOOKUP(C134,'Boats Data Sheet 2026'!$C$3:$J$57,8,0)="N/A",0,VLOOKUP(C134,'Boats Data Sheet 2026'!$C$3:$J$57,8,0)),"N/A")</f>
        <v>N/A</v>
      </c>
      <c r="D147" t="str" s="649" cm="1">
        <f t="array" ref="D147">IF(B147&gt;7,2,IF(B147=0,"N/A",1))</f>
        <v>N/A</v>
      </c>
      <c r="E147" t="str" s="640" cm="1">
        <f t="array" ref="E147">_xlfn.IFERROR(SUM('Direct Costs 2026'!$C$4:$C$6)*D147,"N/A")</f>
        <v>N/A</v>
      </c>
      <c r="F147" s="639" cm="1">
        <f t="array" ref="F147">_xlfn.IFERROR('Direct Costs 2026'!$C$43*B147,"N/A")</f>
        <v>0</v>
      </c>
      <c r="G147" t="str" s="640" cm="1">
        <f t="array" ref="G147">IF(B147&gt;0,'Direct Costs 2026'!$C$25,"N/A")</f>
        <v>N/A</v>
      </c>
      <c r="H147" t="str" s="640" cm="1">
        <f t="array" ref="H147">IF(B147&gt;0,('Direct Costs 2026'!$C$19+'Direct Costs 2026'!$C$18*B147),"N/A")</f>
        <v>N/A</v>
      </c>
      <c r="I147" t="str" s="640" cm="1">
        <f t="array" ref="I147">IF(B147&gt;0,SUM('Direct Costs 2026'!$C$20:$C$21),"N/A")</f>
        <v>N/A</v>
      </c>
      <c r="J147" t="str" s="640" cm="1">
        <f t="array" ref="J147">IF(B147&gt;0,'Direct Costs 2026'!$C$14,"N/A")</f>
        <v>N/A</v>
      </c>
      <c r="K147" t="str" s="640" cm="1">
        <f t="array" ref="K147">IF(B147&gt;0,'Direct Costs 2026'!$C$26,"N/A")</f>
        <v>N/A</v>
      </c>
      <c r="L147" t="str" s="640" cm="1">
        <f t="array" ref="L147">IF(B147&gt;0,SUM('Direct Costs 2026'!$C$23:$C$24),"N/A")</f>
        <v>N/A</v>
      </c>
      <c r="M147" t="str" s="640" cm="1">
        <f t="array" ref="M147">IF(B147&gt;0,'Direct Costs 2026'!$C$45*B147,"N/A")</f>
        <v>N/A</v>
      </c>
      <c r="N147" t="str" s="640" cm="1">
        <f t="array" ref="N147">IF($B147&gt;0,'Direct Costs 2026'!$C$29,"N/A")</f>
        <v>N/A</v>
      </c>
      <c r="O147" t="str" s="640" cm="1">
        <f t="array" ref="O147">IF($B147&gt;0,'Direct Costs 2026'!$C$31,"N/A")</f>
        <v>N/A</v>
      </c>
      <c r="P147" t="str" s="640" cm="1">
        <f t="array" ref="P147">IF(B147&gt;0,'Direct Costs 2026'!$C$59*B147,"N/A")</f>
        <v>N/A</v>
      </c>
      <c r="Q147" t="str" s="640" cm="1">
        <f t="array" ref="Q147">IF(B147&gt;0,_xlfn.IFERROR(VLOOKUP(C134,'Boats Data Sheet 2026'!$C$3:$I$57,7,0)*'Direct Costs 2026'!$C$36,"N/A"),"N/A")</f>
        <v>N/A</v>
      </c>
      <c r="R147" s="639"/>
      <c r="S147" t="str" s="640" cm="1">
        <f t="array" ref="S147">IF(B147&gt;0,IF(OR(VLOOKUP(C134,'Boats Data Sheet 2026'!$C$3:$F$57,4,0)="Own",VLOOKUP(C134,'Boats Data Sheet 2026'!$C$3:$F$57,4,0)="Management"),('Direct Costs 2026'!$C$37+'Direct Costs 2026'!$C$39),"N/A"),"N/A")</f>
        <v>N/A</v>
      </c>
      <c r="T147" t="str" s="640" cm="1">
        <f t="array" ref="T147">_xlfn.IFERROR(IF(B147&gt;5,IF(B147&gt;11,IF(B147&gt;15,4,3),2),IF(B147=0,"N/A",1))*SUM('Direct Costs 2026'!$C$67:$C$68),"N/A")</f>
        <v>N/A</v>
      </c>
      <c r="U147" t="str" s="640" cm="1">
        <f t="array" ref="U147">_xlfn.IFERROR('Direct Costs 2026'!$C$27*C147,"N/A")</f>
        <v>N/A</v>
      </c>
      <c r="V147" t="str" s="640" cm="1">
        <f t="array" ref="V147">_xlfn.IFERROR(C147+SUM(E147:U147),"N/A")</f>
        <v>N/A</v>
      </c>
      <c r="W147" s="424"/>
      <c r="X147" t="str" s="640" cm="1">
        <f t="array" ref="X147">IF(B147&gt;0,'Allocation OH and Target 2026'!$E$31,"N/A")</f>
        <v>N/A</v>
      </c>
      <c r="Y147" t="str" s="640" cm="1">
        <f t="array" ref="Y147">IF(B147&gt;0,VLOOKUP(C134,'Allocation OH and Target 2026'!$C$5:$T$23,16,0),"N/A")</f>
        <v>N/A</v>
      </c>
      <c r="Z147" t="str" s="640" cm="1">
        <f t="array" ref="Z147">_xlfn.IFERROR((X147+Y147),"N/A")</f>
        <v>N/A</v>
      </c>
      <c r="AA147" s="424"/>
      <c r="AB147" t="str" s="640" cm="1">
        <f t="array" ref="AB147">_xlfn.IFERROR(Z147+V147,"N/A")</f>
        <v>N/A</v>
      </c>
      <c r="AC147" t="str" s="640" cm="1">
        <f t="array" ref="AC147">_xlfn.IFERROR(AB147*0.5%,"N/A")</f>
        <v>N/A</v>
      </c>
      <c r="AD147" t="str" s="640" cm="1">
        <f t="array" ref="AD147">_xlfn.IFERROR(AB147*25%,"N/A")</f>
        <v>N/A</v>
      </c>
      <c r="AE147" t="str" s="648" cm="1">
        <f t="array" ref="AE147">IF(B147&gt;0,SUM(AB147:AD147),"N/A")</f>
        <v>N/A</v>
      </c>
      <c r="AF147" t="str" s="640" cm="1">
        <f t="array" ref="AF147">_xlfn.IFERROR(AE147/B147,"N/A")</f>
        <v>N/A</v>
      </c>
      <c r="AG147" s="424"/>
      <c r="AH147" t="str" s="648" cm="1">
        <f t="array" ref="AH147">IF(B147/VLOOKUP(C134,'Boats Data Sheet 2026'!$C$3:$H$57,6,0)&gt;VLOOKUP(C134,'Allocation OH and Target 2026'!$C$5:$J$23,8,0),IF(SUM(AI136:AI146)=0,AF147,"N/A"),"N/A")</f>
        <v>N/A</v>
      </c>
      <c r="AI147" s="424" cm="1">
        <f t="array" ref="AI147">IF(AH147="N/A",0,1)</f>
        <v>0</v>
      </c>
      <c r="AJ147" t="str" s="640" cm="1">
        <f t="array" ref="AJ147">IF(B147/VLOOKUP(C134,'Boats Data Sheet 2026'!$C$3:$H$57,6,0)&gt;VLOOKUP(C134,'Allocation OH and Target 2026'!$C$5:$J$23,8,0),IF(SUM(AI136:AI146)=0,V147/B147,"N/A"),"N/A")</f>
        <v>N/A</v>
      </c>
      <c r="AK147" s="424" cm="1">
        <f t="array" ref="AK147">IF(AJ147="N/A",0,1)</f>
        <v>0</v>
      </c>
      <c r="AL147" t="str" s="628" cm="1">
        <f t="array" ref="AL147">IF(SUM(1250000+700000)*B147&lt;SUM(AB147:AC147),"NO GO","GO")</f>
        <v>GO</v>
      </c>
      <c r="AM147" s="424"/>
      <c r="AN147" s="639"/>
      <c r="AO147" s="639"/>
      <c r="AP147" s="639"/>
      <c r="AQ147" s="645"/>
      <c r="AR147" s="601" cm="1">
        <f t="array" ref="AR147">B147</f>
        <v>0</v>
      </c>
    </row>
    <row r="148" ht="9" customHeight="1" hidden="1">
      <c r="A148" s="12"/>
      <c r="B148" s="646">
        <v>0</v>
      </c>
      <c r="C148" t="str" s="640" cm="1">
        <f t="array" ref="C148">IF(B148&gt;0,IF(VLOOKUP(C134,'Boats Data Sheet 2026'!$C$3:$J$57,8,0)="N/A",0,VLOOKUP(C134,'Boats Data Sheet 2026'!$C$3:$J$57,8,0)),"N/A")</f>
        <v>N/A</v>
      </c>
      <c r="D148" t="str" s="649" cm="1">
        <f t="array" ref="D148">IF(B148&gt;7,2,IF(B148=0,"N/A",1))</f>
        <v>N/A</v>
      </c>
      <c r="E148" t="str" s="640" cm="1">
        <f t="array" ref="E148">_xlfn.IFERROR(SUM('Direct Costs 2026'!$C$4:$C$6)*D148,"N/A")</f>
        <v>N/A</v>
      </c>
      <c r="F148" s="639" cm="1">
        <f t="array" ref="F148">_xlfn.IFERROR('Direct Costs 2026'!$C$43*B148,"N/A")</f>
        <v>0</v>
      </c>
      <c r="G148" t="str" s="640" cm="1">
        <f t="array" ref="G148">IF(B148&gt;0,'Direct Costs 2026'!$C$25,"N/A")</f>
        <v>N/A</v>
      </c>
      <c r="H148" t="str" s="640" cm="1">
        <f t="array" ref="H148">IF(B148&gt;0,('Direct Costs 2026'!$C$19+'Direct Costs 2026'!$C$18*B148),"N/A")</f>
        <v>N/A</v>
      </c>
      <c r="I148" t="str" s="640" cm="1">
        <f t="array" ref="I148">IF(B148&gt;0,SUM('Direct Costs 2026'!$C$20:$C$21),"N/A")</f>
        <v>N/A</v>
      </c>
      <c r="J148" t="str" s="640" cm="1">
        <f t="array" ref="J148">IF(B148&gt;0,'Direct Costs 2026'!$C$14,"N/A")</f>
        <v>N/A</v>
      </c>
      <c r="K148" t="str" s="640" cm="1">
        <f t="array" ref="K148">IF(B148&gt;0,'Direct Costs 2026'!$C$26,"N/A")</f>
        <v>N/A</v>
      </c>
      <c r="L148" t="str" s="640" cm="1">
        <f t="array" ref="L148">IF(B148&gt;0,SUM('Direct Costs 2026'!$C$23:$C$24),"N/A")</f>
        <v>N/A</v>
      </c>
      <c r="M148" t="str" s="640" cm="1">
        <f t="array" ref="M148">IF(B148&gt;0,'Direct Costs 2026'!$C$45*B148,"N/A")</f>
        <v>N/A</v>
      </c>
      <c r="N148" t="str" s="640" cm="1">
        <f t="array" ref="N148">IF($B148&gt;0,'Direct Costs 2026'!$C$29,"N/A")</f>
        <v>N/A</v>
      </c>
      <c r="O148" t="str" s="640" cm="1">
        <f t="array" ref="O148">IF($B148&gt;0,'Direct Costs 2026'!$C$31,"N/A")</f>
        <v>N/A</v>
      </c>
      <c r="P148" t="str" s="640" cm="1">
        <f t="array" ref="P148">IF(B148&gt;0,'Direct Costs 2026'!$C$59*B148,"N/A")</f>
        <v>N/A</v>
      </c>
      <c r="Q148" t="str" s="640" cm="1">
        <f t="array" ref="Q148">IF(B148&gt;0,_xlfn.IFERROR(VLOOKUP(C134,'Boats Data Sheet 2026'!$C$3:$I$57,7,0)*'Direct Costs 2026'!$C$36,"N/A"),"N/A")</f>
        <v>N/A</v>
      </c>
      <c r="R148" s="639"/>
      <c r="S148" t="str" s="640" cm="1">
        <f t="array" ref="S148">IF(B148&gt;0,IF(OR(VLOOKUP(C134,'Boats Data Sheet 2026'!$C$3:$F$57,4,0)="Own",VLOOKUP(C134,'Boats Data Sheet 2026'!$C$3:$F$57,4,0)="Management"),('Direct Costs 2026'!$C$37+'Direct Costs 2026'!$C$39),"N/A"),"N/A")</f>
        <v>N/A</v>
      </c>
      <c r="T148" t="str" s="640" cm="1">
        <f t="array" ref="T148">_xlfn.IFERROR(IF(B148&gt;5,IF(B148&gt;11,IF(B148&gt;15,4,3),2),IF(B148=0,"N/A",1))*SUM('Direct Costs 2026'!$C$67:$C$68),"N/A")</f>
        <v>N/A</v>
      </c>
      <c r="U148" t="str" s="640" cm="1">
        <f t="array" ref="U148">_xlfn.IFERROR('Direct Costs 2026'!$C$27*C148,"N/A")</f>
        <v>N/A</v>
      </c>
      <c r="V148" t="str" s="640" cm="1">
        <f t="array" ref="V148">_xlfn.IFERROR(C148+SUM(E148:U148),"N/A")</f>
        <v>N/A</v>
      </c>
      <c r="W148" s="424"/>
      <c r="X148" t="str" s="640" cm="1">
        <f t="array" ref="X148">IF(B148&gt;0,'Allocation OH and Target 2026'!$E$31,"N/A")</f>
        <v>N/A</v>
      </c>
      <c r="Y148" t="str" s="640" cm="1">
        <f t="array" ref="Y148">IF(B148&gt;0,VLOOKUP(C134,'Allocation OH and Target 2026'!$C$5:$T$23,16,0),"N/A")</f>
        <v>N/A</v>
      </c>
      <c r="Z148" t="str" s="640" cm="1">
        <f t="array" ref="Z148">_xlfn.IFERROR((X148+Y148),"N/A")</f>
        <v>N/A</v>
      </c>
      <c r="AA148" s="424"/>
      <c r="AB148" t="str" s="640" cm="1">
        <f t="array" ref="AB148">_xlfn.IFERROR(Z148+V148,"N/A")</f>
        <v>N/A</v>
      </c>
      <c r="AC148" t="str" s="640" cm="1">
        <f t="array" ref="AC148">_xlfn.IFERROR(AB148*0.5%,"N/A")</f>
        <v>N/A</v>
      </c>
      <c r="AD148" t="str" s="640" cm="1">
        <f t="array" ref="AD148">_xlfn.IFERROR(AB148*25%,"N/A")</f>
        <v>N/A</v>
      </c>
      <c r="AE148" t="str" s="648" cm="1">
        <f t="array" ref="AE148">IF(B148&gt;0,SUM(AB148:AD148),"N/A")</f>
        <v>N/A</v>
      </c>
      <c r="AF148" t="str" s="640" cm="1">
        <f t="array" ref="AF148">_xlfn.IFERROR(AE148/B148,"N/A")</f>
        <v>N/A</v>
      </c>
      <c r="AG148" s="424"/>
      <c r="AH148" t="str" s="648" cm="1">
        <f t="array" ref="AH148">IF(B148/VLOOKUP(C134,'Boats Data Sheet 2026'!$C$3:$H$57,6,0)&gt;VLOOKUP(C134,'Allocation OH and Target 2026'!$C$5:$J$23,8,0),IF(SUM(AI136:AI147)=0,AF148,"N/A"),"N/A")</f>
        <v>N/A</v>
      </c>
      <c r="AI148" s="424" cm="1">
        <f t="array" ref="AI148">IF(AH148="N/A",0,1)</f>
        <v>0</v>
      </c>
      <c r="AJ148" t="str" s="640" cm="1">
        <f t="array" ref="AJ148">IF(B148/VLOOKUP(C134,'Boats Data Sheet 2026'!$C$3:$H$57,6,0)&gt;VLOOKUP(C134,'Allocation OH and Target 2026'!$C$5:$J$23,8,0),IF(SUM(AI136:AI147)=0,V148/B148,"N/A"),"N/A")</f>
        <v>N/A</v>
      </c>
      <c r="AK148" s="424" cm="1">
        <f t="array" ref="AK148">IF(AJ148="N/A",0,1)</f>
        <v>0</v>
      </c>
      <c r="AL148" t="str" s="628" cm="1">
        <f t="array" ref="AL148">IF(SUM(1250000+700000)*B148&lt;SUM(AB148:AC148),"NO GO","GO")</f>
        <v>GO</v>
      </c>
      <c r="AM148" s="424"/>
      <c r="AN148" s="639"/>
      <c r="AO148" s="639"/>
      <c r="AP148" s="639"/>
      <c r="AQ148" s="645"/>
      <c r="AR148" s="601" cm="1">
        <f t="array" ref="AR148">B148</f>
        <v>0</v>
      </c>
    </row>
    <row r="149" ht="9" customHeight="1" hidden="1">
      <c r="A149" s="12"/>
      <c r="B149" s="646">
        <v>0</v>
      </c>
      <c r="C149" t="str" s="640" cm="1">
        <f t="array" ref="C149">IF(B149&gt;0,IF(VLOOKUP(C134,'Boats Data Sheet 2026'!$C$3:$J$57,8,0)="N/A",0,VLOOKUP(C134,'Boats Data Sheet 2026'!$C$3:$J$57,8,0)),"N/A")</f>
        <v>N/A</v>
      </c>
      <c r="D149" t="str" s="649" cm="1">
        <f t="array" ref="D149">IF(B149&gt;7,2,IF(B149=0,"N/A",1))</f>
        <v>N/A</v>
      </c>
      <c r="E149" t="str" s="640" cm="1">
        <f t="array" ref="E149">_xlfn.IFERROR(SUM('Direct Costs 2026'!$C$4:$C$6)*D149,"N/A")</f>
        <v>N/A</v>
      </c>
      <c r="F149" s="639" cm="1">
        <f t="array" ref="F149">_xlfn.IFERROR('Direct Costs 2026'!$C$43*B149,"N/A")</f>
        <v>0</v>
      </c>
      <c r="G149" t="str" s="640" cm="1">
        <f t="array" ref="G149">IF(B149&gt;0,'Direct Costs 2026'!$C$25,"N/A")</f>
        <v>N/A</v>
      </c>
      <c r="H149" t="str" s="640" cm="1">
        <f t="array" ref="H149">IF(B149&gt;0,('Direct Costs 2026'!$C$19+'Direct Costs 2026'!$C$18*B149),"N/A")</f>
        <v>N/A</v>
      </c>
      <c r="I149" t="str" s="640" cm="1">
        <f t="array" ref="I149">IF(B149&gt;0,SUM('Direct Costs 2026'!$C$20:$C$21),"N/A")</f>
        <v>N/A</v>
      </c>
      <c r="J149" t="str" s="640" cm="1">
        <f t="array" ref="J149">IF(B149&gt;0,'Direct Costs 2026'!$C$14,"N/A")</f>
        <v>N/A</v>
      </c>
      <c r="K149" t="str" s="640" cm="1">
        <f t="array" ref="K149">IF(B149&gt;0,'Direct Costs 2026'!$C$26,"N/A")</f>
        <v>N/A</v>
      </c>
      <c r="L149" t="str" s="640" cm="1">
        <f t="array" ref="L149">IF(B149&gt;0,SUM('Direct Costs 2026'!$C$23:$C$24),"N/A")</f>
        <v>N/A</v>
      </c>
      <c r="M149" t="str" s="640" cm="1">
        <f t="array" ref="M149">IF(B149&gt;0,'Direct Costs 2026'!$C$45*B149,"N/A")</f>
        <v>N/A</v>
      </c>
      <c r="N149" t="str" s="640" cm="1">
        <f t="array" ref="N149">IF($B149&gt;0,'Direct Costs 2026'!$C$29,"N/A")</f>
        <v>N/A</v>
      </c>
      <c r="O149" t="str" s="640" cm="1">
        <f t="array" ref="O149">IF($B149&gt;0,'Direct Costs 2026'!$C$31,"N/A")</f>
        <v>N/A</v>
      </c>
      <c r="P149" t="str" s="640" cm="1">
        <f t="array" ref="P149">IF(B149&gt;0,'Direct Costs 2026'!$C$59*B149,"N/A")</f>
        <v>N/A</v>
      </c>
      <c r="Q149" t="str" s="640" cm="1">
        <f t="array" ref="Q149">IF(B149&gt;0,_xlfn.IFERROR(VLOOKUP(C134,'Boats Data Sheet 2026'!$C$3:$I$57,7,0)*'Direct Costs 2026'!$C$36,"N/A"),"N/A")</f>
        <v>N/A</v>
      </c>
      <c r="R149" s="639"/>
      <c r="S149" t="str" s="640" cm="1">
        <f t="array" ref="S149">IF(B149&gt;0,IF(OR(VLOOKUP(C134,'Boats Data Sheet 2026'!$C$3:$F$57,4,0)="Own",VLOOKUP(C134,'Boats Data Sheet 2026'!$C$3:$F$57,4,0)="Management"),('Direct Costs 2026'!$C$37+'Direct Costs 2026'!$C$39),"N/A"),"N/A")</f>
        <v>N/A</v>
      </c>
      <c r="T149" t="str" s="640" cm="1">
        <f t="array" ref="T149">_xlfn.IFERROR(IF(B149&gt;5,IF(B149&gt;11,IF(B149&gt;15,4,3),2),IF(B149=0,"N/A",1))*SUM('Direct Costs 2026'!$C$67:$C$68),"N/A")</f>
        <v>N/A</v>
      </c>
      <c r="U149" t="str" s="640" cm="1">
        <f t="array" ref="U149">_xlfn.IFERROR('Direct Costs 2026'!$C$27*C149,"N/A")</f>
        <v>N/A</v>
      </c>
      <c r="V149" t="str" s="640" cm="1">
        <f t="array" ref="V149">_xlfn.IFERROR(C149+SUM(E149:U149),"N/A")</f>
        <v>N/A</v>
      </c>
      <c r="W149" s="424"/>
      <c r="X149" t="str" s="640" cm="1">
        <f t="array" ref="X149">IF(B149&gt;0,'Allocation OH and Target 2026'!$E$31,"N/A")</f>
        <v>N/A</v>
      </c>
      <c r="Y149" t="str" s="640" cm="1">
        <f t="array" ref="Y149">IF(B149&gt;0,VLOOKUP(C134,'Allocation OH and Target 2026'!$C$5:$T$23,16,0),"N/A")</f>
        <v>N/A</v>
      </c>
      <c r="Z149" t="str" s="640" cm="1">
        <f t="array" ref="Z149">_xlfn.IFERROR((X149+Y149),"N/A")</f>
        <v>N/A</v>
      </c>
      <c r="AA149" s="424"/>
      <c r="AB149" t="str" s="640" cm="1">
        <f t="array" ref="AB149">_xlfn.IFERROR(Z149+V149,"N/A")</f>
        <v>N/A</v>
      </c>
      <c r="AC149" t="str" s="640" cm="1">
        <f t="array" ref="AC149">_xlfn.IFERROR(AB149*0.5%,"N/A")</f>
        <v>N/A</v>
      </c>
      <c r="AD149" t="str" s="640" cm="1">
        <f t="array" ref="AD149">_xlfn.IFERROR(AB149*25%,"N/A")</f>
        <v>N/A</v>
      </c>
      <c r="AE149" t="str" s="648" cm="1">
        <f t="array" ref="AE149">IF(B149&gt;0,SUM(AB149:AD149),"N/A")</f>
        <v>N/A</v>
      </c>
      <c r="AF149" t="str" s="640" cm="1">
        <f t="array" ref="AF149">_xlfn.IFERROR(AE149/B149,"N/A")</f>
        <v>N/A</v>
      </c>
      <c r="AG149" s="424"/>
      <c r="AH149" t="str" s="648" cm="1">
        <f t="array" ref="AH149">IF(B149/VLOOKUP(C134,'Boats Data Sheet 2026'!$C$3:$H$57,6,0)&gt;VLOOKUP(C134,'Allocation OH and Target 2026'!$C$5:$J$23,8,0),IF(SUM(AI136:AI148)=0,AF149,"N/A"),"N/A")</f>
        <v>N/A</v>
      </c>
      <c r="AI149" s="424" cm="1">
        <f t="array" ref="AI149">IF(AH149="N/A",0,1)</f>
        <v>0</v>
      </c>
      <c r="AJ149" t="str" s="640" cm="1">
        <f t="array" ref="AJ149">IF(B149/VLOOKUP(C134,'Boats Data Sheet 2026'!$C$3:$H$57,6,0)&gt;VLOOKUP(C134,'Allocation OH and Target 2026'!$C$5:$J$23,8,0),IF(SUM(AI136:AI148)=0,V149/B149,"N/A"),"N/A")</f>
        <v>N/A</v>
      </c>
      <c r="AK149" s="424" cm="1">
        <f t="array" ref="AK149">IF(AJ149="N/A",0,1)</f>
        <v>0</v>
      </c>
      <c r="AL149" t="str" s="628" cm="1">
        <f t="array" ref="AL149">IF(SUM(1250000+700000)*B149&lt;SUM(AB149:AC149),"NO GO","GO")</f>
        <v>GO</v>
      </c>
      <c r="AM149" s="424"/>
      <c r="AN149" s="639"/>
      <c r="AO149" s="639"/>
      <c r="AP149" s="639"/>
      <c r="AQ149" s="645"/>
      <c r="AR149" s="601" cm="1">
        <f t="array" ref="AR149">B149</f>
        <v>0</v>
      </c>
    </row>
    <row r="150" ht="9" customHeight="1" hidden="1">
      <c r="A150" s="12"/>
      <c r="B150" s="646">
        <v>0</v>
      </c>
      <c r="C150" t="str" s="640" cm="1">
        <f t="array" ref="C150">IF(B150&gt;0,IF(VLOOKUP(C134,'Boats Data Sheet 2026'!$C$3:$J$57,8,0)="N/A",0,VLOOKUP(C134,'Boats Data Sheet 2026'!$C$3:$J$57,8,0)),"N/A")</f>
        <v>N/A</v>
      </c>
      <c r="D150" t="str" s="640" cm="1">
        <f t="array" ref="D150">IF(B150&gt;7,2,IF(B150=0,"N/A",1))</f>
        <v>N/A</v>
      </c>
      <c r="E150" t="str" s="640" cm="1">
        <f t="array" ref="E150">_xlfn.IFERROR(SUM('Direct Costs 2026'!$C$4:$C$6)*D150,"N/A")</f>
        <v>N/A</v>
      </c>
      <c r="F150" s="639" cm="1">
        <f t="array" ref="F150">_xlfn.IFERROR('Direct Costs 2026'!$C$43*B150,"N/A")</f>
        <v>0</v>
      </c>
      <c r="G150" t="str" s="640" cm="1">
        <f t="array" ref="G150">IF(B150&gt;0,'Direct Costs 2026'!$C$25,"N/A")</f>
        <v>N/A</v>
      </c>
      <c r="H150" t="str" s="640" cm="1">
        <f t="array" ref="H150">IF(B150&gt;0,('Direct Costs 2026'!$C$19+'Direct Costs 2026'!$C$18*B150),"N/A")</f>
        <v>N/A</v>
      </c>
      <c r="I150" t="str" s="640" cm="1">
        <f t="array" ref="I150">IF(B150&gt;0,SUM('Direct Costs 2026'!$C$20:$C$21),"N/A")</f>
        <v>N/A</v>
      </c>
      <c r="J150" t="str" s="640" cm="1">
        <f t="array" ref="J150">IF(B150&gt;0,'Direct Costs 2026'!$C$14,"N/A")</f>
        <v>N/A</v>
      </c>
      <c r="K150" t="str" s="640" cm="1">
        <f t="array" ref="K150">IF(B150&gt;0,'Direct Costs 2026'!$C$26,"N/A")</f>
        <v>N/A</v>
      </c>
      <c r="L150" t="str" s="640" cm="1">
        <f t="array" ref="L150">IF(B150&gt;0,SUM('Direct Costs 2026'!$C$23:$C$24),"N/A")</f>
        <v>N/A</v>
      </c>
      <c r="M150" t="str" s="640" cm="1">
        <f t="array" ref="M150">IF(B150&gt;0,'Direct Costs 2026'!$C$45*B150,"N/A")</f>
        <v>N/A</v>
      </c>
      <c r="N150" t="str" s="640" cm="1">
        <f t="array" ref="N150">IF($B150&gt;0,'Direct Costs 2026'!$C$29,"N/A")</f>
        <v>N/A</v>
      </c>
      <c r="O150" t="str" s="640" cm="1">
        <f t="array" ref="O150">IF($B150&gt;0,'Direct Costs 2026'!$C$31,"N/A")</f>
        <v>N/A</v>
      </c>
      <c r="P150" t="str" s="640" cm="1">
        <f t="array" ref="P150">IF(B150&gt;0,'Direct Costs 2026'!$C$59*B150,"N/A")</f>
        <v>N/A</v>
      </c>
      <c r="Q150" t="str" s="640" cm="1">
        <f t="array" ref="Q150">IF(B150&gt;0,_xlfn.IFERROR(VLOOKUP(C134,'Boats Data Sheet 2026'!$C$3:$I$57,7,0)*'Direct Costs 2026'!$C$36,"N/A"),"N/A")</f>
        <v>N/A</v>
      </c>
      <c r="R150" s="639"/>
      <c r="S150" t="str" s="640" cm="1">
        <f t="array" ref="S150">IF(B150&gt;0,IF(OR(VLOOKUP(C134,'Boats Data Sheet 2026'!$C$3:$F$57,4,0)="Own",VLOOKUP(C134,'Boats Data Sheet 2026'!$C$3:$F$57,4,0)="Management"),('Direct Costs 2026'!$C$37+'Direct Costs 2026'!$C$39),"N/A"),"N/A")</f>
        <v>N/A</v>
      </c>
      <c r="T150" t="str" s="640" cm="1">
        <f t="array" ref="T150">_xlfn.IFERROR(IF(B150&gt;5,IF(B150&gt;11,IF(B150&gt;15,4,3),2),IF(B150=0,"N/A",1))*SUM('Direct Costs 2026'!$C$67:$C$68),"N/A")</f>
        <v>N/A</v>
      </c>
      <c r="U150" t="str" s="640" cm="1">
        <f t="array" ref="U150">_xlfn.IFERROR('Direct Costs 2026'!$C$27*C150,"N/A")</f>
        <v>N/A</v>
      </c>
      <c r="V150" t="str" s="640" cm="1">
        <f t="array" ref="V150">_xlfn.IFERROR(C150+SUM(E150:U150),"N/A")</f>
        <v>N/A</v>
      </c>
      <c r="W150" s="424"/>
      <c r="X150" t="str" s="640" cm="1">
        <f t="array" ref="X150">IF(B150&gt;0,'Allocation OH and Target 2026'!$E$31,"N/A")</f>
        <v>N/A</v>
      </c>
      <c r="Y150" t="str" s="640" cm="1">
        <f t="array" ref="Y150">IF(B150&gt;0,VLOOKUP(C134,'Allocation OH and Target 2026'!$C$5:$T$23,16,0),"N/A")</f>
        <v>N/A</v>
      </c>
      <c r="Z150" t="str" s="640" cm="1">
        <f t="array" ref="Z150">_xlfn.IFERROR((X150+Y150),"N/A")</f>
        <v>N/A</v>
      </c>
      <c r="AA150" s="424"/>
      <c r="AB150" t="str" s="640" cm="1">
        <f t="array" ref="AB150">_xlfn.IFERROR(Z150+V150,"N/A")</f>
        <v>N/A</v>
      </c>
      <c r="AC150" t="str" s="640" cm="1">
        <f t="array" ref="AC150">_xlfn.IFERROR(AB150*0.5%,"N/A")</f>
        <v>N/A</v>
      </c>
      <c r="AD150" t="str" s="640" cm="1">
        <f t="array" ref="AD150">_xlfn.IFERROR(AB150*25%,"N/A")</f>
        <v>N/A</v>
      </c>
      <c r="AE150" t="str" s="648" cm="1">
        <f t="array" ref="AE150">IF(B150&gt;0,SUM(AB150:AD150),"N/A")</f>
        <v>N/A</v>
      </c>
      <c r="AF150" t="str" s="640" cm="1">
        <f t="array" ref="AF150">_xlfn.IFERROR(AE150/B150,"N/A")</f>
        <v>N/A</v>
      </c>
      <c r="AG150" s="424"/>
      <c r="AH150" t="str" s="648" cm="1">
        <f t="array" ref="AH150">IF(B150/VLOOKUP(C134,'Boats Data Sheet 2026'!$C$3:$H$57,6,0)&gt;VLOOKUP(C134,'Allocation OH and Target 2026'!$C$5:$J$23,8,0),IF(SUM(AI136:AI149)=0,AF150,"N/A"),"N/A")</f>
        <v>N/A</v>
      </c>
      <c r="AI150" s="424" cm="1">
        <f t="array" ref="AI150">IF(AH150="N/A",0,1)</f>
        <v>0</v>
      </c>
      <c r="AJ150" t="str" s="640" cm="1">
        <f t="array" ref="AJ150">IF(B150/VLOOKUP(C134,'Boats Data Sheet 2026'!$C$3:$H$57,6,0)&gt;VLOOKUP(C134,'Allocation OH and Target 2026'!$C$5:$J$23,8,0),IF(SUM(AI136:AI149)=0,V150/B150,"N/A"),"N/A")</f>
        <v>N/A</v>
      </c>
      <c r="AK150" s="424" cm="1">
        <f t="array" ref="AK150">IF(AJ150="N/A",0,1)</f>
        <v>0</v>
      </c>
      <c r="AL150" t="str" s="628" cm="1">
        <f t="array" ref="AL150">IF(SUM(1250000+700000)*B150&lt;SUM(AB150:AC150),"NO GO","GO")</f>
        <v>GO</v>
      </c>
      <c r="AM150" s="424"/>
      <c r="AN150" s="639"/>
      <c r="AO150" s="639"/>
      <c r="AP150" s="639"/>
      <c r="AQ150" s="645"/>
      <c r="AR150" s="601" cm="1">
        <f t="array" ref="AR150">B150</f>
        <v>0</v>
      </c>
    </row>
    <row r="151" ht="9" customHeight="1" hidden="1">
      <c r="A151" s="12"/>
      <c r="B151" s="646">
        <v>0</v>
      </c>
      <c r="C151" t="str" s="640" cm="1">
        <f t="array" ref="C151">IF(B151&gt;0,IF(VLOOKUP(C134,'Boats Data Sheet 2026'!$C$3:$J$57,8,0)="N/A",0,VLOOKUP(C134,'Boats Data Sheet 2026'!$C$3:$J$57,8,0)),"N/A")</f>
        <v>N/A</v>
      </c>
      <c r="D151" t="str" s="640" cm="1">
        <f t="array" ref="D151">IF(B151&gt;7,2,IF(B151=0,"N/A",1))</f>
        <v>N/A</v>
      </c>
      <c r="E151" t="str" s="640" cm="1">
        <f t="array" ref="E151">_xlfn.IFERROR(SUM('Direct Costs 2026'!$C$4:$C$6)*D151,"N/A")</f>
        <v>N/A</v>
      </c>
      <c r="F151" s="639" cm="1">
        <f t="array" ref="F151">_xlfn.IFERROR('Direct Costs 2026'!$C$43*B151,"N/A")</f>
        <v>0</v>
      </c>
      <c r="G151" t="str" s="640" cm="1">
        <f t="array" ref="G151">IF(B151&gt;0,'Direct Costs 2026'!$C$25,"N/A")</f>
        <v>N/A</v>
      </c>
      <c r="H151" t="str" s="640" cm="1">
        <f t="array" ref="H151">IF(B151&gt;0,('Direct Costs 2026'!$C$19+'Direct Costs 2026'!$C$18*B151),"N/A")</f>
        <v>N/A</v>
      </c>
      <c r="I151" t="str" s="640" cm="1">
        <f t="array" ref="I151">IF(B151&gt;0,SUM('Direct Costs 2026'!$C$20:$C$21),"N/A")</f>
        <v>N/A</v>
      </c>
      <c r="J151" t="str" s="640" cm="1">
        <f t="array" ref="J151">IF(B151&gt;0,'Direct Costs 2026'!$C$14,"N/A")</f>
        <v>N/A</v>
      </c>
      <c r="K151" t="str" s="640" cm="1">
        <f t="array" ref="K151">IF(B151&gt;0,'Direct Costs 2026'!$C$26,"N/A")</f>
        <v>N/A</v>
      </c>
      <c r="L151" t="str" s="640" cm="1">
        <f t="array" ref="L151">IF(B151&gt;0,SUM('Direct Costs 2026'!$C$23:$C$24),"N/A")</f>
        <v>N/A</v>
      </c>
      <c r="M151" t="str" s="640" cm="1">
        <f t="array" ref="M151">IF(B151&gt;0,'Direct Costs 2026'!$C$45*B151,"N/A")</f>
        <v>N/A</v>
      </c>
      <c r="N151" t="str" s="640" cm="1">
        <f t="array" ref="N151">IF($B151&gt;0,'Direct Costs 2026'!$C$29,"N/A")</f>
        <v>N/A</v>
      </c>
      <c r="O151" t="str" s="640" cm="1">
        <f t="array" ref="O151">IF($B151&gt;0,'Direct Costs 2026'!$C$31,"N/A")</f>
        <v>N/A</v>
      </c>
      <c r="P151" t="str" s="640" cm="1">
        <f t="array" ref="P151">IF(B151&gt;0,'Direct Costs 2026'!$C$59*B151,"N/A")</f>
        <v>N/A</v>
      </c>
      <c r="Q151" t="str" s="640" cm="1">
        <f t="array" ref="Q151">IF(B151&gt;0,_xlfn.IFERROR(VLOOKUP(C134,'Boats Data Sheet 2026'!$C$3:$I$57,7,0)*'Direct Costs 2026'!$C$36,"N/A"),"N/A")</f>
        <v>N/A</v>
      </c>
      <c r="R151" s="639"/>
      <c r="S151" t="str" s="640" cm="1">
        <f t="array" ref="S151">IF(B151&gt;0,IF(OR(VLOOKUP(C134,'Boats Data Sheet 2026'!$C$3:$F$57,4,0)="Own",VLOOKUP(C134,'Boats Data Sheet 2026'!$C$3:$F$57,4,0)="Management"),('Direct Costs 2026'!$C$37+'Direct Costs 2026'!$C$39),"N/A"),"N/A")</f>
        <v>N/A</v>
      </c>
      <c r="T151" t="str" s="640" cm="1">
        <f t="array" ref="T151">_xlfn.IFERROR(IF(B151&gt;5,IF(B151&gt;11,IF(B151&gt;15,4,3),2),IF(B151=0,"N/A",1))*SUM('Direct Costs 2026'!$C$67:$C$68),"N/A")</f>
        <v>N/A</v>
      </c>
      <c r="U151" t="str" s="640" cm="1">
        <f t="array" ref="U151">_xlfn.IFERROR('Direct Costs 2026'!$C$27*C151,"N/A")</f>
        <v>N/A</v>
      </c>
      <c r="V151" t="str" s="640" cm="1">
        <f t="array" ref="V151">_xlfn.IFERROR(C151+SUM(E151:U151),"N/A")</f>
        <v>N/A</v>
      </c>
      <c r="W151" s="424"/>
      <c r="X151" t="str" s="640" cm="1">
        <f t="array" ref="X151">IF(B151&gt;0,'Allocation OH and Target 2026'!$E$31,"N/A")</f>
        <v>N/A</v>
      </c>
      <c r="Y151" t="str" s="640" cm="1">
        <f t="array" ref="Y151">IF(B151&gt;0,VLOOKUP(C134,'Allocation OH and Target 2026'!$C$5:$T$23,16,0),"N/A")</f>
        <v>N/A</v>
      </c>
      <c r="Z151" t="str" s="640" cm="1">
        <f t="array" ref="Z151">_xlfn.IFERROR((X151+Y151),"N/A")</f>
        <v>N/A</v>
      </c>
      <c r="AA151" s="424"/>
      <c r="AB151" t="str" s="640" cm="1">
        <f t="array" ref="AB151">_xlfn.IFERROR(Z151+V151,"N/A")</f>
        <v>N/A</v>
      </c>
      <c r="AC151" t="str" s="640" cm="1">
        <f t="array" ref="AC151">_xlfn.IFERROR(AB151*0.5%,"N/A")</f>
        <v>N/A</v>
      </c>
      <c r="AD151" t="str" s="640" cm="1">
        <f t="array" ref="AD151">_xlfn.IFERROR(AB151*25%,"N/A")</f>
        <v>N/A</v>
      </c>
      <c r="AE151" t="str" s="648" cm="1">
        <f t="array" ref="AE151">IF(B151&gt;0,SUM(AB151:AD151),"N/A")</f>
        <v>N/A</v>
      </c>
      <c r="AF151" t="str" s="640" cm="1">
        <f t="array" ref="AF151">_xlfn.IFERROR(AE151/B151,"N/A")</f>
        <v>N/A</v>
      </c>
      <c r="AG151" s="424"/>
      <c r="AH151" t="str" s="648" cm="1">
        <f t="array" ref="AH151">IF(B151/VLOOKUP(C134,'Boats Data Sheet 2026'!$C$3:$H$57,6,0)&gt;VLOOKUP(C134,'Allocation OH and Target 2026'!$C$5:$J$23,8,0),IF(SUM(AI136:AI150)=0,AF151,"N/A"),"N/A")</f>
        <v>N/A</v>
      </c>
      <c r="AI151" s="424" cm="1">
        <f t="array" ref="AI151">IF(AH151="N/A",0,1)</f>
        <v>0</v>
      </c>
      <c r="AJ151" t="str" s="640" cm="1">
        <f t="array" ref="AJ151">IF(B151/VLOOKUP(C134,'Boats Data Sheet 2026'!$C$3:$H$57,6,0)&gt;VLOOKUP(C134,'Allocation OH and Target 2026'!$C$5:$J$23,8,0),IF(SUM(AI136:AI150)=0,V151/B151,"N/A"),"N/A")</f>
        <v>N/A</v>
      </c>
      <c r="AK151" s="424" cm="1">
        <f t="array" ref="AK151">IF(AJ151="N/A",0,1)</f>
        <v>0</v>
      </c>
      <c r="AL151" t="str" s="628" cm="1">
        <f t="array" ref="AL151">IF(SUM(1250000+700000)*B151&lt;SUM(AB151:AC151),"NO GO","GO")</f>
        <v>GO</v>
      </c>
      <c r="AM151" s="424"/>
      <c r="AN151" s="639"/>
      <c r="AO151" s="639"/>
      <c r="AP151" s="639"/>
      <c r="AQ151" s="645"/>
      <c r="AR151" s="601" cm="1">
        <f t="array" ref="AR151">B151</f>
        <v>0</v>
      </c>
    </row>
    <row r="152" ht="9" customHeight="1" hidden="1">
      <c r="A152" s="12"/>
      <c r="B152" s="646">
        <v>0</v>
      </c>
      <c r="C152" t="str" s="640" cm="1">
        <f t="array" ref="C152">IF(B152&gt;0,IF(VLOOKUP(C134,'Boats Data Sheet 2026'!$C$3:$J$57,8,0)="N/A",0,VLOOKUP(C134,'Boats Data Sheet 2026'!$C$3:$J$57,8,0)),"N/A")</f>
        <v>N/A</v>
      </c>
      <c r="D152" t="str" s="640" cm="1">
        <f t="array" ref="D152">IF(B152&gt;7,2,IF(B152=0,"N/A",1))</f>
        <v>N/A</v>
      </c>
      <c r="E152" t="str" s="640" cm="1">
        <f t="array" ref="E152">_xlfn.IFERROR(SUM('Direct Costs 2026'!$C$4:$C$6)*D152,"N/A")</f>
        <v>N/A</v>
      </c>
      <c r="F152" s="639" cm="1">
        <f t="array" ref="F152">_xlfn.IFERROR('Direct Costs 2026'!$C$43*B152,"N/A")</f>
        <v>0</v>
      </c>
      <c r="G152" t="str" s="640" cm="1">
        <f t="array" ref="G152">IF(B152&gt;0,'Direct Costs 2026'!$C$25,"N/A")</f>
        <v>N/A</v>
      </c>
      <c r="H152" t="str" s="640" cm="1">
        <f t="array" ref="H152">IF(B152&gt;0,('Direct Costs 2026'!$C$19+'Direct Costs 2026'!$C$18*B152),"N/A")</f>
        <v>N/A</v>
      </c>
      <c r="I152" t="str" s="640" cm="1">
        <f t="array" ref="I152">IF(B152&gt;0,SUM('Direct Costs 2026'!$C$20:$C$21),"N/A")</f>
        <v>N/A</v>
      </c>
      <c r="J152" t="str" s="640" cm="1">
        <f t="array" ref="J152">IF(B152&gt;0,'Direct Costs 2026'!$C$14,"N/A")</f>
        <v>N/A</v>
      </c>
      <c r="K152" t="str" s="640" cm="1">
        <f t="array" ref="K152">IF(B152&gt;0,'Direct Costs 2026'!$C$26,"N/A")</f>
        <v>N/A</v>
      </c>
      <c r="L152" t="str" s="640" cm="1">
        <f t="array" ref="L152">IF(B152&gt;0,SUM('Direct Costs 2026'!$C$23:$C$24),"N/A")</f>
        <v>N/A</v>
      </c>
      <c r="M152" t="str" s="640" cm="1">
        <f t="array" ref="M152">IF(B152&gt;0,'Direct Costs 2026'!$C$45*B152,"N/A")</f>
        <v>N/A</v>
      </c>
      <c r="N152" t="str" s="640" cm="1">
        <f t="array" ref="N152">IF($B152&gt;0,'Direct Costs 2026'!$C$29,"N/A")</f>
        <v>N/A</v>
      </c>
      <c r="O152" t="str" s="640" cm="1">
        <f t="array" ref="O152">IF($B152&gt;0,'Direct Costs 2026'!$C$31,"N/A")</f>
        <v>N/A</v>
      </c>
      <c r="P152" t="str" s="640" cm="1">
        <f t="array" ref="P152">IF(B152&gt;0,'Direct Costs 2026'!$C$59*B152,"N/A")</f>
        <v>N/A</v>
      </c>
      <c r="Q152" t="str" s="640" cm="1">
        <f t="array" ref="Q152">IF(B152&gt;0,_xlfn.IFERROR(VLOOKUP(C134,'Boats Data Sheet 2026'!$C$3:$I$57,7,0)*'Direct Costs 2026'!$C$36,"N/A"),"N/A")</f>
        <v>N/A</v>
      </c>
      <c r="R152" s="639"/>
      <c r="S152" t="str" s="640" cm="1">
        <f t="array" ref="S152">IF(B152&gt;0,IF(OR(VLOOKUP(C134,'Boats Data Sheet 2026'!$C$3:$F$57,4,0)="Own",VLOOKUP(C134,'Boats Data Sheet 2026'!$C$3:$F$57,4,0)="Management"),('Direct Costs 2026'!$C$37+'Direct Costs 2026'!$C$39),"N/A"),"N/A")</f>
        <v>N/A</v>
      </c>
      <c r="T152" t="str" s="640" cm="1">
        <f t="array" ref="T152">_xlfn.IFERROR(IF(B152&gt;5,IF(B152&gt;11,IF(B152&gt;15,4,3),2),IF(B152=0,"N/A",1))*SUM('Direct Costs 2026'!$C$67:$C$68),"N/A")</f>
        <v>N/A</v>
      </c>
      <c r="U152" t="str" s="640" cm="1">
        <f t="array" ref="U152">_xlfn.IFERROR('Direct Costs 2026'!$C$27*C152,"N/A")</f>
        <v>N/A</v>
      </c>
      <c r="V152" t="str" s="640" cm="1">
        <f t="array" ref="V152">_xlfn.IFERROR(C152+SUM(E152:U152),"N/A")</f>
        <v>N/A</v>
      </c>
      <c r="W152" s="424"/>
      <c r="X152" t="str" s="640" cm="1">
        <f t="array" ref="X152">IF(B152&gt;0,'Allocation OH and Target 2026'!$E$31,"N/A")</f>
        <v>N/A</v>
      </c>
      <c r="Y152" t="str" s="640" cm="1">
        <f t="array" ref="Y152">IF(B152&gt;0,VLOOKUP(C134,'Allocation OH and Target 2026'!$C$5:$T$23,16,0),"N/A")</f>
        <v>N/A</v>
      </c>
      <c r="Z152" t="str" s="640" cm="1">
        <f t="array" ref="Z152">_xlfn.IFERROR((X152+Y152),"N/A")</f>
        <v>N/A</v>
      </c>
      <c r="AA152" s="424"/>
      <c r="AB152" t="str" s="640" cm="1">
        <f t="array" ref="AB152">_xlfn.IFERROR(Z152+V152,"N/A")</f>
        <v>N/A</v>
      </c>
      <c r="AC152" t="str" s="640" cm="1">
        <f t="array" ref="AC152">_xlfn.IFERROR(AB152*0.5%,"N/A")</f>
        <v>N/A</v>
      </c>
      <c r="AD152" t="str" s="640" cm="1">
        <f t="array" ref="AD152">_xlfn.IFERROR(AB152*25%,"N/A")</f>
        <v>N/A</v>
      </c>
      <c r="AE152" t="str" s="648" cm="1">
        <f t="array" ref="AE152">IF(B152&gt;0,SUM(AB152:AD152),"N/A")</f>
        <v>N/A</v>
      </c>
      <c r="AF152" t="str" s="640" cm="1">
        <f t="array" ref="AF152">_xlfn.IFERROR(AE152/B152,"N/A")</f>
        <v>N/A</v>
      </c>
      <c r="AG152" s="424"/>
      <c r="AH152" t="str" s="648" cm="1">
        <f t="array" ref="AH152">IF(B152/VLOOKUP(C134,'Boats Data Sheet 2026'!$C$3:$H$57,6,0)&gt;VLOOKUP(C134,'Allocation OH and Target 2026'!$C$5:$J$23,8,0),IF(SUM(AI136:AI151)=0,AF152,"N/A"),"N/A")</f>
        <v>N/A</v>
      </c>
      <c r="AI152" s="424" cm="1">
        <f t="array" ref="AI152">IF(AH152="N/A",0,1)</f>
        <v>0</v>
      </c>
      <c r="AJ152" t="str" s="640" cm="1">
        <f t="array" ref="AJ152">IF(B152/VLOOKUP(C134,'Boats Data Sheet 2026'!$C$3:$H$57,6,0)&gt;VLOOKUP(C134,'Allocation OH and Target 2026'!$C$5:$J$23,8,0),IF(SUM(AI136:AI151)=0,V152/B152,"N/A"),"N/A")</f>
        <v>N/A</v>
      </c>
      <c r="AK152" s="424" cm="1">
        <f t="array" ref="AK152">IF(AJ152="N/A",0,1)</f>
        <v>0</v>
      </c>
      <c r="AL152" t="str" s="628" cm="1">
        <f t="array" ref="AL152">IF(SUM(1250000+700000)*B152&lt;SUM(AB152:AC152),"NO GO","GO")</f>
        <v>GO</v>
      </c>
      <c r="AM152" s="424"/>
      <c r="AN152" s="639"/>
      <c r="AO152" s="639"/>
      <c r="AP152" s="639"/>
      <c r="AQ152" s="645"/>
      <c r="AR152" s="601" cm="1">
        <f t="array" ref="AR152">B152</f>
        <v>0</v>
      </c>
    </row>
    <row r="153" ht="9" customHeight="1" hidden="1">
      <c r="A153" s="12"/>
      <c r="B153" s="646">
        <v>0</v>
      </c>
      <c r="C153" t="str" s="640" cm="1">
        <f t="array" ref="C153">IF(B153&gt;0,IF(VLOOKUP(C134,'Boats Data Sheet 2026'!$C$3:$J$57,8,0)="N/A",0,VLOOKUP(C134,'Boats Data Sheet 2026'!$C$3:$J$57,8,0)),"N/A")</f>
        <v>N/A</v>
      </c>
      <c r="D153" t="str" s="640" cm="1">
        <f t="array" ref="D153">IF(B153&gt;7,2,IF(B153=0,"N/A",1))</f>
        <v>N/A</v>
      </c>
      <c r="E153" t="str" s="640" cm="1">
        <f t="array" ref="E153">_xlfn.IFERROR(SUM('Direct Costs 2026'!$C$4:$C$6)*D153,"N/A")</f>
        <v>N/A</v>
      </c>
      <c r="F153" s="639" cm="1">
        <f t="array" ref="F153">_xlfn.IFERROR('Direct Costs 2026'!$C$43*B153,"N/A")</f>
        <v>0</v>
      </c>
      <c r="G153" t="str" s="640" cm="1">
        <f t="array" ref="G153">IF(B153&gt;0,'Direct Costs 2026'!$C$25,"N/A")</f>
        <v>N/A</v>
      </c>
      <c r="H153" t="str" s="640" cm="1">
        <f t="array" ref="H153">IF(B153&gt;0,('Direct Costs 2026'!$C$19+'Direct Costs 2026'!$C$18*B153),"N/A")</f>
        <v>N/A</v>
      </c>
      <c r="I153" t="str" s="640" cm="1">
        <f t="array" ref="I153">IF(B153&gt;0,SUM('Direct Costs 2026'!$C$20:$C$21),"N/A")</f>
        <v>N/A</v>
      </c>
      <c r="J153" t="str" s="640" cm="1">
        <f t="array" ref="J153">IF(B153&gt;0,'Direct Costs 2026'!$C$14,"N/A")</f>
        <v>N/A</v>
      </c>
      <c r="K153" t="str" s="640" cm="1">
        <f t="array" ref="K153">IF(B153&gt;0,'Direct Costs 2026'!$C$26,"N/A")</f>
        <v>N/A</v>
      </c>
      <c r="L153" t="str" s="640" cm="1">
        <f t="array" ref="L153">IF(B153&gt;0,SUM('Direct Costs 2026'!$C$23:$C$24),"N/A")</f>
        <v>N/A</v>
      </c>
      <c r="M153" t="str" s="640" cm="1">
        <f t="array" ref="M153">IF(B153&gt;0,'Direct Costs 2026'!$C$45*B153,"N/A")</f>
        <v>N/A</v>
      </c>
      <c r="N153" t="str" s="640" cm="1">
        <f t="array" ref="N153">IF($B153&gt;0,'Direct Costs 2026'!$C$29,"N/A")</f>
        <v>N/A</v>
      </c>
      <c r="O153" t="str" s="640" cm="1">
        <f t="array" ref="O153">IF($B153&gt;0,'Direct Costs 2026'!$C$31,"N/A")</f>
        <v>N/A</v>
      </c>
      <c r="P153" t="str" s="640" cm="1">
        <f t="array" ref="P153">IF(B153&gt;0,'Direct Costs 2026'!$C$59*B153,"N/A")</f>
        <v>N/A</v>
      </c>
      <c r="Q153" t="str" s="640" cm="1">
        <f t="array" ref="Q153">IF(B153&gt;0,_xlfn.IFERROR(VLOOKUP(C134,'Boats Data Sheet 2026'!$C$3:$I$57,7,0)*'Direct Costs 2026'!$C$36,"N/A"),"N/A")</f>
        <v>N/A</v>
      </c>
      <c r="R153" s="639"/>
      <c r="S153" t="str" s="640" cm="1">
        <f t="array" ref="S153">IF(B153&gt;0,IF(OR(VLOOKUP(C134,'Boats Data Sheet 2026'!$C$3:$F$57,4,0)="Own",VLOOKUP(C134,'Boats Data Sheet 2026'!$C$3:$F$57,4,0)="Management"),('Direct Costs 2026'!$C$37+'Direct Costs 2026'!$C$39),"N/A"),"N/A")</f>
        <v>N/A</v>
      </c>
      <c r="T153" t="str" s="640" cm="1">
        <f t="array" ref="T153">_xlfn.IFERROR(IF(B153&gt;5,IF(B153&gt;11,IF(B153&gt;15,4,3),2),IF(B153=0,"N/A",1))*SUM('Direct Costs 2026'!$C$67:$C$68),"N/A")</f>
        <v>N/A</v>
      </c>
      <c r="U153" t="str" s="640" cm="1">
        <f t="array" ref="U153">_xlfn.IFERROR('Direct Costs 2026'!$C$27*C153,"N/A")</f>
        <v>N/A</v>
      </c>
      <c r="V153" t="str" s="640" cm="1">
        <f t="array" ref="V153">_xlfn.IFERROR(C153+SUM(E153:U153),"N/A")</f>
        <v>N/A</v>
      </c>
      <c r="W153" s="424"/>
      <c r="X153" t="str" s="640" cm="1">
        <f t="array" ref="X153">IF(B153&gt;0,'Allocation OH and Target 2026'!$E$31,"N/A")</f>
        <v>N/A</v>
      </c>
      <c r="Y153" t="str" s="640" cm="1">
        <f t="array" ref="Y153">IF(B153&gt;0,VLOOKUP(C134,'Allocation OH and Target 2026'!$C$5:$T$23,16,0),"N/A")</f>
        <v>N/A</v>
      </c>
      <c r="Z153" t="str" s="640" cm="1">
        <f t="array" ref="Z153">_xlfn.IFERROR((X153+Y153),"N/A")</f>
        <v>N/A</v>
      </c>
      <c r="AA153" s="424"/>
      <c r="AB153" t="str" s="640" cm="1">
        <f t="array" ref="AB153">_xlfn.IFERROR(Z153+V153,"N/A")</f>
        <v>N/A</v>
      </c>
      <c r="AC153" t="str" s="640" cm="1">
        <f t="array" ref="AC153">_xlfn.IFERROR(AB153*0.5%,"N/A")</f>
        <v>N/A</v>
      </c>
      <c r="AD153" t="str" s="640" cm="1">
        <f t="array" ref="AD153">_xlfn.IFERROR(AB153*25%,"N/A")</f>
        <v>N/A</v>
      </c>
      <c r="AE153" t="str" s="648" cm="1">
        <f t="array" ref="AE153">IF(B153&gt;0,SUM(AB153:AD153),"N/A")</f>
        <v>N/A</v>
      </c>
      <c r="AF153" t="str" s="640" cm="1">
        <f t="array" ref="AF153">_xlfn.IFERROR(AE153/B153,"N/A")</f>
        <v>N/A</v>
      </c>
      <c r="AG153" s="424"/>
      <c r="AH153" t="str" s="648" cm="1">
        <f t="array" ref="AH153">IF(B153/VLOOKUP(C134,'Boats Data Sheet 2026'!$C$3:$H$57,6,0)&gt;VLOOKUP(C134,'Allocation OH and Target 2026'!$C$5:$J$23,8,0),IF(SUM(AI136:AI152)=0,AF153,"N/A"),"N/A")</f>
        <v>N/A</v>
      </c>
      <c r="AI153" s="424" cm="1">
        <f t="array" ref="AI153">IF(AH153="N/A",0,1)</f>
        <v>0</v>
      </c>
      <c r="AJ153" t="str" s="640" cm="1">
        <f t="array" ref="AJ153">IF(B153/VLOOKUP(C134,'Boats Data Sheet 2026'!$C$3:$H$57,6,0)&gt;VLOOKUP(C134,'Allocation OH and Target 2026'!$C$5:$J$23,8,0),IF(SUM(AI136:AI152)=0,V153/B153,"N/A"),"N/A")</f>
        <v>N/A</v>
      </c>
      <c r="AK153" s="424" cm="1">
        <f t="array" ref="AK153">IF(AJ153="N/A",0,1)</f>
        <v>0</v>
      </c>
      <c r="AL153" t="str" s="628" cm="1">
        <f t="array" ref="AL153">IF(SUM(1250000+700000)*B153&lt;SUM(AB153:AC153),"NO GO","GO")</f>
        <v>GO</v>
      </c>
      <c r="AM153" s="424"/>
      <c r="AN153" s="639"/>
      <c r="AO153" s="639"/>
      <c r="AP153" s="639"/>
      <c r="AQ153" s="645"/>
      <c r="AR153" s="601" cm="1">
        <f t="array" ref="AR153">B153</f>
        <v>0</v>
      </c>
    </row>
    <row r="154" ht="15.5" customHeight="1">
      <c r="A154" s="12"/>
      <c r="B154" s="650">
        <v>0</v>
      </c>
      <c r="C154" t="str" s="651" cm="1">
        <f t="array" ref="C154">IF(B154&gt;0,IF(VLOOKUP(C134,'Boats Data Sheet 2026'!$C$3:$J$57,8,0)="N/A",0,VLOOKUP(C134,'Boats Data Sheet 2026'!$C$3:$J$57,8,0)),"N/A")</f>
        <v>N/A</v>
      </c>
      <c r="D154" t="str" s="651" cm="1">
        <f t="array" ref="D154">IF(B154&gt;7,2,IF(B154=0,"N/A",1))</f>
        <v>N/A</v>
      </c>
      <c r="E154" t="str" s="651" cm="1">
        <f t="array" ref="E154">_xlfn.IFERROR(SUM('Direct Costs 2026'!$C$4:$C$6)*D154,"N/A")</f>
        <v>N/A</v>
      </c>
      <c r="F154" s="652" cm="1">
        <f t="array" ref="F154">_xlfn.IFERROR('Direct Costs 2026'!$C$43*B154,"N/A")</f>
        <v>0</v>
      </c>
      <c r="G154" t="str" s="651" cm="1">
        <f t="array" ref="G154">IF(B154&gt;0,'Direct Costs 2026'!$C$25,"N/A")</f>
        <v>N/A</v>
      </c>
      <c r="H154" t="str" s="651" cm="1">
        <f t="array" ref="H154">IF(B154&gt;0,('Direct Costs 2026'!$C$19+'Direct Costs 2026'!$C$18*B154),"N/A")</f>
        <v>N/A</v>
      </c>
      <c r="I154" t="str" s="651" cm="1">
        <f t="array" ref="I154">IF(B154&gt;0,SUM('Direct Costs 2026'!$C$20:$C$21),"N/A")</f>
        <v>N/A</v>
      </c>
      <c r="J154" t="str" s="651" cm="1">
        <f t="array" ref="J154">IF(B154&gt;0,'Direct Costs 2026'!$C$14,"N/A")</f>
        <v>N/A</v>
      </c>
      <c r="K154" t="str" s="651" cm="1">
        <f t="array" ref="K154">IF(B154&gt;0,'Direct Costs 2026'!$C$26,"N/A")</f>
        <v>N/A</v>
      </c>
      <c r="L154" t="str" s="651" cm="1">
        <f t="array" ref="L154">IF(B154&gt;0,SUM('Direct Costs 2026'!$C$23:$C$24),"N/A")</f>
        <v>N/A</v>
      </c>
      <c r="M154" t="str" s="651" cm="1">
        <f t="array" ref="M154">IF(B154&gt;0,'Direct Costs 2026'!$C$45*B154,"N/A")</f>
        <v>N/A</v>
      </c>
      <c r="N154" t="str" s="651" cm="1">
        <f t="array" ref="N154">IF($B154&gt;0,'Direct Costs 2026'!$C$29,"N/A")</f>
        <v>N/A</v>
      </c>
      <c r="O154" t="str" s="651" cm="1">
        <f t="array" ref="O154">IF($B154&gt;0,'Direct Costs 2026'!$C$31,"N/A")</f>
        <v>N/A</v>
      </c>
      <c r="P154" t="str" s="651" cm="1">
        <f t="array" ref="P154">IF(B154&gt;0,'Direct Costs 2026'!$C$59*B154,"N/A")</f>
        <v>N/A</v>
      </c>
      <c r="Q154" t="str" s="651" cm="1">
        <f t="array" ref="Q154">IF(B154&gt;0,_xlfn.IFERROR(VLOOKUP(C134,'Boats Data Sheet 2026'!$C$3:$I$57,7,0)*'Direct Costs 2026'!$C$36,"N/A"),"N/A")</f>
        <v>N/A</v>
      </c>
      <c r="R154" s="652"/>
      <c r="S154" t="str" s="651" cm="1">
        <f t="array" ref="S154">IF(B154&gt;0,IF(OR(VLOOKUP(C134,'Boats Data Sheet 2026'!$C$3:$F$57,4,0)="Own",VLOOKUP(C134,'Boats Data Sheet 2026'!$C$3:$F$57,4,0)="Management"),('Direct Costs 2026'!$C$37+'Direct Costs 2026'!$C$39),"N/A"),"N/A")</f>
        <v>N/A</v>
      </c>
      <c r="T154" t="str" s="651" cm="1">
        <f t="array" ref="T154">_xlfn.IFERROR(IF(B154&gt;5,IF(B154&gt;11,IF(B154&gt;15,4,3),2),IF(B154=0,"N/A",1))*SUM('Direct Costs 2026'!$C$67:$C$68),"N/A")</f>
        <v>N/A</v>
      </c>
      <c r="U154" t="str" s="651" cm="1">
        <f t="array" ref="U154">_xlfn.IFERROR('Direct Costs 2026'!$C$27*C154,"N/A")</f>
        <v>N/A</v>
      </c>
      <c r="V154" t="str" s="651" cm="1">
        <f t="array" ref="V154">_xlfn.IFERROR(C154+SUM(E154:U154),"N/A")</f>
        <v>N/A</v>
      </c>
      <c r="W154" s="435"/>
      <c r="X154" t="str" s="651" cm="1">
        <f t="array" ref="X154">IF(B154&gt;0,'Allocation OH and Target 2026'!$E$31,"N/A")</f>
        <v>N/A</v>
      </c>
      <c r="Y154" t="str" s="651" cm="1">
        <f t="array" ref="Y154">IF(B154&gt;0,VLOOKUP(C134,'Allocation OH and Target 2026'!$C$5:$T$23,16,0),"N/A")</f>
        <v>N/A</v>
      </c>
      <c r="Z154" t="str" s="651" cm="1">
        <f t="array" ref="Z154">_xlfn.IFERROR((X154+Y154),"N/A")</f>
        <v>N/A</v>
      </c>
      <c r="AA154" s="435"/>
      <c r="AB154" t="str" s="651" cm="1">
        <f t="array" ref="AB154">_xlfn.IFERROR(Z154+V154,"N/A")</f>
        <v>N/A</v>
      </c>
      <c r="AC154" t="str" s="651" cm="1">
        <f t="array" ref="AC154">_xlfn.IFERROR(AB154*0.5%,"N/A")</f>
        <v>N/A</v>
      </c>
      <c r="AD154" t="str" s="651" cm="1">
        <f t="array" ref="AD154">_xlfn.IFERROR(AB154*25%,"N/A")</f>
        <v>N/A</v>
      </c>
      <c r="AE154" t="str" s="653" cm="1">
        <f t="array" ref="AE154">IF(B154&gt;0,SUM(AB154:AD154),"N/A")</f>
        <v>N/A</v>
      </c>
      <c r="AF154" t="str" s="651" cm="1">
        <f t="array" ref="AF154">_xlfn.IFERROR(AE154/B154,"N/A")</f>
        <v>N/A</v>
      </c>
      <c r="AG154" s="435"/>
      <c r="AH154" t="str" s="653" cm="1">
        <f t="array" ref="AH154">IF(B154/VLOOKUP(C134,'Boats Data Sheet 2026'!$C$3:$H$57,6,0)&gt;VLOOKUP(C134,'Allocation OH and Target 2026'!$C$5:$J$23,8,0),IF(SUM(AI136:AI153)=0,AF154,"N/A"),"N/A")</f>
        <v>N/A</v>
      </c>
      <c r="AI154" s="435" cm="1">
        <f t="array" ref="AI154">IF(AH154="N/A",0,1)</f>
        <v>0</v>
      </c>
      <c r="AJ154" t="str" s="651" cm="1">
        <f t="array" ref="AJ154">IF(B154/VLOOKUP(C134,'Boats Data Sheet 2026'!$C$3:$H$57,6,0)&gt;VLOOKUP(C134,'Allocation OH and Target 2026'!$C$5:$J$23,8,0),IF(SUM(AI136:AI153)=0,V154/B154,"N/A"),"N/A")</f>
        <v>N/A</v>
      </c>
      <c r="AK154" s="435" cm="1">
        <f t="array" ref="AK154">IF(AJ154="N/A",0,1)</f>
        <v>0</v>
      </c>
      <c r="AL154" t="str" s="654" cm="1">
        <f t="array" ref="AL154">IF(SUM(1250000+700000)*B154&lt;SUM(AB154:AC154),"NO GO","GO")</f>
        <v>GO</v>
      </c>
      <c r="AM154" s="435"/>
      <c r="AN154" s="652"/>
      <c r="AO154" s="652"/>
      <c r="AP154" s="652"/>
      <c r="AQ154" s="655"/>
      <c r="AR154" s="601" cm="1">
        <f t="array" ref="AR154">B154</f>
        <v>0</v>
      </c>
    </row>
    <row r="155" ht="16" customHeight="1">
      <c r="A155" s="32"/>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18"/>
    </row>
    <row r="156" ht="15.5" customHeight="1">
      <c r="A156" s="395">
        <v>8</v>
      </c>
      <c r="B156" t="s" s="619">
        <v>506</v>
      </c>
      <c r="C156" t="s" s="620">
        <v>57</v>
      </c>
      <c r="D156" s="622"/>
      <c r="E156" s="621"/>
      <c r="F156" s="621"/>
      <c r="G156" s="621"/>
      <c r="H156" s="621"/>
      <c r="I156" s="621"/>
      <c r="J156" s="621"/>
      <c r="K156" s="621"/>
      <c r="L156" s="621"/>
      <c r="M156" s="621"/>
      <c r="N156" s="621"/>
      <c r="O156" s="621"/>
      <c r="P156" s="621"/>
      <c r="Q156" s="621"/>
      <c r="R156" s="621"/>
      <c r="S156" s="621"/>
      <c r="T156" s="621"/>
      <c r="U156" s="621"/>
      <c r="V156" s="621"/>
      <c r="W156" s="399"/>
      <c r="X156" s="621"/>
      <c r="Y156" s="621"/>
      <c r="Z156" s="621"/>
      <c r="AA156" s="399"/>
      <c r="AB156" s="621"/>
      <c r="AC156" s="621"/>
      <c r="AD156" s="621"/>
      <c r="AE156" s="621"/>
      <c r="AF156" s="621"/>
      <c r="AG156" s="399"/>
      <c r="AH156" s="622"/>
      <c r="AI156" s="399"/>
      <c r="AJ156" s="621"/>
      <c r="AK156" s="399"/>
      <c r="AL156" s="621"/>
      <c r="AM156" s="399"/>
      <c r="AN156" s="621"/>
      <c r="AO156" s="621"/>
      <c r="AP156" s="621"/>
      <c r="AQ156" s="623"/>
      <c r="AR156" s="578"/>
    </row>
    <row r="157" ht="16" customHeight="1">
      <c r="A157" s="12"/>
      <c r="B157" s="624"/>
      <c r="C157" t="s" s="625">
        <v>513</v>
      </c>
      <c r="D157" s="626"/>
      <c r="E157" s="626"/>
      <c r="F157" s="626"/>
      <c r="G157" s="626"/>
      <c r="H157" s="626"/>
      <c r="I157" s="626"/>
      <c r="J157" s="626"/>
      <c r="K157" s="626"/>
      <c r="L157" s="626"/>
      <c r="M157" s="626"/>
      <c r="N157" s="626"/>
      <c r="O157" s="626"/>
      <c r="P157" s="626"/>
      <c r="Q157" s="626"/>
      <c r="R157" s="626"/>
      <c r="S157" s="626"/>
      <c r="T157" s="626"/>
      <c r="U157" s="626"/>
      <c r="V157" s="627"/>
      <c r="W157" s="407"/>
      <c r="X157" t="s" s="625">
        <v>514</v>
      </c>
      <c r="Y157" s="626"/>
      <c r="Z157" s="627"/>
      <c r="AA157" s="407"/>
      <c r="AB157" t="s" s="625">
        <v>515</v>
      </c>
      <c r="AC157" s="626"/>
      <c r="AD157" s="626"/>
      <c r="AE157" s="626"/>
      <c r="AF157" s="627"/>
      <c r="AG157" s="410"/>
      <c r="AH157" s="628"/>
      <c r="AI157" s="410"/>
      <c r="AJ157" s="629"/>
      <c r="AK157" s="410"/>
      <c r="AL157" s="629"/>
      <c r="AM157" s="410"/>
      <c r="AN157" s="629"/>
      <c r="AO157" s="629"/>
      <c r="AP157" s="629"/>
      <c r="AQ157" s="630"/>
      <c r="AR157" s="578"/>
    </row>
    <row r="158" ht="60.5" customHeight="1">
      <c r="A158" s="12"/>
      <c r="B158" t="s" s="631">
        <v>517</v>
      </c>
      <c r="C158" t="s" s="632">
        <v>518</v>
      </c>
      <c r="D158" t="s" s="632">
        <v>519</v>
      </c>
      <c r="E158" t="s" s="632">
        <v>520</v>
      </c>
      <c r="F158" t="s" s="633">
        <v>521</v>
      </c>
      <c r="G158" t="s" s="633">
        <v>522</v>
      </c>
      <c r="H158" t="s" s="633">
        <v>524</v>
      </c>
      <c r="I158" t="s" s="633">
        <v>525</v>
      </c>
      <c r="J158" t="s" s="633">
        <v>553</v>
      </c>
      <c r="K158" t="s" s="633">
        <v>526</v>
      </c>
      <c r="L158" t="s" s="633">
        <v>527</v>
      </c>
      <c r="M158" t="s" s="633">
        <v>528</v>
      </c>
      <c r="N158" t="s" s="633">
        <v>608</v>
      </c>
      <c r="O158" t="s" s="633">
        <v>609</v>
      </c>
      <c r="P158" t="s" s="633">
        <v>604</v>
      </c>
      <c r="Q158" t="s" s="633">
        <v>610</v>
      </c>
      <c r="R158" t="s" s="633">
        <v>529</v>
      </c>
      <c r="S158" t="s" s="633">
        <v>530</v>
      </c>
      <c r="T158" t="s" s="633">
        <v>572</v>
      </c>
      <c r="U158" t="s" s="633">
        <v>531</v>
      </c>
      <c r="V158" t="s" s="633">
        <v>532</v>
      </c>
      <c r="W158" s="556"/>
      <c r="X158" t="s" s="633">
        <v>533</v>
      </c>
      <c r="Y158" t="s" s="633">
        <v>534</v>
      </c>
      <c r="Z158" t="s" s="633">
        <v>535</v>
      </c>
      <c r="AA158" s="556"/>
      <c r="AB158" t="s" s="633">
        <v>536</v>
      </c>
      <c r="AC158" t="s" s="633">
        <v>537</v>
      </c>
      <c r="AD158" t="s" s="633">
        <v>538</v>
      </c>
      <c r="AE158" t="s" s="633">
        <v>575</v>
      </c>
      <c r="AF158" t="s" s="633">
        <v>539</v>
      </c>
      <c r="AG158" s="557"/>
      <c r="AH158" t="s" s="633">
        <v>576</v>
      </c>
      <c r="AI158" s="557"/>
      <c r="AJ158" t="s" s="633">
        <v>577</v>
      </c>
      <c r="AK158" s="557"/>
      <c r="AL158" t="s" s="632">
        <v>578</v>
      </c>
      <c r="AM158" s="557"/>
      <c r="AN158" s="634"/>
      <c r="AO158" s="634"/>
      <c r="AP158" s="634"/>
      <c r="AQ158" s="635"/>
      <c r="AR158" s="578"/>
    </row>
    <row r="159" ht="16.5" customHeight="1">
      <c r="A159" s="12"/>
      <c r="B159" s="636">
        <v>1</v>
      </c>
      <c r="C159" s="637" cm="1">
        <f t="array" ref="C159">IF(B159&gt;0,IF(VLOOKUP(C156,'Boats Data Sheet 2026'!$C$3:$J$57,8,0)="N/A",0,VLOOKUP(C156,'Boats Data Sheet 2026'!$C$3:$J$57,8,0)),"N/A")</f>
        <v>8000000</v>
      </c>
      <c r="D159" s="638" cm="1">
        <f t="array" ref="D159">IF(B159&gt;7,2,IF(B159=0,"N/A",1))</f>
        <v>1</v>
      </c>
      <c r="E159" s="637" cm="1">
        <f t="array" ref="E159">_xlfn.IFERROR(SUM('Direct Costs 2026'!$C$4:$C$6)*D159,"N/A")</f>
        <v>975500</v>
      </c>
      <c r="F159" s="639" cm="1">
        <f t="array" ref="F159">_xlfn.IFERROR('Direct Costs 2026'!$C$43*B159,"N/A")</f>
        <v>6000</v>
      </c>
      <c r="G159" s="639" cm="1">
        <f t="array" ref="G159">IF(B159&gt;0,'Direct Costs 2026'!$C$25,"N/A")</f>
        <v>90000</v>
      </c>
      <c r="H159" s="639" cm="1">
        <f t="array" ref="H159">IF(B159&gt;0,('Direct Costs 2026'!$C$19+'Direct Costs 2026'!$C$18*B159),"N/A")</f>
        <v>110000</v>
      </c>
      <c r="I159" s="639" cm="1">
        <f t="array" ref="I159">IF(B159&gt;0,SUM('Direct Costs 2026'!$C$20:$C$21),"N/A")</f>
        <v>98333.3333333333</v>
      </c>
      <c r="J159" s="639" cm="1">
        <f t="array" ref="J159">IF(B159&gt;0,'Direct Costs 2026'!$C$14,"N/A")</f>
        <v>60000</v>
      </c>
      <c r="K159" s="639" cm="1">
        <f t="array" ref="K159">IF(B159&gt;0,'Direct Costs 2026'!$C$26,"N/A")</f>
        <v>20000</v>
      </c>
      <c r="L159" s="639" cm="1">
        <f t="array" ref="L159">IF(B159&gt;0,SUM('Direct Costs 2026'!$C$23:$C$24),"N/A")</f>
        <v>160000</v>
      </c>
      <c r="M159" s="639" cm="1">
        <f t="array" ref="M159">IF(B159&gt;0,'Direct Costs 2026'!$C$49*B159,"N/A")</f>
        <v>200000</v>
      </c>
      <c r="N159" s="639" cm="1">
        <f t="array" ref="N159">IF($B159&gt;0,'Direct Costs 2026'!$C$29,"N/A")</f>
        <v>1500000</v>
      </c>
      <c r="O159" s="639" cm="1">
        <f t="array" ref="O159">IF($B159&gt;0,'Direct Costs 2026'!$C$31/3,"N/A")</f>
        <v>290000</v>
      </c>
      <c r="P159" s="639" cm="1">
        <f t="array" ref="P159">IF(B159&gt;0,'Direct Costs 2026'!$C$59*B159,"N/A")</f>
        <v>41000</v>
      </c>
      <c r="Q159" s="639" cm="1">
        <f t="array" ref="Q159">IF($B159&gt;0,'Direct Costs 2026'!$C$34,"N/A")</f>
        <v>550000</v>
      </c>
      <c r="R159" t="str" s="640" cm="1">
        <f t="array" ref="R159">IF(B159&gt;0,_xlfn.IFERROR(VLOOKUP(C156,'Boats Data Sheet 2026'!$C$3:$I$57,7,0)*'Direct Costs 2026'!$C$36,"N/A"),"N/A")</f>
        <v>N/A</v>
      </c>
      <c r="S159" t="str" s="640" cm="1">
        <f t="array" ref="S159">IF(B159&gt;0,IF(OR(VLOOKUP(C156,'Boats Data Sheet 2026'!$C$3:$F$57,4,0)="Own",VLOOKUP(C156,'Boats Data Sheet 2026'!$C$3:$F$57,4,0)="Management"),('Direct Costs 2026'!$C$37+'Direct Costs 2026'!$C$39),"N/A"),"N/A")</f>
        <v>N/A</v>
      </c>
      <c r="T159" s="639" cm="1">
        <f t="array" ref="T159">_xlfn.IFERROR(IF(B159&gt;5,IF(B159&gt;11,IF(B159&gt;15,4,3),2),IF(B159=0,"N/A",1))*SUM('Direct Costs 2026'!$C$67:$C$68),"N/A")</f>
        <v>489600</v>
      </c>
      <c r="U159" s="639" cm="1">
        <f t="array" ref="U159">_xlfn.IFERROR('Direct Costs 2026'!$C$27*C159,"N/A")</f>
        <v>160000</v>
      </c>
      <c r="V159" s="639" cm="1">
        <f t="array" ref="V159">_xlfn.IFERROR(C159+SUM(E159:U159),"N/A")</f>
        <v>12750433.3333333</v>
      </c>
      <c r="W159" s="424"/>
      <c r="X159" s="639" cm="1">
        <f t="array" ref="X159">IF(B159&gt;0,'Allocation OH and Target 2026'!$E$31,"N/A")</f>
        <v>3100447.15769812</v>
      </c>
      <c r="Y159" s="639" cm="1">
        <f t="array" ref="Y159">IF(B159&gt;0,VLOOKUP(C156,'Allocation OH and Target 2026'!$C$5:$T$23,17,0),"N/A")</f>
        <v>0</v>
      </c>
      <c r="Z159" s="639" cm="1">
        <f t="array" ref="Z159">_xlfn.IFERROR((X159+Y159),"N/A")</f>
        <v>3100447.15769812</v>
      </c>
      <c r="AA159" s="424"/>
      <c r="AB159" s="639" cm="1">
        <f t="array" ref="AB159">_xlfn.IFERROR(Z159+V159,"N/A")</f>
        <v>15850880.4910314</v>
      </c>
      <c r="AC159" s="639" cm="1">
        <f t="array" ref="AC159">_xlfn.IFERROR(AB159*0.5%,"N/A")</f>
        <v>79254.402455157</v>
      </c>
      <c r="AD159" s="639" cm="1">
        <f t="array" ref="AD159">_xlfn.IFERROR(AB159*25%,"N/A")</f>
        <v>3962720.12275785</v>
      </c>
      <c r="AE159" s="641" cm="1">
        <f t="array" ref="AE159">IF(B159&gt;0,SUM(AB159:AD159),"N/A")</f>
        <v>19892855.0162444</v>
      </c>
      <c r="AF159" s="639" cm="1">
        <f t="array" ref="AF159">_xlfn.IFERROR(AE159/B159,"N/A")</f>
        <v>19892855.0162444</v>
      </c>
      <c r="AG159" s="424"/>
      <c r="AH159" t="s" s="642">
        <v>14</v>
      </c>
      <c r="AI159" s="424" cm="1">
        <f t="array" ref="AI159">IF(AH159="N/A",0,1)</f>
        <v>0</v>
      </c>
      <c r="AJ159" t="s" s="643">
        <v>14</v>
      </c>
      <c r="AK159" s="424" cm="1">
        <f t="array" ref="AK159">IF(AJ159="N/A",0,1)</f>
        <v>0</v>
      </c>
      <c r="AL159" t="str" s="644" cm="1">
        <f t="array" ref="AL159">IF(SUM(1250000+700000)*B159&lt;SUM(AB159:AC159),"NO GO","GO")</f>
        <v>NO GO</v>
      </c>
      <c r="AM159" s="424"/>
      <c r="AN159" s="639"/>
      <c r="AO159" s="639"/>
      <c r="AP159" s="639"/>
      <c r="AQ159" s="645"/>
      <c r="AR159" s="601" cm="1">
        <f t="array" ref="AR159">B159</f>
        <v>1</v>
      </c>
    </row>
    <row r="160" ht="16" customHeight="1">
      <c r="A160" s="12"/>
      <c r="B160" s="646" cm="1">
        <f t="array" ref="B160">IF(B159=0,0,IF(B159&lt;VLOOKUP(C156,'Boats Data Sheet 2026'!$C$3:$H$57,6,0),B159+1,0))</f>
        <v>2</v>
      </c>
      <c r="C160" s="639" cm="1">
        <f t="array" ref="C160">IF(B160&gt;0,IF(VLOOKUP(C156,'Boats Data Sheet 2026'!$C$3:$J$57,8,0)="N/A",0,VLOOKUP(C156,'Boats Data Sheet 2026'!$C$3:$J$57,8,0)),"N/A")</f>
        <v>8000000</v>
      </c>
      <c r="D160" s="647" cm="1">
        <f t="array" ref="D160">IF(B160&gt;7,2,IF(B160=0,"N/A",1))</f>
        <v>1</v>
      </c>
      <c r="E160" s="639" cm="1">
        <f t="array" ref="E160">_xlfn.IFERROR(SUM('Direct Costs 2026'!$C$4:$C$6)*D160,"N/A")</f>
        <v>975500</v>
      </c>
      <c r="F160" s="639" cm="1">
        <f t="array" ref="F160">_xlfn.IFERROR('Direct Costs 2026'!$C$43*B160,"N/A")</f>
        <v>12000</v>
      </c>
      <c r="G160" s="639" cm="1">
        <f t="array" ref="G160">IF(B160&gt;0,'Direct Costs 2026'!$C$25,"N/A")</f>
        <v>90000</v>
      </c>
      <c r="H160" s="639" cm="1">
        <f t="array" ref="H160">IF(B160&gt;0,('Direct Costs 2026'!$C$19+'Direct Costs 2026'!$C$18*B160),"N/A")</f>
        <v>145000</v>
      </c>
      <c r="I160" s="639" cm="1">
        <f t="array" ref="I160">IF(B160&gt;0,SUM('Direct Costs 2026'!$C$20:$C$21),"N/A")</f>
        <v>98333.3333333333</v>
      </c>
      <c r="J160" s="639" cm="1">
        <f t="array" ref="J160">IF(B160&gt;0,'Direct Costs 2026'!$C$14,"N/A")</f>
        <v>60000</v>
      </c>
      <c r="K160" s="639" cm="1">
        <f t="array" ref="K160">IF(B160&gt;0,'Direct Costs 2026'!$C$26,"N/A")</f>
        <v>20000</v>
      </c>
      <c r="L160" s="639" cm="1">
        <f t="array" ref="L160">IF(B160&gt;0,SUM('Direct Costs 2026'!$C$23:$C$24),"N/A")</f>
        <v>160000</v>
      </c>
      <c r="M160" s="639" cm="1">
        <f t="array" ref="M160">IF(B160&gt;0,'Direct Costs 2026'!$C$49*B160,"N/A")</f>
        <v>400000</v>
      </c>
      <c r="N160" s="639" cm="1">
        <f t="array" ref="N160">IF($B160&gt;0,'Direct Costs 2026'!$C$29,"N/A")</f>
        <v>1500000</v>
      </c>
      <c r="O160" s="639" cm="1">
        <f t="array" ref="O160">IF($B160&gt;0,'Direct Costs 2026'!$C$31/3,"N/A")</f>
        <v>290000</v>
      </c>
      <c r="P160" s="639" cm="1">
        <f t="array" ref="P160">IF(B160&gt;0,'Direct Costs 2026'!$C$59*B160,"N/A")</f>
        <v>82000</v>
      </c>
      <c r="Q160" s="639" cm="1">
        <f t="array" ref="Q160">IF($B160&gt;0,'Direct Costs 2026'!$C$34,"N/A")</f>
        <v>550000</v>
      </c>
      <c r="R160" t="str" s="640" cm="1">
        <f t="array" ref="R160">IF(B160&gt;0,_xlfn.IFERROR(VLOOKUP(C156,'Boats Data Sheet 2026'!$C$3:$I$57,7,0)*'Direct Costs 2026'!$C$36,"N/A"),"N/A")</f>
        <v>N/A</v>
      </c>
      <c r="S160" t="str" s="640" cm="1">
        <f t="array" ref="S160">IF(B160&gt;0,IF(OR(VLOOKUP(C156,'Boats Data Sheet 2026'!$C$3:$F$57,4,0)="Own",VLOOKUP(C156,'Boats Data Sheet 2026'!$C$3:$F$57,4,0)="Management"),('Direct Costs 2026'!$C$37+'Direct Costs 2026'!$C$39),"N/A"),"N/A")</f>
        <v>N/A</v>
      </c>
      <c r="T160" s="639" cm="1">
        <f t="array" ref="T160">_xlfn.IFERROR(IF(B160&gt;5,IF(B160&gt;11,IF(B160&gt;15,4,3),2),IF(B160=0,"N/A",1))*SUM('Direct Costs 2026'!$C$67:$C$68),"N/A")</f>
        <v>489600</v>
      </c>
      <c r="U160" s="639" cm="1">
        <f t="array" ref="U160">_xlfn.IFERROR('Direct Costs 2026'!$C$27*C160,"N/A")</f>
        <v>160000</v>
      </c>
      <c r="V160" s="639" cm="1">
        <f t="array" ref="V160">_xlfn.IFERROR(C160+SUM(E160:U160),"N/A")</f>
        <v>13032433.3333333</v>
      </c>
      <c r="W160" s="424"/>
      <c r="X160" s="639" cm="1">
        <f t="array" ref="X160">IF(B160&gt;0,'Allocation OH and Target 2026'!$E$31,"N/A")</f>
        <v>3100447.15769812</v>
      </c>
      <c r="Y160" s="639" cm="1">
        <f t="array" ref="Y160">IF(B160&gt;0,VLOOKUP(C156,'Allocation OH and Target 2026'!$C$5:$T$23,17,0),"N/A")</f>
        <v>0</v>
      </c>
      <c r="Z160" s="639" cm="1">
        <f t="array" ref="Z160">_xlfn.IFERROR((X160+Y160),"N/A")</f>
        <v>3100447.15769812</v>
      </c>
      <c r="AA160" s="424"/>
      <c r="AB160" s="639" cm="1">
        <f t="array" ref="AB160">_xlfn.IFERROR(Z160+V160,"N/A")</f>
        <v>16132880.4910314</v>
      </c>
      <c r="AC160" s="639" cm="1">
        <f t="array" ref="AC160">_xlfn.IFERROR(AB160*0.5%,"N/A")</f>
        <v>80664.402455157</v>
      </c>
      <c r="AD160" s="639" cm="1">
        <f t="array" ref="AD160">_xlfn.IFERROR(AB160*25%,"N/A")</f>
        <v>4033220.12275785</v>
      </c>
      <c r="AE160" s="641" cm="1">
        <f t="array" ref="AE160">IF(B160&gt;0,SUM(AB160:AD160),"N/A")</f>
        <v>20246765.0162444</v>
      </c>
      <c r="AF160" s="639" cm="1">
        <f t="array" ref="AF160">_xlfn.IFERROR(AE160/B160,"N/A")</f>
        <v>10123382.5081222</v>
      </c>
      <c r="AG160" s="424"/>
      <c r="AH160" t="str" s="648" cm="1">
        <f t="array" ref="AH160">IF(B160/VLOOKUP(C156,'Boats Data Sheet 2026'!$C$3:$H$57,6,0)&gt;VLOOKUP(C156,'Allocation OH and Target 2026'!$C$5:$J$23,8,0),IF(SUM(AI158:AI159)=0,AF160,"N/A"),"N/A")</f>
        <v>N/A</v>
      </c>
      <c r="AI160" s="424" cm="1">
        <f t="array" ref="AI160">IF(AH160="N/A",0,1)</f>
        <v>0</v>
      </c>
      <c r="AJ160" t="str" s="640" cm="1">
        <f t="array" ref="AJ160">IF(B160/VLOOKUP(C156,'Boats Data Sheet 2026'!$C$3:$H$57,6,0)&gt;VLOOKUP(C156,'Allocation OH and Target 2026'!$C$5:$J$23,8,0),IF(SUM(AI158:AI159)=0,V160/B160,"N/A"),"N/A")</f>
        <v>N/A</v>
      </c>
      <c r="AK160" s="424" cm="1">
        <f t="array" ref="AK160">IF(AJ160="N/A",0,1)</f>
        <v>0</v>
      </c>
      <c r="AL160" t="str" s="628" cm="1">
        <f t="array" ref="AL160">IF(SUM(1250000+700000)*B160&lt;SUM(AB160:AC160),"NO GO","GO")</f>
        <v>NO GO</v>
      </c>
      <c r="AM160" s="424"/>
      <c r="AN160" s="639"/>
      <c r="AO160" s="639"/>
      <c r="AP160" s="639"/>
      <c r="AQ160" s="645"/>
      <c r="AR160" s="601" cm="1">
        <f t="array" ref="AR160">B160</f>
        <v>2</v>
      </c>
    </row>
    <row r="161" ht="16" customHeight="1">
      <c r="A161" s="12"/>
      <c r="B161" s="646">
        <v>0</v>
      </c>
      <c r="C161" t="str" s="640" cm="1">
        <f t="array" ref="C161">IF(B161&gt;0,IF(VLOOKUP(C156,'Boats Data Sheet 2026'!$C$3:$J$57,8,0)="N/A",0,VLOOKUP(C156,'Boats Data Sheet 2026'!$C$3:$J$57,8,0)),"N/A")</f>
        <v>N/A</v>
      </c>
      <c r="D161" t="str" s="649" cm="1">
        <f t="array" ref="D161">IF(B161&gt;7,2,IF(B161=0,"N/A",1))</f>
        <v>N/A</v>
      </c>
      <c r="E161" t="str" s="640" cm="1">
        <f t="array" ref="E161">_xlfn.IFERROR(SUM('Direct Costs 2026'!$C$4:$C$6)*D161,"N/A")</f>
        <v>N/A</v>
      </c>
      <c r="F161" s="639" cm="1">
        <f t="array" ref="F161">_xlfn.IFERROR('Direct Costs 2026'!$C$43*B161,"N/A")</f>
        <v>0</v>
      </c>
      <c r="G161" t="str" s="640" cm="1">
        <f t="array" ref="G161">IF(B161&gt;0,'Direct Costs 2026'!$C$25,"N/A")</f>
        <v>N/A</v>
      </c>
      <c r="H161" t="str" s="640" cm="1">
        <f t="array" ref="H161">IF(B161&gt;0,('Direct Costs 2026'!$C$19+'Direct Costs 2026'!$C$18*B161),"N/A")</f>
        <v>N/A</v>
      </c>
      <c r="I161" t="str" s="640" cm="1">
        <f t="array" ref="I161">IF(B161&gt;0,SUM('Direct Costs 2026'!$C$20:$C$21),"N/A")</f>
        <v>N/A</v>
      </c>
      <c r="J161" t="str" s="640" cm="1">
        <f t="array" ref="J161">IF(B161&gt;0,'Direct Costs 2026'!$C$14,"N/A")</f>
        <v>N/A</v>
      </c>
      <c r="K161" t="str" s="640" cm="1">
        <f t="array" ref="K161">IF(B161&gt;0,'Direct Costs 2026'!$C$26,"N/A")</f>
        <v>N/A</v>
      </c>
      <c r="L161" t="str" s="640" cm="1">
        <f t="array" ref="L161">IF(B161&gt;0,SUM('Direct Costs 2026'!$C$23:$C$24),"N/A")</f>
        <v>N/A</v>
      </c>
      <c r="M161" t="str" s="640" cm="1">
        <f t="array" ref="M161">IF(B161&gt;0,'Direct Costs 2026'!$C$45*B161,"N/A")</f>
        <v>N/A</v>
      </c>
      <c r="N161" t="str" s="640" cm="1">
        <f t="array" ref="N161">IF($B161&gt;0,'Direct Costs 2026'!$C$29,"N/A")</f>
        <v>N/A</v>
      </c>
      <c r="O161" t="str" s="640" cm="1">
        <f t="array" ref="O161">IF($B161&gt;0,'Direct Costs 2026'!$C$31,"N/A")</f>
        <v>N/A</v>
      </c>
      <c r="P161" t="str" s="640" cm="1">
        <f t="array" ref="P161">IF(B161&gt;0,'Direct Costs 2026'!$C$59*B161,"N/A")</f>
        <v>N/A</v>
      </c>
      <c r="Q161" t="str" s="640" cm="1">
        <f t="array" ref="Q161">IF(B161&gt;0,_xlfn.IFERROR(VLOOKUP(C156,'Boats Data Sheet 2026'!$C$3:$I$57,7,0)*'Direct Costs 2026'!$C$36,"N/A"),"N/A")</f>
        <v>N/A</v>
      </c>
      <c r="R161" s="639"/>
      <c r="S161" t="str" s="640" cm="1">
        <f t="array" ref="S161">IF(B161&gt;0,IF(OR(VLOOKUP(C156,'Boats Data Sheet 2026'!$C$3:$F$57,4,0)="Own",VLOOKUP(C156,'Boats Data Sheet 2026'!$C$3:$F$57,4,0)="Management"),('Direct Costs 2026'!$C$37+'Direct Costs 2026'!$C$39),"N/A"),"N/A")</f>
        <v>N/A</v>
      </c>
      <c r="T161" t="str" s="640" cm="1">
        <f t="array" ref="T161">_xlfn.IFERROR(IF(B161&gt;5,IF(B161&gt;11,IF(B161&gt;15,4,3),2),IF(B161=0,"N/A",1))*SUM('Direct Costs 2026'!$C$67:$C$68),"N/A")</f>
        <v>N/A</v>
      </c>
      <c r="U161" t="str" s="640" cm="1">
        <f t="array" ref="U161">_xlfn.IFERROR('Direct Costs 2026'!$C$27*C161,"N/A")</f>
        <v>N/A</v>
      </c>
      <c r="V161" t="str" s="640" cm="1">
        <f t="array" ref="V161">_xlfn.IFERROR(C161+SUM(E161:U161),"N/A")</f>
        <v>N/A</v>
      </c>
      <c r="W161" s="424"/>
      <c r="X161" t="str" s="640" cm="1">
        <f t="array" ref="X161">IF(B161&gt;0,'Allocation OH and Target 2026'!$E$31,"N/A")</f>
        <v>N/A</v>
      </c>
      <c r="Y161" t="str" s="640" cm="1">
        <f t="array" ref="Y161">IF(B161&gt;0,VLOOKUP(C156,'Allocation OH and Target 2026'!$C$5:$T$23,16,0),"N/A")</f>
        <v>N/A</v>
      </c>
      <c r="Z161" t="str" s="640" cm="1">
        <f t="array" ref="Z161">_xlfn.IFERROR((X161+Y161),"N/A")</f>
        <v>N/A</v>
      </c>
      <c r="AA161" s="424"/>
      <c r="AB161" t="str" s="640" cm="1">
        <f t="array" ref="AB161">_xlfn.IFERROR(Z161+V161,"N/A")</f>
        <v>N/A</v>
      </c>
      <c r="AC161" t="str" s="640" cm="1">
        <f t="array" ref="AC161">_xlfn.IFERROR(AB161*0.5%,"N/A")</f>
        <v>N/A</v>
      </c>
      <c r="AD161" t="str" s="640" cm="1">
        <f t="array" ref="AD161">_xlfn.IFERROR(AB161*25%,"N/A")</f>
        <v>N/A</v>
      </c>
      <c r="AE161" t="str" s="648" cm="1">
        <f t="array" ref="AE161">IF(B161&gt;0,SUM(AB161:AD161),"N/A")</f>
        <v>N/A</v>
      </c>
      <c r="AF161" t="str" s="640" cm="1">
        <f t="array" ref="AF161">_xlfn.IFERROR(AE161/B161,"N/A")</f>
        <v>N/A</v>
      </c>
      <c r="AG161" s="424"/>
      <c r="AH161" t="str" s="648" cm="1">
        <f t="array" ref="AH161">IF(B161/VLOOKUP(C156,'Boats Data Sheet 2026'!$C$3:$H$57,6,0)&gt;VLOOKUP(C156,'Allocation OH and Target 2026'!$C$5:$J$23,8,0),IF(SUM(AI158:AI160)=0,AF161,"N/A"),"N/A")</f>
        <v>N/A</v>
      </c>
      <c r="AI161" s="424" cm="1">
        <f t="array" ref="AI161">IF(AH161="N/A",0,1)</f>
        <v>0</v>
      </c>
      <c r="AJ161" t="str" s="640" cm="1">
        <f t="array" ref="AJ161">IF(B161/VLOOKUP(C156,'Boats Data Sheet 2026'!$C$3:$H$57,6,0)&gt;VLOOKUP(C156,'Allocation OH and Target 2026'!$C$5:$J$23,8,0),IF(SUM(AI158:AI160)=0,V161/B161,"N/A"),"N/A")</f>
        <v>N/A</v>
      </c>
      <c r="AK161" s="424" cm="1">
        <f t="array" ref="AK161">IF(AJ161="N/A",0,1)</f>
        <v>0</v>
      </c>
      <c r="AL161" t="str" s="628" cm="1">
        <f t="array" ref="AL161">IF(SUM(1250000+700000)*B161&lt;SUM(AB161:AC161),"NO GO","GO")</f>
        <v>GO</v>
      </c>
      <c r="AM161" s="424"/>
      <c r="AN161" s="639"/>
      <c r="AO161" s="639"/>
      <c r="AP161" s="639"/>
      <c r="AQ161" s="645"/>
      <c r="AR161" s="601" cm="1">
        <f t="array" ref="AR161">B161</f>
        <v>0</v>
      </c>
    </row>
    <row r="162" ht="9" customHeight="1" hidden="1">
      <c r="A162" s="12"/>
      <c r="B162" s="646">
        <v>0</v>
      </c>
      <c r="C162" t="str" s="640" cm="1">
        <f t="array" ref="C162">IF(B162&gt;0,IF(VLOOKUP(C156,'Boats Data Sheet 2026'!$C$3:$J$57,8,0)="N/A",0,VLOOKUP(C156,'Boats Data Sheet 2026'!$C$3:$J$57,8,0)),"N/A")</f>
        <v>N/A</v>
      </c>
      <c r="D162" t="str" s="649" cm="1">
        <f t="array" ref="D162">IF(B162&gt;7,2,IF(B162=0,"N/A",1))</f>
        <v>N/A</v>
      </c>
      <c r="E162" t="str" s="640" cm="1">
        <f t="array" ref="E162">_xlfn.IFERROR(SUM('Direct Costs 2026'!$C$4:$C$6)*D162,"N/A")</f>
        <v>N/A</v>
      </c>
      <c r="F162" s="639" cm="1">
        <f t="array" ref="F162">_xlfn.IFERROR('Direct Costs 2026'!$C$43*B162,"N/A")</f>
        <v>0</v>
      </c>
      <c r="G162" t="str" s="640" cm="1">
        <f t="array" ref="G162">IF(B162&gt;0,'Direct Costs 2026'!$C$25,"N/A")</f>
        <v>N/A</v>
      </c>
      <c r="H162" t="str" s="640" cm="1">
        <f t="array" ref="H162">IF(B162&gt;0,('Direct Costs 2026'!$C$19+'Direct Costs 2026'!$C$18*B162),"N/A")</f>
        <v>N/A</v>
      </c>
      <c r="I162" t="str" s="640" cm="1">
        <f t="array" ref="I162">IF(B162&gt;0,SUM('Direct Costs 2026'!$C$20:$C$21),"N/A")</f>
        <v>N/A</v>
      </c>
      <c r="J162" t="str" s="640" cm="1">
        <f t="array" ref="J162">IF(B162&gt;0,'Direct Costs 2026'!$C$14,"N/A")</f>
        <v>N/A</v>
      </c>
      <c r="K162" t="str" s="640" cm="1">
        <f t="array" ref="K162">IF(B162&gt;0,'Direct Costs 2026'!$C$26,"N/A")</f>
        <v>N/A</v>
      </c>
      <c r="L162" t="str" s="640" cm="1">
        <f t="array" ref="L162">IF(B162&gt;0,SUM('Direct Costs 2026'!$C$23:$C$24),"N/A")</f>
        <v>N/A</v>
      </c>
      <c r="M162" t="str" s="640" cm="1">
        <f t="array" ref="M162">IF(B162&gt;0,'Direct Costs 2026'!$C$45*B162,"N/A")</f>
        <v>N/A</v>
      </c>
      <c r="N162" t="str" s="640" cm="1">
        <f t="array" ref="N162">IF($B162&gt;0,'Direct Costs 2026'!$C$29,"N/A")</f>
        <v>N/A</v>
      </c>
      <c r="O162" t="str" s="640" cm="1">
        <f t="array" ref="O162">IF($B162&gt;0,'Direct Costs 2026'!$C$31,"N/A")</f>
        <v>N/A</v>
      </c>
      <c r="P162" t="str" s="640" cm="1">
        <f t="array" ref="P162">IF(B162&gt;0,'Direct Costs 2026'!$C$59*B162,"N/A")</f>
        <v>N/A</v>
      </c>
      <c r="Q162" t="str" s="640" cm="1">
        <f t="array" ref="Q162">IF(B162&gt;0,_xlfn.IFERROR(VLOOKUP(C156,'Boats Data Sheet 2026'!$C$3:$I$57,7,0)*'Direct Costs 2026'!$C$36,"N/A"),"N/A")</f>
        <v>N/A</v>
      </c>
      <c r="R162" s="639"/>
      <c r="S162" t="str" s="640" cm="1">
        <f t="array" ref="S162">IF(B162&gt;0,IF(OR(VLOOKUP(C156,'Boats Data Sheet 2026'!$C$3:$F$57,4,0)="Own",VLOOKUP(C156,'Boats Data Sheet 2026'!$C$3:$F$57,4,0)="Management"),('Direct Costs 2026'!$C$37+'Direct Costs 2026'!$C$39),"N/A"),"N/A")</f>
        <v>N/A</v>
      </c>
      <c r="T162" t="str" s="640" cm="1">
        <f t="array" ref="T162">_xlfn.IFERROR(IF(B162&gt;5,IF(B162&gt;11,IF(B162&gt;15,4,3),2),IF(B162=0,"N/A",1))*SUM('Direct Costs 2026'!$C$67:$C$68),"N/A")</f>
        <v>N/A</v>
      </c>
      <c r="U162" t="str" s="640" cm="1">
        <f t="array" ref="U162">_xlfn.IFERROR('Direct Costs 2026'!$C$27*C162,"N/A")</f>
        <v>N/A</v>
      </c>
      <c r="V162" t="str" s="640" cm="1">
        <f t="array" ref="V162">_xlfn.IFERROR(C162+SUM(E162:U162),"N/A")</f>
        <v>N/A</v>
      </c>
      <c r="W162" s="424"/>
      <c r="X162" t="str" s="640" cm="1">
        <f t="array" ref="X162">IF(B162&gt;0,'Allocation OH and Target 2026'!$E$31,"N/A")</f>
        <v>N/A</v>
      </c>
      <c r="Y162" t="str" s="640" cm="1">
        <f t="array" ref="Y162">IF(B162&gt;0,VLOOKUP(C156,'Allocation OH and Target 2026'!$C$5:$T$23,16,0),"N/A")</f>
        <v>N/A</v>
      </c>
      <c r="Z162" t="str" s="640" cm="1">
        <f t="array" ref="Z162">_xlfn.IFERROR((X162+Y162),"N/A")</f>
        <v>N/A</v>
      </c>
      <c r="AA162" s="424"/>
      <c r="AB162" t="str" s="640" cm="1">
        <f t="array" ref="AB162">_xlfn.IFERROR(Z162+V162,"N/A")</f>
        <v>N/A</v>
      </c>
      <c r="AC162" t="str" s="640" cm="1">
        <f t="array" ref="AC162">_xlfn.IFERROR(AB162*0.5%,"N/A")</f>
        <v>N/A</v>
      </c>
      <c r="AD162" t="str" s="640" cm="1">
        <f t="array" ref="AD162">_xlfn.IFERROR(AB162*25%,"N/A")</f>
        <v>N/A</v>
      </c>
      <c r="AE162" t="str" s="648" cm="1">
        <f t="array" ref="AE162">IF(B162&gt;0,SUM(AB162:AD162),"N/A")</f>
        <v>N/A</v>
      </c>
      <c r="AF162" t="str" s="640" cm="1">
        <f t="array" ref="AF162">_xlfn.IFERROR(AE162/B162,"N/A")</f>
        <v>N/A</v>
      </c>
      <c r="AG162" s="424"/>
      <c r="AH162" t="str" s="648" cm="1">
        <f t="array" ref="AH162">IF(B162/VLOOKUP(C156,'Boats Data Sheet 2026'!$C$3:$H$57,6,0)&gt;VLOOKUP(C156,'Allocation OH and Target 2026'!$C$5:$J$23,8,0),IF(SUM(AI158:AI161)=0,AF162,"N/A"),"N/A")</f>
        <v>N/A</v>
      </c>
      <c r="AI162" s="424" cm="1">
        <f t="array" ref="AI162">IF(AH162="N/A",0,1)</f>
        <v>0</v>
      </c>
      <c r="AJ162" t="str" s="640" cm="1">
        <f t="array" ref="AJ162">IF(B162/VLOOKUP(C156,'Boats Data Sheet 2026'!$C$3:$H$57,6,0)&gt;VLOOKUP(C156,'Allocation OH and Target 2026'!$C$5:$J$23,8,0),IF(SUM(AI158:AI161)=0,V162/B162,"N/A"),"N/A")</f>
        <v>N/A</v>
      </c>
      <c r="AK162" s="424" cm="1">
        <f t="array" ref="AK162">IF(AJ162="N/A",0,1)</f>
        <v>0</v>
      </c>
      <c r="AL162" t="str" s="628" cm="1">
        <f t="array" ref="AL162">IF(SUM(1250000+700000)*B162&lt;SUM(AB162:AC162),"NO GO","GO")</f>
        <v>GO</v>
      </c>
      <c r="AM162" s="424"/>
      <c r="AN162" s="639"/>
      <c r="AO162" s="639"/>
      <c r="AP162" s="639"/>
      <c r="AQ162" s="645"/>
      <c r="AR162" s="601" cm="1">
        <f t="array" ref="AR162">B162</f>
        <v>0</v>
      </c>
    </row>
    <row r="163" ht="9" customHeight="1" hidden="1">
      <c r="A163" s="12"/>
      <c r="B163" s="646">
        <v>0</v>
      </c>
      <c r="C163" t="str" s="640" cm="1">
        <f t="array" ref="C163">IF(B163&gt;0,IF(VLOOKUP(C156,'Boats Data Sheet 2026'!$C$3:$J$57,8,0)="N/A",0,VLOOKUP(C156,'Boats Data Sheet 2026'!$C$3:$J$57,8,0)),"N/A")</f>
        <v>N/A</v>
      </c>
      <c r="D163" t="str" s="649" cm="1">
        <f t="array" ref="D163">IF(B163&gt;7,2,IF(B163=0,"N/A",1))</f>
        <v>N/A</v>
      </c>
      <c r="E163" t="str" s="640" cm="1">
        <f t="array" ref="E163">_xlfn.IFERROR(SUM('Direct Costs 2026'!$C$4:$C$6)*D163,"N/A")</f>
        <v>N/A</v>
      </c>
      <c r="F163" s="639" cm="1">
        <f t="array" ref="F163">_xlfn.IFERROR('Direct Costs 2026'!$C$43*B163,"N/A")</f>
        <v>0</v>
      </c>
      <c r="G163" t="str" s="640" cm="1">
        <f t="array" ref="G163">IF(B163&gt;0,'Direct Costs 2026'!$C$25,"N/A")</f>
        <v>N/A</v>
      </c>
      <c r="H163" t="str" s="640" cm="1">
        <f t="array" ref="H163">IF(B163&gt;0,('Direct Costs 2026'!$C$19+'Direct Costs 2026'!$C$18*B163),"N/A")</f>
        <v>N/A</v>
      </c>
      <c r="I163" t="str" s="640" cm="1">
        <f t="array" ref="I163">IF(B163&gt;0,SUM('Direct Costs 2026'!$C$20:$C$21),"N/A")</f>
        <v>N/A</v>
      </c>
      <c r="J163" t="str" s="640" cm="1">
        <f t="array" ref="J163">IF(B163&gt;0,'Direct Costs 2026'!$C$14,"N/A")</f>
        <v>N/A</v>
      </c>
      <c r="K163" t="str" s="640" cm="1">
        <f t="array" ref="K163">IF(B163&gt;0,'Direct Costs 2026'!$C$26,"N/A")</f>
        <v>N/A</v>
      </c>
      <c r="L163" t="str" s="640" cm="1">
        <f t="array" ref="L163">IF(B163&gt;0,SUM('Direct Costs 2026'!$C$23:$C$24),"N/A")</f>
        <v>N/A</v>
      </c>
      <c r="M163" t="str" s="640" cm="1">
        <f t="array" ref="M163">IF(B163&gt;0,'Direct Costs 2026'!$C$45*B163,"N/A")</f>
        <v>N/A</v>
      </c>
      <c r="N163" t="str" s="640" cm="1">
        <f t="array" ref="N163">IF($B163&gt;0,'Direct Costs 2026'!$C$29,"N/A")</f>
        <v>N/A</v>
      </c>
      <c r="O163" t="str" s="640" cm="1">
        <f t="array" ref="O163">IF($B163&gt;0,'Direct Costs 2026'!$C$31,"N/A")</f>
        <v>N/A</v>
      </c>
      <c r="P163" t="str" s="640" cm="1">
        <f t="array" ref="P163">IF(B163&gt;0,'Direct Costs 2026'!$C$59*B163,"N/A")</f>
        <v>N/A</v>
      </c>
      <c r="Q163" t="str" s="640" cm="1">
        <f t="array" ref="Q163">IF(B163&gt;0,_xlfn.IFERROR(VLOOKUP(C156,'Boats Data Sheet 2026'!$C$3:$I$57,7,0)*'Direct Costs 2026'!$C$36,"N/A"),"N/A")</f>
        <v>N/A</v>
      </c>
      <c r="R163" s="639"/>
      <c r="S163" t="str" s="640" cm="1">
        <f t="array" ref="S163">IF(B163&gt;0,IF(OR(VLOOKUP(C156,'Boats Data Sheet 2026'!$C$3:$F$57,4,0)="Own",VLOOKUP(C156,'Boats Data Sheet 2026'!$C$3:$F$57,4,0)="Management"),('Direct Costs 2026'!$C$37+'Direct Costs 2026'!$C$39),"N/A"),"N/A")</f>
        <v>N/A</v>
      </c>
      <c r="T163" t="str" s="640" cm="1">
        <f t="array" ref="T163">_xlfn.IFERROR(IF(B163&gt;5,IF(B163&gt;11,IF(B163&gt;15,4,3),2),IF(B163=0,"N/A",1))*SUM('Direct Costs 2026'!$C$67:$C$68),"N/A")</f>
        <v>N/A</v>
      </c>
      <c r="U163" t="str" s="640" cm="1">
        <f t="array" ref="U163">_xlfn.IFERROR('Direct Costs 2026'!$C$27*C163,"N/A")</f>
        <v>N/A</v>
      </c>
      <c r="V163" t="str" s="640" cm="1">
        <f t="array" ref="V163">_xlfn.IFERROR(C163+SUM(E163:U163),"N/A")</f>
        <v>N/A</v>
      </c>
      <c r="W163" s="424"/>
      <c r="X163" t="str" s="640" cm="1">
        <f t="array" ref="X163">IF(B163&gt;0,'Allocation OH and Target 2026'!$E$31,"N/A")</f>
        <v>N/A</v>
      </c>
      <c r="Y163" t="str" s="640" cm="1">
        <f t="array" ref="Y163">IF(B163&gt;0,VLOOKUP(C156,'Allocation OH and Target 2026'!$C$5:$T$23,16,0),"N/A")</f>
        <v>N/A</v>
      </c>
      <c r="Z163" t="str" s="640" cm="1">
        <f t="array" ref="Z163">_xlfn.IFERROR((X163+Y163),"N/A")</f>
        <v>N/A</v>
      </c>
      <c r="AA163" s="424"/>
      <c r="AB163" t="str" s="640" cm="1">
        <f t="array" ref="AB163">_xlfn.IFERROR(Z163+V163,"N/A")</f>
        <v>N/A</v>
      </c>
      <c r="AC163" t="str" s="640" cm="1">
        <f t="array" ref="AC163">_xlfn.IFERROR(AB163*0.5%,"N/A")</f>
        <v>N/A</v>
      </c>
      <c r="AD163" t="str" s="640" cm="1">
        <f t="array" ref="AD163">_xlfn.IFERROR(AB163*25%,"N/A")</f>
        <v>N/A</v>
      </c>
      <c r="AE163" t="str" s="648" cm="1">
        <f t="array" ref="AE163">IF(B163&gt;0,SUM(AB163:AD163),"N/A")</f>
        <v>N/A</v>
      </c>
      <c r="AF163" t="str" s="640" cm="1">
        <f t="array" ref="AF163">_xlfn.IFERROR(AE163/B163,"N/A")</f>
        <v>N/A</v>
      </c>
      <c r="AG163" s="424"/>
      <c r="AH163" t="str" s="648" cm="1">
        <f t="array" ref="AH163">IF(B163/VLOOKUP(C156,'Boats Data Sheet 2026'!$C$3:$H$57,6,0)&gt;VLOOKUP(C156,'Allocation OH and Target 2026'!$C$5:$J$23,8,0),IF(SUM(AI158:AI162)=0,AF163,"N/A"),"N/A")</f>
        <v>N/A</v>
      </c>
      <c r="AI163" s="424" cm="1">
        <f t="array" ref="AI163">IF(AH163="N/A",0,1)</f>
        <v>0</v>
      </c>
      <c r="AJ163" t="str" s="640" cm="1">
        <f t="array" ref="AJ163">IF(B163/VLOOKUP(C156,'Boats Data Sheet 2026'!$C$3:$H$57,6,0)&gt;VLOOKUP(C156,'Allocation OH and Target 2026'!$C$5:$J$23,8,0),IF(SUM(AI158:AI162)=0,V163/B163,"N/A"),"N/A")</f>
        <v>N/A</v>
      </c>
      <c r="AK163" s="424" cm="1">
        <f t="array" ref="AK163">IF(AJ163="N/A",0,1)</f>
        <v>0</v>
      </c>
      <c r="AL163" t="str" s="628" cm="1">
        <f t="array" ref="AL163">IF(SUM(1250000+700000)*B163&lt;SUM(AB163:AC163),"NO GO","GO")</f>
        <v>GO</v>
      </c>
      <c r="AM163" s="424"/>
      <c r="AN163" s="639"/>
      <c r="AO163" s="639"/>
      <c r="AP163" s="639"/>
      <c r="AQ163" s="645"/>
      <c r="AR163" s="601" cm="1">
        <f t="array" ref="AR163">B163</f>
        <v>0</v>
      </c>
    </row>
    <row r="164" ht="9" customHeight="1" hidden="1">
      <c r="A164" s="12"/>
      <c r="B164" s="646">
        <v>0</v>
      </c>
      <c r="C164" t="str" s="640" cm="1">
        <f t="array" ref="C164">IF(B164&gt;0,IF(VLOOKUP(C156,'Boats Data Sheet 2026'!$C$3:$J$57,8,0)="N/A",0,VLOOKUP(C156,'Boats Data Sheet 2026'!$C$3:$J$57,8,0)),"N/A")</f>
        <v>N/A</v>
      </c>
      <c r="D164" t="str" s="649" cm="1">
        <f t="array" ref="D164">IF(B164&gt;7,2,IF(B164=0,"N/A",1))</f>
        <v>N/A</v>
      </c>
      <c r="E164" t="str" s="640" cm="1">
        <f t="array" ref="E164">_xlfn.IFERROR(SUM('Direct Costs 2026'!$C$4:$C$6)*D164,"N/A")</f>
        <v>N/A</v>
      </c>
      <c r="F164" s="639" cm="1">
        <f t="array" ref="F164">_xlfn.IFERROR('Direct Costs 2026'!$C$43*B164,"N/A")</f>
        <v>0</v>
      </c>
      <c r="G164" t="str" s="640" cm="1">
        <f t="array" ref="G164">IF(B164&gt;0,'Direct Costs 2026'!$C$25,"N/A")</f>
        <v>N/A</v>
      </c>
      <c r="H164" t="str" s="640" cm="1">
        <f t="array" ref="H164">IF(B164&gt;0,('Direct Costs 2026'!$C$19+'Direct Costs 2026'!$C$18*B164),"N/A")</f>
        <v>N/A</v>
      </c>
      <c r="I164" t="str" s="640" cm="1">
        <f t="array" ref="I164">IF(B164&gt;0,SUM('Direct Costs 2026'!$C$20:$C$21),"N/A")</f>
        <v>N/A</v>
      </c>
      <c r="J164" t="str" s="640" cm="1">
        <f t="array" ref="J164">IF(B164&gt;0,'Direct Costs 2026'!$C$14,"N/A")</f>
        <v>N/A</v>
      </c>
      <c r="K164" t="str" s="640" cm="1">
        <f t="array" ref="K164">IF(B164&gt;0,'Direct Costs 2026'!$C$26,"N/A")</f>
        <v>N/A</v>
      </c>
      <c r="L164" t="str" s="640" cm="1">
        <f t="array" ref="L164">IF(B164&gt;0,SUM('Direct Costs 2026'!$C$23:$C$24),"N/A")</f>
        <v>N/A</v>
      </c>
      <c r="M164" t="str" s="640" cm="1">
        <f t="array" ref="M164">IF(B164&gt;0,'Direct Costs 2026'!$C$45*B164,"N/A")</f>
        <v>N/A</v>
      </c>
      <c r="N164" t="str" s="640" cm="1">
        <f t="array" ref="N164">IF($B164&gt;0,'Direct Costs 2026'!$C$29,"N/A")</f>
        <v>N/A</v>
      </c>
      <c r="O164" t="str" s="640" cm="1">
        <f t="array" ref="O164">IF($B164&gt;0,'Direct Costs 2026'!$C$31,"N/A")</f>
        <v>N/A</v>
      </c>
      <c r="P164" t="str" s="640" cm="1">
        <f t="array" ref="P164">IF(B164&gt;0,'Direct Costs 2026'!$C$59*B164,"N/A")</f>
        <v>N/A</v>
      </c>
      <c r="Q164" t="str" s="640" cm="1">
        <f t="array" ref="Q164">IF(B164&gt;0,_xlfn.IFERROR(VLOOKUP(C156,'Boats Data Sheet 2026'!$C$3:$I$57,7,0)*'Direct Costs 2026'!$C$36,"N/A"),"N/A")</f>
        <v>N/A</v>
      </c>
      <c r="R164" s="639"/>
      <c r="S164" t="str" s="640" cm="1">
        <f t="array" ref="S164">IF(B164&gt;0,IF(OR(VLOOKUP(C156,'Boats Data Sheet 2026'!$C$3:$F$57,4,0)="Own",VLOOKUP(C156,'Boats Data Sheet 2026'!$C$3:$F$57,4,0)="Management"),('Direct Costs 2026'!$C$37+'Direct Costs 2026'!$C$39),"N/A"),"N/A")</f>
        <v>N/A</v>
      </c>
      <c r="T164" t="str" s="640" cm="1">
        <f t="array" ref="T164">_xlfn.IFERROR(IF(B164&gt;5,IF(B164&gt;11,IF(B164&gt;15,4,3),2),IF(B164=0,"N/A",1))*SUM('Direct Costs 2026'!$C$67:$C$68),"N/A")</f>
        <v>N/A</v>
      </c>
      <c r="U164" t="str" s="640" cm="1">
        <f t="array" ref="U164">_xlfn.IFERROR('Direct Costs 2026'!$C$27*C164,"N/A")</f>
        <v>N/A</v>
      </c>
      <c r="V164" t="str" s="640" cm="1">
        <f t="array" ref="V164">_xlfn.IFERROR(C164+SUM(E164:U164),"N/A")</f>
        <v>N/A</v>
      </c>
      <c r="W164" s="424"/>
      <c r="X164" t="str" s="640" cm="1">
        <f t="array" ref="X164">IF(B164&gt;0,'Allocation OH and Target 2026'!$E$31,"N/A")</f>
        <v>N/A</v>
      </c>
      <c r="Y164" t="str" s="640" cm="1">
        <f t="array" ref="Y164">IF(B164&gt;0,VLOOKUP(C156,'Allocation OH and Target 2026'!$C$5:$T$23,16,0),"N/A")</f>
        <v>N/A</v>
      </c>
      <c r="Z164" t="str" s="640" cm="1">
        <f t="array" ref="Z164">_xlfn.IFERROR((X164+Y164),"N/A")</f>
        <v>N/A</v>
      </c>
      <c r="AA164" s="424"/>
      <c r="AB164" t="str" s="640" cm="1">
        <f t="array" ref="AB164">_xlfn.IFERROR(Z164+V164,"N/A")</f>
        <v>N/A</v>
      </c>
      <c r="AC164" t="str" s="640" cm="1">
        <f t="array" ref="AC164">_xlfn.IFERROR(AB164*0.5%,"N/A")</f>
        <v>N/A</v>
      </c>
      <c r="AD164" t="str" s="640" cm="1">
        <f t="array" ref="AD164">_xlfn.IFERROR(AB164*25%,"N/A")</f>
        <v>N/A</v>
      </c>
      <c r="AE164" t="str" s="648" cm="1">
        <f t="array" ref="AE164">IF(B164&gt;0,SUM(AB164:AD164),"N/A")</f>
        <v>N/A</v>
      </c>
      <c r="AF164" t="str" s="640" cm="1">
        <f t="array" ref="AF164">_xlfn.IFERROR(AE164/B164,"N/A")</f>
        <v>N/A</v>
      </c>
      <c r="AG164" s="424"/>
      <c r="AH164" t="str" s="648" cm="1">
        <f t="array" ref="AH164">IF(B164/VLOOKUP(C156,'Boats Data Sheet 2026'!$C$3:$H$57,6,0)&gt;VLOOKUP(C156,'Allocation OH and Target 2026'!$C$5:$J$23,8,0),IF(SUM(AI158:AI163)=0,AF164,"N/A"),"N/A")</f>
        <v>N/A</v>
      </c>
      <c r="AI164" s="424" cm="1">
        <f t="array" ref="AI164">IF(AH164="N/A",0,1)</f>
        <v>0</v>
      </c>
      <c r="AJ164" t="str" s="640" cm="1">
        <f t="array" ref="AJ164">IF(B164/VLOOKUP(C156,'Boats Data Sheet 2026'!$C$3:$H$57,6,0)&gt;VLOOKUP(C156,'Allocation OH and Target 2026'!$C$5:$J$23,8,0),IF(SUM(AI158:AI163)=0,V164/B164,"N/A"),"N/A")</f>
        <v>N/A</v>
      </c>
      <c r="AK164" s="424" cm="1">
        <f t="array" ref="AK164">IF(AJ164="N/A",0,1)</f>
        <v>0</v>
      </c>
      <c r="AL164" t="str" s="628" cm="1">
        <f t="array" ref="AL164">IF(SUM(1250000+700000)*B164&lt;SUM(AB164:AC164),"NO GO","GO")</f>
        <v>GO</v>
      </c>
      <c r="AM164" s="424"/>
      <c r="AN164" s="639"/>
      <c r="AO164" s="639"/>
      <c r="AP164" s="639"/>
      <c r="AQ164" s="645"/>
      <c r="AR164" s="601" cm="1">
        <f t="array" ref="AR164">B164</f>
        <v>0</v>
      </c>
    </row>
    <row r="165" ht="9" customHeight="1" hidden="1">
      <c r="A165" s="12"/>
      <c r="B165" s="646">
        <v>0</v>
      </c>
      <c r="C165" t="str" s="640" cm="1">
        <f t="array" ref="C165">IF(B165&gt;0,IF(VLOOKUP(C156,'Boats Data Sheet 2026'!$C$3:$J$57,8,0)="N/A",0,VLOOKUP(C156,'Boats Data Sheet 2026'!$C$3:$J$57,8,0)),"N/A")</f>
        <v>N/A</v>
      </c>
      <c r="D165" t="str" s="649" cm="1">
        <f t="array" ref="D165">IF(B165&gt;7,2,IF(B165=0,"N/A",1))</f>
        <v>N/A</v>
      </c>
      <c r="E165" t="str" s="640" cm="1">
        <f t="array" ref="E165">_xlfn.IFERROR(SUM('Direct Costs 2026'!$C$4:$C$6)*D165,"N/A")</f>
        <v>N/A</v>
      </c>
      <c r="F165" s="639" cm="1">
        <f t="array" ref="F165">_xlfn.IFERROR('Direct Costs 2026'!$C$43*B165,"N/A")</f>
        <v>0</v>
      </c>
      <c r="G165" t="str" s="640" cm="1">
        <f t="array" ref="G165">IF(B165&gt;0,'Direct Costs 2026'!$C$25,"N/A")</f>
        <v>N/A</v>
      </c>
      <c r="H165" t="str" s="640" cm="1">
        <f t="array" ref="H165">IF(B165&gt;0,('Direct Costs 2026'!$C$19+'Direct Costs 2026'!$C$18*B165),"N/A")</f>
        <v>N/A</v>
      </c>
      <c r="I165" t="str" s="640" cm="1">
        <f t="array" ref="I165">IF(B165&gt;0,SUM('Direct Costs 2026'!$C$20:$C$21),"N/A")</f>
        <v>N/A</v>
      </c>
      <c r="J165" t="str" s="640" cm="1">
        <f t="array" ref="J165">IF(B165&gt;0,'Direct Costs 2026'!$C$14,"N/A")</f>
        <v>N/A</v>
      </c>
      <c r="K165" t="str" s="640" cm="1">
        <f t="array" ref="K165">IF(B165&gt;0,'Direct Costs 2026'!$C$26,"N/A")</f>
        <v>N/A</v>
      </c>
      <c r="L165" t="str" s="640" cm="1">
        <f t="array" ref="L165">IF(B165&gt;0,SUM('Direct Costs 2026'!$C$23:$C$24),"N/A")</f>
        <v>N/A</v>
      </c>
      <c r="M165" t="str" s="640" cm="1">
        <f t="array" ref="M165">IF(B165&gt;0,'Direct Costs 2026'!$C$45*B165,"N/A")</f>
        <v>N/A</v>
      </c>
      <c r="N165" t="str" s="640" cm="1">
        <f t="array" ref="N165">IF($B165&gt;0,'Direct Costs 2026'!$C$29,"N/A")</f>
        <v>N/A</v>
      </c>
      <c r="O165" t="str" s="640" cm="1">
        <f t="array" ref="O165">IF($B165&gt;0,'Direct Costs 2026'!$C$31,"N/A")</f>
        <v>N/A</v>
      </c>
      <c r="P165" t="str" s="640" cm="1">
        <f t="array" ref="P165">IF(B165&gt;0,'Direct Costs 2026'!$C$59*B165,"N/A")</f>
        <v>N/A</v>
      </c>
      <c r="Q165" t="str" s="640" cm="1">
        <f t="array" ref="Q165">IF(B165&gt;0,_xlfn.IFERROR(VLOOKUP(C156,'Boats Data Sheet 2026'!$C$3:$I$57,7,0)*'Direct Costs 2026'!$C$36,"N/A"),"N/A")</f>
        <v>N/A</v>
      </c>
      <c r="R165" s="639"/>
      <c r="S165" t="str" s="640" cm="1">
        <f t="array" ref="S165">IF(B165&gt;0,IF(OR(VLOOKUP(C156,'Boats Data Sheet 2026'!$C$3:$F$57,4,0)="Own",VLOOKUP(C156,'Boats Data Sheet 2026'!$C$3:$F$57,4,0)="Management"),('Direct Costs 2026'!$C$37+'Direct Costs 2026'!$C$39),"N/A"),"N/A")</f>
        <v>N/A</v>
      </c>
      <c r="T165" t="str" s="640" cm="1">
        <f t="array" ref="T165">_xlfn.IFERROR(IF(B165&gt;5,IF(B165&gt;11,IF(B165&gt;15,4,3),2),IF(B165=0,"N/A",1))*SUM('Direct Costs 2026'!$C$67:$C$68),"N/A")</f>
        <v>N/A</v>
      </c>
      <c r="U165" t="str" s="640" cm="1">
        <f t="array" ref="U165">_xlfn.IFERROR('Direct Costs 2026'!$C$27*C165,"N/A")</f>
        <v>N/A</v>
      </c>
      <c r="V165" t="str" s="640" cm="1">
        <f t="array" ref="V165">_xlfn.IFERROR(C165+SUM(E165:U165),"N/A")</f>
        <v>N/A</v>
      </c>
      <c r="W165" s="424"/>
      <c r="X165" t="str" s="640" cm="1">
        <f t="array" ref="X165">IF(B165&gt;0,'Allocation OH and Target 2026'!$E$31,"N/A")</f>
        <v>N/A</v>
      </c>
      <c r="Y165" t="str" s="640" cm="1">
        <f t="array" ref="Y165">IF(B165&gt;0,VLOOKUP(C156,'Allocation OH and Target 2026'!$C$5:$T$23,16,0),"N/A")</f>
        <v>N/A</v>
      </c>
      <c r="Z165" t="str" s="640" cm="1">
        <f t="array" ref="Z165">_xlfn.IFERROR((X165+Y165),"N/A")</f>
        <v>N/A</v>
      </c>
      <c r="AA165" s="424"/>
      <c r="AB165" t="str" s="640" cm="1">
        <f t="array" ref="AB165">_xlfn.IFERROR(Z165+V165,"N/A")</f>
        <v>N/A</v>
      </c>
      <c r="AC165" t="str" s="640" cm="1">
        <f t="array" ref="AC165">_xlfn.IFERROR(AB165*0.5%,"N/A")</f>
        <v>N/A</v>
      </c>
      <c r="AD165" t="str" s="640" cm="1">
        <f t="array" ref="AD165">_xlfn.IFERROR(AB165*25%,"N/A")</f>
        <v>N/A</v>
      </c>
      <c r="AE165" t="str" s="648" cm="1">
        <f t="array" ref="AE165">IF(B165&gt;0,SUM(AB165:AD165),"N/A")</f>
        <v>N/A</v>
      </c>
      <c r="AF165" t="str" s="640" cm="1">
        <f t="array" ref="AF165">_xlfn.IFERROR(AE165/B165,"N/A")</f>
        <v>N/A</v>
      </c>
      <c r="AG165" s="424"/>
      <c r="AH165" t="str" s="648" cm="1">
        <f t="array" ref="AH165">IF(B165/VLOOKUP(C156,'Boats Data Sheet 2026'!$C$3:$H$57,6,0)&gt;VLOOKUP(C156,'Allocation OH and Target 2026'!$C$5:$J$23,8,0),IF(SUM(AI158:AI164)=0,AF165,"N/A"),"N/A")</f>
        <v>N/A</v>
      </c>
      <c r="AI165" s="424" cm="1">
        <f t="array" ref="AI165">IF(AH165="N/A",0,1)</f>
        <v>0</v>
      </c>
      <c r="AJ165" t="str" s="640" cm="1">
        <f t="array" ref="AJ165">IF(B165/VLOOKUP(C156,'Boats Data Sheet 2026'!$C$3:$H$57,6,0)&gt;VLOOKUP(C156,'Allocation OH and Target 2026'!$C$5:$J$23,8,0),IF(SUM(AI158:AI164)=0,V165/B165,"N/A"),"N/A")</f>
        <v>N/A</v>
      </c>
      <c r="AK165" s="424" cm="1">
        <f t="array" ref="AK165">IF(AJ165="N/A",0,1)</f>
        <v>0</v>
      </c>
      <c r="AL165" t="str" s="628" cm="1">
        <f t="array" ref="AL165">IF(SUM(1250000+700000)*B165&lt;SUM(AB165:AC165),"NO GO","GO")</f>
        <v>GO</v>
      </c>
      <c r="AM165" s="424"/>
      <c r="AN165" s="639"/>
      <c r="AO165" s="639"/>
      <c r="AP165" s="639"/>
      <c r="AQ165" s="645"/>
      <c r="AR165" s="601" cm="1">
        <f t="array" ref="AR165">B165</f>
        <v>0</v>
      </c>
    </row>
    <row r="166" ht="9" customHeight="1" hidden="1">
      <c r="A166" s="12"/>
      <c r="B166" s="646">
        <v>0</v>
      </c>
      <c r="C166" t="str" s="640" cm="1">
        <f t="array" ref="C166">IF(B166&gt;0,IF(VLOOKUP(C156,'Boats Data Sheet 2026'!$C$3:$J$57,8,0)="N/A",0,VLOOKUP(C156,'Boats Data Sheet 2026'!$C$3:$J$57,8,0)),"N/A")</f>
        <v>N/A</v>
      </c>
      <c r="D166" t="str" s="649" cm="1">
        <f t="array" ref="D166">IF(B166&gt;7,2,IF(B166=0,"N/A",1))</f>
        <v>N/A</v>
      </c>
      <c r="E166" t="str" s="640" cm="1">
        <f t="array" ref="E166">_xlfn.IFERROR(SUM('Direct Costs 2026'!$C$4:$C$6)*D166,"N/A")</f>
        <v>N/A</v>
      </c>
      <c r="F166" s="639" cm="1">
        <f t="array" ref="F166">_xlfn.IFERROR('Direct Costs 2026'!$C$43*B166,"N/A")</f>
        <v>0</v>
      </c>
      <c r="G166" t="str" s="640" cm="1">
        <f t="array" ref="G166">IF(B166&gt;0,'Direct Costs 2026'!$C$25,"N/A")</f>
        <v>N/A</v>
      </c>
      <c r="H166" t="str" s="640" cm="1">
        <f t="array" ref="H166">IF(B166&gt;0,('Direct Costs 2026'!$C$19+'Direct Costs 2026'!$C$18*B166),"N/A")</f>
        <v>N/A</v>
      </c>
      <c r="I166" t="str" s="640" cm="1">
        <f t="array" ref="I166">IF(B166&gt;0,SUM('Direct Costs 2026'!$C$20:$C$21),"N/A")</f>
        <v>N/A</v>
      </c>
      <c r="J166" t="str" s="640" cm="1">
        <f t="array" ref="J166">IF(B166&gt;0,'Direct Costs 2026'!$C$14,"N/A")</f>
        <v>N/A</v>
      </c>
      <c r="K166" t="str" s="640" cm="1">
        <f t="array" ref="K166">IF(B166&gt;0,'Direct Costs 2026'!$C$26,"N/A")</f>
        <v>N/A</v>
      </c>
      <c r="L166" t="str" s="640" cm="1">
        <f t="array" ref="L166">IF(B166&gt;0,SUM('Direct Costs 2026'!$C$23:$C$24),"N/A")</f>
        <v>N/A</v>
      </c>
      <c r="M166" t="str" s="640" cm="1">
        <f t="array" ref="M166">IF(B166&gt;0,'Direct Costs 2026'!$C$45*B166,"N/A")</f>
        <v>N/A</v>
      </c>
      <c r="N166" t="str" s="640" cm="1">
        <f t="array" ref="N166">IF($B166&gt;0,'Direct Costs 2026'!$C$29,"N/A")</f>
        <v>N/A</v>
      </c>
      <c r="O166" t="str" s="640" cm="1">
        <f t="array" ref="O166">IF($B166&gt;0,'Direct Costs 2026'!$C$31,"N/A")</f>
        <v>N/A</v>
      </c>
      <c r="P166" t="str" s="640" cm="1">
        <f t="array" ref="P166">IF(B166&gt;0,'Direct Costs 2026'!$C$59*B166,"N/A")</f>
        <v>N/A</v>
      </c>
      <c r="Q166" t="str" s="640" cm="1">
        <f t="array" ref="Q166">IF(B166&gt;0,_xlfn.IFERROR(VLOOKUP(C156,'Boats Data Sheet 2026'!$C$3:$I$57,7,0)*'Direct Costs 2026'!$C$36,"N/A"),"N/A")</f>
        <v>N/A</v>
      </c>
      <c r="R166" s="639"/>
      <c r="S166" t="str" s="640" cm="1">
        <f t="array" ref="S166">IF(B166&gt;0,IF(OR(VLOOKUP(C156,'Boats Data Sheet 2026'!$C$3:$F$57,4,0)="Own",VLOOKUP(C156,'Boats Data Sheet 2026'!$C$3:$F$57,4,0)="Management"),('Direct Costs 2026'!$C$37+'Direct Costs 2026'!$C$39),"N/A"),"N/A")</f>
        <v>N/A</v>
      </c>
      <c r="T166" t="str" s="640" cm="1">
        <f t="array" ref="T166">_xlfn.IFERROR(IF(B166&gt;5,IF(B166&gt;11,IF(B166&gt;15,4,3),2),IF(B166=0,"N/A",1))*SUM('Direct Costs 2026'!$C$67:$C$68),"N/A")</f>
        <v>N/A</v>
      </c>
      <c r="U166" t="str" s="640" cm="1">
        <f t="array" ref="U166">_xlfn.IFERROR('Direct Costs 2026'!$C$27*C166,"N/A")</f>
        <v>N/A</v>
      </c>
      <c r="V166" t="str" s="640" cm="1">
        <f t="array" ref="V166">_xlfn.IFERROR(C166+SUM(E166:U166),"N/A")</f>
        <v>N/A</v>
      </c>
      <c r="W166" s="424"/>
      <c r="X166" t="str" s="640" cm="1">
        <f t="array" ref="X166">IF(B166&gt;0,'Allocation OH and Target 2026'!$E$31,"N/A")</f>
        <v>N/A</v>
      </c>
      <c r="Y166" t="str" s="640" cm="1">
        <f t="array" ref="Y166">IF(B166&gt;0,VLOOKUP(C156,'Allocation OH and Target 2026'!$C$5:$T$23,16,0),"N/A")</f>
        <v>N/A</v>
      </c>
      <c r="Z166" t="str" s="640" cm="1">
        <f t="array" ref="Z166">_xlfn.IFERROR((X166+Y166),"N/A")</f>
        <v>N/A</v>
      </c>
      <c r="AA166" s="424"/>
      <c r="AB166" t="str" s="640" cm="1">
        <f t="array" ref="AB166">_xlfn.IFERROR(Z166+V166,"N/A")</f>
        <v>N/A</v>
      </c>
      <c r="AC166" t="str" s="640" cm="1">
        <f t="array" ref="AC166">_xlfn.IFERROR(AB166*0.5%,"N/A")</f>
        <v>N/A</v>
      </c>
      <c r="AD166" t="str" s="640" cm="1">
        <f t="array" ref="AD166">_xlfn.IFERROR(AB166*25%,"N/A")</f>
        <v>N/A</v>
      </c>
      <c r="AE166" t="str" s="648" cm="1">
        <f t="array" ref="AE166">IF(B166&gt;0,SUM(AB166:AD166),"N/A")</f>
        <v>N/A</v>
      </c>
      <c r="AF166" t="str" s="640" cm="1">
        <f t="array" ref="AF166">_xlfn.IFERROR(AE166/B166,"N/A")</f>
        <v>N/A</v>
      </c>
      <c r="AG166" s="424"/>
      <c r="AH166" t="str" s="648" cm="1">
        <f t="array" ref="AH166">IF(B166/VLOOKUP(C156,'Boats Data Sheet 2026'!$C$3:$H$57,6,0)&gt;VLOOKUP(C156,'Allocation OH and Target 2026'!$C$5:$J$23,8,0),IF(SUM(AI158:AI165)=0,AF166,"N/A"),"N/A")</f>
        <v>N/A</v>
      </c>
      <c r="AI166" s="424" cm="1">
        <f t="array" ref="AI166">IF(AH166="N/A",0,1)</f>
        <v>0</v>
      </c>
      <c r="AJ166" t="str" s="640" cm="1">
        <f t="array" ref="AJ166">IF(B166/VLOOKUP(C156,'Boats Data Sheet 2026'!$C$3:$H$57,6,0)&gt;VLOOKUP(C156,'Allocation OH and Target 2026'!$C$5:$J$23,8,0),IF(SUM(AI158:AI165)=0,V166/B166,"N/A"),"N/A")</f>
        <v>N/A</v>
      </c>
      <c r="AK166" s="424" cm="1">
        <f t="array" ref="AK166">IF(AJ166="N/A",0,1)</f>
        <v>0</v>
      </c>
      <c r="AL166" t="str" s="628" cm="1">
        <f t="array" ref="AL166">IF(SUM(1250000+700000)*B166&lt;SUM(AB166:AC166),"NO GO","GO")</f>
        <v>GO</v>
      </c>
      <c r="AM166" s="424"/>
      <c r="AN166" s="639"/>
      <c r="AO166" s="639"/>
      <c r="AP166" s="639"/>
      <c r="AQ166" s="645"/>
      <c r="AR166" s="601" cm="1">
        <f t="array" ref="AR166">B166</f>
        <v>0</v>
      </c>
    </row>
    <row r="167" ht="9" customHeight="1" hidden="1">
      <c r="A167" s="12"/>
      <c r="B167" s="646">
        <v>0</v>
      </c>
      <c r="C167" t="str" s="640" cm="1">
        <f t="array" ref="C167">IF(B167&gt;0,IF(VLOOKUP(C156,'Boats Data Sheet 2026'!$C$3:$J$57,8,0)="N/A",0,VLOOKUP(C156,'Boats Data Sheet 2026'!$C$3:$J$57,8,0)),"N/A")</f>
        <v>N/A</v>
      </c>
      <c r="D167" t="str" s="649" cm="1">
        <f t="array" ref="D167">IF(B167&gt;7,2,IF(B167=0,"N/A",1))</f>
        <v>N/A</v>
      </c>
      <c r="E167" t="str" s="640" cm="1">
        <f t="array" ref="E167">_xlfn.IFERROR(SUM('Direct Costs 2026'!$C$4:$C$6)*D167,"N/A")</f>
        <v>N/A</v>
      </c>
      <c r="F167" s="639" cm="1">
        <f t="array" ref="F167">_xlfn.IFERROR('Direct Costs 2026'!$C$43*B167,"N/A")</f>
        <v>0</v>
      </c>
      <c r="G167" t="str" s="640" cm="1">
        <f t="array" ref="G167">IF(B167&gt;0,'Direct Costs 2026'!$C$25,"N/A")</f>
        <v>N/A</v>
      </c>
      <c r="H167" t="str" s="640" cm="1">
        <f t="array" ref="H167">IF(B167&gt;0,('Direct Costs 2026'!$C$19+'Direct Costs 2026'!$C$18*B167),"N/A")</f>
        <v>N/A</v>
      </c>
      <c r="I167" t="str" s="640" cm="1">
        <f t="array" ref="I167">IF(B167&gt;0,SUM('Direct Costs 2026'!$C$20:$C$21),"N/A")</f>
        <v>N/A</v>
      </c>
      <c r="J167" t="str" s="640" cm="1">
        <f t="array" ref="J167">IF(B167&gt;0,'Direct Costs 2026'!$C$14,"N/A")</f>
        <v>N/A</v>
      </c>
      <c r="K167" t="str" s="640" cm="1">
        <f t="array" ref="K167">IF(B167&gt;0,'Direct Costs 2026'!$C$26,"N/A")</f>
        <v>N/A</v>
      </c>
      <c r="L167" t="str" s="640" cm="1">
        <f t="array" ref="L167">IF(B167&gt;0,SUM('Direct Costs 2026'!$C$23:$C$24),"N/A")</f>
        <v>N/A</v>
      </c>
      <c r="M167" t="str" s="640" cm="1">
        <f t="array" ref="M167">IF(B167&gt;0,'Direct Costs 2026'!$C$45*B167,"N/A")</f>
        <v>N/A</v>
      </c>
      <c r="N167" t="str" s="640" cm="1">
        <f t="array" ref="N167">IF($B167&gt;0,'Direct Costs 2026'!$C$29,"N/A")</f>
        <v>N/A</v>
      </c>
      <c r="O167" t="str" s="640" cm="1">
        <f t="array" ref="O167">IF($B167&gt;0,'Direct Costs 2026'!$C$31,"N/A")</f>
        <v>N/A</v>
      </c>
      <c r="P167" t="str" s="640" cm="1">
        <f t="array" ref="P167">IF(B167&gt;0,'Direct Costs 2026'!$C$59*B167,"N/A")</f>
        <v>N/A</v>
      </c>
      <c r="Q167" t="str" s="640" cm="1">
        <f t="array" ref="Q167">IF(B167&gt;0,_xlfn.IFERROR(VLOOKUP(C156,'Boats Data Sheet 2026'!$C$3:$I$57,7,0)*'Direct Costs 2026'!$C$36,"N/A"),"N/A")</f>
        <v>N/A</v>
      </c>
      <c r="R167" s="639"/>
      <c r="S167" t="str" s="640" cm="1">
        <f t="array" ref="S167">IF(B167&gt;0,IF(OR(VLOOKUP(C156,'Boats Data Sheet 2026'!$C$3:$F$57,4,0)="Own",VLOOKUP(C156,'Boats Data Sheet 2026'!$C$3:$F$57,4,0)="Management"),('Direct Costs 2026'!$C$37+'Direct Costs 2026'!$C$39),"N/A"),"N/A")</f>
        <v>N/A</v>
      </c>
      <c r="T167" t="str" s="640" cm="1">
        <f t="array" ref="T167">_xlfn.IFERROR(IF(B167&gt;5,IF(B167&gt;11,IF(B167&gt;15,4,3),2),IF(B167=0,"N/A",1))*SUM('Direct Costs 2026'!$C$67:$C$68),"N/A")</f>
        <v>N/A</v>
      </c>
      <c r="U167" t="str" s="640" cm="1">
        <f t="array" ref="U167">_xlfn.IFERROR('Direct Costs 2026'!$C$27*C167,"N/A")</f>
        <v>N/A</v>
      </c>
      <c r="V167" t="str" s="640" cm="1">
        <f t="array" ref="V167">_xlfn.IFERROR(C167+SUM(E167:U167),"N/A")</f>
        <v>N/A</v>
      </c>
      <c r="W167" s="424"/>
      <c r="X167" t="str" s="640" cm="1">
        <f t="array" ref="X167">IF(B167&gt;0,'Allocation OH and Target 2026'!$E$31,"N/A")</f>
        <v>N/A</v>
      </c>
      <c r="Y167" t="str" s="640" cm="1">
        <f t="array" ref="Y167">IF(B167&gt;0,VLOOKUP(C156,'Allocation OH and Target 2026'!$C$5:$T$23,16,0),"N/A")</f>
        <v>N/A</v>
      </c>
      <c r="Z167" t="str" s="640" cm="1">
        <f t="array" ref="Z167">_xlfn.IFERROR((X167+Y167),"N/A")</f>
        <v>N/A</v>
      </c>
      <c r="AA167" s="424"/>
      <c r="AB167" t="str" s="640" cm="1">
        <f t="array" ref="AB167">_xlfn.IFERROR(Z167+V167,"N/A")</f>
        <v>N/A</v>
      </c>
      <c r="AC167" t="str" s="640" cm="1">
        <f t="array" ref="AC167">_xlfn.IFERROR(AB167*0.5%,"N/A")</f>
        <v>N/A</v>
      </c>
      <c r="AD167" t="str" s="640" cm="1">
        <f t="array" ref="AD167">_xlfn.IFERROR(AB167*25%,"N/A")</f>
        <v>N/A</v>
      </c>
      <c r="AE167" t="str" s="648" cm="1">
        <f t="array" ref="AE167">IF(B167&gt;0,SUM(AB167:AD167),"N/A")</f>
        <v>N/A</v>
      </c>
      <c r="AF167" t="str" s="640" cm="1">
        <f t="array" ref="AF167">_xlfn.IFERROR(AE167/B167,"N/A")</f>
        <v>N/A</v>
      </c>
      <c r="AG167" s="424"/>
      <c r="AH167" t="str" s="648" cm="1">
        <f t="array" ref="AH167">IF(B167/VLOOKUP(C156,'Boats Data Sheet 2026'!$C$3:$H$57,6,0)&gt;VLOOKUP(C156,'Allocation OH and Target 2026'!$C$5:$J$23,8,0),IF(SUM(AI158:AI166)=0,AF167,"N/A"),"N/A")</f>
        <v>N/A</v>
      </c>
      <c r="AI167" s="424" cm="1">
        <f t="array" ref="AI167">IF(AH167="N/A",0,1)</f>
        <v>0</v>
      </c>
      <c r="AJ167" t="str" s="640" cm="1">
        <f t="array" ref="AJ167">IF(B167/VLOOKUP(C156,'Boats Data Sheet 2026'!$C$3:$H$57,6,0)&gt;VLOOKUP(C156,'Allocation OH and Target 2026'!$C$5:$J$23,8,0),IF(SUM(AI158:AI166)=0,V167/B167,"N/A"),"N/A")</f>
        <v>N/A</v>
      </c>
      <c r="AK167" s="424" cm="1">
        <f t="array" ref="AK167">IF(AJ167="N/A",0,1)</f>
        <v>0</v>
      </c>
      <c r="AL167" t="str" s="628" cm="1">
        <f t="array" ref="AL167">IF(SUM(1250000+700000)*B167&lt;SUM(AB167:AC167),"NO GO","GO")</f>
        <v>GO</v>
      </c>
      <c r="AM167" s="424"/>
      <c r="AN167" s="639"/>
      <c r="AO167" s="639"/>
      <c r="AP167" s="639"/>
      <c r="AQ167" s="645"/>
      <c r="AR167" s="601" cm="1">
        <f t="array" ref="AR167">B167</f>
        <v>0</v>
      </c>
    </row>
    <row r="168" ht="9" customHeight="1" hidden="1">
      <c r="A168" s="12"/>
      <c r="B168" s="646">
        <v>0</v>
      </c>
      <c r="C168" t="str" s="640" cm="1">
        <f t="array" ref="C168">IF(B168&gt;0,IF(VLOOKUP(C156,'Boats Data Sheet 2026'!$C$3:$J$57,8,0)="N/A",0,VLOOKUP(C156,'Boats Data Sheet 2026'!$C$3:$J$57,8,0)),"N/A")</f>
        <v>N/A</v>
      </c>
      <c r="D168" t="str" s="649" cm="1">
        <f t="array" ref="D168">IF(B168&gt;7,2,IF(B168=0,"N/A",1))</f>
        <v>N/A</v>
      </c>
      <c r="E168" t="str" s="640" cm="1">
        <f t="array" ref="E168">_xlfn.IFERROR(SUM('Direct Costs 2026'!$C$4:$C$6)*D168,"N/A")</f>
        <v>N/A</v>
      </c>
      <c r="F168" s="639" cm="1">
        <f t="array" ref="F168">_xlfn.IFERROR('Direct Costs 2026'!$C$43*B168,"N/A")</f>
        <v>0</v>
      </c>
      <c r="G168" t="str" s="640" cm="1">
        <f t="array" ref="G168">IF(B168&gt;0,'Direct Costs 2026'!$C$25,"N/A")</f>
        <v>N/A</v>
      </c>
      <c r="H168" t="str" s="640" cm="1">
        <f t="array" ref="H168">IF(B168&gt;0,('Direct Costs 2026'!$C$19+'Direct Costs 2026'!$C$18*B168),"N/A")</f>
        <v>N/A</v>
      </c>
      <c r="I168" t="str" s="640" cm="1">
        <f t="array" ref="I168">IF(B168&gt;0,SUM('Direct Costs 2026'!$C$20:$C$21),"N/A")</f>
        <v>N/A</v>
      </c>
      <c r="J168" t="str" s="640" cm="1">
        <f t="array" ref="J168">IF(B168&gt;0,'Direct Costs 2026'!$C$14,"N/A")</f>
        <v>N/A</v>
      </c>
      <c r="K168" t="str" s="640" cm="1">
        <f t="array" ref="K168">IF(B168&gt;0,'Direct Costs 2026'!$C$26,"N/A")</f>
        <v>N/A</v>
      </c>
      <c r="L168" t="str" s="640" cm="1">
        <f t="array" ref="L168">IF(B168&gt;0,SUM('Direct Costs 2026'!$C$23:$C$24),"N/A")</f>
        <v>N/A</v>
      </c>
      <c r="M168" t="str" s="640" cm="1">
        <f t="array" ref="M168">IF(B168&gt;0,'Direct Costs 2026'!$C$45*B168,"N/A")</f>
        <v>N/A</v>
      </c>
      <c r="N168" t="str" s="640" cm="1">
        <f t="array" ref="N168">IF($B168&gt;0,'Direct Costs 2026'!$C$29,"N/A")</f>
        <v>N/A</v>
      </c>
      <c r="O168" t="str" s="640" cm="1">
        <f t="array" ref="O168">IF($B168&gt;0,'Direct Costs 2026'!$C$31,"N/A")</f>
        <v>N/A</v>
      </c>
      <c r="P168" t="str" s="640" cm="1">
        <f t="array" ref="P168">IF(B168&gt;0,'Direct Costs 2026'!$C$59*B168,"N/A")</f>
        <v>N/A</v>
      </c>
      <c r="Q168" t="str" s="640" cm="1">
        <f t="array" ref="Q168">IF(B168&gt;0,_xlfn.IFERROR(VLOOKUP(C156,'Boats Data Sheet 2026'!$C$3:$I$57,7,0)*'Direct Costs 2026'!$C$36,"N/A"),"N/A")</f>
        <v>N/A</v>
      </c>
      <c r="R168" s="639"/>
      <c r="S168" t="str" s="640" cm="1">
        <f t="array" ref="S168">IF(B168&gt;0,IF(OR(VLOOKUP(C156,'Boats Data Sheet 2026'!$C$3:$F$57,4,0)="Own",VLOOKUP(C156,'Boats Data Sheet 2026'!$C$3:$F$57,4,0)="Management"),('Direct Costs 2026'!$C$37+'Direct Costs 2026'!$C$39),"N/A"),"N/A")</f>
        <v>N/A</v>
      </c>
      <c r="T168" t="str" s="640" cm="1">
        <f t="array" ref="T168">_xlfn.IFERROR(IF(B168&gt;5,IF(B168&gt;11,IF(B168&gt;15,4,3),2),IF(B168=0,"N/A",1))*SUM('Direct Costs 2026'!$C$67:$C$68),"N/A")</f>
        <v>N/A</v>
      </c>
      <c r="U168" t="str" s="640" cm="1">
        <f t="array" ref="U168">_xlfn.IFERROR('Direct Costs 2026'!$C$27*C168,"N/A")</f>
        <v>N/A</v>
      </c>
      <c r="V168" t="str" s="640" cm="1">
        <f t="array" ref="V168">_xlfn.IFERROR(C168+SUM(E168:U168),"N/A")</f>
        <v>N/A</v>
      </c>
      <c r="W168" s="424"/>
      <c r="X168" t="str" s="640" cm="1">
        <f t="array" ref="X168">IF(B168&gt;0,'Allocation OH and Target 2026'!$E$31,"N/A")</f>
        <v>N/A</v>
      </c>
      <c r="Y168" t="str" s="640" cm="1">
        <f t="array" ref="Y168">IF(B168&gt;0,VLOOKUP(C156,'Allocation OH and Target 2026'!$C$5:$T$23,16,0),"N/A")</f>
        <v>N/A</v>
      </c>
      <c r="Z168" t="str" s="640" cm="1">
        <f t="array" ref="Z168">_xlfn.IFERROR((X168+Y168),"N/A")</f>
        <v>N/A</v>
      </c>
      <c r="AA168" s="424"/>
      <c r="AB168" t="str" s="640" cm="1">
        <f t="array" ref="AB168">_xlfn.IFERROR(Z168+V168,"N/A")</f>
        <v>N/A</v>
      </c>
      <c r="AC168" t="str" s="640" cm="1">
        <f t="array" ref="AC168">_xlfn.IFERROR(AB168*0.5%,"N/A")</f>
        <v>N/A</v>
      </c>
      <c r="AD168" t="str" s="640" cm="1">
        <f t="array" ref="AD168">_xlfn.IFERROR(AB168*25%,"N/A")</f>
        <v>N/A</v>
      </c>
      <c r="AE168" t="str" s="648" cm="1">
        <f t="array" ref="AE168">IF(B168&gt;0,SUM(AB168:AD168),"N/A")</f>
        <v>N/A</v>
      </c>
      <c r="AF168" t="str" s="640" cm="1">
        <f t="array" ref="AF168">_xlfn.IFERROR(AE168/B168,"N/A")</f>
        <v>N/A</v>
      </c>
      <c r="AG168" s="424"/>
      <c r="AH168" t="str" s="648" cm="1">
        <f t="array" ref="AH168">IF(B168/VLOOKUP(C156,'Boats Data Sheet 2026'!$C$3:$H$57,6,0)&gt;VLOOKUP(C156,'Allocation OH and Target 2026'!$C$5:$J$23,8,0),IF(SUM(AI158:AI167)=0,AF168,"N/A"),"N/A")</f>
        <v>N/A</v>
      </c>
      <c r="AI168" s="424" cm="1">
        <f t="array" ref="AI168">IF(AH168="N/A",0,1)</f>
        <v>0</v>
      </c>
      <c r="AJ168" t="str" s="640" cm="1">
        <f t="array" ref="AJ168">IF(B168/VLOOKUP(C156,'Boats Data Sheet 2026'!$C$3:$H$57,6,0)&gt;VLOOKUP(C156,'Allocation OH and Target 2026'!$C$5:$J$23,8,0),IF(SUM(AI158:AI167)=0,V168/B168,"N/A"),"N/A")</f>
        <v>N/A</v>
      </c>
      <c r="AK168" s="424" cm="1">
        <f t="array" ref="AK168">IF(AJ168="N/A",0,1)</f>
        <v>0</v>
      </c>
      <c r="AL168" t="str" s="628" cm="1">
        <f t="array" ref="AL168">IF(SUM(1250000+700000)*B168&lt;SUM(AB168:AC168),"NO GO","GO")</f>
        <v>GO</v>
      </c>
      <c r="AM168" s="424"/>
      <c r="AN168" s="639"/>
      <c r="AO168" s="639"/>
      <c r="AP168" s="639"/>
      <c r="AQ168" s="645"/>
      <c r="AR168" s="601" cm="1">
        <f t="array" ref="AR168">B168</f>
        <v>0</v>
      </c>
    </row>
    <row r="169" ht="9" customHeight="1" hidden="1">
      <c r="A169" s="12"/>
      <c r="B169" s="646">
        <v>0</v>
      </c>
      <c r="C169" t="str" s="640" cm="1">
        <f t="array" ref="C169">IF(B169&gt;0,IF(VLOOKUP(C156,'Boats Data Sheet 2026'!$C$3:$J$57,8,0)="N/A",0,VLOOKUP(C156,'Boats Data Sheet 2026'!$C$3:$J$57,8,0)),"N/A")</f>
        <v>N/A</v>
      </c>
      <c r="D169" t="str" s="649" cm="1">
        <f t="array" ref="D169">IF(B169&gt;7,2,IF(B169=0,"N/A",1))</f>
        <v>N/A</v>
      </c>
      <c r="E169" t="str" s="640" cm="1">
        <f t="array" ref="E169">_xlfn.IFERROR(SUM('Direct Costs 2026'!$C$4:$C$6)*D169,"N/A")</f>
        <v>N/A</v>
      </c>
      <c r="F169" s="639" cm="1">
        <f t="array" ref="F169">_xlfn.IFERROR('Direct Costs 2026'!$C$43*B169,"N/A")</f>
        <v>0</v>
      </c>
      <c r="G169" t="str" s="640" cm="1">
        <f t="array" ref="G169">IF(B169&gt;0,'Direct Costs 2026'!$C$25,"N/A")</f>
        <v>N/A</v>
      </c>
      <c r="H169" t="str" s="640" cm="1">
        <f t="array" ref="H169">IF(B169&gt;0,('Direct Costs 2026'!$C$19+'Direct Costs 2026'!$C$18*B169),"N/A")</f>
        <v>N/A</v>
      </c>
      <c r="I169" t="str" s="640" cm="1">
        <f t="array" ref="I169">IF(B169&gt;0,SUM('Direct Costs 2026'!$C$20:$C$21),"N/A")</f>
        <v>N/A</v>
      </c>
      <c r="J169" t="str" s="640" cm="1">
        <f t="array" ref="J169">IF(B169&gt;0,'Direct Costs 2026'!$C$14,"N/A")</f>
        <v>N/A</v>
      </c>
      <c r="K169" t="str" s="640" cm="1">
        <f t="array" ref="K169">IF(B169&gt;0,'Direct Costs 2026'!$C$26,"N/A")</f>
        <v>N/A</v>
      </c>
      <c r="L169" t="str" s="640" cm="1">
        <f t="array" ref="L169">IF(B169&gt;0,SUM('Direct Costs 2026'!$C$23:$C$24),"N/A")</f>
        <v>N/A</v>
      </c>
      <c r="M169" t="str" s="640" cm="1">
        <f t="array" ref="M169">IF(B169&gt;0,'Direct Costs 2026'!$C$45*B169,"N/A")</f>
        <v>N/A</v>
      </c>
      <c r="N169" t="str" s="640" cm="1">
        <f t="array" ref="N169">IF($B169&gt;0,'Direct Costs 2026'!$C$29,"N/A")</f>
        <v>N/A</v>
      </c>
      <c r="O169" t="str" s="640" cm="1">
        <f t="array" ref="O169">IF($B169&gt;0,'Direct Costs 2026'!$C$31,"N/A")</f>
        <v>N/A</v>
      </c>
      <c r="P169" t="str" s="640" cm="1">
        <f t="array" ref="P169">IF(B169&gt;0,'Direct Costs 2026'!$C$59*B169,"N/A")</f>
        <v>N/A</v>
      </c>
      <c r="Q169" t="str" s="640" cm="1">
        <f t="array" ref="Q169">IF(B169&gt;0,_xlfn.IFERROR(VLOOKUP(C156,'Boats Data Sheet 2026'!$C$3:$I$57,7,0)*'Direct Costs 2026'!$C$36,"N/A"),"N/A")</f>
        <v>N/A</v>
      </c>
      <c r="R169" s="639"/>
      <c r="S169" t="str" s="640" cm="1">
        <f t="array" ref="S169">IF(B169&gt;0,IF(OR(VLOOKUP(C156,'Boats Data Sheet 2026'!$C$3:$F$57,4,0)="Own",VLOOKUP(C156,'Boats Data Sheet 2026'!$C$3:$F$57,4,0)="Management"),('Direct Costs 2026'!$C$37+'Direct Costs 2026'!$C$39),"N/A"),"N/A")</f>
        <v>N/A</v>
      </c>
      <c r="T169" t="str" s="640" cm="1">
        <f t="array" ref="T169">_xlfn.IFERROR(IF(B169&gt;5,IF(B169&gt;11,IF(B169&gt;15,4,3),2),IF(B169=0,"N/A",1))*SUM('Direct Costs 2026'!$C$67:$C$68),"N/A")</f>
        <v>N/A</v>
      </c>
      <c r="U169" t="str" s="640" cm="1">
        <f t="array" ref="U169">_xlfn.IFERROR('Direct Costs 2026'!$C$27*C169,"N/A")</f>
        <v>N/A</v>
      </c>
      <c r="V169" t="str" s="640" cm="1">
        <f t="array" ref="V169">_xlfn.IFERROR(C169+SUM(E169:U169),"N/A")</f>
        <v>N/A</v>
      </c>
      <c r="W169" s="424"/>
      <c r="X169" t="str" s="640" cm="1">
        <f t="array" ref="X169">IF(B169&gt;0,'Allocation OH and Target 2026'!$E$31,"N/A")</f>
        <v>N/A</v>
      </c>
      <c r="Y169" t="str" s="640" cm="1">
        <f t="array" ref="Y169">IF(B169&gt;0,VLOOKUP(C156,'Allocation OH and Target 2026'!$C$5:$T$23,16,0),"N/A")</f>
        <v>N/A</v>
      </c>
      <c r="Z169" t="str" s="640" cm="1">
        <f t="array" ref="Z169">_xlfn.IFERROR((X169+Y169),"N/A")</f>
        <v>N/A</v>
      </c>
      <c r="AA169" s="424"/>
      <c r="AB169" t="str" s="640" cm="1">
        <f t="array" ref="AB169">_xlfn.IFERROR(Z169+V169,"N/A")</f>
        <v>N/A</v>
      </c>
      <c r="AC169" t="str" s="640" cm="1">
        <f t="array" ref="AC169">_xlfn.IFERROR(AB169*0.5%,"N/A")</f>
        <v>N/A</v>
      </c>
      <c r="AD169" t="str" s="640" cm="1">
        <f t="array" ref="AD169">_xlfn.IFERROR(AB169*25%,"N/A")</f>
        <v>N/A</v>
      </c>
      <c r="AE169" t="str" s="648" cm="1">
        <f t="array" ref="AE169">IF(B169&gt;0,SUM(AB169:AD169),"N/A")</f>
        <v>N/A</v>
      </c>
      <c r="AF169" t="str" s="640" cm="1">
        <f t="array" ref="AF169">_xlfn.IFERROR(AE169/B169,"N/A")</f>
        <v>N/A</v>
      </c>
      <c r="AG169" s="424"/>
      <c r="AH169" t="str" s="648" cm="1">
        <f t="array" ref="AH169">IF(B169/VLOOKUP(C156,'Boats Data Sheet 2026'!$C$3:$H$57,6,0)&gt;VLOOKUP(C156,'Allocation OH and Target 2026'!$C$5:$J$23,8,0),IF(SUM(AI158:AI168)=0,AF169,"N/A"),"N/A")</f>
        <v>N/A</v>
      </c>
      <c r="AI169" s="424" cm="1">
        <f t="array" ref="AI169">IF(AH169="N/A",0,1)</f>
        <v>0</v>
      </c>
      <c r="AJ169" t="str" s="640" cm="1">
        <f t="array" ref="AJ169">IF(B169/VLOOKUP(C156,'Boats Data Sheet 2026'!$C$3:$H$57,6,0)&gt;VLOOKUP(C156,'Allocation OH and Target 2026'!$C$5:$J$23,8,0),IF(SUM(AI158:AI168)=0,V169/B169,"N/A"),"N/A")</f>
        <v>N/A</v>
      </c>
      <c r="AK169" s="424" cm="1">
        <f t="array" ref="AK169">IF(AJ169="N/A",0,1)</f>
        <v>0</v>
      </c>
      <c r="AL169" t="str" s="628" cm="1">
        <f t="array" ref="AL169">IF(SUM(1250000+700000)*B169&lt;SUM(AB169:AC169),"NO GO","GO")</f>
        <v>GO</v>
      </c>
      <c r="AM169" s="424"/>
      <c r="AN169" s="639"/>
      <c r="AO169" s="639"/>
      <c r="AP169" s="639"/>
      <c r="AQ169" s="645"/>
      <c r="AR169" s="601" cm="1">
        <f t="array" ref="AR169">B169</f>
        <v>0</v>
      </c>
    </row>
    <row r="170" ht="9" customHeight="1" hidden="1">
      <c r="A170" s="12"/>
      <c r="B170" s="646">
        <v>0</v>
      </c>
      <c r="C170" t="str" s="640" cm="1">
        <f t="array" ref="C170">IF(B170&gt;0,IF(VLOOKUP(C156,'Boats Data Sheet 2026'!$C$3:$J$57,8,0)="N/A",0,VLOOKUP(C156,'Boats Data Sheet 2026'!$C$3:$J$57,8,0)),"N/A")</f>
        <v>N/A</v>
      </c>
      <c r="D170" t="str" s="649" cm="1">
        <f t="array" ref="D170">IF(B170&gt;7,2,IF(B170=0,"N/A",1))</f>
        <v>N/A</v>
      </c>
      <c r="E170" t="str" s="640" cm="1">
        <f t="array" ref="E170">_xlfn.IFERROR(SUM('Direct Costs 2026'!$C$4:$C$6)*D170,"N/A")</f>
        <v>N/A</v>
      </c>
      <c r="F170" s="639" cm="1">
        <f t="array" ref="F170">_xlfn.IFERROR('Direct Costs 2026'!$C$43*B170,"N/A")</f>
        <v>0</v>
      </c>
      <c r="G170" t="str" s="640" cm="1">
        <f t="array" ref="G170">IF(B170&gt;0,'Direct Costs 2026'!$C$25,"N/A")</f>
        <v>N/A</v>
      </c>
      <c r="H170" t="str" s="640" cm="1">
        <f t="array" ref="H170">IF(B170&gt;0,('Direct Costs 2026'!$C$19+'Direct Costs 2026'!$C$18*B170),"N/A")</f>
        <v>N/A</v>
      </c>
      <c r="I170" t="str" s="640" cm="1">
        <f t="array" ref="I170">IF(B170&gt;0,SUM('Direct Costs 2026'!$C$20:$C$21),"N/A")</f>
        <v>N/A</v>
      </c>
      <c r="J170" t="str" s="640" cm="1">
        <f t="array" ref="J170">IF(B170&gt;0,'Direct Costs 2026'!$C$14,"N/A")</f>
        <v>N/A</v>
      </c>
      <c r="K170" t="str" s="640" cm="1">
        <f t="array" ref="K170">IF(B170&gt;0,'Direct Costs 2026'!$C$26,"N/A")</f>
        <v>N/A</v>
      </c>
      <c r="L170" t="str" s="640" cm="1">
        <f t="array" ref="L170">IF(B170&gt;0,SUM('Direct Costs 2026'!$C$23:$C$24),"N/A")</f>
        <v>N/A</v>
      </c>
      <c r="M170" t="str" s="640" cm="1">
        <f t="array" ref="M170">IF(B170&gt;0,'Direct Costs 2026'!$C$45*B170,"N/A")</f>
        <v>N/A</v>
      </c>
      <c r="N170" t="str" s="640" cm="1">
        <f t="array" ref="N170">IF($B170&gt;0,'Direct Costs 2026'!$C$29,"N/A")</f>
        <v>N/A</v>
      </c>
      <c r="O170" t="str" s="640" cm="1">
        <f t="array" ref="O170">IF($B170&gt;0,'Direct Costs 2026'!$C$31,"N/A")</f>
        <v>N/A</v>
      </c>
      <c r="P170" t="str" s="640" cm="1">
        <f t="array" ref="P170">IF(B170&gt;0,'Direct Costs 2026'!$C$59*B170,"N/A")</f>
        <v>N/A</v>
      </c>
      <c r="Q170" t="str" s="640" cm="1">
        <f t="array" ref="Q170">IF(B170&gt;0,_xlfn.IFERROR(VLOOKUP(C156,'Boats Data Sheet 2026'!$C$3:$I$57,7,0)*'Direct Costs 2026'!$C$36,"N/A"),"N/A")</f>
        <v>N/A</v>
      </c>
      <c r="R170" s="639"/>
      <c r="S170" t="str" s="640" cm="1">
        <f t="array" ref="S170">IF(B170&gt;0,IF(OR(VLOOKUP(C156,'Boats Data Sheet 2026'!$C$3:$F$57,4,0)="Own",VLOOKUP(C156,'Boats Data Sheet 2026'!$C$3:$F$57,4,0)="Management"),('Direct Costs 2026'!$C$37+'Direct Costs 2026'!$C$39),"N/A"),"N/A")</f>
        <v>N/A</v>
      </c>
      <c r="T170" t="str" s="640" cm="1">
        <f t="array" ref="T170">_xlfn.IFERROR(IF(B170&gt;5,IF(B170&gt;11,IF(B170&gt;15,4,3),2),IF(B170=0,"N/A",1))*SUM('Direct Costs 2026'!$C$67:$C$68),"N/A")</f>
        <v>N/A</v>
      </c>
      <c r="U170" t="str" s="640" cm="1">
        <f t="array" ref="U170">_xlfn.IFERROR('Direct Costs 2026'!$C$27*C170,"N/A")</f>
        <v>N/A</v>
      </c>
      <c r="V170" t="str" s="640" cm="1">
        <f t="array" ref="V170">_xlfn.IFERROR(C170+SUM(E170:U170),"N/A")</f>
        <v>N/A</v>
      </c>
      <c r="W170" s="424"/>
      <c r="X170" t="str" s="640" cm="1">
        <f t="array" ref="X170">IF(B170&gt;0,'Allocation OH and Target 2026'!$E$31,"N/A")</f>
        <v>N/A</v>
      </c>
      <c r="Y170" t="str" s="640" cm="1">
        <f t="array" ref="Y170">IF(B170&gt;0,VLOOKUP(C156,'Allocation OH and Target 2026'!$C$5:$T$23,16,0),"N/A")</f>
        <v>N/A</v>
      </c>
      <c r="Z170" t="str" s="640" cm="1">
        <f t="array" ref="Z170">_xlfn.IFERROR((X170+Y170),"N/A")</f>
        <v>N/A</v>
      </c>
      <c r="AA170" s="424"/>
      <c r="AB170" t="str" s="640" cm="1">
        <f t="array" ref="AB170">_xlfn.IFERROR(Z170+V170,"N/A")</f>
        <v>N/A</v>
      </c>
      <c r="AC170" t="str" s="640" cm="1">
        <f t="array" ref="AC170">_xlfn.IFERROR(AB170*0.5%,"N/A")</f>
        <v>N/A</v>
      </c>
      <c r="AD170" t="str" s="640" cm="1">
        <f t="array" ref="AD170">_xlfn.IFERROR(AB170*25%,"N/A")</f>
        <v>N/A</v>
      </c>
      <c r="AE170" t="str" s="648" cm="1">
        <f t="array" ref="AE170">IF(B170&gt;0,SUM(AB170:AD170),"N/A")</f>
        <v>N/A</v>
      </c>
      <c r="AF170" t="str" s="640" cm="1">
        <f t="array" ref="AF170">_xlfn.IFERROR(AE170/B170,"N/A")</f>
        <v>N/A</v>
      </c>
      <c r="AG170" s="424"/>
      <c r="AH170" t="str" s="648" cm="1">
        <f t="array" ref="AH170">IF(B170/VLOOKUP(C156,'Boats Data Sheet 2026'!$C$3:$H$57,6,0)&gt;VLOOKUP(C156,'Allocation OH and Target 2026'!$C$5:$J$23,8,0),IF(SUM(AI158:AI169)=0,AF170,"N/A"),"N/A")</f>
        <v>N/A</v>
      </c>
      <c r="AI170" s="424" cm="1">
        <f t="array" ref="AI170">IF(AH170="N/A",0,1)</f>
        <v>0</v>
      </c>
      <c r="AJ170" t="str" s="640" cm="1">
        <f t="array" ref="AJ170">IF(B170/VLOOKUP(C156,'Boats Data Sheet 2026'!$C$3:$H$57,6,0)&gt;VLOOKUP(C156,'Allocation OH and Target 2026'!$C$5:$J$23,8,0),IF(SUM(AI158:AI169)=0,V170/B170,"N/A"),"N/A")</f>
        <v>N/A</v>
      </c>
      <c r="AK170" s="424" cm="1">
        <f t="array" ref="AK170">IF(AJ170="N/A",0,1)</f>
        <v>0</v>
      </c>
      <c r="AL170" t="str" s="628" cm="1">
        <f t="array" ref="AL170">IF(SUM(1250000+700000)*B170&lt;SUM(AB170:AC170),"NO GO","GO")</f>
        <v>GO</v>
      </c>
      <c r="AM170" s="424"/>
      <c r="AN170" s="639"/>
      <c r="AO170" s="639"/>
      <c r="AP170" s="639"/>
      <c r="AQ170" s="645"/>
      <c r="AR170" s="601" cm="1">
        <f t="array" ref="AR170">B170</f>
        <v>0</v>
      </c>
    </row>
    <row r="171" ht="9" customHeight="1" hidden="1">
      <c r="A171" s="12"/>
      <c r="B171" s="646">
        <v>0</v>
      </c>
      <c r="C171" t="str" s="640" cm="1">
        <f t="array" ref="C171">IF(B171&gt;0,IF(VLOOKUP(C156,'Boats Data Sheet 2026'!$C$3:$J$57,8,0)="N/A",0,VLOOKUP(C156,'Boats Data Sheet 2026'!$C$3:$J$57,8,0)),"N/A")</f>
        <v>N/A</v>
      </c>
      <c r="D171" t="str" s="649" cm="1">
        <f t="array" ref="D171">IF(B171&gt;7,2,IF(B171=0,"N/A",1))</f>
        <v>N/A</v>
      </c>
      <c r="E171" t="str" s="640" cm="1">
        <f t="array" ref="E171">_xlfn.IFERROR(SUM('Direct Costs 2026'!$C$4:$C$6)*D171,"N/A")</f>
        <v>N/A</v>
      </c>
      <c r="F171" s="639" cm="1">
        <f t="array" ref="F171">_xlfn.IFERROR('Direct Costs 2026'!$C$43*B171,"N/A")</f>
        <v>0</v>
      </c>
      <c r="G171" t="str" s="640" cm="1">
        <f t="array" ref="G171">IF(B171&gt;0,'Direct Costs 2026'!$C$25,"N/A")</f>
        <v>N/A</v>
      </c>
      <c r="H171" t="str" s="640" cm="1">
        <f t="array" ref="H171">IF(B171&gt;0,('Direct Costs 2026'!$C$19+'Direct Costs 2026'!$C$18*B171),"N/A")</f>
        <v>N/A</v>
      </c>
      <c r="I171" t="str" s="640" cm="1">
        <f t="array" ref="I171">IF(B171&gt;0,SUM('Direct Costs 2026'!$C$20:$C$21),"N/A")</f>
        <v>N/A</v>
      </c>
      <c r="J171" t="str" s="640" cm="1">
        <f t="array" ref="J171">IF(B171&gt;0,'Direct Costs 2026'!$C$14,"N/A")</f>
        <v>N/A</v>
      </c>
      <c r="K171" t="str" s="640" cm="1">
        <f t="array" ref="K171">IF(B171&gt;0,'Direct Costs 2026'!$C$26,"N/A")</f>
        <v>N/A</v>
      </c>
      <c r="L171" t="str" s="640" cm="1">
        <f t="array" ref="L171">IF(B171&gt;0,SUM('Direct Costs 2026'!$C$23:$C$24),"N/A")</f>
        <v>N/A</v>
      </c>
      <c r="M171" t="str" s="640" cm="1">
        <f t="array" ref="M171">IF(B171&gt;0,'Direct Costs 2026'!$C$45*B171,"N/A")</f>
        <v>N/A</v>
      </c>
      <c r="N171" t="str" s="640" cm="1">
        <f t="array" ref="N171">IF($B171&gt;0,'Direct Costs 2026'!$C$29,"N/A")</f>
        <v>N/A</v>
      </c>
      <c r="O171" t="str" s="640" cm="1">
        <f t="array" ref="O171">IF($B171&gt;0,'Direct Costs 2026'!$C$31,"N/A")</f>
        <v>N/A</v>
      </c>
      <c r="P171" t="str" s="640" cm="1">
        <f t="array" ref="P171">IF(B171&gt;0,'Direct Costs 2026'!$C$59*B171,"N/A")</f>
        <v>N/A</v>
      </c>
      <c r="Q171" t="str" s="640" cm="1">
        <f t="array" ref="Q171">IF(B171&gt;0,_xlfn.IFERROR(VLOOKUP(C156,'Boats Data Sheet 2026'!$C$3:$I$57,7,0)*'Direct Costs 2026'!$C$36,"N/A"),"N/A")</f>
        <v>N/A</v>
      </c>
      <c r="R171" s="639"/>
      <c r="S171" t="str" s="640" cm="1">
        <f t="array" ref="S171">IF(B171&gt;0,IF(OR(VLOOKUP(C156,'Boats Data Sheet 2026'!$C$3:$F$57,4,0)="Own",VLOOKUP(C156,'Boats Data Sheet 2026'!$C$3:$F$57,4,0)="Management"),('Direct Costs 2026'!$C$37+'Direct Costs 2026'!$C$39),"N/A"),"N/A")</f>
        <v>N/A</v>
      </c>
      <c r="T171" t="str" s="640" cm="1">
        <f t="array" ref="T171">_xlfn.IFERROR(IF(B171&gt;5,IF(B171&gt;11,IF(B171&gt;15,4,3),2),IF(B171=0,"N/A",1))*SUM('Direct Costs 2026'!$C$67:$C$68),"N/A")</f>
        <v>N/A</v>
      </c>
      <c r="U171" t="str" s="640" cm="1">
        <f t="array" ref="U171">_xlfn.IFERROR('Direct Costs 2026'!$C$27*C171,"N/A")</f>
        <v>N/A</v>
      </c>
      <c r="V171" t="str" s="640" cm="1">
        <f t="array" ref="V171">_xlfn.IFERROR(C171+SUM(E171:U171),"N/A")</f>
        <v>N/A</v>
      </c>
      <c r="W171" s="424"/>
      <c r="X171" t="str" s="640" cm="1">
        <f t="array" ref="X171">IF(B171&gt;0,'Allocation OH and Target 2026'!$E$31,"N/A")</f>
        <v>N/A</v>
      </c>
      <c r="Y171" t="str" s="640" cm="1">
        <f t="array" ref="Y171">IF(B171&gt;0,VLOOKUP(C156,'Allocation OH and Target 2026'!$C$5:$T$23,16,0),"N/A")</f>
        <v>N/A</v>
      </c>
      <c r="Z171" t="str" s="640" cm="1">
        <f t="array" ref="Z171">_xlfn.IFERROR((X171+Y171),"N/A")</f>
        <v>N/A</v>
      </c>
      <c r="AA171" s="424"/>
      <c r="AB171" t="str" s="640" cm="1">
        <f t="array" ref="AB171">_xlfn.IFERROR(Z171+V171,"N/A")</f>
        <v>N/A</v>
      </c>
      <c r="AC171" t="str" s="640" cm="1">
        <f t="array" ref="AC171">_xlfn.IFERROR(AB171*0.5%,"N/A")</f>
        <v>N/A</v>
      </c>
      <c r="AD171" t="str" s="640" cm="1">
        <f t="array" ref="AD171">_xlfn.IFERROR(AB171*25%,"N/A")</f>
        <v>N/A</v>
      </c>
      <c r="AE171" t="str" s="648" cm="1">
        <f t="array" ref="AE171">IF(B171&gt;0,SUM(AB171:AD171),"N/A")</f>
        <v>N/A</v>
      </c>
      <c r="AF171" t="str" s="640" cm="1">
        <f t="array" ref="AF171">_xlfn.IFERROR(AE171/B171,"N/A")</f>
        <v>N/A</v>
      </c>
      <c r="AG171" s="424"/>
      <c r="AH171" t="str" s="648" cm="1">
        <f t="array" ref="AH171">IF(B171/VLOOKUP(C156,'Boats Data Sheet 2026'!$C$3:$H$57,6,0)&gt;VLOOKUP(C156,'Allocation OH and Target 2026'!$C$5:$J$23,8,0),IF(SUM(AI158:AI170)=0,AF171,"N/A"),"N/A")</f>
        <v>N/A</v>
      </c>
      <c r="AI171" s="424" cm="1">
        <f t="array" ref="AI171">IF(AH171="N/A",0,1)</f>
        <v>0</v>
      </c>
      <c r="AJ171" t="str" s="640" cm="1">
        <f t="array" ref="AJ171">IF(B171/VLOOKUP(C156,'Boats Data Sheet 2026'!$C$3:$H$57,6,0)&gt;VLOOKUP(C156,'Allocation OH and Target 2026'!$C$5:$J$23,8,0),IF(SUM(AI158:AI170)=0,V171/B171,"N/A"),"N/A")</f>
        <v>N/A</v>
      </c>
      <c r="AK171" s="424" cm="1">
        <f t="array" ref="AK171">IF(AJ171="N/A",0,1)</f>
        <v>0</v>
      </c>
      <c r="AL171" t="str" s="628" cm="1">
        <f t="array" ref="AL171">IF(SUM(1250000+700000)*B171&lt;SUM(AB171:AC171),"NO GO","GO")</f>
        <v>GO</v>
      </c>
      <c r="AM171" s="424"/>
      <c r="AN171" s="639"/>
      <c r="AO171" s="639"/>
      <c r="AP171" s="639"/>
      <c r="AQ171" s="645"/>
      <c r="AR171" s="601" cm="1">
        <f t="array" ref="AR171">B171</f>
        <v>0</v>
      </c>
    </row>
    <row r="172" ht="9" customHeight="1" hidden="1">
      <c r="A172" s="12"/>
      <c r="B172" s="646">
        <v>0</v>
      </c>
      <c r="C172" t="str" s="640" cm="1">
        <f t="array" ref="C172">IF(B172&gt;0,IF(VLOOKUP(C156,'Boats Data Sheet 2026'!$C$3:$J$57,8,0)="N/A",0,VLOOKUP(C156,'Boats Data Sheet 2026'!$C$3:$J$57,8,0)),"N/A")</f>
        <v>N/A</v>
      </c>
      <c r="D172" t="str" s="640" cm="1">
        <f t="array" ref="D172">IF(B172&gt;7,2,IF(B172=0,"N/A",1))</f>
        <v>N/A</v>
      </c>
      <c r="E172" t="str" s="640" cm="1">
        <f t="array" ref="E172">_xlfn.IFERROR(SUM('Direct Costs 2026'!$C$4:$C$6)*D172,"N/A")</f>
        <v>N/A</v>
      </c>
      <c r="F172" s="639" cm="1">
        <f t="array" ref="F172">_xlfn.IFERROR('Direct Costs 2026'!$C$43*B172,"N/A")</f>
        <v>0</v>
      </c>
      <c r="G172" t="str" s="640" cm="1">
        <f t="array" ref="G172">IF(B172&gt;0,'Direct Costs 2026'!$C$25,"N/A")</f>
        <v>N/A</v>
      </c>
      <c r="H172" t="str" s="640" cm="1">
        <f t="array" ref="H172">IF(B172&gt;0,('Direct Costs 2026'!$C$19+'Direct Costs 2026'!$C$18*B172),"N/A")</f>
        <v>N/A</v>
      </c>
      <c r="I172" t="str" s="640" cm="1">
        <f t="array" ref="I172">IF(B172&gt;0,SUM('Direct Costs 2026'!$C$20:$C$21),"N/A")</f>
        <v>N/A</v>
      </c>
      <c r="J172" t="str" s="640" cm="1">
        <f t="array" ref="J172">IF(B172&gt;0,'Direct Costs 2026'!$C$14,"N/A")</f>
        <v>N/A</v>
      </c>
      <c r="K172" t="str" s="640" cm="1">
        <f t="array" ref="K172">IF(B172&gt;0,'Direct Costs 2026'!$C$26,"N/A")</f>
        <v>N/A</v>
      </c>
      <c r="L172" t="str" s="640" cm="1">
        <f t="array" ref="L172">IF(B172&gt;0,SUM('Direct Costs 2026'!$C$23:$C$24),"N/A")</f>
        <v>N/A</v>
      </c>
      <c r="M172" t="str" s="640" cm="1">
        <f t="array" ref="M172">IF(B172&gt;0,'Direct Costs 2026'!$C$45*B172,"N/A")</f>
        <v>N/A</v>
      </c>
      <c r="N172" t="str" s="640" cm="1">
        <f t="array" ref="N172">IF($B172&gt;0,'Direct Costs 2026'!$C$29,"N/A")</f>
        <v>N/A</v>
      </c>
      <c r="O172" t="str" s="640" cm="1">
        <f t="array" ref="O172">IF($B172&gt;0,'Direct Costs 2026'!$C$31,"N/A")</f>
        <v>N/A</v>
      </c>
      <c r="P172" t="str" s="640" cm="1">
        <f t="array" ref="P172">IF(B172&gt;0,'Direct Costs 2026'!$C$59*B172,"N/A")</f>
        <v>N/A</v>
      </c>
      <c r="Q172" t="str" s="640" cm="1">
        <f t="array" ref="Q172">IF(B172&gt;0,_xlfn.IFERROR(VLOOKUP(C156,'Boats Data Sheet 2026'!$C$3:$I$57,7,0)*'Direct Costs 2026'!$C$36,"N/A"),"N/A")</f>
        <v>N/A</v>
      </c>
      <c r="R172" s="639"/>
      <c r="S172" t="str" s="640" cm="1">
        <f t="array" ref="S172">IF(B172&gt;0,IF(OR(VLOOKUP(C156,'Boats Data Sheet 2026'!$C$3:$F$57,4,0)="Own",VLOOKUP(C156,'Boats Data Sheet 2026'!$C$3:$F$57,4,0)="Management"),('Direct Costs 2026'!$C$37+'Direct Costs 2026'!$C$39),"N/A"),"N/A")</f>
        <v>N/A</v>
      </c>
      <c r="T172" t="str" s="640" cm="1">
        <f t="array" ref="T172">_xlfn.IFERROR(IF(B172&gt;5,IF(B172&gt;11,IF(B172&gt;15,4,3),2),IF(B172=0,"N/A",1))*SUM('Direct Costs 2026'!$C$67:$C$68),"N/A")</f>
        <v>N/A</v>
      </c>
      <c r="U172" t="str" s="640" cm="1">
        <f t="array" ref="U172">_xlfn.IFERROR('Direct Costs 2026'!$C$27*C172,"N/A")</f>
        <v>N/A</v>
      </c>
      <c r="V172" t="str" s="640" cm="1">
        <f t="array" ref="V172">_xlfn.IFERROR(C172+SUM(E172:U172),"N/A")</f>
        <v>N/A</v>
      </c>
      <c r="W172" s="424"/>
      <c r="X172" t="str" s="640" cm="1">
        <f t="array" ref="X172">IF(B172&gt;0,'Allocation OH and Target 2026'!$E$31,"N/A")</f>
        <v>N/A</v>
      </c>
      <c r="Y172" t="str" s="640" cm="1">
        <f t="array" ref="Y172">IF(B172&gt;0,VLOOKUP(C156,'Allocation OH and Target 2026'!$C$5:$T$23,16,0),"N/A")</f>
        <v>N/A</v>
      </c>
      <c r="Z172" t="str" s="640" cm="1">
        <f t="array" ref="Z172">_xlfn.IFERROR((X172+Y172),"N/A")</f>
        <v>N/A</v>
      </c>
      <c r="AA172" s="424"/>
      <c r="AB172" t="str" s="640" cm="1">
        <f t="array" ref="AB172">_xlfn.IFERROR(Z172+V172,"N/A")</f>
        <v>N/A</v>
      </c>
      <c r="AC172" t="str" s="640" cm="1">
        <f t="array" ref="AC172">_xlfn.IFERROR(AB172*0.5%,"N/A")</f>
        <v>N/A</v>
      </c>
      <c r="AD172" t="str" s="640" cm="1">
        <f t="array" ref="AD172">_xlfn.IFERROR(AB172*25%,"N/A")</f>
        <v>N/A</v>
      </c>
      <c r="AE172" t="str" s="648" cm="1">
        <f t="array" ref="AE172">IF(B172&gt;0,SUM(AB172:AD172),"N/A")</f>
        <v>N/A</v>
      </c>
      <c r="AF172" t="str" s="640" cm="1">
        <f t="array" ref="AF172">_xlfn.IFERROR(AE172/B172,"N/A")</f>
        <v>N/A</v>
      </c>
      <c r="AG172" s="424"/>
      <c r="AH172" t="str" s="648" cm="1">
        <f t="array" ref="AH172">IF(B172/VLOOKUP(C156,'Boats Data Sheet 2026'!$C$3:$H$57,6,0)&gt;VLOOKUP(C156,'Allocation OH and Target 2026'!$C$5:$J$23,8,0),IF(SUM(AI158:AI171)=0,AF172,"N/A"),"N/A")</f>
        <v>N/A</v>
      </c>
      <c r="AI172" s="424" cm="1">
        <f t="array" ref="AI172">IF(AH172="N/A",0,1)</f>
        <v>0</v>
      </c>
      <c r="AJ172" t="str" s="640" cm="1">
        <f t="array" ref="AJ172">IF(B172/VLOOKUP(C156,'Boats Data Sheet 2026'!$C$3:$H$57,6,0)&gt;VLOOKUP(C156,'Allocation OH and Target 2026'!$C$5:$J$23,8,0),IF(SUM(AI158:AI171)=0,V172/B172,"N/A"),"N/A")</f>
        <v>N/A</v>
      </c>
      <c r="AK172" s="424" cm="1">
        <f t="array" ref="AK172">IF(AJ172="N/A",0,1)</f>
        <v>0</v>
      </c>
      <c r="AL172" t="str" s="628" cm="1">
        <f t="array" ref="AL172">IF(SUM(1250000+700000)*B172&lt;SUM(AB172:AC172),"NO GO","GO")</f>
        <v>GO</v>
      </c>
      <c r="AM172" s="424"/>
      <c r="AN172" s="639"/>
      <c r="AO172" s="639"/>
      <c r="AP172" s="639"/>
      <c r="AQ172" s="645"/>
      <c r="AR172" s="601" cm="1">
        <f t="array" ref="AR172">B172</f>
        <v>0</v>
      </c>
    </row>
    <row r="173" ht="9" customHeight="1" hidden="1">
      <c r="A173" s="12"/>
      <c r="B173" s="646">
        <v>0</v>
      </c>
      <c r="C173" t="str" s="640" cm="1">
        <f t="array" ref="C173">IF(B173&gt;0,IF(VLOOKUP(C156,'Boats Data Sheet 2026'!$C$3:$J$57,8,0)="N/A",0,VLOOKUP(C156,'Boats Data Sheet 2026'!$C$3:$J$57,8,0)),"N/A")</f>
        <v>N/A</v>
      </c>
      <c r="D173" t="str" s="640" cm="1">
        <f t="array" ref="D173">IF(B173&gt;7,2,IF(B173=0,"N/A",1))</f>
        <v>N/A</v>
      </c>
      <c r="E173" t="str" s="640" cm="1">
        <f t="array" ref="E173">_xlfn.IFERROR(SUM('Direct Costs 2026'!$C$4:$C$6)*D173,"N/A")</f>
        <v>N/A</v>
      </c>
      <c r="F173" s="639" cm="1">
        <f t="array" ref="F173">_xlfn.IFERROR('Direct Costs 2026'!$C$43*B173,"N/A")</f>
        <v>0</v>
      </c>
      <c r="G173" t="str" s="640" cm="1">
        <f t="array" ref="G173">IF(B173&gt;0,'Direct Costs 2026'!$C$25,"N/A")</f>
        <v>N/A</v>
      </c>
      <c r="H173" t="str" s="640" cm="1">
        <f t="array" ref="H173">IF(B173&gt;0,('Direct Costs 2026'!$C$19+'Direct Costs 2026'!$C$18*B173),"N/A")</f>
        <v>N/A</v>
      </c>
      <c r="I173" t="str" s="640" cm="1">
        <f t="array" ref="I173">IF(B173&gt;0,SUM('Direct Costs 2026'!$C$20:$C$21),"N/A")</f>
        <v>N/A</v>
      </c>
      <c r="J173" t="str" s="640" cm="1">
        <f t="array" ref="J173">IF(B173&gt;0,'Direct Costs 2026'!$C$14,"N/A")</f>
        <v>N/A</v>
      </c>
      <c r="K173" t="str" s="640" cm="1">
        <f t="array" ref="K173">IF(B173&gt;0,'Direct Costs 2026'!$C$26,"N/A")</f>
        <v>N/A</v>
      </c>
      <c r="L173" t="str" s="640" cm="1">
        <f t="array" ref="L173">IF(B173&gt;0,SUM('Direct Costs 2026'!$C$23:$C$24),"N/A")</f>
        <v>N/A</v>
      </c>
      <c r="M173" t="str" s="640" cm="1">
        <f t="array" ref="M173">IF(B173&gt;0,'Direct Costs 2026'!$C$45*B173,"N/A")</f>
        <v>N/A</v>
      </c>
      <c r="N173" t="str" s="640" cm="1">
        <f t="array" ref="N173">IF($B173&gt;0,'Direct Costs 2026'!$C$29,"N/A")</f>
        <v>N/A</v>
      </c>
      <c r="O173" t="str" s="640" cm="1">
        <f t="array" ref="O173">IF($B173&gt;0,'Direct Costs 2026'!$C$31,"N/A")</f>
        <v>N/A</v>
      </c>
      <c r="P173" t="str" s="640" cm="1">
        <f t="array" ref="P173">IF(B173&gt;0,'Direct Costs 2026'!$C$59*B173,"N/A")</f>
        <v>N/A</v>
      </c>
      <c r="Q173" t="str" s="640" cm="1">
        <f t="array" ref="Q173">IF(B173&gt;0,_xlfn.IFERROR(VLOOKUP(C156,'Boats Data Sheet 2026'!$C$3:$I$57,7,0)*'Direct Costs 2026'!$C$36,"N/A"),"N/A")</f>
        <v>N/A</v>
      </c>
      <c r="R173" s="639"/>
      <c r="S173" t="str" s="640" cm="1">
        <f t="array" ref="S173">IF(B173&gt;0,IF(OR(VLOOKUP(C156,'Boats Data Sheet 2026'!$C$3:$F$57,4,0)="Own",VLOOKUP(C156,'Boats Data Sheet 2026'!$C$3:$F$57,4,0)="Management"),('Direct Costs 2026'!$C$37+'Direct Costs 2026'!$C$39),"N/A"),"N/A")</f>
        <v>N/A</v>
      </c>
      <c r="T173" t="str" s="640" cm="1">
        <f t="array" ref="T173">_xlfn.IFERROR(IF(B173&gt;5,IF(B173&gt;11,IF(B173&gt;15,4,3),2),IF(B173=0,"N/A",1))*SUM('Direct Costs 2026'!$C$67:$C$68),"N/A")</f>
        <v>N/A</v>
      </c>
      <c r="U173" t="str" s="640" cm="1">
        <f t="array" ref="U173">_xlfn.IFERROR('Direct Costs 2026'!$C$27*C173,"N/A")</f>
        <v>N/A</v>
      </c>
      <c r="V173" t="str" s="640" cm="1">
        <f t="array" ref="V173">_xlfn.IFERROR(C173+SUM(E173:U173),"N/A")</f>
        <v>N/A</v>
      </c>
      <c r="W173" s="424"/>
      <c r="X173" t="str" s="640" cm="1">
        <f t="array" ref="X173">IF(B173&gt;0,'Allocation OH and Target 2026'!$E$31,"N/A")</f>
        <v>N/A</v>
      </c>
      <c r="Y173" t="str" s="640" cm="1">
        <f t="array" ref="Y173">IF(B173&gt;0,VLOOKUP(C156,'Allocation OH and Target 2026'!$C$5:$T$23,16,0),"N/A")</f>
        <v>N/A</v>
      </c>
      <c r="Z173" t="str" s="640" cm="1">
        <f t="array" ref="Z173">_xlfn.IFERROR((X173+Y173),"N/A")</f>
        <v>N/A</v>
      </c>
      <c r="AA173" s="424"/>
      <c r="AB173" t="str" s="640" cm="1">
        <f t="array" ref="AB173">_xlfn.IFERROR(Z173+V173,"N/A")</f>
        <v>N/A</v>
      </c>
      <c r="AC173" t="str" s="640" cm="1">
        <f t="array" ref="AC173">_xlfn.IFERROR(AB173*0.5%,"N/A")</f>
        <v>N/A</v>
      </c>
      <c r="AD173" t="str" s="640" cm="1">
        <f t="array" ref="AD173">_xlfn.IFERROR(AB173*25%,"N/A")</f>
        <v>N/A</v>
      </c>
      <c r="AE173" t="str" s="648" cm="1">
        <f t="array" ref="AE173">IF(B173&gt;0,SUM(AB173:AD173),"N/A")</f>
        <v>N/A</v>
      </c>
      <c r="AF173" t="str" s="640" cm="1">
        <f t="array" ref="AF173">_xlfn.IFERROR(AE173/B173,"N/A")</f>
        <v>N/A</v>
      </c>
      <c r="AG173" s="424"/>
      <c r="AH173" t="str" s="648" cm="1">
        <f t="array" ref="AH173">IF(B173/VLOOKUP(C156,'Boats Data Sheet 2026'!$C$3:$H$57,6,0)&gt;VLOOKUP(C156,'Allocation OH and Target 2026'!$C$5:$J$23,8,0),IF(SUM(AI158:AI172)=0,AF173,"N/A"),"N/A")</f>
        <v>N/A</v>
      </c>
      <c r="AI173" s="424" cm="1">
        <f t="array" ref="AI173">IF(AH173="N/A",0,1)</f>
        <v>0</v>
      </c>
      <c r="AJ173" t="str" s="640" cm="1">
        <f t="array" ref="AJ173">IF(B173/VLOOKUP(C156,'Boats Data Sheet 2026'!$C$3:$H$57,6,0)&gt;VLOOKUP(C156,'Allocation OH and Target 2026'!$C$5:$J$23,8,0),IF(SUM(AI158:AI172)=0,V173/B173,"N/A"),"N/A")</f>
        <v>N/A</v>
      </c>
      <c r="AK173" s="424" cm="1">
        <f t="array" ref="AK173">IF(AJ173="N/A",0,1)</f>
        <v>0</v>
      </c>
      <c r="AL173" t="str" s="628" cm="1">
        <f t="array" ref="AL173">IF(SUM(1250000+700000)*B173&lt;SUM(AB173:AC173),"NO GO","GO")</f>
        <v>GO</v>
      </c>
      <c r="AM173" s="424"/>
      <c r="AN173" s="639"/>
      <c r="AO173" s="639"/>
      <c r="AP173" s="639"/>
      <c r="AQ173" s="645"/>
      <c r="AR173" s="601" cm="1">
        <f t="array" ref="AR173">B173</f>
        <v>0</v>
      </c>
    </row>
    <row r="174" ht="9" customHeight="1" hidden="1">
      <c r="A174" s="12"/>
      <c r="B174" s="646">
        <v>0</v>
      </c>
      <c r="C174" t="str" s="640" cm="1">
        <f t="array" ref="C174">IF(B174&gt;0,IF(VLOOKUP(C156,'Boats Data Sheet 2026'!$C$3:$J$57,8,0)="N/A",0,VLOOKUP(C156,'Boats Data Sheet 2026'!$C$3:$J$57,8,0)),"N/A")</f>
        <v>N/A</v>
      </c>
      <c r="D174" t="str" s="640" cm="1">
        <f t="array" ref="D174">IF(B174&gt;7,2,IF(B174=0,"N/A",1))</f>
        <v>N/A</v>
      </c>
      <c r="E174" t="str" s="640" cm="1">
        <f t="array" ref="E174">_xlfn.IFERROR(SUM('Direct Costs 2026'!$C$4:$C$6)*D174,"N/A")</f>
        <v>N/A</v>
      </c>
      <c r="F174" s="639" cm="1">
        <f t="array" ref="F174">_xlfn.IFERROR('Direct Costs 2026'!$C$43*B174,"N/A")</f>
        <v>0</v>
      </c>
      <c r="G174" t="str" s="640" cm="1">
        <f t="array" ref="G174">IF(B174&gt;0,'Direct Costs 2026'!$C$25,"N/A")</f>
        <v>N/A</v>
      </c>
      <c r="H174" t="str" s="640" cm="1">
        <f t="array" ref="H174">IF(B174&gt;0,('Direct Costs 2026'!$C$19+'Direct Costs 2026'!$C$18*B174),"N/A")</f>
        <v>N/A</v>
      </c>
      <c r="I174" t="str" s="640" cm="1">
        <f t="array" ref="I174">IF(B174&gt;0,SUM('Direct Costs 2026'!$C$20:$C$21),"N/A")</f>
        <v>N/A</v>
      </c>
      <c r="J174" t="str" s="640" cm="1">
        <f t="array" ref="J174">IF(B174&gt;0,'Direct Costs 2026'!$C$14,"N/A")</f>
        <v>N/A</v>
      </c>
      <c r="K174" t="str" s="640" cm="1">
        <f t="array" ref="K174">IF(B174&gt;0,'Direct Costs 2026'!$C$26,"N/A")</f>
        <v>N/A</v>
      </c>
      <c r="L174" t="str" s="640" cm="1">
        <f t="array" ref="L174">IF(B174&gt;0,SUM('Direct Costs 2026'!$C$23:$C$24),"N/A")</f>
        <v>N/A</v>
      </c>
      <c r="M174" t="str" s="640" cm="1">
        <f t="array" ref="M174">IF(B174&gt;0,'Direct Costs 2026'!$C$45*B174,"N/A")</f>
        <v>N/A</v>
      </c>
      <c r="N174" t="str" s="640" cm="1">
        <f t="array" ref="N174">IF($B174&gt;0,'Direct Costs 2026'!$C$29,"N/A")</f>
        <v>N/A</v>
      </c>
      <c r="O174" t="str" s="640" cm="1">
        <f t="array" ref="O174">IF($B174&gt;0,'Direct Costs 2026'!$C$31,"N/A")</f>
        <v>N/A</v>
      </c>
      <c r="P174" t="str" s="640" cm="1">
        <f t="array" ref="P174">IF(B174&gt;0,'Direct Costs 2026'!$C$59*B174,"N/A")</f>
        <v>N/A</v>
      </c>
      <c r="Q174" t="str" s="640" cm="1">
        <f t="array" ref="Q174">IF(B174&gt;0,_xlfn.IFERROR(VLOOKUP(C156,'Boats Data Sheet 2026'!$C$3:$I$57,7,0)*'Direct Costs 2026'!$C$36,"N/A"),"N/A")</f>
        <v>N/A</v>
      </c>
      <c r="R174" s="639"/>
      <c r="S174" t="str" s="640" cm="1">
        <f t="array" ref="S174">IF(B174&gt;0,IF(OR(VLOOKUP(C156,'Boats Data Sheet 2026'!$C$3:$F$57,4,0)="Own",VLOOKUP(C156,'Boats Data Sheet 2026'!$C$3:$F$57,4,0)="Management"),('Direct Costs 2026'!$C$37+'Direct Costs 2026'!$C$39),"N/A"),"N/A")</f>
        <v>N/A</v>
      </c>
      <c r="T174" t="str" s="640" cm="1">
        <f t="array" ref="T174">_xlfn.IFERROR(IF(B174&gt;5,IF(B174&gt;11,IF(B174&gt;15,4,3),2),IF(B174=0,"N/A",1))*SUM('Direct Costs 2026'!$C$67:$C$68),"N/A")</f>
        <v>N/A</v>
      </c>
      <c r="U174" t="str" s="640" cm="1">
        <f t="array" ref="U174">_xlfn.IFERROR('Direct Costs 2026'!$C$27*C174,"N/A")</f>
        <v>N/A</v>
      </c>
      <c r="V174" t="str" s="640" cm="1">
        <f t="array" ref="V174">_xlfn.IFERROR(C174+SUM(E174:U174),"N/A")</f>
        <v>N/A</v>
      </c>
      <c r="W174" s="424"/>
      <c r="X174" t="str" s="640" cm="1">
        <f t="array" ref="X174">IF(B174&gt;0,'Allocation OH and Target 2026'!$E$31,"N/A")</f>
        <v>N/A</v>
      </c>
      <c r="Y174" t="str" s="640" cm="1">
        <f t="array" ref="Y174">IF(B174&gt;0,VLOOKUP(C156,'Allocation OH and Target 2026'!$C$5:$T$23,16,0),"N/A")</f>
        <v>N/A</v>
      </c>
      <c r="Z174" t="str" s="640" cm="1">
        <f t="array" ref="Z174">_xlfn.IFERROR((X174+Y174),"N/A")</f>
        <v>N/A</v>
      </c>
      <c r="AA174" s="424"/>
      <c r="AB174" t="str" s="640" cm="1">
        <f t="array" ref="AB174">_xlfn.IFERROR(Z174+V174,"N/A")</f>
        <v>N/A</v>
      </c>
      <c r="AC174" t="str" s="640" cm="1">
        <f t="array" ref="AC174">_xlfn.IFERROR(AB174*0.5%,"N/A")</f>
        <v>N/A</v>
      </c>
      <c r="AD174" t="str" s="640" cm="1">
        <f t="array" ref="AD174">_xlfn.IFERROR(AB174*25%,"N/A")</f>
        <v>N/A</v>
      </c>
      <c r="AE174" t="str" s="648" cm="1">
        <f t="array" ref="AE174">IF(B174&gt;0,SUM(AB174:AD174),"N/A")</f>
        <v>N/A</v>
      </c>
      <c r="AF174" t="str" s="640" cm="1">
        <f t="array" ref="AF174">_xlfn.IFERROR(AE174/B174,"N/A")</f>
        <v>N/A</v>
      </c>
      <c r="AG174" s="424"/>
      <c r="AH174" t="str" s="648" cm="1">
        <f t="array" ref="AH174">IF(B174/VLOOKUP(C156,'Boats Data Sheet 2026'!$C$3:$H$57,6,0)&gt;VLOOKUP(C156,'Allocation OH and Target 2026'!$C$5:$J$23,8,0),IF(SUM(AI158:AI173)=0,AF174,"N/A"),"N/A")</f>
        <v>N/A</v>
      </c>
      <c r="AI174" s="424" cm="1">
        <f t="array" ref="AI174">IF(AH174="N/A",0,1)</f>
        <v>0</v>
      </c>
      <c r="AJ174" t="str" s="640" cm="1">
        <f t="array" ref="AJ174">IF(B174/VLOOKUP(C156,'Boats Data Sheet 2026'!$C$3:$H$57,6,0)&gt;VLOOKUP(C156,'Allocation OH and Target 2026'!$C$5:$J$23,8,0),IF(SUM(AI158:AI173)=0,V174/B174,"N/A"),"N/A")</f>
        <v>N/A</v>
      </c>
      <c r="AK174" s="424" cm="1">
        <f t="array" ref="AK174">IF(AJ174="N/A",0,1)</f>
        <v>0</v>
      </c>
      <c r="AL174" t="str" s="628" cm="1">
        <f t="array" ref="AL174">IF(SUM(1250000+700000)*B174&lt;SUM(AB174:AC174),"NO GO","GO")</f>
        <v>GO</v>
      </c>
      <c r="AM174" s="424"/>
      <c r="AN174" s="639"/>
      <c r="AO174" s="639"/>
      <c r="AP174" s="639"/>
      <c r="AQ174" s="645"/>
      <c r="AR174" s="601" cm="1">
        <f t="array" ref="AR174">B174</f>
        <v>0</v>
      </c>
    </row>
    <row r="175" ht="9" customHeight="1" hidden="1">
      <c r="A175" s="12"/>
      <c r="B175" s="646">
        <v>0</v>
      </c>
      <c r="C175" t="str" s="640" cm="1">
        <f t="array" ref="C175">IF(B175&gt;0,IF(VLOOKUP(C156,'Boats Data Sheet 2026'!$C$3:$J$57,8,0)="N/A",0,VLOOKUP(C156,'Boats Data Sheet 2026'!$C$3:$J$57,8,0)),"N/A")</f>
        <v>N/A</v>
      </c>
      <c r="D175" t="str" s="640" cm="1">
        <f t="array" ref="D175">IF(B175&gt;7,2,IF(B175=0,"N/A",1))</f>
        <v>N/A</v>
      </c>
      <c r="E175" t="str" s="640" cm="1">
        <f t="array" ref="E175">_xlfn.IFERROR(SUM('Direct Costs 2026'!$C$4:$C$6)*D175,"N/A")</f>
        <v>N/A</v>
      </c>
      <c r="F175" s="639" cm="1">
        <f t="array" ref="F175">_xlfn.IFERROR('Direct Costs 2026'!$C$43*B175,"N/A")</f>
        <v>0</v>
      </c>
      <c r="G175" t="str" s="640" cm="1">
        <f t="array" ref="G175">IF(B175&gt;0,'Direct Costs 2026'!$C$25,"N/A")</f>
        <v>N/A</v>
      </c>
      <c r="H175" t="str" s="640" cm="1">
        <f t="array" ref="H175">IF(B175&gt;0,('Direct Costs 2026'!$C$19+'Direct Costs 2026'!$C$18*B175),"N/A")</f>
        <v>N/A</v>
      </c>
      <c r="I175" t="str" s="640" cm="1">
        <f t="array" ref="I175">IF(B175&gt;0,SUM('Direct Costs 2026'!$C$20:$C$21),"N/A")</f>
        <v>N/A</v>
      </c>
      <c r="J175" t="str" s="640" cm="1">
        <f t="array" ref="J175">IF(B175&gt;0,'Direct Costs 2026'!$C$14,"N/A")</f>
        <v>N/A</v>
      </c>
      <c r="K175" t="str" s="640" cm="1">
        <f t="array" ref="K175">IF(B175&gt;0,'Direct Costs 2026'!$C$26,"N/A")</f>
        <v>N/A</v>
      </c>
      <c r="L175" t="str" s="640" cm="1">
        <f t="array" ref="L175">IF(B175&gt;0,SUM('Direct Costs 2026'!$C$23:$C$24),"N/A")</f>
        <v>N/A</v>
      </c>
      <c r="M175" t="str" s="640" cm="1">
        <f t="array" ref="M175">IF(B175&gt;0,'Direct Costs 2026'!$C$45*B175,"N/A")</f>
        <v>N/A</v>
      </c>
      <c r="N175" t="str" s="640" cm="1">
        <f t="array" ref="N175">IF($B175&gt;0,'Direct Costs 2026'!$C$29,"N/A")</f>
        <v>N/A</v>
      </c>
      <c r="O175" t="str" s="640" cm="1">
        <f t="array" ref="O175">IF($B175&gt;0,'Direct Costs 2026'!$C$31,"N/A")</f>
        <v>N/A</v>
      </c>
      <c r="P175" t="str" s="640" cm="1">
        <f t="array" ref="P175">IF(B175&gt;0,'Direct Costs 2026'!$C$59*B175,"N/A")</f>
        <v>N/A</v>
      </c>
      <c r="Q175" t="str" s="640" cm="1">
        <f t="array" ref="Q175">IF(B175&gt;0,_xlfn.IFERROR(VLOOKUP(C156,'Boats Data Sheet 2026'!$C$3:$I$57,7,0)*'Direct Costs 2026'!$C$36,"N/A"),"N/A")</f>
        <v>N/A</v>
      </c>
      <c r="R175" s="639"/>
      <c r="S175" t="str" s="640" cm="1">
        <f t="array" ref="S175">IF(B175&gt;0,IF(OR(VLOOKUP(C156,'Boats Data Sheet 2026'!$C$3:$F$57,4,0)="Own",VLOOKUP(C156,'Boats Data Sheet 2026'!$C$3:$F$57,4,0)="Management"),('Direct Costs 2026'!$C$37+'Direct Costs 2026'!$C$39),"N/A"),"N/A")</f>
        <v>N/A</v>
      </c>
      <c r="T175" t="str" s="640" cm="1">
        <f t="array" ref="T175">_xlfn.IFERROR(IF(B175&gt;5,IF(B175&gt;11,IF(B175&gt;15,4,3),2),IF(B175=0,"N/A",1))*SUM('Direct Costs 2026'!$C$67:$C$68),"N/A")</f>
        <v>N/A</v>
      </c>
      <c r="U175" t="str" s="640" cm="1">
        <f t="array" ref="U175">_xlfn.IFERROR('Direct Costs 2026'!$C$27*C175,"N/A")</f>
        <v>N/A</v>
      </c>
      <c r="V175" t="str" s="640" cm="1">
        <f t="array" ref="V175">_xlfn.IFERROR(C175+SUM(E175:U175),"N/A")</f>
        <v>N/A</v>
      </c>
      <c r="W175" s="424"/>
      <c r="X175" t="str" s="640" cm="1">
        <f t="array" ref="X175">IF(B175&gt;0,'Allocation OH and Target 2026'!$E$31,"N/A")</f>
        <v>N/A</v>
      </c>
      <c r="Y175" t="str" s="640" cm="1">
        <f t="array" ref="Y175">IF(B175&gt;0,VLOOKUP(C156,'Allocation OH and Target 2026'!$C$5:$T$23,16,0),"N/A")</f>
        <v>N/A</v>
      </c>
      <c r="Z175" t="str" s="640" cm="1">
        <f t="array" ref="Z175">_xlfn.IFERROR((X175+Y175),"N/A")</f>
        <v>N/A</v>
      </c>
      <c r="AA175" s="424"/>
      <c r="AB175" t="str" s="640" cm="1">
        <f t="array" ref="AB175">_xlfn.IFERROR(Z175+V175,"N/A")</f>
        <v>N/A</v>
      </c>
      <c r="AC175" t="str" s="640" cm="1">
        <f t="array" ref="AC175">_xlfn.IFERROR(AB175*0.5%,"N/A")</f>
        <v>N/A</v>
      </c>
      <c r="AD175" t="str" s="640" cm="1">
        <f t="array" ref="AD175">_xlfn.IFERROR(AB175*25%,"N/A")</f>
        <v>N/A</v>
      </c>
      <c r="AE175" t="str" s="648" cm="1">
        <f t="array" ref="AE175">IF(B175&gt;0,SUM(AB175:AD175),"N/A")</f>
        <v>N/A</v>
      </c>
      <c r="AF175" t="str" s="640" cm="1">
        <f t="array" ref="AF175">_xlfn.IFERROR(AE175/B175,"N/A")</f>
        <v>N/A</v>
      </c>
      <c r="AG175" s="424"/>
      <c r="AH175" t="str" s="648" cm="1">
        <f t="array" ref="AH175">IF(B175/VLOOKUP(C156,'Boats Data Sheet 2026'!$C$3:$H$57,6,0)&gt;VLOOKUP(C156,'Allocation OH and Target 2026'!$C$5:$J$23,8,0),IF(SUM(AI158:AI174)=0,AF175,"N/A"),"N/A")</f>
        <v>N/A</v>
      </c>
      <c r="AI175" s="424" cm="1">
        <f t="array" ref="AI175">IF(AH175="N/A",0,1)</f>
        <v>0</v>
      </c>
      <c r="AJ175" t="str" s="640" cm="1">
        <f t="array" ref="AJ175">IF(B175/VLOOKUP(C156,'Boats Data Sheet 2026'!$C$3:$H$57,6,0)&gt;VLOOKUP(C156,'Allocation OH and Target 2026'!$C$5:$J$23,8,0),IF(SUM(AI158:AI174)=0,V175/B175,"N/A"),"N/A")</f>
        <v>N/A</v>
      </c>
      <c r="AK175" s="424" cm="1">
        <f t="array" ref="AK175">IF(AJ175="N/A",0,1)</f>
        <v>0</v>
      </c>
      <c r="AL175" t="str" s="628" cm="1">
        <f t="array" ref="AL175">IF(SUM(1250000+700000)*B175&lt;SUM(AB175:AC175),"NO GO","GO")</f>
        <v>GO</v>
      </c>
      <c r="AM175" s="424"/>
      <c r="AN175" s="639"/>
      <c r="AO175" s="639"/>
      <c r="AP175" s="639"/>
      <c r="AQ175" s="645"/>
      <c r="AR175" s="601" cm="1">
        <f t="array" ref="AR175">B175</f>
        <v>0</v>
      </c>
    </row>
    <row r="176" ht="15.5" customHeight="1">
      <c r="A176" s="570"/>
      <c r="B176" s="650">
        <v>0</v>
      </c>
      <c r="C176" t="str" s="651" cm="1">
        <f t="array" ref="C176">IF(B176&gt;0,IF(VLOOKUP(C156,'Boats Data Sheet 2026'!$C$3:$J$57,8,0)="N/A",0,VLOOKUP(C156,'Boats Data Sheet 2026'!$C$3:$J$57,8,0)),"N/A")</f>
        <v>N/A</v>
      </c>
      <c r="D176" t="str" s="651" cm="1">
        <f t="array" ref="D176">IF(B176&gt;7,2,IF(B176=0,"N/A",1))</f>
        <v>N/A</v>
      </c>
      <c r="E176" t="str" s="651" cm="1">
        <f t="array" ref="E176">_xlfn.IFERROR(SUM('Direct Costs 2026'!$C$4:$C$6)*D176,"N/A")</f>
        <v>N/A</v>
      </c>
      <c r="F176" s="652" cm="1">
        <f t="array" ref="F176">_xlfn.IFERROR('Direct Costs 2026'!$C$43*B176,"N/A")</f>
        <v>0</v>
      </c>
      <c r="G176" t="str" s="651" cm="1">
        <f t="array" ref="G176">IF(B176&gt;0,'Direct Costs 2026'!$C$25,"N/A")</f>
        <v>N/A</v>
      </c>
      <c r="H176" t="str" s="651" cm="1">
        <f t="array" ref="H176">IF(B176&gt;0,('Direct Costs 2026'!$C$19+'Direct Costs 2026'!$C$18*B176),"N/A")</f>
        <v>N/A</v>
      </c>
      <c r="I176" t="str" s="651" cm="1">
        <f t="array" ref="I176">IF(B176&gt;0,SUM('Direct Costs 2026'!$C$20:$C$21),"N/A")</f>
        <v>N/A</v>
      </c>
      <c r="J176" t="str" s="651" cm="1">
        <f t="array" ref="J176">IF(B176&gt;0,'Direct Costs 2026'!$C$14,"N/A")</f>
        <v>N/A</v>
      </c>
      <c r="K176" t="str" s="651" cm="1">
        <f t="array" ref="K176">IF(B176&gt;0,'Direct Costs 2026'!$C$26,"N/A")</f>
        <v>N/A</v>
      </c>
      <c r="L176" t="str" s="651" cm="1">
        <f t="array" ref="L176">IF(B176&gt;0,SUM('Direct Costs 2026'!$C$23:$C$24),"N/A")</f>
        <v>N/A</v>
      </c>
      <c r="M176" t="str" s="651" cm="1">
        <f t="array" ref="M176">IF(B176&gt;0,'Direct Costs 2026'!$C$45*B176,"N/A")</f>
        <v>N/A</v>
      </c>
      <c r="N176" t="str" s="651" cm="1">
        <f t="array" ref="N176">IF($B176&gt;0,'Direct Costs 2026'!$C$29,"N/A")</f>
        <v>N/A</v>
      </c>
      <c r="O176" t="str" s="651" cm="1">
        <f t="array" ref="O176">IF($B176&gt;0,'Direct Costs 2026'!$C$31,"N/A")</f>
        <v>N/A</v>
      </c>
      <c r="P176" t="str" s="651" cm="1">
        <f t="array" ref="P176">IF(B176&gt;0,'Direct Costs 2026'!$C$59*B176,"N/A")</f>
        <v>N/A</v>
      </c>
      <c r="Q176" t="str" s="651" cm="1">
        <f t="array" ref="Q176">IF(B176&gt;0,_xlfn.IFERROR(VLOOKUP(C156,'Boats Data Sheet 2026'!$C$3:$I$57,7,0)*'Direct Costs 2026'!$C$36,"N/A"),"N/A")</f>
        <v>N/A</v>
      </c>
      <c r="R176" s="652"/>
      <c r="S176" t="str" s="651" cm="1">
        <f t="array" ref="S176">IF(B176&gt;0,IF(OR(VLOOKUP(C156,'Boats Data Sheet 2026'!$C$3:$F$57,4,0)="Own",VLOOKUP(C156,'Boats Data Sheet 2026'!$C$3:$F$57,4,0)="Management"),('Direct Costs 2026'!$C$37+'Direct Costs 2026'!$C$39),"N/A"),"N/A")</f>
        <v>N/A</v>
      </c>
      <c r="T176" t="str" s="651" cm="1">
        <f t="array" ref="T176">_xlfn.IFERROR(IF(B176&gt;5,IF(B176&gt;11,IF(B176&gt;15,4,3),2),IF(B176=0,"N/A",1))*SUM('Direct Costs 2026'!$C$67:$C$68),"N/A")</f>
        <v>N/A</v>
      </c>
      <c r="U176" t="str" s="651" cm="1">
        <f t="array" ref="U176">_xlfn.IFERROR('Direct Costs 2026'!$C$27*C176,"N/A")</f>
        <v>N/A</v>
      </c>
      <c r="V176" t="str" s="651" cm="1">
        <f t="array" ref="V176">_xlfn.IFERROR(C176+SUM(E176:U176),"N/A")</f>
        <v>N/A</v>
      </c>
      <c r="W176" s="435"/>
      <c r="X176" t="str" s="651" cm="1">
        <f t="array" ref="X176">IF(B176&gt;0,'Allocation OH and Target 2026'!$E$31,"N/A")</f>
        <v>N/A</v>
      </c>
      <c r="Y176" t="str" s="651" cm="1">
        <f t="array" ref="Y176">IF(B176&gt;0,VLOOKUP(C156,'Allocation OH and Target 2026'!$C$5:$T$23,16,0),"N/A")</f>
        <v>N/A</v>
      </c>
      <c r="Z176" t="str" s="651" cm="1">
        <f t="array" ref="Z176">_xlfn.IFERROR((X176+Y176),"N/A")</f>
        <v>N/A</v>
      </c>
      <c r="AA176" s="435"/>
      <c r="AB176" t="str" s="651" cm="1">
        <f t="array" ref="AB176">_xlfn.IFERROR(Z176+V176,"N/A")</f>
        <v>N/A</v>
      </c>
      <c r="AC176" t="str" s="651" cm="1">
        <f t="array" ref="AC176">_xlfn.IFERROR(AB176*0.5%,"N/A")</f>
        <v>N/A</v>
      </c>
      <c r="AD176" t="str" s="651" cm="1">
        <f t="array" ref="AD176">_xlfn.IFERROR(AB176*25%,"N/A")</f>
        <v>N/A</v>
      </c>
      <c r="AE176" t="str" s="653" cm="1">
        <f t="array" ref="AE176">IF(B176&gt;0,SUM(AB176:AD176),"N/A")</f>
        <v>N/A</v>
      </c>
      <c r="AF176" t="str" s="651" cm="1">
        <f t="array" ref="AF176">_xlfn.IFERROR(AE176/B176,"N/A")</f>
        <v>N/A</v>
      </c>
      <c r="AG176" s="435"/>
      <c r="AH176" t="str" s="653" cm="1">
        <f t="array" ref="AH176">IF(B176/VLOOKUP(C156,'Boats Data Sheet 2026'!$C$3:$H$57,6,0)&gt;VLOOKUP(C156,'Allocation OH and Target 2026'!$C$5:$J$23,8,0),IF(SUM(AI158:AI175)=0,AF176,"N/A"),"N/A")</f>
        <v>N/A</v>
      </c>
      <c r="AI176" s="435" cm="1">
        <f t="array" ref="AI176">IF(AH176="N/A",0,1)</f>
        <v>0</v>
      </c>
      <c r="AJ176" t="str" s="651" cm="1">
        <f t="array" ref="AJ176">IF(B176/VLOOKUP(C156,'Boats Data Sheet 2026'!$C$3:$H$57,6,0)&gt;VLOOKUP(C156,'Allocation OH and Target 2026'!$C$5:$J$23,8,0),IF(SUM(AI158:AI175)=0,V176/B176,"N/A"),"N/A")</f>
        <v>N/A</v>
      </c>
      <c r="AK176" s="435" cm="1">
        <f t="array" ref="AK176">IF(AJ176="N/A",0,1)</f>
        <v>0</v>
      </c>
      <c r="AL176" t="str" s="654" cm="1">
        <f t="array" ref="AL176">IF(SUM(1250000+700000)*B176&lt;SUM(AB176:AC176),"NO GO","GO")</f>
        <v>GO</v>
      </c>
      <c r="AM176" s="435"/>
      <c r="AN176" s="652"/>
      <c r="AO176" s="652"/>
      <c r="AP176" s="652"/>
      <c r="AQ176" s="655"/>
      <c r="AR176" s="617" cm="1">
        <f t="array" ref="AR176">B176</f>
        <v>0</v>
      </c>
    </row>
  </sheetData>
  <mergeCells count="24">
    <mergeCell ref="C135:V135"/>
    <mergeCell ref="X135:Z135"/>
    <mergeCell ref="AB135:AF135"/>
    <mergeCell ref="C157:V157"/>
    <mergeCell ref="X157:Z157"/>
    <mergeCell ref="AB157:AF157"/>
    <mergeCell ref="C91:V91"/>
    <mergeCell ref="X91:Z91"/>
    <mergeCell ref="AB91:AF91"/>
    <mergeCell ref="C113:V113"/>
    <mergeCell ref="X113:Z113"/>
    <mergeCell ref="AB113:AF113"/>
    <mergeCell ref="C47:V47"/>
    <mergeCell ref="X47:Z47"/>
    <mergeCell ref="AB47:AF47"/>
    <mergeCell ref="C69:V69"/>
    <mergeCell ref="X69:Z69"/>
    <mergeCell ref="AB69:AF69"/>
    <mergeCell ref="C3:V3"/>
    <mergeCell ref="X3:Z3"/>
    <mergeCell ref="AB3:AF3"/>
    <mergeCell ref="C25:V25"/>
    <mergeCell ref="X25:Z25"/>
    <mergeCell ref="AB25:AF25"/>
  </mergeCells>
  <conditionalFormatting sqref="AL5:AL22 AL27:AL44 AL49:AL66 AL71:AL88 AL93:AL110 AL115:AL132 AL137:AL154 AL159:AL176">
    <cfRule type="cellIs" dxfId="5" priority="1" operator="equal" stopIfTrue="1">
      <formula>"NO GO"</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BS44"/>
  <sheetViews>
    <sheetView workbookViewId="0" showGridLines="0" defaultGridColor="1"/>
  </sheetViews>
  <sheetFormatPr defaultColWidth="8.83333" defaultRowHeight="14.5" customHeight="1" outlineLevelRow="0" outlineLevelCol="0"/>
  <cols>
    <col min="1" max="1" width="3.5" style="656" customWidth="1"/>
    <col min="2" max="2" width="9.5" style="656" customWidth="1"/>
    <col min="3" max="3" width="14.5" style="656" customWidth="1"/>
    <col min="4" max="4" width="7.85156" style="656" customWidth="1"/>
    <col min="5" max="5" width="14" style="656" customWidth="1"/>
    <col min="6" max="6" width="12.1719" style="656" customWidth="1"/>
    <col min="7" max="7" width="11.8516" style="656" customWidth="1"/>
    <col min="8" max="8" width="13.3516" style="656" customWidth="1"/>
    <col min="9" max="9" width="12" style="656" customWidth="1"/>
    <col min="10" max="10" width="11.6719" style="656" customWidth="1"/>
    <col min="11" max="12" width="13.5" style="656" customWidth="1"/>
    <col min="13" max="13" width="14.5" style="656" customWidth="1"/>
    <col min="14" max="14" width="11.6719" style="656" customWidth="1"/>
    <col min="15" max="15" width="14.5" style="656" customWidth="1"/>
    <col min="16" max="16" width="1.5" style="656" customWidth="1"/>
    <col min="17" max="17" width="14.5" style="656" customWidth="1"/>
    <col min="18" max="18" width="18.1719" style="656" customWidth="1"/>
    <col min="19" max="19" width="14.8516" style="656" customWidth="1"/>
    <col min="20" max="20" width="1.85156" style="656" customWidth="1"/>
    <col min="21" max="24" width="14.6719" style="656" customWidth="1"/>
    <col min="25" max="25" width="11.8516" style="656" customWidth="1"/>
    <col min="26" max="26" width="14.8516" style="656" customWidth="1"/>
    <col min="27" max="27" width="16.6719" style="656" customWidth="1"/>
    <col min="28" max="28" width="16.5" style="656" customWidth="1"/>
    <col min="29" max="30" width="19.1719" style="656" customWidth="1"/>
    <col min="31" max="31" width="1.85156" style="656" customWidth="1"/>
    <col min="32" max="32" width="9.35156" style="656" customWidth="1"/>
    <col min="33" max="35" width="16.3516" style="656" customWidth="1"/>
    <col min="36" max="36" width="14.6719" style="656" customWidth="1"/>
    <col min="37" max="37" width="11.8516" style="656" customWidth="1"/>
    <col min="38" max="38" width="14.8516" style="656" customWidth="1"/>
    <col min="39" max="39" width="16.6719" style="656" customWidth="1"/>
    <col min="40" max="40" width="17" style="656" customWidth="1"/>
    <col min="41" max="42" width="19.1719" style="656" customWidth="1"/>
    <col min="43" max="43" width="1.85156" style="656" customWidth="1"/>
    <col min="44" max="44" width="9.35156" style="656" customWidth="1"/>
    <col min="45" max="45" width="16.3516" style="656" customWidth="1"/>
    <col min="46" max="46" width="15.3516" style="656" customWidth="1"/>
    <col min="47" max="48" width="13.1719" style="656" customWidth="1"/>
    <col min="49" max="49" width="16.3516" style="656" customWidth="1"/>
    <col min="50" max="50" width="14.6719" style="656" customWidth="1"/>
    <col min="51" max="51" width="11.8516" style="656" customWidth="1"/>
    <col min="52" max="52" width="14.8516" style="656" customWidth="1"/>
    <col min="53" max="53" width="16.6719" style="656" customWidth="1"/>
    <col min="54" max="54" width="17" style="656" customWidth="1"/>
    <col min="55" max="56" width="19.1719" style="656" customWidth="1"/>
    <col min="57" max="57" width="2.17188" style="656" customWidth="1"/>
    <col min="58" max="58" width="14.6719" style="656" customWidth="1"/>
    <col min="59" max="59" width="11.8516" style="656" customWidth="1"/>
    <col min="60" max="60" width="14.8516" style="656" customWidth="1"/>
    <col min="61" max="61" width="16.6719" style="656" customWidth="1"/>
    <col min="62" max="62" width="19.1719" style="656" customWidth="1"/>
    <col min="63" max="63" width="1.85156" style="656" customWidth="1"/>
    <col min="64" max="64" width="22.1719" style="656" customWidth="1"/>
    <col min="65" max="65" width="20.1719" style="656" customWidth="1"/>
    <col min="66" max="66" width="17.1719" style="656" customWidth="1"/>
    <col min="67" max="67" width="16.8516" style="656" customWidth="1"/>
    <col min="68" max="68" width="24.8516" style="656" customWidth="1"/>
    <col min="69" max="69" width="17.5" style="656" customWidth="1"/>
    <col min="70" max="70" width="24.8516" style="656" customWidth="1"/>
    <col min="71" max="71" width="18.6719" style="656" customWidth="1"/>
    <col min="72" max="16384" width="8.85156" style="656" customWidth="1"/>
  </cols>
  <sheetData>
    <row r="1" ht="15" customHeight="1">
      <c r="A1" s="7"/>
      <c r="B1" s="8"/>
      <c r="C1" t="s" s="657">
        <v>185</v>
      </c>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246"/>
    </row>
    <row r="2" ht="15.5" customHeight="1">
      <c r="A2" s="395">
        <v>1</v>
      </c>
      <c r="B2" t="s" s="658">
        <v>613</v>
      </c>
      <c r="C2" t="s" s="659">
        <v>614</v>
      </c>
      <c r="D2" s="660"/>
      <c r="E2" s="660"/>
      <c r="F2" s="660"/>
      <c r="G2" s="660"/>
      <c r="H2" s="660"/>
      <c r="I2" s="660"/>
      <c r="J2" s="660"/>
      <c r="K2" s="660"/>
      <c r="L2" s="660"/>
      <c r="M2" s="660"/>
      <c r="N2" s="660"/>
      <c r="O2" s="660"/>
      <c r="P2" s="399"/>
      <c r="Q2" s="660"/>
      <c r="R2" s="660"/>
      <c r="S2" s="660"/>
      <c r="T2" s="399"/>
      <c r="U2" s="660"/>
      <c r="V2" s="660"/>
      <c r="W2" s="660"/>
      <c r="X2" s="660"/>
      <c r="Y2" s="660"/>
      <c r="Z2" s="660"/>
      <c r="AA2" s="660"/>
      <c r="AB2" s="660"/>
      <c r="AC2" s="660"/>
      <c r="AD2" s="660"/>
      <c r="AE2" s="399"/>
      <c r="AF2" s="660"/>
      <c r="AG2" s="660"/>
      <c r="AH2" s="660"/>
      <c r="AI2" s="660"/>
      <c r="AJ2" s="660"/>
      <c r="AK2" s="660"/>
      <c r="AL2" s="660"/>
      <c r="AM2" s="660"/>
      <c r="AN2" s="660"/>
      <c r="AO2" s="660"/>
      <c r="AP2" s="660"/>
      <c r="AQ2" s="399"/>
      <c r="AR2" s="660"/>
      <c r="AS2" s="660"/>
      <c r="AT2" s="660"/>
      <c r="AU2" s="660"/>
      <c r="AV2" s="660"/>
      <c r="AW2" s="660"/>
      <c r="AX2" s="660"/>
      <c r="AY2" s="660"/>
      <c r="AZ2" s="660"/>
      <c r="BA2" s="660"/>
      <c r="BB2" s="660"/>
      <c r="BC2" s="660"/>
      <c r="BD2" s="660"/>
      <c r="BE2" s="399"/>
      <c r="BF2" s="660"/>
      <c r="BG2" s="660"/>
      <c r="BH2" s="660"/>
      <c r="BI2" s="660"/>
      <c r="BJ2" s="660"/>
      <c r="BK2" s="399"/>
      <c r="BL2" t="s" s="659">
        <v>508</v>
      </c>
      <c r="BM2" s="661" cm="1">
        <f t="array" ref="BM2">AVERAGE(O6:O11)</f>
        <v>8414333.33333333</v>
      </c>
      <c r="BN2" t="s" s="662">
        <v>509</v>
      </c>
      <c r="BO2" s="661" cm="1">
        <f t="array" ref="BO2">AVERAGE(O12:O19)-BM2</f>
        <v>1510666.66666667</v>
      </c>
      <c r="BP2" t="s" s="662">
        <v>510</v>
      </c>
      <c r="BQ2" s="661" cm="1">
        <f t="array" ref="BQ2">AVERAGE(Z6:Z13)</f>
        <v>3744745.45783594</v>
      </c>
      <c r="BR2" t="s" s="659">
        <v>511</v>
      </c>
      <c r="BS2" s="663" cm="1">
        <f t="array" ref="BS2">AVERAGE(U6:U11)</f>
        <v>12257981.9354759</v>
      </c>
    </row>
    <row r="3" ht="16" customHeight="1">
      <c r="A3" s="12"/>
      <c r="B3" t="s" s="664">
        <v>7</v>
      </c>
      <c r="C3" t="s" s="665">
        <v>615</v>
      </c>
      <c r="D3" s="666"/>
      <c r="E3" s="666"/>
      <c r="F3" s="666"/>
      <c r="G3" s="666"/>
      <c r="H3" s="666"/>
      <c r="I3" s="666"/>
      <c r="J3" s="666"/>
      <c r="K3" s="666"/>
      <c r="L3" s="666"/>
      <c r="M3" s="666"/>
      <c r="N3" s="666"/>
      <c r="O3" s="667"/>
      <c r="P3" s="407"/>
      <c r="Q3" s="668"/>
      <c r="R3" s="666"/>
      <c r="S3" s="667"/>
      <c r="T3" s="407"/>
      <c r="U3" s="668"/>
      <c r="V3" s="666"/>
      <c r="W3" s="666"/>
      <c r="X3" s="666"/>
      <c r="Y3" s="666"/>
      <c r="Z3" s="666"/>
      <c r="AA3" s="666"/>
      <c r="AB3" s="666"/>
      <c r="AC3" s="666"/>
      <c r="AD3" s="666"/>
      <c r="AE3" s="669"/>
      <c r="AF3" s="670"/>
      <c r="AG3" s="670"/>
      <c r="AH3" s="670"/>
      <c r="AI3" s="670"/>
      <c r="AJ3" s="670"/>
      <c r="AK3" s="670"/>
      <c r="AL3" s="670"/>
      <c r="AM3" s="670"/>
      <c r="AN3" s="670"/>
      <c r="AO3" s="670"/>
      <c r="AP3" s="670"/>
      <c r="AQ3" s="407"/>
      <c r="AR3" s="670"/>
      <c r="AS3" s="670"/>
      <c r="AT3" s="670"/>
      <c r="AU3" s="670"/>
      <c r="AV3" s="670"/>
      <c r="AW3" s="670"/>
      <c r="AX3" s="670"/>
      <c r="AY3" s="670"/>
      <c r="AZ3" s="670"/>
      <c r="BA3" s="670"/>
      <c r="BB3" s="670"/>
      <c r="BC3" s="670"/>
      <c r="BD3" s="670"/>
      <c r="BE3" s="407"/>
      <c r="BF3" s="668"/>
      <c r="BG3" s="666"/>
      <c r="BH3" s="666"/>
      <c r="BI3" s="666"/>
      <c r="BJ3" s="666"/>
      <c r="BK3" s="669"/>
      <c r="BL3" s="671"/>
      <c r="BM3" s="672"/>
      <c r="BN3" s="673"/>
      <c r="BO3" s="672"/>
      <c r="BP3" s="673"/>
      <c r="BQ3" s="672"/>
      <c r="BR3" s="671"/>
      <c r="BS3" s="674"/>
    </row>
    <row r="4" ht="15" customHeight="1">
      <c r="A4" s="12"/>
      <c r="B4" s="675"/>
      <c r="C4" t="s" s="676">
        <v>513</v>
      </c>
      <c r="D4" s="677"/>
      <c r="E4" s="677"/>
      <c r="F4" s="677"/>
      <c r="G4" s="677"/>
      <c r="H4" s="677"/>
      <c r="I4" s="677"/>
      <c r="J4" s="677"/>
      <c r="K4" s="677"/>
      <c r="L4" s="677"/>
      <c r="M4" s="677"/>
      <c r="N4" s="677"/>
      <c r="O4" s="678"/>
      <c r="P4" s="407"/>
      <c r="Q4" t="s" s="676">
        <v>514</v>
      </c>
      <c r="R4" s="677"/>
      <c r="S4" s="678"/>
      <c r="T4" s="407"/>
      <c r="U4" t="s" s="676">
        <v>616</v>
      </c>
      <c r="V4" s="677"/>
      <c r="W4" s="677"/>
      <c r="X4" s="677"/>
      <c r="Y4" s="677"/>
      <c r="Z4" s="677"/>
      <c r="AA4" s="677"/>
      <c r="AB4" s="677"/>
      <c r="AC4" s="677"/>
      <c r="AD4" s="677"/>
      <c r="AE4" s="408"/>
      <c r="AF4" t="s" s="676">
        <v>617</v>
      </c>
      <c r="AG4" s="677"/>
      <c r="AH4" s="677"/>
      <c r="AI4" s="677"/>
      <c r="AJ4" s="677"/>
      <c r="AK4" s="677"/>
      <c r="AL4" s="677"/>
      <c r="AM4" s="677"/>
      <c r="AN4" s="677"/>
      <c r="AO4" s="677"/>
      <c r="AP4" s="677"/>
      <c r="AQ4" s="408"/>
      <c r="AR4" t="s" s="676">
        <v>618</v>
      </c>
      <c r="AS4" s="677"/>
      <c r="AT4" s="677"/>
      <c r="AU4" s="677"/>
      <c r="AV4" s="677"/>
      <c r="AW4" s="677"/>
      <c r="AX4" s="677"/>
      <c r="AY4" s="677"/>
      <c r="AZ4" s="677"/>
      <c r="BA4" s="677"/>
      <c r="BB4" s="677"/>
      <c r="BC4" s="677"/>
      <c r="BD4" s="677"/>
      <c r="BE4" s="408"/>
      <c r="BF4" t="s" s="676">
        <v>619</v>
      </c>
      <c r="BG4" s="677"/>
      <c r="BH4" s="677"/>
      <c r="BI4" s="677"/>
      <c r="BJ4" s="677"/>
      <c r="BK4" s="408"/>
      <c r="BL4" s="671"/>
      <c r="BM4" s="671"/>
      <c r="BN4" s="671"/>
      <c r="BO4" s="671"/>
      <c r="BP4" s="671"/>
      <c r="BQ4" s="671"/>
      <c r="BR4" s="671"/>
      <c r="BS4" s="679"/>
    </row>
    <row r="5" ht="46.25" customHeight="1">
      <c r="A5" s="187"/>
      <c r="B5" t="s" s="680">
        <v>517</v>
      </c>
      <c r="C5" t="s" s="681">
        <v>518</v>
      </c>
      <c r="D5" t="s" s="681">
        <v>620</v>
      </c>
      <c r="E5" t="s" s="681">
        <v>621</v>
      </c>
      <c r="F5" t="s" s="682">
        <v>521</v>
      </c>
      <c r="G5" t="s" s="682">
        <v>522</v>
      </c>
      <c r="H5" t="s" s="682">
        <v>622</v>
      </c>
      <c r="I5" t="s" s="682">
        <v>526</v>
      </c>
      <c r="J5" t="s" s="682">
        <v>527</v>
      </c>
      <c r="K5" t="s" s="682">
        <v>528</v>
      </c>
      <c r="L5" t="s" s="682">
        <v>623</v>
      </c>
      <c r="M5" t="s" s="682">
        <v>530</v>
      </c>
      <c r="N5" t="s" s="682">
        <v>531</v>
      </c>
      <c r="O5" t="s" s="682">
        <v>532</v>
      </c>
      <c r="P5" s="418"/>
      <c r="Q5" t="s" s="682">
        <v>533</v>
      </c>
      <c r="R5" t="s" s="682">
        <v>534</v>
      </c>
      <c r="S5" t="s" s="682">
        <v>535</v>
      </c>
      <c r="T5" s="418"/>
      <c r="U5" t="s" s="682">
        <v>536</v>
      </c>
      <c r="V5" t="s" s="682">
        <v>624</v>
      </c>
      <c r="W5" t="s" s="682">
        <v>625</v>
      </c>
      <c r="X5" t="s" s="682">
        <v>626</v>
      </c>
      <c r="Y5" t="s" s="682">
        <v>537</v>
      </c>
      <c r="Z5" t="s" s="682">
        <v>538</v>
      </c>
      <c r="AA5" t="s" s="682">
        <v>539</v>
      </c>
      <c r="AB5" t="s" s="682">
        <v>627</v>
      </c>
      <c r="AC5" t="s" s="682">
        <v>628</v>
      </c>
      <c r="AD5" t="s" s="682">
        <v>629</v>
      </c>
      <c r="AE5" s="419"/>
      <c r="AF5" t="s" s="682">
        <v>620</v>
      </c>
      <c r="AG5" t="s" s="681">
        <v>621</v>
      </c>
      <c r="AH5" t="s" s="681">
        <v>626</v>
      </c>
      <c r="AI5" t="s" s="682">
        <v>625</v>
      </c>
      <c r="AJ5" t="s" s="682">
        <v>536</v>
      </c>
      <c r="AK5" t="s" s="682">
        <v>537</v>
      </c>
      <c r="AL5" t="s" s="682">
        <v>538</v>
      </c>
      <c r="AM5" t="s" s="682">
        <v>539</v>
      </c>
      <c r="AN5" t="s" s="682">
        <v>627</v>
      </c>
      <c r="AO5" t="s" s="682">
        <v>630</v>
      </c>
      <c r="AP5" t="s" s="682">
        <v>629</v>
      </c>
      <c r="AQ5" s="419"/>
      <c r="AR5" t="s" s="682">
        <v>620</v>
      </c>
      <c r="AS5" t="s" s="681">
        <v>624</v>
      </c>
      <c r="AT5" t="s" s="682">
        <v>631</v>
      </c>
      <c r="AU5" t="s" s="681">
        <v>632</v>
      </c>
      <c r="AV5" t="s" s="681">
        <v>626</v>
      </c>
      <c r="AW5" t="s" s="682">
        <v>625</v>
      </c>
      <c r="AX5" t="s" s="682">
        <v>536</v>
      </c>
      <c r="AY5" t="s" s="682">
        <v>537</v>
      </c>
      <c r="AZ5" t="s" s="682">
        <v>538</v>
      </c>
      <c r="BA5" t="s" s="682">
        <v>539</v>
      </c>
      <c r="BB5" t="s" s="682">
        <v>627</v>
      </c>
      <c r="BC5" t="s" s="682">
        <v>630</v>
      </c>
      <c r="BD5" t="s" s="682">
        <v>629</v>
      </c>
      <c r="BE5" s="419"/>
      <c r="BF5" t="s" s="682">
        <v>536</v>
      </c>
      <c r="BG5" t="s" s="682">
        <v>537</v>
      </c>
      <c r="BH5" t="s" s="682">
        <v>538</v>
      </c>
      <c r="BI5" t="s" s="682">
        <v>539</v>
      </c>
      <c r="BJ5" t="s" s="682">
        <v>627</v>
      </c>
      <c r="BK5" s="419"/>
      <c r="BL5" s="683"/>
      <c r="BM5" s="683"/>
      <c r="BN5" s="683"/>
      <c r="BO5" s="683"/>
      <c r="BP5" s="683"/>
      <c r="BQ5" s="683"/>
      <c r="BR5" s="683"/>
      <c r="BS5" s="684"/>
    </row>
    <row r="6" ht="15" customHeight="1">
      <c r="A6" s="12"/>
      <c r="B6" s="685">
        <v>1</v>
      </c>
      <c r="C6" s="686" cm="1">
        <f t="array" ref="C6">IF(B6&gt;0,IF(VLOOKUP(C1,'Boats Data Sheet 2026'!$C$3:$J$57,8,0)="N/A",0,VLOOKUP(C1,'Boats Data Sheet 2026'!$C$3:$J$57,8,0)),"N/A")</f>
        <v>5675000</v>
      </c>
      <c r="D6" s="687">
        <v>1</v>
      </c>
      <c r="E6" s="686" cm="1">
        <f t="array" ref="E6">_xlfn.IFERROR(SUM('Direct Costs 2026'!$C$7:$C$8,'Direct Costs 2026'!$C$46)*D6,"N/A")</f>
        <v>1210000</v>
      </c>
      <c r="F6" s="688" cm="1">
        <f t="array" ref="F6">_xlfn.IFERROR('Direct Costs 2026'!$C$43*B6,"N/A")</f>
        <v>6000</v>
      </c>
      <c r="G6" s="688" cm="1">
        <f t="array" ref="G6">IF(B6&gt;0,'Direct Costs 2026'!$C$25,"N/A")</f>
        <v>90000</v>
      </c>
      <c r="H6" s="688" cm="1">
        <f t="array" ref="H6">IF(B6&gt;0,('Direct Costs 2026'!$C$14+'Direct Costs 2026'!$C$22),"N/A")</f>
        <v>260000</v>
      </c>
      <c r="I6" s="688" cm="1">
        <f t="array" ref="I6">IF(B6&gt;0,'Direct Costs 2026'!$C$26,"N/A")</f>
        <v>20000</v>
      </c>
      <c r="J6" s="688" cm="1">
        <f t="array" ref="J6">IF(B6&gt;0,'Direct Costs 2026'!$C$23,"N/A")</f>
        <v>140000</v>
      </c>
      <c r="K6" s="688" cm="1">
        <f t="array" ref="K6">IF(B6&gt;0,'Direct Costs 2026'!$C$48*(B6),"N/A")</f>
        <v>170000</v>
      </c>
      <c r="L6" s="688">
        <v>0</v>
      </c>
      <c r="M6" t="str" s="689" cm="1">
        <f t="array" ref="M6">IF(B6&gt;0,IF(OR(VLOOKUP(C1,'Boats Data Sheet 2026'!$C$3:$F$57,4,0)="Own",VLOOKUP(C1,'Boats Data Sheet 2026'!$C$3:$F$57,4,0)="Management"),('Direct Costs 2026'!$C$37+'Direct Costs 2026'!$C$39),"N/A"),"N/A")</f>
        <v>N/A</v>
      </c>
      <c r="N6" s="688">
        <v>0</v>
      </c>
      <c r="O6" s="688" cm="1">
        <f t="array" ref="O6">_xlfn.IFERROR(C6+SUM(E6:N6),"N/A")</f>
        <v>7571000</v>
      </c>
      <c r="P6" s="424"/>
      <c r="Q6" s="688" cm="1">
        <f t="array" ref="Q6">IF(B6&gt;0,'Allocation OH and Target 2026'!$E$31,"N/A")</f>
        <v>3100447.15769812</v>
      </c>
      <c r="R6" s="688" cm="1">
        <f t="array" ref="R6">IF(B6&gt;0,'Direct Costs 2026'!$C$55*B6,"N/A")</f>
        <v>212343.26984127</v>
      </c>
      <c r="S6" s="688" cm="1">
        <f t="array" ref="S6">_xlfn.IFERROR((Q6+R6),"N/A")</f>
        <v>3312790.42753939</v>
      </c>
      <c r="T6" s="424"/>
      <c r="U6" s="688" cm="1">
        <f t="array" ref="U6">_xlfn.IFERROR(S6+O6,"N/A")</f>
        <v>10883790.4275394</v>
      </c>
      <c r="V6" s="688">
        <v>0</v>
      </c>
      <c r="W6" s="688" cm="1">
        <f t="array" ref="W6">IF(B6&gt;0,'Direct Costs 2026'!$C$9,"N/A")</f>
        <v>350000</v>
      </c>
      <c r="X6" s="688">
        <v>0</v>
      </c>
      <c r="Y6" s="688" cm="1">
        <f t="array" ref="Y6">_xlfn.IFERROR((U6+W6)*0.5%,"N/A")</f>
        <v>56168.952137697</v>
      </c>
      <c r="Z6" s="688" cm="1">
        <f t="array" ref="Z6">_xlfn.IFERROR((U6+W6+Y6+X6+V6)*25%,"N/A")</f>
        <v>2822489.84491927</v>
      </c>
      <c r="AA6" s="688" cm="1">
        <f t="array" ref="AA6">IF(B6&gt;0,SUM(U6:Z6),"N/A")</f>
        <v>14112449.2245964</v>
      </c>
      <c r="AB6" s="688" cm="1">
        <f t="array" ref="AB6">ROUND(AA6/B6,-4)</f>
        <v>14110000</v>
      </c>
      <c r="AC6" s="690" cm="1">
        <f t="array" ref="AC6">_xlfn.IFERROR(AB6-BJ6,"N/A")</f>
        <v>2235883.8170889</v>
      </c>
      <c r="AD6" s="690" cm="1">
        <f t="array" ref="AD6">_xlfn.IFERROR(ROUND(AC6*B6,-4),"N/A")</f>
        <v>2240000</v>
      </c>
      <c r="AE6" s="424"/>
      <c r="AF6" s="691">
        <v>1</v>
      </c>
      <c r="AG6" s="686" cm="1">
        <f t="array" ref="AG6">_xlfn.IFERROR(SUM('Direct Costs 2026'!$C$7:$C$8,'Direct Costs 2026'!$C$46)*AF6,"N/A")</f>
        <v>1210000</v>
      </c>
      <c r="AH6" s="686">
        <v>0</v>
      </c>
      <c r="AI6" s="688" cm="1">
        <f t="array" ref="AI6">IF(B6&gt;0,'Direct Costs 2026'!$C$9,"N/A")</f>
        <v>350000</v>
      </c>
      <c r="AJ6" s="688" cm="1">
        <f t="array" ref="AJ6">_xlfn.IFERROR((U6-E6+AG6+AI6+AH6),"N/A")</f>
        <v>11233790.4275394</v>
      </c>
      <c r="AK6" s="688" cm="1">
        <f t="array" ref="AK6">_xlfn.IFERROR((AI6+AJ6)*0.5%,"N/A")</f>
        <v>57918.952137697</v>
      </c>
      <c r="AL6" s="688" cm="1">
        <f t="array" ref="AL6">_xlfn.IFERROR((AI6+AJ6+AK6)*25%,"N/A")</f>
        <v>2910427.34491927</v>
      </c>
      <c r="AM6" s="688" cm="1">
        <f t="array" ref="AM6">IF(AF6&gt;0,SUM(AJ6:AL6),"N/A")</f>
        <v>14202136.7245964</v>
      </c>
      <c r="AN6" s="688" cm="1">
        <f t="array" ref="AN6">ROUND(AM6/B6,-4)</f>
        <v>14200000</v>
      </c>
      <c r="AO6" s="690" cm="1">
        <f t="array" ref="AO6">_xlfn.IFERROR(AN6-BJ6,"N/A")</f>
        <v>2325883.8170889</v>
      </c>
      <c r="AP6" s="690" cm="1">
        <f t="array" ref="AP6">_xlfn.IFERROR(ROUND(AO6*B6,-4),"N/A")</f>
        <v>2330000</v>
      </c>
      <c r="AQ6" s="424">
        <v>1</v>
      </c>
      <c r="AR6" s="691">
        <v>0</v>
      </c>
      <c r="AS6" s="686" cm="1">
        <f t="array" ref="AS6">_xlfn.IFERROR(SUM('Direct Costs 2026'!$C$7:$C$8,'Direct Costs 2026'!$C$46)*AR6,"N/A")</f>
        <v>0</v>
      </c>
      <c r="AT6" s="688" cm="1">
        <f t="array" ref="AT6">IF($AQ6&gt;0,'Direct Costs 2026'!$C$53*$AQ6,"N/A")</f>
        <v>2800000</v>
      </c>
      <c r="AU6" s="686" cm="1">
        <f t="array" ref="AU6">IF($AQ6&gt;0,'Direct Costs 2026'!$C$54*$AQ6,"N/A")</f>
        <v>400000</v>
      </c>
      <c r="AV6" s="686">
        <v>0</v>
      </c>
      <c r="AW6" s="688" cm="1">
        <f t="array" ref="AW6">IF(B6&gt;0,'Direct Costs 2026'!$C$9,"N/A")</f>
        <v>350000</v>
      </c>
      <c r="AX6" s="688" cm="1">
        <f t="array" ref="AX6">_xlfn.IFERROR((U6-E6+AS6+AW6+AT6+AU6),"N/A")</f>
        <v>13223790.4275394</v>
      </c>
      <c r="AY6" s="688" cm="1">
        <f t="array" ref="AY6">_xlfn.IFERROR((AW6+AX6)*0.5%,"N/A")</f>
        <v>67868.952137696993</v>
      </c>
      <c r="AZ6" s="688" cm="1">
        <f t="array" ref="AZ6">_xlfn.IFERROR((AX6+AY6)*25%,"N/A")</f>
        <v>3322914.84491927</v>
      </c>
      <c r="BA6" s="688" cm="1">
        <f t="array" ref="BA6">IF(AQ6&gt;0,SUM(AX6:AZ6),"N/A")</f>
        <v>16614574.2245964</v>
      </c>
      <c r="BB6" s="688" cm="1">
        <f t="array" ref="BB6">_xlfn.IFERROR(BA6/AQ6,"N/A")</f>
        <v>16614574.2245964</v>
      </c>
      <c r="BC6" s="690" cm="1">
        <f t="array" ref="BC6">_xlfn.IFERROR(BB6-BJ6,"N/A")</f>
        <v>4740458.0416853</v>
      </c>
      <c r="BD6" s="690" cm="1">
        <f t="array" ref="BD6">_xlfn.IFERROR(ROUND(BC6*AQ6,-4),"N/A")</f>
        <v>4740000</v>
      </c>
      <c r="BE6" s="424"/>
      <c r="BF6" s="688" cm="1">
        <f t="array" ref="BF6">_xlfn.IFERROR(O6-E6+Q6,"N/A")</f>
        <v>9461447.157698121</v>
      </c>
      <c r="BG6" s="688" cm="1">
        <f t="array" ref="BG6">_xlfn.IFERROR(BF6*0.5%,"N/A")</f>
        <v>47307.2357884906</v>
      </c>
      <c r="BH6" s="688" cm="1">
        <f t="array" ref="BH6">_xlfn.IFERROR(BF6*25%,"N/A")</f>
        <v>2365361.78942453</v>
      </c>
      <c r="BI6" s="690" cm="1">
        <f t="array" ref="BI6">IF(B6&gt;0,SUM(BF6:BH6),"N/A")</f>
        <v>11874116.1829111</v>
      </c>
      <c r="BJ6" s="690" cm="1">
        <f t="array" ref="BJ6">BI6/B6</f>
        <v>11874116.1829111</v>
      </c>
      <c r="BK6" s="424"/>
      <c r="BL6" s="688"/>
      <c r="BM6" s="688"/>
      <c r="BN6" s="688"/>
      <c r="BO6" s="688"/>
      <c r="BP6" s="688"/>
      <c r="BQ6" s="688"/>
      <c r="BR6" s="688"/>
      <c r="BS6" s="692"/>
    </row>
    <row r="7" ht="15" customHeight="1">
      <c r="A7" s="12"/>
      <c r="B7" s="693">
        <v>2</v>
      </c>
      <c r="C7" s="688" cm="1">
        <f t="array" ref="C7">IF(B7&gt;0,IF(VLOOKUP(C1,'Boats Data Sheet 2026'!$C$3:$J$57,8,0)="N/A",0,VLOOKUP(C1,'Boats Data Sheet 2026'!$C$3:$J$57,8,0)),"N/A")</f>
        <v>5675000</v>
      </c>
      <c r="D7" s="694">
        <v>1</v>
      </c>
      <c r="E7" s="688" cm="1">
        <f t="array" ref="E7">_xlfn.IFERROR(SUM('Direct Costs 2026'!$C$7:$C$8,'Direct Costs 2026'!$C$46)*D7,"N/A")</f>
        <v>1210000</v>
      </c>
      <c r="F7" s="688" cm="1">
        <f t="array" ref="F7">_xlfn.IFERROR('Direct Costs 2026'!$C$43*B7,"N/A")</f>
        <v>12000</v>
      </c>
      <c r="G7" s="688" cm="1">
        <f t="array" ref="G7">IF(B7&gt;0,'Direct Costs 2026'!$C$25,"N/A")</f>
        <v>90000</v>
      </c>
      <c r="H7" s="688" cm="1">
        <f t="array" ref="H7">IF(B7&gt;0,('Direct Costs 2026'!$C$14+'Direct Costs 2026'!$C$22),"N/A")</f>
        <v>260000</v>
      </c>
      <c r="I7" s="688" cm="1">
        <f t="array" ref="I7">IF(B7&gt;0,'Direct Costs 2026'!$C$26,"N/A")</f>
        <v>20000</v>
      </c>
      <c r="J7" s="688" cm="1">
        <f t="array" ref="J7">IF(B7&gt;0,'Direct Costs 2026'!$C$23,"N/A")</f>
        <v>140000</v>
      </c>
      <c r="K7" s="688" cm="1">
        <f t="array" ref="K7">IF(B7&gt;0,'Direct Costs 2026'!$C$48*(B7),"N/A")</f>
        <v>340000</v>
      </c>
      <c r="L7" s="688">
        <v>0</v>
      </c>
      <c r="M7" t="str" s="689" cm="1">
        <f t="array" ref="M7">IF(B7&gt;0,IF(OR(VLOOKUP(C1,'Boats Data Sheet 2026'!$C$3:$F$57,4,0)="Own",VLOOKUP(C1,'Boats Data Sheet 2026'!$C$3:$F$57,4,0)="Management"),('Direct Costs 2026'!$C$37+'Direct Costs 2026'!$C$39),"N/A"),"N/A")</f>
        <v>N/A</v>
      </c>
      <c r="N7" s="688">
        <v>0</v>
      </c>
      <c r="O7" s="688" cm="1">
        <f t="array" ref="O7">_xlfn.IFERROR(C7+SUM(E7:N7),"N/A")</f>
        <v>7747000</v>
      </c>
      <c r="P7" s="424"/>
      <c r="Q7" s="688" cm="1">
        <f t="array" ref="Q7">IF(B7&gt;0,'Allocation OH and Target 2026'!$E$31,"N/A")</f>
        <v>3100447.15769812</v>
      </c>
      <c r="R7" s="688" cm="1">
        <f t="array" ref="R7">IF(B7&gt;0,'Direct Costs 2026'!$C$55*B7,"N/A")</f>
        <v>424686.53968254</v>
      </c>
      <c r="S7" s="688" cm="1">
        <f t="array" ref="S7">_xlfn.IFERROR((Q7+R7),"N/A")</f>
        <v>3525133.69738066</v>
      </c>
      <c r="T7" s="424"/>
      <c r="U7" s="688" cm="1">
        <f t="array" ref="U7">_xlfn.IFERROR(S7+O7,"N/A")</f>
        <v>11272133.6973807</v>
      </c>
      <c r="V7" s="688">
        <v>0</v>
      </c>
      <c r="W7" s="688" cm="1">
        <f t="array" ref="W7">IF(B7&gt;0,'Direct Costs 2026'!$C$9,"N/A")</f>
        <v>350000</v>
      </c>
      <c r="X7" s="688">
        <v>0</v>
      </c>
      <c r="Y7" s="688" cm="1">
        <f t="array" ref="Y7">_xlfn.IFERROR((U7+W7)*0.5%,"N/A")</f>
        <v>58110.6684869035</v>
      </c>
      <c r="Z7" s="688" cm="1">
        <f t="array" ref="Z7">_xlfn.IFERROR((U7+W7+Y7+X7+V7)*25%,"N/A")</f>
        <v>2920061.0914669</v>
      </c>
      <c r="AA7" s="688" cm="1">
        <f t="array" ref="AA7">IF(B7&gt;0,SUM(U7:Z7),"N/A")</f>
        <v>14600305.4573345</v>
      </c>
      <c r="AB7" s="688" cm="1">
        <f t="array" ref="AB7">ROUND(AA7/B7,-4)</f>
        <v>7300000</v>
      </c>
      <c r="AC7" s="690" cm="1">
        <f t="array" ref="AC7">_xlfn.IFERROR(AB7-BJ7,"N/A")</f>
        <v>1252501.90854445</v>
      </c>
      <c r="AD7" s="690" cm="1">
        <f t="array" ref="AD7">_xlfn.IFERROR(ROUND(AC7*B7,-4),"N/A")</f>
        <v>2510000</v>
      </c>
      <c r="AE7" s="424"/>
      <c r="AF7" s="691">
        <v>2</v>
      </c>
      <c r="AG7" s="688" cm="1">
        <f t="array" ref="AG7">_xlfn.IFERROR(SUM('Direct Costs 2026'!$C$7:$C$8,'Direct Costs 2026'!$C$46)*AF7,"N/A")</f>
        <v>2420000</v>
      </c>
      <c r="AH7" s="688">
        <v>0</v>
      </c>
      <c r="AI7" s="688" cm="1">
        <f t="array" ref="AI7">IF(B7&gt;0,'Direct Costs 2026'!$C$9,"N/A")</f>
        <v>350000</v>
      </c>
      <c r="AJ7" s="688" cm="1">
        <f t="array" ref="AJ7">_xlfn.IFERROR((U7-E7+AG7+AI7+AH7),"N/A")</f>
        <v>12832133.6973807</v>
      </c>
      <c r="AK7" s="688" cm="1">
        <f t="array" ref="AK7">_xlfn.IFERROR((AI7+AJ7)*0.5%,"N/A")</f>
        <v>65910.668486903494</v>
      </c>
      <c r="AL7" s="688" cm="1">
        <f t="array" ref="AL7">_xlfn.IFERROR((AI7+AJ7+AK7)*25%,"N/A")</f>
        <v>3312011.0914669</v>
      </c>
      <c r="AM7" s="688" cm="1">
        <f t="array" ref="AM7">IF(AF7&gt;0,SUM(AJ7:AL7),"N/A")</f>
        <v>16210055.4573345</v>
      </c>
      <c r="AN7" s="688" cm="1">
        <f t="array" ref="AN7">ROUND(AM7/B7,-4)</f>
        <v>8110000</v>
      </c>
      <c r="AO7" s="690" cm="1">
        <f t="array" ref="AO7">_xlfn.IFERROR(AN7-BJ7,"N/A")</f>
        <v>2062501.90854445</v>
      </c>
      <c r="AP7" s="690" cm="1">
        <f t="array" ref="AP7">_xlfn.IFERROR(ROUND(AO7*B7,-4),"N/A")</f>
        <v>4130000</v>
      </c>
      <c r="AQ7" s="424">
        <v>2</v>
      </c>
      <c r="AR7" s="691">
        <v>1</v>
      </c>
      <c r="AS7" s="688" cm="1">
        <f t="array" ref="AS7">_xlfn.IFERROR(SUM('Direct Costs 2026'!$C$7:$C$8,'Direct Costs 2026'!$C$46)*AR7,"N/A")</f>
        <v>1210000</v>
      </c>
      <c r="AT7" s="688" cm="1">
        <f t="array" ref="AT7">IF($AQ7&gt;0,'Direct Costs 2026'!$C$53*$AQ7,"N/A")</f>
        <v>5600000</v>
      </c>
      <c r="AU7" s="688" cm="1">
        <f t="array" ref="AU7">IF($AQ7&gt;0,'Direct Costs 2026'!$C$54*$AQ7,"N/A")</f>
        <v>800000</v>
      </c>
      <c r="AV7" s="688">
        <v>0</v>
      </c>
      <c r="AW7" s="688" cm="1">
        <f t="array" ref="AW7">IF(B7&gt;0,'Direct Costs 2026'!$C$9,"N/A")</f>
        <v>350000</v>
      </c>
      <c r="AX7" s="688" cm="1">
        <f t="array" ref="AX7">_xlfn.IFERROR((U7-E7+AS7+AW7+AT7+AU7),"N/A")</f>
        <v>18022133.6973807</v>
      </c>
      <c r="AY7" s="688" cm="1">
        <f t="array" ref="AY7">_xlfn.IFERROR((AW7+AX7)*0.5%,"N/A")</f>
        <v>91860.668486903494</v>
      </c>
      <c r="AZ7" s="688" cm="1">
        <f t="array" ref="AZ7">_xlfn.IFERROR((AX7+AY7)*25%,"N/A")</f>
        <v>4528498.5914669</v>
      </c>
      <c r="BA7" s="688" cm="1">
        <f t="array" ref="BA7">IF(AQ7&gt;0,SUM(AX7:AZ7),"N/A")</f>
        <v>22642492.9573345</v>
      </c>
      <c r="BB7" s="688" cm="1">
        <f t="array" ref="BB7">_xlfn.IFERROR(BA7/AQ7,"N/A")</f>
        <v>11321246.4786673</v>
      </c>
      <c r="BC7" s="690" cm="1">
        <f t="array" ref="BC7">_xlfn.IFERROR(BB7-BJ7,"N/A")</f>
        <v>5273748.38721175</v>
      </c>
      <c r="BD7" s="690" cm="1">
        <f t="array" ref="BD7">_xlfn.IFERROR(ROUND(BC7*AQ7,-4),"N/A")</f>
        <v>10550000</v>
      </c>
      <c r="BE7" s="424"/>
      <c r="BF7" s="688" cm="1">
        <f t="array" ref="BF7">_xlfn.IFERROR(O7-E7+Q7,"N/A")</f>
        <v>9637447.157698121</v>
      </c>
      <c r="BG7" s="688" cm="1">
        <f t="array" ref="BG7">_xlfn.IFERROR(BF7*0.5%,"N/A")</f>
        <v>48187.2357884906</v>
      </c>
      <c r="BH7" s="688" cm="1">
        <f t="array" ref="BH7">_xlfn.IFERROR(BF7*25%,"N/A")</f>
        <v>2409361.78942453</v>
      </c>
      <c r="BI7" s="690" cm="1">
        <f t="array" ref="BI7">IF(B7&gt;0,SUM(BF7:BH7),"N/A")</f>
        <v>12094996.1829111</v>
      </c>
      <c r="BJ7" s="690" cm="1">
        <f t="array" ref="BJ7">BI7/B7</f>
        <v>6047498.09145555</v>
      </c>
      <c r="BK7" s="424"/>
      <c r="BL7" s="688"/>
      <c r="BM7" s="688"/>
      <c r="BN7" s="688"/>
      <c r="BO7" s="688"/>
      <c r="BP7" s="688"/>
      <c r="BQ7" s="688"/>
      <c r="BR7" s="688"/>
      <c r="BS7" s="692"/>
    </row>
    <row r="8" ht="15" customHeight="1">
      <c r="A8" s="12"/>
      <c r="B8" s="693">
        <v>3</v>
      </c>
      <c r="C8" s="688" cm="1">
        <f t="array" ref="C8">IF(B8&gt;0,IF(VLOOKUP(C1,'Boats Data Sheet 2026'!$C$3:$J$57,8,0)="N/A",0,VLOOKUP(C1,'Boats Data Sheet 2026'!$C$3:$J$57,8,0)),"N/A")</f>
        <v>5675000</v>
      </c>
      <c r="D8" s="694">
        <v>1</v>
      </c>
      <c r="E8" s="688" cm="1">
        <f t="array" ref="E8">_xlfn.IFERROR(SUM('Direct Costs 2026'!$C$7:$C$8,'Direct Costs 2026'!$C$46)*D8,"N/A")</f>
        <v>1210000</v>
      </c>
      <c r="F8" s="688" cm="1">
        <f t="array" ref="F8">_xlfn.IFERROR('Direct Costs 2026'!$C$43*B8,"N/A")</f>
        <v>18000</v>
      </c>
      <c r="G8" s="688" cm="1">
        <f t="array" ref="G8">IF(B8&gt;0,'Direct Costs 2026'!$C$25,"N/A")</f>
        <v>90000</v>
      </c>
      <c r="H8" s="688" cm="1">
        <f t="array" ref="H8">IF(B8&gt;0,('Direct Costs 2026'!$C$14+'Direct Costs 2026'!$C$22),"N/A")</f>
        <v>260000</v>
      </c>
      <c r="I8" s="688" cm="1">
        <f t="array" ref="I8">IF(B8&gt;0,'Direct Costs 2026'!$C$26,"N/A")</f>
        <v>20000</v>
      </c>
      <c r="J8" s="688" cm="1">
        <f t="array" ref="J8">IF(B8&gt;0,'Direct Costs 2026'!$C$23,"N/A")</f>
        <v>140000</v>
      </c>
      <c r="K8" s="688" cm="1">
        <f t="array" ref="K8">IF(B8&gt;0,'Direct Costs 2026'!$C$48*(B8),"N/A")</f>
        <v>510000</v>
      </c>
      <c r="L8" s="688">
        <v>0</v>
      </c>
      <c r="M8" t="str" s="689" cm="1">
        <f t="array" ref="M8">IF(B8&gt;0,IF(OR(VLOOKUP(C1,'Boats Data Sheet 2026'!$C$3:$F$57,4,0)="Own",VLOOKUP(C1,'Boats Data Sheet 2026'!$C$3:$F$57,4,0)="Management"),('Direct Costs 2026'!$C$37+'Direct Costs 2026'!$C$39),"N/A"),"N/A")</f>
        <v>N/A</v>
      </c>
      <c r="N8" s="688">
        <v>0</v>
      </c>
      <c r="O8" s="688" cm="1">
        <f t="array" ref="O8">_xlfn.IFERROR(C8+SUM(E8:N8),"N/A")</f>
        <v>7923000</v>
      </c>
      <c r="P8" s="424"/>
      <c r="Q8" s="688" cm="1">
        <f t="array" ref="Q8">IF(B8&gt;0,'Allocation OH and Target 2026'!$E$31,"N/A")</f>
        <v>3100447.15769812</v>
      </c>
      <c r="R8" s="688" cm="1">
        <f t="array" ref="R8">IF(B8&gt;0,'Direct Costs 2026'!$C$55*B8,"N/A")</f>
        <v>637029.8095238101</v>
      </c>
      <c r="S8" s="688" cm="1">
        <f t="array" ref="S8">_xlfn.IFERROR((Q8+R8),"N/A")</f>
        <v>3737476.96722193</v>
      </c>
      <c r="T8" s="424"/>
      <c r="U8" s="688" cm="1">
        <f t="array" ref="U8">_xlfn.IFERROR(S8+O8,"N/A")</f>
        <v>11660476.9672219</v>
      </c>
      <c r="V8" s="688">
        <v>0</v>
      </c>
      <c r="W8" s="688" cm="1">
        <f t="array" ref="W8">IF(B8&gt;0,'Direct Costs 2026'!$C$9,"N/A")</f>
        <v>350000</v>
      </c>
      <c r="X8" s="688">
        <v>0</v>
      </c>
      <c r="Y8" s="688" cm="1">
        <f t="array" ref="Y8">_xlfn.IFERROR((U8+W8)*0.5%,"N/A")</f>
        <v>60052.3848361095</v>
      </c>
      <c r="Z8" s="688" cm="1">
        <f t="array" ref="Z8">_xlfn.IFERROR((U8+W8+Y8+X8+V8)*25%,"N/A")</f>
        <v>3017632.3380145</v>
      </c>
      <c r="AA8" s="688" cm="1">
        <f t="array" ref="AA8">IF(B8&gt;0,SUM(U8:Z8),"N/A")</f>
        <v>15088161.6900725</v>
      </c>
      <c r="AB8" s="688" cm="1">
        <f t="array" ref="AB8">ROUND(AA8/B8,-4)</f>
        <v>5030000</v>
      </c>
      <c r="AC8" s="690" cm="1">
        <f t="array" ref="AC8">_xlfn.IFERROR(AB8-BJ8,"N/A")</f>
        <v>924707.93902963</v>
      </c>
      <c r="AD8" s="690" cm="1">
        <f t="array" ref="AD8">_xlfn.IFERROR(ROUND(AC8*B8,-4),"N/A")</f>
        <v>2770000</v>
      </c>
      <c r="AE8" s="424"/>
      <c r="AF8" s="691">
        <v>3</v>
      </c>
      <c r="AG8" s="688" cm="1">
        <f t="array" ref="AG8">_xlfn.IFERROR(SUM('Direct Costs 2026'!$C$7:$C$8,'Direct Costs 2026'!$C$46)*AF8,"N/A")</f>
        <v>3630000</v>
      </c>
      <c r="AH8" s="688" cm="1">
        <f t="array" ref="AH8">(B8-2)*'Direct Costs 2026'!$C$52</f>
        <v>350000</v>
      </c>
      <c r="AI8" s="688" cm="1">
        <f t="array" ref="AI8">IF(B8&gt;0,'Direct Costs 2026'!$C$9,"N/A")</f>
        <v>350000</v>
      </c>
      <c r="AJ8" s="688" cm="1">
        <f t="array" ref="AJ8">_xlfn.IFERROR((U8-E8+AG8+AI8+AH8),"N/A")</f>
        <v>14780476.9672219</v>
      </c>
      <c r="AK8" s="688" cm="1">
        <f t="array" ref="AK8">_xlfn.IFERROR((AI8+AJ8)*0.5%,"N/A")</f>
        <v>75652.3848361095</v>
      </c>
      <c r="AL8" s="688" cm="1">
        <f t="array" ref="AL8">_xlfn.IFERROR((AI8+AJ8+AK8)*25%,"N/A")</f>
        <v>3801532.3380145</v>
      </c>
      <c r="AM8" s="688" cm="1">
        <f t="array" ref="AM8">IF(AF8&gt;0,SUM(AJ8:AL8),"N/A")</f>
        <v>18657661.6900725</v>
      </c>
      <c r="AN8" s="688" cm="1">
        <f t="array" ref="AN8">ROUND(AM8/B8,-4)</f>
        <v>6220000</v>
      </c>
      <c r="AO8" s="690" cm="1">
        <f t="array" ref="AO8">_xlfn.IFERROR(AN8-BJ8,"N/A")</f>
        <v>2114707.93902963</v>
      </c>
      <c r="AP8" s="690" cm="1">
        <f t="array" ref="AP8">_xlfn.IFERROR(ROUND(AO8*B8,-4),"N/A")</f>
        <v>6340000</v>
      </c>
      <c r="AQ8" s="424">
        <v>3</v>
      </c>
      <c r="AR8" s="691">
        <v>2</v>
      </c>
      <c r="AS8" s="688" cm="1">
        <f t="array" ref="AS8">_xlfn.IFERROR(SUM('Direct Costs 2026'!$C$7:$C$8,'Direct Costs 2026'!$C$46)*AR8,"N/A")</f>
        <v>2420000</v>
      </c>
      <c r="AT8" s="688" cm="1">
        <f t="array" ref="AT8">IF($AQ8&gt;0,'Direct Costs 2026'!$C$53*$AQ8,"N/A")</f>
        <v>8400000</v>
      </c>
      <c r="AU8" s="688" cm="1">
        <f t="array" ref="AU8">IF($AQ8&gt;0,'Direct Costs 2026'!$C$54*$AQ8,"N/A")</f>
        <v>1200000</v>
      </c>
      <c r="AV8" s="688" cm="1">
        <f t="array" ref="AV8">(B8-2)*'Direct Costs 2026'!$C$52</f>
        <v>350000</v>
      </c>
      <c r="AW8" s="688" cm="1">
        <f t="array" ref="AW8">IF(B8&gt;0,'Direct Costs 2026'!$C$9,"N/A")</f>
        <v>350000</v>
      </c>
      <c r="AX8" s="688" cm="1">
        <f t="array" ref="AX8">_xlfn.IFERROR((U8-E8+AS8+AW8+AT8+AU8),"N/A")</f>
        <v>22820476.9672219</v>
      </c>
      <c r="AY8" s="688" cm="1">
        <f t="array" ref="AY8">_xlfn.IFERROR((AW8+AX8)*0.5%,"N/A")</f>
        <v>115852.38483611</v>
      </c>
      <c r="AZ8" s="688" cm="1">
        <f t="array" ref="AZ8">_xlfn.IFERROR((AX8+AY8)*25%,"N/A")</f>
        <v>5734082.3380145</v>
      </c>
      <c r="BA8" s="688" cm="1">
        <f t="array" ref="BA8">IF(AQ8&gt;0,SUM(AX8:AZ8),"N/A")</f>
        <v>28670411.6900725</v>
      </c>
      <c r="BB8" s="688" cm="1">
        <f t="array" ref="BB8">_xlfn.IFERROR(BA8/AQ8,"N/A")</f>
        <v>9556803.896690831</v>
      </c>
      <c r="BC8" s="690" cm="1">
        <f t="array" ref="BC8">_xlfn.IFERROR(BB8-BJ8,"N/A")</f>
        <v>5451511.83572046</v>
      </c>
      <c r="BD8" s="690" cm="1">
        <f t="array" ref="BD8">_xlfn.IFERROR(ROUND(BC8*AQ8,-4),"N/A")</f>
        <v>16350000</v>
      </c>
      <c r="BE8" s="424"/>
      <c r="BF8" s="688" cm="1">
        <f t="array" ref="BF8">_xlfn.IFERROR(O8-E8+Q8,"N/A")</f>
        <v>9813447.157698121</v>
      </c>
      <c r="BG8" s="688" cm="1">
        <f t="array" ref="BG8">_xlfn.IFERROR(BF8*0.5%,"N/A")</f>
        <v>49067.2357884906</v>
      </c>
      <c r="BH8" s="688" cm="1">
        <f t="array" ref="BH8">_xlfn.IFERROR(BF8*25%,"N/A")</f>
        <v>2453361.78942453</v>
      </c>
      <c r="BI8" s="690" cm="1">
        <f t="array" ref="BI8">IF(B8&gt;0,SUM(BF8:BH8),"N/A")</f>
        <v>12315876.1829111</v>
      </c>
      <c r="BJ8" s="690" cm="1">
        <f t="array" ref="BJ8">BI8/B8</f>
        <v>4105292.06097037</v>
      </c>
      <c r="BK8" s="424"/>
      <c r="BL8" s="688"/>
      <c r="BM8" s="688"/>
      <c r="BN8" s="688"/>
      <c r="BO8" s="688"/>
      <c r="BP8" s="688"/>
      <c r="BQ8" s="688"/>
      <c r="BR8" s="688"/>
      <c r="BS8" s="692"/>
    </row>
    <row r="9" ht="15" customHeight="1">
      <c r="A9" s="12"/>
      <c r="B9" s="693">
        <v>4</v>
      </c>
      <c r="C9" s="688" cm="1">
        <f t="array" ref="C9">IF(B9&gt;0,IF(VLOOKUP(C1,'Boats Data Sheet 2026'!$C$3:$J$57,8,0)="N/A",0,VLOOKUP(C1,'Boats Data Sheet 2026'!$C$3:$J$57,8,0)),"N/A")</f>
        <v>5675000</v>
      </c>
      <c r="D9" s="694">
        <v>1</v>
      </c>
      <c r="E9" s="688" cm="1">
        <f t="array" ref="E9">_xlfn.IFERROR(SUM('Direct Costs 2026'!$C$7:$C$8,'Direct Costs 2026'!$C$46)*D9,"N/A")</f>
        <v>1210000</v>
      </c>
      <c r="F9" s="688" cm="1">
        <f t="array" ref="F9">_xlfn.IFERROR('Direct Costs 2026'!$C$43*B9,"N/A")</f>
        <v>24000</v>
      </c>
      <c r="G9" s="688" cm="1">
        <f t="array" ref="G9">IF(B9&gt;0,'Direct Costs 2026'!$C$25,"N/A")</f>
        <v>90000</v>
      </c>
      <c r="H9" s="688" cm="1">
        <f t="array" ref="H9">IF(B9&gt;0,('Direct Costs 2026'!$C$14+'Direct Costs 2026'!$C$22),"N/A")</f>
        <v>260000</v>
      </c>
      <c r="I9" s="688" cm="1">
        <f t="array" ref="I9">IF(B9&gt;0,'Direct Costs 2026'!$C$26,"N/A")</f>
        <v>20000</v>
      </c>
      <c r="J9" s="688" cm="1">
        <f t="array" ref="J9">IF(B9&gt;0,'Direct Costs 2026'!$C$23,"N/A")</f>
        <v>140000</v>
      </c>
      <c r="K9" s="688" cm="1">
        <f t="array" ref="K9">IF(B9&gt;0,'Direct Costs 2026'!$C$48*(B9),"N/A")</f>
        <v>680000</v>
      </c>
      <c r="L9" s="688">
        <v>0</v>
      </c>
      <c r="M9" t="str" s="689" cm="1">
        <f t="array" ref="M9">IF(B9&gt;0,IF(OR(VLOOKUP(C1,'Boats Data Sheet 2026'!$C$3:$F$57,4,0)="Own",VLOOKUP(C1,'Boats Data Sheet 2026'!$C$3:$F$57,4,0)="Management"),('Direct Costs 2026'!$C$37+'Direct Costs 2026'!$C$39),"N/A"),"N/A")</f>
        <v>N/A</v>
      </c>
      <c r="N9" s="688">
        <v>0</v>
      </c>
      <c r="O9" s="688" cm="1">
        <f t="array" ref="O9">_xlfn.IFERROR(C9+SUM(E9:N9),"N/A")</f>
        <v>8099000</v>
      </c>
      <c r="P9" s="424"/>
      <c r="Q9" s="688" cm="1">
        <f t="array" ref="Q9">IF(B9&gt;0,'Allocation OH and Target 2026'!$E$31,"N/A")</f>
        <v>3100447.15769812</v>
      </c>
      <c r="R9" s="688" cm="1">
        <f t="array" ref="R9">IF(B9&gt;0,'Direct Costs 2026'!$C$55*B9,"N/A")</f>
        <v>849373.07936508</v>
      </c>
      <c r="S9" s="688" cm="1">
        <f t="array" ref="S9">_xlfn.IFERROR((Q9+R9),"N/A")</f>
        <v>3949820.2370632</v>
      </c>
      <c r="T9" s="424"/>
      <c r="U9" s="688" cm="1">
        <f t="array" ref="U9">_xlfn.IFERROR(S9+O9,"N/A")</f>
        <v>12048820.2370632</v>
      </c>
      <c r="V9" s="688" cm="1">
        <f t="array" ref="V9">SUM('Direct Costs 2026'!$C$7:$C$8,'Direct Costs 2026'!$C$46)</f>
        <v>1210000</v>
      </c>
      <c r="W9" s="688" cm="1">
        <f t="array" ref="W9">IF(B9&gt;0,'Direct Costs 2026'!$C$9,"N/A")</f>
        <v>350000</v>
      </c>
      <c r="X9" s="688" cm="1">
        <f t="array" ref="X9">(B9-3)*'Direct Costs 2026'!$C$52</f>
        <v>350000</v>
      </c>
      <c r="Y9" s="688" cm="1">
        <f t="array" ref="Y9">_xlfn.IFERROR((U9+W9)*0.5%,"N/A")</f>
        <v>61994.101185316</v>
      </c>
      <c r="Z9" s="688" cm="1">
        <f t="array" ref="Z9">_xlfn.IFERROR((U9+W9+Y9+X9+V9)*25%,"N/A")</f>
        <v>3505203.58456213</v>
      </c>
      <c r="AA9" s="688" cm="1">
        <f t="array" ref="AA9">IF(B9&gt;0,SUM(U9:Z9),"N/A")</f>
        <v>17526017.9228106</v>
      </c>
      <c r="AB9" s="688" cm="1">
        <f t="array" ref="AB9">ROUND(AA9/B9,-4)</f>
        <v>4380000</v>
      </c>
      <c r="AC9" s="690" cm="1">
        <f t="array" ref="AC9">_xlfn.IFERROR(AB9-BJ9,"N/A")</f>
        <v>1245810.95427222</v>
      </c>
      <c r="AD9" s="690" cm="1">
        <f t="array" ref="AD9">_xlfn.IFERROR(ROUND(AC9*B9,-4),"N/A")</f>
        <v>4980000</v>
      </c>
      <c r="AE9" s="424"/>
      <c r="AF9" s="691">
        <v>4</v>
      </c>
      <c r="AG9" s="688" cm="1">
        <f t="array" ref="AG9">_xlfn.IFERROR(SUM('Direct Costs 2026'!$C$7:$C$8,'Direct Costs 2026'!$C$46)*AF9,"N/A")</f>
        <v>4840000</v>
      </c>
      <c r="AH9" s="688" cm="1">
        <f t="array" ref="AH9">(B9-2)*'Direct Costs 2026'!$C$52</f>
        <v>700000</v>
      </c>
      <c r="AI9" s="688" cm="1">
        <f t="array" ref="AI9">IF(B9&gt;0,'Direct Costs 2026'!$C$9,"N/A")</f>
        <v>350000</v>
      </c>
      <c r="AJ9" s="688" cm="1">
        <f t="array" ref="AJ9">_xlfn.IFERROR((U9-E9+AG9+AI9+AH9),"N/A")</f>
        <v>16728820.2370632</v>
      </c>
      <c r="AK9" s="688" cm="1">
        <f t="array" ref="AK9">_xlfn.IFERROR((AI9+AJ9)*0.5%,"N/A")</f>
        <v>85394.101185316</v>
      </c>
      <c r="AL9" s="688" cm="1">
        <f t="array" ref="AL9">_xlfn.IFERROR((AI9+AJ9+AK9)*25%,"N/A")</f>
        <v>4291053.58456213</v>
      </c>
      <c r="AM9" s="688" cm="1">
        <f t="array" ref="AM9">IF(AF9&gt;0,SUM(AJ9:AL9),"N/A")</f>
        <v>21105267.9228106</v>
      </c>
      <c r="AN9" s="688" cm="1">
        <f t="array" ref="AN9">ROUND(AM9/B9,-4)</f>
        <v>5280000</v>
      </c>
      <c r="AO9" s="690" cm="1">
        <f t="array" ref="AO9">_xlfn.IFERROR(AN9-BJ9,"N/A")</f>
        <v>2145810.95427222</v>
      </c>
      <c r="AP9" s="690" cm="1">
        <f t="array" ref="AP9">_xlfn.IFERROR(ROUND(AO9*B9,-4),"N/A")</f>
        <v>8580000</v>
      </c>
      <c r="AQ9" s="424">
        <v>4</v>
      </c>
      <c r="AR9" s="691">
        <v>3</v>
      </c>
      <c r="AS9" s="688" cm="1">
        <f t="array" ref="AS9">_xlfn.IFERROR(SUM('Direct Costs 2026'!$C$7:$C$8,'Direct Costs 2026'!$C$46)*AR9,"N/A")</f>
        <v>3630000</v>
      </c>
      <c r="AT9" s="688" cm="1">
        <f t="array" ref="AT9">IF($AQ9&gt;0,'Direct Costs 2026'!$C$53*$AQ9,"N/A")</f>
        <v>11200000</v>
      </c>
      <c r="AU9" s="688" cm="1">
        <f t="array" ref="AU9">IF($AQ9&gt;0,'Direct Costs 2026'!$C$54*$AQ9,"N/A")</f>
        <v>1600000</v>
      </c>
      <c r="AV9" s="688" cm="1">
        <f t="array" ref="AV9">(B9-2)*'Direct Costs 2026'!$C$52</f>
        <v>700000</v>
      </c>
      <c r="AW9" s="688" cm="1">
        <f t="array" ref="AW9">IF(B9&gt;0,'Direct Costs 2026'!$C$9,"N/A")</f>
        <v>350000</v>
      </c>
      <c r="AX9" s="688" cm="1">
        <f t="array" ref="AX9">_xlfn.IFERROR((U9-E9+AS9+AW9+AT9+AU9),"N/A")</f>
        <v>27618820.2370632</v>
      </c>
      <c r="AY9" s="688" cm="1">
        <f t="array" ref="AY9">_xlfn.IFERROR((AW9+AX9)*0.5%,"N/A")</f>
        <v>139844.101185316</v>
      </c>
      <c r="AZ9" s="688" cm="1">
        <f t="array" ref="AZ9">_xlfn.IFERROR((AX9+AY9)*25%,"N/A")</f>
        <v>6939666.08456213</v>
      </c>
      <c r="BA9" s="688" cm="1">
        <f t="array" ref="BA9">IF(AQ9&gt;0,SUM(AX9:AZ9),"N/A")</f>
        <v>34698330.4228106</v>
      </c>
      <c r="BB9" s="688" cm="1">
        <f t="array" ref="BB9">_xlfn.IFERROR(BA9/AQ9,"N/A")</f>
        <v>8674582.60570265</v>
      </c>
      <c r="BC9" s="690" cm="1">
        <f t="array" ref="BC9">_xlfn.IFERROR(BB9-BJ9,"N/A")</f>
        <v>5540393.55997487</v>
      </c>
      <c r="BD9" s="690" cm="1">
        <f t="array" ref="BD9">_xlfn.IFERROR(ROUND(BC9*AQ9,-4),"N/A")</f>
        <v>22160000</v>
      </c>
      <c r="BE9" s="424"/>
      <c r="BF9" s="688" cm="1">
        <f t="array" ref="BF9">_xlfn.IFERROR(O9-E9+Q9,"N/A")</f>
        <v>9989447.157698121</v>
      </c>
      <c r="BG9" s="688" cm="1">
        <f t="array" ref="BG9">_xlfn.IFERROR(BF9*0.5%,"N/A")</f>
        <v>49947.2357884906</v>
      </c>
      <c r="BH9" s="688" cm="1">
        <f t="array" ref="BH9">_xlfn.IFERROR(BF9*25%,"N/A")</f>
        <v>2497361.78942453</v>
      </c>
      <c r="BI9" s="690" cm="1">
        <f t="array" ref="BI9">IF(B9&gt;0,SUM(BF9:BH9),"N/A")</f>
        <v>12536756.1829111</v>
      </c>
      <c r="BJ9" s="690" cm="1">
        <f t="array" ref="BJ9">BI9/B9</f>
        <v>3134189.04572778</v>
      </c>
      <c r="BK9" s="424"/>
      <c r="BL9" s="688"/>
      <c r="BM9" s="688"/>
      <c r="BN9" s="688"/>
      <c r="BO9" s="688"/>
      <c r="BP9" s="688"/>
      <c r="BQ9" s="688"/>
      <c r="BR9" s="688"/>
      <c r="BS9" s="692"/>
    </row>
    <row r="10" ht="15" customHeight="1">
      <c r="A10" s="12"/>
      <c r="B10" s="693">
        <v>5</v>
      </c>
      <c r="C10" s="688" cm="1">
        <f t="array" ref="C10">IF(B10&gt;0,IF(VLOOKUP(C1,'Boats Data Sheet 2026'!$C$3:$J$57,8,0)="N/A",0,VLOOKUP(C1,'Boats Data Sheet 2026'!$C$3:$J$57,8,0)),"N/A")</f>
        <v>5675000</v>
      </c>
      <c r="D10" s="694">
        <v>2</v>
      </c>
      <c r="E10" s="688" cm="1">
        <f t="array" ref="E10">_xlfn.IFERROR(SUM('Direct Costs 2026'!$C$7:$C$8,'Direct Costs 2026'!$C$46)*D10,"N/A")</f>
        <v>2420000</v>
      </c>
      <c r="F10" s="688" cm="1">
        <f t="array" ref="F10">_xlfn.IFERROR('Direct Costs 2026'!$C$43*B10,"N/A")</f>
        <v>30000</v>
      </c>
      <c r="G10" s="688" cm="1">
        <f t="array" ref="G10">IF(B10&gt;0,'Direct Costs 2026'!$C$25,"N/A")</f>
        <v>90000</v>
      </c>
      <c r="H10" s="688" cm="1">
        <f t="array" ref="H10">IF(B10&gt;0,('Direct Costs 2026'!$C$14+'Direct Costs 2026'!$C$22),"N/A")</f>
        <v>260000</v>
      </c>
      <c r="I10" s="688" cm="1">
        <f t="array" ref="I10">IF(B10&gt;0,'Direct Costs 2026'!$C$26,"N/A")</f>
        <v>20000</v>
      </c>
      <c r="J10" s="688" cm="1">
        <f t="array" ref="J10">IF(B10&gt;0,'Direct Costs 2026'!$C$23,"N/A")</f>
        <v>140000</v>
      </c>
      <c r="K10" s="688" cm="1">
        <f t="array" ref="K10">IF(B10&gt;0,'Direct Costs 2026'!$C$48*(B10),"N/A")</f>
        <v>850000</v>
      </c>
      <c r="L10" s="688">
        <v>0</v>
      </c>
      <c r="M10" t="str" s="689" cm="1">
        <f t="array" ref="M10">IF(B10&gt;0,IF(OR(VLOOKUP(C1,'Boats Data Sheet 2026'!$C$3:$F$57,4,0)="Own",VLOOKUP(C1,'Boats Data Sheet 2026'!$C$3:$F$57,4,0)="Management"),('Direct Costs 2026'!$C$37+'Direct Costs 2026'!$C$39),"N/A"),"N/A")</f>
        <v>N/A</v>
      </c>
      <c r="N10" s="688">
        <v>0</v>
      </c>
      <c r="O10" s="688" cm="1">
        <f t="array" ref="O10">_xlfn.IFERROR(C10+SUM(E10:N10),"N/A")</f>
        <v>9485000</v>
      </c>
      <c r="P10" s="424"/>
      <c r="Q10" s="688" cm="1">
        <f t="array" ref="Q10">IF(B10&gt;0,'Allocation OH and Target 2026'!$E$31,"N/A")</f>
        <v>3100447.15769812</v>
      </c>
      <c r="R10" s="688" cm="1">
        <f t="array" ref="R10">IF(B10&gt;0,'Direct Costs 2026'!$C$55*B10,"N/A")</f>
        <v>1061716.34920635</v>
      </c>
      <c r="S10" s="688" cm="1">
        <f t="array" ref="S10">_xlfn.IFERROR((Q10+R10),"N/A")</f>
        <v>4162163.50690447</v>
      </c>
      <c r="T10" s="424"/>
      <c r="U10" s="688" cm="1">
        <f t="array" ref="U10">_xlfn.IFERROR(S10+O10,"N/A")</f>
        <v>13647163.5069045</v>
      </c>
      <c r="V10" s="688" cm="1">
        <f t="array" ref="V10">SUM('Direct Costs 2026'!$C$7:$C$8,'Direct Costs 2026'!$C$46)</f>
        <v>1210000</v>
      </c>
      <c r="W10" s="688" cm="1">
        <f t="array" ref="W10">IF(B10&gt;0,'Direct Costs 2026'!$C$9,"N/A")</f>
        <v>350000</v>
      </c>
      <c r="X10" s="688" cm="1">
        <f t="array" ref="X10">(B10-3)*'Direct Costs 2026'!$C$52</f>
        <v>700000</v>
      </c>
      <c r="Y10" s="688" cm="1">
        <f t="array" ref="Y10">_xlfn.IFERROR((U10+W10)*0.5%,"N/A")</f>
        <v>69985.8175345225</v>
      </c>
      <c r="Z10" s="688" cm="1">
        <f t="array" ref="Z10">_xlfn.IFERROR((U10+W10+Y10+X10+V10)*25%,"N/A")</f>
        <v>3994287.33110976</v>
      </c>
      <c r="AA10" s="688" cm="1">
        <f t="array" ref="AA10">IF(B10&gt;0,SUM(U10:Z10),"N/A")</f>
        <v>19971436.6555488</v>
      </c>
      <c r="AB10" s="688" cm="1">
        <f t="array" ref="AB10">ROUND(AA10/B10,-4)</f>
        <v>3990000</v>
      </c>
      <c r="AC10" s="690" cm="1">
        <f t="array" ref="AC10">_xlfn.IFERROR(AB10-BJ10,"N/A")</f>
        <v>1438472.76341778</v>
      </c>
      <c r="AD10" s="690" cm="1">
        <f t="array" ref="AD10">_xlfn.IFERROR(ROUND(AC10*B10,-4),"N/A")</f>
        <v>7190000</v>
      </c>
      <c r="AE10" s="424"/>
      <c r="AF10" s="691">
        <v>5</v>
      </c>
      <c r="AG10" s="688" cm="1">
        <f t="array" ref="AG10">_xlfn.IFERROR(SUM('Direct Costs 2026'!$C$7:$C$8,'Direct Costs 2026'!$C$46)*AF10,"N/A")</f>
        <v>6050000</v>
      </c>
      <c r="AH10" s="688" cm="1">
        <f t="array" ref="AH10">(B10-2)*'Direct Costs 2026'!$C$52</f>
        <v>1050000</v>
      </c>
      <c r="AI10" s="688" cm="1">
        <f t="array" ref="AI10">IF(B10&gt;0,'Direct Costs 2026'!$C$9,"N/A")</f>
        <v>350000</v>
      </c>
      <c r="AJ10" s="688" cm="1">
        <f t="array" ref="AJ10">_xlfn.IFERROR((U10-E10+AG10+AI10+AH10),"N/A")</f>
        <v>18677163.5069045</v>
      </c>
      <c r="AK10" s="688" cm="1">
        <f t="array" ref="AK10">_xlfn.IFERROR((AI10+AJ10)*0.5%,"N/A")</f>
        <v>95135.8175345225</v>
      </c>
      <c r="AL10" s="688" cm="1">
        <f t="array" ref="AL10">_xlfn.IFERROR((AI10+AJ10+AK10)*25%,"N/A")</f>
        <v>4780574.83110976</v>
      </c>
      <c r="AM10" s="688" cm="1">
        <f t="array" ref="AM10">IF(AF10&gt;0,SUM(AJ10:AL10),"N/A")</f>
        <v>23552874.1555488</v>
      </c>
      <c r="AN10" s="688" cm="1">
        <f t="array" ref="AN10">ROUND(AM10/B10,-4)</f>
        <v>4710000</v>
      </c>
      <c r="AO10" s="690" cm="1">
        <f t="array" ref="AO10">_xlfn.IFERROR(AN10-BJ10,"N/A")</f>
        <v>2158472.76341778</v>
      </c>
      <c r="AP10" s="690" cm="1">
        <f t="array" ref="AP10">_xlfn.IFERROR(ROUND(AO10*B10,-4),"N/A")</f>
        <v>10790000</v>
      </c>
      <c r="AQ10" s="424"/>
      <c r="AR10" t="s" s="695">
        <v>14</v>
      </c>
      <c r="AS10" t="str" s="689" cm="1">
        <f t="array" ref="AS10">_xlfn.IFERROR(SUM('Direct Costs 2026'!$C$7:$C$8,'Direct Costs 2026'!$C$46)*AR10,"N/A")</f>
        <v>N/A</v>
      </c>
      <c r="AT10" t="str" s="689" cm="1">
        <f t="array" ref="AT10">IF($AQ10&gt;0,'Direct Costs 2026'!$C$53*$AQ10,"N/A")</f>
        <v>N/A</v>
      </c>
      <c r="AU10" t="str" s="689" cm="1">
        <f t="array" ref="AU10">IF($AQ10&gt;0,'Direct Costs 2026'!$C$54*$AQ10,"N/A")</f>
        <v>N/A</v>
      </c>
      <c r="AV10" s="688"/>
      <c r="AW10" t="s" s="695">
        <v>14</v>
      </c>
      <c r="AX10" t="str" s="689" cm="1">
        <f t="array" ref="AX10">_xlfn.IFERROR((U10-E10+AS10+AW10+AT10+AU10),"N/A")</f>
        <v>N/A</v>
      </c>
      <c r="AY10" t="str" s="689" cm="1">
        <f t="array" ref="AY10">_xlfn.IFERROR((AW10+AX10)*0.5%,"N/A")</f>
        <v>N/A</v>
      </c>
      <c r="AZ10" t="str" s="689" cm="1">
        <f t="array" ref="AZ10">_xlfn.IFERROR((AX10+AY10)*25%,"N/A")</f>
        <v>N/A</v>
      </c>
      <c r="BA10" t="str" s="689" cm="1">
        <f t="array" ref="BA10">IF(AQ10&gt;0,SUM(AX10:AZ10),"N/A")</f>
        <v>N/A</v>
      </c>
      <c r="BB10" t="str" s="689" cm="1">
        <f t="array" ref="BB10">_xlfn.IFERROR(BA10/AQ10,"N/A")</f>
        <v>N/A</v>
      </c>
      <c r="BC10" t="str" s="673" cm="1">
        <f t="array" ref="BC10">_xlfn.IFERROR(BB10-BJ10,"N/A")</f>
        <v>N/A</v>
      </c>
      <c r="BD10" t="str" s="673" cm="1">
        <f t="array" ref="BD10">_xlfn.IFERROR(ROUND(BC10*AQ10,-4),"N/A")</f>
        <v>N/A</v>
      </c>
      <c r="BE10" s="424"/>
      <c r="BF10" s="688" cm="1">
        <f t="array" ref="BF10">_xlfn.IFERROR(O10-E10+Q10,"N/A")</f>
        <v>10165447.1576981</v>
      </c>
      <c r="BG10" s="688" cm="1">
        <f t="array" ref="BG10">_xlfn.IFERROR(BF10*0.5%,"N/A")</f>
        <v>50827.2357884905</v>
      </c>
      <c r="BH10" s="688" cm="1">
        <f t="array" ref="BH10">_xlfn.IFERROR(BF10*25%,"N/A")</f>
        <v>2541361.78942453</v>
      </c>
      <c r="BI10" s="690" cm="1">
        <f t="array" ref="BI10">IF(B10&gt;0,SUM(BF10:BH10),"N/A")</f>
        <v>12757636.1829111</v>
      </c>
      <c r="BJ10" s="690" cm="1">
        <f t="array" ref="BJ10">BI10/B10</f>
        <v>2551527.23658222</v>
      </c>
      <c r="BK10" s="424"/>
      <c r="BL10" s="688"/>
      <c r="BM10" s="688"/>
      <c r="BN10" s="688"/>
      <c r="BO10" s="688"/>
      <c r="BP10" s="688"/>
      <c r="BQ10" s="688"/>
      <c r="BR10" s="688"/>
      <c r="BS10" s="692"/>
    </row>
    <row r="11" ht="15" customHeight="1">
      <c r="A11" s="12"/>
      <c r="B11" s="693">
        <v>6</v>
      </c>
      <c r="C11" s="688" cm="1">
        <f t="array" ref="C11">IF(B11&gt;0,IF(VLOOKUP(C1,'Boats Data Sheet 2026'!$C$3:$J$57,8,0)="N/A",0,VLOOKUP(C1,'Boats Data Sheet 2026'!$C$3:$J$57,8,0)),"N/A")</f>
        <v>5675000</v>
      </c>
      <c r="D11" s="694">
        <v>2</v>
      </c>
      <c r="E11" s="688" cm="1">
        <f t="array" ref="E11">_xlfn.IFERROR(SUM('Direct Costs 2026'!$C$7:$C$8,'Direct Costs 2026'!$C$46)*D11,"N/A")</f>
        <v>2420000</v>
      </c>
      <c r="F11" s="688" cm="1">
        <f t="array" ref="F11">_xlfn.IFERROR('Direct Costs 2026'!$C$43*B11,"N/A")</f>
        <v>36000</v>
      </c>
      <c r="G11" s="688" cm="1">
        <f t="array" ref="G11">IF(B11&gt;0,'Direct Costs 2026'!$C$25,"N/A")</f>
        <v>90000</v>
      </c>
      <c r="H11" s="688" cm="1">
        <f t="array" ref="H11">IF(B11&gt;0,('Direct Costs 2026'!$C$14+'Direct Costs 2026'!$C$22),"N/A")</f>
        <v>260000</v>
      </c>
      <c r="I11" s="688" cm="1">
        <f t="array" ref="I11">IF(B11&gt;0,'Direct Costs 2026'!$C$26,"N/A")</f>
        <v>20000</v>
      </c>
      <c r="J11" s="688" cm="1">
        <f t="array" ref="J11">IF(B11&gt;0,'Direct Costs 2026'!$C$23,"N/A")</f>
        <v>140000</v>
      </c>
      <c r="K11" s="688" cm="1">
        <f t="array" ref="K11">IF(B11&gt;0,'Direct Costs 2026'!$C$48*(B11),"N/A")</f>
        <v>1020000</v>
      </c>
      <c r="L11" s="688">
        <v>0</v>
      </c>
      <c r="M11" t="str" s="689" cm="1">
        <f t="array" ref="M11">IF(B11&gt;0,IF(OR(VLOOKUP(C1,'Boats Data Sheet 2026'!$C$3:$F$57,4,0)="Own",VLOOKUP(C1,'Boats Data Sheet 2026'!$C$3:$F$57,4,0)="Management"),('Direct Costs 2026'!$C$37+'Direct Costs 2026'!$C$39),"N/A"),"N/A")</f>
        <v>N/A</v>
      </c>
      <c r="N11" s="688">
        <v>0</v>
      </c>
      <c r="O11" s="688" cm="1">
        <f t="array" ref="O11">_xlfn.IFERROR(C11+SUM(E11:N11),"N/A")</f>
        <v>9661000</v>
      </c>
      <c r="P11" s="424"/>
      <c r="Q11" s="688" cm="1">
        <f t="array" ref="Q11">IF(B11&gt;0,'Allocation OH and Target 2026'!$E$31,"N/A")</f>
        <v>3100447.15769812</v>
      </c>
      <c r="R11" s="688" cm="1">
        <f t="array" ref="R11">IF(B11&gt;0,'Direct Costs 2026'!$C$55*B11,"N/A")</f>
        <v>1274059.61904762</v>
      </c>
      <c r="S11" s="688" cm="1">
        <f t="array" ref="S11">_xlfn.IFERROR((Q11+R11),"N/A")</f>
        <v>4374506.77674574</v>
      </c>
      <c r="T11" s="424"/>
      <c r="U11" s="688" cm="1">
        <f t="array" ref="U11">_xlfn.IFERROR(S11+O11,"N/A")</f>
        <v>14035506.7767457</v>
      </c>
      <c r="V11" s="688" cm="1">
        <f t="array" ref="V11">SUM('Direct Costs 2026'!$C$7:$C$8,'Direct Costs 2026'!$C$46)</f>
        <v>1210000</v>
      </c>
      <c r="W11" s="688" cm="1">
        <f t="array" ref="W11">IF(B11&gt;0,'Direct Costs 2026'!$C$9,"N/A")</f>
        <v>350000</v>
      </c>
      <c r="X11" s="688" cm="1">
        <f t="array" ref="X11">(B11-3)*'Direct Costs 2026'!$C$52</f>
        <v>1050000</v>
      </c>
      <c r="Y11" s="688" cm="1">
        <f t="array" ref="Y11">_xlfn.IFERROR((U11+W11)*0.5%,"N/A")</f>
        <v>71927.533883728494</v>
      </c>
      <c r="Z11" s="688" cm="1">
        <f t="array" ref="Z11">_xlfn.IFERROR((U11+W11+Y11+X11+V11)*25%,"N/A")</f>
        <v>4179358.57765736</v>
      </c>
      <c r="AA11" s="688" cm="1">
        <f t="array" ref="AA11">IF(B11&gt;0,SUM(U11:Z11),"N/A")</f>
        <v>20896792.8882868</v>
      </c>
      <c r="AB11" s="688" cm="1">
        <f t="array" ref="AB11">ROUND(AA11/B11,-4)</f>
        <v>3480000</v>
      </c>
      <c r="AC11" s="690" cm="1">
        <f t="array" ref="AC11">_xlfn.IFERROR(AB11-BJ11,"N/A")</f>
        <v>1316913.96951482</v>
      </c>
      <c r="AD11" s="690" cm="1">
        <f t="array" ref="AD11">_xlfn.IFERROR(ROUND(AC11*B11,-4),"N/A")</f>
        <v>7900000</v>
      </c>
      <c r="AE11" s="424"/>
      <c r="AF11" s="691">
        <v>6</v>
      </c>
      <c r="AG11" s="688" cm="1">
        <f t="array" ref="AG11">_xlfn.IFERROR(SUM('Direct Costs 2026'!$C$7:$C$8,'Direct Costs 2026'!$C$46)*AF11,"N/A")</f>
        <v>7260000</v>
      </c>
      <c r="AH11" s="688" cm="1">
        <f t="array" ref="AH11">(B11-2)*'Direct Costs 2026'!$C$52</f>
        <v>1400000</v>
      </c>
      <c r="AI11" s="688" cm="1">
        <f t="array" ref="AI11">IF(B11&gt;0,'Direct Costs 2026'!$C$9,"N/A")</f>
        <v>350000</v>
      </c>
      <c r="AJ11" s="688" cm="1">
        <f t="array" ref="AJ11">_xlfn.IFERROR((U11-E11+AG11+AI11+AH11),"N/A")</f>
        <v>20625506.7767457</v>
      </c>
      <c r="AK11" s="688" cm="1">
        <f t="array" ref="AK11">_xlfn.IFERROR((AI11+AJ11)*0.5%,"N/A")</f>
        <v>104877.533883729</v>
      </c>
      <c r="AL11" s="688" cm="1">
        <f t="array" ref="AL11">_xlfn.IFERROR((AI11+AJ11+AK11)*25%,"N/A")</f>
        <v>5270096.07765736</v>
      </c>
      <c r="AM11" s="688" cm="1">
        <f t="array" ref="AM11">IF(AF11&gt;0,SUM(AJ11:AL11),"N/A")</f>
        <v>26000480.3882868</v>
      </c>
      <c r="AN11" s="688" cm="1">
        <f t="array" ref="AN11">ROUND(AM11/B11,-4)</f>
        <v>4330000</v>
      </c>
      <c r="AO11" s="690" cm="1">
        <f t="array" ref="AO11">_xlfn.IFERROR(AN11-BJ11,"N/A")</f>
        <v>2166913.96951482</v>
      </c>
      <c r="AP11" s="690" cm="1">
        <f t="array" ref="AP11">_xlfn.IFERROR(ROUND(AO11*B11,-4),"N/A")</f>
        <v>13000000</v>
      </c>
      <c r="AQ11" s="424"/>
      <c r="AR11" t="s" s="695">
        <v>14</v>
      </c>
      <c r="AS11" t="str" s="689" cm="1">
        <f t="array" ref="AS11">_xlfn.IFERROR(SUM('Direct Costs 2026'!$C$7:$C$8,'Direct Costs 2026'!$C$46)*AR11,"N/A")</f>
        <v>N/A</v>
      </c>
      <c r="AT11" t="str" s="689" cm="1">
        <f t="array" ref="AT11">IF($AQ11&gt;0,'Direct Costs 2026'!$C$53*$AQ11,"N/A")</f>
        <v>N/A</v>
      </c>
      <c r="AU11" t="str" s="689" cm="1">
        <f t="array" ref="AU11">IF($AQ11&gt;0,'Direct Costs 2026'!$C$54*$AQ11,"N/A")</f>
        <v>N/A</v>
      </c>
      <c r="AV11" s="688"/>
      <c r="AW11" t="s" s="695">
        <v>14</v>
      </c>
      <c r="AX11" t="str" s="689" cm="1">
        <f t="array" ref="AX11">_xlfn.IFERROR((U11-E11+AS11+AW11+AT11+AU11),"N/A")</f>
        <v>N/A</v>
      </c>
      <c r="AY11" t="str" s="689" cm="1">
        <f t="array" ref="AY11">_xlfn.IFERROR((AW11+AX11)*0.5%,"N/A")</f>
        <v>N/A</v>
      </c>
      <c r="AZ11" t="str" s="689" cm="1">
        <f t="array" ref="AZ11">_xlfn.IFERROR((AX11+AY11)*25%,"N/A")</f>
        <v>N/A</v>
      </c>
      <c r="BA11" t="str" s="689" cm="1">
        <f t="array" ref="BA11">IF(AQ11&gt;0,SUM(AX11:AZ11),"N/A")</f>
        <v>N/A</v>
      </c>
      <c r="BB11" t="str" s="689" cm="1">
        <f t="array" ref="BB11">_xlfn.IFERROR(BA11/AQ11,"N/A")</f>
        <v>N/A</v>
      </c>
      <c r="BC11" t="str" s="673" cm="1">
        <f t="array" ref="BC11">_xlfn.IFERROR(BB11-BJ11,"N/A")</f>
        <v>N/A</v>
      </c>
      <c r="BD11" t="str" s="673" cm="1">
        <f t="array" ref="BD11">_xlfn.IFERROR(ROUND(BC11*AQ11,-4),"N/A")</f>
        <v>N/A</v>
      </c>
      <c r="BE11" s="424"/>
      <c r="BF11" s="688" cm="1">
        <f t="array" ref="BF11">_xlfn.IFERROR(O11-E11+Q11,"N/A")</f>
        <v>10341447.1576981</v>
      </c>
      <c r="BG11" s="688" cm="1">
        <f t="array" ref="BG11">_xlfn.IFERROR(BF11*0.5%,"N/A")</f>
        <v>51707.2357884905</v>
      </c>
      <c r="BH11" s="688" cm="1">
        <f t="array" ref="BH11">_xlfn.IFERROR(BF11*25%,"N/A")</f>
        <v>2585361.78942453</v>
      </c>
      <c r="BI11" s="690" cm="1">
        <f t="array" ref="BI11">IF(B11&gt;0,SUM(BF11:BH11),"N/A")</f>
        <v>12978516.1829111</v>
      </c>
      <c r="BJ11" s="690" cm="1">
        <f t="array" ref="BJ11">BI11/B11</f>
        <v>2163086.03048518</v>
      </c>
      <c r="BK11" s="424"/>
      <c r="BL11" s="688"/>
      <c r="BM11" s="688"/>
      <c r="BN11" s="688"/>
      <c r="BO11" s="688"/>
      <c r="BP11" s="688"/>
      <c r="BQ11" s="688"/>
      <c r="BR11" s="688"/>
      <c r="BS11" s="692"/>
    </row>
    <row r="12" ht="15" customHeight="1">
      <c r="A12" s="12"/>
      <c r="B12" s="693">
        <v>7</v>
      </c>
      <c r="C12" s="688" cm="1">
        <f t="array" ref="C12">IF(B12&gt;0,IF(VLOOKUP(C1,'Boats Data Sheet 2026'!$C$3:$J$57,8,0)="N/A",0,VLOOKUP(C1,'Boats Data Sheet 2026'!$C$3:$J$57,8,0)),"N/A")</f>
        <v>5675000</v>
      </c>
      <c r="D12" s="694">
        <v>2</v>
      </c>
      <c r="E12" s="688" cm="1">
        <f t="array" ref="E12">_xlfn.IFERROR(SUM('Direct Costs 2026'!$C$7:$C$8,'Direct Costs 2026'!$C$46)*D12,"N/A")</f>
        <v>2420000</v>
      </c>
      <c r="F12" s="688" cm="1">
        <f t="array" ref="F12">_xlfn.IFERROR('Direct Costs 2026'!$C$43*B12,"N/A")</f>
        <v>42000</v>
      </c>
      <c r="G12" s="688" cm="1">
        <f t="array" ref="G12">IF(B12&gt;0,'Direct Costs 2026'!$C$25,"N/A")</f>
        <v>90000</v>
      </c>
      <c r="H12" s="688" cm="1">
        <f t="array" ref="H12">IF(B12&gt;0,('Direct Costs 2026'!$C$14+'Direct Costs 2026'!$C$22),"N/A")</f>
        <v>260000</v>
      </c>
      <c r="I12" s="688" cm="1">
        <f t="array" ref="I12">IF(B12&gt;0,'Direct Costs 2026'!$C$26,"N/A")</f>
        <v>20000</v>
      </c>
      <c r="J12" s="688" cm="1">
        <f t="array" ref="J12">IF(B12&gt;0,'Direct Costs 2026'!$C$23,"N/A")</f>
        <v>140000</v>
      </c>
      <c r="K12" s="688" cm="1">
        <f t="array" ref="K12">IF(B12&gt;0,'Direct Costs 2026'!$C$48*(B12),"N/A")</f>
        <v>1190000</v>
      </c>
      <c r="L12" s="688">
        <v>0</v>
      </c>
      <c r="M12" t="str" s="689" cm="1">
        <f t="array" ref="M12">IF(B12&gt;0,IF(OR(VLOOKUP(C1,'Boats Data Sheet 2026'!$C$3:$F$57,4,0)="Own",VLOOKUP(C1,'Boats Data Sheet 2026'!$C$3:$F$57,4,0)="Management"),('Direct Costs 2026'!$C$37+'Direct Costs 2026'!$C$39),"N/A"),"N/A")</f>
        <v>N/A</v>
      </c>
      <c r="N12" s="688">
        <v>0</v>
      </c>
      <c r="O12" s="688" cm="1">
        <f t="array" ref="O12">_xlfn.IFERROR(C12+SUM(E12:N12),"N/A")</f>
        <v>9837000</v>
      </c>
      <c r="P12" s="424"/>
      <c r="Q12" s="688" cm="1">
        <f t="array" ref="Q12">IF(B12&gt;0,'Allocation OH and Target 2026'!$E$31,"N/A")</f>
        <v>3100447.15769812</v>
      </c>
      <c r="R12" s="688" cm="1">
        <f t="array" ref="R12">IF(B12&gt;0,'Direct Costs 2026'!$C$55*B12,"N/A")</f>
        <v>1486402.88888889</v>
      </c>
      <c r="S12" s="688" cm="1">
        <f t="array" ref="S12">_xlfn.IFERROR((Q12+R12),"N/A")</f>
        <v>4586850.04658701</v>
      </c>
      <c r="T12" s="424"/>
      <c r="U12" s="688" cm="1">
        <f t="array" ref="U12">_xlfn.IFERROR(S12+O12,"N/A")</f>
        <v>14423850.046587</v>
      </c>
      <c r="V12" s="688" cm="1">
        <f t="array" ref="V12">SUM('Direct Costs 2026'!$C$7:$C$8,'Direct Costs 2026'!$C$46)*2</f>
        <v>2420000</v>
      </c>
      <c r="W12" s="688" cm="1">
        <f t="array" ref="W12">IF(B12&gt;0,'Direct Costs 2026'!$C$9,"N/A")</f>
        <v>350000</v>
      </c>
      <c r="X12" s="688" cm="1">
        <f t="array" ref="X12">(B12-3)*'Direct Costs 2026'!$C$52</f>
        <v>1400000</v>
      </c>
      <c r="Y12" s="688" cm="1">
        <f t="array" ref="Y12">_xlfn.IFERROR((U12+W12)*0.5%,"N/A")</f>
        <v>73869.250232935</v>
      </c>
      <c r="Z12" s="688" cm="1">
        <f t="array" ref="Z12">_xlfn.IFERROR((U12+W12+Y12+X12+V12)*25%,"N/A")</f>
        <v>4666929.82420498</v>
      </c>
      <c r="AA12" s="688" cm="1">
        <f t="array" ref="AA12">IF(B12&gt;0,SUM(U12:Z12),"N/A")</f>
        <v>23334649.1210249</v>
      </c>
      <c r="AB12" s="688" cm="1">
        <f t="array" ref="AB12">ROUND(AA12/B12,-4)</f>
        <v>3330000</v>
      </c>
      <c r="AC12" s="690" cm="1">
        <f t="array" ref="AC12">_xlfn.IFERROR(AB12-BJ12,"N/A")</f>
        <v>1444371.97386984</v>
      </c>
      <c r="AD12" s="690" cm="1">
        <f t="array" ref="AD12">_xlfn.IFERROR(ROUND(AC12*B12,-4),"N/A")</f>
        <v>10110000</v>
      </c>
      <c r="AE12" s="424"/>
      <c r="AF12" t="s" s="695">
        <v>14</v>
      </c>
      <c r="AG12" t="str" s="689" cm="1">
        <f t="array" ref="AG12">_xlfn.IFERROR(SUM('Direct Costs 2026'!$C$7:$C$8,'Direct Costs 2026'!$C$46)*AF12,"N/A")</f>
        <v>N/A</v>
      </c>
      <c r="AH12" s="688"/>
      <c r="AI12" t="s" s="695">
        <v>14</v>
      </c>
      <c r="AJ12" t="str" s="689" cm="1">
        <f t="array" ref="AJ12">_xlfn.IFERROR((U12-E12+AG12+AI12+AH12),"N/A")</f>
        <v>N/A</v>
      </c>
      <c r="AK12" t="str" s="689" cm="1">
        <f t="array" ref="AK12">_xlfn.IFERROR((AI12+AJ12)*0.5%,"N/A")</f>
        <v>N/A</v>
      </c>
      <c r="AL12" t="str" s="689" cm="1">
        <f t="array" ref="AL12">_xlfn.IFERROR((AI12+AJ12+AK12)*25%,"N/A")</f>
        <v>N/A</v>
      </c>
      <c r="AM12" s="688" cm="1">
        <f t="array" ref="AM12">IF(AF12&gt;0,SUM(AJ12:AL12),"N/A")</f>
        <v>0</v>
      </c>
      <c r="AN12" t="s" s="695">
        <v>14</v>
      </c>
      <c r="AO12" t="str" s="673" cm="1">
        <f t="array" ref="AO12">_xlfn.IFERROR(AN12-BJ12,"N/A")</f>
        <v>N/A</v>
      </c>
      <c r="AP12" t="str" s="673" cm="1">
        <f t="array" ref="AP12">_xlfn.IFERROR(ROUND(AO12*B12,-4),"N/A")</f>
        <v>N/A</v>
      </c>
      <c r="AQ12" s="424"/>
      <c r="AR12" t="s" s="695">
        <v>14</v>
      </c>
      <c r="AS12" t="str" s="689" cm="1">
        <f t="array" ref="AS12">_xlfn.IFERROR(SUM('Direct Costs 2026'!$C$7:$C$8,'Direct Costs 2026'!$C$46)*AR12,"N/A")</f>
        <v>N/A</v>
      </c>
      <c r="AT12" t="str" s="689" cm="1">
        <f t="array" ref="AT12">IF($AQ12&gt;0,'Direct Costs 2026'!$C$53*$AQ12,"N/A")</f>
        <v>N/A</v>
      </c>
      <c r="AU12" t="str" s="689" cm="1">
        <f t="array" ref="AU12">IF($AQ12&gt;0,'Direct Costs 2026'!$C$54*$AQ12,"N/A")</f>
        <v>N/A</v>
      </c>
      <c r="AV12" s="688"/>
      <c r="AW12" t="s" s="695">
        <v>14</v>
      </c>
      <c r="AX12" t="str" s="689" cm="1">
        <f t="array" ref="AX12">_xlfn.IFERROR((U12-E12+AS12+AW12+AT12+AU12),"N/A")</f>
        <v>N/A</v>
      </c>
      <c r="AY12" t="str" s="689" cm="1">
        <f t="array" ref="AY12">_xlfn.IFERROR((AW12+AX12)*0.5%,"N/A")</f>
        <v>N/A</v>
      </c>
      <c r="AZ12" t="str" s="689" cm="1">
        <f t="array" ref="AZ12">_xlfn.IFERROR((AX12+AY12)*25%,"N/A")</f>
        <v>N/A</v>
      </c>
      <c r="BA12" t="str" s="689" cm="1">
        <f t="array" ref="BA12">IF(AQ12&gt;0,SUM(AX12:AZ12),"N/A")</f>
        <v>N/A</v>
      </c>
      <c r="BB12" t="str" s="689" cm="1">
        <f t="array" ref="BB12">_xlfn.IFERROR(BA12/AQ12,"N/A")</f>
        <v>N/A</v>
      </c>
      <c r="BC12" t="str" s="673" cm="1">
        <f t="array" ref="BC12">_xlfn.IFERROR(BB12-BJ12,"N/A")</f>
        <v>N/A</v>
      </c>
      <c r="BD12" t="str" s="673" cm="1">
        <f t="array" ref="BD12">_xlfn.IFERROR(ROUND(BC12*AQ12,-4),"N/A")</f>
        <v>N/A</v>
      </c>
      <c r="BE12" s="424"/>
      <c r="BF12" s="688" cm="1">
        <f t="array" ref="BF12">_xlfn.IFERROR(O12-E12+Q12,"N/A")</f>
        <v>10517447.1576981</v>
      </c>
      <c r="BG12" s="688" cm="1">
        <f t="array" ref="BG12">_xlfn.IFERROR(BF12*0.5%,"N/A")</f>
        <v>52587.2357884905</v>
      </c>
      <c r="BH12" s="688" cm="1">
        <f t="array" ref="BH12">_xlfn.IFERROR(BF12*25%,"N/A")</f>
        <v>2629361.78942453</v>
      </c>
      <c r="BI12" s="690" cm="1">
        <f t="array" ref="BI12">IF(B12&gt;0,SUM(BF12:BH12),"N/A")</f>
        <v>13199396.1829111</v>
      </c>
      <c r="BJ12" s="690" cm="1">
        <f t="array" ref="BJ12">BI12/B12</f>
        <v>1885628.02613016</v>
      </c>
      <c r="BK12" s="424"/>
      <c r="BL12" s="688"/>
      <c r="BM12" s="688"/>
      <c r="BN12" s="688"/>
      <c r="BO12" s="688"/>
      <c r="BP12" s="688"/>
      <c r="BQ12" s="688"/>
      <c r="BR12" s="688"/>
      <c r="BS12" s="692"/>
    </row>
    <row r="13" ht="15" customHeight="1">
      <c r="A13" s="12"/>
      <c r="B13" s="693">
        <v>8</v>
      </c>
      <c r="C13" s="688" cm="1">
        <f t="array" ref="C13">IF(B13&gt;0,IF(VLOOKUP(C1,'Boats Data Sheet 2026'!$C$3:$J$57,8,0)="N/A",0,VLOOKUP(C1,'Boats Data Sheet 2026'!$C$3:$J$57,8,0)),"N/A")</f>
        <v>5675000</v>
      </c>
      <c r="D13" s="694">
        <v>2</v>
      </c>
      <c r="E13" s="688" cm="1">
        <f t="array" ref="E13">_xlfn.IFERROR(SUM('Direct Costs 2026'!$C$7:$C$8,'Direct Costs 2026'!$C$46)*D13,"N/A")</f>
        <v>2420000</v>
      </c>
      <c r="F13" s="688" cm="1">
        <f t="array" ref="F13">_xlfn.IFERROR('Direct Costs 2026'!$C$43*B13,"N/A")</f>
        <v>48000</v>
      </c>
      <c r="G13" s="688" cm="1">
        <f t="array" ref="G13">IF(B13&gt;0,'Direct Costs 2026'!$C$25,"N/A")</f>
        <v>90000</v>
      </c>
      <c r="H13" s="688" cm="1">
        <f t="array" ref="H13">IF(B13&gt;0,('Direct Costs 2026'!$C$14+'Direct Costs 2026'!$C$22),"N/A")</f>
        <v>260000</v>
      </c>
      <c r="I13" s="688" cm="1">
        <f t="array" ref="I13">IF(B13&gt;0,'Direct Costs 2026'!$C$26,"N/A")</f>
        <v>20000</v>
      </c>
      <c r="J13" s="688" cm="1">
        <f t="array" ref="J13">IF(B13&gt;0,'Direct Costs 2026'!$C$23,"N/A")</f>
        <v>140000</v>
      </c>
      <c r="K13" s="688" cm="1">
        <f t="array" ref="K13">IF(B13&gt;0,'Direct Costs 2026'!$C$48*(B13),"N/A")</f>
        <v>1360000</v>
      </c>
      <c r="L13" s="688">
        <v>0</v>
      </c>
      <c r="M13" t="str" s="689" cm="1">
        <f t="array" ref="M13">IF(B13&gt;0,IF(OR(VLOOKUP(C1,'Boats Data Sheet 2026'!$C$3:$F$57,4,0)="Own",VLOOKUP(C1,'Boats Data Sheet 2026'!$C$3:$F$57,4,0)="Management"),('Direct Costs 2026'!$C$37+'Direct Costs 2026'!$C$39),"N/A"),"N/A")</f>
        <v>N/A</v>
      </c>
      <c r="N13" s="688">
        <v>0</v>
      </c>
      <c r="O13" s="688" cm="1">
        <f t="array" ref="O13">_xlfn.IFERROR(C13+SUM(E13:N13),"N/A")</f>
        <v>10013000</v>
      </c>
      <c r="P13" s="424"/>
      <c r="Q13" s="688" cm="1">
        <f t="array" ref="Q13">IF(B13&gt;0,'Allocation OH and Target 2026'!$E$31,"N/A")</f>
        <v>3100447.15769812</v>
      </c>
      <c r="R13" s="688" cm="1">
        <f t="array" ref="R13">IF(B13&gt;0,'Direct Costs 2026'!$C$55*B13,"N/A")</f>
        <v>1698746.15873016</v>
      </c>
      <c r="S13" s="688" cm="1">
        <f t="array" ref="S13">_xlfn.IFERROR((Q13+R13),"N/A")</f>
        <v>4799193.31642828</v>
      </c>
      <c r="T13" s="424"/>
      <c r="U13" s="688" cm="1">
        <f t="array" ref="U13">_xlfn.IFERROR(S13+O13,"N/A")</f>
        <v>14812193.3164283</v>
      </c>
      <c r="V13" s="688" cm="1">
        <f t="array" ref="V13">SUM('Direct Costs 2026'!$C$7:$C$8,'Direct Costs 2026'!$C$46)*2</f>
        <v>2420000</v>
      </c>
      <c r="W13" s="688" cm="1">
        <f t="array" ref="W13">IF(B13&gt;0,'Direct Costs 2026'!$C$9,"N/A")</f>
        <v>350000</v>
      </c>
      <c r="X13" s="688" cm="1">
        <f t="array" ref="X13">(B13-3)*'Direct Costs 2026'!$C$52</f>
        <v>1750000</v>
      </c>
      <c r="Y13" s="688" cm="1">
        <f t="array" ref="Y13">_xlfn.IFERROR((U13+W13)*0.5%,"N/A")</f>
        <v>75810.9665821415</v>
      </c>
      <c r="Z13" s="688" cm="1">
        <f t="array" ref="Z13">_xlfn.IFERROR((U13+W13+Y13+X13+V13)*25%,"N/A")</f>
        <v>4852001.07075261</v>
      </c>
      <c r="AA13" s="688" cm="1">
        <f t="array" ref="AA13">IF(B13&gt;0,SUM(U13:Z13),"N/A")</f>
        <v>24260005.3537631</v>
      </c>
      <c r="AB13" s="688" cm="1">
        <f t="array" ref="AB13">ROUND(AA13/B13,-4)</f>
        <v>3030000</v>
      </c>
      <c r="AC13" s="690" cm="1">
        <f t="array" ref="AC13">_xlfn.IFERROR(AB13-BJ13,"N/A")</f>
        <v>1352465.47713611</v>
      </c>
      <c r="AD13" s="690" cm="1">
        <f t="array" ref="AD13">_xlfn.IFERROR(ROUND(AC13*B13,-4),"N/A")</f>
        <v>10820000</v>
      </c>
      <c r="AE13" s="424"/>
      <c r="AF13" t="s" s="695">
        <v>14</v>
      </c>
      <c r="AG13" t="str" s="689" cm="1">
        <f t="array" ref="AG13">_xlfn.IFERROR(SUM('Direct Costs 2026'!$C$7:$C$8,'Direct Costs 2026'!$C$46)*AF13,"N/A")</f>
        <v>N/A</v>
      </c>
      <c r="AH13" s="688"/>
      <c r="AI13" t="s" s="695">
        <v>14</v>
      </c>
      <c r="AJ13" t="str" s="689" cm="1">
        <f t="array" ref="AJ13">_xlfn.IFERROR((U13-E13+AG13+AI13+AH13),"N/A")</f>
        <v>N/A</v>
      </c>
      <c r="AK13" t="str" s="689" cm="1">
        <f t="array" ref="AK13">_xlfn.IFERROR((AI13+AJ13)*0.5%,"N/A")</f>
        <v>N/A</v>
      </c>
      <c r="AL13" t="str" s="689" cm="1">
        <f t="array" ref="AL13">_xlfn.IFERROR((AI13+AJ13+AK13)*25%,"N/A")</f>
        <v>N/A</v>
      </c>
      <c r="AM13" s="688" cm="1">
        <f t="array" ref="AM13">IF(AF13&gt;0,SUM(AJ13:AL13),"N/A")</f>
        <v>0</v>
      </c>
      <c r="AN13" t="s" s="695">
        <v>14</v>
      </c>
      <c r="AO13" t="str" s="673" cm="1">
        <f t="array" ref="AO13">_xlfn.IFERROR(AN13-BJ13,"N/A")</f>
        <v>N/A</v>
      </c>
      <c r="AP13" t="str" s="673" cm="1">
        <f t="array" ref="AP13">_xlfn.IFERROR(ROUND(AO13*B13,-4),"N/A")</f>
        <v>N/A</v>
      </c>
      <c r="AQ13" s="424"/>
      <c r="AR13" t="s" s="695">
        <v>14</v>
      </c>
      <c r="AS13" t="str" s="689" cm="1">
        <f t="array" ref="AS13">_xlfn.IFERROR(SUM('Direct Costs 2026'!$C$7:$C$8,'Direct Costs 2026'!$C$46)*AR13,"N/A")</f>
        <v>N/A</v>
      </c>
      <c r="AT13" t="str" s="689" cm="1">
        <f t="array" ref="AT13">IF($AQ13&gt;0,'Direct Costs 2026'!$C$53*$AQ13,"N/A")</f>
        <v>N/A</v>
      </c>
      <c r="AU13" t="str" s="689" cm="1">
        <f t="array" ref="AU13">IF($AQ13&gt;0,'Direct Costs 2026'!$C$54*$AQ13,"N/A")</f>
        <v>N/A</v>
      </c>
      <c r="AV13" s="688"/>
      <c r="AW13" t="s" s="695">
        <v>14</v>
      </c>
      <c r="AX13" t="str" s="689" cm="1">
        <f t="array" ref="AX13">_xlfn.IFERROR((U13-E13+AS13+AW13+AT13+AU13),"N/A")</f>
        <v>N/A</v>
      </c>
      <c r="AY13" t="str" s="689" cm="1">
        <f t="array" ref="AY13">_xlfn.IFERROR((AW13+AX13)*0.5%,"N/A")</f>
        <v>N/A</v>
      </c>
      <c r="AZ13" t="str" s="689" cm="1">
        <f t="array" ref="AZ13">_xlfn.IFERROR((AX13+AY13)*25%,"N/A")</f>
        <v>N/A</v>
      </c>
      <c r="BA13" t="str" s="689" cm="1">
        <f t="array" ref="BA13">IF(AQ13&gt;0,SUM(AX13:AZ13),"N/A")</f>
        <v>N/A</v>
      </c>
      <c r="BB13" t="str" s="689" cm="1">
        <f t="array" ref="BB13">_xlfn.IFERROR(BA13/AQ13,"N/A")</f>
        <v>N/A</v>
      </c>
      <c r="BC13" t="str" s="673" cm="1">
        <f t="array" ref="BC13">_xlfn.IFERROR(BB13-BJ13,"N/A")</f>
        <v>N/A</v>
      </c>
      <c r="BD13" t="str" s="673" cm="1">
        <f t="array" ref="BD13">_xlfn.IFERROR(ROUND(BC13*AQ13,-4),"N/A")</f>
        <v>N/A</v>
      </c>
      <c r="BE13" s="424"/>
      <c r="BF13" s="688" cm="1">
        <f t="array" ref="BF13">_xlfn.IFERROR(O13-E13+Q13,"N/A")</f>
        <v>10693447.1576981</v>
      </c>
      <c r="BG13" s="688" cm="1">
        <f t="array" ref="BG13">_xlfn.IFERROR(BF13*0.5%,"N/A")</f>
        <v>53467.2357884905</v>
      </c>
      <c r="BH13" s="688" cm="1">
        <f t="array" ref="BH13">_xlfn.IFERROR(BF13*25%,"N/A")</f>
        <v>2673361.78942453</v>
      </c>
      <c r="BI13" s="690" cm="1">
        <f t="array" ref="BI13">IF(B13&gt;0,SUM(BF13:BH13),"N/A")</f>
        <v>13420276.1829111</v>
      </c>
      <c r="BJ13" s="690" cm="1">
        <f t="array" ref="BJ13">BI13/B13</f>
        <v>1677534.52286389</v>
      </c>
      <c r="BK13" s="424"/>
      <c r="BL13" s="688"/>
      <c r="BM13" s="688"/>
      <c r="BN13" s="688"/>
      <c r="BO13" s="688"/>
      <c r="BP13" s="688"/>
      <c r="BQ13" s="688"/>
      <c r="BR13" s="688"/>
      <c r="BS13" s="692"/>
    </row>
    <row r="14" ht="15" customHeight="1">
      <c r="A14" s="12"/>
      <c r="B14" s="693">
        <v>0</v>
      </c>
      <c r="C14" t="str" s="689" cm="1">
        <f t="array" ref="C14">IF(B14&gt;0,IF(VLOOKUP(C1,'Boats Data Sheet 2026'!$C$3:$J$57,8,0)="N/A",0,VLOOKUP(C1,'Boats Data Sheet 2026'!$C$3:$J$57,8,0)),"N/A")</f>
        <v>N/A</v>
      </c>
      <c r="D14" t="str" s="689" cm="1">
        <f t="array" ref="D14">IF(B14&gt;7,2,IF(B14=0,"N/A",1))</f>
        <v>N/A</v>
      </c>
      <c r="E14" t="str" s="689" cm="1">
        <f t="array" ref="E14">_xlfn.IFERROR(SUM('Direct Costs 2026'!$C$7:$C$8,'Direct Costs 2026'!$C$46)*D14,"N/A")</f>
        <v>N/A</v>
      </c>
      <c r="F14" s="688" cm="1">
        <f t="array" ref="F14">_xlfn.IFERROR('Direct Costs 2026'!$C$43*B14,"N/A")</f>
        <v>0</v>
      </c>
      <c r="G14" t="str" s="689" cm="1">
        <f t="array" ref="G14">IF(B14&gt;0,'Direct Costs 2026'!$C$25,"N/A")</f>
        <v>N/A</v>
      </c>
      <c r="H14" t="str" s="689" cm="1">
        <f t="array" ref="H14">IF(B14&gt;0,('Direct Costs 2026'!$C$14+'Direct Costs 2026'!$C$22),"N/A")</f>
        <v>N/A</v>
      </c>
      <c r="I14" t="str" s="689" cm="1">
        <f t="array" ref="I14">IF(B14&gt;0,'Direct Costs 2026'!$C$26,"N/A")</f>
        <v>N/A</v>
      </c>
      <c r="J14" t="str" s="689" cm="1">
        <f t="array" ref="J14">IF(B14&gt;0,'Direct Costs 2026'!$C$23,"N/A")</f>
        <v>N/A</v>
      </c>
      <c r="K14" t="str" s="689" cm="1">
        <f t="array" ref="K14">IF(B14&gt;0,'Direct Costs 2026'!$C$48*(B14),"N/A")</f>
        <v>N/A</v>
      </c>
      <c r="L14" t="str" s="689" cm="1">
        <f t="array" ref="L14">IF(B14&gt;0,SUM('Direct Costs 2026'!$C$67:$C$68)*D14,"N/A")</f>
        <v>N/A</v>
      </c>
      <c r="M14" t="str" s="689" cm="1">
        <f t="array" ref="M14">IF(B14&gt;0,IF(OR(VLOOKUP(C1,'Boats Data Sheet 2026'!$C$3:$F$57,4,0)="Own",VLOOKUP(C1,'Boats Data Sheet 2026'!$C$3:$F$57,4,0)="Management"),('Direct Costs 2026'!$C$37+'Direct Costs 2026'!$C$39),"N/A"),"N/A")</f>
        <v>N/A</v>
      </c>
      <c r="N14" s="688">
        <v>0</v>
      </c>
      <c r="O14" t="str" s="689" cm="1">
        <f t="array" ref="O14">_xlfn.IFERROR(C14+SUM(E14:N14),"N/A")</f>
        <v>N/A</v>
      </c>
      <c r="P14" s="424"/>
      <c r="Q14" t="str" s="689" cm="1">
        <f t="array" ref="Q14">IF(B14&gt;0,'Allocation OH and Target 2026'!$E$31,"N/A")</f>
        <v>N/A</v>
      </c>
      <c r="R14" t="str" s="689" cm="1">
        <f t="array" ref="R14">IF(B14&gt;0,'Direct Costs 2026'!$C$55*B14,"N/A")</f>
        <v>N/A</v>
      </c>
      <c r="S14" t="str" s="689" cm="1">
        <f t="array" ref="S14">_xlfn.IFERROR((Q14+R14),"N/A")</f>
        <v>N/A</v>
      </c>
      <c r="T14" s="424"/>
      <c r="U14" t="str" s="689" cm="1">
        <f t="array" ref="U14">_xlfn.IFERROR(S14+O14,"N/A")</f>
        <v>N/A</v>
      </c>
      <c r="V14" s="688"/>
      <c r="W14" t="str" s="689" cm="1">
        <f t="array" ref="W14">IF(B14&gt;0,'Direct Costs 2026'!$C$9,"N/A")</f>
        <v>N/A</v>
      </c>
      <c r="X14" s="688">
        <v>0</v>
      </c>
      <c r="Y14" t="str" s="689" cm="1">
        <f t="array" ref="Y14">_xlfn.IFERROR((U14+W14)*0.5%,"N/A")</f>
        <v>N/A</v>
      </c>
      <c r="Z14" t="str" s="689" cm="1">
        <f t="array" ref="Z14">_xlfn.IFERROR((U14+W14+Y14+X14+V14)*25%,"N/A")</f>
        <v>N/A</v>
      </c>
      <c r="AA14" t="str" s="689" cm="1">
        <f t="array" ref="AA14">IF(B14&gt;0,SUM(U14:Z14),"N/A")</f>
        <v>N/A</v>
      </c>
      <c r="AB14" t="str" s="689" cm="1">
        <f t="array" ref="AB14">_xlfn.IFERROR((AA14-AVERAGE(AA6:AA11)),"N/A")</f>
        <v>N/A</v>
      </c>
      <c r="AC14" t="str" s="673" cm="1">
        <f t="array" ref="AC14">_xlfn.IFERROR(AB14-BJ14,"N/A")</f>
        <v>N/A</v>
      </c>
      <c r="AD14" t="str" s="673" cm="1">
        <f t="array" ref="AD14">_xlfn.IFERROR(ROUND(AC14*B14,-4),"N/A")</f>
        <v>N/A</v>
      </c>
      <c r="AE14" s="424"/>
      <c r="AF14" t="s" s="695">
        <v>14</v>
      </c>
      <c r="AG14" t="str" s="689" cm="1">
        <f t="array" ref="AG14">_xlfn.IFERROR(SUM('Direct Costs 2026'!$C$7:$C$8,'Direct Costs 2026'!$C$46)*AF14,"N/A")</f>
        <v>N/A</v>
      </c>
      <c r="AH14" s="688"/>
      <c r="AI14" t="str" s="689" cm="1">
        <f t="array" ref="AI14">IF(B14&gt;0,'Direct Costs 2026'!$C$9,"N/A")</f>
        <v>N/A</v>
      </c>
      <c r="AJ14" t="str" s="689" cm="1">
        <f t="array" ref="AJ14">_xlfn.IFERROR((U14-E14+AG14+AI14+AH14),"N/A")</f>
        <v>N/A</v>
      </c>
      <c r="AK14" t="str" s="689" cm="1">
        <f t="array" ref="AK14">_xlfn.IFERROR((AI14+AJ14)*0.5%,"N/A")</f>
        <v>N/A</v>
      </c>
      <c r="AL14" t="str" s="689" cm="1">
        <f t="array" ref="AL14">_xlfn.IFERROR((AI14+AJ14+AK14)*25%,"N/A")</f>
        <v>N/A</v>
      </c>
      <c r="AM14" s="688" cm="1">
        <f t="array" ref="AM14">IF(AF14&gt;0,SUM(AJ14:AL14),"N/A")</f>
        <v>0</v>
      </c>
      <c r="AN14" t="s" s="695">
        <v>14</v>
      </c>
      <c r="AO14" t="str" s="673" cm="1">
        <f t="array" ref="AO14">_xlfn.IFERROR(AN14-BJ14,"N/A")</f>
        <v>N/A</v>
      </c>
      <c r="AP14" t="str" s="673" cm="1">
        <f t="array" ref="AP14">_xlfn.IFERROR(ROUND(AO14*B14,-4),"N/A")</f>
        <v>N/A</v>
      </c>
      <c r="AQ14" s="424"/>
      <c r="AR14" t="s" s="695">
        <v>14</v>
      </c>
      <c r="AS14" t="str" s="689" cm="1">
        <f t="array" ref="AS14">_xlfn.IFERROR(SUM('Direct Costs 2026'!$C$7:$C$8,'Direct Costs 2026'!$C$46)*AR14,"N/A")</f>
        <v>N/A</v>
      </c>
      <c r="AT14" t="str" s="689" cm="1">
        <f t="array" ref="AT14">IF($AQ14&gt;0,'Direct Costs 2026'!$C$53*$AQ14,"N/A")</f>
        <v>N/A</v>
      </c>
      <c r="AU14" t="str" s="689" cm="1">
        <f t="array" ref="AU14">IF($AQ14&gt;0,'Direct Costs 2026'!$C$54*$AQ14,"N/A")</f>
        <v>N/A</v>
      </c>
      <c r="AV14" s="688"/>
      <c r="AW14" t="str" s="689" cm="1">
        <f t="array" ref="AW14">IF(B14&gt;0,'Direct Costs 2026'!$C$9,"N/A")</f>
        <v>N/A</v>
      </c>
      <c r="AX14" t="str" s="689" cm="1">
        <f t="array" ref="AX14">_xlfn.IFERROR((U14-E14+AS14+AW14+AT14+AU14),"N/A")</f>
        <v>N/A</v>
      </c>
      <c r="AY14" t="str" s="689" cm="1">
        <f t="array" ref="AY14">_xlfn.IFERROR((AW14+AX14)*0.5%,"N/A")</f>
        <v>N/A</v>
      </c>
      <c r="AZ14" t="str" s="689" cm="1">
        <f t="array" ref="AZ14">_xlfn.IFERROR((AX14+AY14)*25%,"N/A")</f>
        <v>N/A</v>
      </c>
      <c r="BA14" t="str" s="689" cm="1">
        <f t="array" ref="BA14">IF(AQ14&gt;0,SUM(AX14:AZ14),"N/A")</f>
        <v>N/A</v>
      </c>
      <c r="BB14" t="str" s="689" cm="1">
        <f t="array" ref="BB14">_xlfn.IFERROR(BA14/AQ14,"N/A")</f>
        <v>N/A</v>
      </c>
      <c r="BC14" t="str" s="673" cm="1">
        <f t="array" ref="BC14">_xlfn.IFERROR(BB14-BJ14,"N/A")</f>
        <v>N/A</v>
      </c>
      <c r="BD14" t="str" s="673" cm="1">
        <f t="array" ref="BD14">_xlfn.IFERROR(ROUND(BC14*AQ14,-4),"N/A")</f>
        <v>N/A</v>
      </c>
      <c r="BE14" s="424"/>
      <c r="BF14" t="str" s="689" cm="1">
        <f t="array" ref="BF14">_xlfn.IFERROR(O14-E14+Q14,"N/A")</f>
        <v>N/A</v>
      </c>
      <c r="BG14" t="str" s="689" cm="1">
        <f t="array" ref="BG14">_xlfn.IFERROR(BF14*0.5%,"N/A")</f>
        <v>N/A</v>
      </c>
      <c r="BH14" t="str" s="689" cm="1">
        <f t="array" ref="BH14">_xlfn.IFERROR(BF14*25%,"N/A")</f>
        <v>N/A</v>
      </c>
      <c r="BI14" t="str" s="673" cm="1">
        <f t="array" ref="BI14">IF(B14&gt;0,SUM(BF14:BH14),"N/A")</f>
        <v>N/A</v>
      </c>
      <c r="BJ14" t="str" s="673" cm="1">
        <f t="array" ref="BJ14">_xlfn.IFERROR((BI14-AVERAGE(BI6:BI11)),"N/A")</f>
        <v>N/A</v>
      </c>
      <c r="BK14" s="424"/>
      <c r="BL14" s="688"/>
      <c r="BM14" s="688"/>
      <c r="BN14" s="688"/>
      <c r="BO14" s="688"/>
      <c r="BP14" s="688"/>
      <c r="BQ14" s="688"/>
      <c r="BR14" s="688"/>
      <c r="BS14" s="692"/>
    </row>
    <row r="15" ht="15" customHeight="1">
      <c r="A15" s="12"/>
      <c r="B15" s="693">
        <v>0</v>
      </c>
      <c r="C15" t="str" s="689" cm="1">
        <f t="array" ref="C15">IF(B15&gt;0,IF(VLOOKUP(C1,'Boats Data Sheet 2026'!$C$3:$J$57,8,0)="N/A",0,VLOOKUP(C1,'Boats Data Sheet 2026'!$C$3:$J$57,8,0)),"N/A")</f>
        <v>N/A</v>
      </c>
      <c r="D15" t="str" s="689" cm="1">
        <f t="array" ref="D15">IF(B15&gt;7,2,IF(B15=0,"N/A",1))</f>
        <v>N/A</v>
      </c>
      <c r="E15" t="str" s="689" cm="1">
        <f t="array" ref="E15">_xlfn.IFERROR(SUM('Direct Costs 2026'!$C$7:$C$8,'Direct Costs 2026'!$C$46)*D15,"N/A")</f>
        <v>N/A</v>
      </c>
      <c r="F15" s="688" cm="1">
        <f t="array" ref="F15">_xlfn.IFERROR('Direct Costs 2026'!$C$43*B15,"N/A")</f>
        <v>0</v>
      </c>
      <c r="G15" t="str" s="689" cm="1">
        <f t="array" ref="G15">IF(B15&gt;0,'Direct Costs 2026'!$C$25,"N/A")</f>
        <v>N/A</v>
      </c>
      <c r="H15" t="str" s="689" cm="1">
        <f t="array" ref="H15">IF(B15&gt;0,('Direct Costs 2026'!$C$14+'Direct Costs 2026'!$C$22),"N/A")</f>
        <v>N/A</v>
      </c>
      <c r="I15" t="str" s="689" cm="1">
        <f t="array" ref="I15">IF(B15&gt;0,'Direct Costs 2026'!$C$26,"N/A")</f>
        <v>N/A</v>
      </c>
      <c r="J15" t="str" s="689" cm="1">
        <f t="array" ref="J15">IF(B15&gt;0,'Direct Costs 2026'!$C$23,"N/A")</f>
        <v>N/A</v>
      </c>
      <c r="K15" t="str" s="689" cm="1">
        <f t="array" ref="K15">IF(B15&gt;0,'Direct Costs 2026'!$C$48*(B15),"N/A")</f>
        <v>N/A</v>
      </c>
      <c r="L15" t="str" s="689" cm="1">
        <f t="array" ref="L15">IF(B15&gt;0,SUM('Direct Costs 2026'!$C$67:$C$68)*D15,"N/A")</f>
        <v>N/A</v>
      </c>
      <c r="M15" t="str" s="689" cm="1">
        <f t="array" ref="M15">IF(B15&gt;0,IF(OR(VLOOKUP(C1,'Boats Data Sheet 2026'!$C$3:$F$57,4,0)="Own",VLOOKUP(C1,'Boats Data Sheet 2026'!$C$3:$F$57,4,0)="Management"),('Direct Costs 2026'!$C$37+'Direct Costs 2026'!$C$39),"N/A"),"N/A")</f>
        <v>N/A</v>
      </c>
      <c r="N15" s="688">
        <v>0</v>
      </c>
      <c r="O15" t="str" s="689" cm="1">
        <f t="array" ref="O15">_xlfn.IFERROR(C15+SUM(E15:N15),"N/A")</f>
        <v>N/A</v>
      </c>
      <c r="P15" s="424"/>
      <c r="Q15" t="str" s="689" cm="1">
        <f t="array" ref="Q15">IF(B15&gt;0,'Allocation OH and Target 2026'!$E$31,"N/A")</f>
        <v>N/A</v>
      </c>
      <c r="R15" t="str" s="689" cm="1">
        <f t="array" ref="R15">IF(B15&gt;0,'Direct Costs 2026'!$C$55*B15,"N/A")</f>
        <v>N/A</v>
      </c>
      <c r="S15" t="str" s="689" cm="1">
        <f t="array" ref="S15">_xlfn.IFERROR((Q15+R15),"N/A")</f>
        <v>N/A</v>
      </c>
      <c r="T15" s="424"/>
      <c r="U15" t="str" s="689" cm="1">
        <f t="array" ref="U15">_xlfn.IFERROR(S15+O15,"N/A")</f>
        <v>N/A</v>
      </c>
      <c r="V15" s="688"/>
      <c r="W15" t="str" s="689" cm="1">
        <f t="array" ref="W15">IF(B15&gt;0,'Direct Costs 2026'!$C$9,"N/A")</f>
        <v>N/A</v>
      </c>
      <c r="X15" s="688">
        <v>0</v>
      </c>
      <c r="Y15" t="str" s="689" cm="1">
        <f t="array" ref="Y15">_xlfn.IFERROR((U15+W15)*0.5%,"N/A")</f>
        <v>N/A</v>
      </c>
      <c r="Z15" t="str" s="689" cm="1">
        <f t="array" ref="Z15">_xlfn.IFERROR((U15+W15+Y15+X15+V15)*25%,"N/A")</f>
        <v>N/A</v>
      </c>
      <c r="AA15" t="str" s="689" cm="1">
        <f t="array" ref="AA15">IF(B15&gt;0,SUM(U15:Z15),"N/A")</f>
        <v>N/A</v>
      </c>
      <c r="AB15" t="str" s="689" cm="1">
        <f t="array" ref="AB15">_xlfn.IFERROR((AA15-AVERAGE(AA6:AA11)),"N/A")</f>
        <v>N/A</v>
      </c>
      <c r="AC15" t="str" s="673" cm="1">
        <f t="array" ref="AC15">_xlfn.IFERROR(AB15-BJ15,"N/A")</f>
        <v>N/A</v>
      </c>
      <c r="AD15" t="str" s="673" cm="1">
        <f t="array" ref="AD15">_xlfn.IFERROR(ROUND(AC15*B15,-4),"N/A")</f>
        <v>N/A</v>
      </c>
      <c r="AE15" s="424"/>
      <c r="AF15" t="s" s="695">
        <v>14</v>
      </c>
      <c r="AG15" t="str" s="689" cm="1">
        <f t="array" ref="AG15">_xlfn.IFERROR(SUM('Direct Costs 2026'!$C$7:$C$8,'Direct Costs 2026'!$C$46)*AF15,"N/A")</f>
        <v>N/A</v>
      </c>
      <c r="AH15" s="688"/>
      <c r="AI15" t="str" s="689" cm="1">
        <f t="array" ref="AI15">IF(B15&gt;0,'Direct Costs 2026'!$C$9,"N/A")</f>
        <v>N/A</v>
      </c>
      <c r="AJ15" t="str" s="689" cm="1">
        <f t="array" ref="AJ15">_xlfn.IFERROR((U15-E15+AG15+AI15+AH15),"N/A")</f>
        <v>N/A</v>
      </c>
      <c r="AK15" t="str" s="689" cm="1">
        <f t="array" ref="AK15">_xlfn.IFERROR((AI15+AJ15)*0.5%,"N/A")</f>
        <v>N/A</v>
      </c>
      <c r="AL15" t="str" s="689" cm="1">
        <f t="array" ref="AL15">_xlfn.IFERROR((AI15+AJ15+AK15)*25%,"N/A")</f>
        <v>N/A</v>
      </c>
      <c r="AM15" s="688" cm="1">
        <f t="array" ref="AM15">IF(AF15&gt;0,SUM(AJ15:AL15),"N/A")</f>
        <v>0</v>
      </c>
      <c r="AN15" t="s" s="695">
        <v>14</v>
      </c>
      <c r="AO15" t="str" s="673" cm="1">
        <f t="array" ref="AO15">_xlfn.IFERROR(AN15-BJ15,"N/A")</f>
        <v>N/A</v>
      </c>
      <c r="AP15" t="str" s="673" cm="1">
        <f t="array" ref="AP15">_xlfn.IFERROR(ROUND(AO15*B15,-4),"N/A")</f>
        <v>N/A</v>
      </c>
      <c r="AQ15" s="424"/>
      <c r="AR15" t="s" s="695">
        <v>14</v>
      </c>
      <c r="AS15" t="str" s="689" cm="1">
        <f t="array" ref="AS15">_xlfn.IFERROR(SUM('Direct Costs 2026'!$C$7:$C$8,'Direct Costs 2026'!$C$46)*AR15,"N/A")</f>
        <v>N/A</v>
      </c>
      <c r="AT15" t="str" s="689" cm="1">
        <f t="array" ref="AT15">IF($AQ15&gt;0,'Direct Costs 2026'!$C$53*$AQ15,"N/A")</f>
        <v>N/A</v>
      </c>
      <c r="AU15" t="str" s="689" cm="1">
        <f t="array" ref="AU15">IF($AQ15&gt;0,'Direct Costs 2026'!$C$54*$AQ15,"N/A")</f>
        <v>N/A</v>
      </c>
      <c r="AV15" s="688"/>
      <c r="AW15" t="str" s="689" cm="1">
        <f t="array" ref="AW15">IF(B15&gt;0,'Direct Costs 2026'!$C$9,"N/A")</f>
        <v>N/A</v>
      </c>
      <c r="AX15" t="str" s="689" cm="1">
        <f t="array" ref="AX15">_xlfn.IFERROR((U15-E15+AS15+AW15+AT15+AU15),"N/A")</f>
        <v>N/A</v>
      </c>
      <c r="AY15" t="str" s="689" cm="1">
        <f t="array" ref="AY15">_xlfn.IFERROR((AW15+AX15)*0.5%,"N/A")</f>
        <v>N/A</v>
      </c>
      <c r="AZ15" t="str" s="689" cm="1">
        <f t="array" ref="AZ15">_xlfn.IFERROR((AX15+AY15)*25%,"N/A")</f>
        <v>N/A</v>
      </c>
      <c r="BA15" t="str" s="689" cm="1">
        <f t="array" ref="BA15">IF(AQ15&gt;0,SUM(AX15:AZ15),"N/A")</f>
        <v>N/A</v>
      </c>
      <c r="BB15" t="str" s="689" cm="1">
        <f t="array" ref="BB15">_xlfn.IFERROR(BA15/AQ15,"N/A")</f>
        <v>N/A</v>
      </c>
      <c r="BC15" t="str" s="673" cm="1">
        <f t="array" ref="BC15">_xlfn.IFERROR(BB15-BJ15,"N/A")</f>
        <v>N/A</v>
      </c>
      <c r="BD15" t="str" s="673" cm="1">
        <f t="array" ref="BD15">_xlfn.IFERROR(ROUND(BC15*AQ15,-4),"N/A")</f>
        <v>N/A</v>
      </c>
      <c r="BE15" s="424"/>
      <c r="BF15" t="str" s="689" cm="1">
        <f t="array" ref="BF15">_xlfn.IFERROR(O15-E15+Q15,"N/A")</f>
        <v>N/A</v>
      </c>
      <c r="BG15" t="str" s="689" cm="1">
        <f t="array" ref="BG15">_xlfn.IFERROR(BF15*0.5%,"N/A")</f>
        <v>N/A</v>
      </c>
      <c r="BH15" t="str" s="689" cm="1">
        <f t="array" ref="BH15">_xlfn.IFERROR(BF15*25%,"N/A")</f>
        <v>N/A</v>
      </c>
      <c r="BI15" t="str" s="673" cm="1">
        <f t="array" ref="BI15">IF(B15&gt;0,SUM(BF15:BH15),"N/A")</f>
        <v>N/A</v>
      </c>
      <c r="BJ15" t="str" s="673" cm="1">
        <f t="array" ref="BJ15">_xlfn.IFERROR((BI15-AVERAGE(BI6:BI11)),"N/A")</f>
        <v>N/A</v>
      </c>
      <c r="BK15" s="424"/>
      <c r="BL15" s="688"/>
      <c r="BM15" s="688"/>
      <c r="BN15" s="688"/>
      <c r="BO15" s="688"/>
      <c r="BP15" s="688"/>
      <c r="BQ15" s="688"/>
      <c r="BR15" s="688"/>
      <c r="BS15" s="692"/>
    </row>
    <row r="16" ht="15" customHeight="1">
      <c r="A16" s="12"/>
      <c r="B16" s="693">
        <v>0</v>
      </c>
      <c r="C16" t="str" s="689" cm="1">
        <f t="array" ref="C16">IF(B16&gt;0,IF(VLOOKUP(C1,'Boats Data Sheet 2026'!$C$3:$J$57,8,0)="N/A",0,VLOOKUP(C1,'Boats Data Sheet 2026'!$C$3:$J$57,8,0)),"N/A")</f>
        <v>N/A</v>
      </c>
      <c r="D16" t="str" s="689" cm="1">
        <f t="array" ref="D16">IF(B16&gt;7,2,IF(B16=0,"N/A",1))</f>
        <v>N/A</v>
      </c>
      <c r="E16" t="str" s="689" cm="1">
        <f t="array" ref="E16">_xlfn.IFERROR(SUM('Direct Costs 2026'!$C$7:$C$8,'Direct Costs 2026'!$C$46)*D16,"N/A")</f>
        <v>N/A</v>
      </c>
      <c r="F16" s="688" cm="1">
        <f t="array" ref="F16">_xlfn.IFERROR('Direct Costs 2026'!$C$43*B16,"N/A")</f>
        <v>0</v>
      </c>
      <c r="G16" t="str" s="689" cm="1">
        <f t="array" ref="G16">IF(B16&gt;0,'Direct Costs 2026'!$C$25,"N/A")</f>
        <v>N/A</v>
      </c>
      <c r="H16" t="str" s="689" cm="1">
        <f t="array" ref="H16">IF(B16&gt;0,('Direct Costs 2026'!$C$14+'Direct Costs 2026'!$C$22),"N/A")</f>
        <v>N/A</v>
      </c>
      <c r="I16" t="str" s="689" cm="1">
        <f t="array" ref="I16">IF(B16&gt;0,'Direct Costs 2026'!$C$26,"N/A")</f>
        <v>N/A</v>
      </c>
      <c r="J16" t="str" s="689" cm="1">
        <f t="array" ref="J16">IF(B16&gt;0,'Direct Costs 2026'!$C$23,"N/A")</f>
        <v>N/A</v>
      </c>
      <c r="K16" t="str" s="689" cm="1">
        <f t="array" ref="K16">IF(B16&gt;0,'Direct Costs 2026'!$C$48*(B16),"N/A")</f>
        <v>N/A</v>
      </c>
      <c r="L16" t="str" s="689" cm="1">
        <f t="array" ref="L16">IF(B16&gt;0,SUM('Direct Costs 2026'!$C$67:$C$68)*D16,"N/A")</f>
        <v>N/A</v>
      </c>
      <c r="M16" t="str" s="689" cm="1">
        <f t="array" ref="M16">IF(B16&gt;0,IF(OR(VLOOKUP(C1,'Boats Data Sheet 2026'!$C$3:$F$57,4,0)="Own",VLOOKUP(C1,'Boats Data Sheet 2026'!$C$3:$F$57,4,0)="Management"),('Direct Costs 2026'!$C$37+'Direct Costs 2026'!$C$39),"N/A"),"N/A")</f>
        <v>N/A</v>
      </c>
      <c r="N16" s="688">
        <v>0</v>
      </c>
      <c r="O16" t="str" s="689" cm="1">
        <f t="array" ref="O16">_xlfn.IFERROR(C16+SUM(E16:N16),"N/A")</f>
        <v>N/A</v>
      </c>
      <c r="P16" s="424"/>
      <c r="Q16" t="str" s="689" cm="1">
        <f t="array" ref="Q16">IF(B16&gt;0,'Allocation OH and Target 2026'!$E$31,"N/A")</f>
        <v>N/A</v>
      </c>
      <c r="R16" t="str" s="689" cm="1">
        <f t="array" ref="R16">IF(B16&gt;0,'Direct Costs 2026'!$C$55*B16,"N/A")</f>
        <v>N/A</v>
      </c>
      <c r="S16" t="str" s="689" cm="1">
        <f t="array" ref="S16">_xlfn.IFERROR((Q16+R16),"N/A")</f>
        <v>N/A</v>
      </c>
      <c r="T16" s="424"/>
      <c r="U16" t="str" s="689" cm="1">
        <f t="array" ref="U16">_xlfn.IFERROR(S16+O16,"N/A")</f>
        <v>N/A</v>
      </c>
      <c r="V16" s="688"/>
      <c r="W16" t="str" s="689" cm="1">
        <f t="array" ref="W16">IF(B16&gt;0,'Direct Costs 2026'!$C$9,"N/A")</f>
        <v>N/A</v>
      </c>
      <c r="X16" s="688">
        <v>0</v>
      </c>
      <c r="Y16" t="str" s="689" cm="1">
        <f t="array" ref="Y16">_xlfn.IFERROR((U16+W16)*0.5%,"N/A")</f>
        <v>N/A</v>
      </c>
      <c r="Z16" t="str" s="689" cm="1">
        <f t="array" ref="Z16">_xlfn.IFERROR((U16+W16+Y16+X16+V16)*25%,"N/A")</f>
        <v>N/A</v>
      </c>
      <c r="AA16" t="str" s="689" cm="1">
        <f t="array" ref="AA16">IF(B16&gt;0,SUM(U16:Z16),"N/A")</f>
        <v>N/A</v>
      </c>
      <c r="AB16" t="str" s="689" cm="1">
        <f t="array" ref="AB16">_xlfn.IFERROR((AA16-AVERAGE(AA6:AA11)),"N/A")</f>
        <v>N/A</v>
      </c>
      <c r="AC16" t="str" s="673" cm="1">
        <f t="array" ref="AC16">_xlfn.IFERROR(AB16-BJ16,"N/A")</f>
        <v>N/A</v>
      </c>
      <c r="AD16" t="str" s="673" cm="1">
        <f t="array" ref="AD16">_xlfn.IFERROR(ROUND(AC16*B16,-4),"N/A")</f>
        <v>N/A</v>
      </c>
      <c r="AE16" s="424"/>
      <c r="AF16" t="s" s="695">
        <v>14</v>
      </c>
      <c r="AG16" t="str" s="689" cm="1">
        <f t="array" ref="AG16">_xlfn.IFERROR(SUM('Direct Costs 2026'!$C$7:$C$8,'Direct Costs 2026'!$C$46)*AF16,"N/A")</f>
        <v>N/A</v>
      </c>
      <c r="AH16" s="688"/>
      <c r="AI16" t="str" s="689" cm="1">
        <f t="array" ref="AI16">IF(B16&gt;0,'Direct Costs 2026'!$C$9,"N/A")</f>
        <v>N/A</v>
      </c>
      <c r="AJ16" t="str" s="689" cm="1">
        <f t="array" ref="AJ16">_xlfn.IFERROR((U16-E16+AG16+AI16+AH16),"N/A")</f>
        <v>N/A</v>
      </c>
      <c r="AK16" t="str" s="689" cm="1">
        <f t="array" ref="AK16">_xlfn.IFERROR((AI16+AJ16)*0.5%,"N/A")</f>
        <v>N/A</v>
      </c>
      <c r="AL16" t="str" s="689" cm="1">
        <f t="array" ref="AL16">_xlfn.IFERROR((AI16+AJ16+AK16)*25%,"N/A")</f>
        <v>N/A</v>
      </c>
      <c r="AM16" s="688" cm="1">
        <f t="array" ref="AM16">IF(AF16&gt;0,SUM(AJ16:AL16),"N/A")</f>
        <v>0</v>
      </c>
      <c r="AN16" t="s" s="695">
        <v>14</v>
      </c>
      <c r="AO16" t="str" s="673" cm="1">
        <f t="array" ref="AO16">_xlfn.IFERROR(AN16-BJ16,"N/A")</f>
        <v>N/A</v>
      </c>
      <c r="AP16" t="str" s="673" cm="1">
        <f t="array" ref="AP16">_xlfn.IFERROR(ROUND(AO16*B16,-4),"N/A")</f>
        <v>N/A</v>
      </c>
      <c r="AQ16" s="424"/>
      <c r="AR16" t="s" s="695">
        <v>14</v>
      </c>
      <c r="AS16" t="str" s="689" cm="1">
        <f t="array" ref="AS16">_xlfn.IFERROR(SUM('Direct Costs 2026'!$C$7:$C$8,'Direct Costs 2026'!$C$46)*AR16,"N/A")</f>
        <v>N/A</v>
      </c>
      <c r="AT16" t="str" s="689" cm="1">
        <f t="array" ref="AT16">IF($AQ16&gt;0,'Direct Costs 2026'!$C$53*$AQ16,"N/A")</f>
        <v>N/A</v>
      </c>
      <c r="AU16" t="str" s="689" cm="1">
        <f t="array" ref="AU16">IF($AQ16&gt;0,'Direct Costs 2026'!$C$54*$AQ16,"N/A")</f>
        <v>N/A</v>
      </c>
      <c r="AV16" s="688"/>
      <c r="AW16" t="str" s="689" cm="1">
        <f t="array" ref="AW16">IF(B16&gt;0,'Direct Costs 2026'!$C$9,"N/A")</f>
        <v>N/A</v>
      </c>
      <c r="AX16" t="str" s="689" cm="1">
        <f t="array" ref="AX16">_xlfn.IFERROR((U16-E16+AS16+AW16+AT16+AU16),"N/A")</f>
        <v>N/A</v>
      </c>
      <c r="AY16" t="str" s="689" cm="1">
        <f t="array" ref="AY16">_xlfn.IFERROR((AW16+AX16)*0.5%,"N/A")</f>
        <v>N/A</v>
      </c>
      <c r="AZ16" t="str" s="689" cm="1">
        <f t="array" ref="AZ16">_xlfn.IFERROR((AX16+AY16)*25%,"N/A")</f>
        <v>N/A</v>
      </c>
      <c r="BA16" t="str" s="689" cm="1">
        <f t="array" ref="BA16">IF(AQ16&gt;0,SUM(AX16:AZ16),"N/A")</f>
        <v>N/A</v>
      </c>
      <c r="BB16" t="str" s="689" cm="1">
        <f t="array" ref="BB16">_xlfn.IFERROR(BA16/AQ16,"N/A")</f>
        <v>N/A</v>
      </c>
      <c r="BC16" t="str" s="673" cm="1">
        <f t="array" ref="BC16">_xlfn.IFERROR(BB16-BJ16,"N/A")</f>
        <v>N/A</v>
      </c>
      <c r="BD16" t="str" s="673" cm="1">
        <f t="array" ref="BD16">_xlfn.IFERROR(ROUND(BC16*AQ16,-4),"N/A")</f>
        <v>N/A</v>
      </c>
      <c r="BE16" s="424"/>
      <c r="BF16" t="str" s="689" cm="1">
        <f t="array" ref="BF16">_xlfn.IFERROR(O16-E16+Q16,"N/A")</f>
        <v>N/A</v>
      </c>
      <c r="BG16" t="str" s="689" cm="1">
        <f t="array" ref="BG16">_xlfn.IFERROR(BF16*0.5%,"N/A")</f>
        <v>N/A</v>
      </c>
      <c r="BH16" t="str" s="689" cm="1">
        <f t="array" ref="BH16">_xlfn.IFERROR(BF16*25%,"N/A")</f>
        <v>N/A</v>
      </c>
      <c r="BI16" t="str" s="673" cm="1">
        <f t="array" ref="BI16">IF(B16&gt;0,SUM(BF16:BH16),"N/A")</f>
        <v>N/A</v>
      </c>
      <c r="BJ16" t="str" s="673" cm="1">
        <f t="array" ref="BJ16">_xlfn.IFERROR((BI16-AVERAGE(BI6:BI11)),"N/A")</f>
        <v>N/A</v>
      </c>
      <c r="BK16" s="424"/>
      <c r="BL16" s="688"/>
      <c r="BM16" s="688"/>
      <c r="BN16" s="688"/>
      <c r="BO16" s="688"/>
      <c r="BP16" s="688"/>
      <c r="BQ16" s="688"/>
      <c r="BR16" s="688"/>
      <c r="BS16" s="692"/>
    </row>
    <row r="17" ht="15" customHeight="1">
      <c r="A17" s="12"/>
      <c r="B17" s="693">
        <v>0</v>
      </c>
      <c r="C17" t="str" s="689" cm="1">
        <f t="array" ref="C17">IF(B17&gt;0,IF(VLOOKUP(C1,'Boats Data Sheet 2026'!$C$3:$J$57,8,0)="N/A",0,VLOOKUP(C1,'Boats Data Sheet 2026'!$C$3:$J$57,8,0)),"N/A")</f>
        <v>N/A</v>
      </c>
      <c r="D17" t="str" s="689" cm="1">
        <f t="array" ref="D17">IF(B17&gt;7,2,IF(B17=0,"N/A",1))</f>
        <v>N/A</v>
      </c>
      <c r="E17" t="str" s="689" cm="1">
        <f t="array" ref="E17">_xlfn.IFERROR(SUM('Direct Costs 2026'!$C$7:$C$8,'Direct Costs 2026'!$C$46)*D17,"N/A")</f>
        <v>N/A</v>
      </c>
      <c r="F17" s="688" cm="1">
        <f t="array" ref="F17">_xlfn.IFERROR('Direct Costs 2026'!$C$43*B17,"N/A")</f>
        <v>0</v>
      </c>
      <c r="G17" t="str" s="689" cm="1">
        <f t="array" ref="G17">IF(B17&gt;0,'Direct Costs 2026'!$C$25,"N/A")</f>
        <v>N/A</v>
      </c>
      <c r="H17" t="str" s="689" cm="1">
        <f t="array" ref="H17">IF(B17&gt;0,('Direct Costs 2026'!$C$14+'Direct Costs 2026'!$C$22),"N/A")</f>
        <v>N/A</v>
      </c>
      <c r="I17" t="str" s="689" cm="1">
        <f t="array" ref="I17">IF(B17&gt;0,'Direct Costs 2026'!$C$26,"N/A")</f>
        <v>N/A</v>
      </c>
      <c r="J17" t="str" s="689" cm="1">
        <f t="array" ref="J17">IF(B17&gt;0,'Direct Costs 2026'!$C$23,"N/A")</f>
        <v>N/A</v>
      </c>
      <c r="K17" t="str" s="689" cm="1">
        <f t="array" ref="K17">IF(B17&gt;0,'Direct Costs 2026'!$C$48*(B17),"N/A")</f>
        <v>N/A</v>
      </c>
      <c r="L17" t="str" s="689" cm="1">
        <f t="array" ref="L17">IF(B17&gt;0,SUM('Direct Costs 2026'!$C$67:$C$68)*D17,"N/A")</f>
        <v>N/A</v>
      </c>
      <c r="M17" t="str" s="689" cm="1">
        <f t="array" ref="M17">IF(B17&gt;0,IF(OR(VLOOKUP(C1,'Boats Data Sheet 2026'!$C$3:$F$57,4,0)="Own",VLOOKUP(C1,'Boats Data Sheet 2026'!$C$3:$F$57,4,0)="Management"),('Direct Costs 2026'!$C$37+'Direct Costs 2026'!$C$39),"N/A"),"N/A")</f>
        <v>N/A</v>
      </c>
      <c r="N17" s="688">
        <v>0</v>
      </c>
      <c r="O17" t="str" s="689" cm="1">
        <f t="array" ref="O17">_xlfn.IFERROR(C17+SUM(E17:N17),"N/A")</f>
        <v>N/A</v>
      </c>
      <c r="P17" s="424"/>
      <c r="Q17" t="str" s="689" cm="1">
        <f t="array" ref="Q17">IF(B17&gt;0,'Allocation OH and Target 2026'!$E$31,"N/A")</f>
        <v>N/A</v>
      </c>
      <c r="R17" t="str" s="689" cm="1">
        <f t="array" ref="R17">IF(B17&gt;0,'Direct Costs 2026'!$C$55*B17,"N/A")</f>
        <v>N/A</v>
      </c>
      <c r="S17" t="str" s="689" cm="1">
        <f t="array" ref="S17">_xlfn.IFERROR((Q17+R17),"N/A")</f>
        <v>N/A</v>
      </c>
      <c r="T17" s="424"/>
      <c r="U17" t="str" s="689" cm="1">
        <f t="array" ref="U17">_xlfn.IFERROR(S17+O17,"N/A")</f>
        <v>N/A</v>
      </c>
      <c r="V17" s="688"/>
      <c r="W17" t="str" s="689" cm="1">
        <f t="array" ref="W17">IF(B17&gt;0,'Direct Costs 2026'!$C$9,"N/A")</f>
        <v>N/A</v>
      </c>
      <c r="X17" s="688">
        <v>0</v>
      </c>
      <c r="Y17" t="str" s="689" cm="1">
        <f t="array" ref="Y17">_xlfn.IFERROR((U17+W17)*0.5%,"N/A")</f>
        <v>N/A</v>
      </c>
      <c r="Z17" t="str" s="689" cm="1">
        <f t="array" ref="Z17">_xlfn.IFERROR((U17+W17+Y17+X17+V17)*25%,"N/A")</f>
        <v>N/A</v>
      </c>
      <c r="AA17" t="str" s="689" cm="1">
        <f t="array" ref="AA17">IF(B17&gt;0,SUM(U17:Z17),"N/A")</f>
        <v>N/A</v>
      </c>
      <c r="AB17" t="str" s="689" cm="1">
        <f t="array" ref="AB17">_xlfn.IFERROR((AA17-AVERAGE(AA6:AA11)),"N/A")</f>
        <v>N/A</v>
      </c>
      <c r="AC17" t="str" s="673" cm="1">
        <f t="array" ref="AC17">_xlfn.IFERROR(AB17-BJ17,"N/A")</f>
        <v>N/A</v>
      </c>
      <c r="AD17" t="str" s="673" cm="1">
        <f t="array" ref="AD17">_xlfn.IFERROR(ROUND(AC17*B17,-4),"N/A")</f>
        <v>N/A</v>
      </c>
      <c r="AE17" s="424"/>
      <c r="AF17" t="s" s="695">
        <v>14</v>
      </c>
      <c r="AG17" t="str" s="689" cm="1">
        <f t="array" ref="AG17">_xlfn.IFERROR(SUM('Direct Costs 2026'!$C$7:$C$8,'Direct Costs 2026'!$C$46)*AF17,"N/A")</f>
        <v>N/A</v>
      </c>
      <c r="AH17" s="688"/>
      <c r="AI17" t="str" s="689" cm="1">
        <f t="array" ref="AI17">IF(B17&gt;0,'Direct Costs 2026'!$C$9,"N/A")</f>
        <v>N/A</v>
      </c>
      <c r="AJ17" t="str" s="689" cm="1">
        <f t="array" ref="AJ17">_xlfn.IFERROR((U17-E17+AG17+AI17+AH17),"N/A")</f>
        <v>N/A</v>
      </c>
      <c r="AK17" t="str" s="689" cm="1">
        <f t="array" ref="AK17">_xlfn.IFERROR((AI17+AJ17)*0.5%,"N/A")</f>
        <v>N/A</v>
      </c>
      <c r="AL17" t="str" s="689" cm="1">
        <f t="array" ref="AL17">_xlfn.IFERROR((AI17+AJ17+AK17)*25%,"N/A")</f>
        <v>N/A</v>
      </c>
      <c r="AM17" s="688" cm="1">
        <f t="array" ref="AM17">IF(AF17&gt;0,SUM(AJ17:AL17),"N/A")</f>
        <v>0</v>
      </c>
      <c r="AN17" t="s" s="695">
        <v>14</v>
      </c>
      <c r="AO17" t="str" s="673" cm="1">
        <f t="array" ref="AO17">_xlfn.IFERROR(AN17-BJ17,"N/A")</f>
        <v>N/A</v>
      </c>
      <c r="AP17" t="str" s="673" cm="1">
        <f t="array" ref="AP17">_xlfn.IFERROR(ROUND(AO17*B17,-4),"N/A")</f>
        <v>N/A</v>
      </c>
      <c r="AQ17" s="424"/>
      <c r="AR17" t="s" s="695">
        <v>14</v>
      </c>
      <c r="AS17" t="str" s="689" cm="1">
        <f t="array" ref="AS17">_xlfn.IFERROR(SUM('Direct Costs 2026'!$C$7:$C$8,'Direct Costs 2026'!$C$46)*AR17,"N/A")</f>
        <v>N/A</v>
      </c>
      <c r="AT17" t="str" s="689" cm="1">
        <f t="array" ref="AT17">IF($AQ17&gt;0,'Direct Costs 2026'!$C$53*$AQ17,"N/A")</f>
        <v>N/A</v>
      </c>
      <c r="AU17" t="str" s="689" cm="1">
        <f t="array" ref="AU17">IF($AQ17&gt;0,'Direct Costs 2026'!$C$54*$AQ17,"N/A")</f>
        <v>N/A</v>
      </c>
      <c r="AV17" s="688"/>
      <c r="AW17" t="str" s="689" cm="1">
        <f t="array" ref="AW17">IF(B17&gt;0,'Direct Costs 2026'!$C$9,"N/A")</f>
        <v>N/A</v>
      </c>
      <c r="AX17" t="str" s="689" cm="1">
        <f t="array" ref="AX17">_xlfn.IFERROR((U17-E17+AS17+AW17+AT17+AU17),"N/A")</f>
        <v>N/A</v>
      </c>
      <c r="AY17" t="str" s="689" cm="1">
        <f t="array" ref="AY17">_xlfn.IFERROR((AW17+AX17)*0.5%,"N/A")</f>
        <v>N/A</v>
      </c>
      <c r="AZ17" t="str" s="689" cm="1">
        <f t="array" ref="AZ17">_xlfn.IFERROR((AX17+AY17)*25%,"N/A")</f>
        <v>N/A</v>
      </c>
      <c r="BA17" t="str" s="689" cm="1">
        <f t="array" ref="BA17">IF(AQ17&gt;0,SUM(AX17:AZ17),"N/A")</f>
        <v>N/A</v>
      </c>
      <c r="BB17" t="str" s="689" cm="1">
        <f t="array" ref="BB17">_xlfn.IFERROR(BA17/AQ17,"N/A")</f>
        <v>N/A</v>
      </c>
      <c r="BC17" t="str" s="673" cm="1">
        <f t="array" ref="BC17">_xlfn.IFERROR(BB17-BJ17,"N/A")</f>
        <v>N/A</v>
      </c>
      <c r="BD17" t="str" s="673" cm="1">
        <f t="array" ref="BD17">_xlfn.IFERROR(ROUND(BC17*AQ17,-4),"N/A")</f>
        <v>N/A</v>
      </c>
      <c r="BE17" s="424"/>
      <c r="BF17" t="str" s="689" cm="1">
        <f t="array" ref="BF17">_xlfn.IFERROR(O17-E17+Q17,"N/A")</f>
        <v>N/A</v>
      </c>
      <c r="BG17" t="str" s="689" cm="1">
        <f t="array" ref="BG17">_xlfn.IFERROR(BF17*0.5%,"N/A")</f>
        <v>N/A</v>
      </c>
      <c r="BH17" t="str" s="689" cm="1">
        <f t="array" ref="BH17">_xlfn.IFERROR(BF17*25%,"N/A")</f>
        <v>N/A</v>
      </c>
      <c r="BI17" t="str" s="673" cm="1">
        <f t="array" ref="BI17">IF(B17&gt;0,SUM(BF17:BH17),"N/A")</f>
        <v>N/A</v>
      </c>
      <c r="BJ17" t="str" s="673" cm="1">
        <f t="array" ref="BJ17">_xlfn.IFERROR((BI17-AVERAGE(BI6:BI11)),"N/A")</f>
        <v>N/A</v>
      </c>
      <c r="BK17" s="424"/>
      <c r="BL17" s="688"/>
      <c r="BM17" s="688"/>
      <c r="BN17" s="688"/>
      <c r="BO17" s="688"/>
      <c r="BP17" s="688"/>
      <c r="BQ17" s="688"/>
      <c r="BR17" s="688"/>
      <c r="BS17" s="692"/>
    </row>
    <row r="18" ht="15" customHeight="1">
      <c r="A18" s="12"/>
      <c r="B18" s="693">
        <v>0</v>
      </c>
      <c r="C18" t="str" s="689" cm="1">
        <f t="array" ref="C18">IF(B18&gt;0,IF(VLOOKUP(C1,'Boats Data Sheet 2026'!$C$3:$J$57,8,0)="N/A",0,VLOOKUP(C1,'Boats Data Sheet 2026'!$C$3:$J$57,8,0)),"N/A")</f>
        <v>N/A</v>
      </c>
      <c r="D18" t="str" s="689" cm="1">
        <f t="array" ref="D18">IF(B18&gt;7,2,IF(B18=0,"N/A",1))</f>
        <v>N/A</v>
      </c>
      <c r="E18" t="str" s="689" cm="1">
        <f t="array" ref="E18">_xlfn.IFERROR(SUM('Direct Costs 2026'!$C$7:$C$8,'Direct Costs 2026'!$C$46)*D18,"N/A")</f>
        <v>N/A</v>
      </c>
      <c r="F18" s="688" cm="1">
        <f t="array" ref="F18">_xlfn.IFERROR('Direct Costs 2026'!$C$43*B18,"N/A")</f>
        <v>0</v>
      </c>
      <c r="G18" t="str" s="689" cm="1">
        <f t="array" ref="G18">IF(B18&gt;0,'Direct Costs 2026'!$C$25,"N/A")</f>
        <v>N/A</v>
      </c>
      <c r="H18" t="str" s="689" cm="1">
        <f t="array" ref="H18">IF(B18&gt;0,('Direct Costs 2026'!$C$14+'Direct Costs 2026'!$C$22),"N/A")</f>
        <v>N/A</v>
      </c>
      <c r="I18" t="str" s="689" cm="1">
        <f t="array" ref="I18">IF(B18&gt;0,'Direct Costs 2026'!$C$26,"N/A")</f>
        <v>N/A</v>
      </c>
      <c r="J18" t="str" s="689" cm="1">
        <f t="array" ref="J18">IF(B18&gt;0,'Direct Costs 2026'!$C$23,"N/A")</f>
        <v>N/A</v>
      </c>
      <c r="K18" t="str" s="689" cm="1">
        <f t="array" ref="K18">IF(B18&gt;0,'Direct Costs 2026'!$C$48*(B18),"N/A")</f>
        <v>N/A</v>
      </c>
      <c r="L18" t="str" s="689" cm="1">
        <f t="array" ref="L18">IF(B18&gt;0,SUM('Direct Costs 2026'!$C$67:$C$68)*D18,"N/A")</f>
        <v>N/A</v>
      </c>
      <c r="M18" t="str" s="689" cm="1">
        <f t="array" ref="M18">IF(B18&gt;0,IF(OR(VLOOKUP(C1,'Boats Data Sheet 2026'!$C$3:$F$57,4,0)="Own",VLOOKUP(C1,'Boats Data Sheet 2026'!$C$3:$F$57,4,0)="Management"),('Direct Costs 2026'!$C$37+'Direct Costs 2026'!$C$39),"N/A"),"N/A")</f>
        <v>N/A</v>
      </c>
      <c r="N18" s="688">
        <v>0</v>
      </c>
      <c r="O18" t="str" s="689" cm="1">
        <f t="array" ref="O18">_xlfn.IFERROR(C18+SUM(E18:N18),"N/A")</f>
        <v>N/A</v>
      </c>
      <c r="P18" s="424"/>
      <c r="Q18" t="str" s="689" cm="1">
        <f t="array" ref="Q18">IF(B18&gt;0,'Allocation OH and Target 2026'!$E$31,"N/A")</f>
        <v>N/A</v>
      </c>
      <c r="R18" t="str" s="689" cm="1">
        <f t="array" ref="R18">IF(B18&gt;0,'Direct Costs 2026'!$C$55*B18,"N/A")</f>
        <v>N/A</v>
      </c>
      <c r="S18" t="str" s="689" cm="1">
        <f t="array" ref="S18">_xlfn.IFERROR((Q18+R18),"N/A")</f>
        <v>N/A</v>
      </c>
      <c r="T18" s="424"/>
      <c r="U18" t="str" s="689" cm="1">
        <f t="array" ref="U18">_xlfn.IFERROR(S18+O18,"N/A")</f>
        <v>N/A</v>
      </c>
      <c r="V18" s="688"/>
      <c r="W18" t="str" s="689" cm="1">
        <f t="array" ref="W18">IF(B18&gt;0,'Direct Costs 2026'!$C$9,"N/A")</f>
        <v>N/A</v>
      </c>
      <c r="X18" s="688">
        <v>0</v>
      </c>
      <c r="Y18" t="str" s="689" cm="1">
        <f t="array" ref="Y18">_xlfn.IFERROR((U18+W18)*0.5%,"N/A")</f>
        <v>N/A</v>
      </c>
      <c r="Z18" t="str" s="689" cm="1">
        <f t="array" ref="Z18">_xlfn.IFERROR((U18+W18+Y18+X18+V18)*25%,"N/A")</f>
        <v>N/A</v>
      </c>
      <c r="AA18" t="str" s="689" cm="1">
        <f t="array" ref="AA18">IF(B18&gt;0,SUM(U18:Z18),"N/A")</f>
        <v>N/A</v>
      </c>
      <c r="AB18" t="str" s="689" cm="1">
        <f t="array" ref="AB18">_xlfn.IFERROR((AA18-AVERAGE(AA6:AA11)),"N/A")</f>
        <v>N/A</v>
      </c>
      <c r="AC18" t="str" s="673" cm="1">
        <f t="array" ref="AC18">_xlfn.IFERROR(AB18-BJ18,"N/A")</f>
        <v>N/A</v>
      </c>
      <c r="AD18" t="str" s="673" cm="1">
        <f t="array" ref="AD18">_xlfn.IFERROR(ROUND(AC18*B18,-4),"N/A")</f>
        <v>N/A</v>
      </c>
      <c r="AE18" s="424"/>
      <c r="AF18" t="s" s="695">
        <v>14</v>
      </c>
      <c r="AG18" t="str" s="689" cm="1">
        <f t="array" ref="AG18">_xlfn.IFERROR(SUM('Direct Costs 2026'!$C$7:$C$8,'Direct Costs 2026'!$C$46)*AF18,"N/A")</f>
        <v>N/A</v>
      </c>
      <c r="AH18" s="688"/>
      <c r="AI18" t="str" s="689" cm="1">
        <f t="array" ref="AI18">IF(B18&gt;0,'Direct Costs 2026'!$C$9,"N/A")</f>
        <v>N/A</v>
      </c>
      <c r="AJ18" t="str" s="689" cm="1">
        <f t="array" ref="AJ18">_xlfn.IFERROR((U18-E18+AG18+AI18+AH18),"N/A")</f>
        <v>N/A</v>
      </c>
      <c r="AK18" t="str" s="689" cm="1">
        <f t="array" ref="AK18">_xlfn.IFERROR((AI18+AJ18)*0.5%,"N/A")</f>
        <v>N/A</v>
      </c>
      <c r="AL18" t="str" s="689" cm="1">
        <f t="array" ref="AL18">_xlfn.IFERROR((AI18+AJ18+AK18)*25%,"N/A")</f>
        <v>N/A</v>
      </c>
      <c r="AM18" s="688" cm="1">
        <f t="array" ref="AM18">IF(AF18&gt;0,SUM(AJ18:AL18),"N/A")</f>
        <v>0</v>
      </c>
      <c r="AN18" t="s" s="695">
        <v>14</v>
      </c>
      <c r="AO18" t="str" s="673" cm="1">
        <f t="array" ref="AO18">_xlfn.IFERROR(AN18-BJ18,"N/A")</f>
        <v>N/A</v>
      </c>
      <c r="AP18" t="str" s="673" cm="1">
        <f t="array" ref="AP18">_xlfn.IFERROR(ROUND(AO18*B18,-4),"N/A")</f>
        <v>N/A</v>
      </c>
      <c r="AQ18" s="424"/>
      <c r="AR18" t="s" s="695">
        <v>14</v>
      </c>
      <c r="AS18" t="str" s="689" cm="1">
        <f t="array" ref="AS18">_xlfn.IFERROR(SUM('Direct Costs 2026'!$C$7:$C$8,'Direct Costs 2026'!$C$46)*AR18,"N/A")</f>
        <v>N/A</v>
      </c>
      <c r="AT18" t="str" s="689" cm="1">
        <f t="array" ref="AT18">IF($AQ18&gt;0,'Direct Costs 2026'!$C$53*$AQ18,"N/A")</f>
        <v>N/A</v>
      </c>
      <c r="AU18" t="str" s="689" cm="1">
        <f t="array" ref="AU18">IF($AQ18&gt;0,'Direct Costs 2026'!$C$54*$AQ18,"N/A")</f>
        <v>N/A</v>
      </c>
      <c r="AV18" s="688"/>
      <c r="AW18" t="str" s="689" cm="1">
        <f t="array" ref="AW18">IF(B18&gt;0,'Direct Costs 2026'!$C$9,"N/A")</f>
        <v>N/A</v>
      </c>
      <c r="AX18" t="str" s="689" cm="1">
        <f t="array" ref="AX18">_xlfn.IFERROR((U18-E18+AS18+AW18+AT18+AU18),"N/A")</f>
        <v>N/A</v>
      </c>
      <c r="AY18" t="str" s="689" cm="1">
        <f t="array" ref="AY18">_xlfn.IFERROR((AW18+AX18)*0.5%,"N/A")</f>
        <v>N/A</v>
      </c>
      <c r="AZ18" t="str" s="689" cm="1">
        <f t="array" ref="AZ18">_xlfn.IFERROR((AX18+AY18)*25%,"N/A")</f>
        <v>N/A</v>
      </c>
      <c r="BA18" t="str" s="689" cm="1">
        <f t="array" ref="BA18">IF(AQ18&gt;0,SUM(AX18:AZ18),"N/A")</f>
        <v>N/A</v>
      </c>
      <c r="BB18" t="str" s="689" cm="1">
        <f t="array" ref="BB18">_xlfn.IFERROR(BA18/AQ18,"N/A")</f>
        <v>N/A</v>
      </c>
      <c r="BC18" t="str" s="673" cm="1">
        <f t="array" ref="BC18">_xlfn.IFERROR(BB18-BJ18,"N/A")</f>
        <v>N/A</v>
      </c>
      <c r="BD18" t="str" s="673" cm="1">
        <f t="array" ref="BD18">_xlfn.IFERROR(ROUND(BC18*AQ18,-4),"N/A")</f>
        <v>N/A</v>
      </c>
      <c r="BE18" s="424"/>
      <c r="BF18" t="str" s="689" cm="1">
        <f t="array" ref="BF18">_xlfn.IFERROR(O18-E18+Q18,"N/A")</f>
        <v>N/A</v>
      </c>
      <c r="BG18" t="str" s="689" cm="1">
        <f t="array" ref="BG18">_xlfn.IFERROR(BF18*0.5%,"N/A")</f>
        <v>N/A</v>
      </c>
      <c r="BH18" t="str" s="689" cm="1">
        <f t="array" ref="BH18">_xlfn.IFERROR(BF18*25%,"N/A")</f>
        <v>N/A</v>
      </c>
      <c r="BI18" t="str" s="673" cm="1">
        <f t="array" ref="BI18">IF(B18&gt;0,SUM(BF18:BH18),"N/A")</f>
        <v>N/A</v>
      </c>
      <c r="BJ18" t="str" s="673" cm="1">
        <f t="array" ref="BJ18">_xlfn.IFERROR((BI18-AVERAGE(BI6:BI11)),"N/A")</f>
        <v>N/A</v>
      </c>
      <c r="BK18" s="424"/>
      <c r="BL18" s="688"/>
      <c r="BM18" s="688"/>
      <c r="BN18" s="688"/>
      <c r="BO18" s="688"/>
      <c r="BP18" s="688"/>
      <c r="BQ18" s="688"/>
      <c r="BR18" s="688"/>
      <c r="BS18" s="692"/>
    </row>
    <row r="19" ht="15" customHeight="1">
      <c r="A19" s="12"/>
      <c r="B19" s="693">
        <v>0</v>
      </c>
      <c r="C19" t="str" s="689" cm="1">
        <f t="array" ref="C19">IF(B19&gt;0,IF(VLOOKUP(C1,'Boats Data Sheet 2026'!$C$3:$J$57,8,0)="N/A",0,VLOOKUP(C1,'Boats Data Sheet 2026'!$C$3:$J$57,8,0)),"N/A")</f>
        <v>N/A</v>
      </c>
      <c r="D19" t="str" s="689" cm="1">
        <f t="array" ref="D19">IF(B19&gt;7,2,IF(B19=0,"N/A",1))</f>
        <v>N/A</v>
      </c>
      <c r="E19" t="str" s="689" cm="1">
        <f t="array" ref="E19">_xlfn.IFERROR(SUM('Direct Costs 2026'!$C$7:$C$8,'Direct Costs 2026'!$C$46)*D19,"N/A")</f>
        <v>N/A</v>
      </c>
      <c r="F19" s="688" cm="1">
        <f t="array" ref="F19">_xlfn.IFERROR('Direct Costs 2026'!$C$43*B19,"N/A")</f>
        <v>0</v>
      </c>
      <c r="G19" t="str" s="689" cm="1">
        <f t="array" ref="G19">IF(B19&gt;0,'Direct Costs 2026'!$C$25,"N/A")</f>
        <v>N/A</v>
      </c>
      <c r="H19" t="str" s="689" cm="1">
        <f t="array" ref="H19">IF(B19&gt;0,('Direct Costs 2026'!$C$14+'Direct Costs 2026'!$C$22),"N/A")</f>
        <v>N/A</v>
      </c>
      <c r="I19" t="str" s="689" cm="1">
        <f t="array" ref="I19">IF(B19&gt;0,'Direct Costs 2026'!$C$26,"N/A")</f>
        <v>N/A</v>
      </c>
      <c r="J19" t="str" s="689" cm="1">
        <f t="array" ref="J19">IF(B19&gt;0,'Direct Costs 2026'!$C$23,"N/A")</f>
        <v>N/A</v>
      </c>
      <c r="K19" t="str" s="689" cm="1">
        <f t="array" ref="K19">IF(B19&gt;0,'Direct Costs 2026'!$C$48*(B19),"N/A")</f>
        <v>N/A</v>
      </c>
      <c r="L19" t="str" s="689" cm="1">
        <f t="array" ref="L19">IF(B19&gt;0,SUM('Direct Costs 2026'!$C$67:$C$68)*D19,"N/A")</f>
        <v>N/A</v>
      </c>
      <c r="M19" t="str" s="689" cm="1">
        <f t="array" ref="M19">IF(B19&gt;0,IF(OR(VLOOKUP(C1,'Boats Data Sheet 2026'!$C$3:$F$57,4,0)="Own",VLOOKUP(C1,'Boats Data Sheet 2026'!$C$3:$F$57,4,0)="Management"),('Direct Costs 2026'!$C$37+'Direct Costs 2026'!$C$39),"N/A"),"N/A")</f>
        <v>N/A</v>
      </c>
      <c r="N19" s="688">
        <v>0</v>
      </c>
      <c r="O19" t="str" s="689" cm="1">
        <f t="array" ref="O19">_xlfn.IFERROR(C19+SUM(E19:N19),"N/A")</f>
        <v>N/A</v>
      </c>
      <c r="P19" s="424"/>
      <c r="Q19" t="str" s="689" cm="1">
        <f t="array" ref="Q19">IF(B19&gt;0,'Allocation OH and Target 2026'!$E$31,"N/A")</f>
        <v>N/A</v>
      </c>
      <c r="R19" t="str" s="689" cm="1">
        <f t="array" ref="R19">IF(B19&gt;0,'Direct Costs 2026'!$C$55*B19,"N/A")</f>
        <v>N/A</v>
      </c>
      <c r="S19" t="str" s="689" cm="1">
        <f t="array" ref="S19">_xlfn.IFERROR((Q19+R19),"N/A")</f>
        <v>N/A</v>
      </c>
      <c r="T19" s="424"/>
      <c r="U19" t="str" s="689" cm="1">
        <f t="array" ref="U19">_xlfn.IFERROR(S19+O19,"N/A")</f>
        <v>N/A</v>
      </c>
      <c r="V19" s="688"/>
      <c r="W19" t="str" s="689" cm="1">
        <f t="array" ref="W19">IF(B19&gt;0,'Direct Costs 2026'!$C$9,"N/A")</f>
        <v>N/A</v>
      </c>
      <c r="X19" s="688">
        <v>0</v>
      </c>
      <c r="Y19" t="str" s="689" cm="1">
        <f t="array" ref="Y19">_xlfn.IFERROR((U19+W19)*0.5%,"N/A")</f>
        <v>N/A</v>
      </c>
      <c r="Z19" t="str" s="689" cm="1">
        <f t="array" ref="Z19">_xlfn.IFERROR((U19+W19+Y19+X19+V19)*25%,"N/A")</f>
        <v>N/A</v>
      </c>
      <c r="AA19" t="str" s="689" cm="1">
        <f t="array" ref="AA19">IF(B19&gt;0,SUM(U19:Z19),"N/A")</f>
        <v>N/A</v>
      </c>
      <c r="AB19" t="str" s="689" cm="1">
        <f t="array" ref="AB19">_xlfn.IFERROR((AA19-AVERAGE(AA6:AA11)),"N/A")</f>
        <v>N/A</v>
      </c>
      <c r="AC19" t="str" s="673" cm="1">
        <f t="array" ref="AC19">_xlfn.IFERROR(AB19-BJ19,"N/A")</f>
        <v>N/A</v>
      </c>
      <c r="AD19" t="str" s="673" cm="1">
        <f t="array" ref="AD19">_xlfn.IFERROR(ROUND(AC19*B19,-4),"N/A")</f>
        <v>N/A</v>
      </c>
      <c r="AE19" s="424"/>
      <c r="AF19" t="s" s="695">
        <v>14</v>
      </c>
      <c r="AG19" t="str" s="689" cm="1">
        <f t="array" ref="AG19">_xlfn.IFERROR(SUM('Direct Costs 2026'!$C$7:$C$8,'Direct Costs 2026'!$C$46)*AF19,"N/A")</f>
        <v>N/A</v>
      </c>
      <c r="AH19" s="688"/>
      <c r="AI19" t="str" s="689" cm="1">
        <f t="array" ref="AI19">IF(B19&gt;0,'Direct Costs 2026'!$C$9,"N/A")</f>
        <v>N/A</v>
      </c>
      <c r="AJ19" t="str" s="689" cm="1">
        <f t="array" ref="AJ19">_xlfn.IFERROR((U19-E19+AG19+AI19+AH19),"N/A")</f>
        <v>N/A</v>
      </c>
      <c r="AK19" t="str" s="689" cm="1">
        <f t="array" ref="AK19">_xlfn.IFERROR((AI19+AJ19)*0.5%,"N/A")</f>
        <v>N/A</v>
      </c>
      <c r="AL19" t="str" s="689" cm="1">
        <f t="array" ref="AL19">_xlfn.IFERROR((AI19+AJ19+AK19)*25%,"N/A")</f>
        <v>N/A</v>
      </c>
      <c r="AM19" s="688" cm="1">
        <f t="array" ref="AM19">IF(AF19&gt;0,SUM(AJ19:AL19),"N/A")</f>
        <v>0</v>
      </c>
      <c r="AN19" t="s" s="695">
        <v>14</v>
      </c>
      <c r="AO19" t="str" s="673" cm="1">
        <f t="array" ref="AO19">_xlfn.IFERROR(AN19-BJ19,"N/A")</f>
        <v>N/A</v>
      </c>
      <c r="AP19" t="str" s="673" cm="1">
        <f t="array" ref="AP19">_xlfn.IFERROR(ROUND(AO19*B19,-4),"N/A")</f>
        <v>N/A</v>
      </c>
      <c r="AQ19" s="424"/>
      <c r="AR19" t="s" s="695">
        <v>14</v>
      </c>
      <c r="AS19" t="str" s="689" cm="1">
        <f t="array" ref="AS19">_xlfn.IFERROR(SUM('Direct Costs 2026'!$C$7:$C$8,'Direct Costs 2026'!$C$46)*AR19,"N/A")</f>
        <v>N/A</v>
      </c>
      <c r="AT19" t="str" s="689" cm="1">
        <f t="array" ref="AT19">IF($AQ19&gt;0,'Direct Costs 2026'!$C$53*$AQ19,"N/A")</f>
        <v>N/A</v>
      </c>
      <c r="AU19" t="str" s="689" cm="1">
        <f t="array" ref="AU19">IF($AQ19&gt;0,'Direct Costs 2026'!$C$54*$AQ19,"N/A")</f>
        <v>N/A</v>
      </c>
      <c r="AV19" s="688"/>
      <c r="AW19" t="str" s="689" cm="1">
        <f t="array" ref="AW19">IF(B19&gt;0,'Direct Costs 2026'!$C$9,"N/A")</f>
        <v>N/A</v>
      </c>
      <c r="AX19" t="str" s="689" cm="1">
        <f t="array" ref="AX19">_xlfn.IFERROR((U19-E19+AS19+AW19+AT19+AU19),"N/A")</f>
        <v>N/A</v>
      </c>
      <c r="AY19" t="str" s="689" cm="1">
        <f t="array" ref="AY19">_xlfn.IFERROR((AW19+AX19)*0.5%,"N/A")</f>
        <v>N/A</v>
      </c>
      <c r="AZ19" t="str" s="689" cm="1">
        <f t="array" ref="AZ19">_xlfn.IFERROR((AX19+AY19)*25%,"N/A")</f>
        <v>N/A</v>
      </c>
      <c r="BA19" t="str" s="689" cm="1">
        <f t="array" ref="BA19">IF(AQ19&gt;0,SUM(AX19:AZ19),"N/A")</f>
        <v>N/A</v>
      </c>
      <c r="BB19" t="str" s="689" cm="1">
        <f t="array" ref="BB19">_xlfn.IFERROR(BA19/AQ19,"N/A")</f>
        <v>N/A</v>
      </c>
      <c r="BC19" t="str" s="673" cm="1">
        <f t="array" ref="BC19">_xlfn.IFERROR(BB19-BJ19,"N/A")</f>
        <v>N/A</v>
      </c>
      <c r="BD19" t="str" s="673" cm="1">
        <f t="array" ref="BD19">_xlfn.IFERROR(ROUND(BC19*AQ19,-4),"N/A")</f>
        <v>N/A</v>
      </c>
      <c r="BE19" s="424"/>
      <c r="BF19" t="str" s="689" cm="1">
        <f t="array" ref="BF19">_xlfn.IFERROR(O19-E19+Q19,"N/A")</f>
        <v>N/A</v>
      </c>
      <c r="BG19" t="str" s="689" cm="1">
        <f t="array" ref="BG19">_xlfn.IFERROR(BF19*0.5%,"N/A")</f>
        <v>N/A</v>
      </c>
      <c r="BH19" t="str" s="689" cm="1">
        <f t="array" ref="BH19">_xlfn.IFERROR(BF19*25%,"N/A")</f>
        <v>N/A</v>
      </c>
      <c r="BI19" t="str" s="673" cm="1">
        <f t="array" ref="BI19">IF(B19&gt;0,SUM(BF19:BH19),"N/A")</f>
        <v>N/A</v>
      </c>
      <c r="BJ19" t="str" s="673" cm="1">
        <f t="array" ref="BJ19">_xlfn.IFERROR((BI19-AVERAGE(BI6:BI11)),"N/A")</f>
        <v>N/A</v>
      </c>
      <c r="BK19" s="424"/>
      <c r="BL19" s="688"/>
      <c r="BM19" s="688"/>
      <c r="BN19" s="688"/>
      <c r="BO19" s="688"/>
      <c r="BP19" s="688"/>
      <c r="BQ19" s="688"/>
      <c r="BR19" s="688"/>
      <c r="BS19" s="692"/>
    </row>
    <row r="20" ht="15" customHeight="1">
      <c r="A20" s="12"/>
      <c r="B20" s="693">
        <v>0</v>
      </c>
      <c r="C20" t="str" s="689" cm="1">
        <f t="array" ref="C20">IF(B20&gt;0,IF(VLOOKUP(C1,'Boats Data Sheet 2026'!$C$3:$J$57,8,0)="N/A",0,VLOOKUP(C1,'Boats Data Sheet 2026'!$C$3:$J$57,8,0)),"N/A")</f>
        <v>N/A</v>
      </c>
      <c r="D20" t="str" s="689" cm="1">
        <f t="array" ref="D20">IF(B20&gt;7,2,IF(B20=0,"N/A",1))</f>
        <v>N/A</v>
      </c>
      <c r="E20" t="str" s="689" cm="1">
        <f t="array" ref="E20">_xlfn.IFERROR(SUM('Direct Costs 2026'!$C$7:$C$8,'Direct Costs 2026'!$C$46)*D20,"N/A")</f>
        <v>N/A</v>
      </c>
      <c r="F20" s="688" cm="1">
        <f t="array" ref="F20">_xlfn.IFERROR('Direct Costs 2026'!$C$43*B20,"N/A")</f>
        <v>0</v>
      </c>
      <c r="G20" t="str" s="689" cm="1">
        <f t="array" ref="G20">IF(B20&gt;0,'Direct Costs 2026'!$C$25,"N/A")</f>
        <v>N/A</v>
      </c>
      <c r="H20" t="str" s="689" cm="1">
        <f t="array" ref="H20">IF(B20&gt;0,('Direct Costs 2026'!$C$14+'Direct Costs 2026'!$C$22),"N/A")</f>
        <v>N/A</v>
      </c>
      <c r="I20" t="str" s="689" cm="1">
        <f t="array" ref="I20">IF(B20&gt;0,'Direct Costs 2026'!$C$26,"N/A")</f>
        <v>N/A</v>
      </c>
      <c r="J20" t="str" s="689" cm="1">
        <f t="array" ref="J20">IF(B20&gt;0,'Direct Costs 2026'!$C$23,"N/A")</f>
        <v>N/A</v>
      </c>
      <c r="K20" t="str" s="689" cm="1">
        <f t="array" ref="K20">IF(B20&gt;0,'Direct Costs 2026'!$C$48*(B20),"N/A")</f>
        <v>N/A</v>
      </c>
      <c r="L20" t="str" s="689" cm="1">
        <f t="array" ref="L20">IF(B20&gt;0,SUM('Direct Costs 2026'!$C$67:$C$68)*D20,"N/A")</f>
        <v>N/A</v>
      </c>
      <c r="M20" t="str" s="689" cm="1">
        <f t="array" ref="M20">IF(B20&gt;0,IF(OR(VLOOKUP(C1,'Boats Data Sheet 2026'!$C$3:$F$57,4,0)="Own",VLOOKUP(C1,'Boats Data Sheet 2026'!$C$3:$F$57,4,0)="Management"),('Direct Costs 2026'!$C$37+'Direct Costs 2026'!$C$39),"N/A"),"N/A")</f>
        <v>N/A</v>
      </c>
      <c r="N20" s="688">
        <v>0</v>
      </c>
      <c r="O20" t="str" s="689" cm="1">
        <f t="array" ref="O20">_xlfn.IFERROR(C20+SUM(E20:N20),"N/A")</f>
        <v>N/A</v>
      </c>
      <c r="P20" s="424"/>
      <c r="Q20" t="str" s="689" cm="1">
        <f t="array" ref="Q20">IF(B20&gt;0,'Allocation OH and Target 2026'!$E$31,"N/A")</f>
        <v>N/A</v>
      </c>
      <c r="R20" t="str" s="689" cm="1">
        <f t="array" ref="R20">IF(B20&gt;0,'Direct Costs 2026'!$C$55*B20,"N/A")</f>
        <v>N/A</v>
      </c>
      <c r="S20" t="str" s="689" cm="1">
        <f t="array" ref="S20">_xlfn.IFERROR((Q20+R20),"N/A")</f>
        <v>N/A</v>
      </c>
      <c r="T20" s="424"/>
      <c r="U20" t="str" s="689" cm="1">
        <f t="array" ref="U20">_xlfn.IFERROR(S20+O20,"N/A")</f>
        <v>N/A</v>
      </c>
      <c r="V20" s="688"/>
      <c r="W20" t="str" s="689" cm="1">
        <f t="array" ref="W20">IF(B20&gt;0,'Direct Costs 2026'!$C$9,"N/A")</f>
        <v>N/A</v>
      </c>
      <c r="X20" s="688">
        <v>0</v>
      </c>
      <c r="Y20" t="str" s="689" cm="1">
        <f t="array" ref="Y20">_xlfn.IFERROR((U20+W20)*0.5%,"N/A")</f>
        <v>N/A</v>
      </c>
      <c r="Z20" t="str" s="689" cm="1">
        <f t="array" ref="Z20">_xlfn.IFERROR((U20+W20+Y20+X20+V20)*25%,"N/A")</f>
        <v>N/A</v>
      </c>
      <c r="AA20" t="str" s="689" cm="1">
        <f t="array" ref="AA20">IF(B20&gt;0,SUM(U20:Z20),"N/A")</f>
        <v>N/A</v>
      </c>
      <c r="AB20" t="str" s="689" cm="1">
        <f t="array" ref="AB20">_xlfn.IFERROR((AA20-AVERAGE(AA6:AA11)),"N/A")</f>
        <v>N/A</v>
      </c>
      <c r="AC20" t="str" s="673" cm="1">
        <f t="array" ref="AC20">_xlfn.IFERROR(AB20-BJ20,"N/A")</f>
        <v>N/A</v>
      </c>
      <c r="AD20" t="str" s="673" cm="1">
        <f t="array" ref="AD20">_xlfn.IFERROR(ROUND(AC20*B20,-4),"N/A")</f>
        <v>N/A</v>
      </c>
      <c r="AE20" s="424"/>
      <c r="AF20" t="s" s="695">
        <v>14</v>
      </c>
      <c r="AG20" t="str" s="689" cm="1">
        <f t="array" ref="AG20">_xlfn.IFERROR(SUM('Direct Costs 2026'!$C$7:$C$8,'Direct Costs 2026'!$C$46)*AF20,"N/A")</f>
        <v>N/A</v>
      </c>
      <c r="AH20" s="688"/>
      <c r="AI20" t="str" s="689" cm="1">
        <f t="array" ref="AI20">IF(B20&gt;0,'Direct Costs 2026'!$C$9,"N/A")</f>
        <v>N/A</v>
      </c>
      <c r="AJ20" t="str" s="689" cm="1">
        <f t="array" ref="AJ20">_xlfn.IFERROR((U20-E20+AG20+AI20+AH20),"N/A")</f>
        <v>N/A</v>
      </c>
      <c r="AK20" t="str" s="689" cm="1">
        <f t="array" ref="AK20">_xlfn.IFERROR((AI20+AJ20)*0.5%,"N/A")</f>
        <v>N/A</v>
      </c>
      <c r="AL20" t="str" s="689" cm="1">
        <f t="array" ref="AL20">_xlfn.IFERROR((AI20+AJ20+AK20)*25%,"N/A")</f>
        <v>N/A</v>
      </c>
      <c r="AM20" s="688" cm="1">
        <f t="array" ref="AM20">IF(AF20&gt;0,SUM(AJ20:AL20),"N/A")</f>
        <v>0</v>
      </c>
      <c r="AN20" t="s" s="695">
        <v>14</v>
      </c>
      <c r="AO20" t="str" s="673" cm="1">
        <f t="array" ref="AO20">_xlfn.IFERROR(AN20-BJ20,"N/A")</f>
        <v>N/A</v>
      </c>
      <c r="AP20" t="str" s="673" cm="1">
        <f t="array" ref="AP20">_xlfn.IFERROR(ROUND(AO20*B20,-4),"N/A")</f>
        <v>N/A</v>
      </c>
      <c r="AQ20" s="424"/>
      <c r="AR20" t="s" s="695">
        <v>14</v>
      </c>
      <c r="AS20" t="str" s="689" cm="1">
        <f t="array" ref="AS20">_xlfn.IFERROR(SUM('Direct Costs 2026'!$C$7:$C$8,'Direct Costs 2026'!$C$46)*AR20,"N/A")</f>
        <v>N/A</v>
      </c>
      <c r="AT20" t="str" s="689" cm="1">
        <f t="array" ref="AT20">IF($AQ20&gt;0,'Direct Costs 2026'!$C$53*$AQ20,"N/A")</f>
        <v>N/A</v>
      </c>
      <c r="AU20" t="str" s="689" cm="1">
        <f t="array" ref="AU20">IF($AQ20&gt;0,'Direct Costs 2026'!$C$54*$AQ20,"N/A")</f>
        <v>N/A</v>
      </c>
      <c r="AV20" s="688"/>
      <c r="AW20" t="str" s="689" cm="1">
        <f t="array" ref="AW20">IF(B20&gt;0,'Direct Costs 2026'!$C$9,"N/A")</f>
        <v>N/A</v>
      </c>
      <c r="AX20" t="str" s="689" cm="1">
        <f t="array" ref="AX20">_xlfn.IFERROR((U20-E20+AS20+AW20+AT20+AU20),"N/A")</f>
        <v>N/A</v>
      </c>
      <c r="AY20" t="str" s="689" cm="1">
        <f t="array" ref="AY20">_xlfn.IFERROR((AW20+AX20)*0.5%,"N/A")</f>
        <v>N/A</v>
      </c>
      <c r="AZ20" t="str" s="689" cm="1">
        <f t="array" ref="AZ20">_xlfn.IFERROR((AX20+AY20)*25%,"N/A")</f>
        <v>N/A</v>
      </c>
      <c r="BA20" t="str" s="689" cm="1">
        <f t="array" ref="BA20">IF(AQ20&gt;0,SUM(AX20:AZ20),"N/A")</f>
        <v>N/A</v>
      </c>
      <c r="BB20" t="str" s="689" cm="1">
        <f t="array" ref="BB20">_xlfn.IFERROR(BA20/AQ20,"N/A")</f>
        <v>N/A</v>
      </c>
      <c r="BC20" t="str" s="673" cm="1">
        <f t="array" ref="BC20">_xlfn.IFERROR(BB20-BJ20,"N/A")</f>
        <v>N/A</v>
      </c>
      <c r="BD20" t="str" s="673" cm="1">
        <f t="array" ref="BD20">_xlfn.IFERROR(ROUND(BC20*AQ20,-4),"N/A")</f>
        <v>N/A</v>
      </c>
      <c r="BE20" s="424"/>
      <c r="BF20" t="str" s="689" cm="1">
        <f t="array" ref="BF20">_xlfn.IFERROR(O20-E20+Q20,"N/A")</f>
        <v>N/A</v>
      </c>
      <c r="BG20" t="str" s="689" cm="1">
        <f t="array" ref="BG20">_xlfn.IFERROR(BF20*0.5%,"N/A")</f>
        <v>N/A</v>
      </c>
      <c r="BH20" t="str" s="689" cm="1">
        <f t="array" ref="BH20">_xlfn.IFERROR(BF20*25%,"N/A")</f>
        <v>N/A</v>
      </c>
      <c r="BI20" t="str" s="673" cm="1">
        <f t="array" ref="BI20">IF(B20&gt;0,SUM(BF20:BH20),"N/A")</f>
        <v>N/A</v>
      </c>
      <c r="BJ20" t="str" s="673" cm="1">
        <f t="array" ref="BJ20">_xlfn.IFERROR((BI20-AVERAGE(BI6:BI11)),"N/A")</f>
        <v>N/A</v>
      </c>
      <c r="BK20" s="424"/>
      <c r="BL20" s="688"/>
      <c r="BM20" s="688"/>
      <c r="BN20" s="688"/>
      <c r="BO20" s="688"/>
      <c r="BP20" s="688"/>
      <c r="BQ20" s="688"/>
      <c r="BR20" s="688"/>
      <c r="BS20" s="692"/>
    </row>
    <row r="21" ht="15" customHeight="1">
      <c r="A21" s="12"/>
      <c r="B21" s="693">
        <v>0</v>
      </c>
      <c r="C21" t="str" s="689" cm="1">
        <f t="array" ref="C21">IF(B21&gt;0,IF(VLOOKUP(C1,'Boats Data Sheet 2026'!$C$3:$J$57,8,0)="N/A",0,VLOOKUP(C1,'Boats Data Sheet 2026'!$C$3:$J$57,8,0)),"N/A")</f>
        <v>N/A</v>
      </c>
      <c r="D21" t="str" s="689" cm="1">
        <f t="array" ref="D21">IF(B21&gt;7,2,IF(B21=0,"N/A",1))</f>
        <v>N/A</v>
      </c>
      <c r="E21" t="str" s="689" cm="1">
        <f t="array" ref="E21">_xlfn.IFERROR(SUM('Direct Costs 2026'!$C$7:$C$8,'Direct Costs 2026'!$C$46)*D21,"N/A")</f>
        <v>N/A</v>
      </c>
      <c r="F21" s="688" cm="1">
        <f t="array" ref="F21">_xlfn.IFERROR('Direct Costs 2026'!$C$43*B21,"N/A")</f>
        <v>0</v>
      </c>
      <c r="G21" t="str" s="689" cm="1">
        <f t="array" ref="G21">IF(B21&gt;0,'Direct Costs 2026'!$C$25,"N/A")</f>
        <v>N/A</v>
      </c>
      <c r="H21" t="str" s="689" cm="1">
        <f t="array" ref="H21">IF(B21&gt;0,('Direct Costs 2026'!$C$14+'Direct Costs 2026'!$C$22),"N/A")</f>
        <v>N/A</v>
      </c>
      <c r="I21" t="str" s="689" cm="1">
        <f t="array" ref="I21">IF(B21&gt;0,'Direct Costs 2026'!$C$26,"N/A")</f>
        <v>N/A</v>
      </c>
      <c r="J21" t="str" s="689" cm="1">
        <f t="array" ref="J21">IF(B21&gt;0,'Direct Costs 2026'!$C$23,"N/A")</f>
        <v>N/A</v>
      </c>
      <c r="K21" t="str" s="689" cm="1">
        <f t="array" ref="K21">IF(B21&gt;0,'Direct Costs 2026'!$C$48*(B21),"N/A")</f>
        <v>N/A</v>
      </c>
      <c r="L21" t="str" s="689" cm="1">
        <f t="array" ref="L21">IF(B21&gt;0,SUM('Direct Costs 2026'!$C$67:$C$68)*D21,"N/A")</f>
        <v>N/A</v>
      </c>
      <c r="M21" t="str" s="689" cm="1">
        <f t="array" ref="M21">IF(B21&gt;0,IF(OR(VLOOKUP(C1,'Boats Data Sheet 2026'!$C$3:$F$57,4,0)="Own",VLOOKUP(C1,'Boats Data Sheet 2026'!$C$3:$F$57,4,0)="Management"),('Direct Costs 2026'!$C$37+'Direct Costs 2026'!$C$39),"N/A"),"N/A")</f>
        <v>N/A</v>
      </c>
      <c r="N21" s="688">
        <v>0</v>
      </c>
      <c r="O21" t="str" s="689" cm="1">
        <f t="array" ref="O21">_xlfn.IFERROR(C21+SUM(E21:N21),"N/A")</f>
        <v>N/A</v>
      </c>
      <c r="P21" s="424"/>
      <c r="Q21" t="str" s="689" cm="1">
        <f t="array" ref="Q21">IF(B21&gt;0,'Allocation OH and Target 2026'!$E$31,"N/A")</f>
        <v>N/A</v>
      </c>
      <c r="R21" t="str" s="689" cm="1">
        <f t="array" ref="R21">IF(B21&gt;0,'Direct Costs 2026'!$C$55*B21,"N/A")</f>
        <v>N/A</v>
      </c>
      <c r="S21" t="str" s="689" cm="1">
        <f t="array" ref="S21">_xlfn.IFERROR((Q21+R21),"N/A")</f>
        <v>N/A</v>
      </c>
      <c r="T21" s="424"/>
      <c r="U21" t="str" s="689" cm="1">
        <f t="array" ref="U21">_xlfn.IFERROR(S21+O21,"N/A")</f>
        <v>N/A</v>
      </c>
      <c r="V21" s="688"/>
      <c r="W21" t="str" s="689" cm="1">
        <f t="array" ref="W21">IF(B21&gt;0,'Direct Costs 2026'!$C$9,"N/A")</f>
        <v>N/A</v>
      </c>
      <c r="X21" s="688">
        <v>0</v>
      </c>
      <c r="Y21" t="str" s="689" cm="1">
        <f t="array" ref="Y21">_xlfn.IFERROR((U21+W21)*0.5%,"N/A")</f>
        <v>N/A</v>
      </c>
      <c r="Z21" t="str" s="689" cm="1">
        <f t="array" ref="Z21">_xlfn.IFERROR((U21+W21+Y21+X21+V21)*25%,"N/A")</f>
        <v>N/A</v>
      </c>
      <c r="AA21" t="str" s="689" cm="1">
        <f t="array" ref="AA21">IF(B21&gt;0,SUM(U21:Z21),"N/A")</f>
        <v>N/A</v>
      </c>
      <c r="AB21" t="str" s="689" cm="1">
        <f t="array" ref="AB21">_xlfn.IFERROR((AA21-AVERAGE(AA6:AA11)),"N/A")</f>
        <v>N/A</v>
      </c>
      <c r="AC21" t="str" s="673" cm="1">
        <f t="array" ref="AC21">_xlfn.IFERROR(AB21-BJ21,"N/A")</f>
        <v>N/A</v>
      </c>
      <c r="AD21" t="str" s="673" cm="1">
        <f t="array" ref="AD21">_xlfn.IFERROR(ROUND(AC21*B21,-4),"N/A")</f>
        <v>N/A</v>
      </c>
      <c r="AE21" s="424"/>
      <c r="AF21" t="s" s="695">
        <v>14</v>
      </c>
      <c r="AG21" t="str" s="689" cm="1">
        <f t="array" ref="AG21">_xlfn.IFERROR(SUM('Direct Costs 2026'!$C$7:$C$8,'Direct Costs 2026'!$C$46)*AF21,"N/A")</f>
        <v>N/A</v>
      </c>
      <c r="AH21" s="688"/>
      <c r="AI21" t="str" s="689" cm="1">
        <f t="array" ref="AI21">IF(B21&gt;0,'Direct Costs 2026'!$C$9,"N/A")</f>
        <v>N/A</v>
      </c>
      <c r="AJ21" t="str" s="689" cm="1">
        <f t="array" ref="AJ21">_xlfn.IFERROR((U21-E21+AG21+AI21+AH21),"N/A")</f>
        <v>N/A</v>
      </c>
      <c r="AK21" t="str" s="689" cm="1">
        <f t="array" ref="AK21">_xlfn.IFERROR((AI21+AJ21)*0.5%,"N/A")</f>
        <v>N/A</v>
      </c>
      <c r="AL21" t="str" s="689" cm="1">
        <f t="array" ref="AL21">_xlfn.IFERROR((AI21+AJ21+AK21)*25%,"N/A")</f>
        <v>N/A</v>
      </c>
      <c r="AM21" s="688" cm="1">
        <f t="array" ref="AM21">IF(AF21&gt;0,SUM(AJ21:AL21),"N/A")</f>
        <v>0</v>
      </c>
      <c r="AN21" t="s" s="695">
        <v>14</v>
      </c>
      <c r="AO21" t="str" s="673" cm="1">
        <f t="array" ref="AO21">_xlfn.IFERROR(AN21-BJ21,"N/A")</f>
        <v>N/A</v>
      </c>
      <c r="AP21" t="str" s="673" cm="1">
        <f t="array" ref="AP21">_xlfn.IFERROR(ROUND(AO21*B21,-4),"N/A")</f>
        <v>N/A</v>
      </c>
      <c r="AQ21" s="424"/>
      <c r="AR21" t="s" s="695">
        <v>14</v>
      </c>
      <c r="AS21" t="str" s="689" cm="1">
        <f t="array" ref="AS21">_xlfn.IFERROR(SUM('Direct Costs 2026'!$C$7:$C$8,'Direct Costs 2026'!$C$46)*AR21,"N/A")</f>
        <v>N/A</v>
      </c>
      <c r="AT21" t="str" s="689" cm="1">
        <f t="array" ref="AT21">IF($AQ21&gt;0,'Direct Costs 2026'!$C$53*$AQ21,"N/A")</f>
        <v>N/A</v>
      </c>
      <c r="AU21" t="str" s="689" cm="1">
        <f t="array" ref="AU21">IF($AQ21&gt;0,'Direct Costs 2026'!$C$54*$AQ21,"N/A")</f>
        <v>N/A</v>
      </c>
      <c r="AV21" s="688"/>
      <c r="AW21" t="str" s="689" cm="1">
        <f t="array" ref="AW21">IF(B21&gt;0,'Direct Costs 2026'!$C$9,"N/A")</f>
        <v>N/A</v>
      </c>
      <c r="AX21" t="str" s="689" cm="1">
        <f t="array" ref="AX21">_xlfn.IFERROR((U21-E21+AS21+AW21+AT21+AU21),"N/A")</f>
        <v>N/A</v>
      </c>
      <c r="AY21" t="str" s="689" cm="1">
        <f t="array" ref="AY21">_xlfn.IFERROR((AW21+AX21)*0.5%,"N/A")</f>
        <v>N/A</v>
      </c>
      <c r="AZ21" t="str" s="689" cm="1">
        <f t="array" ref="AZ21">_xlfn.IFERROR((AX21+AY21)*25%,"N/A")</f>
        <v>N/A</v>
      </c>
      <c r="BA21" t="str" s="689" cm="1">
        <f t="array" ref="BA21">IF(AQ21&gt;0,SUM(AX21:AZ21),"N/A")</f>
        <v>N/A</v>
      </c>
      <c r="BB21" t="str" s="689" cm="1">
        <f t="array" ref="BB21">_xlfn.IFERROR(BA21/AQ21,"N/A")</f>
        <v>N/A</v>
      </c>
      <c r="BC21" t="str" s="673" cm="1">
        <f t="array" ref="BC21">_xlfn.IFERROR(BB21-BJ21,"N/A")</f>
        <v>N/A</v>
      </c>
      <c r="BD21" t="str" s="673" cm="1">
        <f t="array" ref="BD21">_xlfn.IFERROR(ROUND(BC21*AQ21,-4),"N/A")</f>
        <v>N/A</v>
      </c>
      <c r="BE21" s="424"/>
      <c r="BF21" t="str" s="689" cm="1">
        <f t="array" ref="BF21">_xlfn.IFERROR(O21-E21+Q21,"N/A")</f>
        <v>N/A</v>
      </c>
      <c r="BG21" t="str" s="689" cm="1">
        <f t="array" ref="BG21">_xlfn.IFERROR(BF21*0.5%,"N/A")</f>
        <v>N/A</v>
      </c>
      <c r="BH21" t="str" s="689" cm="1">
        <f t="array" ref="BH21">_xlfn.IFERROR(BF21*25%,"N/A")</f>
        <v>N/A</v>
      </c>
      <c r="BI21" t="str" s="673" cm="1">
        <f t="array" ref="BI21">IF(B21&gt;0,SUM(BF21:BH21),"N/A")</f>
        <v>N/A</v>
      </c>
      <c r="BJ21" t="str" s="673" cm="1">
        <f t="array" ref="BJ21">_xlfn.IFERROR((BI21-AVERAGE(BI6:BI11)),"N/A")</f>
        <v>N/A</v>
      </c>
      <c r="BK21" s="424"/>
      <c r="BL21" s="688"/>
      <c r="BM21" s="688"/>
      <c r="BN21" s="688"/>
      <c r="BO21" s="688"/>
      <c r="BP21" s="688"/>
      <c r="BQ21" s="688"/>
      <c r="BR21" s="688"/>
      <c r="BS21" s="692"/>
    </row>
    <row r="22" ht="15" customHeight="1">
      <c r="A22" s="12"/>
      <c r="B22" s="693">
        <v>0</v>
      </c>
      <c r="C22" t="str" s="689" cm="1">
        <f t="array" ref="C22">IF(B22&gt;0,IF(VLOOKUP(C1,'Boats Data Sheet 2026'!$C$3:$J$57,8,0)="N/A",0,VLOOKUP(C1,'Boats Data Sheet 2026'!$C$3:$J$57,8,0)),"N/A")</f>
        <v>N/A</v>
      </c>
      <c r="D22" t="str" s="689" cm="1">
        <f t="array" ref="D22">IF(B22&gt;7,2,IF(B22=0,"N/A",1))</f>
        <v>N/A</v>
      </c>
      <c r="E22" t="str" s="689" cm="1">
        <f t="array" ref="E22">_xlfn.IFERROR(SUM('Direct Costs 2026'!$C$7:$C$8,'Direct Costs 2026'!$C$46)*D22,"N/A")</f>
        <v>N/A</v>
      </c>
      <c r="F22" s="688" cm="1">
        <f t="array" ref="F22">_xlfn.IFERROR('Direct Costs 2026'!$C$43*B22,"N/A")</f>
        <v>0</v>
      </c>
      <c r="G22" t="str" s="689" cm="1">
        <f t="array" ref="G22">IF(B22&gt;0,'Direct Costs 2026'!$C$25,"N/A")</f>
        <v>N/A</v>
      </c>
      <c r="H22" t="str" s="689" cm="1">
        <f t="array" ref="H22">IF(B22&gt;0,('Direct Costs 2026'!$C$14+'Direct Costs 2026'!$C$22),"N/A")</f>
        <v>N/A</v>
      </c>
      <c r="I22" t="str" s="689" cm="1">
        <f t="array" ref="I22">IF(B22&gt;0,'Direct Costs 2026'!$C$26,"N/A")</f>
        <v>N/A</v>
      </c>
      <c r="J22" t="str" s="689" cm="1">
        <f t="array" ref="J22">IF(B22&gt;0,'Direct Costs 2026'!$C$23,"N/A")</f>
        <v>N/A</v>
      </c>
      <c r="K22" t="str" s="689" cm="1">
        <f t="array" ref="K22">IF(B22&gt;0,'Direct Costs 2026'!$C$48*(B22),"N/A")</f>
        <v>N/A</v>
      </c>
      <c r="L22" t="str" s="689" cm="1">
        <f t="array" ref="L22">IF(B22&gt;0,SUM('Direct Costs 2026'!$C$67:$C$68)*D22,"N/A")</f>
        <v>N/A</v>
      </c>
      <c r="M22" t="str" s="689" cm="1">
        <f t="array" ref="M22">IF(B22&gt;0,IF(OR(VLOOKUP(C1,'Boats Data Sheet 2026'!$C$3:$F$57,4,0)="Own",VLOOKUP(C1,'Boats Data Sheet 2026'!$C$3:$F$57,4,0)="Management"),('Direct Costs 2026'!$C$37+'Direct Costs 2026'!$C$39),"N/A"),"N/A")</f>
        <v>N/A</v>
      </c>
      <c r="N22" s="688">
        <v>0</v>
      </c>
      <c r="O22" t="str" s="689" cm="1">
        <f t="array" ref="O22">_xlfn.IFERROR(C22+SUM(E22:N22),"N/A")</f>
        <v>N/A</v>
      </c>
      <c r="P22" s="424"/>
      <c r="Q22" t="str" s="689" cm="1">
        <f t="array" ref="Q22">IF(B22&gt;0,'Allocation OH and Target 2026'!$E$31,"N/A")</f>
        <v>N/A</v>
      </c>
      <c r="R22" t="str" s="689" cm="1">
        <f t="array" ref="R22">IF(B22&gt;0,'Direct Costs 2026'!$C$55*B22,"N/A")</f>
        <v>N/A</v>
      </c>
      <c r="S22" t="str" s="689" cm="1">
        <f t="array" ref="S22">_xlfn.IFERROR((Q22+R22),"N/A")</f>
        <v>N/A</v>
      </c>
      <c r="T22" s="424"/>
      <c r="U22" t="str" s="689" cm="1">
        <f t="array" ref="U22">_xlfn.IFERROR(S22+O22,"N/A")</f>
        <v>N/A</v>
      </c>
      <c r="V22" s="688"/>
      <c r="W22" t="str" s="689" cm="1">
        <f t="array" ref="W22">IF(B22&gt;0,'Direct Costs 2026'!$C$9,"N/A")</f>
        <v>N/A</v>
      </c>
      <c r="X22" s="688">
        <v>0</v>
      </c>
      <c r="Y22" t="str" s="689" cm="1">
        <f t="array" ref="Y22">_xlfn.IFERROR((U22+W22)*0.5%,"N/A")</f>
        <v>N/A</v>
      </c>
      <c r="Z22" t="str" s="689" cm="1">
        <f t="array" ref="Z22">_xlfn.IFERROR((U22+W22+Y22+X22+V22)*25%,"N/A")</f>
        <v>N/A</v>
      </c>
      <c r="AA22" t="str" s="689" cm="1">
        <f t="array" ref="AA22">IF(B22&gt;0,SUM(U22:Z22),"N/A")</f>
        <v>N/A</v>
      </c>
      <c r="AB22" t="str" s="689" cm="1">
        <f t="array" ref="AB22">_xlfn.IFERROR((AA22-AVERAGE(AA6:AA11)),"N/A")</f>
        <v>N/A</v>
      </c>
      <c r="AC22" t="str" s="673" cm="1">
        <f t="array" ref="AC22">_xlfn.IFERROR(AB22-BJ22,"N/A")</f>
        <v>N/A</v>
      </c>
      <c r="AD22" t="str" s="673" cm="1">
        <f t="array" ref="AD22">_xlfn.IFERROR(ROUND(AC22*B22,-4),"N/A")</f>
        <v>N/A</v>
      </c>
      <c r="AE22" s="424"/>
      <c r="AF22" t="s" s="695">
        <v>14</v>
      </c>
      <c r="AG22" t="str" s="689" cm="1">
        <f t="array" ref="AG22">_xlfn.IFERROR(SUM('Direct Costs 2026'!$C$7:$C$8,'Direct Costs 2026'!$C$46)*AF22,"N/A")</f>
        <v>N/A</v>
      </c>
      <c r="AH22" s="688"/>
      <c r="AI22" t="str" s="689" cm="1">
        <f t="array" ref="AI22">IF(B22&gt;0,'Direct Costs 2026'!$C$9,"N/A")</f>
        <v>N/A</v>
      </c>
      <c r="AJ22" t="str" s="689" cm="1">
        <f t="array" ref="AJ22">_xlfn.IFERROR((U22-E22+AG22+AI22+AH22),"N/A")</f>
        <v>N/A</v>
      </c>
      <c r="AK22" t="str" s="689" cm="1">
        <f t="array" ref="AK22">_xlfn.IFERROR((AI22+AJ22)*0.5%,"N/A")</f>
        <v>N/A</v>
      </c>
      <c r="AL22" t="str" s="689" cm="1">
        <f t="array" ref="AL22">_xlfn.IFERROR((AI22+AJ22+AK22)*25%,"N/A")</f>
        <v>N/A</v>
      </c>
      <c r="AM22" s="688" cm="1">
        <f t="array" ref="AM22">IF(AF22&gt;0,SUM(AJ22:AL22),"N/A")</f>
        <v>0</v>
      </c>
      <c r="AN22" t="s" s="695">
        <v>14</v>
      </c>
      <c r="AO22" t="str" s="673" cm="1">
        <f t="array" ref="AO22">_xlfn.IFERROR(AN22-BJ22,"N/A")</f>
        <v>N/A</v>
      </c>
      <c r="AP22" t="str" s="673" cm="1">
        <f t="array" ref="AP22">_xlfn.IFERROR(ROUND(AO22*B22,-4),"N/A")</f>
        <v>N/A</v>
      </c>
      <c r="AQ22" s="424"/>
      <c r="AR22" t="s" s="695">
        <v>14</v>
      </c>
      <c r="AS22" t="str" s="689" cm="1">
        <f t="array" ref="AS22">_xlfn.IFERROR(SUM('Direct Costs 2026'!$C$7:$C$8,'Direct Costs 2026'!$C$46)*AR22,"N/A")</f>
        <v>N/A</v>
      </c>
      <c r="AT22" t="str" s="689" cm="1">
        <f t="array" ref="AT22">IF($AQ22&gt;0,'Direct Costs 2026'!$C$53*$AQ22,"N/A")</f>
        <v>N/A</v>
      </c>
      <c r="AU22" t="str" s="689" cm="1">
        <f t="array" ref="AU22">IF($AQ22&gt;0,'Direct Costs 2026'!$C$54*$AQ22,"N/A")</f>
        <v>N/A</v>
      </c>
      <c r="AV22" s="688"/>
      <c r="AW22" t="str" s="689" cm="1">
        <f t="array" ref="AW22">IF(B22&gt;0,'Direct Costs 2026'!$C$9,"N/A")</f>
        <v>N/A</v>
      </c>
      <c r="AX22" t="str" s="689" cm="1">
        <f t="array" ref="AX22">_xlfn.IFERROR((U22-E22+AS22+AW22+AT22+AU22),"N/A")</f>
        <v>N/A</v>
      </c>
      <c r="AY22" t="str" s="689" cm="1">
        <f t="array" ref="AY22">_xlfn.IFERROR((AW22+AX22)*0.5%,"N/A")</f>
        <v>N/A</v>
      </c>
      <c r="AZ22" t="str" s="689" cm="1">
        <f t="array" ref="AZ22">_xlfn.IFERROR((AX22+AY22)*25%,"N/A")</f>
        <v>N/A</v>
      </c>
      <c r="BA22" t="str" s="689" cm="1">
        <f t="array" ref="BA22">IF(AQ22&gt;0,SUM(AX22:AZ22),"N/A")</f>
        <v>N/A</v>
      </c>
      <c r="BB22" t="str" s="689" cm="1">
        <f t="array" ref="BB22">_xlfn.IFERROR(BA22/AQ22,"N/A")</f>
        <v>N/A</v>
      </c>
      <c r="BC22" t="str" s="673" cm="1">
        <f t="array" ref="BC22">_xlfn.IFERROR(BB22-BJ22,"N/A")</f>
        <v>N/A</v>
      </c>
      <c r="BD22" t="str" s="673" cm="1">
        <f t="array" ref="BD22">_xlfn.IFERROR(ROUND(BC22*AQ22,-4),"N/A")</f>
        <v>N/A</v>
      </c>
      <c r="BE22" s="424"/>
      <c r="BF22" t="str" s="689" cm="1">
        <f t="array" ref="BF22">_xlfn.IFERROR(O22-E22+Q22,"N/A")</f>
        <v>N/A</v>
      </c>
      <c r="BG22" t="str" s="689" cm="1">
        <f t="array" ref="BG22">_xlfn.IFERROR(BF22*0.5%,"N/A")</f>
        <v>N/A</v>
      </c>
      <c r="BH22" t="str" s="689" cm="1">
        <f t="array" ref="BH22">_xlfn.IFERROR(BF22*25%,"N/A")</f>
        <v>N/A</v>
      </c>
      <c r="BI22" t="str" s="673" cm="1">
        <f t="array" ref="BI22">IF(B22&gt;0,SUM(BF22:BH22),"N/A")</f>
        <v>N/A</v>
      </c>
      <c r="BJ22" t="str" s="673" cm="1">
        <f t="array" ref="BJ22">_xlfn.IFERROR((BI22-AVERAGE(BI6:BI11)),"N/A")</f>
        <v>N/A</v>
      </c>
      <c r="BK22" s="424"/>
      <c r="BL22" s="688"/>
      <c r="BM22" s="688"/>
      <c r="BN22" s="688"/>
      <c r="BO22" s="688"/>
      <c r="BP22" s="688"/>
      <c r="BQ22" s="688"/>
      <c r="BR22" s="688"/>
      <c r="BS22" s="692"/>
    </row>
    <row r="23" ht="15.5" customHeight="1">
      <c r="A23" s="12"/>
      <c r="B23" s="696">
        <v>0</v>
      </c>
      <c r="C23" t="str" s="697" cm="1">
        <f t="array" ref="C23">IF(B23&gt;0,IF(VLOOKUP(C1,'Boats Data Sheet 2026'!$C$3:$J$57,8,0)="N/A",0,VLOOKUP(C1,'Boats Data Sheet 2026'!$C$3:$J$57,8,0)),"N/A")</f>
        <v>N/A</v>
      </c>
      <c r="D23" t="str" s="697" cm="1">
        <f t="array" ref="D23">IF(B23&gt;7,2,IF(B23=0,"N/A",1))</f>
        <v>N/A</v>
      </c>
      <c r="E23" t="str" s="697" cm="1">
        <f t="array" ref="E23">_xlfn.IFERROR(SUM('Direct Costs 2026'!$C$7:$C$8,'Direct Costs 2026'!$C$46)*D23,"N/A")</f>
        <v>N/A</v>
      </c>
      <c r="F23" s="698" cm="1">
        <f t="array" ref="F23">_xlfn.IFERROR('Direct Costs 2026'!$C$43*B23,"N/A")</f>
        <v>0</v>
      </c>
      <c r="G23" t="str" s="697" cm="1">
        <f t="array" ref="G23">IF(B23&gt;0,'Direct Costs 2026'!$C$25,"N/A")</f>
        <v>N/A</v>
      </c>
      <c r="H23" t="str" s="697" cm="1">
        <f t="array" ref="H23">IF(B23&gt;0,('Direct Costs 2026'!$C$14+'Direct Costs 2026'!$C$22),"N/A")</f>
        <v>N/A</v>
      </c>
      <c r="I23" t="str" s="697" cm="1">
        <f t="array" ref="I23">IF(B23&gt;0,'Direct Costs 2026'!$C$26,"N/A")</f>
        <v>N/A</v>
      </c>
      <c r="J23" t="str" s="697" cm="1">
        <f t="array" ref="J23">IF(B23&gt;0,'Direct Costs 2026'!$C$23,"N/A")</f>
        <v>N/A</v>
      </c>
      <c r="K23" t="str" s="697" cm="1">
        <f t="array" ref="K23">IF(B23&gt;0,'Direct Costs 2026'!$C$48*(B23),"N/A")</f>
        <v>N/A</v>
      </c>
      <c r="L23" t="str" s="697" cm="1">
        <f t="array" ref="L23">IF(B23&gt;0,SUM('Direct Costs 2026'!$C$67:$C$68)*D23,"N/A")</f>
        <v>N/A</v>
      </c>
      <c r="M23" t="str" s="697" cm="1">
        <f t="array" ref="M23">IF(B23&gt;0,IF(OR(VLOOKUP(C1,'Boats Data Sheet 2026'!$C$3:$F$57,4,0)="Own",VLOOKUP(C1,'Boats Data Sheet 2026'!$C$3:$F$57,4,0)="Management"),('Direct Costs 2026'!$C$37+'Direct Costs 2026'!$C$39),"N/A"),"N/A")</f>
        <v>N/A</v>
      </c>
      <c r="N23" s="698">
        <v>0</v>
      </c>
      <c r="O23" t="str" s="697" cm="1">
        <f t="array" ref="O23">_xlfn.IFERROR(C23+SUM(E23:N23),"N/A")</f>
        <v>N/A</v>
      </c>
      <c r="P23" s="435"/>
      <c r="Q23" t="str" s="697" cm="1">
        <f t="array" ref="Q23">IF(B23&gt;0,'Allocation OH and Target 2026'!$E$31,"N/A")</f>
        <v>N/A</v>
      </c>
      <c r="R23" t="str" s="697" cm="1">
        <f t="array" ref="R23">IF(B23&gt;0,'Direct Costs 2026'!$C$55*B23,"N/A")</f>
        <v>N/A</v>
      </c>
      <c r="S23" t="str" s="697" cm="1">
        <f t="array" ref="S23">_xlfn.IFERROR((Q23+R23),"N/A")</f>
        <v>N/A</v>
      </c>
      <c r="T23" s="435"/>
      <c r="U23" t="str" s="697" cm="1">
        <f t="array" ref="U23">_xlfn.IFERROR(S23+O23,"N/A")</f>
        <v>N/A</v>
      </c>
      <c r="V23" s="698"/>
      <c r="W23" t="str" s="697" cm="1">
        <f t="array" ref="W23">IF(B23&gt;0,'Direct Costs 2026'!$C$9,"N/A")</f>
        <v>N/A</v>
      </c>
      <c r="X23" s="698">
        <v>0</v>
      </c>
      <c r="Y23" t="str" s="697" cm="1">
        <f t="array" ref="Y23">_xlfn.IFERROR((U23+W23)*0.5%,"N/A")</f>
        <v>N/A</v>
      </c>
      <c r="Z23" t="str" s="697" cm="1">
        <f t="array" ref="Z23">_xlfn.IFERROR((U23+W23+Y23+X23+V23)*25%,"N/A")</f>
        <v>N/A</v>
      </c>
      <c r="AA23" t="str" s="697" cm="1">
        <f t="array" ref="AA23">IF(B23&gt;0,SUM(U23:Z23),"N/A")</f>
        <v>N/A</v>
      </c>
      <c r="AB23" t="str" s="697" cm="1">
        <f t="array" ref="AB23">_xlfn.IFERROR((AA23-AVERAGE(AA6:AA11)),"N/A")</f>
        <v>N/A</v>
      </c>
      <c r="AC23" t="str" s="699" cm="1">
        <f t="array" ref="AC23">_xlfn.IFERROR(AB23-BJ23,"N/A")</f>
        <v>N/A</v>
      </c>
      <c r="AD23" t="str" s="699" cm="1">
        <f t="array" ref="AD23">_xlfn.IFERROR(ROUND(AC23*B23,-4),"N/A")</f>
        <v>N/A</v>
      </c>
      <c r="AE23" s="435"/>
      <c r="AF23" t="s" s="700">
        <v>14</v>
      </c>
      <c r="AG23" t="str" s="697" cm="1">
        <f t="array" ref="AG23">_xlfn.IFERROR(SUM('Direct Costs 2026'!$C$7:$C$8,'Direct Costs 2026'!$C$46)*AF23,"N/A")</f>
        <v>N/A</v>
      </c>
      <c r="AH23" s="698"/>
      <c r="AI23" t="str" s="697" cm="1">
        <f t="array" ref="AI23">IF(B23&gt;0,'Direct Costs 2026'!$C$9,"N/A")</f>
        <v>N/A</v>
      </c>
      <c r="AJ23" t="str" s="697" cm="1">
        <f t="array" ref="AJ23">_xlfn.IFERROR((U23-E23+AG23+AI23+AH23),"N/A")</f>
        <v>N/A</v>
      </c>
      <c r="AK23" t="str" s="697" cm="1">
        <f t="array" ref="AK23">_xlfn.IFERROR((AI23+AJ23)*0.5%,"N/A")</f>
        <v>N/A</v>
      </c>
      <c r="AL23" t="str" s="697" cm="1">
        <f t="array" ref="AL23">_xlfn.IFERROR((AI23+AJ23+AK23)*25%,"N/A")</f>
        <v>N/A</v>
      </c>
      <c r="AM23" s="698" cm="1">
        <f t="array" ref="AM23">IF(AF23&gt;0,SUM(AJ23:AL23),"N/A")</f>
        <v>0</v>
      </c>
      <c r="AN23" t="s" s="700">
        <v>14</v>
      </c>
      <c r="AO23" t="str" s="699" cm="1">
        <f t="array" ref="AO23">_xlfn.IFERROR(AN23-BJ23,"N/A")</f>
        <v>N/A</v>
      </c>
      <c r="AP23" t="str" s="699" cm="1">
        <f t="array" ref="AP23">_xlfn.IFERROR(ROUND(AO23*B23,-4),"N/A")</f>
        <v>N/A</v>
      </c>
      <c r="AQ23" s="435"/>
      <c r="AR23" t="s" s="700">
        <v>14</v>
      </c>
      <c r="AS23" t="str" s="697" cm="1">
        <f t="array" ref="AS23">_xlfn.IFERROR(SUM('Direct Costs 2026'!$C$7:$C$8,'Direct Costs 2026'!$C$46)*AR23,"N/A")</f>
        <v>N/A</v>
      </c>
      <c r="AT23" t="str" s="697" cm="1">
        <f t="array" ref="AT23">IF($AQ23&gt;0,'Direct Costs 2026'!$C$53*$AQ23,"N/A")</f>
        <v>N/A</v>
      </c>
      <c r="AU23" t="str" s="697" cm="1">
        <f t="array" ref="AU23">IF($AQ23&gt;0,'Direct Costs 2026'!$C$54*$AQ23,"N/A")</f>
        <v>N/A</v>
      </c>
      <c r="AV23" s="698"/>
      <c r="AW23" t="str" s="697" cm="1">
        <f t="array" ref="AW23">IF(B23&gt;0,'Direct Costs 2026'!$C$9,"N/A")</f>
        <v>N/A</v>
      </c>
      <c r="AX23" t="str" s="697" cm="1">
        <f t="array" ref="AX23">_xlfn.IFERROR((U23-E23+AS23+AW23+AT23+AU23),"N/A")</f>
        <v>N/A</v>
      </c>
      <c r="AY23" t="str" s="697" cm="1">
        <f t="array" ref="AY23">_xlfn.IFERROR((AW23+AX23)*0.5%,"N/A")</f>
        <v>N/A</v>
      </c>
      <c r="AZ23" t="str" s="697" cm="1">
        <f t="array" ref="AZ23">_xlfn.IFERROR((AX23+AY23)*25%,"N/A")</f>
        <v>N/A</v>
      </c>
      <c r="BA23" t="str" s="697" cm="1">
        <f t="array" ref="BA23">IF(AQ23&gt;0,SUM(AX23:AZ23),"N/A")</f>
        <v>N/A</v>
      </c>
      <c r="BB23" t="str" s="697" cm="1">
        <f t="array" ref="BB23">_xlfn.IFERROR(BA23/AQ23,"N/A")</f>
        <v>N/A</v>
      </c>
      <c r="BC23" t="str" s="699" cm="1">
        <f t="array" ref="BC23">_xlfn.IFERROR(BB23-BJ23,"N/A")</f>
        <v>N/A</v>
      </c>
      <c r="BD23" t="str" s="699" cm="1">
        <f t="array" ref="BD23">_xlfn.IFERROR(ROUND(BC23*AQ23,-4),"N/A")</f>
        <v>N/A</v>
      </c>
      <c r="BE23" s="435"/>
      <c r="BF23" t="str" s="697" cm="1">
        <f t="array" ref="BF23">_xlfn.IFERROR(O23-E23+Q23,"N/A")</f>
        <v>N/A</v>
      </c>
      <c r="BG23" t="str" s="697" cm="1">
        <f t="array" ref="BG23">_xlfn.IFERROR(BF23*0.5%,"N/A")</f>
        <v>N/A</v>
      </c>
      <c r="BH23" t="str" s="697" cm="1">
        <f t="array" ref="BH23">_xlfn.IFERROR(BF23*25%,"N/A")</f>
        <v>N/A</v>
      </c>
      <c r="BI23" t="str" s="699" cm="1">
        <f t="array" ref="BI23">IF(B23&gt;0,SUM(BF23:BH23),"N/A")</f>
        <v>N/A</v>
      </c>
      <c r="BJ23" t="str" s="699" cm="1">
        <f t="array" ref="BJ23">_xlfn.IFERROR((BI23-AVERAGE(BI6:BI11)),"N/A")</f>
        <v>N/A</v>
      </c>
      <c r="BK23" s="435"/>
      <c r="BL23" s="698"/>
      <c r="BM23" s="698"/>
      <c r="BN23" s="698"/>
      <c r="BO23" s="698"/>
      <c r="BP23" s="698"/>
      <c r="BQ23" s="698"/>
      <c r="BR23" s="698"/>
      <c r="BS23" s="701"/>
    </row>
    <row r="24" ht="15" customHeight="1">
      <c r="A24" s="32"/>
      <c r="B24" s="124"/>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702"/>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313"/>
    </row>
    <row r="25" ht="15" customHeight="1">
      <c r="A25" s="32"/>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703"/>
      <c r="AC25" s="17"/>
      <c r="AD25" s="17"/>
      <c r="AE25" s="17"/>
      <c r="AF25" s="17"/>
      <c r="AG25" s="17"/>
      <c r="AH25" s="17"/>
      <c r="AI25" s="17"/>
      <c r="AJ25" s="17"/>
      <c r="AK25" s="17"/>
      <c r="AL25" s="17"/>
      <c r="AM25" s="17"/>
      <c r="AN25" s="703"/>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8"/>
    </row>
    <row r="26" ht="15" customHeight="1">
      <c r="A26" s="32"/>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704"/>
      <c r="AB26" t="s" s="705">
        <v>633</v>
      </c>
      <c r="AC26" s="706"/>
      <c r="AD26" s="171" cm="1">
        <f t="array" ref="AD26">AD6</f>
        <v>2240000</v>
      </c>
      <c r="AE26" s="17"/>
      <c r="AF26" s="17"/>
      <c r="AG26" s="17"/>
      <c r="AH26" s="17"/>
      <c r="AI26" s="17"/>
      <c r="AJ26" s="17"/>
      <c r="AK26" s="17"/>
      <c r="AL26" s="17"/>
      <c r="AM26" s="704"/>
      <c r="AN26" t="s" s="705">
        <v>633</v>
      </c>
      <c r="AO26" s="706"/>
      <c r="AP26" s="171" cm="1">
        <f t="array" ref="AP26">AP6</f>
        <v>2330000</v>
      </c>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8"/>
    </row>
    <row r="27" ht="16" customHeight="1">
      <c r="A27" s="32"/>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704"/>
      <c r="AB27" s="707" cm="1">
        <f t="array" ref="AB27">AB11*0.85</f>
        <v>2958000</v>
      </c>
      <c r="AC27" s="706"/>
      <c r="AD27" s="171" cm="1">
        <f t="array" ref="AD27">AD7</f>
        <v>2510000</v>
      </c>
      <c r="AE27" s="17"/>
      <c r="AF27" s="17"/>
      <c r="AG27" s="17"/>
      <c r="AH27" s="17"/>
      <c r="AI27" s="17"/>
      <c r="AJ27" s="17"/>
      <c r="AK27" s="17"/>
      <c r="AL27" s="17"/>
      <c r="AM27" s="704"/>
      <c r="AN27" s="707" cm="1">
        <f t="array" ref="AN27">AN11*0.85</f>
        <v>3680500</v>
      </c>
      <c r="AO27" s="706"/>
      <c r="AP27" s="171" cm="1">
        <f t="array" ref="AP27">AP7</f>
        <v>4130000</v>
      </c>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8"/>
    </row>
    <row r="28" ht="15" customHeight="1">
      <c r="A28" s="32"/>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704"/>
      <c r="AB28" s="708" cm="1">
        <f t="array" ref="AB28">AB27/0.7</f>
        <v>4225714.28571429</v>
      </c>
      <c r="AC28" s="706"/>
      <c r="AD28" s="171" cm="1">
        <f t="array" ref="AD28">AD8</f>
        <v>2770000</v>
      </c>
      <c r="AE28" s="17"/>
      <c r="AF28" s="17"/>
      <c r="AG28" s="17"/>
      <c r="AH28" s="17"/>
      <c r="AI28" s="17"/>
      <c r="AJ28" s="17"/>
      <c r="AK28" s="17"/>
      <c r="AL28" s="17"/>
      <c r="AM28" s="704"/>
      <c r="AN28" s="708" cm="1">
        <f t="array" ref="AN28">AN27/0.75</f>
        <v>4907333.33333333</v>
      </c>
      <c r="AO28" s="706"/>
      <c r="AP28" s="171" cm="1">
        <f t="array" ref="AP28">AP8</f>
        <v>6340000</v>
      </c>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8"/>
    </row>
    <row r="29" ht="15.5" customHeight="1">
      <c r="A29" s="32"/>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709"/>
      <c r="AC29" s="17"/>
      <c r="AD29" s="171" cm="1">
        <f t="array" ref="AD29">AD9</f>
        <v>4980000</v>
      </c>
      <c r="AE29" s="17"/>
      <c r="AF29" s="17"/>
      <c r="AG29" s="17"/>
      <c r="AH29" s="17"/>
      <c r="AI29" s="17"/>
      <c r="AJ29" s="17"/>
      <c r="AK29" s="17"/>
      <c r="AL29" s="17"/>
      <c r="AM29" s="17"/>
      <c r="AN29" s="710"/>
      <c r="AO29" s="17"/>
      <c r="AP29" s="171" cm="1">
        <f t="array" ref="AP29">AP9</f>
        <v>8580000</v>
      </c>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8"/>
    </row>
    <row r="30" ht="15" customHeight="1">
      <c r="A30" s="32"/>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704"/>
      <c r="AB30" t="s" s="705">
        <v>634</v>
      </c>
      <c r="AC30" s="706"/>
      <c r="AD30" s="171" cm="1">
        <f t="array" ref="AD30">AD10</f>
        <v>7190000</v>
      </c>
      <c r="AE30" s="17"/>
      <c r="AF30" s="17"/>
      <c r="AG30" s="17"/>
      <c r="AH30" s="17"/>
      <c r="AI30" s="17"/>
      <c r="AJ30" s="17"/>
      <c r="AK30" s="17"/>
      <c r="AL30" s="17"/>
      <c r="AM30" s="704"/>
      <c r="AN30" t="s" s="705">
        <v>634</v>
      </c>
      <c r="AO30" s="706"/>
      <c r="AP30" s="171" cm="1">
        <f t="array" ref="AP30">AP10</f>
        <v>10790000</v>
      </c>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8"/>
    </row>
    <row r="31" ht="16" customHeight="1">
      <c r="A31" s="32"/>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704"/>
      <c r="AB31" s="707" cm="1">
        <f t="array" ref="AB31">(AB11-1000000)/0.9</f>
        <v>2755555.55555556</v>
      </c>
      <c r="AC31" s="706"/>
      <c r="AD31" s="171" cm="1">
        <f t="array" ref="AD31">AD11</f>
        <v>7900000</v>
      </c>
      <c r="AE31" s="17"/>
      <c r="AF31" s="17"/>
      <c r="AG31" s="17"/>
      <c r="AH31" s="17"/>
      <c r="AI31" s="17"/>
      <c r="AJ31" s="17"/>
      <c r="AK31" s="17"/>
      <c r="AL31" s="17"/>
      <c r="AM31" s="704"/>
      <c r="AN31" s="707" cm="1">
        <f t="array" ref="AN31">ROUND((AN11-1000000),-3)</f>
        <v>3330000</v>
      </c>
      <c r="AO31" s="706"/>
      <c r="AP31" s="171" cm="1">
        <f t="array" ref="AP31">AP11</f>
        <v>13000000</v>
      </c>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8"/>
    </row>
    <row r="32" ht="15" customHeight="1">
      <c r="A32" s="32"/>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704"/>
      <c r="AB32" s="708" cm="1">
        <f t="array" ref="AB32">AB11/0.9</f>
        <v>3866666.66666667</v>
      </c>
      <c r="AC32" s="706"/>
      <c r="AD32" s="171" cm="1">
        <f t="array" ref="AD32">AD12</f>
        <v>10110000</v>
      </c>
      <c r="AE32" s="17"/>
      <c r="AF32" s="17"/>
      <c r="AG32" s="17"/>
      <c r="AH32" s="17"/>
      <c r="AI32" s="17"/>
      <c r="AJ32" s="17"/>
      <c r="AK32" s="17"/>
      <c r="AL32" s="17"/>
      <c r="AM32" s="704"/>
      <c r="AN32" s="708" cm="1">
        <f t="array" ref="AN32">ROUND(AN11,-3)</f>
        <v>4330000</v>
      </c>
      <c r="AO32" s="706"/>
      <c r="AP32" t="str" s="17" cm="1">
        <f t="array" ref="AP32">AP12</f>
        <v>N/A</v>
      </c>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8"/>
    </row>
    <row r="33" ht="15.5" customHeight="1">
      <c r="A33" s="32"/>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711"/>
      <c r="AC33" s="17"/>
      <c r="AD33" s="171" cm="1">
        <f t="array" ref="AD33">AD13</f>
        <v>10820000</v>
      </c>
      <c r="AE33" s="17"/>
      <c r="AF33" s="17"/>
      <c r="AG33" s="17"/>
      <c r="AH33" s="17"/>
      <c r="AI33" s="17"/>
      <c r="AJ33" s="17"/>
      <c r="AK33" s="17"/>
      <c r="AL33" s="17"/>
      <c r="AM33" s="17"/>
      <c r="AN33" s="710"/>
      <c r="AO33" s="17"/>
      <c r="AP33" t="str" s="17" cm="1">
        <f t="array" ref="AP33">AP13</f>
        <v>N/A</v>
      </c>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8"/>
    </row>
    <row r="34" ht="15" customHeight="1">
      <c r="A34" s="32"/>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6"/>
      <c r="AC34" s="17"/>
      <c r="AD34" t="str" s="17" cm="1">
        <f t="array" ref="AD34">AD14</f>
        <v>N/A</v>
      </c>
      <c r="AE34" s="17"/>
      <c r="AF34" s="17"/>
      <c r="AG34" s="17"/>
      <c r="AH34" s="17"/>
      <c r="AI34" s="17"/>
      <c r="AJ34" s="17"/>
      <c r="AK34" s="17"/>
      <c r="AL34" s="17"/>
      <c r="AM34" s="704"/>
      <c r="AN34" t="s" s="705">
        <v>634</v>
      </c>
      <c r="AO34" s="706"/>
      <c r="AP34" s="31"/>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8"/>
    </row>
    <row r="35" ht="16" customHeight="1">
      <c r="A35" s="32"/>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6"/>
      <c r="AC35" s="17"/>
      <c r="AD35" t="str" s="17" cm="1">
        <f t="array" ref="AD35">AD15</f>
        <v>N/A</v>
      </c>
      <c r="AE35" s="17"/>
      <c r="AF35" s="17"/>
      <c r="AG35" s="17"/>
      <c r="AH35" s="17"/>
      <c r="AI35" s="17"/>
      <c r="AJ35" s="17"/>
      <c r="AK35" s="17"/>
      <c r="AL35" s="17"/>
      <c r="AM35" s="712">
        <v>1</v>
      </c>
      <c r="AN35" s="707" cm="1">
        <f t="array" ref="AN35">$AN$31*AM35</f>
        <v>3330000</v>
      </c>
      <c r="AO35" s="706"/>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8"/>
    </row>
    <row r="36" ht="16" customHeight="1">
      <c r="A36" s="32"/>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6"/>
      <c r="AC36" s="17"/>
      <c r="AD36" t="str" s="17" cm="1">
        <f t="array" ref="AD36">AD16</f>
        <v>N/A</v>
      </c>
      <c r="AE36" s="17"/>
      <c r="AF36" s="17"/>
      <c r="AG36" s="17"/>
      <c r="AH36" s="17"/>
      <c r="AI36" s="17"/>
      <c r="AJ36" s="17"/>
      <c r="AK36" s="17"/>
      <c r="AL36" s="17"/>
      <c r="AM36" s="712">
        <v>2</v>
      </c>
      <c r="AN36" s="707" cm="1">
        <f t="array" ref="AN36">$AN$31*AM36</f>
        <v>6660000</v>
      </c>
      <c r="AO36" s="706"/>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8"/>
    </row>
    <row r="37" ht="16" customHeight="1">
      <c r="A37" s="32"/>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6"/>
      <c r="AC37" s="17"/>
      <c r="AD37" s="31"/>
      <c r="AE37" s="17"/>
      <c r="AF37" s="17"/>
      <c r="AG37" s="17"/>
      <c r="AH37" s="17"/>
      <c r="AI37" s="17"/>
      <c r="AJ37" s="17"/>
      <c r="AK37" s="17"/>
      <c r="AL37" s="17"/>
      <c r="AM37" s="712">
        <v>3</v>
      </c>
      <c r="AN37" s="707" cm="1">
        <f t="array" ref="AN37">$AN$31*AM37</f>
        <v>9990000</v>
      </c>
      <c r="AO37" s="706"/>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8"/>
    </row>
    <row r="38" ht="16" customHeight="1">
      <c r="A38" s="32"/>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31"/>
      <c r="AE38" s="17"/>
      <c r="AF38" s="17"/>
      <c r="AG38" s="17"/>
      <c r="AH38" s="17"/>
      <c r="AI38" s="17"/>
      <c r="AJ38" s="17"/>
      <c r="AK38" s="17"/>
      <c r="AL38" s="17"/>
      <c r="AM38" s="712">
        <v>4</v>
      </c>
      <c r="AN38" s="707" cm="1">
        <f t="array" ref="AN38">$AN$31*AM38</f>
        <v>13320000</v>
      </c>
      <c r="AO38" s="706"/>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8"/>
    </row>
    <row r="39" ht="16" customHeight="1">
      <c r="A39" s="32"/>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712">
        <v>5</v>
      </c>
      <c r="AN39" s="707" cm="1">
        <f t="array" ref="AN39">$AN$31*AM39</f>
        <v>16650000</v>
      </c>
      <c r="AO39" s="706"/>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8"/>
    </row>
    <row r="40" ht="16" customHeight="1">
      <c r="A40" s="32"/>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712">
        <v>6</v>
      </c>
      <c r="AN40" s="707" cm="1">
        <f t="array" ref="AN40">$AN$31*AM40</f>
        <v>19980000</v>
      </c>
      <c r="AO40" s="706"/>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8"/>
    </row>
    <row r="41" ht="16" customHeight="1">
      <c r="A41" s="32"/>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712">
        <v>7</v>
      </c>
      <c r="AN41" s="707" cm="1">
        <f t="array" ref="AN41">$AN$31*AM41</f>
        <v>23310000</v>
      </c>
      <c r="AO41" s="706"/>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8"/>
    </row>
    <row r="42" ht="16" customHeight="1">
      <c r="A42" s="32"/>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712">
        <v>8</v>
      </c>
      <c r="AN42" s="707" cm="1">
        <f t="array" ref="AN42">$AN$31*AM42</f>
        <v>26640000</v>
      </c>
      <c r="AO42" s="706"/>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8"/>
    </row>
    <row r="43" ht="16" customHeight="1">
      <c r="A43" s="32"/>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712">
        <v>9</v>
      </c>
      <c r="AN43" s="707" cm="1">
        <f t="array" ref="AN43">$AN$31*AM43</f>
        <v>29970000</v>
      </c>
      <c r="AO43" s="706"/>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8"/>
    </row>
    <row r="44" ht="16" customHeight="1">
      <c r="A44" s="192"/>
      <c r="B44" s="193"/>
      <c r="C44" s="193"/>
      <c r="D44" s="193"/>
      <c r="E44" s="193"/>
      <c r="F44" s="193"/>
      <c r="G44" s="193"/>
      <c r="H44" s="193"/>
      <c r="I44" s="193"/>
      <c r="J44" s="193"/>
      <c r="K44" s="193"/>
      <c r="L44" s="193"/>
      <c r="M44" s="193"/>
      <c r="N44" s="193"/>
      <c r="O44" s="193"/>
      <c r="P44" s="193"/>
      <c r="Q44" s="193"/>
      <c r="R44" s="193"/>
      <c r="S44" s="193"/>
      <c r="T44" s="193"/>
      <c r="U44" s="193"/>
      <c r="V44" s="193"/>
      <c r="W44" s="193"/>
      <c r="X44" s="193"/>
      <c r="Y44" s="193"/>
      <c r="Z44" s="193"/>
      <c r="AA44" s="193"/>
      <c r="AB44" s="193"/>
      <c r="AC44" s="193"/>
      <c r="AD44" s="193"/>
      <c r="AE44" s="193"/>
      <c r="AF44" s="193"/>
      <c r="AG44" s="193"/>
      <c r="AH44" s="193"/>
      <c r="AI44" s="193"/>
      <c r="AJ44" s="193"/>
      <c r="AK44" s="193"/>
      <c r="AL44" s="193"/>
      <c r="AM44" s="713">
        <v>10</v>
      </c>
      <c r="AN44" s="707" cm="1">
        <f t="array" ref="AN44">$AN$31*AM44</f>
        <v>33300000</v>
      </c>
      <c r="AO44" s="714"/>
      <c r="AP44" s="193"/>
      <c r="AQ44" s="193"/>
      <c r="AR44" s="193"/>
      <c r="AS44" s="193"/>
      <c r="AT44" s="193"/>
      <c r="AU44" s="193"/>
      <c r="AV44" s="193"/>
      <c r="AW44" s="193"/>
      <c r="AX44" s="193"/>
      <c r="AY44" s="193"/>
      <c r="AZ44" s="193"/>
      <c r="BA44" s="193"/>
      <c r="BB44" s="193"/>
      <c r="BC44" s="193"/>
      <c r="BD44" s="193"/>
      <c r="BE44" s="193"/>
      <c r="BF44" s="193"/>
      <c r="BG44" s="193"/>
      <c r="BH44" s="193"/>
      <c r="BI44" s="193"/>
      <c r="BJ44" s="193"/>
      <c r="BK44" s="193"/>
      <c r="BL44" s="193"/>
      <c r="BM44" s="193"/>
      <c r="BN44" s="193"/>
      <c r="BO44" s="193"/>
      <c r="BP44" s="193"/>
      <c r="BQ44" s="193"/>
      <c r="BR44" s="193"/>
      <c r="BS44" s="195"/>
    </row>
  </sheetData>
  <mergeCells count="6">
    <mergeCell ref="AF4:AM4"/>
    <mergeCell ref="BF4:BI4"/>
    <mergeCell ref="C4:O4"/>
    <mergeCell ref="Q4:S4"/>
    <mergeCell ref="U4:AA4"/>
    <mergeCell ref="AR4:BA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BS44"/>
  <sheetViews>
    <sheetView workbookViewId="0" showGridLines="0" defaultGridColor="1"/>
  </sheetViews>
  <sheetFormatPr defaultColWidth="8.83333" defaultRowHeight="14.5" customHeight="1" outlineLevelRow="0" outlineLevelCol="0"/>
  <cols>
    <col min="1" max="1" width="3.5" style="715" customWidth="1"/>
    <col min="2" max="2" width="9.5" style="715" customWidth="1"/>
    <col min="3" max="3" width="14.5" style="715" customWidth="1"/>
    <col min="4" max="4" width="7.85156" style="715" customWidth="1"/>
    <col min="5" max="5" width="14" style="715" customWidth="1"/>
    <col min="6" max="6" width="12.1719" style="715" customWidth="1"/>
    <col min="7" max="7" width="11.8516" style="715" customWidth="1"/>
    <col min="8" max="8" width="13.3516" style="715" customWidth="1"/>
    <col min="9" max="9" width="12" style="715" customWidth="1"/>
    <col min="10" max="10" width="11.6719" style="715" customWidth="1"/>
    <col min="11" max="12" width="13.5" style="715" customWidth="1"/>
    <col min="13" max="13" width="14.5" style="715" customWidth="1"/>
    <col min="14" max="14" width="11.6719" style="715" customWidth="1"/>
    <col min="15" max="15" width="14.5" style="715" customWidth="1"/>
    <col min="16" max="16" width="1.5" style="715" customWidth="1"/>
    <col min="17" max="17" width="14.5" style="715" customWidth="1"/>
    <col min="18" max="18" width="18.1719" style="715" customWidth="1"/>
    <col min="19" max="19" width="14.8516" style="715" customWidth="1"/>
    <col min="20" max="20" width="1.85156" style="715" customWidth="1"/>
    <col min="21" max="24" width="14.6719" style="715" customWidth="1"/>
    <col min="25" max="25" width="11.8516" style="715" customWidth="1"/>
    <col min="26" max="26" width="14.8516" style="715" customWidth="1"/>
    <col min="27" max="27" width="16.6719" style="715" customWidth="1"/>
    <col min="28" max="28" width="16.5" style="715" customWidth="1"/>
    <col min="29" max="30" width="19.1719" style="715" customWidth="1"/>
    <col min="31" max="31" width="1.85156" style="715" customWidth="1"/>
    <col min="32" max="32" width="9.35156" style="715" customWidth="1"/>
    <col min="33" max="35" width="16.3516" style="715" customWidth="1"/>
    <col min="36" max="36" width="14.6719" style="715" customWidth="1"/>
    <col min="37" max="37" width="11.8516" style="715" customWidth="1"/>
    <col min="38" max="38" width="14.8516" style="715" customWidth="1"/>
    <col min="39" max="39" width="16.6719" style="715" customWidth="1"/>
    <col min="40" max="40" width="17" style="715" customWidth="1"/>
    <col min="41" max="42" width="19.1719" style="715" customWidth="1"/>
    <col min="43" max="43" width="1.85156" style="715" customWidth="1"/>
    <col min="44" max="44" width="9.35156" style="715" customWidth="1"/>
    <col min="45" max="45" width="16.3516" style="715" customWidth="1"/>
    <col min="46" max="46" width="15.3516" style="715" customWidth="1"/>
    <col min="47" max="48" width="13.1719" style="715" customWidth="1"/>
    <col min="49" max="49" width="16.3516" style="715" customWidth="1"/>
    <col min="50" max="50" width="14.6719" style="715" customWidth="1"/>
    <col min="51" max="51" width="11.8516" style="715" customWidth="1"/>
    <col min="52" max="52" width="14.8516" style="715" customWidth="1"/>
    <col min="53" max="53" width="16.6719" style="715" customWidth="1"/>
    <col min="54" max="54" width="17" style="715" customWidth="1"/>
    <col min="55" max="56" width="19.1719" style="715" customWidth="1"/>
    <col min="57" max="57" width="2.17188" style="715" customWidth="1"/>
    <col min="58" max="58" width="14.6719" style="715" customWidth="1"/>
    <col min="59" max="59" width="11.8516" style="715" customWidth="1"/>
    <col min="60" max="60" width="14.8516" style="715" customWidth="1"/>
    <col min="61" max="61" width="16.6719" style="715" customWidth="1"/>
    <col min="62" max="62" width="19.1719" style="715" customWidth="1"/>
    <col min="63" max="63" width="1.85156" style="715" customWidth="1"/>
    <col min="64" max="64" width="22.1719" style="715" customWidth="1"/>
    <col min="65" max="65" width="20.1719" style="715" customWidth="1"/>
    <col min="66" max="66" width="17.1719" style="715" customWidth="1"/>
    <col min="67" max="67" width="16.8516" style="715" customWidth="1"/>
    <col min="68" max="68" width="24.8516" style="715" customWidth="1"/>
    <col min="69" max="69" width="17.5" style="715" customWidth="1"/>
    <col min="70" max="70" width="24.8516" style="715" customWidth="1"/>
    <col min="71" max="71" width="18.6719" style="715" customWidth="1"/>
    <col min="72" max="16384" width="8.85156" style="715" customWidth="1"/>
  </cols>
  <sheetData>
    <row r="1" ht="15" customHeight="1">
      <c r="A1" s="7"/>
      <c r="B1" s="8"/>
      <c r="C1" t="s" s="657">
        <v>49</v>
      </c>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246"/>
    </row>
    <row r="2" ht="15.5" customHeight="1">
      <c r="A2" s="395">
        <v>1</v>
      </c>
      <c r="B2" t="s" s="658">
        <v>613</v>
      </c>
      <c r="C2" t="s" s="659">
        <v>614</v>
      </c>
      <c r="D2" s="660"/>
      <c r="E2" s="660"/>
      <c r="F2" s="660"/>
      <c r="G2" s="660"/>
      <c r="H2" s="660"/>
      <c r="I2" s="660"/>
      <c r="J2" s="660"/>
      <c r="K2" s="660"/>
      <c r="L2" s="660"/>
      <c r="M2" s="660"/>
      <c r="N2" s="660"/>
      <c r="O2" s="660"/>
      <c r="P2" s="399"/>
      <c r="Q2" s="660"/>
      <c r="R2" s="660"/>
      <c r="S2" s="660"/>
      <c r="T2" s="399"/>
      <c r="U2" s="660"/>
      <c r="V2" s="660"/>
      <c r="W2" s="660"/>
      <c r="X2" s="660"/>
      <c r="Y2" s="660"/>
      <c r="Z2" s="660"/>
      <c r="AA2" s="660"/>
      <c r="AB2" s="660"/>
      <c r="AC2" s="660"/>
      <c r="AD2" s="660"/>
      <c r="AE2" s="399"/>
      <c r="AF2" s="660"/>
      <c r="AG2" s="660"/>
      <c r="AH2" s="660"/>
      <c r="AI2" s="660"/>
      <c r="AJ2" s="660"/>
      <c r="AK2" s="660"/>
      <c r="AL2" s="660"/>
      <c r="AM2" s="660"/>
      <c r="AN2" s="660"/>
      <c r="AO2" s="660"/>
      <c r="AP2" s="660"/>
      <c r="AQ2" s="399"/>
      <c r="AR2" s="660"/>
      <c r="AS2" s="660"/>
      <c r="AT2" s="660"/>
      <c r="AU2" s="660"/>
      <c r="AV2" s="660"/>
      <c r="AW2" s="660"/>
      <c r="AX2" s="660"/>
      <c r="AY2" s="660"/>
      <c r="AZ2" s="660"/>
      <c r="BA2" s="660"/>
      <c r="BB2" s="660"/>
      <c r="BC2" s="660"/>
      <c r="BD2" s="660"/>
      <c r="BE2" s="399"/>
      <c r="BF2" s="660"/>
      <c r="BG2" s="660"/>
      <c r="BH2" s="660"/>
      <c r="BI2" s="660"/>
      <c r="BJ2" s="660"/>
      <c r="BK2" s="399"/>
      <c r="BL2" t="s" s="659">
        <v>508</v>
      </c>
      <c r="BM2" s="661" cm="1">
        <f t="array" ref="BM2">AVERAGE(O6:O11)</f>
        <v>11109333.3333333</v>
      </c>
      <c r="BN2" t="s" s="662">
        <v>509</v>
      </c>
      <c r="BO2" s="661" cm="1">
        <f t="array" ref="BO2">AVERAGE(O12:O19)-BM2</f>
        <v>1510666.6666667</v>
      </c>
      <c r="BP2" t="s" s="662">
        <v>510</v>
      </c>
      <c r="BQ2" s="661" cm="1">
        <f t="array" ref="BQ2">AVERAGE(Z6:Z13)</f>
        <v>4421864.20783594</v>
      </c>
      <c r="BR2" t="s" s="659">
        <v>511</v>
      </c>
      <c r="BS2" s="663" cm="1">
        <f t="array" ref="BS2">AVERAGE(U6:U11)</f>
        <v>14952981.9354759</v>
      </c>
    </row>
    <row r="3" ht="16" customHeight="1">
      <c r="A3" s="12"/>
      <c r="B3" t="s" s="664">
        <v>7</v>
      </c>
      <c r="C3" t="s" s="665">
        <v>615</v>
      </c>
      <c r="D3" s="666"/>
      <c r="E3" s="666"/>
      <c r="F3" s="666"/>
      <c r="G3" s="666"/>
      <c r="H3" s="666"/>
      <c r="I3" s="666"/>
      <c r="J3" s="666"/>
      <c r="K3" s="666"/>
      <c r="L3" s="666"/>
      <c r="M3" s="666"/>
      <c r="N3" s="666"/>
      <c r="O3" s="667"/>
      <c r="P3" s="407"/>
      <c r="Q3" s="668"/>
      <c r="R3" s="666"/>
      <c r="S3" s="667"/>
      <c r="T3" s="407"/>
      <c r="U3" s="668"/>
      <c r="V3" s="666"/>
      <c r="W3" s="666"/>
      <c r="X3" s="666"/>
      <c r="Y3" s="666"/>
      <c r="Z3" s="666"/>
      <c r="AA3" s="666"/>
      <c r="AB3" s="666"/>
      <c r="AC3" s="666"/>
      <c r="AD3" s="666"/>
      <c r="AE3" s="669"/>
      <c r="AF3" s="670"/>
      <c r="AG3" s="670"/>
      <c r="AH3" s="670"/>
      <c r="AI3" s="670"/>
      <c r="AJ3" s="670"/>
      <c r="AK3" s="670"/>
      <c r="AL3" s="670"/>
      <c r="AM3" s="670"/>
      <c r="AN3" s="670"/>
      <c r="AO3" s="670"/>
      <c r="AP3" s="670"/>
      <c r="AQ3" s="407"/>
      <c r="AR3" s="670"/>
      <c r="AS3" s="670"/>
      <c r="AT3" s="670"/>
      <c r="AU3" s="670"/>
      <c r="AV3" s="670"/>
      <c r="AW3" s="670"/>
      <c r="AX3" s="670"/>
      <c r="AY3" s="670"/>
      <c r="AZ3" s="670"/>
      <c r="BA3" s="670"/>
      <c r="BB3" s="670"/>
      <c r="BC3" s="670"/>
      <c r="BD3" s="670"/>
      <c r="BE3" s="407"/>
      <c r="BF3" s="668"/>
      <c r="BG3" s="666"/>
      <c r="BH3" s="666"/>
      <c r="BI3" s="666"/>
      <c r="BJ3" s="666"/>
      <c r="BK3" s="669"/>
      <c r="BL3" s="671"/>
      <c r="BM3" s="672"/>
      <c r="BN3" s="673"/>
      <c r="BO3" s="672"/>
      <c r="BP3" s="673"/>
      <c r="BQ3" s="672"/>
      <c r="BR3" s="671"/>
      <c r="BS3" s="674"/>
    </row>
    <row r="4" ht="15" customHeight="1">
      <c r="A4" s="12"/>
      <c r="B4" s="675"/>
      <c r="C4" t="s" s="676">
        <v>513</v>
      </c>
      <c r="D4" s="677"/>
      <c r="E4" s="677"/>
      <c r="F4" s="677"/>
      <c r="G4" s="677"/>
      <c r="H4" s="677"/>
      <c r="I4" s="677"/>
      <c r="J4" s="677"/>
      <c r="K4" s="677"/>
      <c r="L4" s="677"/>
      <c r="M4" s="677"/>
      <c r="N4" s="677"/>
      <c r="O4" s="678"/>
      <c r="P4" s="407"/>
      <c r="Q4" t="s" s="676">
        <v>514</v>
      </c>
      <c r="R4" s="677"/>
      <c r="S4" s="678"/>
      <c r="T4" s="407"/>
      <c r="U4" t="s" s="676">
        <v>616</v>
      </c>
      <c r="V4" s="677"/>
      <c r="W4" s="677"/>
      <c r="X4" s="677"/>
      <c r="Y4" s="677"/>
      <c r="Z4" s="677"/>
      <c r="AA4" s="677"/>
      <c r="AB4" s="677"/>
      <c r="AC4" s="677"/>
      <c r="AD4" s="677"/>
      <c r="AE4" s="408"/>
      <c r="AF4" t="s" s="676">
        <v>617</v>
      </c>
      <c r="AG4" s="677"/>
      <c r="AH4" s="677"/>
      <c r="AI4" s="677"/>
      <c r="AJ4" s="677"/>
      <c r="AK4" s="677"/>
      <c r="AL4" s="677"/>
      <c r="AM4" s="677"/>
      <c r="AN4" s="677"/>
      <c r="AO4" s="677"/>
      <c r="AP4" s="677"/>
      <c r="AQ4" s="408"/>
      <c r="AR4" t="s" s="676">
        <v>618</v>
      </c>
      <c r="AS4" s="677"/>
      <c r="AT4" s="677"/>
      <c r="AU4" s="677"/>
      <c r="AV4" s="677"/>
      <c r="AW4" s="677"/>
      <c r="AX4" s="677"/>
      <c r="AY4" s="677"/>
      <c r="AZ4" s="677"/>
      <c r="BA4" s="677"/>
      <c r="BB4" s="677"/>
      <c r="BC4" s="677"/>
      <c r="BD4" s="677"/>
      <c r="BE4" s="408"/>
      <c r="BF4" t="s" s="676">
        <v>619</v>
      </c>
      <c r="BG4" s="677"/>
      <c r="BH4" s="677"/>
      <c r="BI4" s="677"/>
      <c r="BJ4" s="677"/>
      <c r="BK4" s="408"/>
      <c r="BL4" s="671"/>
      <c r="BM4" s="671"/>
      <c r="BN4" s="671"/>
      <c r="BO4" s="671"/>
      <c r="BP4" s="671"/>
      <c r="BQ4" s="671"/>
      <c r="BR4" s="671"/>
      <c r="BS4" s="679"/>
    </row>
    <row r="5" ht="46.25" customHeight="1">
      <c r="A5" s="187"/>
      <c r="B5" t="s" s="680">
        <v>517</v>
      </c>
      <c r="C5" t="s" s="681">
        <v>518</v>
      </c>
      <c r="D5" t="s" s="681">
        <v>620</v>
      </c>
      <c r="E5" t="s" s="681">
        <v>621</v>
      </c>
      <c r="F5" t="s" s="682">
        <v>521</v>
      </c>
      <c r="G5" t="s" s="682">
        <v>522</v>
      </c>
      <c r="H5" t="s" s="682">
        <v>622</v>
      </c>
      <c r="I5" t="s" s="682">
        <v>526</v>
      </c>
      <c r="J5" t="s" s="682">
        <v>527</v>
      </c>
      <c r="K5" t="s" s="682">
        <v>528</v>
      </c>
      <c r="L5" t="s" s="682">
        <v>636</v>
      </c>
      <c r="M5" t="s" s="682">
        <v>530</v>
      </c>
      <c r="N5" t="s" s="682">
        <v>531</v>
      </c>
      <c r="O5" t="s" s="682">
        <v>532</v>
      </c>
      <c r="P5" s="418"/>
      <c r="Q5" t="s" s="682">
        <v>533</v>
      </c>
      <c r="R5" t="s" s="682">
        <v>534</v>
      </c>
      <c r="S5" t="s" s="682">
        <v>535</v>
      </c>
      <c r="T5" s="418"/>
      <c r="U5" t="s" s="682">
        <v>536</v>
      </c>
      <c r="V5" t="s" s="682">
        <v>624</v>
      </c>
      <c r="W5" t="s" s="682">
        <v>625</v>
      </c>
      <c r="X5" t="s" s="682">
        <v>626</v>
      </c>
      <c r="Y5" t="s" s="682">
        <v>537</v>
      </c>
      <c r="Z5" t="s" s="682">
        <v>538</v>
      </c>
      <c r="AA5" t="s" s="682">
        <v>539</v>
      </c>
      <c r="AB5" t="s" s="682">
        <v>627</v>
      </c>
      <c r="AC5" t="s" s="682">
        <v>628</v>
      </c>
      <c r="AD5" t="s" s="682">
        <v>629</v>
      </c>
      <c r="AE5" s="419"/>
      <c r="AF5" t="s" s="682">
        <v>620</v>
      </c>
      <c r="AG5" t="s" s="681">
        <v>621</v>
      </c>
      <c r="AH5" t="s" s="681">
        <v>626</v>
      </c>
      <c r="AI5" t="s" s="682">
        <v>625</v>
      </c>
      <c r="AJ5" t="s" s="682">
        <v>536</v>
      </c>
      <c r="AK5" t="s" s="682">
        <v>537</v>
      </c>
      <c r="AL5" t="s" s="682">
        <v>538</v>
      </c>
      <c r="AM5" t="s" s="682">
        <v>539</v>
      </c>
      <c r="AN5" t="s" s="682">
        <v>627</v>
      </c>
      <c r="AO5" t="s" s="682">
        <v>630</v>
      </c>
      <c r="AP5" t="s" s="682">
        <v>629</v>
      </c>
      <c r="AQ5" s="419"/>
      <c r="AR5" t="s" s="682">
        <v>620</v>
      </c>
      <c r="AS5" t="s" s="681">
        <v>624</v>
      </c>
      <c r="AT5" t="s" s="682">
        <v>631</v>
      </c>
      <c r="AU5" t="s" s="681">
        <v>632</v>
      </c>
      <c r="AV5" t="s" s="681">
        <v>626</v>
      </c>
      <c r="AW5" t="s" s="682">
        <v>625</v>
      </c>
      <c r="AX5" t="s" s="682">
        <v>536</v>
      </c>
      <c r="AY5" t="s" s="682">
        <v>537</v>
      </c>
      <c r="AZ5" t="s" s="682">
        <v>538</v>
      </c>
      <c r="BA5" t="s" s="682">
        <v>539</v>
      </c>
      <c r="BB5" t="s" s="682">
        <v>627</v>
      </c>
      <c r="BC5" t="s" s="682">
        <v>630</v>
      </c>
      <c r="BD5" t="s" s="682">
        <v>629</v>
      </c>
      <c r="BE5" s="419"/>
      <c r="BF5" t="s" s="682">
        <v>536</v>
      </c>
      <c r="BG5" t="s" s="682">
        <v>537</v>
      </c>
      <c r="BH5" t="s" s="682">
        <v>538</v>
      </c>
      <c r="BI5" t="s" s="682">
        <v>539</v>
      </c>
      <c r="BJ5" t="s" s="682">
        <v>627</v>
      </c>
      <c r="BK5" s="419"/>
      <c r="BL5" s="683"/>
      <c r="BM5" s="683"/>
      <c r="BN5" s="683"/>
      <c r="BO5" s="683"/>
      <c r="BP5" s="683"/>
      <c r="BQ5" s="683"/>
      <c r="BR5" s="683"/>
      <c r="BS5" s="684"/>
    </row>
    <row r="6" ht="15" customHeight="1">
      <c r="A6" s="12"/>
      <c r="B6" s="685">
        <v>1</v>
      </c>
      <c r="C6" s="686" cm="1">
        <f t="array" ref="C6">IF(B6&gt;0,IF(VLOOKUP(C1,'Boats Data Sheet 2026'!$C$3:$J$57,8,0)="N/A",0,VLOOKUP(C1,'Boats Data Sheet 2026'!$C$3:$J$57,8,0)),"N/A")</f>
        <v>7500000</v>
      </c>
      <c r="D6" s="687">
        <v>1</v>
      </c>
      <c r="E6" s="686" cm="1">
        <f t="array" ref="E6">_xlfn.IFERROR(SUM('Direct Costs 2026'!$C$7:$C$8,'Direct Costs 2026'!$C$46)*D6,"N/A")</f>
        <v>1210000</v>
      </c>
      <c r="F6" s="688" cm="1">
        <f t="array" ref="F6">_xlfn.IFERROR('Direct Costs 2026'!$C$43*B6,"N/A")</f>
        <v>6000</v>
      </c>
      <c r="G6" s="688" cm="1">
        <f t="array" ref="G6">IF(B6&gt;0,'Direct Costs 2026'!$C$25,"N/A")</f>
        <v>90000</v>
      </c>
      <c r="H6" s="688" cm="1">
        <f t="array" ref="H6">IF(B6&gt;0,('Direct Costs 2026'!$C$14+'Direct Costs 2026'!$C$22),"N/A")</f>
        <v>260000</v>
      </c>
      <c r="I6" s="688" cm="1">
        <f t="array" ref="I6">IF(B6&gt;0,'Direct Costs 2026'!$C$26,"N/A")</f>
        <v>20000</v>
      </c>
      <c r="J6" s="688" cm="1">
        <f t="array" ref="J6">IF(B6&gt;0,'Direct Costs 2026'!$C$23,"N/A")</f>
        <v>140000</v>
      </c>
      <c r="K6" s="688" cm="1">
        <f t="array" ref="K6">IF(B6&gt;0,'Direct Costs 2026'!$C$48*(B6),"N/A")</f>
        <v>170000</v>
      </c>
      <c r="L6" s="688" cm="1">
        <f t="array" ref="L6">IF(B6&gt;0,'Direct Costs 2026'!$C$31,"N/A")</f>
        <v>870000</v>
      </c>
      <c r="M6" t="str" s="689" cm="1">
        <f t="array" ref="M6">IF(B6&gt;0,IF(OR(VLOOKUP(C1,'Boats Data Sheet 2026'!$C$3:$F$57,4,0)="Own",VLOOKUP(C1,'Boats Data Sheet 2026'!$C$3:$F$57,4,0)="Management"),('Direct Costs 2026'!$C$37+'Direct Costs 2026'!$C$39),"N/A"),"N/A")</f>
        <v>N/A</v>
      </c>
      <c r="N6" s="688">
        <v>0</v>
      </c>
      <c r="O6" s="688" cm="1">
        <f t="array" ref="O6">_xlfn.IFERROR(C6+SUM(E6:N6),"N/A")</f>
        <v>10266000</v>
      </c>
      <c r="P6" s="424"/>
      <c r="Q6" s="688" cm="1">
        <f t="array" ref="Q6">IF(B6&gt;0,'Allocation OH and Target 2026'!$E$31,"N/A")</f>
        <v>3100447.15769812</v>
      </c>
      <c r="R6" s="688" cm="1">
        <f t="array" ref="R6">IF(B6&gt;0,'Direct Costs 2026'!$C$55*B6,"N/A")</f>
        <v>212343.26984127</v>
      </c>
      <c r="S6" s="688" cm="1">
        <f t="array" ref="S6">_xlfn.IFERROR((Q6+R6),"N/A")</f>
        <v>3312790.42753939</v>
      </c>
      <c r="T6" s="424"/>
      <c r="U6" s="688" cm="1">
        <f t="array" ref="U6">_xlfn.IFERROR(S6+O6,"N/A")</f>
        <v>13578790.4275394</v>
      </c>
      <c r="V6" s="688">
        <v>0</v>
      </c>
      <c r="W6" s="688" cm="1">
        <f t="array" ref="W6">IF(B6&gt;0,'Direct Costs 2026'!$C$9,"N/A")</f>
        <v>350000</v>
      </c>
      <c r="X6" s="688">
        <v>0</v>
      </c>
      <c r="Y6" s="688" cm="1">
        <f t="array" ref="Y6">_xlfn.IFERROR((U6+W6)*0.5%,"N/A")</f>
        <v>69643.952137696993</v>
      </c>
      <c r="Z6" s="688" cm="1">
        <f t="array" ref="Z6">_xlfn.IFERROR((U6+W6+Y6+X6+V6)*25%,"N/A")</f>
        <v>3499608.59491927</v>
      </c>
      <c r="AA6" s="688" cm="1">
        <f t="array" ref="AA6">IF(B6&gt;0,SUM(U6:Z6),"N/A")</f>
        <v>17498042.9745964</v>
      </c>
      <c r="AB6" s="688" cm="1">
        <f t="array" ref="AB6">ROUND(AA6/B6,-4)</f>
        <v>17500000</v>
      </c>
      <c r="AC6" s="690" cm="1">
        <f t="array" ref="AC6">_xlfn.IFERROR(AB6-BJ6,"N/A")</f>
        <v>2243658.8170889</v>
      </c>
      <c r="AD6" s="690" cm="1">
        <f t="array" ref="AD6">_xlfn.IFERROR(ROUND(AC6*B6,-4),"N/A")</f>
        <v>2240000</v>
      </c>
      <c r="AE6" s="424"/>
      <c r="AF6" s="691">
        <v>1</v>
      </c>
      <c r="AG6" s="686" cm="1">
        <f t="array" ref="AG6">_xlfn.IFERROR(SUM('Direct Costs 2026'!$C$7:$C$8,'Direct Costs 2026'!$C$46)*AF6,"N/A")</f>
        <v>1210000</v>
      </c>
      <c r="AH6" s="686">
        <v>0</v>
      </c>
      <c r="AI6" s="688" cm="1">
        <f t="array" ref="AI6">IF(B6&gt;0,'Direct Costs 2026'!$C$9,"N/A")</f>
        <v>350000</v>
      </c>
      <c r="AJ6" s="688" cm="1">
        <f t="array" ref="AJ6">_xlfn.IFERROR((U6-E6+AG6+AI6+AH6),"N/A")</f>
        <v>13928790.4275394</v>
      </c>
      <c r="AK6" s="688" cm="1">
        <f t="array" ref="AK6">_xlfn.IFERROR((AI6+AJ6)*0.5%,"N/A")</f>
        <v>71393.952137696993</v>
      </c>
      <c r="AL6" s="688" cm="1">
        <f t="array" ref="AL6">_xlfn.IFERROR((AI6+AJ6+AK6)*25%,"N/A")</f>
        <v>3587546.09491927</v>
      </c>
      <c r="AM6" s="688" cm="1">
        <f t="array" ref="AM6">IF(AF6&gt;0,SUM(AJ6:AL6),"N/A")</f>
        <v>17587730.4745964</v>
      </c>
      <c r="AN6" s="688" cm="1">
        <f t="array" ref="AN6">ROUND(AM6/B6,-4)</f>
        <v>17590000</v>
      </c>
      <c r="AO6" s="690" cm="1">
        <f t="array" ref="AO6">_xlfn.IFERROR(AN6-BJ6,"N/A")</f>
        <v>2333658.8170889</v>
      </c>
      <c r="AP6" s="690" cm="1">
        <f t="array" ref="AP6">_xlfn.IFERROR(ROUND(AO6*B6,-4),"N/A")</f>
        <v>2330000</v>
      </c>
      <c r="AQ6" s="424">
        <v>1</v>
      </c>
      <c r="AR6" s="691">
        <v>0</v>
      </c>
      <c r="AS6" s="686" cm="1">
        <f t="array" ref="AS6">_xlfn.IFERROR(SUM('Direct Costs 2026'!$C$7:$C$8,'Direct Costs 2026'!$C$46)*AR6,"N/A")</f>
        <v>0</v>
      </c>
      <c r="AT6" s="688" cm="1">
        <f t="array" ref="AT6">IF($AQ6&gt;0,'Direct Costs 2026'!$C$53*$AQ6,"N/A")</f>
        <v>2800000</v>
      </c>
      <c r="AU6" s="686" cm="1">
        <f t="array" ref="AU6">IF($AQ6&gt;0,'Direct Costs 2026'!$C$54*$AQ6,"N/A")</f>
        <v>400000</v>
      </c>
      <c r="AV6" s="686">
        <v>0</v>
      </c>
      <c r="AW6" s="688" cm="1">
        <f t="array" ref="AW6">IF(B6&gt;0,'Direct Costs 2026'!$C$9,"N/A")</f>
        <v>350000</v>
      </c>
      <c r="AX6" s="688" cm="1">
        <f t="array" ref="AX6">_xlfn.IFERROR((U6-E6+AS6+AW6+AT6+AU6),"N/A")</f>
        <v>15918790.4275394</v>
      </c>
      <c r="AY6" s="688" cm="1">
        <f t="array" ref="AY6">_xlfn.IFERROR((AW6+AX6)*0.5%,"N/A")</f>
        <v>81343.952137696993</v>
      </c>
      <c r="AZ6" s="688" cm="1">
        <f t="array" ref="AZ6">_xlfn.IFERROR((AX6+AY6)*25%,"N/A")</f>
        <v>4000033.59491927</v>
      </c>
      <c r="BA6" s="688" cm="1">
        <f t="array" ref="BA6">IF(AQ6&gt;0,SUM(AX6:AZ6),"N/A")</f>
        <v>20000167.9745964</v>
      </c>
      <c r="BB6" s="688" cm="1">
        <f t="array" ref="BB6">_xlfn.IFERROR(BA6/AQ6,"N/A")</f>
        <v>20000167.9745964</v>
      </c>
      <c r="BC6" s="690" cm="1">
        <f t="array" ref="BC6">_xlfn.IFERROR(BB6-BJ6,"N/A")</f>
        <v>4743826.7916853</v>
      </c>
      <c r="BD6" s="690" cm="1">
        <f t="array" ref="BD6">_xlfn.IFERROR(ROUND(BC6*AQ6,-4),"N/A")</f>
        <v>4740000</v>
      </c>
      <c r="BE6" s="424"/>
      <c r="BF6" s="688" cm="1">
        <f t="array" ref="BF6">_xlfn.IFERROR(O6-E6+Q6,"N/A")</f>
        <v>12156447.1576981</v>
      </c>
      <c r="BG6" s="688" cm="1">
        <f t="array" ref="BG6">_xlfn.IFERROR(BF6*0.5%,"N/A")</f>
        <v>60782.2357884905</v>
      </c>
      <c r="BH6" s="688" cm="1">
        <f t="array" ref="BH6">_xlfn.IFERROR(BF6*25%,"N/A")</f>
        <v>3039111.78942453</v>
      </c>
      <c r="BI6" s="690" cm="1">
        <f t="array" ref="BI6">IF(B6&gt;0,SUM(BF6:BH6),"N/A")</f>
        <v>15256341.1829111</v>
      </c>
      <c r="BJ6" s="690" cm="1">
        <f t="array" ref="BJ6">BI6/B6</f>
        <v>15256341.1829111</v>
      </c>
      <c r="BK6" s="424"/>
      <c r="BL6" s="688"/>
      <c r="BM6" s="688"/>
      <c r="BN6" s="688"/>
      <c r="BO6" s="688"/>
      <c r="BP6" s="688"/>
      <c r="BQ6" s="688"/>
      <c r="BR6" s="688"/>
      <c r="BS6" s="692"/>
    </row>
    <row r="7" ht="15" customHeight="1">
      <c r="A7" s="12"/>
      <c r="B7" s="693">
        <v>2</v>
      </c>
      <c r="C7" s="688" cm="1">
        <f t="array" ref="C7">IF(B7&gt;0,IF(VLOOKUP(C1,'Boats Data Sheet 2026'!$C$3:$J$57,8,0)="N/A",0,VLOOKUP(C1,'Boats Data Sheet 2026'!$C$3:$J$57,8,0)),"N/A")</f>
        <v>7500000</v>
      </c>
      <c r="D7" s="694">
        <v>1</v>
      </c>
      <c r="E7" s="688" cm="1">
        <f t="array" ref="E7">_xlfn.IFERROR(SUM('Direct Costs 2026'!$C$7:$C$8,'Direct Costs 2026'!$C$46)*D7,"N/A")</f>
        <v>1210000</v>
      </c>
      <c r="F7" s="688" cm="1">
        <f t="array" ref="F7">_xlfn.IFERROR('Direct Costs 2026'!$C$43*B7,"N/A")</f>
        <v>12000</v>
      </c>
      <c r="G7" s="688" cm="1">
        <f t="array" ref="G7">IF(B7&gt;0,'Direct Costs 2026'!$C$25,"N/A")</f>
        <v>90000</v>
      </c>
      <c r="H7" s="688" cm="1">
        <f t="array" ref="H7">IF(B7&gt;0,('Direct Costs 2026'!$C$14+'Direct Costs 2026'!$C$22),"N/A")</f>
        <v>260000</v>
      </c>
      <c r="I7" s="688" cm="1">
        <f t="array" ref="I7">IF(B7&gt;0,'Direct Costs 2026'!$C$26,"N/A")</f>
        <v>20000</v>
      </c>
      <c r="J7" s="688" cm="1">
        <f t="array" ref="J7">IF(B7&gt;0,'Direct Costs 2026'!$C$23,"N/A")</f>
        <v>140000</v>
      </c>
      <c r="K7" s="688" cm="1">
        <f t="array" ref="K7">IF(B7&gt;0,'Direct Costs 2026'!$C$48*(B7),"N/A")</f>
        <v>340000</v>
      </c>
      <c r="L7" s="688" cm="1">
        <f t="array" ref="L7">IF(B7&gt;0,'Direct Costs 2026'!$C$31,"N/A")</f>
        <v>870000</v>
      </c>
      <c r="M7" t="str" s="689" cm="1">
        <f t="array" ref="M7">IF(B7&gt;0,IF(OR(VLOOKUP(C1,'Boats Data Sheet 2026'!$C$3:$F$57,4,0)="Own",VLOOKUP(C1,'Boats Data Sheet 2026'!$C$3:$F$57,4,0)="Management"),('Direct Costs 2026'!$C$37+'Direct Costs 2026'!$C$39),"N/A"),"N/A")</f>
        <v>N/A</v>
      </c>
      <c r="N7" s="688">
        <v>0</v>
      </c>
      <c r="O7" s="688" cm="1">
        <f t="array" ref="O7">_xlfn.IFERROR(C7+SUM(E7:N7),"N/A")</f>
        <v>10442000</v>
      </c>
      <c r="P7" s="424"/>
      <c r="Q7" s="688" cm="1">
        <f t="array" ref="Q7">IF(B7&gt;0,'Allocation OH and Target 2026'!$E$31,"N/A")</f>
        <v>3100447.15769812</v>
      </c>
      <c r="R7" s="688" cm="1">
        <f t="array" ref="R7">IF(B7&gt;0,'Direct Costs 2026'!$C$55*B7,"N/A")</f>
        <v>424686.53968254</v>
      </c>
      <c r="S7" s="688" cm="1">
        <f t="array" ref="S7">_xlfn.IFERROR((Q7+R7),"N/A")</f>
        <v>3525133.69738066</v>
      </c>
      <c r="T7" s="424"/>
      <c r="U7" s="688" cm="1">
        <f t="array" ref="U7">_xlfn.IFERROR(S7+O7,"N/A")</f>
        <v>13967133.6973807</v>
      </c>
      <c r="V7" s="688">
        <v>0</v>
      </c>
      <c r="W7" s="688" cm="1">
        <f t="array" ref="W7">IF(B7&gt;0,'Direct Costs 2026'!$C$9,"N/A")</f>
        <v>350000</v>
      </c>
      <c r="X7" s="688">
        <v>0</v>
      </c>
      <c r="Y7" s="688" cm="1">
        <f t="array" ref="Y7">_xlfn.IFERROR((U7+W7)*0.5%,"N/A")</f>
        <v>71585.668486903494</v>
      </c>
      <c r="Z7" s="688" cm="1">
        <f t="array" ref="Z7">_xlfn.IFERROR((U7+W7+Y7+X7+V7)*25%,"N/A")</f>
        <v>3597179.8414669</v>
      </c>
      <c r="AA7" s="688" cm="1">
        <f t="array" ref="AA7">IF(B7&gt;0,SUM(U7:Z7),"N/A")</f>
        <v>17985899.2073345</v>
      </c>
      <c r="AB7" s="688" cm="1">
        <f t="array" ref="AB7">ROUND(AA7/B7,-4)</f>
        <v>8990000</v>
      </c>
      <c r="AC7" s="690" cm="1">
        <f t="array" ref="AC7">_xlfn.IFERROR(AB7-BJ7,"N/A")</f>
        <v>1251389.40854445</v>
      </c>
      <c r="AD7" s="690" cm="1">
        <f t="array" ref="AD7">_xlfn.IFERROR(ROUND(AC7*B7,-4),"N/A")</f>
        <v>2500000</v>
      </c>
      <c r="AE7" s="424"/>
      <c r="AF7" s="691">
        <v>2</v>
      </c>
      <c r="AG7" s="688" cm="1">
        <f t="array" ref="AG7">_xlfn.IFERROR(SUM('Direct Costs 2026'!$C$7:$C$8,'Direct Costs 2026'!$C$46)*AF7,"N/A")</f>
        <v>2420000</v>
      </c>
      <c r="AH7" s="688">
        <v>0</v>
      </c>
      <c r="AI7" s="688" cm="1">
        <f t="array" ref="AI7">IF(B7&gt;0,'Direct Costs 2026'!$C$9,"N/A")</f>
        <v>350000</v>
      </c>
      <c r="AJ7" s="688" cm="1">
        <f t="array" ref="AJ7">_xlfn.IFERROR((U7-E7+AG7+AI7+AH7),"N/A")</f>
        <v>15527133.6973807</v>
      </c>
      <c r="AK7" s="688" cm="1">
        <f t="array" ref="AK7">_xlfn.IFERROR((AI7+AJ7)*0.5%,"N/A")</f>
        <v>79385.668486903494</v>
      </c>
      <c r="AL7" s="688" cm="1">
        <f t="array" ref="AL7">_xlfn.IFERROR((AI7+AJ7+AK7)*25%,"N/A")</f>
        <v>3989129.8414669</v>
      </c>
      <c r="AM7" s="688" cm="1">
        <f t="array" ref="AM7">IF(AF7&gt;0,SUM(AJ7:AL7),"N/A")</f>
        <v>19595649.2073345</v>
      </c>
      <c r="AN7" s="688" cm="1">
        <f t="array" ref="AN7">ROUND(AM7/B7,-4)</f>
        <v>9800000</v>
      </c>
      <c r="AO7" s="690" cm="1">
        <f t="array" ref="AO7">_xlfn.IFERROR(AN7-BJ7,"N/A")</f>
        <v>2061389.40854445</v>
      </c>
      <c r="AP7" s="690" cm="1">
        <f t="array" ref="AP7">_xlfn.IFERROR(ROUND(AO7*B7,-4),"N/A")</f>
        <v>4120000</v>
      </c>
      <c r="AQ7" s="424">
        <v>2</v>
      </c>
      <c r="AR7" s="691">
        <v>1</v>
      </c>
      <c r="AS7" s="688" cm="1">
        <f t="array" ref="AS7">_xlfn.IFERROR(SUM('Direct Costs 2026'!$C$7:$C$8,'Direct Costs 2026'!$C$46)*AR7,"N/A")</f>
        <v>1210000</v>
      </c>
      <c r="AT7" s="688" cm="1">
        <f t="array" ref="AT7">IF($AQ7&gt;0,'Direct Costs 2026'!$C$53*$AQ7,"N/A")</f>
        <v>5600000</v>
      </c>
      <c r="AU7" s="688" cm="1">
        <f t="array" ref="AU7">IF($AQ7&gt;0,'Direct Costs 2026'!$C$54*$AQ7,"N/A")</f>
        <v>800000</v>
      </c>
      <c r="AV7" s="688">
        <v>0</v>
      </c>
      <c r="AW7" s="688" cm="1">
        <f t="array" ref="AW7">IF(B7&gt;0,'Direct Costs 2026'!$C$9,"N/A")</f>
        <v>350000</v>
      </c>
      <c r="AX7" s="688" cm="1">
        <f t="array" ref="AX7">_xlfn.IFERROR((U7-E7+AS7+AW7+AT7+AU7),"N/A")</f>
        <v>20717133.6973807</v>
      </c>
      <c r="AY7" s="688" cm="1">
        <f t="array" ref="AY7">_xlfn.IFERROR((AW7+AX7)*0.5%,"N/A")</f>
        <v>105335.668486904</v>
      </c>
      <c r="AZ7" s="688" cm="1">
        <f t="array" ref="AZ7">_xlfn.IFERROR((AX7+AY7)*25%,"N/A")</f>
        <v>5205617.3414669</v>
      </c>
      <c r="BA7" s="688" cm="1">
        <f t="array" ref="BA7">IF(AQ7&gt;0,SUM(AX7:AZ7),"N/A")</f>
        <v>26028086.7073345</v>
      </c>
      <c r="BB7" s="688" cm="1">
        <f t="array" ref="BB7">_xlfn.IFERROR(BA7/AQ7,"N/A")</f>
        <v>13014043.3536673</v>
      </c>
      <c r="BC7" s="690" cm="1">
        <f t="array" ref="BC7">_xlfn.IFERROR(BB7-BJ7,"N/A")</f>
        <v>5275432.76221175</v>
      </c>
      <c r="BD7" s="690" cm="1">
        <f t="array" ref="BD7">_xlfn.IFERROR(ROUND(BC7*AQ7,-4),"N/A")</f>
        <v>10550000</v>
      </c>
      <c r="BE7" s="424"/>
      <c r="BF7" s="688" cm="1">
        <f t="array" ref="BF7">_xlfn.IFERROR(O7-E7+Q7,"N/A")</f>
        <v>12332447.1576981</v>
      </c>
      <c r="BG7" s="688" cm="1">
        <f t="array" ref="BG7">_xlfn.IFERROR(BF7*0.5%,"N/A")</f>
        <v>61662.2357884905</v>
      </c>
      <c r="BH7" s="688" cm="1">
        <f t="array" ref="BH7">_xlfn.IFERROR(BF7*25%,"N/A")</f>
        <v>3083111.78942453</v>
      </c>
      <c r="BI7" s="690" cm="1">
        <f t="array" ref="BI7">IF(B7&gt;0,SUM(BF7:BH7),"N/A")</f>
        <v>15477221.1829111</v>
      </c>
      <c r="BJ7" s="690" cm="1">
        <f t="array" ref="BJ7">BI7/B7</f>
        <v>7738610.59145555</v>
      </c>
      <c r="BK7" s="424"/>
      <c r="BL7" s="688"/>
      <c r="BM7" s="688"/>
      <c r="BN7" s="688"/>
      <c r="BO7" s="688"/>
      <c r="BP7" s="688"/>
      <c r="BQ7" s="688"/>
      <c r="BR7" s="688"/>
      <c r="BS7" s="692"/>
    </row>
    <row r="8" ht="15" customHeight="1">
      <c r="A8" s="12"/>
      <c r="B8" s="693">
        <v>3</v>
      </c>
      <c r="C8" s="688" cm="1">
        <f t="array" ref="C8">IF(B8&gt;0,IF(VLOOKUP(C1,'Boats Data Sheet 2026'!$C$3:$J$57,8,0)="N/A",0,VLOOKUP(C1,'Boats Data Sheet 2026'!$C$3:$J$57,8,0)),"N/A")</f>
        <v>7500000</v>
      </c>
      <c r="D8" s="694">
        <v>1</v>
      </c>
      <c r="E8" s="688" cm="1">
        <f t="array" ref="E8">_xlfn.IFERROR(SUM('Direct Costs 2026'!$C$7:$C$8,'Direct Costs 2026'!$C$46)*D8,"N/A")</f>
        <v>1210000</v>
      </c>
      <c r="F8" s="688" cm="1">
        <f t="array" ref="F8">_xlfn.IFERROR('Direct Costs 2026'!$C$43*B8,"N/A")</f>
        <v>18000</v>
      </c>
      <c r="G8" s="688" cm="1">
        <f t="array" ref="G8">IF(B8&gt;0,'Direct Costs 2026'!$C$25,"N/A")</f>
        <v>90000</v>
      </c>
      <c r="H8" s="688" cm="1">
        <f t="array" ref="H8">IF(B8&gt;0,('Direct Costs 2026'!$C$14+'Direct Costs 2026'!$C$22),"N/A")</f>
        <v>260000</v>
      </c>
      <c r="I8" s="688" cm="1">
        <f t="array" ref="I8">IF(B8&gt;0,'Direct Costs 2026'!$C$26,"N/A")</f>
        <v>20000</v>
      </c>
      <c r="J8" s="688" cm="1">
        <f t="array" ref="J8">IF(B8&gt;0,'Direct Costs 2026'!$C$23,"N/A")</f>
        <v>140000</v>
      </c>
      <c r="K8" s="688" cm="1">
        <f t="array" ref="K8">IF(B8&gt;0,'Direct Costs 2026'!$C$48*(B8),"N/A")</f>
        <v>510000</v>
      </c>
      <c r="L8" s="688" cm="1">
        <f t="array" ref="L8">IF(B8&gt;0,'Direct Costs 2026'!$C$31,"N/A")</f>
        <v>870000</v>
      </c>
      <c r="M8" t="str" s="689" cm="1">
        <f t="array" ref="M8">IF(B8&gt;0,IF(OR(VLOOKUP(C1,'Boats Data Sheet 2026'!$C$3:$F$57,4,0)="Own",VLOOKUP(C1,'Boats Data Sheet 2026'!$C$3:$F$57,4,0)="Management"),('Direct Costs 2026'!$C$37+'Direct Costs 2026'!$C$39),"N/A"),"N/A")</f>
        <v>N/A</v>
      </c>
      <c r="N8" s="688">
        <v>0</v>
      </c>
      <c r="O8" s="688" cm="1">
        <f t="array" ref="O8">_xlfn.IFERROR(C8+SUM(E8:N8),"N/A")</f>
        <v>10618000</v>
      </c>
      <c r="P8" s="424"/>
      <c r="Q8" s="688" cm="1">
        <f t="array" ref="Q8">IF(B8&gt;0,'Allocation OH and Target 2026'!$E$31,"N/A")</f>
        <v>3100447.15769812</v>
      </c>
      <c r="R8" s="688" cm="1">
        <f t="array" ref="R8">IF(B8&gt;0,'Direct Costs 2026'!$C$55*B8,"N/A")</f>
        <v>637029.8095238101</v>
      </c>
      <c r="S8" s="688" cm="1">
        <f t="array" ref="S8">_xlfn.IFERROR((Q8+R8),"N/A")</f>
        <v>3737476.96722193</v>
      </c>
      <c r="T8" s="424"/>
      <c r="U8" s="688" cm="1">
        <f t="array" ref="U8">_xlfn.IFERROR(S8+O8,"N/A")</f>
        <v>14355476.9672219</v>
      </c>
      <c r="V8" s="688">
        <v>0</v>
      </c>
      <c r="W8" s="688" cm="1">
        <f t="array" ref="W8">IF(B8&gt;0,'Direct Costs 2026'!$C$9,"N/A")</f>
        <v>350000</v>
      </c>
      <c r="X8" s="688">
        <v>0</v>
      </c>
      <c r="Y8" s="688" cm="1">
        <f t="array" ref="Y8">_xlfn.IFERROR((U8+W8)*0.5%,"N/A")</f>
        <v>73527.3848361095</v>
      </c>
      <c r="Z8" s="688" cm="1">
        <f t="array" ref="Z8">_xlfn.IFERROR((U8+W8+Y8+X8+V8)*25%,"N/A")</f>
        <v>3694751.0880145</v>
      </c>
      <c r="AA8" s="688" cm="1">
        <f t="array" ref="AA8">IF(B8&gt;0,SUM(U8:Z8),"N/A")</f>
        <v>18473755.4400725</v>
      </c>
      <c r="AB8" s="688" cm="1">
        <f t="array" ref="AB8">ROUND(AA8/B8,-4)</f>
        <v>6160000</v>
      </c>
      <c r="AC8" s="690" cm="1">
        <f t="array" ref="AC8">_xlfn.IFERROR(AB8-BJ8,"N/A")</f>
        <v>927299.6056963</v>
      </c>
      <c r="AD8" s="690" cm="1">
        <f t="array" ref="AD8">_xlfn.IFERROR(ROUND(AC8*B8,-4),"N/A")</f>
        <v>2780000</v>
      </c>
      <c r="AE8" s="424"/>
      <c r="AF8" s="691">
        <v>3</v>
      </c>
      <c r="AG8" s="688" cm="1">
        <f t="array" ref="AG8">_xlfn.IFERROR(SUM('Direct Costs 2026'!$C$7:$C$8,'Direct Costs 2026'!$C$46)*AF8,"N/A")</f>
        <v>3630000</v>
      </c>
      <c r="AH8" s="688" cm="1">
        <f t="array" ref="AH8">(B8-2)*'Direct Costs 2026'!$C$52</f>
        <v>350000</v>
      </c>
      <c r="AI8" s="688" cm="1">
        <f t="array" ref="AI8">IF(B8&gt;0,'Direct Costs 2026'!$C$9,"N/A")</f>
        <v>350000</v>
      </c>
      <c r="AJ8" s="688" cm="1">
        <f t="array" ref="AJ8">_xlfn.IFERROR((U8-E8+AG8+AI8+AH8),"N/A")</f>
        <v>17475476.9672219</v>
      </c>
      <c r="AK8" s="688" cm="1">
        <f t="array" ref="AK8">_xlfn.IFERROR((AI8+AJ8)*0.5%,"N/A")</f>
        <v>89127.3848361095</v>
      </c>
      <c r="AL8" s="688" cm="1">
        <f t="array" ref="AL8">_xlfn.IFERROR((AI8+AJ8+AK8)*25%,"N/A")</f>
        <v>4478651.0880145</v>
      </c>
      <c r="AM8" s="688" cm="1">
        <f t="array" ref="AM8">IF(AF8&gt;0,SUM(AJ8:AL8),"N/A")</f>
        <v>22043255.4400725</v>
      </c>
      <c r="AN8" s="688" cm="1">
        <f t="array" ref="AN8">ROUND(AM8/B8,-4)</f>
        <v>7350000</v>
      </c>
      <c r="AO8" s="690" cm="1">
        <f t="array" ref="AO8">_xlfn.IFERROR(AN8-BJ8,"N/A")</f>
        <v>2117299.6056963</v>
      </c>
      <c r="AP8" s="690" cm="1">
        <f t="array" ref="AP8">_xlfn.IFERROR(ROUND(AO8*B8,-4),"N/A")</f>
        <v>6350000</v>
      </c>
      <c r="AQ8" s="424">
        <v>3</v>
      </c>
      <c r="AR8" s="691">
        <v>2</v>
      </c>
      <c r="AS8" s="688" cm="1">
        <f t="array" ref="AS8">_xlfn.IFERROR(SUM('Direct Costs 2026'!$C$7:$C$8,'Direct Costs 2026'!$C$46)*AR8,"N/A")</f>
        <v>2420000</v>
      </c>
      <c r="AT8" s="688" cm="1">
        <f t="array" ref="AT8">IF($AQ8&gt;0,'Direct Costs 2026'!$C$53*$AQ8,"N/A")</f>
        <v>8400000</v>
      </c>
      <c r="AU8" s="688" cm="1">
        <f t="array" ref="AU8">IF($AQ8&gt;0,'Direct Costs 2026'!$C$54*$AQ8,"N/A")</f>
        <v>1200000</v>
      </c>
      <c r="AV8" s="688" cm="1">
        <f t="array" ref="AV8">(B8-2)*'Direct Costs 2026'!$C$52</f>
        <v>350000</v>
      </c>
      <c r="AW8" s="688" cm="1">
        <f t="array" ref="AW8">IF(B8&gt;0,'Direct Costs 2026'!$C$9,"N/A")</f>
        <v>350000</v>
      </c>
      <c r="AX8" s="688" cm="1">
        <f t="array" ref="AX8">_xlfn.IFERROR((U8-E8+AS8+AW8+AT8+AU8),"N/A")</f>
        <v>25515476.9672219</v>
      </c>
      <c r="AY8" s="688" cm="1">
        <f t="array" ref="AY8">_xlfn.IFERROR((AW8+AX8)*0.5%,"N/A")</f>
        <v>129327.38483611</v>
      </c>
      <c r="AZ8" s="688" cm="1">
        <f t="array" ref="AZ8">_xlfn.IFERROR((AX8+AY8)*25%,"N/A")</f>
        <v>6411201.0880145</v>
      </c>
      <c r="BA8" s="688" cm="1">
        <f t="array" ref="BA8">IF(AQ8&gt;0,SUM(AX8:AZ8),"N/A")</f>
        <v>32056005.4400725</v>
      </c>
      <c r="BB8" s="688" cm="1">
        <f t="array" ref="BB8">_xlfn.IFERROR(BA8/AQ8,"N/A")</f>
        <v>10685335.1466908</v>
      </c>
      <c r="BC8" s="690" cm="1">
        <f t="array" ref="BC8">_xlfn.IFERROR(BB8-BJ8,"N/A")</f>
        <v>5452634.7523871</v>
      </c>
      <c r="BD8" s="690" cm="1">
        <f t="array" ref="BD8">_xlfn.IFERROR(ROUND(BC8*AQ8,-4),"N/A")</f>
        <v>16360000</v>
      </c>
      <c r="BE8" s="424"/>
      <c r="BF8" s="688" cm="1">
        <f t="array" ref="BF8">_xlfn.IFERROR(O8-E8+Q8,"N/A")</f>
        <v>12508447.1576981</v>
      </c>
      <c r="BG8" s="688" cm="1">
        <f t="array" ref="BG8">_xlfn.IFERROR(BF8*0.5%,"N/A")</f>
        <v>62542.2357884905</v>
      </c>
      <c r="BH8" s="688" cm="1">
        <f t="array" ref="BH8">_xlfn.IFERROR(BF8*25%,"N/A")</f>
        <v>3127111.78942453</v>
      </c>
      <c r="BI8" s="690" cm="1">
        <f t="array" ref="BI8">IF(B8&gt;0,SUM(BF8:BH8),"N/A")</f>
        <v>15698101.1829111</v>
      </c>
      <c r="BJ8" s="690" cm="1">
        <f t="array" ref="BJ8">BI8/B8</f>
        <v>5232700.3943037</v>
      </c>
      <c r="BK8" s="424"/>
      <c r="BL8" s="688"/>
      <c r="BM8" s="688"/>
      <c r="BN8" s="688"/>
      <c r="BO8" s="688"/>
      <c r="BP8" s="688"/>
      <c r="BQ8" s="688"/>
      <c r="BR8" s="688"/>
      <c r="BS8" s="692"/>
    </row>
    <row r="9" ht="15" customHeight="1">
      <c r="A9" s="12"/>
      <c r="B9" s="693">
        <v>4</v>
      </c>
      <c r="C9" s="688" cm="1">
        <f t="array" ref="C9">IF(B9&gt;0,IF(VLOOKUP(C1,'Boats Data Sheet 2026'!$C$3:$J$57,8,0)="N/A",0,VLOOKUP(C1,'Boats Data Sheet 2026'!$C$3:$J$57,8,0)),"N/A")</f>
        <v>7500000</v>
      </c>
      <c r="D9" s="694">
        <v>1</v>
      </c>
      <c r="E9" s="688" cm="1">
        <f t="array" ref="E9">_xlfn.IFERROR(SUM('Direct Costs 2026'!$C$7:$C$8,'Direct Costs 2026'!$C$46)*D9,"N/A")</f>
        <v>1210000</v>
      </c>
      <c r="F9" s="688" cm="1">
        <f t="array" ref="F9">_xlfn.IFERROR('Direct Costs 2026'!$C$43*B9,"N/A")</f>
        <v>24000</v>
      </c>
      <c r="G9" s="688" cm="1">
        <f t="array" ref="G9">IF(B9&gt;0,'Direct Costs 2026'!$C$25,"N/A")</f>
        <v>90000</v>
      </c>
      <c r="H9" s="688" cm="1">
        <f t="array" ref="H9">IF(B9&gt;0,('Direct Costs 2026'!$C$14+'Direct Costs 2026'!$C$22),"N/A")</f>
        <v>260000</v>
      </c>
      <c r="I9" s="688" cm="1">
        <f t="array" ref="I9">IF(B9&gt;0,'Direct Costs 2026'!$C$26,"N/A")</f>
        <v>20000</v>
      </c>
      <c r="J9" s="688" cm="1">
        <f t="array" ref="J9">IF(B9&gt;0,'Direct Costs 2026'!$C$23,"N/A")</f>
        <v>140000</v>
      </c>
      <c r="K9" s="688" cm="1">
        <f t="array" ref="K9">IF(B9&gt;0,'Direct Costs 2026'!$C$48*(B9),"N/A")</f>
        <v>680000</v>
      </c>
      <c r="L9" s="688" cm="1">
        <f t="array" ref="L9">IF(B9&gt;0,'Direct Costs 2026'!$C$31,"N/A")</f>
        <v>870000</v>
      </c>
      <c r="M9" t="str" s="689" cm="1">
        <f t="array" ref="M9">IF(B9&gt;0,IF(OR(VLOOKUP(C1,'Boats Data Sheet 2026'!$C$3:$F$57,4,0)="Own",VLOOKUP(C1,'Boats Data Sheet 2026'!$C$3:$F$57,4,0)="Management"),('Direct Costs 2026'!$C$37+'Direct Costs 2026'!$C$39),"N/A"),"N/A")</f>
        <v>N/A</v>
      </c>
      <c r="N9" s="688">
        <v>0</v>
      </c>
      <c r="O9" s="688" cm="1">
        <f t="array" ref="O9">_xlfn.IFERROR(C9+SUM(E9:N9),"N/A")</f>
        <v>10794000</v>
      </c>
      <c r="P9" s="424"/>
      <c r="Q9" s="688" cm="1">
        <f t="array" ref="Q9">IF(B9&gt;0,'Allocation OH and Target 2026'!$E$31,"N/A")</f>
        <v>3100447.15769812</v>
      </c>
      <c r="R9" s="688" cm="1">
        <f t="array" ref="R9">IF(B9&gt;0,'Direct Costs 2026'!$C$55*B9,"N/A")</f>
        <v>849373.07936508</v>
      </c>
      <c r="S9" s="688" cm="1">
        <f t="array" ref="S9">_xlfn.IFERROR((Q9+R9),"N/A")</f>
        <v>3949820.2370632</v>
      </c>
      <c r="T9" s="424"/>
      <c r="U9" s="688" cm="1">
        <f t="array" ref="U9">_xlfn.IFERROR(S9+O9,"N/A")</f>
        <v>14743820.2370632</v>
      </c>
      <c r="V9" s="688" cm="1">
        <f t="array" ref="V9">SUM('Direct Costs 2026'!$C$7:$C$8,'Direct Costs 2026'!$C$46)</f>
        <v>1210000</v>
      </c>
      <c r="W9" s="688" cm="1">
        <f t="array" ref="W9">IF(B9&gt;0,'Direct Costs 2026'!$C$9,"N/A")</f>
        <v>350000</v>
      </c>
      <c r="X9" s="688" cm="1">
        <f t="array" ref="X9">(B9-3)*'Direct Costs 2026'!$C$52</f>
        <v>350000</v>
      </c>
      <c r="Y9" s="688" cm="1">
        <f t="array" ref="Y9">_xlfn.IFERROR((U9+W9)*0.5%,"N/A")</f>
        <v>75469.101185316</v>
      </c>
      <c r="Z9" s="688" cm="1">
        <f t="array" ref="Z9">_xlfn.IFERROR((U9+W9+Y9+X9+V9)*25%,"N/A")</f>
        <v>4182322.33456213</v>
      </c>
      <c r="AA9" s="688" cm="1">
        <f t="array" ref="AA9">IF(B9&gt;0,SUM(U9:Z9),"N/A")</f>
        <v>20911611.6728106</v>
      </c>
      <c r="AB9" s="688" cm="1">
        <f t="array" ref="AB9">ROUND(AA9/B9,-4)</f>
        <v>5230000</v>
      </c>
      <c r="AC9" s="690" cm="1">
        <f t="array" ref="AC9">_xlfn.IFERROR(AB9-BJ9,"N/A")</f>
        <v>1250254.70427222</v>
      </c>
      <c r="AD9" s="690" cm="1">
        <f t="array" ref="AD9">_xlfn.IFERROR(ROUND(AC9*B9,-4),"N/A")</f>
        <v>5000000</v>
      </c>
      <c r="AE9" s="424"/>
      <c r="AF9" s="691">
        <v>4</v>
      </c>
      <c r="AG9" s="688" cm="1">
        <f t="array" ref="AG9">_xlfn.IFERROR(SUM('Direct Costs 2026'!$C$7:$C$8,'Direct Costs 2026'!$C$46)*AF9,"N/A")</f>
        <v>4840000</v>
      </c>
      <c r="AH9" s="688" cm="1">
        <f t="array" ref="AH9">(B9-2)*'Direct Costs 2026'!$C$52</f>
        <v>700000</v>
      </c>
      <c r="AI9" s="688" cm="1">
        <f t="array" ref="AI9">IF(B9&gt;0,'Direct Costs 2026'!$C$9,"N/A")</f>
        <v>350000</v>
      </c>
      <c r="AJ9" s="688" cm="1">
        <f t="array" ref="AJ9">_xlfn.IFERROR((U9-E9+AG9+AI9+AH9),"N/A")</f>
        <v>19423820.2370632</v>
      </c>
      <c r="AK9" s="688" cm="1">
        <f t="array" ref="AK9">_xlfn.IFERROR((AI9+AJ9)*0.5%,"N/A")</f>
        <v>98869.101185316</v>
      </c>
      <c r="AL9" s="688" cm="1">
        <f t="array" ref="AL9">_xlfn.IFERROR((AI9+AJ9+AK9)*25%,"N/A")</f>
        <v>4968172.33456213</v>
      </c>
      <c r="AM9" s="688" cm="1">
        <f t="array" ref="AM9">IF(AF9&gt;0,SUM(AJ9:AL9),"N/A")</f>
        <v>24490861.6728106</v>
      </c>
      <c r="AN9" s="688" cm="1">
        <f t="array" ref="AN9">ROUND(AM9/B9,-4)</f>
        <v>6120000</v>
      </c>
      <c r="AO9" s="690" cm="1">
        <f t="array" ref="AO9">_xlfn.IFERROR(AN9-BJ9,"N/A")</f>
        <v>2140254.70427222</v>
      </c>
      <c r="AP9" s="690" cm="1">
        <f t="array" ref="AP9">_xlfn.IFERROR(ROUND(AO9*B9,-4),"N/A")</f>
        <v>8560000</v>
      </c>
      <c r="AQ9" s="424">
        <v>4</v>
      </c>
      <c r="AR9" s="691">
        <v>3</v>
      </c>
      <c r="AS9" s="688" cm="1">
        <f t="array" ref="AS9">_xlfn.IFERROR(SUM('Direct Costs 2026'!$C$7:$C$8,'Direct Costs 2026'!$C$46)*AR9,"N/A")</f>
        <v>3630000</v>
      </c>
      <c r="AT9" s="688" cm="1">
        <f t="array" ref="AT9">IF($AQ9&gt;0,'Direct Costs 2026'!$C$53*$AQ9,"N/A")</f>
        <v>11200000</v>
      </c>
      <c r="AU9" s="688" cm="1">
        <f t="array" ref="AU9">IF($AQ9&gt;0,'Direct Costs 2026'!$C$54*$AQ9,"N/A")</f>
        <v>1600000</v>
      </c>
      <c r="AV9" s="688" cm="1">
        <f t="array" ref="AV9">(B9-2)*'Direct Costs 2026'!$C$52</f>
        <v>700000</v>
      </c>
      <c r="AW9" s="688" cm="1">
        <f t="array" ref="AW9">IF(B9&gt;0,'Direct Costs 2026'!$C$9,"N/A")</f>
        <v>350000</v>
      </c>
      <c r="AX9" s="688" cm="1">
        <f t="array" ref="AX9">_xlfn.IFERROR((U9-E9+AS9+AW9+AT9+AU9),"N/A")</f>
        <v>30313820.2370632</v>
      </c>
      <c r="AY9" s="688" cm="1">
        <f t="array" ref="AY9">_xlfn.IFERROR((AW9+AX9)*0.5%,"N/A")</f>
        <v>153319.101185316</v>
      </c>
      <c r="AZ9" s="688" cm="1">
        <f t="array" ref="AZ9">_xlfn.IFERROR((AX9+AY9)*25%,"N/A")</f>
        <v>7616784.83456213</v>
      </c>
      <c r="BA9" s="688" cm="1">
        <f t="array" ref="BA9">IF(AQ9&gt;0,SUM(AX9:AZ9),"N/A")</f>
        <v>38083924.1728106</v>
      </c>
      <c r="BB9" s="688" cm="1">
        <f t="array" ref="BB9">_xlfn.IFERROR(BA9/AQ9,"N/A")</f>
        <v>9520981.04320265</v>
      </c>
      <c r="BC9" s="690" cm="1">
        <f t="array" ref="BC9">_xlfn.IFERROR(BB9-BJ9,"N/A")</f>
        <v>5541235.74747487</v>
      </c>
      <c r="BD9" s="690" cm="1">
        <f t="array" ref="BD9">_xlfn.IFERROR(ROUND(BC9*AQ9,-4),"N/A")</f>
        <v>22160000</v>
      </c>
      <c r="BE9" s="424"/>
      <c r="BF9" s="688" cm="1">
        <f t="array" ref="BF9">_xlfn.IFERROR(O9-E9+Q9,"N/A")</f>
        <v>12684447.1576981</v>
      </c>
      <c r="BG9" s="688" cm="1">
        <f t="array" ref="BG9">_xlfn.IFERROR(BF9*0.5%,"N/A")</f>
        <v>63422.2357884905</v>
      </c>
      <c r="BH9" s="688" cm="1">
        <f t="array" ref="BH9">_xlfn.IFERROR(BF9*25%,"N/A")</f>
        <v>3171111.78942453</v>
      </c>
      <c r="BI9" s="690" cm="1">
        <f t="array" ref="BI9">IF(B9&gt;0,SUM(BF9:BH9),"N/A")</f>
        <v>15918981.1829111</v>
      </c>
      <c r="BJ9" s="690" cm="1">
        <f t="array" ref="BJ9">BI9/B9</f>
        <v>3979745.29572778</v>
      </c>
      <c r="BK9" s="424"/>
      <c r="BL9" s="688"/>
      <c r="BM9" s="688"/>
      <c r="BN9" s="688"/>
      <c r="BO9" s="688"/>
      <c r="BP9" s="688"/>
      <c r="BQ9" s="688"/>
      <c r="BR9" s="688"/>
      <c r="BS9" s="692"/>
    </row>
    <row r="10" ht="15" customHeight="1">
      <c r="A10" s="12"/>
      <c r="B10" s="693">
        <v>5</v>
      </c>
      <c r="C10" s="688" cm="1">
        <f t="array" ref="C10">IF(B10&gt;0,IF(VLOOKUP(C1,'Boats Data Sheet 2026'!$C$3:$J$57,8,0)="N/A",0,VLOOKUP(C1,'Boats Data Sheet 2026'!$C$3:$J$57,8,0)),"N/A")</f>
        <v>7500000</v>
      </c>
      <c r="D10" s="694">
        <v>2</v>
      </c>
      <c r="E10" s="688" cm="1">
        <f t="array" ref="E10">_xlfn.IFERROR(SUM('Direct Costs 2026'!$C$7:$C$8,'Direct Costs 2026'!$C$46)*D10,"N/A")</f>
        <v>2420000</v>
      </c>
      <c r="F10" s="688" cm="1">
        <f t="array" ref="F10">_xlfn.IFERROR('Direct Costs 2026'!$C$43*B10,"N/A")</f>
        <v>30000</v>
      </c>
      <c r="G10" s="688" cm="1">
        <f t="array" ref="G10">IF(B10&gt;0,'Direct Costs 2026'!$C$25,"N/A")</f>
        <v>90000</v>
      </c>
      <c r="H10" s="688" cm="1">
        <f t="array" ref="H10">IF(B10&gt;0,('Direct Costs 2026'!$C$14+'Direct Costs 2026'!$C$22),"N/A")</f>
        <v>260000</v>
      </c>
      <c r="I10" s="688" cm="1">
        <f t="array" ref="I10">IF(B10&gt;0,'Direct Costs 2026'!$C$26,"N/A")</f>
        <v>20000</v>
      </c>
      <c r="J10" s="688" cm="1">
        <f t="array" ref="J10">IF(B10&gt;0,'Direct Costs 2026'!$C$23,"N/A")</f>
        <v>140000</v>
      </c>
      <c r="K10" s="688" cm="1">
        <f t="array" ref="K10">IF(B10&gt;0,'Direct Costs 2026'!$C$48*(B10),"N/A")</f>
        <v>850000</v>
      </c>
      <c r="L10" s="688" cm="1">
        <f t="array" ref="L10">IF(B10&gt;0,'Direct Costs 2026'!$C$31,"N/A")</f>
        <v>870000</v>
      </c>
      <c r="M10" t="str" s="689" cm="1">
        <f t="array" ref="M10">IF(B10&gt;0,IF(OR(VLOOKUP(C1,'Boats Data Sheet 2026'!$C$3:$F$57,4,0)="Own",VLOOKUP(C1,'Boats Data Sheet 2026'!$C$3:$F$57,4,0)="Management"),('Direct Costs 2026'!$C$37+'Direct Costs 2026'!$C$39),"N/A"),"N/A")</f>
        <v>N/A</v>
      </c>
      <c r="N10" s="688">
        <v>0</v>
      </c>
      <c r="O10" s="688" cm="1">
        <f t="array" ref="O10">_xlfn.IFERROR(C10+SUM(E10:N10),"N/A")</f>
        <v>12180000</v>
      </c>
      <c r="P10" s="424"/>
      <c r="Q10" s="688" cm="1">
        <f t="array" ref="Q10">IF(B10&gt;0,'Allocation OH and Target 2026'!$E$31,"N/A")</f>
        <v>3100447.15769812</v>
      </c>
      <c r="R10" s="688" cm="1">
        <f t="array" ref="R10">IF(B10&gt;0,'Direct Costs 2026'!$C$55*B10,"N/A")</f>
        <v>1061716.34920635</v>
      </c>
      <c r="S10" s="688" cm="1">
        <f t="array" ref="S10">_xlfn.IFERROR((Q10+R10),"N/A")</f>
        <v>4162163.50690447</v>
      </c>
      <c r="T10" s="424"/>
      <c r="U10" s="688" cm="1">
        <f t="array" ref="U10">_xlfn.IFERROR(S10+O10,"N/A")</f>
        <v>16342163.5069045</v>
      </c>
      <c r="V10" s="688" cm="1">
        <f t="array" ref="V10">SUM('Direct Costs 2026'!$C$7:$C$8,'Direct Costs 2026'!$C$46)</f>
        <v>1210000</v>
      </c>
      <c r="W10" s="688" cm="1">
        <f t="array" ref="W10">IF(B10&gt;0,'Direct Costs 2026'!$C$9,"N/A")</f>
        <v>350000</v>
      </c>
      <c r="X10" s="688" cm="1">
        <f t="array" ref="X10">(B10-3)*'Direct Costs 2026'!$C$52</f>
        <v>700000</v>
      </c>
      <c r="Y10" s="688" cm="1">
        <f t="array" ref="Y10">_xlfn.IFERROR((U10+W10)*0.5%,"N/A")</f>
        <v>83460.8175345225</v>
      </c>
      <c r="Z10" s="688" cm="1">
        <f t="array" ref="Z10">_xlfn.IFERROR((U10+W10+Y10+X10+V10)*25%,"N/A")</f>
        <v>4671406.08110976</v>
      </c>
      <c r="AA10" s="688" cm="1">
        <f t="array" ref="AA10">IF(B10&gt;0,SUM(U10:Z10),"N/A")</f>
        <v>23357030.4055488</v>
      </c>
      <c r="AB10" s="688" cm="1">
        <f t="array" ref="AB10">ROUND(AA10/B10,-4)</f>
        <v>4670000</v>
      </c>
      <c r="AC10" s="690" cm="1">
        <f t="array" ref="AC10">_xlfn.IFERROR(AB10-BJ10,"N/A")</f>
        <v>1442027.76341778</v>
      </c>
      <c r="AD10" s="690" cm="1">
        <f t="array" ref="AD10">_xlfn.IFERROR(ROUND(AC10*B10,-4),"N/A")</f>
        <v>7210000</v>
      </c>
      <c r="AE10" s="424"/>
      <c r="AF10" s="691">
        <v>5</v>
      </c>
      <c r="AG10" s="688" cm="1">
        <f t="array" ref="AG10">_xlfn.IFERROR(SUM('Direct Costs 2026'!$C$7:$C$8,'Direct Costs 2026'!$C$46)*AF10,"N/A")</f>
        <v>6050000</v>
      </c>
      <c r="AH10" s="688" cm="1">
        <f t="array" ref="AH10">(B10-2)*'Direct Costs 2026'!$C$52</f>
        <v>1050000</v>
      </c>
      <c r="AI10" s="688" cm="1">
        <f t="array" ref="AI10">IF(B10&gt;0,'Direct Costs 2026'!$C$9,"N/A")</f>
        <v>350000</v>
      </c>
      <c r="AJ10" s="688" cm="1">
        <f t="array" ref="AJ10">_xlfn.IFERROR((U10-E10+AG10+AI10+AH10),"N/A")</f>
        <v>21372163.5069045</v>
      </c>
      <c r="AK10" s="688" cm="1">
        <f t="array" ref="AK10">_xlfn.IFERROR((AI10+AJ10)*0.5%,"N/A")</f>
        <v>108610.817534523</v>
      </c>
      <c r="AL10" s="688" cm="1">
        <f t="array" ref="AL10">_xlfn.IFERROR((AI10+AJ10+AK10)*25%,"N/A")</f>
        <v>5457693.58110976</v>
      </c>
      <c r="AM10" s="688" cm="1">
        <f t="array" ref="AM10">IF(AF10&gt;0,SUM(AJ10:AL10),"N/A")</f>
        <v>26938467.9055488</v>
      </c>
      <c r="AN10" s="688" cm="1">
        <f t="array" ref="AN10">ROUND(AM10/B10,-4)</f>
        <v>5390000</v>
      </c>
      <c r="AO10" s="690" cm="1">
        <f t="array" ref="AO10">_xlfn.IFERROR(AN10-BJ10,"N/A")</f>
        <v>2162027.76341778</v>
      </c>
      <c r="AP10" s="690" cm="1">
        <f t="array" ref="AP10">_xlfn.IFERROR(ROUND(AO10*B10,-4),"N/A")</f>
        <v>10810000</v>
      </c>
      <c r="AQ10" s="424"/>
      <c r="AR10" t="s" s="695">
        <v>14</v>
      </c>
      <c r="AS10" t="str" s="689" cm="1">
        <f t="array" ref="AS10">_xlfn.IFERROR(SUM('Direct Costs 2026'!$C$7:$C$8,'Direct Costs 2026'!$C$46)*AR10,"N/A")</f>
        <v>N/A</v>
      </c>
      <c r="AT10" t="str" s="689" cm="1">
        <f t="array" ref="AT10">IF($AQ10&gt;0,'Direct Costs 2026'!$C$53*$AQ10,"N/A")</f>
        <v>N/A</v>
      </c>
      <c r="AU10" t="str" s="689" cm="1">
        <f t="array" ref="AU10">IF($AQ10&gt;0,'Direct Costs 2026'!$C$54*$AQ10,"N/A")</f>
        <v>N/A</v>
      </c>
      <c r="AV10" s="688"/>
      <c r="AW10" t="s" s="695">
        <v>14</v>
      </c>
      <c r="AX10" t="str" s="689" cm="1">
        <f t="array" ref="AX10">_xlfn.IFERROR((U10-E10+AS10+AW10+AT10+AU10),"N/A")</f>
        <v>N/A</v>
      </c>
      <c r="AY10" t="str" s="689" cm="1">
        <f t="array" ref="AY10">_xlfn.IFERROR((AW10+AX10)*0.5%,"N/A")</f>
        <v>N/A</v>
      </c>
      <c r="AZ10" t="str" s="689" cm="1">
        <f t="array" ref="AZ10">_xlfn.IFERROR((AX10+AY10)*25%,"N/A")</f>
        <v>N/A</v>
      </c>
      <c r="BA10" t="str" s="689" cm="1">
        <f t="array" ref="BA10">IF(AQ10&gt;0,SUM(AX10:AZ10),"N/A")</f>
        <v>N/A</v>
      </c>
      <c r="BB10" t="str" s="689" cm="1">
        <f t="array" ref="BB10">_xlfn.IFERROR(BA10/AQ10,"N/A")</f>
        <v>N/A</v>
      </c>
      <c r="BC10" t="str" s="673" cm="1">
        <f t="array" ref="BC10">_xlfn.IFERROR(BB10-BJ10,"N/A")</f>
        <v>N/A</v>
      </c>
      <c r="BD10" t="str" s="673" cm="1">
        <f t="array" ref="BD10">_xlfn.IFERROR(ROUND(BC10*AQ10,-4),"N/A")</f>
        <v>N/A</v>
      </c>
      <c r="BE10" s="424"/>
      <c r="BF10" s="688" cm="1">
        <f t="array" ref="BF10">_xlfn.IFERROR(O10-E10+Q10,"N/A")</f>
        <v>12860447.1576981</v>
      </c>
      <c r="BG10" s="688" cm="1">
        <f t="array" ref="BG10">_xlfn.IFERROR(BF10*0.5%,"N/A")</f>
        <v>64302.2357884905</v>
      </c>
      <c r="BH10" s="688" cm="1">
        <f t="array" ref="BH10">_xlfn.IFERROR(BF10*25%,"N/A")</f>
        <v>3215111.78942453</v>
      </c>
      <c r="BI10" s="690" cm="1">
        <f t="array" ref="BI10">IF(B10&gt;0,SUM(BF10:BH10),"N/A")</f>
        <v>16139861.1829111</v>
      </c>
      <c r="BJ10" s="690" cm="1">
        <f t="array" ref="BJ10">BI10/B10</f>
        <v>3227972.23658222</v>
      </c>
      <c r="BK10" s="424"/>
      <c r="BL10" s="688"/>
      <c r="BM10" s="688"/>
      <c r="BN10" s="688"/>
      <c r="BO10" s="688"/>
      <c r="BP10" s="688"/>
      <c r="BQ10" s="688"/>
      <c r="BR10" s="688"/>
      <c r="BS10" s="692"/>
    </row>
    <row r="11" ht="15" customHeight="1">
      <c r="A11" s="12"/>
      <c r="B11" s="693">
        <v>6</v>
      </c>
      <c r="C11" s="688" cm="1">
        <f t="array" ref="C11">IF(B11&gt;0,IF(VLOOKUP(C1,'Boats Data Sheet 2026'!$C$3:$J$57,8,0)="N/A",0,VLOOKUP(C1,'Boats Data Sheet 2026'!$C$3:$J$57,8,0)),"N/A")</f>
        <v>7500000</v>
      </c>
      <c r="D11" s="694">
        <v>2</v>
      </c>
      <c r="E11" s="688" cm="1">
        <f t="array" ref="E11">_xlfn.IFERROR(SUM('Direct Costs 2026'!$C$7:$C$8,'Direct Costs 2026'!$C$46)*D11,"N/A")</f>
        <v>2420000</v>
      </c>
      <c r="F11" s="688" cm="1">
        <f t="array" ref="F11">_xlfn.IFERROR('Direct Costs 2026'!$C$43*B11,"N/A")</f>
        <v>36000</v>
      </c>
      <c r="G11" s="688" cm="1">
        <f t="array" ref="G11">IF(B11&gt;0,'Direct Costs 2026'!$C$25,"N/A")</f>
        <v>90000</v>
      </c>
      <c r="H11" s="688" cm="1">
        <f t="array" ref="H11">IF(B11&gt;0,('Direct Costs 2026'!$C$14+'Direct Costs 2026'!$C$22),"N/A")</f>
        <v>260000</v>
      </c>
      <c r="I11" s="688" cm="1">
        <f t="array" ref="I11">IF(B11&gt;0,'Direct Costs 2026'!$C$26,"N/A")</f>
        <v>20000</v>
      </c>
      <c r="J11" s="688" cm="1">
        <f t="array" ref="J11">IF(B11&gt;0,'Direct Costs 2026'!$C$23,"N/A")</f>
        <v>140000</v>
      </c>
      <c r="K11" s="688" cm="1">
        <f t="array" ref="K11">IF(B11&gt;0,'Direct Costs 2026'!$C$48*(B11),"N/A")</f>
        <v>1020000</v>
      </c>
      <c r="L11" s="688" cm="1">
        <f t="array" ref="L11">IF(B11&gt;0,'Direct Costs 2026'!$C$31,"N/A")</f>
        <v>870000</v>
      </c>
      <c r="M11" t="str" s="689" cm="1">
        <f t="array" ref="M11">IF(B11&gt;0,IF(OR(VLOOKUP(C1,'Boats Data Sheet 2026'!$C$3:$F$57,4,0)="Own",VLOOKUP(C1,'Boats Data Sheet 2026'!$C$3:$F$57,4,0)="Management"),('Direct Costs 2026'!$C$37+'Direct Costs 2026'!$C$39),"N/A"),"N/A")</f>
        <v>N/A</v>
      </c>
      <c r="N11" s="688">
        <v>0</v>
      </c>
      <c r="O11" s="688" cm="1">
        <f t="array" ref="O11">_xlfn.IFERROR(C11+SUM(E11:N11),"N/A")</f>
        <v>12356000</v>
      </c>
      <c r="P11" s="424"/>
      <c r="Q11" s="688" cm="1">
        <f t="array" ref="Q11">IF(B11&gt;0,'Allocation OH and Target 2026'!$E$31,"N/A")</f>
        <v>3100447.15769812</v>
      </c>
      <c r="R11" s="688" cm="1">
        <f t="array" ref="R11">IF(B11&gt;0,'Direct Costs 2026'!$C$55*B11,"N/A")</f>
        <v>1274059.61904762</v>
      </c>
      <c r="S11" s="688" cm="1">
        <f t="array" ref="S11">_xlfn.IFERROR((Q11+R11),"N/A")</f>
        <v>4374506.77674574</v>
      </c>
      <c r="T11" s="424"/>
      <c r="U11" s="688" cm="1">
        <f t="array" ref="U11">_xlfn.IFERROR(S11+O11,"N/A")</f>
        <v>16730506.7767457</v>
      </c>
      <c r="V11" s="688" cm="1">
        <f t="array" ref="V11">SUM('Direct Costs 2026'!$C$7:$C$8,'Direct Costs 2026'!$C$46)</f>
        <v>1210000</v>
      </c>
      <c r="W11" s="688" cm="1">
        <f t="array" ref="W11">IF(B11&gt;0,'Direct Costs 2026'!$C$9,"N/A")</f>
        <v>350000</v>
      </c>
      <c r="X11" s="688" cm="1">
        <f t="array" ref="X11">(B11-3)*'Direct Costs 2026'!$C$52</f>
        <v>1050000</v>
      </c>
      <c r="Y11" s="688" cm="1">
        <f t="array" ref="Y11">_xlfn.IFERROR((U11+W11)*0.5%,"N/A")</f>
        <v>85402.533883728494</v>
      </c>
      <c r="Z11" s="688" cm="1">
        <f t="array" ref="Z11">_xlfn.IFERROR((U11+W11+Y11+X11+V11)*25%,"N/A")</f>
        <v>4856477.32765736</v>
      </c>
      <c r="AA11" s="688" cm="1">
        <f t="array" ref="AA11">IF(B11&gt;0,SUM(U11:Z11),"N/A")</f>
        <v>24282386.6382868</v>
      </c>
      <c r="AB11" s="688" cm="1">
        <f t="array" ref="AB11">ROUND(AA11/B11,-4)</f>
        <v>4050000</v>
      </c>
      <c r="AC11" s="690" cm="1">
        <f t="array" ref="AC11">_xlfn.IFERROR(AB11-BJ11,"N/A")</f>
        <v>1323209.80284815</v>
      </c>
      <c r="AD11" s="690" cm="1">
        <f t="array" ref="AD11">_xlfn.IFERROR(ROUND(AC11*B11,-4),"N/A")</f>
        <v>7940000</v>
      </c>
      <c r="AE11" s="424"/>
      <c r="AF11" s="691">
        <v>6</v>
      </c>
      <c r="AG11" s="688" cm="1">
        <f t="array" ref="AG11">_xlfn.IFERROR(SUM('Direct Costs 2026'!$C$7:$C$8,'Direct Costs 2026'!$C$46)*AF11,"N/A")</f>
        <v>7260000</v>
      </c>
      <c r="AH11" s="688" cm="1">
        <f t="array" ref="AH11">(B11-2)*'Direct Costs 2026'!$C$52</f>
        <v>1400000</v>
      </c>
      <c r="AI11" s="688" cm="1">
        <f t="array" ref="AI11">IF(B11&gt;0,'Direct Costs 2026'!$C$9,"N/A")</f>
        <v>350000</v>
      </c>
      <c r="AJ11" s="688" cm="1">
        <f t="array" ref="AJ11">_xlfn.IFERROR((U11-E11+AG11+AI11+AH11),"N/A")</f>
        <v>23320506.7767457</v>
      </c>
      <c r="AK11" s="688" cm="1">
        <f t="array" ref="AK11">_xlfn.IFERROR((AI11+AJ11)*0.5%,"N/A")</f>
        <v>118352.533883729</v>
      </c>
      <c r="AL11" s="688" cm="1">
        <f t="array" ref="AL11">_xlfn.IFERROR((AI11+AJ11+AK11)*25%,"N/A")</f>
        <v>5947214.82765736</v>
      </c>
      <c r="AM11" s="688" cm="1">
        <f t="array" ref="AM11">IF(AF11&gt;0,SUM(AJ11:AL11),"N/A")</f>
        <v>29386074.1382868</v>
      </c>
      <c r="AN11" s="688" cm="1">
        <f t="array" ref="AN11">ROUND(AM11/B11,-4)</f>
        <v>4900000</v>
      </c>
      <c r="AO11" s="690" cm="1">
        <f t="array" ref="AO11">_xlfn.IFERROR(AN11-BJ11,"N/A")</f>
        <v>2173209.80284815</v>
      </c>
      <c r="AP11" s="690" cm="1">
        <f t="array" ref="AP11">_xlfn.IFERROR(ROUND(AO11*B11,-4),"N/A")</f>
        <v>13040000</v>
      </c>
      <c r="AQ11" s="424"/>
      <c r="AR11" t="s" s="695">
        <v>14</v>
      </c>
      <c r="AS11" t="str" s="689" cm="1">
        <f t="array" ref="AS11">_xlfn.IFERROR(SUM('Direct Costs 2026'!$C$7:$C$8,'Direct Costs 2026'!$C$46)*AR11,"N/A")</f>
        <v>N/A</v>
      </c>
      <c r="AT11" t="str" s="689" cm="1">
        <f t="array" ref="AT11">IF($AQ11&gt;0,'Direct Costs 2026'!$C$53*$AQ11,"N/A")</f>
        <v>N/A</v>
      </c>
      <c r="AU11" t="str" s="689" cm="1">
        <f t="array" ref="AU11">IF($AQ11&gt;0,'Direct Costs 2026'!$C$54*$AQ11,"N/A")</f>
        <v>N/A</v>
      </c>
      <c r="AV11" s="688"/>
      <c r="AW11" t="s" s="695">
        <v>14</v>
      </c>
      <c r="AX11" t="str" s="689" cm="1">
        <f t="array" ref="AX11">_xlfn.IFERROR((U11-E11+AS11+AW11+AT11+AU11),"N/A")</f>
        <v>N/A</v>
      </c>
      <c r="AY11" t="str" s="689" cm="1">
        <f t="array" ref="AY11">_xlfn.IFERROR((AW11+AX11)*0.5%,"N/A")</f>
        <v>N/A</v>
      </c>
      <c r="AZ11" t="str" s="689" cm="1">
        <f t="array" ref="AZ11">_xlfn.IFERROR((AX11+AY11)*25%,"N/A")</f>
        <v>N/A</v>
      </c>
      <c r="BA11" t="str" s="689" cm="1">
        <f t="array" ref="BA11">IF(AQ11&gt;0,SUM(AX11:AZ11),"N/A")</f>
        <v>N/A</v>
      </c>
      <c r="BB11" t="str" s="689" cm="1">
        <f t="array" ref="BB11">_xlfn.IFERROR(BA11/AQ11,"N/A")</f>
        <v>N/A</v>
      </c>
      <c r="BC11" t="str" s="673" cm="1">
        <f t="array" ref="BC11">_xlfn.IFERROR(BB11-BJ11,"N/A")</f>
        <v>N/A</v>
      </c>
      <c r="BD11" t="str" s="673" cm="1">
        <f t="array" ref="BD11">_xlfn.IFERROR(ROUND(BC11*AQ11,-4),"N/A")</f>
        <v>N/A</v>
      </c>
      <c r="BE11" s="424"/>
      <c r="BF11" s="688" cm="1">
        <f t="array" ref="BF11">_xlfn.IFERROR(O11-E11+Q11,"N/A")</f>
        <v>13036447.1576981</v>
      </c>
      <c r="BG11" s="688" cm="1">
        <f t="array" ref="BG11">_xlfn.IFERROR(BF11*0.5%,"N/A")</f>
        <v>65182.2357884905</v>
      </c>
      <c r="BH11" s="688" cm="1">
        <f t="array" ref="BH11">_xlfn.IFERROR(BF11*25%,"N/A")</f>
        <v>3259111.78942453</v>
      </c>
      <c r="BI11" s="690" cm="1">
        <f t="array" ref="BI11">IF(B11&gt;0,SUM(BF11:BH11),"N/A")</f>
        <v>16360741.1829111</v>
      </c>
      <c r="BJ11" s="690" cm="1">
        <f t="array" ref="BJ11">BI11/B11</f>
        <v>2726790.19715185</v>
      </c>
      <c r="BK11" s="424"/>
      <c r="BL11" s="688"/>
      <c r="BM11" s="688"/>
      <c r="BN11" s="688"/>
      <c r="BO11" s="688"/>
      <c r="BP11" s="688"/>
      <c r="BQ11" s="688"/>
      <c r="BR11" s="688"/>
      <c r="BS11" s="692"/>
    </row>
    <row r="12" ht="15" customHeight="1">
      <c r="A12" s="12"/>
      <c r="B12" s="693">
        <v>7</v>
      </c>
      <c r="C12" s="688" cm="1">
        <f t="array" ref="C12">IF(B12&gt;0,IF(VLOOKUP(C1,'Boats Data Sheet 2026'!$C$3:$J$57,8,0)="N/A",0,VLOOKUP(C1,'Boats Data Sheet 2026'!$C$3:$J$57,8,0)),"N/A")</f>
        <v>7500000</v>
      </c>
      <c r="D12" s="694">
        <v>2</v>
      </c>
      <c r="E12" s="688" cm="1">
        <f t="array" ref="E12">_xlfn.IFERROR(SUM('Direct Costs 2026'!$C$7:$C$8,'Direct Costs 2026'!$C$46)*D12,"N/A")</f>
        <v>2420000</v>
      </c>
      <c r="F12" s="688" cm="1">
        <f t="array" ref="F12">_xlfn.IFERROR('Direct Costs 2026'!$C$43*B12,"N/A")</f>
        <v>42000</v>
      </c>
      <c r="G12" s="688" cm="1">
        <f t="array" ref="G12">IF(B12&gt;0,'Direct Costs 2026'!$C$25,"N/A")</f>
        <v>90000</v>
      </c>
      <c r="H12" s="688" cm="1">
        <f t="array" ref="H12">IF(B12&gt;0,('Direct Costs 2026'!$C$14+'Direct Costs 2026'!$C$22),"N/A")</f>
        <v>260000</v>
      </c>
      <c r="I12" s="688" cm="1">
        <f t="array" ref="I12">IF(B12&gt;0,'Direct Costs 2026'!$C$26,"N/A")</f>
        <v>20000</v>
      </c>
      <c r="J12" s="688" cm="1">
        <f t="array" ref="J12">IF(B12&gt;0,'Direct Costs 2026'!$C$23,"N/A")</f>
        <v>140000</v>
      </c>
      <c r="K12" s="688" cm="1">
        <f t="array" ref="K12">IF(B12&gt;0,'Direct Costs 2026'!$C$48*(B12),"N/A")</f>
        <v>1190000</v>
      </c>
      <c r="L12" s="688" cm="1">
        <f t="array" ref="L12">IF(B12&gt;0,'Direct Costs 2026'!$C$31,"N/A")</f>
        <v>870000</v>
      </c>
      <c r="M12" t="str" s="689" cm="1">
        <f t="array" ref="M12">IF(B12&gt;0,IF(OR(VLOOKUP(C1,'Boats Data Sheet 2026'!$C$3:$F$57,4,0)="Own",VLOOKUP(C1,'Boats Data Sheet 2026'!$C$3:$F$57,4,0)="Management"),('Direct Costs 2026'!$C$37+'Direct Costs 2026'!$C$39),"N/A"),"N/A")</f>
        <v>N/A</v>
      </c>
      <c r="N12" s="688">
        <v>0</v>
      </c>
      <c r="O12" s="688" cm="1">
        <f t="array" ref="O12">_xlfn.IFERROR(C12+SUM(E12:N12),"N/A")</f>
        <v>12532000</v>
      </c>
      <c r="P12" s="424"/>
      <c r="Q12" s="688" cm="1">
        <f t="array" ref="Q12">IF(B12&gt;0,'Allocation OH and Target 2026'!$E$31,"N/A")</f>
        <v>3100447.15769812</v>
      </c>
      <c r="R12" s="688" cm="1">
        <f t="array" ref="R12">IF(B12&gt;0,'Direct Costs 2026'!$C$55*B12,"N/A")</f>
        <v>1486402.88888889</v>
      </c>
      <c r="S12" s="688" cm="1">
        <f t="array" ref="S12">_xlfn.IFERROR((Q12+R12),"N/A")</f>
        <v>4586850.04658701</v>
      </c>
      <c r="T12" s="424"/>
      <c r="U12" s="688" cm="1">
        <f t="array" ref="U12">_xlfn.IFERROR(S12+O12,"N/A")</f>
        <v>17118850.046587</v>
      </c>
      <c r="V12" s="688" cm="1">
        <f t="array" ref="V12">SUM('Direct Costs 2026'!$C$7:$C$8,'Direct Costs 2026'!$C$46)*2</f>
        <v>2420000</v>
      </c>
      <c r="W12" s="688" cm="1">
        <f t="array" ref="W12">IF(B12&gt;0,'Direct Costs 2026'!$C$9,"N/A")</f>
        <v>350000</v>
      </c>
      <c r="X12" s="688" cm="1">
        <f t="array" ref="X12">(B12-3)*'Direct Costs 2026'!$C$52</f>
        <v>1400000</v>
      </c>
      <c r="Y12" s="688" cm="1">
        <f t="array" ref="Y12">_xlfn.IFERROR((U12+W12)*0.5%,"N/A")</f>
        <v>87344.250232935</v>
      </c>
      <c r="Z12" s="688" cm="1">
        <f t="array" ref="Z12">_xlfn.IFERROR((U12+W12+Y12+X12+V12)*25%,"N/A")</f>
        <v>5344048.57420498</v>
      </c>
      <c r="AA12" s="688" cm="1">
        <f t="array" ref="AA12">IF(B12&gt;0,SUM(U12:Z12),"N/A")</f>
        <v>26720242.8710249</v>
      </c>
      <c r="AB12" s="688" cm="1">
        <f t="array" ref="AB12">ROUND(AA12/B12,-4)</f>
        <v>3820000</v>
      </c>
      <c r="AC12" s="690" cm="1">
        <f t="array" ref="AC12">_xlfn.IFERROR(AB12-BJ12,"N/A")</f>
        <v>1451196.97386984</v>
      </c>
      <c r="AD12" s="690" cm="1">
        <f t="array" ref="AD12">_xlfn.IFERROR(ROUND(AC12*B12,-4),"N/A")</f>
        <v>10160000</v>
      </c>
      <c r="AE12" s="424"/>
      <c r="AF12" t="s" s="695">
        <v>14</v>
      </c>
      <c r="AG12" t="str" s="689" cm="1">
        <f t="array" ref="AG12">_xlfn.IFERROR(SUM('Direct Costs 2026'!$C$7:$C$8,'Direct Costs 2026'!$C$46)*AF12,"N/A")</f>
        <v>N/A</v>
      </c>
      <c r="AH12" s="688"/>
      <c r="AI12" t="s" s="695">
        <v>14</v>
      </c>
      <c r="AJ12" t="str" s="689" cm="1">
        <f t="array" ref="AJ12">_xlfn.IFERROR((U12-E12+AG12+AI12+AH12),"N/A")</f>
        <v>N/A</v>
      </c>
      <c r="AK12" t="str" s="689" cm="1">
        <f t="array" ref="AK12">_xlfn.IFERROR((AI12+AJ12)*0.5%,"N/A")</f>
        <v>N/A</v>
      </c>
      <c r="AL12" t="str" s="689" cm="1">
        <f t="array" ref="AL12">_xlfn.IFERROR((AI12+AJ12+AK12)*25%,"N/A")</f>
        <v>N/A</v>
      </c>
      <c r="AM12" s="688" cm="1">
        <f t="array" ref="AM12">IF(AF12&gt;0,SUM(AJ12:AL12),"N/A")</f>
        <v>0</v>
      </c>
      <c r="AN12" t="s" s="695">
        <v>14</v>
      </c>
      <c r="AO12" t="str" s="673" cm="1">
        <f t="array" ref="AO12">_xlfn.IFERROR(AN12-BJ12,"N/A")</f>
        <v>N/A</v>
      </c>
      <c r="AP12" t="str" s="673" cm="1">
        <f t="array" ref="AP12">_xlfn.IFERROR(ROUND(AO12*B12,-4),"N/A")</f>
        <v>N/A</v>
      </c>
      <c r="AQ12" s="424"/>
      <c r="AR12" t="s" s="695">
        <v>14</v>
      </c>
      <c r="AS12" t="str" s="689" cm="1">
        <f t="array" ref="AS12">_xlfn.IFERROR(SUM('Direct Costs 2026'!$C$7:$C$8,'Direct Costs 2026'!$C$46)*AR12,"N/A")</f>
        <v>N/A</v>
      </c>
      <c r="AT12" t="str" s="689" cm="1">
        <f t="array" ref="AT12">IF($AQ12&gt;0,'Direct Costs 2026'!$C$53*$AQ12,"N/A")</f>
        <v>N/A</v>
      </c>
      <c r="AU12" t="str" s="689" cm="1">
        <f t="array" ref="AU12">IF($AQ12&gt;0,'Direct Costs 2026'!$C$54*$AQ12,"N/A")</f>
        <v>N/A</v>
      </c>
      <c r="AV12" s="688"/>
      <c r="AW12" t="s" s="695">
        <v>14</v>
      </c>
      <c r="AX12" t="str" s="689" cm="1">
        <f t="array" ref="AX12">_xlfn.IFERROR((U12-E12+AS12+AW12+AT12+AU12),"N/A")</f>
        <v>N/A</v>
      </c>
      <c r="AY12" t="str" s="689" cm="1">
        <f t="array" ref="AY12">_xlfn.IFERROR((AW12+AX12)*0.5%,"N/A")</f>
        <v>N/A</v>
      </c>
      <c r="AZ12" t="str" s="689" cm="1">
        <f t="array" ref="AZ12">_xlfn.IFERROR((AX12+AY12)*25%,"N/A")</f>
        <v>N/A</v>
      </c>
      <c r="BA12" t="str" s="689" cm="1">
        <f t="array" ref="BA12">IF(AQ12&gt;0,SUM(AX12:AZ12),"N/A")</f>
        <v>N/A</v>
      </c>
      <c r="BB12" t="str" s="689" cm="1">
        <f t="array" ref="BB12">_xlfn.IFERROR(BA12/AQ12,"N/A")</f>
        <v>N/A</v>
      </c>
      <c r="BC12" t="str" s="673" cm="1">
        <f t="array" ref="BC12">_xlfn.IFERROR(BB12-BJ12,"N/A")</f>
        <v>N/A</v>
      </c>
      <c r="BD12" t="str" s="673" cm="1">
        <f t="array" ref="BD12">_xlfn.IFERROR(ROUND(BC12*AQ12,-4),"N/A")</f>
        <v>N/A</v>
      </c>
      <c r="BE12" s="424"/>
      <c r="BF12" s="688" cm="1">
        <f t="array" ref="BF12">_xlfn.IFERROR(O12-E12+Q12,"N/A")</f>
        <v>13212447.1576981</v>
      </c>
      <c r="BG12" s="688" cm="1">
        <f t="array" ref="BG12">_xlfn.IFERROR(BF12*0.5%,"N/A")</f>
        <v>66062.235788490507</v>
      </c>
      <c r="BH12" s="688" cm="1">
        <f t="array" ref="BH12">_xlfn.IFERROR(BF12*25%,"N/A")</f>
        <v>3303111.78942453</v>
      </c>
      <c r="BI12" s="690" cm="1">
        <f t="array" ref="BI12">IF(B12&gt;0,SUM(BF12:BH12),"N/A")</f>
        <v>16581621.1829111</v>
      </c>
      <c r="BJ12" s="690" cm="1">
        <f t="array" ref="BJ12">BI12/B12</f>
        <v>2368803.02613016</v>
      </c>
      <c r="BK12" s="424"/>
      <c r="BL12" s="688"/>
      <c r="BM12" s="688"/>
      <c r="BN12" s="688"/>
      <c r="BO12" s="688"/>
      <c r="BP12" s="688"/>
      <c r="BQ12" s="688"/>
      <c r="BR12" s="688"/>
      <c r="BS12" s="692"/>
    </row>
    <row r="13" ht="15" customHeight="1">
      <c r="A13" s="12"/>
      <c r="B13" s="693">
        <v>8</v>
      </c>
      <c r="C13" s="688" cm="1">
        <f t="array" ref="C13">IF(B13&gt;0,IF(VLOOKUP(C1,'Boats Data Sheet 2026'!$C$3:$J$57,8,0)="N/A",0,VLOOKUP(C1,'Boats Data Sheet 2026'!$C$3:$J$57,8,0)),"N/A")</f>
        <v>7500000</v>
      </c>
      <c r="D13" s="694">
        <v>2</v>
      </c>
      <c r="E13" s="688" cm="1">
        <f t="array" ref="E13">_xlfn.IFERROR(SUM('Direct Costs 2026'!$C$7:$C$8,'Direct Costs 2026'!$C$46)*D13,"N/A")</f>
        <v>2420000</v>
      </c>
      <c r="F13" s="688" cm="1">
        <f t="array" ref="F13">_xlfn.IFERROR('Direct Costs 2026'!$C$43*B13,"N/A")</f>
        <v>48000</v>
      </c>
      <c r="G13" s="688" cm="1">
        <f t="array" ref="G13">IF(B13&gt;0,'Direct Costs 2026'!$C$25,"N/A")</f>
        <v>90000</v>
      </c>
      <c r="H13" s="688" cm="1">
        <f t="array" ref="H13">IF(B13&gt;0,('Direct Costs 2026'!$C$14+'Direct Costs 2026'!$C$22),"N/A")</f>
        <v>260000</v>
      </c>
      <c r="I13" s="688" cm="1">
        <f t="array" ref="I13">IF(B13&gt;0,'Direct Costs 2026'!$C$26,"N/A")</f>
        <v>20000</v>
      </c>
      <c r="J13" s="688" cm="1">
        <f t="array" ref="J13">IF(B13&gt;0,'Direct Costs 2026'!$C$23,"N/A")</f>
        <v>140000</v>
      </c>
      <c r="K13" s="688" cm="1">
        <f t="array" ref="K13">IF(B13&gt;0,'Direct Costs 2026'!$C$48*(B13),"N/A")</f>
        <v>1360000</v>
      </c>
      <c r="L13" s="688" cm="1">
        <f t="array" ref="L13">IF(B13&gt;0,'Direct Costs 2026'!$C$31,"N/A")</f>
        <v>870000</v>
      </c>
      <c r="M13" t="str" s="689" cm="1">
        <f t="array" ref="M13">IF(B13&gt;0,IF(OR(VLOOKUP(C1,'Boats Data Sheet 2026'!$C$3:$F$57,4,0)="Own",VLOOKUP(C1,'Boats Data Sheet 2026'!$C$3:$F$57,4,0)="Management"),('Direct Costs 2026'!$C$37+'Direct Costs 2026'!$C$39),"N/A"),"N/A")</f>
        <v>N/A</v>
      </c>
      <c r="N13" s="688">
        <v>0</v>
      </c>
      <c r="O13" s="688" cm="1">
        <f t="array" ref="O13">_xlfn.IFERROR(C13+SUM(E13:N13),"N/A")</f>
        <v>12708000</v>
      </c>
      <c r="P13" s="424"/>
      <c r="Q13" s="688" cm="1">
        <f t="array" ref="Q13">IF(B13&gt;0,'Allocation OH and Target 2026'!$E$31,"N/A")</f>
        <v>3100447.15769812</v>
      </c>
      <c r="R13" s="688" cm="1">
        <f t="array" ref="R13">IF(B13&gt;0,'Direct Costs 2026'!$C$55*B13,"N/A")</f>
        <v>1698746.15873016</v>
      </c>
      <c r="S13" s="688" cm="1">
        <f t="array" ref="S13">_xlfn.IFERROR((Q13+R13),"N/A")</f>
        <v>4799193.31642828</v>
      </c>
      <c r="T13" s="424"/>
      <c r="U13" s="688" cm="1">
        <f t="array" ref="U13">_xlfn.IFERROR(S13+O13,"N/A")</f>
        <v>17507193.3164283</v>
      </c>
      <c r="V13" s="688" cm="1">
        <f t="array" ref="V13">SUM('Direct Costs 2026'!$C$7:$C$8,'Direct Costs 2026'!$C$46)*2</f>
        <v>2420000</v>
      </c>
      <c r="W13" s="688" cm="1">
        <f t="array" ref="W13">IF(B13&gt;0,'Direct Costs 2026'!$C$9,"N/A")</f>
        <v>350000</v>
      </c>
      <c r="X13" s="688" cm="1">
        <f t="array" ref="X13">(B13-3)*'Direct Costs 2026'!$C$52</f>
        <v>1750000</v>
      </c>
      <c r="Y13" s="688" cm="1">
        <f t="array" ref="Y13">_xlfn.IFERROR((U13+W13)*0.5%,"N/A")</f>
        <v>89285.9665821415</v>
      </c>
      <c r="Z13" s="688" cm="1">
        <f t="array" ref="Z13">_xlfn.IFERROR((U13+W13+Y13+X13+V13)*25%,"N/A")</f>
        <v>5529119.82075261</v>
      </c>
      <c r="AA13" s="688" cm="1">
        <f t="array" ref="AA13">IF(B13&gt;0,SUM(U13:Z13),"N/A")</f>
        <v>27645599.1037631</v>
      </c>
      <c r="AB13" s="688" cm="1">
        <f t="array" ref="AB13">ROUND(AA13/B13,-4)</f>
        <v>3460000</v>
      </c>
      <c r="AC13" s="690" cm="1">
        <f t="array" ref="AC13">_xlfn.IFERROR(AB13-BJ13,"N/A")</f>
        <v>1359687.35213611</v>
      </c>
      <c r="AD13" s="690" cm="1">
        <f t="array" ref="AD13">_xlfn.IFERROR(ROUND(AC13*B13,-4),"N/A")</f>
        <v>10880000</v>
      </c>
      <c r="AE13" s="424"/>
      <c r="AF13" t="s" s="695">
        <v>14</v>
      </c>
      <c r="AG13" t="str" s="689" cm="1">
        <f t="array" ref="AG13">_xlfn.IFERROR(SUM('Direct Costs 2026'!$C$7:$C$8,'Direct Costs 2026'!$C$46)*AF13,"N/A")</f>
        <v>N/A</v>
      </c>
      <c r="AH13" s="688"/>
      <c r="AI13" t="s" s="695">
        <v>14</v>
      </c>
      <c r="AJ13" t="str" s="689" cm="1">
        <f t="array" ref="AJ13">_xlfn.IFERROR((U13-E13+AG13+AI13+AH13),"N/A")</f>
        <v>N/A</v>
      </c>
      <c r="AK13" t="str" s="689" cm="1">
        <f t="array" ref="AK13">_xlfn.IFERROR((AI13+AJ13)*0.5%,"N/A")</f>
        <v>N/A</v>
      </c>
      <c r="AL13" t="str" s="689" cm="1">
        <f t="array" ref="AL13">_xlfn.IFERROR((AI13+AJ13+AK13)*25%,"N/A")</f>
        <v>N/A</v>
      </c>
      <c r="AM13" s="688" cm="1">
        <f t="array" ref="AM13">IF(AF13&gt;0,SUM(AJ13:AL13),"N/A")</f>
        <v>0</v>
      </c>
      <c r="AN13" t="s" s="695">
        <v>14</v>
      </c>
      <c r="AO13" t="str" s="673" cm="1">
        <f t="array" ref="AO13">_xlfn.IFERROR(AN13-BJ13,"N/A")</f>
        <v>N/A</v>
      </c>
      <c r="AP13" t="str" s="673" cm="1">
        <f t="array" ref="AP13">_xlfn.IFERROR(ROUND(AO13*B13,-4),"N/A")</f>
        <v>N/A</v>
      </c>
      <c r="AQ13" s="424"/>
      <c r="AR13" t="s" s="695">
        <v>14</v>
      </c>
      <c r="AS13" t="str" s="689" cm="1">
        <f t="array" ref="AS13">_xlfn.IFERROR(SUM('Direct Costs 2026'!$C$7:$C$8,'Direct Costs 2026'!$C$46)*AR13,"N/A")</f>
        <v>N/A</v>
      </c>
      <c r="AT13" t="str" s="689" cm="1">
        <f t="array" ref="AT13">IF($AQ13&gt;0,'Direct Costs 2026'!$C$53*$AQ13,"N/A")</f>
        <v>N/A</v>
      </c>
      <c r="AU13" t="str" s="689" cm="1">
        <f t="array" ref="AU13">IF($AQ13&gt;0,'Direct Costs 2026'!$C$54*$AQ13,"N/A")</f>
        <v>N/A</v>
      </c>
      <c r="AV13" s="688"/>
      <c r="AW13" t="s" s="695">
        <v>14</v>
      </c>
      <c r="AX13" t="str" s="689" cm="1">
        <f t="array" ref="AX13">_xlfn.IFERROR((U13-E13+AS13+AW13+AT13+AU13),"N/A")</f>
        <v>N/A</v>
      </c>
      <c r="AY13" t="str" s="689" cm="1">
        <f t="array" ref="AY13">_xlfn.IFERROR((AW13+AX13)*0.5%,"N/A")</f>
        <v>N/A</v>
      </c>
      <c r="AZ13" t="str" s="689" cm="1">
        <f t="array" ref="AZ13">_xlfn.IFERROR((AX13+AY13)*25%,"N/A")</f>
        <v>N/A</v>
      </c>
      <c r="BA13" t="str" s="689" cm="1">
        <f t="array" ref="BA13">IF(AQ13&gt;0,SUM(AX13:AZ13),"N/A")</f>
        <v>N/A</v>
      </c>
      <c r="BB13" t="str" s="689" cm="1">
        <f t="array" ref="BB13">_xlfn.IFERROR(BA13/AQ13,"N/A")</f>
        <v>N/A</v>
      </c>
      <c r="BC13" t="str" s="673" cm="1">
        <f t="array" ref="BC13">_xlfn.IFERROR(BB13-BJ13,"N/A")</f>
        <v>N/A</v>
      </c>
      <c r="BD13" t="str" s="673" cm="1">
        <f t="array" ref="BD13">_xlfn.IFERROR(ROUND(BC13*AQ13,-4),"N/A")</f>
        <v>N/A</v>
      </c>
      <c r="BE13" s="424"/>
      <c r="BF13" s="688" cm="1">
        <f t="array" ref="BF13">_xlfn.IFERROR(O13-E13+Q13,"N/A")</f>
        <v>13388447.1576981</v>
      </c>
      <c r="BG13" s="688" cm="1">
        <f t="array" ref="BG13">_xlfn.IFERROR(BF13*0.5%,"N/A")</f>
        <v>66942.235788490507</v>
      </c>
      <c r="BH13" s="688" cm="1">
        <f t="array" ref="BH13">_xlfn.IFERROR(BF13*25%,"N/A")</f>
        <v>3347111.78942453</v>
      </c>
      <c r="BI13" s="690" cm="1">
        <f t="array" ref="BI13">IF(B13&gt;0,SUM(BF13:BH13),"N/A")</f>
        <v>16802501.1829111</v>
      </c>
      <c r="BJ13" s="690" cm="1">
        <f t="array" ref="BJ13">BI13/B13</f>
        <v>2100312.64786389</v>
      </c>
      <c r="BK13" s="424"/>
      <c r="BL13" s="688"/>
      <c r="BM13" s="688"/>
      <c r="BN13" s="688"/>
      <c r="BO13" s="688"/>
      <c r="BP13" s="688"/>
      <c r="BQ13" s="688"/>
      <c r="BR13" s="688"/>
      <c r="BS13" s="692"/>
    </row>
    <row r="14" ht="15" customHeight="1">
      <c r="A14" s="12"/>
      <c r="B14" s="693">
        <v>0</v>
      </c>
      <c r="C14" t="str" s="689" cm="1">
        <f t="array" ref="C14">IF(B14&gt;0,IF(VLOOKUP(C1,'Boats Data Sheet 2026'!$C$3:$J$57,8,0)="N/A",0,VLOOKUP(C1,'Boats Data Sheet 2026'!$C$3:$J$57,8,0)),"N/A")</f>
        <v>N/A</v>
      </c>
      <c r="D14" t="str" s="689" cm="1">
        <f t="array" ref="D14">IF(B14&gt;7,2,IF(B14=0,"N/A",1))</f>
        <v>N/A</v>
      </c>
      <c r="E14" t="str" s="689" cm="1">
        <f t="array" ref="E14">_xlfn.IFERROR(SUM('Direct Costs 2026'!$C$7:$C$8,'Direct Costs 2026'!$C$46)*D14,"N/A")</f>
        <v>N/A</v>
      </c>
      <c r="F14" s="688" cm="1">
        <f t="array" ref="F14">_xlfn.IFERROR('Direct Costs 2026'!$C$43*B14,"N/A")</f>
        <v>0</v>
      </c>
      <c r="G14" t="str" s="689" cm="1">
        <f t="array" ref="G14">IF(B14&gt;0,'Direct Costs 2026'!$C$25,"N/A")</f>
        <v>N/A</v>
      </c>
      <c r="H14" t="str" s="689" cm="1">
        <f t="array" ref="H14">IF(B14&gt;0,('Direct Costs 2026'!$C$14+'Direct Costs 2026'!$C$22),"N/A")</f>
        <v>N/A</v>
      </c>
      <c r="I14" t="str" s="689" cm="1">
        <f t="array" ref="I14">IF(B14&gt;0,'Direct Costs 2026'!$C$26,"N/A")</f>
        <v>N/A</v>
      </c>
      <c r="J14" t="str" s="689" cm="1">
        <f t="array" ref="J14">IF(B14&gt;0,'Direct Costs 2026'!$C$23,"N/A")</f>
        <v>N/A</v>
      </c>
      <c r="K14" t="str" s="689" cm="1">
        <f t="array" ref="K14">IF(B14&gt;0,'Direct Costs 2026'!$C$48*(B14),"N/A")</f>
        <v>N/A</v>
      </c>
      <c r="L14" t="str" s="689" cm="1">
        <f t="array" ref="L14">IF(B14&gt;0,'Direct Costs 2026'!$C$31,"N/A")</f>
        <v>N/A</v>
      </c>
      <c r="M14" t="str" s="689" cm="1">
        <f t="array" ref="M14">IF(B14&gt;0,IF(OR(VLOOKUP(C1,'Boats Data Sheet 2026'!$C$3:$F$57,4,0)="Own",VLOOKUP(C1,'Boats Data Sheet 2026'!$C$3:$F$57,4,0)="Management"),('Direct Costs 2026'!$C$37+'Direct Costs 2026'!$C$39),"N/A"),"N/A")</f>
        <v>N/A</v>
      </c>
      <c r="N14" s="688">
        <v>0</v>
      </c>
      <c r="O14" t="str" s="689" cm="1">
        <f t="array" ref="O14">_xlfn.IFERROR(C14+SUM(E14:N14),"N/A")</f>
        <v>N/A</v>
      </c>
      <c r="P14" s="424"/>
      <c r="Q14" t="str" s="689" cm="1">
        <f t="array" ref="Q14">IF(B14&gt;0,'Allocation OH and Target 2026'!$E$31,"N/A")</f>
        <v>N/A</v>
      </c>
      <c r="R14" t="str" s="689" cm="1">
        <f t="array" ref="R14">IF(B14&gt;0,'Direct Costs 2026'!$C$55*B14,"N/A")</f>
        <v>N/A</v>
      </c>
      <c r="S14" t="str" s="689" cm="1">
        <f t="array" ref="S14">_xlfn.IFERROR((Q14+R14),"N/A")</f>
        <v>N/A</v>
      </c>
      <c r="T14" s="424"/>
      <c r="U14" t="str" s="689" cm="1">
        <f t="array" ref="U14">_xlfn.IFERROR(S14+O14,"N/A")</f>
        <v>N/A</v>
      </c>
      <c r="V14" s="688"/>
      <c r="W14" t="str" s="689" cm="1">
        <f t="array" ref="W14">IF(B14&gt;0,'Direct Costs 2026'!$C$9,"N/A")</f>
        <v>N/A</v>
      </c>
      <c r="X14" s="688">
        <v>0</v>
      </c>
      <c r="Y14" t="str" s="689" cm="1">
        <f t="array" ref="Y14">_xlfn.IFERROR((U14+W14)*0.5%,"N/A")</f>
        <v>N/A</v>
      </c>
      <c r="Z14" t="str" s="689" cm="1">
        <f t="array" ref="Z14">_xlfn.IFERROR((U14+W14+Y14+X14+V14)*25%,"N/A")</f>
        <v>N/A</v>
      </c>
      <c r="AA14" t="str" s="689" cm="1">
        <f t="array" ref="AA14">IF(B14&gt;0,SUM(U14:Z14),"N/A")</f>
        <v>N/A</v>
      </c>
      <c r="AB14" t="str" s="689" cm="1">
        <f t="array" ref="AB14">_xlfn.IFERROR((AA14-AVERAGE(AA6:AA11)),"N/A")</f>
        <v>N/A</v>
      </c>
      <c r="AC14" t="str" s="673" cm="1">
        <f t="array" ref="AC14">_xlfn.IFERROR(AB14-BJ14,"N/A")</f>
        <v>N/A</v>
      </c>
      <c r="AD14" t="str" s="673" cm="1">
        <f t="array" ref="AD14">_xlfn.IFERROR(ROUND(AC14*B14,-4),"N/A")</f>
        <v>N/A</v>
      </c>
      <c r="AE14" s="424"/>
      <c r="AF14" t="s" s="695">
        <v>14</v>
      </c>
      <c r="AG14" t="str" s="689" cm="1">
        <f t="array" ref="AG14">_xlfn.IFERROR(SUM('Direct Costs 2026'!$C$7:$C$8,'Direct Costs 2026'!$C$46)*AF14,"N/A")</f>
        <v>N/A</v>
      </c>
      <c r="AH14" s="688"/>
      <c r="AI14" t="str" s="689" cm="1">
        <f t="array" ref="AI14">IF(B14&gt;0,'Direct Costs 2026'!$C$9,"N/A")</f>
        <v>N/A</v>
      </c>
      <c r="AJ14" t="str" s="689" cm="1">
        <f t="array" ref="AJ14">_xlfn.IFERROR((U14-E14+AG14+AI14+AH14),"N/A")</f>
        <v>N/A</v>
      </c>
      <c r="AK14" t="str" s="689" cm="1">
        <f t="array" ref="AK14">_xlfn.IFERROR((AI14+AJ14)*0.5%,"N/A")</f>
        <v>N/A</v>
      </c>
      <c r="AL14" t="str" s="689" cm="1">
        <f t="array" ref="AL14">_xlfn.IFERROR((AI14+AJ14+AK14)*25%,"N/A")</f>
        <v>N/A</v>
      </c>
      <c r="AM14" s="688" cm="1">
        <f t="array" ref="AM14">IF(AF14&gt;0,SUM(AJ14:AL14),"N/A")</f>
        <v>0</v>
      </c>
      <c r="AN14" t="s" s="695">
        <v>14</v>
      </c>
      <c r="AO14" t="str" s="673" cm="1">
        <f t="array" ref="AO14">_xlfn.IFERROR(AN14-BJ14,"N/A")</f>
        <v>N/A</v>
      </c>
      <c r="AP14" t="str" s="673" cm="1">
        <f t="array" ref="AP14">_xlfn.IFERROR(ROUND(AO14*B14,-4),"N/A")</f>
        <v>N/A</v>
      </c>
      <c r="AQ14" s="424"/>
      <c r="AR14" t="s" s="695">
        <v>14</v>
      </c>
      <c r="AS14" t="str" s="689" cm="1">
        <f t="array" ref="AS14">_xlfn.IFERROR(SUM('Direct Costs 2026'!$C$7:$C$8,'Direct Costs 2026'!$C$46)*AR14,"N/A")</f>
        <v>N/A</v>
      </c>
      <c r="AT14" t="str" s="689" cm="1">
        <f t="array" ref="AT14">IF($AQ14&gt;0,'Direct Costs 2026'!$C$53*$AQ14,"N/A")</f>
        <v>N/A</v>
      </c>
      <c r="AU14" t="str" s="689" cm="1">
        <f t="array" ref="AU14">IF($AQ14&gt;0,'Direct Costs 2026'!$C$54*$AQ14,"N/A")</f>
        <v>N/A</v>
      </c>
      <c r="AV14" s="688"/>
      <c r="AW14" t="str" s="689" cm="1">
        <f t="array" ref="AW14">IF(B14&gt;0,'Direct Costs 2026'!$C$9,"N/A")</f>
        <v>N/A</v>
      </c>
      <c r="AX14" t="str" s="689" cm="1">
        <f t="array" ref="AX14">_xlfn.IFERROR((U14-E14+AS14+AW14+AT14+AU14),"N/A")</f>
        <v>N/A</v>
      </c>
      <c r="AY14" t="str" s="689" cm="1">
        <f t="array" ref="AY14">_xlfn.IFERROR((AW14+AX14)*0.5%,"N/A")</f>
        <v>N/A</v>
      </c>
      <c r="AZ14" t="str" s="689" cm="1">
        <f t="array" ref="AZ14">_xlfn.IFERROR((AX14+AY14)*25%,"N/A")</f>
        <v>N/A</v>
      </c>
      <c r="BA14" t="str" s="689" cm="1">
        <f t="array" ref="BA14">IF(AQ14&gt;0,SUM(AX14:AZ14),"N/A")</f>
        <v>N/A</v>
      </c>
      <c r="BB14" t="str" s="689" cm="1">
        <f t="array" ref="BB14">_xlfn.IFERROR(BA14/AQ14,"N/A")</f>
        <v>N/A</v>
      </c>
      <c r="BC14" t="str" s="673" cm="1">
        <f t="array" ref="BC14">_xlfn.IFERROR(BB14-BJ14,"N/A")</f>
        <v>N/A</v>
      </c>
      <c r="BD14" t="str" s="673" cm="1">
        <f t="array" ref="BD14">_xlfn.IFERROR(ROUND(BC14*AQ14,-4),"N/A")</f>
        <v>N/A</v>
      </c>
      <c r="BE14" s="424"/>
      <c r="BF14" t="str" s="689" cm="1">
        <f t="array" ref="BF14">_xlfn.IFERROR(O14-E14+Q14,"N/A")</f>
        <v>N/A</v>
      </c>
      <c r="BG14" t="str" s="689" cm="1">
        <f t="array" ref="BG14">_xlfn.IFERROR(BF14*0.5%,"N/A")</f>
        <v>N/A</v>
      </c>
      <c r="BH14" t="str" s="689" cm="1">
        <f t="array" ref="BH14">_xlfn.IFERROR(BF14*25%,"N/A")</f>
        <v>N/A</v>
      </c>
      <c r="BI14" t="str" s="673" cm="1">
        <f t="array" ref="BI14">IF(B14&gt;0,SUM(BF14:BH14),"N/A")</f>
        <v>N/A</v>
      </c>
      <c r="BJ14" t="str" s="673" cm="1">
        <f t="array" ref="BJ14">_xlfn.IFERROR((BI14-AVERAGE(BI6:BI11)),"N/A")</f>
        <v>N/A</v>
      </c>
      <c r="BK14" s="424"/>
      <c r="BL14" s="688"/>
      <c r="BM14" s="688"/>
      <c r="BN14" s="688"/>
      <c r="BO14" s="688"/>
      <c r="BP14" s="688"/>
      <c r="BQ14" s="688"/>
      <c r="BR14" s="688"/>
      <c r="BS14" s="692"/>
    </row>
    <row r="15" ht="15" customHeight="1">
      <c r="A15" s="12"/>
      <c r="B15" s="693">
        <v>0</v>
      </c>
      <c r="C15" t="str" s="689" cm="1">
        <f t="array" ref="C15">IF(B15&gt;0,IF(VLOOKUP(C1,'Boats Data Sheet 2026'!$C$3:$J$57,8,0)="N/A",0,VLOOKUP(C1,'Boats Data Sheet 2026'!$C$3:$J$57,8,0)),"N/A")</f>
        <v>N/A</v>
      </c>
      <c r="D15" t="str" s="689" cm="1">
        <f t="array" ref="D15">IF(B15&gt;7,2,IF(B15=0,"N/A",1))</f>
        <v>N/A</v>
      </c>
      <c r="E15" t="str" s="689" cm="1">
        <f t="array" ref="E15">_xlfn.IFERROR(SUM('Direct Costs 2026'!$C$7:$C$8,'Direct Costs 2026'!$C$46)*D15,"N/A")</f>
        <v>N/A</v>
      </c>
      <c r="F15" s="688" cm="1">
        <f t="array" ref="F15">_xlfn.IFERROR('Direct Costs 2026'!$C$43*B15,"N/A")</f>
        <v>0</v>
      </c>
      <c r="G15" t="str" s="689" cm="1">
        <f t="array" ref="G15">IF(B15&gt;0,'Direct Costs 2026'!$C$25,"N/A")</f>
        <v>N/A</v>
      </c>
      <c r="H15" t="str" s="689" cm="1">
        <f t="array" ref="H15">IF(B15&gt;0,('Direct Costs 2026'!$C$14+'Direct Costs 2026'!$C$22),"N/A")</f>
        <v>N/A</v>
      </c>
      <c r="I15" t="str" s="689" cm="1">
        <f t="array" ref="I15">IF(B15&gt;0,'Direct Costs 2026'!$C$26,"N/A")</f>
        <v>N/A</v>
      </c>
      <c r="J15" t="str" s="689" cm="1">
        <f t="array" ref="J15">IF(B15&gt;0,'Direct Costs 2026'!$C$23,"N/A")</f>
        <v>N/A</v>
      </c>
      <c r="K15" t="str" s="689" cm="1">
        <f t="array" ref="K15">IF(B15&gt;0,'Direct Costs 2026'!$C$48*(B15),"N/A")</f>
        <v>N/A</v>
      </c>
      <c r="L15" t="str" s="689" cm="1">
        <f t="array" ref="L15">IF(B15&gt;0,'Direct Costs 2026'!$C$31,"N/A")</f>
        <v>N/A</v>
      </c>
      <c r="M15" t="str" s="689" cm="1">
        <f t="array" ref="M15">IF(B15&gt;0,IF(OR(VLOOKUP(C1,'Boats Data Sheet 2026'!$C$3:$F$57,4,0)="Own",VLOOKUP(C1,'Boats Data Sheet 2026'!$C$3:$F$57,4,0)="Management"),('Direct Costs 2026'!$C$37+'Direct Costs 2026'!$C$39),"N/A"),"N/A")</f>
        <v>N/A</v>
      </c>
      <c r="N15" s="688">
        <v>0</v>
      </c>
      <c r="O15" t="str" s="689" cm="1">
        <f t="array" ref="O15">_xlfn.IFERROR(C15+SUM(E15:N15),"N/A")</f>
        <v>N/A</v>
      </c>
      <c r="P15" s="424"/>
      <c r="Q15" t="str" s="689" cm="1">
        <f t="array" ref="Q15">IF(B15&gt;0,'Allocation OH and Target 2026'!$E$31,"N/A")</f>
        <v>N/A</v>
      </c>
      <c r="R15" t="str" s="689" cm="1">
        <f t="array" ref="R15">IF(B15&gt;0,'Direct Costs 2026'!$C$55*B15,"N/A")</f>
        <v>N/A</v>
      </c>
      <c r="S15" t="str" s="689" cm="1">
        <f t="array" ref="S15">_xlfn.IFERROR((Q15+R15),"N/A")</f>
        <v>N/A</v>
      </c>
      <c r="T15" s="424"/>
      <c r="U15" t="str" s="689" cm="1">
        <f t="array" ref="U15">_xlfn.IFERROR(S15+O15,"N/A")</f>
        <v>N/A</v>
      </c>
      <c r="V15" s="688"/>
      <c r="W15" t="str" s="689" cm="1">
        <f t="array" ref="W15">IF(B15&gt;0,'Direct Costs 2026'!$C$9,"N/A")</f>
        <v>N/A</v>
      </c>
      <c r="X15" s="688">
        <v>0</v>
      </c>
      <c r="Y15" t="str" s="689" cm="1">
        <f t="array" ref="Y15">_xlfn.IFERROR((U15+W15)*0.5%,"N/A")</f>
        <v>N/A</v>
      </c>
      <c r="Z15" t="str" s="689" cm="1">
        <f t="array" ref="Z15">_xlfn.IFERROR((U15+W15+Y15+X15+V15)*25%,"N/A")</f>
        <v>N/A</v>
      </c>
      <c r="AA15" t="str" s="689" cm="1">
        <f t="array" ref="AA15">IF(B15&gt;0,SUM(U15:Z15),"N/A")</f>
        <v>N/A</v>
      </c>
      <c r="AB15" t="str" s="689" cm="1">
        <f t="array" ref="AB15">_xlfn.IFERROR((AA15-AVERAGE(AA6:AA11)),"N/A")</f>
        <v>N/A</v>
      </c>
      <c r="AC15" t="str" s="673" cm="1">
        <f t="array" ref="AC15">_xlfn.IFERROR(AB15-BJ15,"N/A")</f>
        <v>N/A</v>
      </c>
      <c r="AD15" t="str" s="673" cm="1">
        <f t="array" ref="AD15">_xlfn.IFERROR(ROUND(AC15*B15,-4),"N/A")</f>
        <v>N/A</v>
      </c>
      <c r="AE15" s="424"/>
      <c r="AF15" t="s" s="695">
        <v>14</v>
      </c>
      <c r="AG15" t="str" s="689" cm="1">
        <f t="array" ref="AG15">_xlfn.IFERROR(SUM('Direct Costs 2026'!$C$7:$C$8,'Direct Costs 2026'!$C$46)*AF15,"N/A")</f>
        <v>N/A</v>
      </c>
      <c r="AH15" s="688"/>
      <c r="AI15" t="str" s="689" cm="1">
        <f t="array" ref="AI15">IF(B15&gt;0,'Direct Costs 2026'!$C$9,"N/A")</f>
        <v>N/A</v>
      </c>
      <c r="AJ15" t="str" s="689" cm="1">
        <f t="array" ref="AJ15">_xlfn.IFERROR((U15-E15+AG15+AI15+AH15),"N/A")</f>
        <v>N/A</v>
      </c>
      <c r="AK15" t="str" s="689" cm="1">
        <f t="array" ref="AK15">_xlfn.IFERROR((AI15+AJ15)*0.5%,"N/A")</f>
        <v>N/A</v>
      </c>
      <c r="AL15" t="str" s="689" cm="1">
        <f t="array" ref="AL15">_xlfn.IFERROR((AI15+AJ15+AK15)*25%,"N/A")</f>
        <v>N/A</v>
      </c>
      <c r="AM15" s="688" cm="1">
        <f t="array" ref="AM15">IF(AF15&gt;0,SUM(AJ15:AL15),"N/A")</f>
        <v>0</v>
      </c>
      <c r="AN15" t="s" s="695">
        <v>14</v>
      </c>
      <c r="AO15" t="str" s="673" cm="1">
        <f t="array" ref="AO15">_xlfn.IFERROR(AN15-BJ15,"N/A")</f>
        <v>N/A</v>
      </c>
      <c r="AP15" t="str" s="673" cm="1">
        <f t="array" ref="AP15">_xlfn.IFERROR(ROUND(AO15*B15,-4),"N/A")</f>
        <v>N/A</v>
      </c>
      <c r="AQ15" s="424"/>
      <c r="AR15" t="s" s="695">
        <v>14</v>
      </c>
      <c r="AS15" t="str" s="689" cm="1">
        <f t="array" ref="AS15">_xlfn.IFERROR(SUM('Direct Costs 2026'!$C$7:$C$8,'Direct Costs 2026'!$C$46)*AR15,"N/A")</f>
        <v>N/A</v>
      </c>
      <c r="AT15" t="str" s="689" cm="1">
        <f t="array" ref="AT15">IF($AQ15&gt;0,'Direct Costs 2026'!$C$53*$AQ15,"N/A")</f>
        <v>N/A</v>
      </c>
      <c r="AU15" t="str" s="689" cm="1">
        <f t="array" ref="AU15">IF($AQ15&gt;0,'Direct Costs 2026'!$C$54*$AQ15,"N/A")</f>
        <v>N/A</v>
      </c>
      <c r="AV15" s="688"/>
      <c r="AW15" t="str" s="689" cm="1">
        <f t="array" ref="AW15">IF(B15&gt;0,'Direct Costs 2026'!$C$9,"N/A")</f>
        <v>N/A</v>
      </c>
      <c r="AX15" t="str" s="689" cm="1">
        <f t="array" ref="AX15">_xlfn.IFERROR((U15-E15+AS15+AW15+AT15+AU15),"N/A")</f>
        <v>N/A</v>
      </c>
      <c r="AY15" t="str" s="689" cm="1">
        <f t="array" ref="AY15">_xlfn.IFERROR((AW15+AX15)*0.5%,"N/A")</f>
        <v>N/A</v>
      </c>
      <c r="AZ15" t="str" s="689" cm="1">
        <f t="array" ref="AZ15">_xlfn.IFERROR((AX15+AY15)*25%,"N/A")</f>
        <v>N/A</v>
      </c>
      <c r="BA15" t="str" s="689" cm="1">
        <f t="array" ref="BA15">IF(AQ15&gt;0,SUM(AX15:AZ15),"N/A")</f>
        <v>N/A</v>
      </c>
      <c r="BB15" t="str" s="689" cm="1">
        <f t="array" ref="BB15">_xlfn.IFERROR(BA15/AQ15,"N/A")</f>
        <v>N/A</v>
      </c>
      <c r="BC15" t="str" s="673" cm="1">
        <f t="array" ref="BC15">_xlfn.IFERROR(BB15-BJ15,"N/A")</f>
        <v>N/A</v>
      </c>
      <c r="BD15" t="str" s="673" cm="1">
        <f t="array" ref="BD15">_xlfn.IFERROR(ROUND(BC15*AQ15,-4),"N/A")</f>
        <v>N/A</v>
      </c>
      <c r="BE15" s="424"/>
      <c r="BF15" t="str" s="689" cm="1">
        <f t="array" ref="BF15">_xlfn.IFERROR(O15-E15+Q15,"N/A")</f>
        <v>N/A</v>
      </c>
      <c r="BG15" t="str" s="689" cm="1">
        <f t="array" ref="BG15">_xlfn.IFERROR(BF15*0.5%,"N/A")</f>
        <v>N/A</v>
      </c>
      <c r="BH15" t="str" s="689" cm="1">
        <f t="array" ref="BH15">_xlfn.IFERROR(BF15*25%,"N/A")</f>
        <v>N/A</v>
      </c>
      <c r="BI15" t="str" s="673" cm="1">
        <f t="array" ref="BI15">IF(B15&gt;0,SUM(BF15:BH15),"N/A")</f>
        <v>N/A</v>
      </c>
      <c r="BJ15" t="str" s="673" cm="1">
        <f t="array" ref="BJ15">_xlfn.IFERROR((BI15-AVERAGE(BI6:BI11)),"N/A")</f>
        <v>N/A</v>
      </c>
      <c r="BK15" s="424"/>
      <c r="BL15" s="688"/>
      <c r="BM15" s="688"/>
      <c r="BN15" s="688"/>
      <c r="BO15" s="688"/>
      <c r="BP15" s="688"/>
      <c r="BQ15" s="688"/>
      <c r="BR15" s="688"/>
      <c r="BS15" s="692"/>
    </row>
    <row r="16" ht="15" customHeight="1">
      <c r="A16" s="12"/>
      <c r="B16" s="693">
        <v>0</v>
      </c>
      <c r="C16" t="str" s="689" cm="1">
        <f t="array" ref="C16">IF(B16&gt;0,IF(VLOOKUP(C1,'Boats Data Sheet 2026'!$C$3:$J$57,8,0)="N/A",0,VLOOKUP(C1,'Boats Data Sheet 2026'!$C$3:$J$57,8,0)),"N/A")</f>
        <v>N/A</v>
      </c>
      <c r="D16" t="str" s="689" cm="1">
        <f t="array" ref="D16">IF(B16&gt;7,2,IF(B16=0,"N/A",1))</f>
        <v>N/A</v>
      </c>
      <c r="E16" t="str" s="689" cm="1">
        <f t="array" ref="E16">_xlfn.IFERROR(SUM('Direct Costs 2026'!$C$7:$C$8,'Direct Costs 2026'!$C$46)*D16,"N/A")</f>
        <v>N/A</v>
      </c>
      <c r="F16" s="688" cm="1">
        <f t="array" ref="F16">_xlfn.IFERROR('Direct Costs 2026'!$C$43*B16,"N/A")</f>
        <v>0</v>
      </c>
      <c r="G16" t="str" s="689" cm="1">
        <f t="array" ref="G16">IF(B16&gt;0,'Direct Costs 2026'!$C$25,"N/A")</f>
        <v>N/A</v>
      </c>
      <c r="H16" t="str" s="689" cm="1">
        <f t="array" ref="H16">IF(B16&gt;0,('Direct Costs 2026'!$C$14+'Direct Costs 2026'!$C$22),"N/A")</f>
        <v>N/A</v>
      </c>
      <c r="I16" t="str" s="689" cm="1">
        <f t="array" ref="I16">IF(B16&gt;0,'Direct Costs 2026'!$C$26,"N/A")</f>
        <v>N/A</v>
      </c>
      <c r="J16" t="str" s="689" cm="1">
        <f t="array" ref="J16">IF(B16&gt;0,'Direct Costs 2026'!$C$23,"N/A")</f>
        <v>N/A</v>
      </c>
      <c r="K16" t="str" s="689" cm="1">
        <f t="array" ref="K16">IF(B16&gt;0,'Direct Costs 2026'!$C$48*(B16),"N/A")</f>
        <v>N/A</v>
      </c>
      <c r="L16" t="str" s="689" cm="1">
        <f t="array" ref="L16">IF(B16&gt;0,'Direct Costs 2026'!$C$31,"N/A")</f>
        <v>N/A</v>
      </c>
      <c r="M16" t="str" s="689" cm="1">
        <f t="array" ref="M16">IF(B16&gt;0,IF(OR(VLOOKUP(C1,'Boats Data Sheet 2026'!$C$3:$F$57,4,0)="Own",VLOOKUP(C1,'Boats Data Sheet 2026'!$C$3:$F$57,4,0)="Management"),('Direct Costs 2026'!$C$37+'Direct Costs 2026'!$C$39),"N/A"),"N/A")</f>
        <v>N/A</v>
      </c>
      <c r="N16" s="688">
        <v>0</v>
      </c>
      <c r="O16" t="str" s="689" cm="1">
        <f t="array" ref="O16">_xlfn.IFERROR(C16+SUM(E16:N16),"N/A")</f>
        <v>N/A</v>
      </c>
      <c r="P16" s="424"/>
      <c r="Q16" t="str" s="689" cm="1">
        <f t="array" ref="Q16">IF(B16&gt;0,'Allocation OH and Target 2026'!$E$31,"N/A")</f>
        <v>N/A</v>
      </c>
      <c r="R16" t="str" s="689" cm="1">
        <f t="array" ref="R16">IF(B16&gt;0,'Direct Costs 2026'!$C$55*B16,"N/A")</f>
        <v>N/A</v>
      </c>
      <c r="S16" t="str" s="689" cm="1">
        <f t="array" ref="S16">_xlfn.IFERROR((Q16+R16),"N/A")</f>
        <v>N/A</v>
      </c>
      <c r="T16" s="424"/>
      <c r="U16" t="str" s="689" cm="1">
        <f t="array" ref="U16">_xlfn.IFERROR(S16+O16,"N/A")</f>
        <v>N/A</v>
      </c>
      <c r="V16" s="688"/>
      <c r="W16" t="str" s="689" cm="1">
        <f t="array" ref="W16">IF(B16&gt;0,'Direct Costs 2026'!$C$9,"N/A")</f>
        <v>N/A</v>
      </c>
      <c r="X16" s="688">
        <v>0</v>
      </c>
      <c r="Y16" t="str" s="689" cm="1">
        <f t="array" ref="Y16">_xlfn.IFERROR((U16+W16)*0.5%,"N/A")</f>
        <v>N/A</v>
      </c>
      <c r="Z16" t="str" s="689" cm="1">
        <f t="array" ref="Z16">_xlfn.IFERROR((U16+W16+Y16+X16+V16)*25%,"N/A")</f>
        <v>N/A</v>
      </c>
      <c r="AA16" t="str" s="689" cm="1">
        <f t="array" ref="AA16">IF(B16&gt;0,SUM(U16:Z16),"N/A")</f>
        <v>N/A</v>
      </c>
      <c r="AB16" t="str" s="689" cm="1">
        <f t="array" ref="AB16">_xlfn.IFERROR((AA16-AVERAGE(AA6:AA11)),"N/A")</f>
        <v>N/A</v>
      </c>
      <c r="AC16" t="str" s="673" cm="1">
        <f t="array" ref="AC16">_xlfn.IFERROR(AB16-BJ16,"N/A")</f>
        <v>N/A</v>
      </c>
      <c r="AD16" t="str" s="673" cm="1">
        <f t="array" ref="AD16">_xlfn.IFERROR(ROUND(AC16*B16,-4),"N/A")</f>
        <v>N/A</v>
      </c>
      <c r="AE16" s="424"/>
      <c r="AF16" t="s" s="695">
        <v>14</v>
      </c>
      <c r="AG16" t="str" s="689" cm="1">
        <f t="array" ref="AG16">_xlfn.IFERROR(SUM('Direct Costs 2026'!$C$7:$C$8,'Direct Costs 2026'!$C$46)*AF16,"N/A")</f>
        <v>N/A</v>
      </c>
      <c r="AH16" s="688"/>
      <c r="AI16" t="str" s="689" cm="1">
        <f t="array" ref="AI16">IF(B16&gt;0,'Direct Costs 2026'!$C$9,"N/A")</f>
        <v>N/A</v>
      </c>
      <c r="AJ16" t="str" s="689" cm="1">
        <f t="array" ref="AJ16">_xlfn.IFERROR((U16-E16+AG16+AI16+AH16),"N/A")</f>
        <v>N/A</v>
      </c>
      <c r="AK16" t="str" s="689" cm="1">
        <f t="array" ref="AK16">_xlfn.IFERROR((AI16+AJ16)*0.5%,"N/A")</f>
        <v>N/A</v>
      </c>
      <c r="AL16" t="str" s="689" cm="1">
        <f t="array" ref="AL16">_xlfn.IFERROR((AI16+AJ16+AK16)*25%,"N/A")</f>
        <v>N/A</v>
      </c>
      <c r="AM16" s="688" cm="1">
        <f t="array" ref="AM16">IF(AF16&gt;0,SUM(AJ16:AL16),"N/A")</f>
        <v>0</v>
      </c>
      <c r="AN16" t="s" s="695">
        <v>14</v>
      </c>
      <c r="AO16" t="str" s="673" cm="1">
        <f t="array" ref="AO16">_xlfn.IFERROR(AN16-BJ16,"N/A")</f>
        <v>N/A</v>
      </c>
      <c r="AP16" t="str" s="673" cm="1">
        <f t="array" ref="AP16">_xlfn.IFERROR(ROUND(AO16*B16,-4),"N/A")</f>
        <v>N/A</v>
      </c>
      <c r="AQ16" s="424"/>
      <c r="AR16" t="s" s="695">
        <v>14</v>
      </c>
      <c r="AS16" t="str" s="689" cm="1">
        <f t="array" ref="AS16">_xlfn.IFERROR(SUM('Direct Costs 2026'!$C$7:$C$8,'Direct Costs 2026'!$C$46)*AR16,"N/A")</f>
        <v>N/A</v>
      </c>
      <c r="AT16" t="str" s="689" cm="1">
        <f t="array" ref="AT16">IF($AQ16&gt;0,'Direct Costs 2026'!$C$53*$AQ16,"N/A")</f>
        <v>N/A</v>
      </c>
      <c r="AU16" t="str" s="689" cm="1">
        <f t="array" ref="AU16">IF($AQ16&gt;0,'Direct Costs 2026'!$C$54*$AQ16,"N/A")</f>
        <v>N/A</v>
      </c>
      <c r="AV16" s="688"/>
      <c r="AW16" t="str" s="689" cm="1">
        <f t="array" ref="AW16">IF(B16&gt;0,'Direct Costs 2026'!$C$9,"N/A")</f>
        <v>N/A</v>
      </c>
      <c r="AX16" t="str" s="689" cm="1">
        <f t="array" ref="AX16">_xlfn.IFERROR((U16-E16+AS16+AW16+AT16+AU16),"N/A")</f>
        <v>N/A</v>
      </c>
      <c r="AY16" t="str" s="689" cm="1">
        <f t="array" ref="AY16">_xlfn.IFERROR((AW16+AX16)*0.5%,"N/A")</f>
        <v>N/A</v>
      </c>
      <c r="AZ16" t="str" s="689" cm="1">
        <f t="array" ref="AZ16">_xlfn.IFERROR((AX16+AY16)*25%,"N/A")</f>
        <v>N/A</v>
      </c>
      <c r="BA16" t="str" s="689" cm="1">
        <f t="array" ref="BA16">IF(AQ16&gt;0,SUM(AX16:AZ16),"N/A")</f>
        <v>N/A</v>
      </c>
      <c r="BB16" t="str" s="689" cm="1">
        <f t="array" ref="BB16">_xlfn.IFERROR(BA16/AQ16,"N/A")</f>
        <v>N/A</v>
      </c>
      <c r="BC16" t="str" s="673" cm="1">
        <f t="array" ref="BC16">_xlfn.IFERROR(BB16-BJ16,"N/A")</f>
        <v>N/A</v>
      </c>
      <c r="BD16" t="str" s="673" cm="1">
        <f t="array" ref="BD16">_xlfn.IFERROR(ROUND(BC16*AQ16,-4),"N/A")</f>
        <v>N/A</v>
      </c>
      <c r="BE16" s="424"/>
      <c r="BF16" t="str" s="689" cm="1">
        <f t="array" ref="BF16">_xlfn.IFERROR(O16-E16+Q16,"N/A")</f>
        <v>N/A</v>
      </c>
      <c r="BG16" t="str" s="689" cm="1">
        <f t="array" ref="BG16">_xlfn.IFERROR(BF16*0.5%,"N/A")</f>
        <v>N/A</v>
      </c>
      <c r="BH16" t="str" s="689" cm="1">
        <f t="array" ref="BH16">_xlfn.IFERROR(BF16*25%,"N/A")</f>
        <v>N/A</v>
      </c>
      <c r="BI16" t="str" s="673" cm="1">
        <f t="array" ref="BI16">IF(B16&gt;0,SUM(BF16:BH16),"N/A")</f>
        <v>N/A</v>
      </c>
      <c r="BJ16" t="str" s="673" cm="1">
        <f t="array" ref="BJ16">_xlfn.IFERROR((BI16-AVERAGE(BI6:BI11)),"N/A")</f>
        <v>N/A</v>
      </c>
      <c r="BK16" s="424"/>
      <c r="BL16" s="688"/>
      <c r="BM16" s="688"/>
      <c r="BN16" s="688"/>
      <c r="BO16" s="688"/>
      <c r="BP16" s="688"/>
      <c r="BQ16" s="688"/>
      <c r="BR16" s="688"/>
      <c r="BS16" s="692"/>
    </row>
    <row r="17" ht="15" customHeight="1">
      <c r="A17" s="12"/>
      <c r="B17" s="693">
        <v>0</v>
      </c>
      <c r="C17" t="str" s="689" cm="1">
        <f t="array" ref="C17">IF(B17&gt;0,IF(VLOOKUP(C1,'Boats Data Sheet 2026'!$C$3:$J$57,8,0)="N/A",0,VLOOKUP(C1,'Boats Data Sheet 2026'!$C$3:$J$57,8,0)),"N/A")</f>
        <v>N/A</v>
      </c>
      <c r="D17" t="str" s="689" cm="1">
        <f t="array" ref="D17">IF(B17&gt;7,2,IF(B17=0,"N/A",1))</f>
        <v>N/A</v>
      </c>
      <c r="E17" t="str" s="689" cm="1">
        <f t="array" ref="E17">_xlfn.IFERROR(SUM('Direct Costs 2026'!$C$7:$C$8,'Direct Costs 2026'!$C$46)*D17,"N/A")</f>
        <v>N/A</v>
      </c>
      <c r="F17" s="688" cm="1">
        <f t="array" ref="F17">_xlfn.IFERROR('Direct Costs 2026'!$C$43*B17,"N/A")</f>
        <v>0</v>
      </c>
      <c r="G17" t="str" s="689" cm="1">
        <f t="array" ref="G17">IF(B17&gt;0,'Direct Costs 2026'!$C$25,"N/A")</f>
        <v>N/A</v>
      </c>
      <c r="H17" t="str" s="689" cm="1">
        <f t="array" ref="H17">IF(B17&gt;0,('Direct Costs 2026'!$C$14+'Direct Costs 2026'!$C$22),"N/A")</f>
        <v>N/A</v>
      </c>
      <c r="I17" t="str" s="689" cm="1">
        <f t="array" ref="I17">IF(B17&gt;0,'Direct Costs 2026'!$C$26,"N/A")</f>
        <v>N/A</v>
      </c>
      <c r="J17" t="str" s="689" cm="1">
        <f t="array" ref="J17">IF(B17&gt;0,'Direct Costs 2026'!$C$23,"N/A")</f>
        <v>N/A</v>
      </c>
      <c r="K17" t="str" s="689" cm="1">
        <f t="array" ref="K17">IF(B17&gt;0,'Direct Costs 2026'!$C$48*(B17),"N/A")</f>
        <v>N/A</v>
      </c>
      <c r="L17" t="str" s="689" cm="1">
        <f t="array" ref="L17">IF(B17&gt;0,'Direct Costs 2026'!$C$31,"N/A")</f>
        <v>N/A</v>
      </c>
      <c r="M17" t="str" s="689" cm="1">
        <f t="array" ref="M17">IF(B17&gt;0,IF(OR(VLOOKUP(C1,'Boats Data Sheet 2026'!$C$3:$F$57,4,0)="Own",VLOOKUP(C1,'Boats Data Sheet 2026'!$C$3:$F$57,4,0)="Management"),('Direct Costs 2026'!$C$37+'Direct Costs 2026'!$C$39),"N/A"),"N/A")</f>
        <v>N/A</v>
      </c>
      <c r="N17" s="688">
        <v>0</v>
      </c>
      <c r="O17" t="str" s="689" cm="1">
        <f t="array" ref="O17">_xlfn.IFERROR(C17+SUM(E17:N17),"N/A")</f>
        <v>N/A</v>
      </c>
      <c r="P17" s="424"/>
      <c r="Q17" t="str" s="689" cm="1">
        <f t="array" ref="Q17">IF(B17&gt;0,'Allocation OH and Target 2026'!$E$31,"N/A")</f>
        <v>N/A</v>
      </c>
      <c r="R17" t="str" s="689" cm="1">
        <f t="array" ref="R17">IF(B17&gt;0,'Direct Costs 2026'!$C$55*B17,"N/A")</f>
        <v>N/A</v>
      </c>
      <c r="S17" t="str" s="689" cm="1">
        <f t="array" ref="S17">_xlfn.IFERROR((Q17+R17),"N/A")</f>
        <v>N/A</v>
      </c>
      <c r="T17" s="424"/>
      <c r="U17" t="str" s="689" cm="1">
        <f t="array" ref="U17">_xlfn.IFERROR(S17+O17,"N/A")</f>
        <v>N/A</v>
      </c>
      <c r="V17" s="688"/>
      <c r="W17" t="str" s="689" cm="1">
        <f t="array" ref="W17">IF(B17&gt;0,'Direct Costs 2026'!$C$9,"N/A")</f>
        <v>N/A</v>
      </c>
      <c r="X17" s="688">
        <v>0</v>
      </c>
      <c r="Y17" t="str" s="689" cm="1">
        <f t="array" ref="Y17">_xlfn.IFERROR((U17+W17)*0.5%,"N/A")</f>
        <v>N/A</v>
      </c>
      <c r="Z17" t="str" s="689" cm="1">
        <f t="array" ref="Z17">_xlfn.IFERROR((U17+W17+Y17+X17+V17)*25%,"N/A")</f>
        <v>N/A</v>
      </c>
      <c r="AA17" t="str" s="689" cm="1">
        <f t="array" ref="AA17">IF(B17&gt;0,SUM(U17:Z17),"N/A")</f>
        <v>N/A</v>
      </c>
      <c r="AB17" t="str" s="689" cm="1">
        <f t="array" ref="AB17">_xlfn.IFERROR((AA17-AVERAGE(AA6:AA11)),"N/A")</f>
        <v>N/A</v>
      </c>
      <c r="AC17" t="str" s="673" cm="1">
        <f t="array" ref="AC17">_xlfn.IFERROR(AB17-BJ17,"N/A")</f>
        <v>N/A</v>
      </c>
      <c r="AD17" t="str" s="673" cm="1">
        <f t="array" ref="AD17">_xlfn.IFERROR(ROUND(AC17*B17,-4),"N/A")</f>
        <v>N/A</v>
      </c>
      <c r="AE17" s="424"/>
      <c r="AF17" t="s" s="695">
        <v>14</v>
      </c>
      <c r="AG17" t="str" s="689" cm="1">
        <f t="array" ref="AG17">_xlfn.IFERROR(SUM('Direct Costs 2026'!$C$7:$C$8,'Direct Costs 2026'!$C$46)*AF17,"N/A")</f>
        <v>N/A</v>
      </c>
      <c r="AH17" s="688"/>
      <c r="AI17" t="str" s="689" cm="1">
        <f t="array" ref="AI17">IF(B17&gt;0,'Direct Costs 2026'!$C$9,"N/A")</f>
        <v>N/A</v>
      </c>
      <c r="AJ17" t="str" s="689" cm="1">
        <f t="array" ref="AJ17">_xlfn.IFERROR((U17-E17+AG17+AI17+AH17),"N/A")</f>
        <v>N/A</v>
      </c>
      <c r="AK17" t="str" s="689" cm="1">
        <f t="array" ref="AK17">_xlfn.IFERROR((AI17+AJ17)*0.5%,"N/A")</f>
        <v>N/A</v>
      </c>
      <c r="AL17" t="str" s="689" cm="1">
        <f t="array" ref="AL17">_xlfn.IFERROR((AI17+AJ17+AK17)*25%,"N/A")</f>
        <v>N/A</v>
      </c>
      <c r="AM17" s="688" cm="1">
        <f t="array" ref="AM17">IF(AF17&gt;0,SUM(AJ17:AL17),"N/A")</f>
        <v>0</v>
      </c>
      <c r="AN17" t="s" s="695">
        <v>14</v>
      </c>
      <c r="AO17" t="str" s="673" cm="1">
        <f t="array" ref="AO17">_xlfn.IFERROR(AN17-BJ17,"N/A")</f>
        <v>N/A</v>
      </c>
      <c r="AP17" t="str" s="673" cm="1">
        <f t="array" ref="AP17">_xlfn.IFERROR(ROUND(AO17*B17,-4),"N/A")</f>
        <v>N/A</v>
      </c>
      <c r="AQ17" s="424"/>
      <c r="AR17" t="s" s="695">
        <v>14</v>
      </c>
      <c r="AS17" t="str" s="689" cm="1">
        <f t="array" ref="AS17">_xlfn.IFERROR(SUM('Direct Costs 2026'!$C$7:$C$8,'Direct Costs 2026'!$C$46)*AR17,"N/A")</f>
        <v>N/A</v>
      </c>
      <c r="AT17" t="str" s="689" cm="1">
        <f t="array" ref="AT17">IF($AQ17&gt;0,'Direct Costs 2026'!$C$53*$AQ17,"N/A")</f>
        <v>N/A</v>
      </c>
      <c r="AU17" t="str" s="689" cm="1">
        <f t="array" ref="AU17">IF($AQ17&gt;0,'Direct Costs 2026'!$C$54*$AQ17,"N/A")</f>
        <v>N/A</v>
      </c>
      <c r="AV17" s="688"/>
      <c r="AW17" t="str" s="689" cm="1">
        <f t="array" ref="AW17">IF(B17&gt;0,'Direct Costs 2026'!$C$9,"N/A")</f>
        <v>N/A</v>
      </c>
      <c r="AX17" t="str" s="689" cm="1">
        <f t="array" ref="AX17">_xlfn.IFERROR((U17-E17+AS17+AW17+AT17+AU17),"N/A")</f>
        <v>N/A</v>
      </c>
      <c r="AY17" t="str" s="689" cm="1">
        <f t="array" ref="AY17">_xlfn.IFERROR((AW17+AX17)*0.5%,"N/A")</f>
        <v>N/A</v>
      </c>
      <c r="AZ17" t="str" s="689" cm="1">
        <f t="array" ref="AZ17">_xlfn.IFERROR((AX17+AY17)*25%,"N/A")</f>
        <v>N/A</v>
      </c>
      <c r="BA17" t="str" s="689" cm="1">
        <f t="array" ref="BA17">IF(AQ17&gt;0,SUM(AX17:AZ17),"N/A")</f>
        <v>N/A</v>
      </c>
      <c r="BB17" t="str" s="689" cm="1">
        <f t="array" ref="BB17">_xlfn.IFERROR(BA17/AQ17,"N/A")</f>
        <v>N/A</v>
      </c>
      <c r="BC17" t="str" s="673" cm="1">
        <f t="array" ref="BC17">_xlfn.IFERROR(BB17-BJ17,"N/A")</f>
        <v>N/A</v>
      </c>
      <c r="BD17" t="str" s="673" cm="1">
        <f t="array" ref="BD17">_xlfn.IFERROR(ROUND(BC17*AQ17,-4),"N/A")</f>
        <v>N/A</v>
      </c>
      <c r="BE17" s="424"/>
      <c r="BF17" t="str" s="689" cm="1">
        <f t="array" ref="BF17">_xlfn.IFERROR(O17-E17+Q17,"N/A")</f>
        <v>N/A</v>
      </c>
      <c r="BG17" t="str" s="689" cm="1">
        <f t="array" ref="BG17">_xlfn.IFERROR(BF17*0.5%,"N/A")</f>
        <v>N/A</v>
      </c>
      <c r="BH17" t="str" s="689" cm="1">
        <f t="array" ref="BH17">_xlfn.IFERROR(BF17*25%,"N/A")</f>
        <v>N/A</v>
      </c>
      <c r="BI17" t="str" s="673" cm="1">
        <f t="array" ref="BI17">IF(B17&gt;0,SUM(BF17:BH17),"N/A")</f>
        <v>N/A</v>
      </c>
      <c r="BJ17" t="str" s="673" cm="1">
        <f t="array" ref="BJ17">_xlfn.IFERROR((BI17-AVERAGE(BI6:BI11)),"N/A")</f>
        <v>N/A</v>
      </c>
      <c r="BK17" s="424"/>
      <c r="BL17" s="688"/>
      <c r="BM17" s="688"/>
      <c r="BN17" s="688"/>
      <c r="BO17" s="688"/>
      <c r="BP17" s="688"/>
      <c r="BQ17" s="688"/>
      <c r="BR17" s="688"/>
      <c r="BS17" s="692"/>
    </row>
    <row r="18" ht="15" customHeight="1">
      <c r="A18" s="12"/>
      <c r="B18" s="693">
        <v>0</v>
      </c>
      <c r="C18" t="str" s="689" cm="1">
        <f t="array" ref="C18">IF(B18&gt;0,IF(VLOOKUP(C1,'Boats Data Sheet 2026'!$C$3:$J$57,8,0)="N/A",0,VLOOKUP(C1,'Boats Data Sheet 2026'!$C$3:$J$57,8,0)),"N/A")</f>
        <v>N/A</v>
      </c>
      <c r="D18" t="str" s="689" cm="1">
        <f t="array" ref="D18">IF(B18&gt;7,2,IF(B18=0,"N/A",1))</f>
        <v>N/A</v>
      </c>
      <c r="E18" t="str" s="689" cm="1">
        <f t="array" ref="E18">_xlfn.IFERROR(SUM('Direct Costs 2026'!$C$7:$C$8,'Direct Costs 2026'!$C$46)*D18,"N/A")</f>
        <v>N/A</v>
      </c>
      <c r="F18" s="688" cm="1">
        <f t="array" ref="F18">_xlfn.IFERROR('Direct Costs 2026'!$C$43*B18,"N/A")</f>
        <v>0</v>
      </c>
      <c r="G18" t="str" s="689" cm="1">
        <f t="array" ref="G18">IF(B18&gt;0,'Direct Costs 2026'!$C$25,"N/A")</f>
        <v>N/A</v>
      </c>
      <c r="H18" t="str" s="689" cm="1">
        <f t="array" ref="H18">IF(B18&gt;0,('Direct Costs 2026'!$C$14+'Direct Costs 2026'!$C$22),"N/A")</f>
        <v>N/A</v>
      </c>
      <c r="I18" t="str" s="689" cm="1">
        <f t="array" ref="I18">IF(B18&gt;0,'Direct Costs 2026'!$C$26,"N/A")</f>
        <v>N/A</v>
      </c>
      <c r="J18" t="str" s="689" cm="1">
        <f t="array" ref="J18">IF(B18&gt;0,'Direct Costs 2026'!$C$23,"N/A")</f>
        <v>N/A</v>
      </c>
      <c r="K18" t="str" s="689" cm="1">
        <f t="array" ref="K18">IF(B18&gt;0,'Direct Costs 2026'!$C$48*(B18),"N/A")</f>
        <v>N/A</v>
      </c>
      <c r="L18" t="str" s="689" cm="1">
        <f t="array" ref="L18">IF(B18&gt;0,'Direct Costs 2026'!$C$31,"N/A")</f>
        <v>N/A</v>
      </c>
      <c r="M18" t="str" s="689" cm="1">
        <f t="array" ref="M18">IF(B18&gt;0,IF(OR(VLOOKUP(C1,'Boats Data Sheet 2026'!$C$3:$F$57,4,0)="Own",VLOOKUP(C1,'Boats Data Sheet 2026'!$C$3:$F$57,4,0)="Management"),('Direct Costs 2026'!$C$37+'Direct Costs 2026'!$C$39),"N/A"),"N/A")</f>
        <v>N/A</v>
      </c>
      <c r="N18" s="688">
        <v>0</v>
      </c>
      <c r="O18" t="str" s="689" cm="1">
        <f t="array" ref="O18">_xlfn.IFERROR(C18+SUM(E18:N18),"N/A")</f>
        <v>N/A</v>
      </c>
      <c r="P18" s="424"/>
      <c r="Q18" t="str" s="689" cm="1">
        <f t="array" ref="Q18">IF(B18&gt;0,'Allocation OH and Target 2026'!$E$31,"N/A")</f>
        <v>N/A</v>
      </c>
      <c r="R18" t="str" s="689" cm="1">
        <f t="array" ref="R18">IF(B18&gt;0,'Direct Costs 2026'!$C$55*B18,"N/A")</f>
        <v>N/A</v>
      </c>
      <c r="S18" t="str" s="689" cm="1">
        <f t="array" ref="S18">_xlfn.IFERROR((Q18+R18),"N/A")</f>
        <v>N/A</v>
      </c>
      <c r="T18" s="424"/>
      <c r="U18" t="str" s="689" cm="1">
        <f t="array" ref="U18">_xlfn.IFERROR(S18+O18,"N/A")</f>
        <v>N/A</v>
      </c>
      <c r="V18" s="688"/>
      <c r="W18" t="str" s="689" cm="1">
        <f t="array" ref="W18">IF(B18&gt;0,'Direct Costs 2026'!$C$9,"N/A")</f>
        <v>N/A</v>
      </c>
      <c r="X18" s="688">
        <v>0</v>
      </c>
      <c r="Y18" t="str" s="689" cm="1">
        <f t="array" ref="Y18">_xlfn.IFERROR((U18+W18)*0.5%,"N/A")</f>
        <v>N/A</v>
      </c>
      <c r="Z18" t="str" s="689" cm="1">
        <f t="array" ref="Z18">_xlfn.IFERROR((U18+W18+Y18+X18+V18)*25%,"N/A")</f>
        <v>N/A</v>
      </c>
      <c r="AA18" t="str" s="689" cm="1">
        <f t="array" ref="AA18">IF(B18&gt;0,SUM(U18:Z18),"N/A")</f>
        <v>N/A</v>
      </c>
      <c r="AB18" t="str" s="689" cm="1">
        <f t="array" ref="AB18">_xlfn.IFERROR((AA18-AVERAGE(AA6:AA11)),"N/A")</f>
        <v>N/A</v>
      </c>
      <c r="AC18" t="str" s="673" cm="1">
        <f t="array" ref="AC18">_xlfn.IFERROR(AB18-BJ18,"N/A")</f>
        <v>N/A</v>
      </c>
      <c r="AD18" t="str" s="673" cm="1">
        <f t="array" ref="AD18">_xlfn.IFERROR(ROUND(AC18*B18,-4),"N/A")</f>
        <v>N/A</v>
      </c>
      <c r="AE18" s="424"/>
      <c r="AF18" t="s" s="695">
        <v>14</v>
      </c>
      <c r="AG18" t="str" s="689" cm="1">
        <f t="array" ref="AG18">_xlfn.IFERROR(SUM('Direct Costs 2026'!$C$7:$C$8,'Direct Costs 2026'!$C$46)*AF18,"N/A")</f>
        <v>N/A</v>
      </c>
      <c r="AH18" s="688"/>
      <c r="AI18" t="str" s="689" cm="1">
        <f t="array" ref="AI18">IF(B18&gt;0,'Direct Costs 2026'!$C$9,"N/A")</f>
        <v>N/A</v>
      </c>
      <c r="AJ18" t="str" s="689" cm="1">
        <f t="array" ref="AJ18">_xlfn.IFERROR((U18-E18+AG18+AI18+AH18),"N/A")</f>
        <v>N/A</v>
      </c>
      <c r="AK18" t="str" s="689" cm="1">
        <f t="array" ref="AK18">_xlfn.IFERROR((AI18+AJ18)*0.5%,"N/A")</f>
        <v>N/A</v>
      </c>
      <c r="AL18" t="str" s="689" cm="1">
        <f t="array" ref="AL18">_xlfn.IFERROR((AI18+AJ18+AK18)*25%,"N/A")</f>
        <v>N/A</v>
      </c>
      <c r="AM18" s="688" cm="1">
        <f t="array" ref="AM18">IF(AF18&gt;0,SUM(AJ18:AL18),"N/A")</f>
        <v>0</v>
      </c>
      <c r="AN18" t="s" s="695">
        <v>14</v>
      </c>
      <c r="AO18" t="str" s="673" cm="1">
        <f t="array" ref="AO18">_xlfn.IFERROR(AN18-BJ18,"N/A")</f>
        <v>N/A</v>
      </c>
      <c r="AP18" t="str" s="673" cm="1">
        <f t="array" ref="AP18">_xlfn.IFERROR(ROUND(AO18*B18,-4),"N/A")</f>
        <v>N/A</v>
      </c>
      <c r="AQ18" s="424"/>
      <c r="AR18" t="s" s="695">
        <v>14</v>
      </c>
      <c r="AS18" t="str" s="689" cm="1">
        <f t="array" ref="AS18">_xlfn.IFERROR(SUM('Direct Costs 2026'!$C$7:$C$8,'Direct Costs 2026'!$C$46)*AR18,"N/A")</f>
        <v>N/A</v>
      </c>
      <c r="AT18" t="str" s="689" cm="1">
        <f t="array" ref="AT18">IF($AQ18&gt;0,'Direct Costs 2026'!$C$53*$AQ18,"N/A")</f>
        <v>N/A</v>
      </c>
      <c r="AU18" t="str" s="689" cm="1">
        <f t="array" ref="AU18">IF($AQ18&gt;0,'Direct Costs 2026'!$C$54*$AQ18,"N/A")</f>
        <v>N/A</v>
      </c>
      <c r="AV18" s="688"/>
      <c r="AW18" t="str" s="689" cm="1">
        <f t="array" ref="AW18">IF(B18&gt;0,'Direct Costs 2026'!$C$9,"N/A")</f>
        <v>N/A</v>
      </c>
      <c r="AX18" t="str" s="689" cm="1">
        <f t="array" ref="AX18">_xlfn.IFERROR((U18-E18+AS18+AW18+AT18+AU18),"N/A")</f>
        <v>N/A</v>
      </c>
      <c r="AY18" t="str" s="689" cm="1">
        <f t="array" ref="AY18">_xlfn.IFERROR((AW18+AX18)*0.5%,"N/A")</f>
        <v>N/A</v>
      </c>
      <c r="AZ18" t="str" s="689" cm="1">
        <f t="array" ref="AZ18">_xlfn.IFERROR((AX18+AY18)*25%,"N/A")</f>
        <v>N/A</v>
      </c>
      <c r="BA18" t="str" s="689" cm="1">
        <f t="array" ref="BA18">IF(AQ18&gt;0,SUM(AX18:AZ18),"N/A")</f>
        <v>N/A</v>
      </c>
      <c r="BB18" t="str" s="689" cm="1">
        <f t="array" ref="BB18">_xlfn.IFERROR(BA18/AQ18,"N/A")</f>
        <v>N/A</v>
      </c>
      <c r="BC18" t="str" s="673" cm="1">
        <f t="array" ref="BC18">_xlfn.IFERROR(BB18-BJ18,"N/A")</f>
        <v>N/A</v>
      </c>
      <c r="BD18" t="str" s="673" cm="1">
        <f t="array" ref="BD18">_xlfn.IFERROR(ROUND(BC18*AQ18,-4),"N/A")</f>
        <v>N/A</v>
      </c>
      <c r="BE18" s="424"/>
      <c r="BF18" t="str" s="689" cm="1">
        <f t="array" ref="BF18">_xlfn.IFERROR(O18-E18+Q18,"N/A")</f>
        <v>N/A</v>
      </c>
      <c r="BG18" t="str" s="689" cm="1">
        <f t="array" ref="BG18">_xlfn.IFERROR(BF18*0.5%,"N/A")</f>
        <v>N/A</v>
      </c>
      <c r="BH18" t="str" s="689" cm="1">
        <f t="array" ref="BH18">_xlfn.IFERROR(BF18*25%,"N/A")</f>
        <v>N/A</v>
      </c>
      <c r="BI18" t="str" s="673" cm="1">
        <f t="array" ref="BI18">IF(B18&gt;0,SUM(BF18:BH18),"N/A")</f>
        <v>N/A</v>
      </c>
      <c r="BJ18" t="str" s="673" cm="1">
        <f t="array" ref="BJ18">_xlfn.IFERROR((BI18-AVERAGE(BI6:BI11)),"N/A")</f>
        <v>N/A</v>
      </c>
      <c r="BK18" s="424"/>
      <c r="BL18" s="688"/>
      <c r="BM18" s="688"/>
      <c r="BN18" s="688"/>
      <c r="BO18" s="688"/>
      <c r="BP18" s="688"/>
      <c r="BQ18" s="688"/>
      <c r="BR18" s="688"/>
      <c r="BS18" s="692"/>
    </row>
    <row r="19" ht="15" customHeight="1">
      <c r="A19" s="12"/>
      <c r="B19" s="693">
        <v>0</v>
      </c>
      <c r="C19" t="str" s="689" cm="1">
        <f t="array" ref="C19">IF(B19&gt;0,IF(VLOOKUP(C1,'Boats Data Sheet 2026'!$C$3:$J$57,8,0)="N/A",0,VLOOKUP(C1,'Boats Data Sheet 2026'!$C$3:$J$57,8,0)),"N/A")</f>
        <v>N/A</v>
      </c>
      <c r="D19" t="str" s="689" cm="1">
        <f t="array" ref="D19">IF(B19&gt;7,2,IF(B19=0,"N/A",1))</f>
        <v>N/A</v>
      </c>
      <c r="E19" t="str" s="689" cm="1">
        <f t="array" ref="E19">_xlfn.IFERROR(SUM('Direct Costs 2026'!$C$7:$C$8,'Direct Costs 2026'!$C$46)*D19,"N/A")</f>
        <v>N/A</v>
      </c>
      <c r="F19" s="688" cm="1">
        <f t="array" ref="F19">_xlfn.IFERROR('Direct Costs 2026'!$C$43*B19,"N/A")</f>
        <v>0</v>
      </c>
      <c r="G19" t="str" s="689" cm="1">
        <f t="array" ref="G19">IF(B19&gt;0,'Direct Costs 2026'!$C$25,"N/A")</f>
        <v>N/A</v>
      </c>
      <c r="H19" t="str" s="689" cm="1">
        <f t="array" ref="H19">IF(B19&gt;0,('Direct Costs 2026'!$C$14+'Direct Costs 2026'!$C$22),"N/A")</f>
        <v>N/A</v>
      </c>
      <c r="I19" t="str" s="689" cm="1">
        <f t="array" ref="I19">IF(B19&gt;0,'Direct Costs 2026'!$C$26,"N/A")</f>
        <v>N/A</v>
      </c>
      <c r="J19" t="str" s="689" cm="1">
        <f t="array" ref="J19">IF(B19&gt;0,'Direct Costs 2026'!$C$23,"N/A")</f>
        <v>N/A</v>
      </c>
      <c r="K19" t="str" s="689" cm="1">
        <f t="array" ref="K19">IF(B19&gt;0,'Direct Costs 2026'!$C$48*(B19),"N/A")</f>
        <v>N/A</v>
      </c>
      <c r="L19" t="str" s="689" cm="1">
        <f t="array" ref="L19">IF(B19&gt;0,'Direct Costs 2026'!$C$31,"N/A")</f>
        <v>N/A</v>
      </c>
      <c r="M19" t="str" s="689" cm="1">
        <f t="array" ref="M19">IF(B19&gt;0,IF(OR(VLOOKUP(C1,'Boats Data Sheet 2026'!$C$3:$F$57,4,0)="Own",VLOOKUP(C1,'Boats Data Sheet 2026'!$C$3:$F$57,4,0)="Management"),('Direct Costs 2026'!$C$37+'Direct Costs 2026'!$C$39),"N/A"),"N/A")</f>
        <v>N/A</v>
      </c>
      <c r="N19" s="688">
        <v>0</v>
      </c>
      <c r="O19" t="str" s="689" cm="1">
        <f t="array" ref="O19">_xlfn.IFERROR(C19+SUM(E19:N19),"N/A")</f>
        <v>N/A</v>
      </c>
      <c r="P19" s="424"/>
      <c r="Q19" t="str" s="689" cm="1">
        <f t="array" ref="Q19">IF(B19&gt;0,'Allocation OH and Target 2026'!$E$31,"N/A")</f>
        <v>N/A</v>
      </c>
      <c r="R19" t="str" s="689" cm="1">
        <f t="array" ref="R19">IF(B19&gt;0,'Direct Costs 2026'!$C$55*B19,"N/A")</f>
        <v>N/A</v>
      </c>
      <c r="S19" t="str" s="689" cm="1">
        <f t="array" ref="S19">_xlfn.IFERROR((Q19+R19),"N/A")</f>
        <v>N/A</v>
      </c>
      <c r="T19" s="424"/>
      <c r="U19" t="str" s="689" cm="1">
        <f t="array" ref="U19">_xlfn.IFERROR(S19+O19,"N/A")</f>
        <v>N/A</v>
      </c>
      <c r="V19" s="688"/>
      <c r="W19" t="str" s="689" cm="1">
        <f t="array" ref="W19">IF(B19&gt;0,'Direct Costs 2026'!$C$9,"N/A")</f>
        <v>N/A</v>
      </c>
      <c r="X19" s="688">
        <v>0</v>
      </c>
      <c r="Y19" t="str" s="689" cm="1">
        <f t="array" ref="Y19">_xlfn.IFERROR((U19+W19)*0.5%,"N/A")</f>
        <v>N/A</v>
      </c>
      <c r="Z19" t="str" s="689" cm="1">
        <f t="array" ref="Z19">_xlfn.IFERROR((U19+W19+Y19+X19+V19)*25%,"N/A")</f>
        <v>N/A</v>
      </c>
      <c r="AA19" t="str" s="689" cm="1">
        <f t="array" ref="AA19">IF(B19&gt;0,SUM(U19:Z19),"N/A")</f>
        <v>N/A</v>
      </c>
      <c r="AB19" t="str" s="689" cm="1">
        <f t="array" ref="AB19">_xlfn.IFERROR((AA19-AVERAGE(AA6:AA11)),"N/A")</f>
        <v>N/A</v>
      </c>
      <c r="AC19" t="str" s="673" cm="1">
        <f t="array" ref="AC19">_xlfn.IFERROR(AB19-BJ19,"N/A")</f>
        <v>N/A</v>
      </c>
      <c r="AD19" t="str" s="673" cm="1">
        <f t="array" ref="AD19">_xlfn.IFERROR(ROUND(AC19*B19,-4),"N/A")</f>
        <v>N/A</v>
      </c>
      <c r="AE19" s="424"/>
      <c r="AF19" t="s" s="695">
        <v>14</v>
      </c>
      <c r="AG19" t="str" s="689" cm="1">
        <f t="array" ref="AG19">_xlfn.IFERROR(SUM('Direct Costs 2026'!$C$7:$C$8,'Direct Costs 2026'!$C$46)*AF19,"N/A")</f>
        <v>N/A</v>
      </c>
      <c r="AH19" s="688"/>
      <c r="AI19" t="str" s="689" cm="1">
        <f t="array" ref="AI19">IF(B19&gt;0,'Direct Costs 2026'!$C$9,"N/A")</f>
        <v>N/A</v>
      </c>
      <c r="AJ19" t="str" s="689" cm="1">
        <f t="array" ref="AJ19">_xlfn.IFERROR((U19-E19+AG19+AI19+AH19),"N/A")</f>
        <v>N/A</v>
      </c>
      <c r="AK19" t="str" s="689" cm="1">
        <f t="array" ref="AK19">_xlfn.IFERROR((AI19+AJ19)*0.5%,"N/A")</f>
        <v>N/A</v>
      </c>
      <c r="AL19" t="str" s="689" cm="1">
        <f t="array" ref="AL19">_xlfn.IFERROR((AI19+AJ19+AK19)*25%,"N/A")</f>
        <v>N/A</v>
      </c>
      <c r="AM19" s="688" cm="1">
        <f t="array" ref="AM19">IF(AF19&gt;0,SUM(AJ19:AL19),"N/A")</f>
        <v>0</v>
      </c>
      <c r="AN19" t="s" s="695">
        <v>14</v>
      </c>
      <c r="AO19" t="str" s="673" cm="1">
        <f t="array" ref="AO19">_xlfn.IFERROR(AN19-BJ19,"N/A")</f>
        <v>N/A</v>
      </c>
      <c r="AP19" t="str" s="673" cm="1">
        <f t="array" ref="AP19">_xlfn.IFERROR(ROUND(AO19*B19,-4),"N/A")</f>
        <v>N/A</v>
      </c>
      <c r="AQ19" s="424"/>
      <c r="AR19" t="s" s="695">
        <v>14</v>
      </c>
      <c r="AS19" t="str" s="689" cm="1">
        <f t="array" ref="AS19">_xlfn.IFERROR(SUM('Direct Costs 2026'!$C$7:$C$8,'Direct Costs 2026'!$C$46)*AR19,"N/A")</f>
        <v>N/A</v>
      </c>
      <c r="AT19" t="str" s="689" cm="1">
        <f t="array" ref="AT19">IF($AQ19&gt;0,'Direct Costs 2026'!$C$53*$AQ19,"N/A")</f>
        <v>N/A</v>
      </c>
      <c r="AU19" t="str" s="689" cm="1">
        <f t="array" ref="AU19">IF($AQ19&gt;0,'Direct Costs 2026'!$C$54*$AQ19,"N/A")</f>
        <v>N/A</v>
      </c>
      <c r="AV19" s="688"/>
      <c r="AW19" t="str" s="689" cm="1">
        <f t="array" ref="AW19">IF(B19&gt;0,'Direct Costs 2026'!$C$9,"N/A")</f>
        <v>N/A</v>
      </c>
      <c r="AX19" t="str" s="689" cm="1">
        <f t="array" ref="AX19">_xlfn.IFERROR((U19-E19+AS19+AW19+AT19+AU19),"N/A")</f>
        <v>N/A</v>
      </c>
      <c r="AY19" t="str" s="689" cm="1">
        <f t="array" ref="AY19">_xlfn.IFERROR((AW19+AX19)*0.5%,"N/A")</f>
        <v>N/A</v>
      </c>
      <c r="AZ19" t="str" s="689" cm="1">
        <f t="array" ref="AZ19">_xlfn.IFERROR((AX19+AY19)*25%,"N/A")</f>
        <v>N/A</v>
      </c>
      <c r="BA19" t="str" s="689" cm="1">
        <f t="array" ref="BA19">IF(AQ19&gt;0,SUM(AX19:AZ19),"N/A")</f>
        <v>N/A</v>
      </c>
      <c r="BB19" t="str" s="689" cm="1">
        <f t="array" ref="BB19">_xlfn.IFERROR(BA19/AQ19,"N/A")</f>
        <v>N/A</v>
      </c>
      <c r="BC19" t="str" s="673" cm="1">
        <f t="array" ref="BC19">_xlfn.IFERROR(BB19-BJ19,"N/A")</f>
        <v>N/A</v>
      </c>
      <c r="BD19" t="str" s="673" cm="1">
        <f t="array" ref="BD19">_xlfn.IFERROR(ROUND(BC19*AQ19,-4),"N/A")</f>
        <v>N/A</v>
      </c>
      <c r="BE19" s="424"/>
      <c r="BF19" t="str" s="689" cm="1">
        <f t="array" ref="BF19">_xlfn.IFERROR(O19-E19+Q19,"N/A")</f>
        <v>N/A</v>
      </c>
      <c r="BG19" t="str" s="689" cm="1">
        <f t="array" ref="BG19">_xlfn.IFERROR(BF19*0.5%,"N/A")</f>
        <v>N/A</v>
      </c>
      <c r="BH19" t="str" s="689" cm="1">
        <f t="array" ref="BH19">_xlfn.IFERROR(BF19*25%,"N/A")</f>
        <v>N/A</v>
      </c>
      <c r="BI19" t="str" s="673" cm="1">
        <f t="array" ref="BI19">IF(B19&gt;0,SUM(BF19:BH19),"N/A")</f>
        <v>N/A</v>
      </c>
      <c r="BJ19" t="str" s="673" cm="1">
        <f t="array" ref="BJ19">_xlfn.IFERROR((BI19-AVERAGE(BI6:BI11)),"N/A")</f>
        <v>N/A</v>
      </c>
      <c r="BK19" s="424"/>
      <c r="BL19" s="688"/>
      <c r="BM19" s="688"/>
      <c r="BN19" s="688"/>
      <c r="BO19" s="688"/>
      <c r="BP19" s="688"/>
      <c r="BQ19" s="688"/>
      <c r="BR19" s="688"/>
      <c r="BS19" s="692"/>
    </row>
    <row r="20" ht="15" customHeight="1">
      <c r="A20" s="12"/>
      <c r="B20" s="693">
        <v>0</v>
      </c>
      <c r="C20" t="str" s="689" cm="1">
        <f t="array" ref="C20">IF(B20&gt;0,IF(VLOOKUP(C1,'Boats Data Sheet 2026'!$C$3:$J$57,8,0)="N/A",0,VLOOKUP(C1,'Boats Data Sheet 2026'!$C$3:$J$57,8,0)),"N/A")</f>
        <v>N/A</v>
      </c>
      <c r="D20" t="str" s="689" cm="1">
        <f t="array" ref="D20">IF(B20&gt;7,2,IF(B20=0,"N/A",1))</f>
        <v>N/A</v>
      </c>
      <c r="E20" t="str" s="689" cm="1">
        <f t="array" ref="E20">_xlfn.IFERROR(SUM('Direct Costs 2026'!$C$7:$C$8,'Direct Costs 2026'!$C$46)*D20,"N/A")</f>
        <v>N/A</v>
      </c>
      <c r="F20" s="688" cm="1">
        <f t="array" ref="F20">_xlfn.IFERROR('Direct Costs 2026'!$C$43*B20,"N/A")</f>
        <v>0</v>
      </c>
      <c r="G20" t="str" s="689" cm="1">
        <f t="array" ref="G20">IF(B20&gt;0,'Direct Costs 2026'!$C$25,"N/A")</f>
        <v>N/A</v>
      </c>
      <c r="H20" t="str" s="689" cm="1">
        <f t="array" ref="H20">IF(B20&gt;0,('Direct Costs 2026'!$C$14+'Direct Costs 2026'!$C$22),"N/A")</f>
        <v>N/A</v>
      </c>
      <c r="I20" t="str" s="689" cm="1">
        <f t="array" ref="I20">IF(B20&gt;0,'Direct Costs 2026'!$C$26,"N/A")</f>
        <v>N/A</v>
      </c>
      <c r="J20" t="str" s="689" cm="1">
        <f t="array" ref="J20">IF(B20&gt;0,'Direct Costs 2026'!$C$23,"N/A")</f>
        <v>N/A</v>
      </c>
      <c r="K20" t="str" s="689" cm="1">
        <f t="array" ref="K20">IF(B20&gt;0,'Direct Costs 2026'!$C$48*(B20),"N/A")</f>
        <v>N/A</v>
      </c>
      <c r="L20" t="str" s="689" cm="1">
        <f t="array" ref="L20">IF(B20&gt;0,'Direct Costs 2026'!$C$31,"N/A")</f>
        <v>N/A</v>
      </c>
      <c r="M20" t="str" s="689" cm="1">
        <f t="array" ref="M20">IF(B20&gt;0,IF(OR(VLOOKUP(C1,'Boats Data Sheet 2026'!$C$3:$F$57,4,0)="Own",VLOOKUP(C1,'Boats Data Sheet 2026'!$C$3:$F$57,4,0)="Management"),('Direct Costs 2026'!$C$37+'Direct Costs 2026'!$C$39),"N/A"),"N/A")</f>
        <v>N/A</v>
      </c>
      <c r="N20" s="688">
        <v>0</v>
      </c>
      <c r="O20" t="str" s="689" cm="1">
        <f t="array" ref="O20">_xlfn.IFERROR(C20+SUM(E20:N20),"N/A")</f>
        <v>N/A</v>
      </c>
      <c r="P20" s="424"/>
      <c r="Q20" t="str" s="689" cm="1">
        <f t="array" ref="Q20">IF(B20&gt;0,'Allocation OH and Target 2026'!$E$31,"N/A")</f>
        <v>N/A</v>
      </c>
      <c r="R20" t="str" s="689" cm="1">
        <f t="array" ref="R20">IF(B20&gt;0,'Direct Costs 2026'!$C$55*B20,"N/A")</f>
        <v>N/A</v>
      </c>
      <c r="S20" t="str" s="689" cm="1">
        <f t="array" ref="S20">_xlfn.IFERROR((Q20+R20),"N/A")</f>
        <v>N/A</v>
      </c>
      <c r="T20" s="424"/>
      <c r="U20" t="str" s="689" cm="1">
        <f t="array" ref="U20">_xlfn.IFERROR(S20+O20,"N/A")</f>
        <v>N/A</v>
      </c>
      <c r="V20" s="688"/>
      <c r="W20" t="str" s="689" cm="1">
        <f t="array" ref="W20">IF(B20&gt;0,'Direct Costs 2026'!$C$9,"N/A")</f>
        <v>N/A</v>
      </c>
      <c r="X20" s="688">
        <v>0</v>
      </c>
      <c r="Y20" t="str" s="689" cm="1">
        <f t="array" ref="Y20">_xlfn.IFERROR((U20+W20)*0.5%,"N/A")</f>
        <v>N/A</v>
      </c>
      <c r="Z20" t="str" s="689" cm="1">
        <f t="array" ref="Z20">_xlfn.IFERROR((U20+W20+Y20+X20+V20)*25%,"N/A")</f>
        <v>N/A</v>
      </c>
      <c r="AA20" t="str" s="689" cm="1">
        <f t="array" ref="AA20">IF(B20&gt;0,SUM(U20:Z20),"N/A")</f>
        <v>N/A</v>
      </c>
      <c r="AB20" t="str" s="689" cm="1">
        <f t="array" ref="AB20">_xlfn.IFERROR((AA20-AVERAGE(AA6:AA11)),"N/A")</f>
        <v>N/A</v>
      </c>
      <c r="AC20" t="str" s="673" cm="1">
        <f t="array" ref="AC20">_xlfn.IFERROR(AB20-BJ20,"N/A")</f>
        <v>N/A</v>
      </c>
      <c r="AD20" t="str" s="673" cm="1">
        <f t="array" ref="AD20">_xlfn.IFERROR(ROUND(AC20*B20,-4),"N/A")</f>
        <v>N/A</v>
      </c>
      <c r="AE20" s="424"/>
      <c r="AF20" t="s" s="695">
        <v>14</v>
      </c>
      <c r="AG20" t="str" s="689" cm="1">
        <f t="array" ref="AG20">_xlfn.IFERROR(SUM('Direct Costs 2026'!$C$7:$C$8,'Direct Costs 2026'!$C$46)*AF20,"N/A")</f>
        <v>N/A</v>
      </c>
      <c r="AH20" s="688"/>
      <c r="AI20" t="str" s="689" cm="1">
        <f t="array" ref="AI20">IF(B20&gt;0,'Direct Costs 2026'!$C$9,"N/A")</f>
        <v>N/A</v>
      </c>
      <c r="AJ20" t="str" s="689" cm="1">
        <f t="array" ref="AJ20">_xlfn.IFERROR((U20-E20+AG20+AI20+AH20),"N/A")</f>
        <v>N/A</v>
      </c>
      <c r="AK20" t="str" s="689" cm="1">
        <f t="array" ref="AK20">_xlfn.IFERROR((AI20+AJ20)*0.5%,"N/A")</f>
        <v>N/A</v>
      </c>
      <c r="AL20" t="str" s="689" cm="1">
        <f t="array" ref="AL20">_xlfn.IFERROR((AI20+AJ20+AK20)*25%,"N/A")</f>
        <v>N/A</v>
      </c>
      <c r="AM20" s="688" cm="1">
        <f t="array" ref="AM20">IF(AF20&gt;0,SUM(AJ20:AL20),"N/A")</f>
        <v>0</v>
      </c>
      <c r="AN20" t="s" s="695">
        <v>14</v>
      </c>
      <c r="AO20" t="str" s="673" cm="1">
        <f t="array" ref="AO20">_xlfn.IFERROR(AN20-BJ20,"N/A")</f>
        <v>N/A</v>
      </c>
      <c r="AP20" t="str" s="673" cm="1">
        <f t="array" ref="AP20">_xlfn.IFERROR(ROUND(AO20*B20,-4),"N/A")</f>
        <v>N/A</v>
      </c>
      <c r="AQ20" s="424"/>
      <c r="AR20" t="s" s="695">
        <v>14</v>
      </c>
      <c r="AS20" t="str" s="689" cm="1">
        <f t="array" ref="AS20">_xlfn.IFERROR(SUM('Direct Costs 2026'!$C$7:$C$8,'Direct Costs 2026'!$C$46)*AR20,"N/A")</f>
        <v>N/A</v>
      </c>
      <c r="AT20" t="str" s="689" cm="1">
        <f t="array" ref="AT20">IF($AQ20&gt;0,'Direct Costs 2026'!$C$53*$AQ20,"N/A")</f>
        <v>N/A</v>
      </c>
      <c r="AU20" t="str" s="689" cm="1">
        <f t="array" ref="AU20">IF($AQ20&gt;0,'Direct Costs 2026'!$C$54*$AQ20,"N/A")</f>
        <v>N/A</v>
      </c>
      <c r="AV20" s="688"/>
      <c r="AW20" t="str" s="689" cm="1">
        <f t="array" ref="AW20">IF(B20&gt;0,'Direct Costs 2026'!$C$9,"N/A")</f>
        <v>N/A</v>
      </c>
      <c r="AX20" t="str" s="689" cm="1">
        <f t="array" ref="AX20">_xlfn.IFERROR((U20-E20+AS20+AW20+AT20+AU20),"N/A")</f>
        <v>N/A</v>
      </c>
      <c r="AY20" t="str" s="689" cm="1">
        <f t="array" ref="AY20">_xlfn.IFERROR((AW20+AX20)*0.5%,"N/A")</f>
        <v>N/A</v>
      </c>
      <c r="AZ20" t="str" s="689" cm="1">
        <f t="array" ref="AZ20">_xlfn.IFERROR((AX20+AY20)*25%,"N/A")</f>
        <v>N/A</v>
      </c>
      <c r="BA20" t="str" s="689" cm="1">
        <f t="array" ref="BA20">IF(AQ20&gt;0,SUM(AX20:AZ20),"N/A")</f>
        <v>N/A</v>
      </c>
      <c r="BB20" t="str" s="689" cm="1">
        <f t="array" ref="BB20">_xlfn.IFERROR(BA20/AQ20,"N/A")</f>
        <v>N/A</v>
      </c>
      <c r="BC20" t="str" s="673" cm="1">
        <f t="array" ref="BC20">_xlfn.IFERROR(BB20-BJ20,"N/A")</f>
        <v>N/A</v>
      </c>
      <c r="BD20" t="str" s="673" cm="1">
        <f t="array" ref="BD20">_xlfn.IFERROR(ROUND(BC20*AQ20,-4),"N/A")</f>
        <v>N/A</v>
      </c>
      <c r="BE20" s="424"/>
      <c r="BF20" t="str" s="689" cm="1">
        <f t="array" ref="BF20">_xlfn.IFERROR(O20-E20+Q20,"N/A")</f>
        <v>N/A</v>
      </c>
      <c r="BG20" t="str" s="689" cm="1">
        <f t="array" ref="BG20">_xlfn.IFERROR(BF20*0.5%,"N/A")</f>
        <v>N/A</v>
      </c>
      <c r="BH20" t="str" s="689" cm="1">
        <f t="array" ref="BH20">_xlfn.IFERROR(BF20*25%,"N/A")</f>
        <v>N/A</v>
      </c>
      <c r="BI20" t="str" s="673" cm="1">
        <f t="array" ref="BI20">IF(B20&gt;0,SUM(BF20:BH20),"N/A")</f>
        <v>N/A</v>
      </c>
      <c r="BJ20" t="str" s="673" cm="1">
        <f t="array" ref="BJ20">_xlfn.IFERROR((BI20-AVERAGE(BI6:BI11)),"N/A")</f>
        <v>N/A</v>
      </c>
      <c r="BK20" s="424"/>
      <c r="BL20" s="688"/>
      <c r="BM20" s="688"/>
      <c r="BN20" s="688"/>
      <c r="BO20" s="688"/>
      <c r="BP20" s="688"/>
      <c r="BQ20" s="688"/>
      <c r="BR20" s="688"/>
      <c r="BS20" s="692"/>
    </row>
    <row r="21" ht="15" customHeight="1">
      <c r="A21" s="12"/>
      <c r="B21" s="693">
        <v>0</v>
      </c>
      <c r="C21" t="str" s="689" cm="1">
        <f t="array" ref="C21">IF(B21&gt;0,IF(VLOOKUP(C1,'Boats Data Sheet 2026'!$C$3:$J$57,8,0)="N/A",0,VLOOKUP(C1,'Boats Data Sheet 2026'!$C$3:$J$57,8,0)),"N/A")</f>
        <v>N/A</v>
      </c>
      <c r="D21" t="str" s="689" cm="1">
        <f t="array" ref="D21">IF(B21&gt;7,2,IF(B21=0,"N/A",1))</f>
        <v>N/A</v>
      </c>
      <c r="E21" t="str" s="689" cm="1">
        <f t="array" ref="E21">_xlfn.IFERROR(SUM('Direct Costs 2026'!$C$7:$C$8,'Direct Costs 2026'!$C$46)*D21,"N/A")</f>
        <v>N/A</v>
      </c>
      <c r="F21" s="688" cm="1">
        <f t="array" ref="F21">_xlfn.IFERROR('Direct Costs 2026'!$C$43*B21,"N/A")</f>
        <v>0</v>
      </c>
      <c r="G21" t="str" s="689" cm="1">
        <f t="array" ref="G21">IF(B21&gt;0,'Direct Costs 2026'!$C$25,"N/A")</f>
        <v>N/A</v>
      </c>
      <c r="H21" t="str" s="689" cm="1">
        <f t="array" ref="H21">IF(B21&gt;0,('Direct Costs 2026'!$C$14+'Direct Costs 2026'!$C$22),"N/A")</f>
        <v>N/A</v>
      </c>
      <c r="I21" t="str" s="689" cm="1">
        <f t="array" ref="I21">IF(B21&gt;0,'Direct Costs 2026'!$C$26,"N/A")</f>
        <v>N/A</v>
      </c>
      <c r="J21" t="str" s="689" cm="1">
        <f t="array" ref="J21">IF(B21&gt;0,'Direct Costs 2026'!$C$23,"N/A")</f>
        <v>N/A</v>
      </c>
      <c r="K21" t="str" s="689" cm="1">
        <f t="array" ref="K21">IF(B21&gt;0,'Direct Costs 2026'!$C$48*(B21),"N/A")</f>
        <v>N/A</v>
      </c>
      <c r="L21" t="str" s="689" cm="1">
        <f t="array" ref="L21">IF(B21&gt;0,'Direct Costs 2026'!$C$31,"N/A")</f>
        <v>N/A</v>
      </c>
      <c r="M21" t="str" s="689" cm="1">
        <f t="array" ref="M21">IF(B21&gt;0,IF(OR(VLOOKUP(C1,'Boats Data Sheet 2026'!$C$3:$F$57,4,0)="Own",VLOOKUP(C1,'Boats Data Sheet 2026'!$C$3:$F$57,4,0)="Management"),('Direct Costs 2026'!$C$37+'Direct Costs 2026'!$C$39),"N/A"),"N/A")</f>
        <v>N/A</v>
      </c>
      <c r="N21" s="688">
        <v>0</v>
      </c>
      <c r="O21" t="str" s="689" cm="1">
        <f t="array" ref="O21">_xlfn.IFERROR(C21+SUM(E21:N21),"N/A")</f>
        <v>N/A</v>
      </c>
      <c r="P21" s="424"/>
      <c r="Q21" t="str" s="689" cm="1">
        <f t="array" ref="Q21">IF(B21&gt;0,'Allocation OH and Target 2026'!$E$31,"N/A")</f>
        <v>N/A</v>
      </c>
      <c r="R21" t="str" s="689" cm="1">
        <f t="array" ref="R21">IF(B21&gt;0,'Direct Costs 2026'!$C$55*B21,"N/A")</f>
        <v>N/A</v>
      </c>
      <c r="S21" t="str" s="689" cm="1">
        <f t="array" ref="S21">_xlfn.IFERROR((Q21+R21),"N/A")</f>
        <v>N/A</v>
      </c>
      <c r="T21" s="424"/>
      <c r="U21" t="str" s="689" cm="1">
        <f t="array" ref="U21">_xlfn.IFERROR(S21+O21,"N/A")</f>
        <v>N/A</v>
      </c>
      <c r="V21" s="688"/>
      <c r="W21" t="str" s="689" cm="1">
        <f t="array" ref="W21">IF(B21&gt;0,'Direct Costs 2026'!$C$9,"N/A")</f>
        <v>N/A</v>
      </c>
      <c r="X21" s="688">
        <v>0</v>
      </c>
      <c r="Y21" t="str" s="689" cm="1">
        <f t="array" ref="Y21">_xlfn.IFERROR((U21+W21)*0.5%,"N/A")</f>
        <v>N/A</v>
      </c>
      <c r="Z21" t="str" s="689" cm="1">
        <f t="array" ref="Z21">_xlfn.IFERROR((U21+W21+Y21+X21+V21)*25%,"N/A")</f>
        <v>N/A</v>
      </c>
      <c r="AA21" t="str" s="689" cm="1">
        <f t="array" ref="AA21">IF(B21&gt;0,SUM(U21:Z21),"N/A")</f>
        <v>N/A</v>
      </c>
      <c r="AB21" t="str" s="689" cm="1">
        <f t="array" ref="AB21">_xlfn.IFERROR((AA21-AVERAGE(AA6:AA11)),"N/A")</f>
        <v>N/A</v>
      </c>
      <c r="AC21" t="str" s="673" cm="1">
        <f t="array" ref="AC21">_xlfn.IFERROR(AB21-BJ21,"N/A")</f>
        <v>N/A</v>
      </c>
      <c r="AD21" t="str" s="673" cm="1">
        <f t="array" ref="AD21">_xlfn.IFERROR(ROUND(AC21*B21,-4),"N/A")</f>
        <v>N/A</v>
      </c>
      <c r="AE21" s="424"/>
      <c r="AF21" t="s" s="695">
        <v>14</v>
      </c>
      <c r="AG21" t="str" s="689" cm="1">
        <f t="array" ref="AG21">_xlfn.IFERROR(SUM('Direct Costs 2026'!$C$7:$C$8,'Direct Costs 2026'!$C$46)*AF21,"N/A")</f>
        <v>N/A</v>
      </c>
      <c r="AH21" s="688"/>
      <c r="AI21" t="str" s="689" cm="1">
        <f t="array" ref="AI21">IF(B21&gt;0,'Direct Costs 2026'!$C$9,"N/A")</f>
        <v>N/A</v>
      </c>
      <c r="AJ21" t="str" s="689" cm="1">
        <f t="array" ref="AJ21">_xlfn.IFERROR((U21-E21+AG21+AI21+AH21),"N/A")</f>
        <v>N/A</v>
      </c>
      <c r="AK21" t="str" s="689" cm="1">
        <f t="array" ref="AK21">_xlfn.IFERROR((AI21+AJ21)*0.5%,"N/A")</f>
        <v>N/A</v>
      </c>
      <c r="AL21" t="str" s="689" cm="1">
        <f t="array" ref="AL21">_xlfn.IFERROR((AI21+AJ21+AK21)*25%,"N/A")</f>
        <v>N/A</v>
      </c>
      <c r="AM21" s="688" cm="1">
        <f t="array" ref="AM21">IF(AF21&gt;0,SUM(AJ21:AL21),"N/A")</f>
        <v>0</v>
      </c>
      <c r="AN21" t="s" s="695">
        <v>14</v>
      </c>
      <c r="AO21" t="str" s="673" cm="1">
        <f t="array" ref="AO21">_xlfn.IFERROR(AN21-BJ21,"N/A")</f>
        <v>N/A</v>
      </c>
      <c r="AP21" t="str" s="673" cm="1">
        <f t="array" ref="AP21">_xlfn.IFERROR(ROUND(AO21*B21,-4),"N/A")</f>
        <v>N/A</v>
      </c>
      <c r="AQ21" s="424"/>
      <c r="AR21" t="s" s="695">
        <v>14</v>
      </c>
      <c r="AS21" t="str" s="689" cm="1">
        <f t="array" ref="AS21">_xlfn.IFERROR(SUM('Direct Costs 2026'!$C$7:$C$8,'Direct Costs 2026'!$C$46)*AR21,"N/A")</f>
        <v>N/A</v>
      </c>
      <c r="AT21" t="str" s="689" cm="1">
        <f t="array" ref="AT21">IF($AQ21&gt;0,'Direct Costs 2026'!$C$53*$AQ21,"N/A")</f>
        <v>N/A</v>
      </c>
      <c r="AU21" t="str" s="689" cm="1">
        <f t="array" ref="AU21">IF($AQ21&gt;0,'Direct Costs 2026'!$C$54*$AQ21,"N/A")</f>
        <v>N/A</v>
      </c>
      <c r="AV21" s="688"/>
      <c r="AW21" t="str" s="689" cm="1">
        <f t="array" ref="AW21">IF(B21&gt;0,'Direct Costs 2026'!$C$9,"N/A")</f>
        <v>N/A</v>
      </c>
      <c r="AX21" t="str" s="689" cm="1">
        <f t="array" ref="AX21">_xlfn.IFERROR((U21-E21+AS21+AW21+AT21+AU21),"N/A")</f>
        <v>N/A</v>
      </c>
      <c r="AY21" t="str" s="689" cm="1">
        <f t="array" ref="AY21">_xlfn.IFERROR((AW21+AX21)*0.5%,"N/A")</f>
        <v>N/A</v>
      </c>
      <c r="AZ21" t="str" s="689" cm="1">
        <f t="array" ref="AZ21">_xlfn.IFERROR((AX21+AY21)*25%,"N/A")</f>
        <v>N/A</v>
      </c>
      <c r="BA21" t="str" s="689" cm="1">
        <f t="array" ref="BA21">IF(AQ21&gt;0,SUM(AX21:AZ21),"N/A")</f>
        <v>N/A</v>
      </c>
      <c r="BB21" t="str" s="689" cm="1">
        <f t="array" ref="BB21">_xlfn.IFERROR(BA21/AQ21,"N/A")</f>
        <v>N/A</v>
      </c>
      <c r="BC21" t="str" s="673" cm="1">
        <f t="array" ref="BC21">_xlfn.IFERROR(BB21-BJ21,"N/A")</f>
        <v>N/A</v>
      </c>
      <c r="BD21" t="str" s="673" cm="1">
        <f t="array" ref="BD21">_xlfn.IFERROR(ROUND(BC21*AQ21,-4),"N/A")</f>
        <v>N/A</v>
      </c>
      <c r="BE21" s="424"/>
      <c r="BF21" t="str" s="689" cm="1">
        <f t="array" ref="BF21">_xlfn.IFERROR(O21-E21+Q21,"N/A")</f>
        <v>N/A</v>
      </c>
      <c r="BG21" t="str" s="689" cm="1">
        <f t="array" ref="BG21">_xlfn.IFERROR(BF21*0.5%,"N/A")</f>
        <v>N/A</v>
      </c>
      <c r="BH21" t="str" s="689" cm="1">
        <f t="array" ref="BH21">_xlfn.IFERROR(BF21*25%,"N/A")</f>
        <v>N/A</v>
      </c>
      <c r="BI21" t="str" s="673" cm="1">
        <f t="array" ref="BI21">IF(B21&gt;0,SUM(BF21:BH21),"N/A")</f>
        <v>N/A</v>
      </c>
      <c r="BJ21" t="str" s="673" cm="1">
        <f t="array" ref="BJ21">_xlfn.IFERROR((BI21-AVERAGE(BI6:BI11)),"N/A")</f>
        <v>N/A</v>
      </c>
      <c r="BK21" s="424"/>
      <c r="BL21" s="688"/>
      <c r="BM21" s="688"/>
      <c r="BN21" s="688"/>
      <c r="BO21" s="688"/>
      <c r="BP21" s="688"/>
      <c r="BQ21" s="688"/>
      <c r="BR21" s="688"/>
      <c r="BS21" s="692"/>
    </row>
    <row r="22" ht="15" customHeight="1">
      <c r="A22" s="12"/>
      <c r="B22" s="693">
        <v>0</v>
      </c>
      <c r="C22" t="str" s="689" cm="1">
        <f t="array" ref="C22">IF(B22&gt;0,IF(VLOOKUP(C1,'Boats Data Sheet 2026'!$C$3:$J$57,8,0)="N/A",0,VLOOKUP(C1,'Boats Data Sheet 2026'!$C$3:$J$57,8,0)),"N/A")</f>
        <v>N/A</v>
      </c>
      <c r="D22" t="str" s="689" cm="1">
        <f t="array" ref="D22">IF(B22&gt;7,2,IF(B22=0,"N/A",1))</f>
        <v>N/A</v>
      </c>
      <c r="E22" t="str" s="689" cm="1">
        <f t="array" ref="E22">_xlfn.IFERROR(SUM('Direct Costs 2026'!$C$7:$C$8,'Direct Costs 2026'!$C$46)*D22,"N/A")</f>
        <v>N/A</v>
      </c>
      <c r="F22" s="688" cm="1">
        <f t="array" ref="F22">_xlfn.IFERROR('Direct Costs 2026'!$C$43*B22,"N/A")</f>
        <v>0</v>
      </c>
      <c r="G22" t="str" s="689" cm="1">
        <f t="array" ref="G22">IF(B22&gt;0,'Direct Costs 2026'!$C$25,"N/A")</f>
        <v>N/A</v>
      </c>
      <c r="H22" t="str" s="689" cm="1">
        <f t="array" ref="H22">IF(B22&gt;0,('Direct Costs 2026'!$C$14+'Direct Costs 2026'!$C$22),"N/A")</f>
        <v>N/A</v>
      </c>
      <c r="I22" t="str" s="689" cm="1">
        <f t="array" ref="I22">IF(B22&gt;0,'Direct Costs 2026'!$C$26,"N/A")</f>
        <v>N/A</v>
      </c>
      <c r="J22" t="str" s="689" cm="1">
        <f t="array" ref="J22">IF(B22&gt;0,'Direct Costs 2026'!$C$23,"N/A")</f>
        <v>N/A</v>
      </c>
      <c r="K22" t="str" s="689" cm="1">
        <f t="array" ref="K22">IF(B22&gt;0,'Direct Costs 2026'!$C$48*(B22),"N/A")</f>
        <v>N/A</v>
      </c>
      <c r="L22" t="str" s="689" cm="1">
        <f t="array" ref="L22">IF(B22&gt;0,'Direct Costs 2026'!$C$31,"N/A")</f>
        <v>N/A</v>
      </c>
      <c r="M22" t="str" s="689" cm="1">
        <f t="array" ref="M22">IF(B22&gt;0,IF(OR(VLOOKUP(C1,'Boats Data Sheet 2026'!$C$3:$F$57,4,0)="Own",VLOOKUP(C1,'Boats Data Sheet 2026'!$C$3:$F$57,4,0)="Management"),('Direct Costs 2026'!$C$37+'Direct Costs 2026'!$C$39),"N/A"),"N/A")</f>
        <v>N/A</v>
      </c>
      <c r="N22" s="688">
        <v>0</v>
      </c>
      <c r="O22" t="str" s="689" cm="1">
        <f t="array" ref="O22">_xlfn.IFERROR(C22+SUM(E22:N22),"N/A")</f>
        <v>N/A</v>
      </c>
      <c r="P22" s="424"/>
      <c r="Q22" t="str" s="689" cm="1">
        <f t="array" ref="Q22">IF(B22&gt;0,'Allocation OH and Target 2026'!$E$31,"N/A")</f>
        <v>N/A</v>
      </c>
      <c r="R22" t="str" s="689" cm="1">
        <f t="array" ref="R22">IF(B22&gt;0,'Direct Costs 2026'!$C$55*B22,"N/A")</f>
        <v>N/A</v>
      </c>
      <c r="S22" t="str" s="689" cm="1">
        <f t="array" ref="S22">_xlfn.IFERROR((Q22+R22),"N/A")</f>
        <v>N/A</v>
      </c>
      <c r="T22" s="424"/>
      <c r="U22" t="str" s="689" cm="1">
        <f t="array" ref="U22">_xlfn.IFERROR(S22+O22,"N/A")</f>
        <v>N/A</v>
      </c>
      <c r="V22" s="688"/>
      <c r="W22" t="str" s="689" cm="1">
        <f t="array" ref="W22">IF(B22&gt;0,'Direct Costs 2026'!$C$9,"N/A")</f>
        <v>N/A</v>
      </c>
      <c r="X22" s="688">
        <v>0</v>
      </c>
      <c r="Y22" t="str" s="689" cm="1">
        <f t="array" ref="Y22">_xlfn.IFERROR((U22+W22)*0.5%,"N/A")</f>
        <v>N/A</v>
      </c>
      <c r="Z22" t="str" s="689" cm="1">
        <f t="array" ref="Z22">_xlfn.IFERROR((U22+W22+Y22+X22+V22)*25%,"N/A")</f>
        <v>N/A</v>
      </c>
      <c r="AA22" t="str" s="689" cm="1">
        <f t="array" ref="AA22">IF(B22&gt;0,SUM(U22:Z22),"N/A")</f>
        <v>N/A</v>
      </c>
      <c r="AB22" t="str" s="689" cm="1">
        <f t="array" ref="AB22">_xlfn.IFERROR((AA22-AVERAGE(AA6:AA11)),"N/A")</f>
        <v>N/A</v>
      </c>
      <c r="AC22" t="str" s="673" cm="1">
        <f t="array" ref="AC22">_xlfn.IFERROR(AB22-BJ22,"N/A")</f>
        <v>N/A</v>
      </c>
      <c r="AD22" t="str" s="673" cm="1">
        <f t="array" ref="AD22">_xlfn.IFERROR(ROUND(AC22*B22,-4),"N/A")</f>
        <v>N/A</v>
      </c>
      <c r="AE22" s="424"/>
      <c r="AF22" t="s" s="695">
        <v>14</v>
      </c>
      <c r="AG22" t="str" s="689" cm="1">
        <f t="array" ref="AG22">_xlfn.IFERROR(SUM('Direct Costs 2026'!$C$7:$C$8,'Direct Costs 2026'!$C$46)*AF22,"N/A")</f>
        <v>N/A</v>
      </c>
      <c r="AH22" s="688"/>
      <c r="AI22" t="str" s="689" cm="1">
        <f t="array" ref="AI22">IF(B22&gt;0,'Direct Costs 2026'!$C$9,"N/A")</f>
        <v>N/A</v>
      </c>
      <c r="AJ22" t="str" s="689" cm="1">
        <f t="array" ref="AJ22">_xlfn.IFERROR((U22-E22+AG22+AI22+AH22),"N/A")</f>
        <v>N/A</v>
      </c>
      <c r="AK22" t="str" s="689" cm="1">
        <f t="array" ref="AK22">_xlfn.IFERROR((AI22+AJ22)*0.5%,"N/A")</f>
        <v>N/A</v>
      </c>
      <c r="AL22" t="str" s="689" cm="1">
        <f t="array" ref="AL22">_xlfn.IFERROR((AI22+AJ22+AK22)*25%,"N/A")</f>
        <v>N/A</v>
      </c>
      <c r="AM22" s="688" cm="1">
        <f t="array" ref="AM22">IF(AF22&gt;0,SUM(AJ22:AL22),"N/A")</f>
        <v>0</v>
      </c>
      <c r="AN22" t="s" s="695">
        <v>14</v>
      </c>
      <c r="AO22" t="str" s="673" cm="1">
        <f t="array" ref="AO22">_xlfn.IFERROR(AN22-BJ22,"N/A")</f>
        <v>N/A</v>
      </c>
      <c r="AP22" t="str" s="673" cm="1">
        <f t="array" ref="AP22">_xlfn.IFERROR(ROUND(AO22*B22,-4),"N/A")</f>
        <v>N/A</v>
      </c>
      <c r="AQ22" s="424"/>
      <c r="AR22" t="s" s="695">
        <v>14</v>
      </c>
      <c r="AS22" t="str" s="689" cm="1">
        <f t="array" ref="AS22">_xlfn.IFERROR(SUM('Direct Costs 2026'!$C$7:$C$8,'Direct Costs 2026'!$C$46)*AR22,"N/A")</f>
        <v>N/A</v>
      </c>
      <c r="AT22" t="str" s="689" cm="1">
        <f t="array" ref="AT22">IF($AQ22&gt;0,'Direct Costs 2026'!$C$53*$AQ22,"N/A")</f>
        <v>N/A</v>
      </c>
      <c r="AU22" t="str" s="689" cm="1">
        <f t="array" ref="AU22">IF($AQ22&gt;0,'Direct Costs 2026'!$C$54*$AQ22,"N/A")</f>
        <v>N/A</v>
      </c>
      <c r="AV22" s="688"/>
      <c r="AW22" t="str" s="689" cm="1">
        <f t="array" ref="AW22">IF(B22&gt;0,'Direct Costs 2026'!$C$9,"N/A")</f>
        <v>N/A</v>
      </c>
      <c r="AX22" t="str" s="689" cm="1">
        <f t="array" ref="AX22">_xlfn.IFERROR((U22-E22+AS22+AW22+AT22+AU22),"N/A")</f>
        <v>N/A</v>
      </c>
      <c r="AY22" t="str" s="689" cm="1">
        <f t="array" ref="AY22">_xlfn.IFERROR((AW22+AX22)*0.5%,"N/A")</f>
        <v>N/A</v>
      </c>
      <c r="AZ22" t="str" s="689" cm="1">
        <f t="array" ref="AZ22">_xlfn.IFERROR((AX22+AY22)*25%,"N/A")</f>
        <v>N/A</v>
      </c>
      <c r="BA22" t="str" s="689" cm="1">
        <f t="array" ref="BA22">IF(AQ22&gt;0,SUM(AX22:AZ22),"N/A")</f>
        <v>N/A</v>
      </c>
      <c r="BB22" t="str" s="689" cm="1">
        <f t="array" ref="BB22">_xlfn.IFERROR(BA22/AQ22,"N/A")</f>
        <v>N/A</v>
      </c>
      <c r="BC22" t="str" s="673" cm="1">
        <f t="array" ref="BC22">_xlfn.IFERROR(BB22-BJ22,"N/A")</f>
        <v>N/A</v>
      </c>
      <c r="BD22" t="str" s="673" cm="1">
        <f t="array" ref="BD22">_xlfn.IFERROR(ROUND(BC22*AQ22,-4),"N/A")</f>
        <v>N/A</v>
      </c>
      <c r="BE22" s="424"/>
      <c r="BF22" t="str" s="689" cm="1">
        <f t="array" ref="BF22">_xlfn.IFERROR(O22-E22+Q22,"N/A")</f>
        <v>N/A</v>
      </c>
      <c r="BG22" t="str" s="689" cm="1">
        <f t="array" ref="BG22">_xlfn.IFERROR(BF22*0.5%,"N/A")</f>
        <v>N/A</v>
      </c>
      <c r="BH22" t="str" s="689" cm="1">
        <f t="array" ref="BH22">_xlfn.IFERROR(BF22*25%,"N/A")</f>
        <v>N/A</v>
      </c>
      <c r="BI22" t="str" s="673" cm="1">
        <f t="array" ref="BI22">IF(B22&gt;0,SUM(BF22:BH22),"N/A")</f>
        <v>N/A</v>
      </c>
      <c r="BJ22" t="str" s="673" cm="1">
        <f t="array" ref="BJ22">_xlfn.IFERROR((BI22-AVERAGE(BI6:BI11)),"N/A")</f>
        <v>N/A</v>
      </c>
      <c r="BK22" s="424"/>
      <c r="BL22" s="688"/>
      <c r="BM22" s="688"/>
      <c r="BN22" s="688"/>
      <c r="BO22" s="688"/>
      <c r="BP22" s="688"/>
      <c r="BQ22" s="688"/>
      <c r="BR22" s="688"/>
      <c r="BS22" s="692"/>
    </row>
    <row r="23" ht="15.5" customHeight="1">
      <c r="A23" s="12"/>
      <c r="B23" s="696">
        <v>0</v>
      </c>
      <c r="C23" t="str" s="697" cm="1">
        <f t="array" ref="C23">IF(B23&gt;0,IF(VLOOKUP(C1,'Boats Data Sheet 2026'!$C$3:$J$57,8,0)="N/A",0,VLOOKUP(C1,'Boats Data Sheet 2026'!$C$3:$J$57,8,0)),"N/A")</f>
        <v>N/A</v>
      </c>
      <c r="D23" t="str" s="697" cm="1">
        <f t="array" ref="D23">IF(B23&gt;7,2,IF(B23=0,"N/A",1))</f>
        <v>N/A</v>
      </c>
      <c r="E23" t="str" s="697" cm="1">
        <f t="array" ref="E23">_xlfn.IFERROR(SUM('Direct Costs 2026'!$C$7:$C$8,'Direct Costs 2026'!$C$46)*D23,"N/A")</f>
        <v>N/A</v>
      </c>
      <c r="F23" s="698" cm="1">
        <f t="array" ref="F23">_xlfn.IFERROR('Direct Costs 2026'!$C$43*B23,"N/A")</f>
        <v>0</v>
      </c>
      <c r="G23" t="str" s="697" cm="1">
        <f t="array" ref="G23">IF(B23&gt;0,'Direct Costs 2026'!$C$25,"N/A")</f>
        <v>N/A</v>
      </c>
      <c r="H23" t="str" s="697" cm="1">
        <f t="array" ref="H23">IF(B23&gt;0,('Direct Costs 2026'!$C$14+'Direct Costs 2026'!$C$22),"N/A")</f>
        <v>N/A</v>
      </c>
      <c r="I23" t="str" s="697" cm="1">
        <f t="array" ref="I23">IF(B23&gt;0,'Direct Costs 2026'!$C$26,"N/A")</f>
        <v>N/A</v>
      </c>
      <c r="J23" t="str" s="697" cm="1">
        <f t="array" ref="J23">IF(B23&gt;0,'Direct Costs 2026'!$C$23,"N/A")</f>
        <v>N/A</v>
      </c>
      <c r="K23" t="str" s="697" cm="1">
        <f t="array" ref="K23">IF(B23&gt;0,'Direct Costs 2026'!$C$48*(B23),"N/A")</f>
        <v>N/A</v>
      </c>
      <c r="L23" t="str" s="697" cm="1">
        <f t="array" ref="L23">IF(B23&gt;0,'Direct Costs 2026'!$C$31,"N/A")</f>
        <v>N/A</v>
      </c>
      <c r="M23" t="str" s="697" cm="1">
        <f t="array" ref="M23">IF(B23&gt;0,IF(OR(VLOOKUP(C1,'Boats Data Sheet 2026'!$C$3:$F$57,4,0)="Own",VLOOKUP(C1,'Boats Data Sheet 2026'!$C$3:$F$57,4,0)="Management"),('Direct Costs 2026'!$C$37+'Direct Costs 2026'!$C$39),"N/A"),"N/A")</f>
        <v>N/A</v>
      </c>
      <c r="N23" s="698">
        <v>0</v>
      </c>
      <c r="O23" t="str" s="697" cm="1">
        <f t="array" ref="O23">_xlfn.IFERROR(C23+SUM(E23:N23),"N/A")</f>
        <v>N/A</v>
      </c>
      <c r="P23" s="435"/>
      <c r="Q23" t="str" s="697" cm="1">
        <f t="array" ref="Q23">IF(B23&gt;0,'Allocation OH and Target 2026'!$E$31,"N/A")</f>
        <v>N/A</v>
      </c>
      <c r="R23" t="str" s="697" cm="1">
        <f t="array" ref="R23">IF(B23&gt;0,'Direct Costs 2026'!$C$55*B23,"N/A")</f>
        <v>N/A</v>
      </c>
      <c r="S23" t="str" s="697" cm="1">
        <f t="array" ref="S23">_xlfn.IFERROR((Q23+R23),"N/A")</f>
        <v>N/A</v>
      </c>
      <c r="T23" s="435"/>
      <c r="U23" t="str" s="697" cm="1">
        <f t="array" ref="U23">_xlfn.IFERROR(S23+O23,"N/A")</f>
        <v>N/A</v>
      </c>
      <c r="V23" s="698"/>
      <c r="W23" t="str" s="697" cm="1">
        <f t="array" ref="W23">IF(B23&gt;0,'Direct Costs 2026'!$C$9,"N/A")</f>
        <v>N/A</v>
      </c>
      <c r="X23" s="698">
        <v>0</v>
      </c>
      <c r="Y23" t="str" s="697" cm="1">
        <f t="array" ref="Y23">_xlfn.IFERROR((U23+W23)*0.5%,"N/A")</f>
        <v>N/A</v>
      </c>
      <c r="Z23" t="str" s="697" cm="1">
        <f t="array" ref="Z23">_xlfn.IFERROR((U23+W23+Y23+X23+V23)*25%,"N/A")</f>
        <v>N/A</v>
      </c>
      <c r="AA23" t="str" s="697" cm="1">
        <f t="array" ref="AA23">IF(B23&gt;0,SUM(U23:Z23),"N/A")</f>
        <v>N/A</v>
      </c>
      <c r="AB23" t="str" s="697" cm="1">
        <f t="array" ref="AB23">_xlfn.IFERROR((AA23-AVERAGE(AA6:AA11)),"N/A")</f>
        <v>N/A</v>
      </c>
      <c r="AC23" t="str" s="699" cm="1">
        <f t="array" ref="AC23">_xlfn.IFERROR(AB23-BJ23,"N/A")</f>
        <v>N/A</v>
      </c>
      <c r="AD23" t="str" s="699" cm="1">
        <f t="array" ref="AD23">_xlfn.IFERROR(ROUND(AC23*B23,-4),"N/A")</f>
        <v>N/A</v>
      </c>
      <c r="AE23" s="435"/>
      <c r="AF23" t="s" s="700">
        <v>14</v>
      </c>
      <c r="AG23" t="str" s="697" cm="1">
        <f t="array" ref="AG23">_xlfn.IFERROR(SUM('Direct Costs 2026'!$C$7:$C$8,'Direct Costs 2026'!$C$46)*AF23,"N/A")</f>
        <v>N/A</v>
      </c>
      <c r="AH23" s="698"/>
      <c r="AI23" t="str" s="697" cm="1">
        <f t="array" ref="AI23">IF(B23&gt;0,'Direct Costs 2026'!$C$9,"N/A")</f>
        <v>N/A</v>
      </c>
      <c r="AJ23" t="str" s="697" cm="1">
        <f t="array" ref="AJ23">_xlfn.IFERROR((U23-E23+AG23+AI23+AH23),"N/A")</f>
        <v>N/A</v>
      </c>
      <c r="AK23" t="str" s="697" cm="1">
        <f t="array" ref="AK23">_xlfn.IFERROR((AI23+AJ23)*0.5%,"N/A")</f>
        <v>N/A</v>
      </c>
      <c r="AL23" t="str" s="697" cm="1">
        <f t="array" ref="AL23">_xlfn.IFERROR((AI23+AJ23+AK23)*25%,"N/A")</f>
        <v>N/A</v>
      </c>
      <c r="AM23" s="698" cm="1">
        <f t="array" ref="AM23">IF(AF23&gt;0,SUM(AJ23:AL23),"N/A")</f>
        <v>0</v>
      </c>
      <c r="AN23" t="s" s="700">
        <v>14</v>
      </c>
      <c r="AO23" t="str" s="699" cm="1">
        <f t="array" ref="AO23">_xlfn.IFERROR(AN23-BJ23,"N/A")</f>
        <v>N/A</v>
      </c>
      <c r="AP23" t="str" s="699" cm="1">
        <f t="array" ref="AP23">_xlfn.IFERROR(ROUND(AO23*B23,-4),"N/A")</f>
        <v>N/A</v>
      </c>
      <c r="AQ23" s="435"/>
      <c r="AR23" t="s" s="700">
        <v>14</v>
      </c>
      <c r="AS23" t="str" s="697" cm="1">
        <f t="array" ref="AS23">_xlfn.IFERROR(SUM('Direct Costs 2026'!$C$7:$C$8,'Direct Costs 2026'!$C$46)*AR23,"N/A")</f>
        <v>N/A</v>
      </c>
      <c r="AT23" t="str" s="697" cm="1">
        <f t="array" ref="AT23">IF($AQ23&gt;0,'Direct Costs 2026'!$C$53*$AQ23,"N/A")</f>
        <v>N/A</v>
      </c>
      <c r="AU23" t="str" s="697" cm="1">
        <f t="array" ref="AU23">IF($AQ23&gt;0,'Direct Costs 2026'!$C$54*$AQ23,"N/A")</f>
        <v>N/A</v>
      </c>
      <c r="AV23" s="698"/>
      <c r="AW23" t="str" s="697" cm="1">
        <f t="array" ref="AW23">IF(B23&gt;0,'Direct Costs 2026'!$C$9,"N/A")</f>
        <v>N/A</v>
      </c>
      <c r="AX23" t="str" s="697" cm="1">
        <f t="array" ref="AX23">_xlfn.IFERROR((U23-E23+AS23+AW23+AT23+AU23),"N/A")</f>
        <v>N/A</v>
      </c>
      <c r="AY23" t="str" s="697" cm="1">
        <f t="array" ref="AY23">_xlfn.IFERROR((AW23+AX23)*0.5%,"N/A")</f>
        <v>N/A</v>
      </c>
      <c r="AZ23" t="str" s="697" cm="1">
        <f t="array" ref="AZ23">_xlfn.IFERROR((AX23+AY23)*25%,"N/A")</f>
        <v>N/A</v>
      </c>
      <c r="BA23" t="str" s="697" cm="1">
        <f t="array" ref="BA23">IF(AQ23&gt;0,SUM(AX23:AZ23),"N/A")</f>
        <v>N/A</v>
      </c>
      <c r="BB23" t="str" s="697" cm="1">
        <f t="array" ref="BB23">_xlfn.IFERROR(BA23/AQ23,"N/A")</f>
        <v>N/A</v>
      </c>
      <c r="BC23" t="str" s="699" cm="1">
        <f t="array" ref="BC23">_xlfn.IFERROR(BB23-BJ23,"N/A")</f>
        <v>N/A</v>
      </c>
      <c r="BD23" t="str" s="699" cm="1">
        <f t="array" ref="BD23">_xlfn.IFERROR(ROUND(BC23*AQ23,-4),"N/A")</f>
        <v>N/A</v>
      </c>
      <c r="BE23" s="435"/>
      <c r="BF23" t="str" s="697" cm="1">
        <f t="array" ref="BF23">_xlfn.IFERROR(O23-E23+Q23,"N/A")</f>
        <v>N/A</v>
      </c>
      <c r="BG23" t="str" s="697" cm="1">
        <f t="array" ref="BG23">_xlfn.IFERROR(BF23*0.5%,"N/A")</f>
        <v>N/A</v>
      </c>
      <c r="BH23" t="str" s="697" cm="1">
        <f t="array" ref="BH23">_xlfn.IFERROR(BF23*25%,"N/A")</f>
        <v>N/A</v>
      </c>
      <c r="BI23" t="str" s="699" cm="1">
        <f t="array" ref="BI23">IF(B23&gt;0,SUM(BF23:BH23),"N/A")</f>
        <v>N/A</v>
      </c>
      <c r="BJ23" t="str" s="699" cm="1">
        <f t="array" ref="BJ23">_xlfn.IFERROR((BI23-AVERAGE(BI6:BI11)),"N/A")</f>
        <v>N/A</v>
      </c>
      <c r="BK23" s="435"/>
      <c r="BL23" s="698"/>
      <c r="BM23" s="698"/>
      <c r="BN23" s="698"/>
      <c r="BO23" s="698"/>
      <c r="BP23" s="698"/>
      <c r="BQ23" s="698"/>
      <c r="BR23" s="698"/>
      <c r="BS23" s="701"/>
    </row>
    <row r="24" ht="15" customHeight="1">
      <c r="A24" s="32"/>
      <c r="B24" s="124"/>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702"/>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313"/>
    </row>
    <row r="25" ht="15" customHeight="1">
      <c r="A25" s="32"/>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703"/>
      <c r="AC25" s="17"/>
      <c r="AD25" s="17"/>
      <c r="AE25" s="17"/>
      <c r="AF25" s="17"/>
      <c r="AG25" s="17"/>
      <c r="AH25" s="17"/>
      <c r="AI25" s="17"/>
      <c r="AJ25" s="17"/>
      <c r="AK25" s="17"/>
      <c r="AL25" s="17"/>
      <c r="AM25" s="17"/>
      <c r="AN25" s="703"/>
      <c r="AO25" s="17"/>
      <c r="AP25" s="171" cm="1">
        <f t="array" ref="AP25">AP6</f>
        <v>2330000</v>
      </c>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8"/>
    </row>
    <row r="26" ht="15" customHeight="1">
      <c r="A26" s="32"/>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704"/>
      <c r="AB26" t="s" s="705">
        <v>633</v>
      </c>
      <c r="AC26" s="706"/>
      <c r="AD26" s="31"/>
      <c r="AE26" s="17"/>
      <c r="AF26" s="17"/>
      <c r="AG26" s="17"/>
      <c r="AH26" s="17"/>
      <c r="AI26" s="17"/>
      <c r="AJ26" s="17"/>
      <c r="AK26" s="17"/>
      <c r="AL26" s="17"/>
      <c r="AM26" s="704"/>
      <c r="AN26" t="s" s="705">
        <v>633</v>
      </c>
      <c r="AO26" s="706"/>
      <c r="AP26" s="171" cm="1">
        <f t="array" ref="AP26">AP7</f>
        <v>4120000</v>
      </c>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8"/>
    </row>
    <row r="27" ht="16" customHeight="1">
      <c r="A27" s="32"/>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704"/>
      <c r="AB27" s="707" cm="1">
        <f t="array" ref="AB27">AB11*0.85</f>
        <v>3442500</v>
      </c>
      <c r="AC27" s="706"/>
      <c r="AD27" s="31"/>
      <c r="AE27" s="17"/>
      <c r="AF27" s="17"/>
      <c r="AG27" s="17"/>
      <c r="AH27" s="17"/>
      <c r="AI27" s="17"/>
      <c r="AJ27" s="17"/>
      <c r="AK27" s="17"/>
      <c r="AL27" s="17"/>
      <c r="AM27" s="704"/>
      <c r="AN27" s="707" cm="1">
        <f t="array" ref="AN27">AN11*0.85</f>
        <v>4165000</v>
      </c>
      <c r="AO27" s="706"/>
      <c r="AP27" s="171" cm="1">
        <f t="array" ref="AP27">AP8</f>
        <v>6350000</v>
      </c>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8"/>
    </row>
    <row r="28" ht="15" customHeight="1">
      <c r="A28" s="32"/>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704"/>
      <c r="AB28" s="708" cm="1">
        <f t="array" ref="AB28">AB27/0.7</f>
        <v>4917857.14285714</v>
      </c>
      <c r="AC28" s="706"/>
      <c r="AD28" s="31"/>
      <c r="AE28" s="17"/>
      <c r="AF28" s="17"/>
      <c r="AG28" s="17"/>
      <c r="AH28" s="17"/>
      <c r="AI28" s="17"/>
      <c r="AJ28" s="17"/>
      <c r="AK28" s="17"/>
      <c r="AL28" s="17"/>
      <c r="AM28" s="704"/>
      <c r="AN28" s="708" cm="1">
        <f t="array" ref="AN28">AN27/0.75</f>
        <v>5553333.33333333</v>
      </c>
      <c r="AO28" s="706"/>
      <c r="AP28" s="171" cm="1">
        <f t="array" ref="AP28">AP9</f>
        <v>8560000</v>
      </c>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8"/>
    </row>
    <row r="29" ht="15.5" customHeight="1">
      <c r="A29" s="32"/>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709"/>
      <c r="AC29" s="17"/>
      <c r="AD29" s="31"/>
      <c r="AE29" s="17"/>
      <c r="AF29" s="17"/>
      <c r="AG29" s="17"/>
      <c r="AH29" s="17"/>
      <c r="AI29" s="17"/>
      <c r="AJ29" s="17"/>
      <c r="AK29" s="17"/>
      <c r="AL29" s="17"/>
      <c r="AM29" s="17"/>
      <c r="AN29" s="710"/>
      <c r="AO29" s="17"/>
      <c r="AP29" s="171" cm="1">
        <f t="array" ref="AP29">AP10</f>
        <v>10810000</v>
      </c>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8"/>
    </row>
    <row r="30" ht="15" customHeight="1">
      <c r="A30" s="32"/>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704"/>
      <c r="AB30" t="s" s="705">
        <v>634</v>
      </c>
      <c r="AC30" s="706"/>
      <c r="AD30" s="31"/>
      <c r="AE30" s="17"/>
      <c r="AF30" s="17"/>
      <c r="AG30" s="17"/>
      <c r="AH30" s="17"/>
      <c r="AI30" s="17"/>
      <c r="AJ30" s="17"/>
      <c r="AK30" s="17"/>
      <c r="AL30" s="17"/>
      <c r="AM30" s="704"/>
      <c r="AN30" t="s" s="705">
        <v>634</v>
      </c>
      <c r="AO30" s="706"/>
      <c r="AP30" s="171" cm="1">
        <f t="array" ref="AP30">AP11</f>
        <v>13040000</v>
      </c>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8"/>
    </row>
    <row r="31" ht="16" customHeight="1">
      <c r="A31" s="32"/>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704"/>
      <c r="AB31" s="707" cm="1">
        <f t="array" ref="AB31">(AB11-1000000)</f>
        <v>3050000</v>
      </c>
      <c r="AC31" s="706"/>
      <c r="AD31" s="31"/>
      <c r="AE31" s="17"/>
      <c r="AF31" s="17"/>
      <c r="AG31" s="17"/>
      <c r="AH31" s="17"/>
      <c r="AI31" s="17"/>
      <c r="AJ31" s="17"/>
      <c r="AK31" s="17"/>
      <c r="AL31" s="17"/>
      <c r="AM31" s="704"/>
      <c r="AN31" s="707" cm="1">
        <f t="array" ref="AN31">ROUND((AN11-1000000),-2)</f>
        <v>3900000</v>
      </c>
      <c r="AO31" s="706"/>
      <c r="AP31" t="str" s="17" cm="1">
        <f t="array" ref="AP31">AP12</f>
        <v>N/A</v>
      </c>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8"/>
    </row>
    <row r="32" ht="15" customHeight="1">
      <c r="A32" s="32"/>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704"/>
      <c r="AB32" s="708" cm="1">
        <f t="array" ref="AB32">AB11</f>
        <v>4050000</v>
      </c>
      <c r="AC32" s="706"/>
      <c r="AD32" s="31"/>
      <c r="AE32" s="17"/>
      <c r="AF32" s="17"/>
      <c r="AG32" s="17"/>
      <c r="AH32" s="17"/>
      <c r="AI32" s="17"/>
      <c r="AJ32" s="17"/>
      <c r="AK32" s="17"/>
      <c r="AL32" s="17"/>
      <c r="AM32" s="704"/>
      <c r="AN32" s="708" cm="1">
        <f t="array" ref="AN32">ROUND(AN11,-2)</f>
        <v>4900000</v>
      </c>
      <c r="AO32" s="706"/>
      <c r="AP32" t="str" s="17" cm="1">
        <f t="array" ref="AP32">AP13</f>
        <v>N/A</v>
      </c>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8"/>
    </row>
    <row r="33" ht="15.5" customHeight="1">
      <c r="A33" s="32"/>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711"/>
      <c r="AC33" s="17"/>
      <c r="AD33" s="31"/>
      <c r="AE33" s="17"/>
      <c r="AF33" s="17"/>
      <c r="AG33" s="17"/>
      <c r="AH33" s="17"/>
      <c r="AI33" s="17"/>
      <c r="AJ33" s="17"/>
      <c r="AK33" s="17"/>
      <c r="AL33" s="17"/>
      <c r="AM33" s="17"/>
      <c r="AN33" s="710"/>
      <c r="AO33" s="17"/>
      <c r="AP33" t="str" s="17" cm="1">
        <f t="array" ref="AP33">AP14</f>
        <v>N/A</v>
      </c>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8"/>
    </row>
    <row r="34" ht="15" customHeight="1">
      <c r="A34" s="32"/>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6"/>
      <c r="AC34" s="17"/>
      <c r="AD34" s="31"/>
      <c r="AE34" s="17"/>
      <c r="AF34" s="17"/>
      <c r="AG34" s="17"/>
      <c r="AH34" s="17"/>
      <c r="AI34" s="17"/>
      <c r="AJ34" s="17"/>
      <c r="AK34" s="17"/>
      <c r="AL34" s="17"/>
      <c r="AM34" s="704"/>
      <c r="AN34" t="s" s="705">
        <v>634</v>
      </c>
      <c r="AO34" s="706"/>
      <c r="AP34" t="str" s="17" cm="1">
        <f t="array" ref="AP34">AP15</f>
        <v>N/A</v>
      </c>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8"/>
    </row>
    <row r="35" ht="16" customHeight="1">
      <c r="A35" s="32"/>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6"/>
      <c r="AC35" s="17"/>
      <c r="AD35" s="31"/>
      <c r="AE35" s="17"/>
      <c r="AF35" s="17"/>
      <c r="AG35" s="17"/>
      <c r="AH35" s="17"/>
      <c r="AI35" s="17"/>
      <c r="AJ35" s="17"/>
      <c r="AK35" s="17"/>
      <c r="AL35" s="17"/>
      <c r="AM35" s="712">
        <v>1</v>
      </c>
      <c r="AN35" s="707" cm="1">
        <f t="array" ref="AN35">$AN$31*AM35</f>
        <v>3900000</v>
      </c>
      <c r="AO35" s="706"/>
      <c r="AP35" t="str" s="17" cm="1">
        <f t="array" ref="AP35">AP16</f>
        <v>N/A</v>
      </c>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8"/>
    </row>
    <row r="36" ht="16" customHeight="1">
      <c r="A36" s="32"/>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6"/>
      <c r="AC36" s="17"/>
      <c r="AD36" s="31"/>
      <c r="AE36" s="17"/>
      <c r="AF36" s="17"/>
      <c r="AG36" s="17"/>
      <c r="AH36" s="17"/>
      <c r="AI36" s="17"/>
      <c r="AJ36" s="17"/>
      <c r="AK36" s="17"/>
      <c r="AL36" s="17"/>
      <c r="AM36" s="712">
        <v>2</v>
      </c>
      <c r="AN36" s="707" cm="1">
        <f t="array" ref="AN36">$AN$31*AM36</f>
        <v>7800000</v>
      </c>
      <c r="AO36" s="706"/>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8"/>
    </row>
    <row r="37" ht="16" customHeight="1">
      <c r="A37" s="32"/>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6"/>
      <c r="AC37" s="17"/>
      <c r="AD37" s="31"/>
      <c r="AE37" s="17"/>
      <c r="AF37" s="17"/>
      <c r="AG37" s="17"/>
      <c r="AH37" s="17"/>
      <c r="AI37" s="17"/>
      <c r="AJ37" s="17"/>
      <c r="AK37" s="17"/>
      <c r="AL37" s="17"/>
      <c r="AM37" s="712">
        <v>3</v>
      </c>
      <c r="AN37" s="707" cm="1">
        <f t="array" ref="AN37">$AN$31*AM37</f>
        <v>11700000</v>
      </c>
      <c r="AO37" s="706"/>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8"/>
    </row>
    <row r="38" ht="16" customHeight="1">
      <c r="A38" s="32"/>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31"/>
      <c r="AE38" s="17"/>
      <c r="AF38" s="17"/>
      <c r="AG38" s="17"/>
      <c r="AH38" s="17"/>
      <c r="AI38" s="17"/>
      <c r="AJ38" s="17"/>
      <c r="AK38" s="17"/>
      <c r="AL38" s="17"/>
      <c r="AM38" s="712">
        <v>4</v>
      </c>
      <c r="AN38" s="707" cm="1">
        <f t="array" ref="AN38">$AN$31*AM38</f>
        <v>15600000</v>
      </c>
      <c r="AO38" s="706"/>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8"/>
    </row>
    <row r="39" ht="16" customHeight="1">
      <c r="A39" s="32"/>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31"/>
      <c r="AE39" s="17"/>
      <c r="AF39" s="17"/>
      <c r="AG39" s="17"/>
      <c r="AH39" s="17"/>
      <c r="AI39" s="17"/>
      <c r="AJ39" s="17"/>
      <c r="AK39" s="17"/>
      <c r="AL39" s="17"/>
      <c r="AM39" s="712">
        <v>5</v>
      </c>
      <c r="AN39" s="707" cm="1">
        <f t="array" ref="AN39">$AN$31*AM39</f>
        <v>19500000</v>
      </c>
      <c r="AO39" s="706"/>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8"/>
    </row>
    <row r="40" ht="16" customHeight="1">
      <c r="A40" s="32"/>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31"/>
      <c r="AE40" s="17"/>
      <c r="AF40" s="17"/>
      <c r="AG40" s="17"/>
      <c r="AH40" s="17"/>
      <c r="AI40" s="17"/>
      <c r="AJ40" s="17"/>
      <c r="AK40" s="17"/>
      <c r="AL40" s="17"/>
      <c r="AM40" s="712">
        <v>6</v>
      </c>
      <c r="AN40" s="707" cm="1">
        <f t="array" ref="AN40">$AN$31*AM40</f>
        <v>23400000</v>
      </c>
      <c r="AO40" s="706"/>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8"/>
    </row>
    <row r="41" ht="16" customHeight="1">
      <c r="A41" s="32"/>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712">
        <v>7</v>
      </c>
      <c r="AN41" s="707" cm="1">
        <f t="array" ref="AN41">$AN$31*AM41</f>
        <v>27300000</v>
      </c>
      <c r="AO41" s="706"/>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8"/>
    </row>
    <row r="42" ht="16" customHeight="1">
      <c r="A42" s="32"/>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712">
        <v>8</v>
      </c>
      <c r="AN42" s="707" cm="1">
        <f t="array" ref="AN42">$AN$31*AM42</f>
        <v>31200000</v>
      </c>
      <c r="AO42" s="706"/>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8"/>
    </row>
    <row r="43" ht="16" customHeight="1">
      <c r="A43" s="32"/>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712">
        <v>9</v>
      </c>
      <c r="AN43" s="707" cm="1">
        <f t="array" ref="AN43">$AN$31*AM43</f>
        <v>35100000</v>
      </c>
      <c r="AO43" s="706"/>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8"/>
    </row>
    <row r="44" ht="16" customHeight="1">
      <c r="A44" s="192"/>
      <c r="B44" s="193"/>
      <c r="C44" s="193"/>
      <c r="D44" s="193"/>
      <c r="E44" s="193"/>
      <c r="F44" s="193"/>
      <c r="G44" s="193"/>
      <c r="H44" s="193"/>
      <c r="I44" s="193"/>
      <c r="J44" s="193"/>
      <c r="K44" s="193"/>
      <c r="L44" s="193"/>
      <c r="M44" s="193"/>
      <c r="N44" s="193"/>
      <c r="O44" s="193"/>
      <c r="P44" s="193"/>
      <c r="Q44" s="193"/>
      <c r="R44" s="193"/>
      <c r="S44" s="193"/>
      <c r="T44" s="193"/>
      <c r="U44" s="193"/>
      <c r="V44" s="193"/>
      <c r="W44" s="193"/>
      <c r="X44" s="193"/>
      <c r="Y44" s="193"/>
      <c r="Z44" s="193"/>
      <c r="AA44" s="193"/>
      <c r="AB44" s="193"/>
      <c r="AC44" s="193"/>
      <c r="AD44" s="193"/>
      <c r="AE44" s="193"/>
      <c r="AF44" s="193"/>
      <c r="AG44" s="193"/>
      <c r="AH44" s="193"/>
      <c r="AI44" s="193"/>
      <c r="AJ44" s="193"/>
      <c r="AK44" s="193"/>
      <c r="AL44" s="193"/>
      <c r="AM44" s="713">
        <v>10</v>
      </c>
      <c r="AN44" s="707" cm="1">
        <f t="array" ref="AN44">$AN$31*AM44</f>
        <v>39000000</v>
      </c>
      <c r="AO44" s="714"/>
      <c r="AP44" s="193"/>
      <c r="AQ44" s="193"/>
      <c r="AR44" s="193"/>
      <c r="AS44" s="193"/>
      <c r="AT44" s="193"/>
      <c r="AU44" s="193"/>
      <c r="AV44" s="193"/>
      <c r="AW44" s="193"/>
      <c r="AX44" s="193"/>
      <c r="AY44" s="193"/>
      <c r="AZ44" s="193"/>
      <c r="BA44" s="193"/>
      <c r="BB44" s="193"/>
      <c r="BC44" s="193"/>
      <c r="BD44" s="193"/>
      <c r="BE44" s="193"/>
      <c r="BF44" s="193"/>
      <c r="BG44" s="193"/>
      <c r="BH44" s="193"/>
      <c r="BI44" s="193"/>
      <c r="BJ44" s="193"/>
      <c r="BK44" s="193"/>
      <c r="BL44" s="193"/>
      <c r="BM44" s="193"/>
      <c r="BN44" s="193"/>
      <c r="BO44" s="193"/>
      <c r="BP44" s="193"/>
      <c r="BQ44" s="193"/>
      <c r="BR44" s="193"/>
      <c r="BS44" s="195"/>
    </row>
  </sheetData>
  <mergeCells count="6">
    <mergeCell ref="BF4:BI4"/>
    <mergeCell ref="C4:O4"/>
    <mergeCell ref="Q4:S4"/>
    <mergeCell ref="U4:AA4"/>
    <mergeCell ref="AF4:AM4"/>
    <mergeCell ref="AR4:BA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AU37"/>
  <sheetViews>
    <sheetView workbookViewId="0" showGridLines="0" defaultGridColor="1"/>
  </sheetViews>
  <sheetFormatPr defaultColWidth="8.83333" defaultRowHeight="14.5" customHeight="1" outlineLevelRow="0" outlineLevelCol="0"/>
  <cols>
    <col min="1" max="1" width="3.5" style="716" customWidth="1"/>
    <col min="2" max="2" width="9.5" style="716" customWidth="1"/>
    <col min="3" max="3" width="14.5" style="716" customWidth="1"/>
    <col min="4" max="4" width="7.85156" style="716" customWidth="1"/>
    <col min="5" max="5" width="14" style="716" customWidth="1"/>
    <col min="6" max="6" width="12.1719" style="716" customWidth="1"/>
    <col min="7" max="7" width="11.8516" style="716" customWidth="1"/>
    <col min="8" max="8" width="13.3516" style="716" customWidth="1"/>
    <col min="9" max="9" width="12" style="716" customWidth="1"/>
    <col min="10" max="10" width="11.6719" style="716" customWidth="1"/>
    <col min="11" max="12" width="13.5" style="716" customWidth="1"/>
    <col min="13" max="13" width="14.5" style="716" customWidth="1"/>
    <col min="14" max="14" width="11.6719" style="716" customWidth="1"/>
    <col min="15" max="15" width="14.5" style="716" customWidth="1"/>
    <col min="16" max="16" width="1.5" style="716" customWidth="1"/>
    <col min="17" max="17" width="14.5" style="716" customWidth="1"/>
    <col min="18" max="18" width="18.1719" style="716" customWidth="1"/>
    <col min="19" max="19" width="14.8516" style="716" customWidth="1"/>
    <col min="20" max="20" width="1.85156" style="716" customWidth="1"/>
    <col min="21" max="24" width="14.6719" style="716" customWidth="1"/>
    <col min="25" max="25" width="11.8516" style="716" customWidth="1"/>
    <col min="26" max="26" width="14.8516" style="716" customWidth="1"/>
    <col min="27" max="27" width="16.6719" style="716" customWidth="1"/>
    <col min="28" max="28" width="16.5" style="716" customWidth="1"/>
    <col min="29" max="29" width="1.85156" style="716" customWidth="1"/>
    <col min="30" max="30" width="18" style="716" customWidth="1"/>
    <col min="31" max="32" width="16.3516" style="716" customWidth="1"/>
    <col min="33" max="33" width="14" style="716" customWidth="1"/>
    <col min="34" max="34" width="13.3516" style="716" customWidth="1"/>
    <col min="35" max="35" width="15.6719" style="716" customWidth="1"/>
    <col min="36" max="36" width="17.3516" style="716" customWidth="1"/>
    <col min="37" max="37" width="16.6719" style="716" customWidth="1"/>
    <col min="38" max="38" width="18.8516" style="716" customWidth="1"/>
    <col min="39" max="39" width="1.85156" style="716" customWidth="1"/>
    <col min="40" max="40" width="22.1719" style="716" customWidth="1"/>
    <col min="41" max="41" width="20.1719" style="716" customWidth="1"/>
    <col min="42" max="42" width="17.1719" style="716" customWidth="1"/>
    <col min="43" max="43" width="16.8516" style="716" customWidth="1"/>
    <col min="44" max="44" width="24.8516" style="716" customWidth="1"/>
    <col min="45" max="45" width="17.5" style="716" customWidth="1"/>
    <col min="46" max="46" width="24.8516" style="716" customWidth="1"/>
    <col min="47" max="47" width="18.6719" style="716" customWidth="1"/>
    <col min="48" max="16384" width="8.85156" style="716" customWidth="1"/>
  </cols>
  <sheetData>
    <row r="1" ht="15" customHeight="1">
      <c r="A1" s="7"/>
      <c r="B1" s="8"/>
      <c r="C1" t="s" s="657">
        <v>49</v>
      </c>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246"/>
    </row>
    <row r="2" ht="15.5" customHeight="1">
      <c r="A2" s="395">
        <v>1</v>
      </c>
      <c r="B2" t="s" s="717">
        <v>613</v>
      </c>
      <c r="C2" t="s" s="718">
        <v>638</v>
      </c>
      <c r="D2" s="719"/>
      <c r="E2" s="719"/>
      <c r="F2" s="719"/>
      <c r="G2" s="719"/>
      <c r="H2" s="719"/>
      <c r="I2" s="719"/>
      <c r="J2" s="719"/>
      <c r="K2" s="719"/>
      <c r="L2" s="719"/>
      <c r="M2" s="719"/>
      <c r="N2" s="719"/>
      <c r="O2" s="719"/>
      <c r="P2" s="399"/>
      <c r="Q2" s="719"/>
      <c r="R2" s="719"/>
      <c r="S2" s="719"/>
      <c r="T2" s="399"/>
      <c r="U2" s="719"/>
      <c r="V2" s="719"/>
      <c r="W2" s="719"/>
      <c r="X2" s="719"/>
      <c r="Y2" s="719"/>
      <c r="Z2" s="719"/>
      <c r="AA2" s="719"/>
      <c r="AB2" s="719"/>
      <c r="AC2" s="399"/>
      <c r="AD2" s="719"/>
      <c r="AE2" s="719"/>
      <c r="AF2" s="719"/>
      <c r="AG2" s="719"/>
      <c r="AH2" s="719"/>
      <c r="AI2" s="719"/>
      <c r="AJ2" s="719"/>
      <c r="AK2" s="719"/>
      <c r="AL2" s="719"/>
      <c r="AM2" s="399"/>
      <c r="AN2" t="s" s="718">
        <v>508</v>
      </c>
      <c r="AO2" s="720" cm="1">
        <f t="array" ref="AO2">AVERAGE(O6:O11)</f>
        <v>12237083.3333333</v>
      </c>
      <c r="AP2" t="s" s="721">
        <v>509</v>
      </c>
      <c r="AQ2" s="720" cm="1">
        <f t="array" ref="AQ2">AVERAGE(O12:O19)-AO2</f>
      </c>
      <c r="AR2" t="s" s="721">
        <v>510</v>
      </c>
      <c r="AS2" s="720" cm="1">
        <f t="array" ref="AS2">AVERAGE(Z6:Z13)</f>
        <v>3775095.45764487</v>
      </c>
      <c r="AT2" t="s" s="718">
        <v>511</v>
      </c>
      <c r="AU2" s="722" cm="1">
        <f t="array" ref="AU2">AVERAGE(U6:U11)</f>
        <v>14925255.5528154</v>
      </c>
    </row>
    <row r="3" ht="16" customHeight="1">
      <c r="A3" s="12"/>
      <c r="B3" t="s" s="723">
        <v>7</v>
      </c>
      <c r="C3" t="s" s="724">
        <v>639</v>
      </c>
      <c r="D3" s="725"/>
      <c r="E3" s="725"/>
      <c r="F3" s="725"/>
      <c r="G3" s="725"/>
      <c r="H3" s="725"/>
      <c r="I3" s="725"/>
      <c r="J3" s="725"/>
      <c r="K3" s="725"/>
      <c r="L3" s="725"/>
      <c r="M3" s="725"/>
      <c r="N3" s="725"/>
      <c r="O3" s="726"/>
      <c r="P3" s="407"/>
      <c r="Q3" s="727"/>
      <c r="R3" s="725"/>
      <c r="S3" s="726"/>
      <c r="T3" s="407"/>
      <c r="U3" s="727"/>
      <c r="V3" s="725"/>
      <c r="W3" s="725"/>
      <c r="X3" s="725"/>
      <c r="Y3" s="725"/>
      <c r="Z3" s="725"/>
      <c r="AA3" s="725"/>
      <c r="AB3" s="725"/>
      <c r="AC3" s="669"/>
      <c r="AD3" s="727"/>
      <c r="AE3" s="725"/>
      <c r="AF3" s="725"/>
      <c r="AG3" s="725"/>
      <c r="AH3" s="725"/>
      <c r="AI3" s="725"/>
      <c r="AJ3" s="725"/>
      <c r="AK3" s="725"/>
      <c r="AL3" s="725"/>
      <c r="AM3" s="669"/>
      <c r="AN3" s="728"/>
      <c r="AO3" s="729"/>
      <c r="AP3" s="730"/>
      <c r="AQ3" s="729"/>
      <c r="AR3" s="730"/>
      <c r="AS3" s="729"/>
      <c r="AT3" s="728"/>
      <c r="AU3" s="731"/>
    </row>
    <row r="4" ht="15" customHeight="1">
      <c r="A4" s="12"/>
      <c r="B4" s="732"/>
      <c r="C4" t="s" s="733">
        <v>513</v>
      </c>
      <c r="D4" s="734"/>
      <c r="E4" s="734"/>
      <c r="F4" s="734"/>
      <c r="G4" s="734"/>
      <c r="H4" s="734"/>
      <c r="I4" s="734"/>
      <c r="J4" s="734"/>
      <c r="K4" s="734"/>
      <c r="L4" s="734"/>
      <c r="M4" s="734"/>
      <c r="N4" s="734"/>
      <c r="O4" s="735"/>
      <c r="P4" s="407"/>
      <c r="Q4" t="s" s="733">
        <v>514</v>
      </c>
      <c r="R4" s="734"/>
      <c r="S4" s="735"/>
      <c r="T4" s="407"/>
      <c r="U4" t="s" s="733">
        <v>640</v>
      </c>
      <c r="V4" s="734"/>
      <c r="W4" s="734"/>
      <c r="X4" s="734"/>
      <c r="Y4" s="734"/>
      <c r="Z4" s="734"/>
      <c r="AA4" s="734"/>
      <c r="AB4" s="734"/>
      <c r="AC4" s="408"/>
      <c r="AD4" t="s" s="733">
        <v>641</v>
      </c>
      <c r="AE4" s="734"/>
      <c r="AF4" s="734"/>
      <c r="AG4" s="734"/>
      <c r="AH4" s="734"/>
      <c r="AI4" s="734"/>
      <c r="AJ4" s="734"/>
      <c r="AK4" s="734"/>
      <c r="AL4" s="734"/>
      <c r="AM4" s="408"/>
      <c r="AN4" s="728"/>
      <c r="AO4" s="728"/>
      <c r="AP4" s="728"/>
      <c r="AQ4" s="728"/>
      <c r="AR4" s="728"/>
      <c r="AS4" s="728"/>
      <c r="AT4" s="728"/>
      <c r="AU4" s="736"/>
    </row>
    <row r="5" ht="46.25" customHeight="1">
      <c r="A5" s="187"/>
      <c r="B5" t="s" s="737">
        <v>517</v>
      </c>
      <c r="C5" t="s" s="738">
        <v>518</v>
      </c>
      <c r="D5" t="s" s="738">
        <v>620</v>
      </c>
      <c r="E5" t="s" s="738">
        <v>621</v>
      </c>
      <c r="F5" t="s" s="739">
        <v>521</v>
      </c>
      <c r="G5" t="s" s="739">
        <v>522</v>
      </c>
      <c r="H5" t="s" s="739">
        <v>622</v>
      </c>
      <c r="I5" t="s" s="739">
        <v>526</v>
      </c>
      <c r="J5" t="s" s="739">
        <v>527</v>
      </c>
      <c r="K5" t="s" s="739">
        <v>528</v>
      </c>
      <c r="L5" t="s" s="739">
        <v>642</v>
      </c>
      <c r="M5" t="s" s="739">
        <v>643</v>
      </c>
      <c r="N5" t="s" s="739">
        <v>531</v>
      </c>
      <c r="O5" t="s" s="739">
        <v>532</v>
      </c>
      <c r="P5" s="418"/>
      <c r="Q5" t="s" s="739">
        <v>533</v>
      </c>
      <c r="R5" t="s" s="739">
        <v>534</v>
      </c>
      <c r="S5" t="s" s="739">
        <v>535</v>
      </c>
      <c r="T5" s="418"/>
      <c r="U5" t="s" s="739">
        <v>536</v>
      </c>
      <c r="V5" s="740"/>
      <c r="W5" t="s" s="739">
        <v>644</v>
      </c>
      <c r="X5" s="740"/>
      <c r="Y5" t="s" s="739">
        <v>537</v>
      </c>
      <c r="Z5" t="s" s="739">
        <v>538</v>
      </c>
      <c r="AA5" t="s" s="739">
        <v>539</v>
      </c>
      <c r="AB5" t="s" s="739">
        <v>627</v>
      </c>
      <c r="AC5" s="419"/>
      <c r="AD5" t="s" s="739">
        <v>536</v>
      </c>
      <c r="AE5" t="s" s="739">
        <v>645</v>
      </c>
      <c r="AF5" t="s" s="739">
        <v>644</v>
      </c>
      <c r="AG5" s="740"/>
      <c r="AH5" t="s" s="739">
        <v>537</v>
      </c>
      <c r="AI5" t="s" s="739">
        <v>538</v>
      </c>
      <c r="AJ5" t="s" s="739">
        <v>539</v>
      </c>
      <c r="AK5" t="s" s="739">
        <v>627</v>
      </c>
      <c r="AL5" t="s" s="739">
        <v>646</v>
      </c>
      <c r="AM5" s="419"/>
      <c r="AN5" s="740"/>
      <c r="AO5" s="740"/>
      <c r="AP5" s="740"/>
      <c r="AQ5" s="740"/>
      <c r="AR5" s="740"/>
      <c r="AS5" s="740"/>
      <c r="AT5" s="740"/>
      <c r="AU5" s="741"/>
    </row>
    <row r="6" ht="15" customHeight="1">
      <c r="A6" s="12"/>
      <c r="B6" s="742">
        <v>1</v>
      </c>
      <c r="C6" s="743" cm="1">
        <f t="array" ref="C6">IF(B6&gt;0,IF(VLOOKUP(C1,'Boats Data Sheet 2026'!$C$3:$J$57,8,0)="N/A",0,VLOOKUP(C1,'Boats Data Sheet 2026'!$C$3:$J$57,8,0)),"N/A")</f>
        <v>7500000</v>
      </c>
      <c r="D6" s="744">
        <v>1</v>
      </c>
      <c r="E6" s="743" cm="1">
        <f t="array" ref="E6">_xlfn.IFERROR(SUM('Direct Costs 2026'!$C$10:$C$11,'Direct Costs 2026'!$C$48)*D6,"N/A")</f>
        <v>1148500</v>
      </c>
      <c r="F6" s="745" cm="1">
        <f t="array" ref="F6">_xlfn.IFERROR('Direct Costs 2026'!$C$43*B6,"N/A")</f>
        <v>6000</v>
      </c>
      <c r="G6" s="745" cm="1">
        <f t="array" ref="G6">IF(B6&gt;0,'Direct Costs 2026'!$C$25,"N/A")</f>
        <v>90000</v>
      </c>
      <c r="H6" s="745" cm="1">
        <f t="array" ref="H6">IF(B6&gt;0,('Direct Costs 2026'!$C$14+'Direct Costs 2026'!$C$22),"N/A")</f>
        <v>260000</v>
      </c>
      <c r="I6" s="745" cm="1">
        <f t="array" ref="I6">IF(B6&gt;0,'Direct Costs 2026'!$C$26,"N/A")</f>
        <v>20000</v>
      </c>
      <c r="J6" s="745" cm="1">
        <f t="array" ref="J6">IF(B6&gt;0,'Direct Costs 2026'!$C$23,"N/A")</f>
        <v>140000</v>
      </c>
      <c r="K6" s="745" cm="1">
        <f t="array" ref="K6">IF(B6&gt;0,'Direct Costs 2026'!$C$33,"N/A")</f>
        <v>800000</v>
      </c>
      <c r="L6" s="745" cm="1">
        <f t="array" ref="L6">IF(B6&gt;0,'Direct Costs 2026'!$C$57*B6,"N/A")</f>
        <v>350000</v>
      </c>
      <c r="M6" s="745" cm="1">
        <f t="array" ref="M6">IF(B6&gt;0,MIN('Direct Costs 2026'!$C$58*B6,'Direct Costs 2026'!$C$58*2),"N/A")</f>
        <v>250000</v>
      </c>
      <c r="N6" s="745">
        <v>0</v>
      </c>
      <c r="O6" s="745" cm="1">
        <f t="array" ref="O6">_xlfn.IFERROR(C6+SUM(E6:N6),"N/A")</f>
        <v>10564500</v>
      </c>
      <c r="P6" s="424"/>
      <c r="Q6" s="745" cm="1">
        <f t="array" ref="Q6">IF(B6&gt;0,'Allocation OH and Target 2025'!$E$31,"N/A")</f>
        <v>2479838.88614872</v>
      </c>
      <c r="R6" s="745" cm="1">
        <f t="array" ref="R6">IF(B6&gt;0,'Direct Costs 2026'!$C$56*B6,"N/A")</f>
        <v>59523.8095238095</v>
      </c>
      <c r="S6" s="745" cm="1">
        <f t="array" ref="S6">_xlfn.IFERROR((Q6+R6),"N/A")</f>
        <v>2539362.69567253</v>
      </c>
      <c r="T6" s="424"/>
      <c r="U6" s="745" cm="1">
        <f t="array" ref="U6">_xlfn.IFERROR(S6+O6,"N/A")</f>
        <v>13103862.6956725</v>
      </c>
      <c r="V6" s="745"/>
      <c r="W6" s="745" cm="1">
        <f t="array" ref="W6">IF(B6&gt;0,'Direct Costs 2026'!$C$12,"N/A")</f>
        <v>100000</v>
      </c>
      <c r="X6" s="745"/>
      <c r="Y6" s="745" cm="1">
        <f t="array" ref="Y6">_xlfn.IFERROR((U6+W6)*0.5%,"N/A")</f>
        <v>66019.3134783625</v>
      </c>
      <c r="Z6" s="745" cm="1">
        <f t="array" ref="Z6">_xlfn.IFERROR((U6+W6+Y6+X6+V6)*25%,"N/A")</f>
        <v>3317470.50228772</v>
      </c>
      <c r="AA6" s="746" cm="1">
        <f t="array" ref="AA6">IF(B6&gt;0,SUM(U6:Z6),"N/A")</f>
        <v>16587352.5114386</v>
      </c>
      <c r="AB6" s="746" cm="1">
        <f t="array" ref="AB6">ROUND(AA6/B6,-4)</f>
        <v>16590000</v>
      </c>
      <c r="AC6" s="424"/>
      <c r="AD6" s="745" cm="1">
        <f t="array" ref="AD6">_xlfn.IFERROR(S6+O6,"N/A")</f>
        <v>13103862.6956725</v>
      </c>
      <c r="AE6" s="745" cm="1">
        <f t="array" ref="AE6">IF(B6&gt;0,'Direct Costs 2026'!$C$13,"N/A")</f>
        <v>2000000</v>
      </c>
      <c r="AF6" s="745" cm="1">
        <f t="array" ref="AF6">IF(B6&gt;0,'Direct Costs 2026'!$C$12,"N/A")</f>
        <v>100000</v>
      </c>
      <c r="AG6" s="745"/>
      <c r="AH6" s="745" cm="1">
        <f t="array" ref="AH6">_xlfn.IFERROR((AD6+AF6)*0.5%,"N/A")</f>
        <v>66019.3134783625</v>
      </c>
      <c r="AI6" s="745" cm="1">
        <f t="array" ref="AI6">_xlfn.IFERROR((AD6+AF6+AH6+AG6+AE6)*25%,"N/A")</f>
        <v>3817470.50228772</v>
      </c>
      <c r="AJ6" s="746" cm="1">
        <f t="array" ref="AJ6">IF(M6&gt;0,SUM(AD6:AI6),"N/A")</f>
        <v>19087352.5114386</v>
      </c>
      <c r="AK6" s="746" cm="1">
        <f t="array" ref="AK6">_xlfn.IFERROR(ROUND(AJ6/B6,-4),"N/A")</f>
        <v>19090000</v>
      </c>
      <c r="AL6" s="746" cm="1">
        <f t="array" ref="AL6">_xlfn.IFERROR((AK6-AB6),"N/A")</f>
        <v>2500000</v>
      </c>
      <c r="AM6" s="424">
        <v>1</v>
      </c>
      <c r="AN6" s="745"/>
      <c r="AO6" s="745"/>
      <c r="AP6" s="745"/>
      <c r="AQ6" s="745"/>
      <c r="AR6" s="745"/>
      <c r="AS6" s="745"/>
      <c r="AT6" s="745"/>
      <c r="AU6" s="747"/>
    </row>
    <row r="7" ht="15" customHeight="1">
      <c r="A7" s="12"/>
      <c r="B7" s="748">
        <v>2</v>
      </c>
      <c r="C7" s="745" cm="1">
        <f t="array" ref="C7">IF(B7&gt;0,IF(VLOOKUP(C1,'Boats Data Sheet 2026'!$C$3:$J$57,8,0)="N/A",0,VLOOKUP(C1,'Boats Data Sheet 2026'!$C$3:$J$57,8,0)),"N/A")</f>
        <v>7500000</v>
      </c>
      <c r="D7" s="749">
        <v>1</v>
      </c>
      <c r="E7" s="745" cm="1">
        <f t="array" ref="E7">_xlfn.IFERROR(SUM('Direct Costs 2026'!$C$10:$C$11,'Direct Costs 2026'!$C$48)*D7,"N/A")</f>
        <v>1148500</v>
      </c>
      <c r="F7" s="745" cm="1">
        <f t="array" ref="F7">_xlfn.IFERROR('Direct Costs 2026'!$C$43*B7,"N/A")</f>
        <v>12000</v>
      </c>
      <c r="G7" s="745" cm="1">
        <f t="array" ref="G7">IF(B7&gt;0,'Direct Costs 2026'!$C$25,"N/A")</f>
        <v>90000</v>
      </c>
      <c r="H7" s="745" cm="1">
        <f t="array" ref="H7">IF(B7&gt;0,('Direct Costs 2026'!$C$14+'Direct Costs 2026'!$C$22),"N/A")</f>
        <v>260000</v>
      </c>
      <c r="I7" s="745" cm="1">
        <f t="array" ref="I7">IF(B7&gt;0,'Direct Costs 2026'!$C$26,"N/A")</f>
        <v>20000</v>
      </c>
      <c r="J7" s="745" cm="1">
        <f t="array" ref="J7">IF(B7&gt;0,'Direct Costs 2026'!$C$23,"N/A")</f>
        <v>140000</v>
      </c>
      <c r="K7" s="745" cm="1">
        <f t="array" ref="K7">IF(B7&gt;0,'Direct Costs 2026'!$C$33,"N/A")</f>
        <v>800000</v>
      </c>
      <c r="L7" s="745" cm="1">
        <f t="array" ref="L7">IF(B7&gt;0,'Direct Costs 2026'!$C$57*B7,"N/A")</f>
        <v>700000</v>
      </c>
      <c r="M7" s="745" cm="1">
        <f t="array" ref="M7">IF(B7&gt;0,MIN('Direct Costs 2026'!$C$58*B7,'Direct Costs 2026'!$C$58*2),"N/A")</f>
        <v>500000</v>
      </c>
      <c r="N7" s="745">
        <v>0</v>
      </c>
      <c r="O7" s="745" cm="1">
        <f t="array" ref="O7">_xlfn.IFERROR(C7+SUM(E7:N7),"N/A")</f>
        <v>11170500</v>
      </c>
      <c r="P7" s="424"/>
      <c r="Q7" s="745" cm="1">
        <f t="array" ref="Q7">IF(B7&gt;0,'Allocation OH and Target 2025'!$E$31,"N/A")</f>
        <v>2479838.88614872</v>
      </c>
      <c r="R7" s="745" cm="1">
        <f t="array" ref="R7">IF(B7&gt;0,'Direct Costs 2026'!$C$56*B7,"N/A")</f>
        <v>119047.619047619</v>
      </c>
      <c r="S7" s="745" cm="1">
        <f t="array" ref="S7">_xlfn.IFERROR((Q7+R7),"N/A")</f>
        <v>2598886.50519634</v>
      </c>
      <c r="T7" s="424"/>
      <c r="U7" s="745" cm="1">
        <f t="array" ref="U7">_xlfn.IFERROR(S7+O7,"N/A")</f>
        <v>13769386.5051963</v>
      </c>
      <c r="V7" s="745"/>
      <c r="W7" s="745" cm="1">
        <f t="array" ref="W7">IF(B7&gt;0,'Direct Costs 2026'!$C$12,"N/A")</f>
        <v>100000</v>
      </c>
      <c r="X7" s="745"/>
      <c r="Y7" s="745" cm="1">
        <f t="array" ref="Y7">_xlfn.IFERROR((U7+W7)*0.5%,"N/A")</f>
        <v>69346.932525981494</v>
      </c>
      <c r="Z7" s="745" cm="1">
        <f t="array" ref="Z7">_xlfn.IFERROR((U7+W7+Y7+X7+V7)*25%,"N/A")</f>
        <v>3484683.35943057</v>
      </c>
      <c r="AA7" s="746" cm="1">
        <f t="array" ref="AA7">IF(B7&gt;0,SUM(U7:Z7),"N/A")</f>
        <v>17423416.7971529</v>
      </c>
      <c r="AB7" s="746" cm="1">
        <f t="array" ref="AB7">ROUND(AA7/B7,-4)</f>
        <v>8710000</v>
      </c>
      <c r="AC7" s="424"/>
      <c r="AD7" s="745" cm="1">
        <f t="array" ref="AD7">_xlfn.IFERROR(S7+O7,"N/A")</f>
        <v>13769386.5051963</v>
      </c>
      <c r="AE7" s="745" cm="1">
        <f t="array" ref="AE7">IF(B7&gt;0,'Direct Costs 2026'!$C$13,"N/A")</f>
        <v>2000000</v>
      </c>
      <c r="AF7" s="745" cm="1">
        <f t="array" ref="AF7">IF(B7&gt;0,'Direct Costs 2026'!$C$12,"N/A")</f>
        <v>100000</v>
      </c>
      <c r="AG7" s="745"/>
      <c r="AH7" s="745" cm="1">
        <f t="array" ref="AH7">_xlfn.IFERROR((AD7+AF7)*0.5%,"N/A")</f>
        <v>69346.932525981494</v>
      </c>
      <c r="AI7" s="745" cm="1">
        <f t="array" ref="AI7">_xlfn.IFERROR((AD7+AF7+AH7+AG7+AE7)*25%,"N/A")</f>
        <v>3984683.35943057</v>
      </c>
      <c r="AJ7" s="746" cm="1">
        <f t="array" ref="AJ7">IF(M7&gt;0,SUM(AD7:AI7),"N/A")</f>
        <v>19923416.7971529</v>
      </c>
      <c r="AK7" s="746" cm="1">
        <f t="array" ref="AK7">_xlfn.IFERROR(ROUND(AJ7/B7,-4),"N/A")</f>
        <v>9960000</v>
      </c>
      <c r="AL7" s="746" cm="1">
        <f t="array" ref="AL7">_xlfn.IFERROR((AK7-AB7),"N/A")</f>
        <v>1250000</v>
      </c>
      <c r="AM7" s="424">
        <v>2</v>
      </c>
      <c r="AN7" s="745"/>
      <c r="AO7" s="745"/>
      <c r="AP7" s="745"/>
      <c r="AQ7" s="745"/>
      <c r="AR7" s="745"/>
      <c r="AS7" s="745"/>
      <c r="AT7" s="745"/>
      <c r="AU7" s="747"/>
    </row>
    <row r="8" ht="15" customHeight="1">
      <c r="A8" s="12"/>
      <c r="B8" s="748">
        <v>3</v>
      </c>
      <c r="C8" s="745" cm="1">
        <f t="array" ref="C8">IF(B8&gt;0,IF(VLOOKUP(C1,'Boats Data Sheet 2026'!$C$3:$J$57,8,0)="N/A",0,VLOOKUP(C1,'Boats Data Sheet 2026'!$C$3:$J$57,8,0)),"N/A")</f>
        <v>7500000</v>
      </c>
      <c r="D8" s="749">
        <v>1</v>
      </c>
      <c r="E8" s="745" cm="1">
        <f t="array" ref="E8">_xlfn.IFERROR(SUM('Direct Costs 2026'!$C$10:$C$11,'Direct Costs 2026'!$C$48)*D8,"N/A")</f>
        <v>1148500</v>
      </c>
      <c r="F8" s="745" cm="1">
        <f t="array" ref="F8">_xlfn.IFERROR('Direct Costs 2026'!$C$43*B8,"N/A")</f>
        <v>18000</v>
      </c>
      <c r="G8" s="745" cm="1">
        <f t="array" ref="G8">IF(B8&gt;0,'Direct Costs 2026'!$C$25,"N/A")</f>
        <v>90000</v>
      </c>
      <c r="H8" s="745" cm="1">
        <f t="array" ref="H8">IF(B8&gt;0,('Direct Costs 2026'!$C$14+'Direct Costs 2026'!$C$22),"N/A")</f>
        <v>260000</v>
      </c>
      <c r="I8" s="745" cm="1">
        <f t="array" ref="I8">IF(B8&gt;0,'Direct Costs 2026'!$C$26,"N/A")</f>
        <v>20000</v>
      </c>
      <c r="J8" s="745" cm="1">
        <f t="array" ref="J8">IF(B8&gt;0,'Direct Costs 2026'!$C$23,"N/A")</f>
        <v>140000</v>
      </c>
      <c r="K8" s="745" cm="1">
        <f t="array" ref="K8">IF(B8&gt;0,'Direct Costs 2026'!$C$33,"N/A")</f>
        <v>800000</v>
      </c>
      <c r="L8" s="745" cm="1">
        <f t="array" ref="L8">IF(B8&gt;0,'Direct Costs 2026'!$C$57*B8,"N/A")</f>
        <v>1050000</v>
      </c>
      <c r="M8" s="745" cm="1">
        <f t="array" ref="M8">IF(B8&gt;0,MIN('Direct Costs 2026'!$C$58*B8,'Direct Costs 2026'!$C$58*2),"N/A")</f>
        <v>500000</v>
      </c>
      <c r="N8" s="745">
        <v>0</v>
      </c>
      <c r="O8" s="745" cm="1">
        <f t="array" ref="O8">_xlfn.IFERROR(C8+SUM(E8:N8),"N/A")</f>
        <v>11526500</v>
      </c>
      <c r="P8" s="424"/>
      <c r="Q8" s="745" cm="1">
        <f t="array" ref="Q8">IF(B8&gt;0,'Allocation OH and Target 2025'!$E$31,"N/A")</f>
        <v>2479838.88614872</v>
      </c>
      <c r="R8" s="745" cm="1">
        <f t="array" ref="R8">IF(B8&gt;0,'Direct Costs 2026'!$C$56*B8,"N/A")</f>
        <v>178571.428571429</v>
      </c>
      <c r="S8" s="745" cm="1">
        <f t="array" ref="S8">_xlfn.IFERROR((Q8+R8),"N/A")</f>
        <v>2658410.31472015</v>
      </c>
      <c r="T8" s="424"/>
      <c r="U8" s="745" cm="1">
        <f t="array" ref="U8">_xlfn.IFERROR(S8+O8,"N/A")</f>
        <v>14184910.3147202</v>
      </c>
      <c r="V8" s="745"/>
      <c r="W8" s="745" cm="1">
        <f t="array" ref="W8">IF(B8&gt;0,'Direct Costs 2026'!$C$12,"N/A")</f>
        <v>100000</v>
      </c>
      <c r="X8" s="745"/>
      <c r="Y8" s="745" cm="1">
        <f t="array" ref="Y8">_xlfn.IFERROR((U8+W8)*0.5%,"N/A")</f>
        <v>71424.551573601</v>
      </c>
      <c r="Z8" s="745" cm="1">
        <f t="array" ref="Z8">_xlfn.IFERROR((U8+W8+Y8+X8+V8)*25%,"N/A")</f>
        <v>3589083.71657345</v>
      </c>
      <c r="AA8" s="746" cm="1">
        <f t="array" ref="AA8">IF(B8&gt;0,SUM(U8:Z8),"N/A")</f>
        <v>17945418.5828673</v>
      </c>
      <c r="AB8" s="746" cm="1">
        <f t="array" ref="AB8">ROUND(AA8/B8,-4)</f>
        <v>5980000</v>
      </c>
      <c r="AC8" s="424"/>
      <c r="AD8" s="745" cm="1">
        <f t="array" ref="AD8">_xlfn.IFERROR(S8+O8,"N/A")</f>
        <v>14184910.3147202</v>
      </c>
      <c r="AE8" s="745" cm="1">
        <f t="array" ref="AE8">IF(B8&gt;0,'Direct Costs 2026'!$C$13,"N/A")</f>
        <v>2000000</v>
      </c>
      <c r="AF8" s="745" cm="1">
        <f t="array" ref="AF8">IF(B8&gt;0,'Direct Costs 2026'!$C$12,"N/A")</f>
        <v>100000</v>
      </c>
      <c r="AG8" s="745"/>
      <c r="AH8" s="745" cm="1">
        <f t="array" ref="AH8">_xlfn.IFERROR((AD8+AF8)*0.5%,"N/A")</f>
        <v>71424.551573601</v>
      </c>
      <c r="AI8" s="745" cm="1">
        <f t="array" ref="AI8">_xlfn.IFERROR((AD8+AF8+AH8+AG8+AE8)*25%,"N/A")</f>
        <v>4089083.71657345</v>
      </c>
      <c r="AJ8" s="746" cm="1">
        <f t="array" ref="AJ8">IF(M8&gt;0,SUM(AD8:AI8),"N/A")</f>
        <v>20445418.5828673</v>
      </c>
      <c r="AK8" s="746" cm="1">
        <f t="array" ref="AK8">_xlfn.IFERROR(ROUND(AJ8/B8,-4),"N/A")</f>
        <v>6820000</v>
      </c>
      <c r="AL8" s="746" cm="1">
        <f t="array" ref="AL8">_xlfn.IFERROR((AK8-AB8),"N/A")</f>
        <v>840000</v>
      </c>
      <c r="AM8" s="424">
        <v>3</v>
      </c>
      <c r="AN8" s="745"/>
      <c r="AO8" s="745"/>
      <c r="AP8" s="745"/>
      <c r="AQ8" s="745"/>
      <c r="AR8" s="745"/>
      <c r="AS8" s="745"/>
      <c r="AT8" s="745"/>
      <c r="AU8" s="747"/>
    </row>
    <row r="9" ht="15" customHeight="1">
      <c r="A9" s="12"/>
      <c r="B9" s="748">
        <v>4</v>
      </c>
      <c r="C9" s="745" cm="1">
        <f t="array" ref="C9">IF(B9&gt;0,IF(VLOOKUP(C1,'Boats Data Sheet 2026'!$C$3:$J$57,8,0)="N/A",0,VLOOKUP(C1,'Boats Data Sheet 2026'!$C$3:$J$57,8,0)),"N/A")</f>
        <v>7500000</v>
      </c>
      <c r="D9" s="749">
        <v>2</v>
      </c>
      <c r="E9" s="745" cm="1">
        <f t="array" ref="E9">_xlfn.IFERROR(SUM('Direct Costs 2026'!$C$10:$C$11,'Direct Costs 2026'!$C$48)*D9,"N/A")</f>
        <v>2297000</v>
      </c>
      <c r="F9" s="745" cm="1">
        <f t="array" ref="F9">_xlfn.IFERROR('Direct Costs 2026'!$C$43*B9,"N/A")</f>
        <v>24000</v>
      </c>
      <c r="G9" s="745" cm="1">
        <f t="array" ref="G9">IF(B9&gt;0,'Direct Costs 2026'!$C$25,"N/A")</f>
        <v>90000</v>
      </c>
      <c r="H9" s="745" cm="1">
        <f t="array" ref="H9">IF(B9&gt;0,('Direct Costs 2026'!$C$14+'Direct Costs 2026'!$C$22),"N/A")</f>
        <v>260000</v>
      </c>
      <c r="I9" s="745" cm="1">
        <f t="array" ref="I9">IF(B9&gt;0,'Direct Costs 2026'!$C$26,"N/A")</f>
        <v>20000</v>
      </c>
      <c r="J9" s="745" cm="1">
        <f t="array" ref="J9">IF(B9&gt;0,'Direct Costs 2026'!$C$23,"N/A")</f>
        <v>140000</v>
      </c>
      <c r="K9" s="745" cm="1">
        <f t="array" ref="K9">IF(B9&gt;0,'Direct Costs 2026'!$C$33,"N/A")</f>
        <v>800000</v>
      </c>
      <c r="L9" s="745" cm="1">
        <f t="array" ref="L9">IF(B9&gt;0,'Direct Costs 2026'!$C$57*B9,"N/A")</f>
        <v>1400000</v>
      </c>
      <c r="M9" s="745" cm="1">
        <f t="array" ref="M9">IF(B9&gt;0,MIN('Direct Costs 2026'!$C$58*B9,'Direct Costs 2026'!$C$58*2),"N/A")</f>
        <v>500000</v>
      </c>
      <c r="N9" s="745">
        <v>0</v>
      </c>
      <c r="O9" s="745" cm="1">
        <f t="array" ref="O9">_xlfn.IFERROR(C9+SUM(E9:N9),"N/A")</f>
        <v>13031000</v>
      </c>
      <c r="P9" s="424"/>
      <c r="Q9" s="745" cm="1">
        <f t="array" ref="Q9">IF(B9&gt;0,'Allocation OH and Target 2025'!$E$31,"N/A")</f>
        <v>2479838.88614872</v>
      </c>
      <c r="R9" s="745" cm="1">
        <f t="array" ref="R9">IF(B9&gt;0,'Direct Costs 2026'!$C$56*B9,"N/A")</f>
        <v>238095.238095238</v>
      </c>
      <c r="S9" s="745" cm="1">
        <f t="array" ref="S9">_xlfn.IFERROR((Q9+R9),"N/A")</f>
        <v>2717934.12424396</v>
      </c>
      <c r="T9" s="424"/>
      <c r="U9" s="745" cm="1">
        <f t="array" ref="U9">_xlfn.IFERROR(S9+O9,"N/A")</f>
        <v>15748934.124244</v>
      </c>
      <c r="V9" s="745"/>
      <c r="W9" s="745" cm="1">
        <f t="array" ref="W9">IF(B9&gt;0,'Direct Costs 2026'!$C$12,"N/A")</f>
        <v>100000</v>
      </c>
      <c r="X9" s="745"/>
      <c r="Y9" s="745" cm="1">
        <f t="array" ref="Y9">_xlfn.IFERROR((U9+W9)*0.5%,"N/A")</f>
        <v>79244.670621219993</v>
      </c>
      <c r="Z9" s="745" cm="1">
        <f t="array" ref="Z9">_xlfn.IFERROR((U9+W9+Y9+X9+V9)*25%,"N/A")</f>
        <v>3982044.69871631</v>
      </c>
      <c r="AA9" s="746" cm="1">
        <f t="array" ref="AA9">IF(B9&gt;0,SUM(U9:Z9),"N/A")</f>
        <v>19910223.4935815</v>
      </c>
      <c r="AB9" s="746" cm="1">
        <f t="array" ref="AB9">ROUND(AA9/B9,-4)</f>
        <v>4980000</v>
      </c>
      <c r="AC9" s="424"/>
      <c r="AD9" s="745" cm="1">
        <f t="array" ref="AD9">_xlfn.IFERROR(S9+O9,"N/A")</f>
        <v>15748934.124244</v>
      </c>
      <c r="AE9" s="745" cm="1">
        <f t="array" ref="AE9">IF(B9&gt;0,'Direct Costs 2026'!$C$13,"N/A")</f>
        <v>2000000</v>
      </c>
      <c r="AF9" s="745" cm="1">
        <f t="array" ref="AF9">IF(B9&gt;0,'Direct Costs 2026'!$C$12,"N/A")</f>
        <v>100000</v>
      </c>
      <c r="AG9" s="745"/>
      <c r="AH9" s="745" cm="1">
        <f t="array" ref="AH9">_xlfn.IFERROR((AD9+AF9)*0.5%,"N/A")</f>
        <v>79244.670621219993</v>
      </c>
      <c r="AI9" s="745" cm="1">
        <f t="array" ref="AI9">_xlfn.IFERROR((AD9+AF9+AH9+AG9+AE9)*25%,"N/A")</f>
        <v>4482044.69871631</v>
      </c>
      <c r="AJ9" s="746" cm="1">
        <f t="array" ref="AJ9">IF(M9&gt;0,SUM(AD9:AI9),"N/A")</f>
        <v>22410223.4935815</v>
      </c>
      <c r="AK9" s="746" cm="1">
        <f t="array" ref="AK9">_xlfn.IFERROR(ROUND(AJ9/B9,-4),"N/A")</f>
        <v>5600000</v>
      </c>
      <c r="AL9" s="746" cm="1">
        <f t="array" ref="AL9">_xlfn.IFERROR((AK9-AB9),"N/A")</f>
        <v>620000</v>
      </c>
      <c r="AM9" s="424">
        <v>4</v>
      </c>
      <c r="AN9" s="745"/>
      <c r="AO9" s="745"/>
      <c r="AP9" s="745"/>
      <c r="AQ9" s="745"/>
      <c r="AR9" s="745"/>
      <c r="AS9" s="745"/>
      <c r="AT9" s="745"/>
      <c r="AU9" s="747"/>
    </row>
    <row r="10" ht="15" customHeight="1">
      <c r="A10" s="12"/>
      <c r="B10" s="748">
        <v>5</v>
      </c>
      <c r="C10" s="745" cm="1">
        <f t="array" ref="C10">IF(B10&gt;0,IF(VLOOKUP(C1,'Boats Data Sheet 2026'!$C$3:$J$57,8,0)="N/A",0,VLOOKUP(C1,'Boats Data Sheet 2026'!$C$3:$J$57,8,0)),"N/A")</f>
        <v>7500000</v>
      </c>
      <c r="D10" s="749">
        <v>2</v>
      </c>
      <c r="E10" s="745" cm="1">
        <f t="array" ref="E10">_xlfn.IFERROR(SUM('Direct Costs 2026'!$C$10:$C$11,'Direct Costs 2026'!$C$48)*D10,"N/A")</f>
        <v>2297000</v>
      </c>
      <c r="F10" s="745" cm="1">
        <f t="array" ref="F10">_xlfn.IFERROR('Direct Costs 2026'!$C$43*B10,"N/A")</f>
        <v>30000</v>
      </c>
      <c r="G10" s="745" cm="1">
        <f t="array" ref="G10">IF(B10&gt;0,'Direct Costs 2026'!$C$25,"N/A")</f>
        <v>90000</v>
      </c>
      <c r="H10" s="745" cm="1">
        <f t="array" ref="H10">IF(B10&gt;0,('Direct Costs 2026'!$C$14+'Direct Costs 2026'!$C$22),"N/A")</f>
        <v>260000</v>
      </c>
      <c r="I10" s="745" cm="1">
        <f t="array" ref="I10">IF(B10&gt;0,'Direct Costs 2026'!$C$26,"N/A")</f>
        <v>20000</v>
      </c>
      <c r="J10" s="745" cm="1">
        <f t="array" ref="J10">IF(B10&gt;0,'Direct Costs 2026'!$C$23,"N/A")</f>
        <v>140000</v>
      </c>
      <c r="K10" s="745" cm="1">
        <f t="array" ref="K10">IF(B10&gt;0,'Direct Costs 2026'!$C$33,"N/A")</f>
        <v>800000</v>
      </c>
      <c r="L10" s="745" cm="1">
        <f t="array" ref="L10">IF(B10&gt;0,'Direct Costs 2026'!$C$57*B10,"N/A")</f>
        <v>1750000</v>
      </c>
      <c r="M10" s="745" cm="1">
        <f t="array" ref="M10">IF(B10&gt;0,MIN('Direct Costs 2026'!$C$58*B10,'Direct Costs 2026'!$C$58*2),"N/A")</f>
        <v>500000</v>
      </c>
      <c r="N10" s="745">
        <v>0</v>
      </c>
      <c r="O10" s="745" cm="1">
        <f t="array" ref="O10">_xlfn.IFERROR(C10+SUM(E10:N10),"N/A")</f>
        <v>13387000</v>
      </c>
      <c r="P10" s="424"/>
      <c r="Q10" s="745" cm="1">
        <f t="array" ref="Q10">IF(B10&gt;0,'Allocation OH and Target 2025'!$E$31,"N/A")</f>
        <v>2479838.88614872</v>
      </c>
      <c r="R10" s="745" cm="1">
        <f t="array" ref="R10">IF(B10&gt;0,'Direct Costs 2026'!$C$56*B10,"N/A")</f>
        <v>297619.047619048</v>
      </c>
      <c r="S10" s="745" cm="1">
        <f t="array" ref="S10">_xlfn.IFERROR((Q10+R10),"N/A")</f>
        <v>2777457.93376777</v>
      </c>
      <c r="T10" s="424"/>
      <c r="U10" s="745" cm="1">
        <f t="array" ref="U10">_xlfn.IFERROR(S10+O10,"N/A")</f>
        <v>16164457.9337678</v>
      </c>
      <c r="V10" s="745"/>
      <c r="W10" s="745" cm="1">
        <f t="array" ref="W10">IF(B10&gt;0,'Direct Costs 2026'!$C$12,"N/A")</f>
        <v>100000</v>
      </c>
      <c r="X10" s="745"/>
      <c r="Y10" s="745" cm="1">
        <f t="array" ref="Y10">_xlfn.IFERROR((U10+W10)*0.5%,"N/A")</f>
        <v>81322.289668839</v>
      </c>
      <c r="Z10" s="745" cm="1">
        <f t="array" ref="Z10">_xlfn.IFERROR((U10+W10+Y10+X10+V10)*25%,"N/A")</f>
        <v>4086445.05585916</v>
      </c>
      <c r="AA10" s="746" cm="1">
        <f t="array" ref="AA10">IF(B10&gt;0,SUM(U10:Z10),"N/A")</f>
        <v>20432225.2792958</v>
      </c>
      <c r="AB10" s="746" cm="1">
        <f t="array" ref="AB10">ROUND(AA10/B10,-4)</f>
        <v>4090000</v>
      </c>
      <c r="AC10" s="424"/>
      <c r="AD10" s="745" cm="1">
        <f t="array" ref="AD10">_xlfn.IFERROR(S10+O10,"N/A")</f>
        <v>16164457.9337678</v>
      </c>
      <c r="AE10" s="745" cm="1">
        <f t="array" ref="AE10">IF(B10&gt;0,'Direct Costs 2026'!$C$13,"N/A")</f>
        <v>2000000</v>
      </c>
      <c r="AF10" s="745" cm="1">
        <f t="array" ref="AF10">IF(B10&gt;0,'Direct Costs 2026'!$C$12,"N/A")</f>
        <v>100000</v>
      </c>
      <c r="AG10" s="745"/>
      <c r="AH10" s="745" cm="1">
        <f t="array" ref="AH10">_xlfn.IFERROR((AD10+AF10)*0.5%,"N/A")</f>
        <v>81322.289668839</v>
      </c>
      <c r="AI10" s="745" cm="1">
        <f t="array" ref="AI10">_xlfn.IFERROR((AD10+AF10+AH10+AG10+AE10)*25%,"N/A")</f>
        <v>4586445.05585916</v>
      </c>
      <c r="AJ10" s="746" cm="1">
        <f t="array" ref="AJ10">IF(M10&gt;0,SUM(AD10:AI10),"N/A")</f>
        <v>22932225.2792958</v>
      </c>
      <c r="AK10" s="746" cm="1">
        <f t="array" ref="AK10">_xlfn.IFERROR(ROUND(AJ10/B10,-4),"N/A")</f>
        <v>4590000</v>
      </c>
      <c r="AL10" s="746" cm="1">
        <f t="array" ref="AL10">_xlfn.IFERROR((AK10-AB10),"N/A")</f>
        <v>500000</v>
      </c>
      <c r="AM10" s="424"/>
      <c r="AN10" s="745"/>
      <c r="AO10" s="745"/>
      <c r="AP10" s="745"/>
      <c r="AQ10" s="745"/>
      <c r="AR10" s="745"/>
      <c r="AS10" s="745"/>
      <c r="AT10" s="745"/>
      <c r="AU10" s="747"/>
    </row>
    <row r="11" ht="15" customHeight="1">
      <c r="A11" s="12"/>
      <c r="B11" s="748">
        <v>6</v>
      </c>
      <c r="C11" s="745" cm="1">
        <f t="array" ref="C11">IF(B11&gt;0,IF(VLOOKUP(C1,'Boats Data Sheet 2026'!$C$3:$J$57,8,0)="N/A",0,VLOOKUP(C1,'Boats Data Sheet 2026'!$C$3:$J$57,8,0)),"N/A")</f>
        <v>7500000</v>
      </c>
      <c r="D11" s="749">
        <v>2</v>
      </c>
      <c r="E11" s="745" cm="1">
        <f t="array" ref="E11">_xlfn.IFERROR(SUM('Direct Costs 2026'!$C$10:$C$11,'Direct Costs 2026'!$C$48)*D11,"N/A")</f>
        <v>2297000</v>
      </c>
      <c r="F11" s="745" cm="1">
        <f t="array" ref="F11">_xlfn.IFERROR('Direct Costs 2026'!$C$43*B11,"N/A")</f>
        <v>36000</v>
      </c>
      <c r="G11" s="745" cm="1">
        <f t="array" ref="G11">IF(B11&gt;0,'Direct Costs 2026'!$C$25,"N/A")</f>
        <v>90000</v>
      </c>
      <c r="H11" s="745" cm="1">
        <f t="array" ref="H11">IF(B11&gt;0,('Direct Costs 2026'!$C$14+'Direct Costs 2026'!$C$22),"N/A")</f>
        <v>260000</v>
      </c>
      <c r="I11" s="745" cm="1">
        <f t="array" ref="I11">IF(B11&gt;0,'Direct Costs 2026'!$C$26,"N/A")</f>
        <v>20000</v>
      </c>
      <c r="J11" s="745" cm="1">
        <f t="array" ref="J11">IF(B11&gt;0,'Direct Costs 2026'!$C$23,"N/A")</f>
        <v>140000</v>
      </c>
      <c r="K11" s="745" cm="1">
        <f t="array" ref="K11">IF(B11&gt;0,'Direct Costs 2026'!$C$33,"N/A")</f>
        <v>800000</v>
      </c>
      <c r="L11" s="745" cm="1">
        <f t="array" ref="L11">IF(B11&gt;0,'Direct Costs 2026'!$C$57*B11,"N/A")</f>
        <v>2100000</v>
      </c>
      <c r="M11" s="745" cm="1">
        <f t="array" ref="M11">IF(B11&gt;0,MIN('Direct Costs 2026'!$C$58*B11,'Direct Costs 2026'!$C$58*2),"N/A")</f>
        <v>500000</v>
      </c>
      <c r="N11" s="745">
        <v>0</v>
      </c>
      <c r="O11" s="745" cm="1">
        <f t="array" ref="O11">_xlfn.IFERROR(C11+SUM(E11:N11),"N/A")</f>
        <v>13743000</v>
      </c>
      <c r="P11" s="424"/>
      <c r="Q11" s="745" cm="1">
        <f t="array" ref="Q11">IF(B11&gt;0,'Allocation OH and Target 2025'!$E$31,"N/A")</f>
        <v>2479838.88614872</v>
      </c>
      <c r="R11" s="745" cm="1">
        <f t="array" ref="R11">IF(B11&gt;0,'Direct Costs 2026'!$C$56*B11,"N/A")</f>
        <v>357142.857142857</v>
      </c>
      <c r="S11" s="745" cm="1">
        <f t="array" ref="S11">_xlfn.IFERROR((Q11+R11),"N/A")</f>
        <v>2836981.74329158</v>
      </c>
      <c r="T11" s="424"/>
      <c r="U11" s="745" cm="1">
        <f t="array" ref="U11">_xlfn.IFERROR(S11+O11,"N/A")</f>
        <v>16579981.7432916</v>
      </c>
      <c r="V11" s="745"/>
      <c r="W11" s="745" cm="1">
        <f t="array" ref="W11">IF(B11&gt;0,'Direct Costs 2026'!$C$12,"N/A")</f>
        <v>100000</v>
      </c>
      <c r="X11" s="745"/>
      <c r="Y11" s="745" cm="1">
        <f t="array" ref="Y11">_xlfn.IFERROR((U11+W11)*0.5%,"N/A")</f>
        <v>83399.908716458</v>
      </c>
      <c r="Z11" s="745" cm="1">
        <f t="array" ref="Z11">_xlfn.IFERROR((U11+W11+Y11+X11+V11)*25%,"N/A")</f>
        <v>4190845.41300201</v>
      </c>
      <c r="AA11" s="746" cm="1">
        <f t="array" ref="AA11">IF(B11&gt;0,SUM(U11:Z11),"N/A")</f>
        <v>20954227.0650101</v>
      </c>
      <c r="AB11" s="746" cm="1">
        <f t="array" ref="AB11">ROUND(AA11/B11,-4)</f>
        <v>3490000</v>
      </c>
      <c r="AC11" s="424"/>
      <c r="AD11" s="745" cm="1">
        <f t="array" ref="AD11">_xlfn.IFERROR(S11+O11,"N/A")</f>
        <v>16579981.7432916</v>
      </c>
      <c r="AE11" s="745" cm="1">
        <f t="array" ref="AE11">IF(B11&gt;0,'Direct Costs 2026'!$C$13,"N/A")</f>
        <v>2000000</v>
      </c>
      <c r="AF11" s="745" cm="1">
        <f t="array" ref="AF11">IF(B11&gt;0,'Direct Costs 2026'!$C$12,"N/A")</f>
        <v>100000</v>
      </c>
      <c r="AG11" s="745"/>
      <c r="AH11" s="745" cm="1">
        <f t="array" ref="AH11">_xlfn.IFERROR((AD11+AF11)*0.5%,"N/A")</f>
        <v>83399.908716458</v>
      </c>
      <c r="AI11" s="745" cm="1">
        <f t="array" ref="AI11">_xlfn.IFERROR((AD11+AF11+AH11+AG11+AE11)*25%,"N/A")</f>
        <v>4690845.41300201</v>
      </c>
      <c r="AJ11" s="746" cm="1">
        <f t="array" ref="AJ11">IF(M11&gt;0,SUM(AD11:AI11),"N/A")</f>
        <v>23454227.0650101</v>
      </c>
      <c r="AK11" s="746" cm="1">
        <f t="array" ref="AK11">_xlfn.IFERROR(ROUND(AJ11/B11,-4),"N/A")</f>
        <v>3910000</v>
      </c>
      <c r="AL11" s="746" cm="1">
        <f t="array" ref="AL11">_xlfn.IFERROR((AK11-AB11),"N/A")</f>
        <v>420000</v>
      </c>
      <c r="AM11" s="424"/>
      <c r="AN11" s="745"/>
      <c r="AO11" s="745"/>
      <c r="AP11" s="745"/>
      <c r="AQ11" s="745"/>
      <c r="AR11" s="745"/>
      <c r="AS11" s="745"/>
      <c r="AT11" s="745"/>
      <c r="AU11" s="747"/>
    </row>
    <row r="12" ht="15" customHeight="1">
      <c r="A12" s="12"/>
      <c r="B12" s="748">
        <v>0</v>
      </c>
      <c r="C12" t="str" s="750" cm="1">
        <f t="array" ref="C12">IF(B12&gt;0,IF(VLOOKUP(C1,'Boats Data Sheet 2026'!$C$3:$J$57,8,0)="N/A",0,VLOOKUP(C1,'Boats Data Sheet 2026'!$C$3:$J$57,8,0)),"N/A")</f>
        <v>N/A</v>
      </c>
      <c r="D12" t="str" s="750" cm="1">
        <f t="array" ref="D12">IF(B12&gt;7,2,IF(B12=0,"N/A",1))</f>
        <v>N/A</v>
      </c>
      <c r="E12" t="str" s="750" cm="1">
        <f t="array" ref="E12">_xlfn.IFERROR(SUM('Direct Costs 2026'!$C$10:$C$11,'Direct Costs 2026'!$C$48)*D12,"N/A")</f>
        <v>N/A</v>
      </c>
      <c r="F12" s="745" cm="1">
        <f t="array" ref="F12">_xlfn.IFERROR('Direct Costs 2026'!$C$43*B12,"N/A")</f>
        <v>0</v>
      </c>
      <c r="G12" t="str" s="750" cm="1">
        <f t="array" ref="G12">IF(B12&gt;0,'Direct Costs 2026'!$C$25,"N/A")</f>
        <v>N/A</v>
      </c>
      <c r="H12" t="str" s="750" cm="1">
        <f t="array" ref="H12">IF(B12&gt;0,('Direct Costs 2026'!$C$14+'Direct Costs 2026'!$C$22),"N/A")</f>
        <v>N/A</v>
      </c>
      <c r="I12" t="str" s="750" cm="1">
        <f t="array" ref="I12">IF(B12&gt;0,'Direct Costs 2026'!$C$26,"N/A")</f>
        <v>N/A</v>
      </c>
      <c r="J12" t="str" s="750" cm="1">
        <f t="array" ref="J12">IF(B12&gt;0,'Direct Costs 2026'!$C$23,"N/A")</f>
        <v>N/A</v>
      </c>
      <c r="K12" t="str" s="750" cm="1">
        <f t="array" ref="K12">IF(B12&gt;0,'Direct Costs 2026'!$C$33,"N/A")</f>
        <v>N/A</v>
      </c>
      <c r="L12" t="str" s="750" cm="1">
        <f t="array" ref="L12">IF(B12&gt;0,'Direct Costs 2026'!$C$57*B12,"N/A")</f>
        <v>N/A</v>
      </c>
      <c r="M12" t="str" s="750" cm="1">
        <f t="array" ref="M12">IF(B12&gt;0,MIN('Direct Costs 2026'!$C$58*B12,'Direct Costs 2026'!$C$58*2),"N/A")</f>
        <v>N/A</v>
      </c>
      <c r="N12" s="745">
        <v>0</v>
      </c>
      <c r="O12" t="str" s="750" cm="1">
        <f t="array" ref="O12">_xlfn.IFERROR(C12+SUM(E12:N12),"N/A")</f>
        <v>N/A</v>
      </c>
      <c r="P12" s="424"/>
      <c r="Q12" t="str" s="750" cm="1">
        <f t="array" ref="Q12">IF(B12&gt;0,'Allocation OH and Target 2025'!$E$31,"N/A")</f>
        <v>N/A</v>
      </c>
      <c r="R12" t="str" s="750" cm="1">
        <f t="array" ref="R12">IF(B12&gt;0,'Direct Costs 2026'!$C$56*B12,"N/A")</f>
        <v>N/A</v>
      </c>
      <c r="S12" t="str" s="750" cm="1">
        <f t="array" ref="S12">_xlfn.IFERROR((Q12+R12),"N/A")</f>
        <v>N/A</v>
      </c>
      <c r="T12" s="424"/>
      <c r="U12" t="str" s="750" cm="1">
        <f t="array" ref="U12">_xlfn.IFERROR(S12+O12,"N/A")</f>
        <v>N/A</v>
      </c>
      <c r="V12" s="745"/>
      <c r="W12" t="str" s="750" cm="1">
        <f t="array" ref="W12">IF(B12&gt;0,'Direct Costs 2026'!$C$12,"N/A")</f>
        <v>N/A</v>
      </c>
      <c r="X12" s="745"/>
      <c r="Y12" t="str" s="750" cm="1">
        <f t="array" ref="Y12">_xlfn.IFERROR((U12+W12)*0.5%,"N/A")</f>
        <v>N/A</v>
      </c>
      <c r="Z12" t="str" s="750" cm="1">
        <f t="array" ref="Z12">_xlfn.IFERROR((U12+W12+Y12+X12+V12)*25%,"N/A")</f>
        <v>N/A</v>
      </c>
      <c r="AA12" t="str" s="730" cm="1">
        <f t="array" ref="AA12">IF(B12&gt;0,SUM(U12:Z12),"N/A")</f>
        <v>N/A</v>
      </c>
      <c r="AB12" t="str" s="730" cm="1">
        <f t="array" ref="AB12">_xlfn.IFERROR((AA12-AVERAGE(AA4:AA9)),"N/A")</f>
        <v>N/A</v>
      </c>
      <c r="AC12" s="424"/>
      <c r="AD12" t="str" s="750" cm="1">
        <f t="array" ref="AD12">_xlfn.IFERROR(S12+O12,"N/A")</f>
        <v>N/A</v>
      </c>
      <c r="AE12" t="str" s="750" cm="1">
        <f t="array" ref="AE12">IF(B12&gt;0,'Direct Costs 2026'!$C$13,"N/A")</f>
        <v>N/A</v>
      </c>
      <c r="AF12" t="str" s="750" cm="1">
        <f t="array" ref="AF12">IF(B12&gt;0,'Direct Costs 2026'!$C$12,"N/A")</f>
        <v>N/A</v>
      </c>
      <c r="AG12" s="745"/>
      <c r="AH12" t="str" s="750" cm="1">
        <f t="array" ref="AH12">_xlfn.IFERROR((AD12+AF12)*0.5%,"N/A")</f>
        <v>N/A</v>
      </c>
      <c r="AI12" t="str" s="750" cm="1">
        <f t="array" ref="AI12">_xlfn.IFERROR((AD12+AF12+AH12+AG12+AE12)*25%,"N/A")</f>
        <v>N/A</v>
      </c>
      <c r="AJ12" s="746" cm="1">
        <f t="array" ref="AJ12">IF(M12&gt;0,SUM(AD12:AI12),"N/A")</f>
        <v>0</v>
      </c>
      <c r="AK12" t="str" s="730" cm="1">
        <f t="array" ref="AK12">_xlfn.IFERROR(ROUND(AJ12/B12,-4),"N/A")</f>
        <v>N/A</v>
      </c>
      <c r="AL12" t="str" s="730" cm="1">
        <f t="array" ref="AL12">_xlfn.IFERROR((AK12-AB12),"N/A")</f>
        <v>N/A</v>
      </c>
      <c r="AM12" s="424"/>
      <c r="AN12" s="745"/>
      <c r="AO12" s="745"/>
      <c r="AP12" s="745"/>
      <c r="AQ12" s="745"/>
      <c r="AR12" s="745"/>
      <c r="AS12" s="745"/>
      <c r="AT12" s="745"/>
      <c r="AU12" s="747"/>
    </row>
    <row r="13" ht="15" customHeight="1">
      <c r="A13" s="12"/>
      <c r="B13" s="748">
        <v>0</v>
      </c>
      <c r="C13" t="str" s="750" cm="1">
        <f t="array" ref="C13">IF(B13&gt;0,IF(VLOOKUP(C1,'Boats Data Sheet 2026'!$C$3:$J$57,8,0)="N/A",0,VLOOKUP(C1,'Boats Data Sheet 2026'!$C$3:$J$57,8,0)),"N/A")</f>
        <v>N/A</v>
      </c>
      <c r="D13" t="str" s="750" cm="1">
        <f t="array" ref="D13">IF(B13&gt;7,2,IF(B13=0,"N/A",1))</f>
        <v>N/A</v>
      </c>
      <c r="E13" t="str" s="750" cm="1">
        <f t="array" ref="E13">_xlfn.IFERROR(SUM('Direct Costs 2026'!$C$10:$C$11,'Direct Costs 2026'!$C$48)*D13,"N/A")</f>
        <v>N/A</v>
      </c>
      <c r="F13" s="745" cm="1">
        <f t="array" ref="F13">_xlfn.IFERROR('Direct Costs 2026'!$C$43*B13,"N/A")</f>
        <v>0</v>
      </c>
      <c r="G13" t="str" s="750" cm="1">
        <f t="array" ref="G13">IF(B13&gt;0,'Direct Costs 2026'!$C$25,"N/A")</f>
        <v>N/A</v>
      </c>
      <c r="H13" t="str" s="750" cm="1">
        <f t="array" ref="H13">IF(B13&gt;0,('Direct Costs 2026'!$C$14+'Direct Costs 2026'!$C$22),"N/A")</f>
        <v>N/A</v>
      </c>
      <c r="I13" t="str" s="750" cm="1">
        <f t="array" ref="I13">IF(B13&gt;0,'Direct Costs 2026'!$C$26,"N/A")</f>
        <v>N/A</v>
      </c>
      <c r="J13" t="str" s="750" cm="1">
        <f t="array" ref="J13">IF(B13&gt;0,'Direct Costs 2026'!$C$23,"N/A")</f>
        <v>N/A</v>
      </c>
      <c r="K13" t="str" s="750" cm="1">
        <f t="array" ref="K13">IF(B13&gt;0,'Direct Costs 2026'!$C$33,"N/A")</f>
        <v>N/A</v>
      </c>
      <c r="L13" t="str" s="750" cm="1">
        <f t="array" ref="L13">IF(B13&gt;0,'Direct Costs 2026'!$C$57*B13,"N/A")</f>
        <v>N/A</v>
      </c>
      <c r="M13" t="str" s="750" cm="1">
        <f t="array" ref="M13">IF(B13&gt;0,MIN('Direct Costs 2026'!$C$58*B13,'Direct Costs 2026'!$C$58*2),"N/A")</f>
        <v>N/A</v>
      </c>
      <c r="N13" s="745">
        <v>0</v>
      </c>
      <c r="O13" t="str" s="750" cm="1">
        <f t="array" ref="O13">_xlfn.IFERROR(C13+SUM(E13:N13),"N/A")</f>
        <v>N/A</v>
      </c>
      <c r="P13" s="424"/>
      <c r="Q13" t="str" s="750" cm="1">
        <f t="array" ref="Q13">IF(B13&gt;0,'Allocation OH and Target 2025'!$E$31,"N/A")</f>
        <v>N/A</v>
      </c>
      <c r="R13" t="str" s="750" cm="1">
        <f t="array" ref="R13">IF(B13&gt;0,'Direct Costs 2026'!$C$56*B13,"N/A")</f>
        <v>N/A</v>
      </c>
      <c r="S13" t="str" s="750" cm="1">
        <f t="array" ref="S13">_xlfn.IFERROR((Q13+R13),"N/A")</f>
        <v>N/A</v>
      </c>
      <c r="T13" s="424"/>
      <c r="U13" t="str" s="750" cm="1">
        <f t="array" ref="U13">_xlfn.IFERROR(S13+O13,"N/A")</f>
        <v>N/A</v>
      </c>
      <c r="V13" s="745"/>
      <c r="W13" t="str" s="750" cm="1">
        <f t="array" ref="W13">IF(B13&gt;0,'Direct Costs 2026'!$C$12,"N/A")</f>
        <v>N/A</v>
      </c>
      <c r="X13" s="745"/>
      <c r="Y13" t="str" s="750" cm="1">
        <f t="array" ref="Y13">_xlfn.IFERROR((U13+W13)*0.5%,"N/A")</f>
        <v>N/A</v>
      </c>
      <c r="Z13" t="str" s="750" cm="1">
        <f t="array" ref="Z13">_xlfn.IFERROR((U13+W13+Y13+X13+V13)*25%,"N/A")</f>
        <v>N/A</v>
      </c>
      <c r="AA13" t="str" s="730" cm="1">
        <f t="array" ref="AA13">IF(B13&gt;0,SUM(U13:Z13),"N/A")</f>
        <v>N/A</v>
      </c>
      <c r="AB13" t="str" s="730" cm="1">
        <f t="array" ref="AB13">_xlfn.IFERROR((AA13-AVERAGE(AA5:AA10)),"N/A")</f>
        <v>N/A</v>
      </c>
      <c r="AC13" s="424"/>
      <c r="AD13" t="str" s="750" cm="1">
        <f t="array" ref="AD13">_xlfn.IFERROR(S13+O13,"N/A")</f>
        <v>N/A</v>
      </c>
      <c r="AE13" t="str" s="750" cm="1">
        <f t="array" ref="AE13">IF(B13&gt;0,'Direct Costs 2026'!$C$13,"N/A")</f>
        <v>N/A</v>
      </c>
      <c r="AF13" t="str" s="750" cm="1">
        <f t="array" ref="AF13">IF(B13&gt;0,'Direct Costs 2026'!$C$12,"N/A")</f>
        <v>N/A</v>
      </c>
      <c r="AG13" s="745"/>
      <c r="AH13" t="str" s="750" cm="1">
        <f t="array" ref="AH13">_xlfn.IFERROR((AD13+AF13)*0.5%,"N/A")</f>
        <v>N/A</v>
      </c>
      <c r="AI13" t="str" s="750" cm="1">
        <f t="array" ref="AI13">_xlfn.IFERROR((AD13+AF13+AH13+AG13+AE13)*25%,"N/A")</f>
        <v>N/A</v>
      </c>
      <c r="AJ13" s="746" cm="1">
        <f t="array" ref="AJ13">IF(M13&gt;0,SUM(AD13:AI13),"N/A")</f>
        <v>0</v>
      </c>
      <c r="AK13" t="str" s="730" cm="1">
        <f t="array" ref="AK13">_xlfn.IFERROR(ROUND(AJ13/B13,-4),"N/A")</f>
        <v>N/A</v>
      </c>
      <c r="AL13" t="str" s="730" cm="1">
        <f t="array" ref="AL13">_xlfn.IFERROR((AK13-AB13),"N/A")</f>
        <v>N/A</v>
      </c>
      <c r="AM13" s="424"/>
      <c r="AN13" s="745"/>
      <c r="AO13" s="745"/>
      <c r="AP13" s="745"/>
      <c r="AQ13" s="745"/>
      <c r="AR13" s="745"/>
      <c r="AS13" s="745"/>
      <c r="AT13" s="745"/>
      <c r="AU13" s="747"/>
    </row>
    <row r="14" ht="15" customHeight="1">
      <c r="A14" s="12"/>
      <c r="B14" s="748">
        <v>0</v>
      </c>
      <c r="C14" t="str" s="750" cm="1">
        <f t="array" ref="C14">IF(B14&gt;0,IF(VLOOKUP(C1,'Boats Data Sheet 2026'!$C$3:$J$57,8,0)="N/A",0,VLOOKUP(C1,'Boats Data Sheet 2026'!$C$3:$J$57,8,0)),"N/A")</f>
        <v>N/A</v>
      </c>
      <c r="D14" t="str" s="750" cm="1">
        <f t="array" ref="D14">IF(B14&gt;7,2,IF(B14=0,"N/A",1))</f>
        <v>N/A</v>
      </c>
      <c r="E14" t="str" s="750" cm="1">
        <f t="array" ref="E14">_xlfn.IFERROR(SUM('Direct Costs 2026'!$C$10:$C$11,'Direct Costs 2026'!$C$48)*D14,"N/A")</f>
        <v>N/A</v>
      </c>
      <c r="F14" s="745" cm="1">
        <f t="array" ref="F14">_xlfn.IFERROR('Direct Costs 2026'!$C$43*B14,"N/A")</f>
        <v>0</v>
      </c>
      <c r="G14" t="str" s="750" cm="1">
        <f t="array" ref="G14">IF(B14&gt;0,'Direct Costs 2026'!$C$25,"N/A")</f>
        <v>N/A</v>
      </c>
      <c r="H14" t="str" s="750" cm="1">
        <f t="array" ref="H14">IF(B14&gt;0,('Direct Costs 2026'!$C$14+'Direct Costs 2026'!$C$22),"N/A")</f>
        <v>N/A</v>
      </c>
      <c r="I14" t="str" s="750" cm="1">
        <f t="array" ref="I14">IF(B14&gt;0,'Direct Costs 2026'!$C$26,"N/A")</f>
        <v>N/A</v>
      </c>
      <c r="J14" t="str" s="750" cm="1">
        <f t="array" ref="J14">IF(B14&gt;0,'Direct Costs 2026'!$C$23,"N/A")</f>
        <v>N/A</v>
      </c>
      <c r="K14" t="str" s="750" cm="1">
        <f t="array" ref="K14">IF(B14&gt;0,'Direct Costs 2026'!$C$33,"N/A")</f>
        <v>N/A</v>
      </c>
      <c r="L14" t="str" s="750" cm="1">
        <f t="array" ref="L14">IF(B14&gt;0,'Direct Costs 2026'!$C$57*B14,"N/A")</f>
        <v>N/A</v>
      </c>
      <c r="M14" t="str" s="750" cm="1">
        <f t="array" ref="M14">IF(B14&gt;0,MIN('Direct Costs 2026'!$C$58*B14,'Direct Costs 2026'!$C$58*2),"N/A")</f>
        <v>N/A</v>
      </c>
      <c r="N14" s="745">
        <v>0</v>
      </c>
      <c r="O14" t="str" s="750" cm="1">
        <f t="array" ref="O14">_xlfn.IFERROR(C14+SUM(E14:N14),"N/A")</f>
        <v>N/A</v>
      </c>
      <c r="P14" s="424"/>
      <c r="Q14" t="str" s="750" cm="1">
        <f t="array" ref="Q14">IF(B14&gt;0,'Allocation OH and Target 2025'!$E$31,"N/A")</f>
        <v>N/A</v>
      </c>
      <c r="R14" t="str" s="750" cm="1">
        <f t="array" ref="R14">IF(B14&gt;0,'Direct Costs 2026'!$C$56*B14,"N/A")</f>
        <v>N/A</v>
      </c>
      <c r="S14" t="str" s="750" cm="1">
        <f t="array" ref="S14">_xlfn.IFERROR((Q14+R14),"N/A")</f>
        <v>N/A</v>
      </c>
      <c r="T14" s="424"/>
      <c r="U14" t="str" s="750" cm="1">
        <f t="array" ref="U14">_xlfn.IFERROR(S14+O14,"N/A")</f>
        <v>N/A</v>
      </c>
      <c r="V14" s="745"/>
      <c r="W14" t="str" s="750" cm="1">
        <f t="array" ref="W14">IF(B14&gt;0,'Direct Costs 2026'!$C$12,"N/A")</f>
        <v>N/A</v>
      </c>
      <c r="X14" s="745"/>
      <c r="Y14" t="str" s="750" cm="1">
        <f t="array" ref="Y14">_xlfn.IFERROR((U14+W14)*0.5%,"N/A")</f>
        <v>N/A</v>
      </c>
      <c r="Z14" t="str" s="750" cm="1">
        <f t="array" ref="Z14">_xlfn.IFERROR((U14+W14+Y14+X14+V14)*25%,"N/A")</f>
        <v>N/A</v>
      </c>
      <c r="AA14" t="str" s="730" cm="1">
        <f t="array" ref="AA14">IF(B14&gt;0,SUM(U14:Z14),"N/A")</f>
        <v>N/A</v>
      </c>
      <c r="AB14" t="str" s="730" cm="1">
        <f t="array" ref="AB14">_xlfn.IFERROR((AA14-AVERAGE(AA6:AA11)),"N/A")</f>
        <v>N/A</v>
      </c>
      <c r="AC14" s="424"/>
      <c r="AD14" t="str" s="750" cm="1">
        <f t="array" ref="AD14">_xlfn.IFERROR(S14+O14,"N/A")</f>
        <v>N/A</v>
      </c>
      <c r="AE14" t="str" s="750" cm="1">
        <f t="array" ref="AE14">IF(B14&gt;0,'Direct Costs 2026'!$C$13,"N/A")</f>
        <v>N/A</v>
      </c>
      <c r="AF14" t="str" s="750" cm="1">
        <f t="array" ref="AF14">IF(B14&gt;0,'Direct Costs 2026'!$C$12,"N/A")</f>
        <v>N/A</v>
      </c>
      <c r="AG14" s="745"/>
      <c r="AH14" t="str" s="750" cm="1">
        <f t="array" ref="AH14">_xlfn.IFERROR((AD14+AF14)*0.5%,"N/A")</f>
        <v>N/A</v>
      </c>
      <c r="AI14" t="str" s="750" cm="1">
        <f t="array" ref="AI14">_xlfn.IFERROR((AD14+AF14+AH14+AG14+AE14)*25%,"N/A")</f>
        <v>N/A</v>
      </c>
      <c r="AJ14" s="746" cm="1">
        <f t="array" ref="AJ14">IF(M14&gt;0,SUM(AD14:AI14),"N/A")</f>
        <v>0</v>
      </c>
      <c r="AK14" t="str" s="730" cm="1">
        <f t="array" ref="AK14">_xlfn.IFERROR(ROUND(AJ14/B14,-4),"N/A")</f>
        <v>N/A</v>
      </c>
      <c r="AL14" t="str" s="730" cm="1">
        <f t="array" ref="AL14">_xlfn.IFERROR((AK14-AB14),"N/A")</f>
        <v>N/A</v>
      </c>
      <c r="AM14" s="424"/>
      <c r="AN14" s="745"/>
      <c r="AO14" s="745"/>
      <c r="AP14" s="745"/>
      <c r="AQ14" s="745"/>
      <c r="AR14" s="745"/>
      <c r="AS14" s="745"/>
      <c r="AT14" s="745"/>
      <c r="AU14" s="747"/>
    </row>
    <row r="15" ht="15" customHeight="1">
      <c r="A15" s="12"/>
      <c r="B15" s="748">
        <v>0</v>
      </c>
      <c r="C15" t="str" s="750" cm="1">
        <f t="array" ref="C15">IF(B15&gt;0,IF(VLOOKUP(C1,'Boats Data Sheet 2026'!$C$3:$J$57,8,0)="N/A",0,VLOOKUP(C1,'Boats Data Sheet 2026'!$C$3:$J$57,8,0)),"N/A")</f>
        <v>N/A</v>
      </c>
      <c r="D15" t="str" s="750" cm="1">
        <f t="array" ref="D15">IF(B15&gt;7,2,IF(B15=0,"N/A",1))</f>
        <v>N/A</v>
      </c>
      <c r="E15" t="str" s="750" cm="1">
        <f t="array" ref="E15">_xlfn.IFERROR(SUM('Direct Costs 2026'!$C$10:$C$11,'Direct Costs 2026'!$C$48)*D15,"N/A")</f>
        <v>N/A</v>
      </c>
      <c r="F15" s="745" cm="1">
        <f t="array" ref="F15">_xlfn.IFERROR('Direct Costs 2026'!$C$43*B15,"N/A")</f>
        <v>0</v>
      </c>
      <c r="G15" t="str" s="750" cm="1">
        <f t="array" ref="G15">IF(B15&gt;0,'Direct Costs 2026'!$C$25,"N/A")</f>
        <v>N/A</v>
      </c>
      <c r="H15" t="str" s="750" cm="1">
        <f t="array" ref="H15">IF(B15&gt;0,('Direct Costs 2026'!$C$14+'Direct Costs 2026'!$C$22),"N/A")</f>
        <v>N/A</v>
      </c>
      <c r="I15" t="str" s="750" cm="1">
        <f t="array" ref="I15">IF(B15&gt;0,'Direct Costs 2026'!$C$26,"N/A")</f>
        <v>N/A</v>
      </c>
      <c r="J15" t="str" s="750" cm="1">
        <f t="array" ref="J15">IF(B15&gt;0,'Direct Costs 2026'!$C$23,"N/A")</f>
        <v>N/A</v>
      </c>
      <c r="K15" t="str" s="750" cm="1">
        <f t="array" ref="K15">IF(B15&gt;0,'Direct Costs 2026'!$C$33,"N/A")</f>
        <v>N/A</v>
      </c>
      <c r="L15" t="str" s="750" cm="1">
        <f t="array" ref="L15">IF(B15&gt;0,'Direct Costs 2026'!$C$57*B15,"N/A")</f>
        <v>N/A</v>
      </c>
      <c r="M15" t="str" s="750" cm="1">
        <f t="array" ref="M15">IF(B15&gt;0,MIN('Direct Costs 2026'!$C$58*B15,'Direct Costs 2026'!$C$58*2),"N/A")</f>
        <v>N/A</v>
      </c>
      <c r="N15" s="745">
        <v>0</v>
      </c>
      <c r="O15" t="str" s="750" cm="1">
        <f t="array" ref="O15">_xlfn.IFERROR(C15+SUM(E15:N15),"N/A")</f>
        <v>N/A</v>
      </c>
      <c r="P15" s="424"/>
      <c r="Q15" t="str" s="750" cm="1">
        <f t="array" ref="Q15">IF(B15&gt;0,'Allocation OH and Target 2025'!$E$31,"N/A")</f>
        <v>N/A</v>
      </c>
      <c r="R15" t="str" s="750" cm="1">
        <f t="array" ref="R15">IF(B15&gt;0,'Direct Costs 2026'!$C$56*B15,"N/A")</f>
        <v>N/A</v>
      </c>
      <c r="S15" t="str" s="750" cm="1">
        <f t="array" ref="S15">_xlfn.IFERROR((Q15+R15),"N/A")</f>
        <v>N/A</v>
      </c>
      <c r="T15" s="424"/>
      <c r="U15" t="str" s="750" cm="1">
        <f t="array" ref="U15">_xlfn.IFERROR(S15+O15,"N/A")</f>
        <v>N/A</v>
      </c>
      <c r="V15" s="745"/>
      <c r="W15" t="str" s="750" cm="1">
        <f t="array" ref="W15">IF(B15&gt;0,'Direct Costs 2026'!$C$12,"N/A")</f>
        <v>N/A</v>
      </c>
      <c r="X15" s="745"/>
      <c r="Y15" t="str" s="750" cm="1">
        <f t="array" ref="Y15">_xlfn.IFERROR((U15+W15)*0.5%,"N/A")</f>
        <v>N/A</v>
      </c>
      <c r="Z15" t="str" s="750" cm="1">
        <f t="array" ref="Z15">_xlfn.IFERROR((U15+W15+Y15+X15+V15)*25%,"N/A")</f>
        <v>N/A</v>
      </c>
      <c r="AA15" t="str" s="730" cm="1">
        <f t="array" ref="AA15">IF(B15&gt;0,SUM(U15:Z15),"N/A")</f>
        <v>N/A</v>
      </c>
      <c r="AB15" t="str" s="730" cm="1">
        <f t="array" ref="AB15">_xlfn.IFERROR((AA15-AVERAGE(AA6:AA11)),"N/A")</f>
        <v>N/A</v>
      </c>
      <c r="AC15" s="424"/>
      <c r="AD15" t="str" s="750" cm="1">
        <f t="array" ref="AD15">_xlfn.IFERROR(S15+O15,"N/A")</f>
        <v>N/A</v>
      </c>
      <c r="AE15" t="str" s="750" cm="1">
        <f t="array" ref="AE15">IF(B15&gt;0,'Direct Costs 2026'!$C$13,"N/A")</f>
        <v>N/A</v>
      </c>
      <c r="AF15" t="str" s="750" cm="1">
        <f t="array" ref="AF15">IF(B15&gt;0,'Direct Costs 2026'!$C$12,"N/A")</f>
        <v>N/A</v>
      </c>
      <c r="AG15" s="745"/>
      <c r="AH15" t="str" s="750" cm="1">
        <f t="array" ref="AH15">_xlfn.IFERROR((AD15+AF15)*0.5%,"N/A")</f>
        <v>N/A</v>
      </c>
      <c r="AI15" t="str" s="750" cm="1">
        <f t="array" ref="AI15">_xlfn.IFERROR((AD15+AF15+AH15+AG15+AE15)*25%,"N/A")</f>
        <v>N/A</v>
      </c>
      <c r="AJ15" s="746" cm="1">
        <f t="array" ref="AJ15">IF(M15&gt;0,SUM(AD15:AI15),"N/A")</f>
        <v>0</v>
      </c>
      <c r="AK15" t="str" s="730" cm="1">
        <f t="array" ref="AK15">_xlfn.IFERROR(ROUND(AJ15/B15,-4),"N/A")</f>
        <v>N/A</v>
      </c>
      <c r="AL15" t="str" s="730" cm="1">
        <f t="array" ref="AL15">_xlfn.IFERROR((AK15-AB15),"N/A")</f>
        <v>N/A</v>
      </c>
      <c r="AM15" s="424"/>
      <c r="AN15" s="745"/>
      <c r="AO15" s="745"/>
      <c r="AP15" s="745"/>
      <c r="AQ15" s="745"/>
      <c r="AR15" s="745"/>
      <c r="AS15" s="745"/>
      <c r="AT15" s="745"/>
      <c r="AU15" s="747"/>
    </row>
    <row r="16" ht="15" customHeight="1">
      <c r="A16" s="12"/>
      <c r="B16" s="748">
        <v>0</v>
      </c>
      <c r="C16" t="str" s="750" cm="1">
        <f t="array" ref="C16">IF(B16&gt;0,IF(VLOOKUP(C1,'Boats Data Sheet 2026'!$C$3:$J$57,8,0)="N/A",0,VLOOKUP(C1,'Boats Data Sheet 2026'!$C$3:$J$57,8,0)),"N/A")</f>
        <v>N/A</v>
      </c>
      <c r="D16" t="str" s="750" cm="1">
        <f t="array" ref="D16">IF(B16&gt;7,2,IF(B16=0,"N/A",1))</f>
        <v>N/A</v>
      </c>
      <c r="E16" t="str" s="750" cm="1">
        <f t="array" ref="E16">_xlfn.IFERROR(SUM('Direct Costs 2026'!$C$10:$C$11,'Direct Costs 2026'!$C$48)*D16,"N/A")</f>
        <v>N/A</v>
      </c>
      <c r="F16" s="745" cm="1">
        <f t="array" ref="F16">_xlfn.IFERROR('Direct Costs 2026'!$C$43*B16,"N/A")</f>
        <v>0</v>
      </c>
      <c r="G16" t="str" s="750" cm="1">
        <f t="array" ref="G16">IF(B16&gt;0,'Direct Costs 2026'!$C$25,"N/A")</f>
        <v>N/A</v>
      </c>
      <c r="H16" t="str" s="750" cm="1">
        <f t="array" ref="H16">IF(B16&gt;0,('Direct Costs 2026'!$C$14+'Direct Costs 2026'!$C$22),"N/A")</f>
        <v>N/A</v>
      </c>
      <c r="I16" t="str" s="750" cm="1">
        <f t="array" ref="I16">IF(B16&gt;0,'Direct Costs 2026'!$C$26,"N/A")</f>
        <v>N/A</v>
      </c>
      <c r="J16" t="str" s="750" cm="1">
        <f t="array" ref="J16">IF(B16&gt;0,'Direct Costs 2026'!$C$23,"N/A")</f>
        <v>N/A</v>
      </c>
      <c r="K16" t="str" s="750" cm="1">
        <f t="array" ref="K16">IF(B16&gt;0,'Direct Costs 2026'!$C$33,"N/A")</f>
        <v>N/A</v>
      </c>
      <c r="L16" t="str" s="750" cm="1">
        <f t="array" ref="L16">IF(B16&gt;0,'Direct Costs 2026'!$C$57*B16,"N/A")</f>
        <v>N/A</v>
      </c>
      <c r="M16" t="str" s="750" cm="1">
        <f t="array" ref="M16">IF(B16&gt;0,MIN('Direct Costs 2026'!$C$58*B16,'Direct Costs 2026'!$C$58*2),"N/A")</f>
        <v>N/A</v>
      </c>
      <c r="N16" s="745">
        <v>0</v>
      </c>
      <c r="O16" t="str" s="750" cm="1">
        <f t="array" ref="O16">_xlfn.IFERROR(C16+SUM(E16:N16),"N/A")</f>
        <v>N/A</v>
      </c>
      <c r="P16" s="424"/>
      <c r="Q16" t="str" s="750" cm="1">
        <f t="array" ref="Q16">IF(B16&gt;0,'Allocation OH and Target 2025'!$E$31,"N/A")</f>
        <v>N/A</v>
      </c>
      <c r="R16" t="str" s="750" cm="1">
        <f t="array" ref="R16">IF(B16&gt;0,'Direct Costs 2026'!$C$56*B16,"N/A")</f>
        <v>N/A</v>
      </c>
      <c r="S16" t="str" s="750" cm="1">
        <f t="array" ref="S16">_xlfn.IFERROR((Q16+R16),"N/A")</f>
        <v>N/A</v>
      </c>
      <c r="T16" s="424"/>
      <c r="U16" t="str" s="750" cm="1">
        <f t="array" ref="U16">_xlfn.IFERROR(S16+O16,"N/A")</f>
        <v>N/A</v>
      </c>
      <c r="V16" s="745"/>
      <c r="W16" t="str" s="750" cm="1">
        <f t="array" ref="W16">IF(B16&gt;0,'Direct Costs 2026'!$C$12,"N/A")</f>
        <v>N/A</v>
      </c>
      <c r="X16" s="745"/>
      <c r="Y16" t="str" s="750" cm="1">
        <f t="array" ref="Y16">_xlfn.IFERROR((U16+W16)*0.5%,"N/A")</f>
        <v>N/A</v>
      </c>
      <c r="Z16" t="str" s="750" cm="1">
        <f t="array" ref="Z16">_xlfn.IFERROR((U16+W16+Y16+X16+V16)*25%,"N/A")</f>
        <v>N/A</v>
      </c>
      <c r="AA16" t="str" s="730" cm="1">
        <f t="array" ref="AA16">IF(B16&gt;0,SUM(U16:Z16),"N/A")</f>
        <v>N/A</v>
      </c>
      <c r="AB16" t="str" s="730" cm="1">
        <f t="array" ref="AB16">_xlfn.IFERROR((AA16-AVERAGE(AA6:AA11)),"N/A")</f>
        <v>N/A</v>
      </c>
      <c r="AC16" s="424"/>
      <c r="AD16" t="str" s="750" cm="1">
        <f t="array" ref="AD16">_xlfn.IFERROR(S16+O16,"N/A")</f>
        <v>N/A</v>
      </c>
      <c r="AE16" t="str" s="750" cm="1">
        <f t="array" ref="AE16">IF(B16&gt;0,'Direct Costs 2026'!$C$13,"N/A")</f>
        <v>N/A</v>
      </c>
      <c r="AF16" t="str" s="750" cm="1">
        <f t="array" ref="AF16">IF(B16&gt;0,'Direct Costs 2026'!$C$12,"N/A")</f>
        <v>N/A</v>
      </c>
      <c r="AG16" s="745"/>
      <c r="AH16" t="str" s="750" cm="1">
        <f t="array" ref="AH16">_xlfn.IFERROR((AD16+AF16)*0.5%,"N/A")</f>
        <v>N/A</v>
      </c>
      <c r="AI16" t="str" s="750" cm="1">
        <f t="array" ref="AI16">_xlfn.IFERROR((AD16+AF16+AH16+AG16+AE16)*25%,"N/A")</f>
        <v>N/A</v>
      </c>
      <c r="AJ16" s="746" cm="1">
        <f t="array" ref="AJ16">IF(M16&gt;0,SUM(AD16:AI16),"N/A")</f>
        <v>0</v>
      </c>
      <c r="AK16" t="str" s="730" cm="1">
        <f t="array" ref="AK16">_xlfn.IFERROR(ROUND(AJ16/B16,-4),"N/A")</f>
        <v>N/A</v>
      </c>
      <c r="AL16" t="str" s="730" cm="1">
        <f t="array" ref="AL16">_xlfn.IFERROR((AK16-AB16),"N/A")</f>
        <v>N/A</v>
      </c>
      <c r="AM16" s="424"/>
      <c r="AN16" s="745"/>
      <c r="AO16" s="745"/>
      <c r="AP16" s="745"/>
      <c r="AQ16" s="745"/>
      <c r="AR16" s="745"/>
      <c r="AS16" s="745"/>
      <c r="AT16" s="745"/>
      <c r="AU16" s="747"/>
    </row>
    <row r="17" ht="15" customHeight="1">
      <c r="A17" s="12"/>
      <c r="B17" s="748">
        <v>0</v>
      </c>
      <c r="C17" t="str" s="750" cm="1">
        <f t="array" ref="C17">IF(B17&gt;0,IF(VLOOKUP(C1,'Boats Data Sheet 2026'!$C$3:$J$57,8,0)="N/A",0,VLOOKUP(C1,'Boats Data Sheet 2026'!$C$3:$J$57,8,0)),"N/A")</f>
        <v>N/A</v>
      </c>
      <c r="D17" t="str" s="750" cm="1">
        <f t="array" ref="D17">IF(B17&gt;7,2,IF(B17=0,"N/A",1))</f>
        <v>N/A</v>
      </c>
      <c r="E17" t="str" s="750" cm="1">
        <f t="array" ref="E17">_xlfn.IFERROR(SUM('Direct Costs 2026'!$C$10:$C$11,'Direct Costs 2026'!$C$48)*D17,"N/A")</f>
        <v>N/A</v>
      </c>
      <c r="F17" s="745" cm="1">
        <f t="array" ref="F17">_xlfn.IFERROR('Direct Costs 2026'!$C$43*B17,"N/A")</f>
        <v>0</v>
      </c>
      <c r="G17" t="str" s="750" cm="1">
        <f t="array" ref="G17">IF(B17&gt;0,'Direct Costs 2026'!$C$25,"N/A")</f>
        <v>N/A</v>
      </c>
      <c r="H17" t="str" s="750" cm="1">
        <f t="array" ref="H17">IF(B17&gt;0,('Direct Costs 2026'!$C$14+'Direct Costs 2026'!$C$22),"N/A")</f>
        <v>N/A</v>
      </c>
      <c r="I17" t="str" s="750" cm="1">
        <f t="array" ref="I17">IF(B17&gt;0,'Direct Costs 2026'!$C$26,"N/A")</f>
        <v>N/A</v>
      </c>
      <c r="J17" t="str" s="750" cm="1">
        <f t="array" ref="J17">IF(B17&gt;0,'Direct Costs 2026'!$C$23,"N/A")</f>
        <v>N/A</v>
      </c>
      <c r="K17" t="str" s="750" cm="1">
        <f t="array" ref="K17">IF(B17&gt;0,'Direct Costs 2026'!$C$33,"N/A")</f>
        <v>N/A</v>
      </c>
      <c r="L17" t="str" s="750" cm="1">
        <f t="array" ref="L17">IF(B17&gt;0,'Direct Costs 2026'!$C$57*B17,"N/A")</f>
        <v>N/A</v>
      </c>
      <c r="M17" t="str" s="750" cm="1">
        <f t="array" ref="M17">IF(B17&gt;0,MIN('Direct Costs 2026'!$C$58*B17,'Direct Costs 2026'!$C$58*2),"N/A")</f>
        <v>N/A</v>
      </c>
      <c r="N17" s="745">
        <v>0</v>
      </c>
      <c r="O17" t="str" s="750" cm="1">
        <f t="array" ref="O17">_xlfn.IFERROR(C17+SUM(E17:N17),"N/A")</f>
        <v>N/A</v>
      </c>
      <c r="P17" s="424"/>
      <c r="Q17" t="str" s="750" cm="1">
        <f t="array" ref="Q17">IF(B17&gt;0,'Allocation OH and Target 2025'!$E$31,"N/A")</f>
        <v>N/A</v>
      </c>
      <c r="R17" t="str" s="750" cm="1">
        <f t="array" ref="R17">IF(B17&gt;0,'Direct Costs 2026'!$C$56*B17,"N/A")</f>
        <v>N/A</v>
      </c>
      <c r="S17" t="str" s="750" cm="1">
        <f t="array" ref="S17">_xlfn.IFERROR((Q17+R17),"N/A")</f>
        <v>N/A</v>
      </c>
      <c r="T17" s="424"/>
      <c r="U17" t="str" s="750" cm="1">
        <f t="array" ref="U17">_xlfn.IFERROR(S17+O17,"N/A")</f>
        <v>N/A</v>
      </c>
      <c r="V17" s="745"/>
      <c r="W17" t="str" s="750" cm="1">
        <f t="array" ref="W17">IF(B17&gt;0,'Direct Costs 2026'!$C$12,"N/A")</f>
        <v>N/A</v>
      </c>
      <c r="X17" s="745"/>
      <c r="Y17" t="str" s="750" cm="1">
        <f t="array" ref="Y17">_xlfn.IFERROR((U17+W17)*0.5%,"N/A")</f>
        <v>N/A</v>
      </c>
      <c r="Z17" t="str" s="750" cm="1">
        <f t="array" ref="Z17">_xlfn.IFERROR((U17+W17+Y17+X17+V17)*25%,"N/A")</f>
        <v>N/A</v>
      </c>
      <c r="AA17" t="str" s="730" cm="1">
        <f t="array" ref="AA17">IF(B17&gt;0,SUM(U17:Z17),"N/A")</f>
        <v>N/A</v>
      </c>
      <c r="AB17" t="str" s="730" cm="1">
        <f t="array" ref="AB17">_xlfn.IFERROR((AA17-AVERAGE(AA6:AA11)),"N/A")</f>
        <v>N/A</v>
      </c>
      <c r="AC17" s="424"/>
      <c r="AD17" t="str" s="750" cm="1">
        <f t="array" ref="AD17">_xlfn.IFERROR(S17+O17,"N/A")</f>
        <v>N/A</v>
      </c>
      <c r="AE17" t="str" s="750" cm="1">
        <f t="array" ref="AE17">IF(B17&gt;0,'Direct Costs 2026'!$C$13,"N/A")</f>
        <v>N/A</v>
      </c>
      <c r="AF17" t="str" s="750" cm="1">
        <f t="array" ref="AF17">IF(B17&gt;0,'Direct Costs 2026'!$C$12,"N/A")</f>
        <v>N/A</v>
      </c>
      <c r="AG17" s="745"/>
      <c r="AH17" t="str" s="750" cm="1">
        <f t="array" ref="AH17">_xlfn.IFERROR((AD17+AF17)*0.5%,"N/A")</f>
        <v>N/A</v>
      </c>
      <c r="AI17" t="str" s="750" cm="1">
        <f t="array" ref="AI17">_xlfn.IFERROR((AD17+AF17+AH17+AG17+AE17)*25%,"N/A")</f>
        <v>N/A</v>
      </c>
      <c r="AJ17" s="746" cm="1">
        <f t="array" ref="AJ17">IF(M17&gt;0,SUM(AD17:AI17),"N/A")</f>
        <v>0</v>
      </c>
      <c r="AK17" t="str" s="730" cm="1">
        <f t="array" ref="AK17">_xlfn.IFERROR(ROUND(AJ17/B17,-4),"N/A")</f>
        <v>N/A</v>
      </c>
      <c r="AL17" t="str" s="730" cm="1">
        <f t="array" ref="AL17">_xlfn.IFERROR((AK17-AB17),"N/A")</f>
        <v>N/A</v>
      </c>
      <c r="AM17" s="424"/>
      <c r="AN17" s="745"/>
      <c r="AO17" s="745"/>
      <c r="AP17" s="745"/>
      <c r="AQ17" s="745"/>
      <c r="AR17" s="745"/>
      <c r="AS17" s="745"/>
      <c r="AT17" s="745"/>
      <c r="AU17" s="747"/>
    </row>
    <row r="18" ht="15" customHeight="1">
      <c r="A18" s="12"/>
      <c r="B18" s="748">
        <v>0</v>
      </c>
      <c r="C18" t="str" s="750" cm="1">
        <f t="array" ref="C18">IF(B18&gt;0,IF(VLOOKUP(C1,'Boats Data Sheet 2026'!$C$3:$J$57,8,0)="N/A",0,VLOOKUP(C1,'Boats Data Sheet 2026'!$C$3:$J$57,8,0)),"N/A")</f>
        <v>N/A</v>
      </c>
      <c r="D18" t="str" s="750" cm="1">
        <f t="array" ref="D18">IF(B18&gt;7,2,IF(B18=0,"N/A",1))</f>
        <v>N/A</v>
      </c>
      <c r="E18" t="str" s="750" cm="1">
        <f t="array" ref="E18">_xlfn.IFERROR(SUM('Direct Costs 2026'!$C$10:$C$11,'Direct Costs 2026'!$C$48)*D18,"N/A")</f>
        <v>N/A</v>
      </c>
      <c r="F18" s="745" cm="1">
        <f t="array" ref="F18">_xlfn.IFERROR('Direct Costs 2026'!$C$43*B18,"N/A")</f>
        <v>0</v>
      </c>
      <c r="G18" t="str" s="750" cm="1">
        <f t="array" ref="G18">IF(B18&gt;0,'Direct Costs 2026'!$C$25,"N/A")</f>
        <v>N/A</v>
      </c>
      <c r="H18" t="str" s="750" cm="1">
        <f t="array" ref="H18">IF(B18&gt;0,('Direct Costs 2026'!$C$14+'Direct Costs 2026'!$C$22),"N/A")</f>
        <v>N/A</v>
      </c>
      <c r="I18" t="str" s="750" cm="1">
        <f t="array" ref="I18">IF(B18&gt;0,'Direct Costs 2026'!$C$26,"N/A")</f>
        <v>N/A</v>
      </c>
      <c r="J18" t="str" s="750" cm="1">
        <f t="array" ref="J18">IF(B18&gt;0,'Direct Costs 2026'!$C$23,"N/A")</f>
        <v>N/A</v>
      </c>
      <c r="K18" t="str" s="750" cm="1">
        <f t="array" ref="K18">IF(B18&gt;0,'Direct Costs 2026'!$C$33,"N/A")</f>
        <v>N/A</v>
      </c>
      <c r="L18" t="str" s="750" cm="1">
        <f t="array" ref="L18">IF(B18&gt;0,'Direct Costs 2026'!$C$57*B18,"N/A")</f>
        <v>N/A</v>
      </c>
      <c r="M18" t="str" s="750" cm="1">
        <f t="array" ref="M18">IF(B18&gt;0,MIN('Direct Costs 2026'!$C$58*B18,'Direct Costs 2026'!$C$58*2),"N/A")</f>
        <v>N/A</v>
      </c>
      <c r="N18" s="745">
        <v>0</v>
      </c>
      <c r="O18" t="str" s="750" cm="1">
        <f t="array" ref="O18">_xlfn.IFERROR(C18+SUM(E18:N18),"N/A")</f>
        <v>N/A</v>
      </c>
      <c r="P18" s="424"/>
      <c r="Q18" t="str" s="750" cm="1">
        <f t="array" ref="Q18">IF(B18&gt;0,'Allocation OH and Target 2025'!$E$31,"N/A")</f>
        <v>N/A</v>
      </c>
      <c r="R18" t="str" s="750" cm="1">
        <f t="array" ref="R18">IF(B18&gt;0,'Direct Costs 2026'!$C$56*B18,"N/A")</f>
        <v>N/A</v>
      </c>
      <c r="S18" t="str" s="750" cm="1">
        <f t="array" ref="S18">_xlfn.IFERROR((Q18+R18),"N/A")</f>
        <v>N/A</v>
      </c>
      <c r="T18" s="424"/>
      <c r="U18" t="str" s="750" cm="1">
        <f t="array" ref="U18">_xlfn.IFERROR(S18+O18,"N/A")</f>
        <v>N/A</v>
      </c>
      <c r="V18" s="745"/>
      <c r="W18" t="str" s="750" cm="1">
        <f t="array" ref="W18">IF(B18&gt;0,'Direct Costs 2026'!$C$12,"N/A")</f>
        <v>N/A</v>
      </c>
      <c r="X18" s="745"/>
      <c r="Y18" t="str" s="750" cm="1">
        <f t="array" ref="Y18">_xlfn.IFERROR((U18+W18)*0.5%,"N/A")</f>
        <v>N/A</v>
      </c>
      <c r="Z18" t="str" s="750" cm="1">
        <f t="array" ref="Z18">_xlfn.IFERROR((U18+W18+Y18+X18+V18)*25%,"N/A")</f>
        <v>N/A</v>
      </c>
      <c r="AA18" t="str" s="730" cm="1">
        <f t="array" ref="AA18">IF(B18&gt;0,SUM(U18:Z18),"N/A")</f>
        <v>N/A</v>
      </c>
      <c r="AB18" t="str" s="730" cm="1">
        <f t="array" ref="AB18">_xlfn.IFERROR((AA18-AVERAGE(AA6:AA11)),"N/A")</f>
        <v>N/A</v>
      </c>
      <c r="AC18" s="424"/>
      <c r="AD18" t="str" s="750" cm="1">
        <f t="array" ref="AD18">_xlfn.IFERROR(S18+O18,"N/A")</f>
        <v>N/A</v>
      </c>
      <c r="AE18" t="str" s="750" cm="1">
        <f t="array" ref="AE18">IF(B18&gt;0,'Direct Costs 2026'!$C$13,"N/A")</f>
        <v>N/A</v>
      </c>
      <c r="AF18" t="str" s="750" cm="1">
        <f t="array" ref="AF18">IF(B18&gt;0,'Direct Costs 2026'!$C$12,"N/A")</f>
        <v>N/A</v>
      </c>
      <c r="AG18" s="745"/>
      <c r="AH18" t="str" s="750" cm="1">
        <f t="array" ref="AH18">_xlfn.IFERROR((AD18+AF18)*0.5%,"N/A")</f>
        <v>N/A</v>
      </c>
      <c r="AI18" t="str" s="750" cm="1">
        <f t="array" ref="AI18">_xlfn.IFERROR((AD18+AF18+AH18+AG18+AE18)*25%,"N/A")</f>
        <v>N/A</v>
      </c>
      <c r="AJ18" s="746" cm="1">
        <f t="array" ref="AJ18">IF(M18&gt;0,SUM(AD18:AI18),"N/A")</f>
        <v>0</v>
      </c>
      <c r="AK18" t="str" s="730" cm="1">
        <f t="array" ref="AK18">_xlfn.IFERROR(ROUND(AJ18/B18,-4),"N/A")</f>
        <v>N/A</v>
      </c>
      <c r="AL18" t="str" s="730" cm="1">
        <f t="array" ref="AL18">_xlfn.IFERROR((AK18-AB18),"N/A")</f>
        <v>N/A</v>
      </c>
      <c r="AM18" s="424"/>
      <c r="AN18" s="745"/>
      <c r="AO18" s="745"/>
      <c r="AP18" s="745"/>
      <c r="AQ18" s="745"/>
      <c r="AR18" s="745"/>
      <c r="AS18" s="745"/>
      <c r="AT18" s="745"/>
      <c r="AU18" s="747"/>
    </row>
    <row r="19" ht="15" customHeight="1">
      <c r="A19" s="12"/>
      <c r="B19" s="748">
        <v>0</v>
      </c>
      <c r="C19" t="str" s="750" cm="1">
        <f t="array" ref="C19">IF(B19&gt;0,IF(VLOOKUP(C1,'Boats Data Sheet 2026'!$C$3:$J$57,8,0)="N/A",0,VLOOKUP(C1,'Boats Data Sheet 2026'!$C$3:$J$57,8,0)),"N/A")</f>
        <v>N/A</v>
      </c>
      <c r="D19" t="str" s="750" cm="1">
        <f t="array" ref="D19">IF(B19&gt;7,2,IF(B19=0,"N/A",1))</f>
        <v>N/A</v>
      </c>
      <c r="E19" t="str" s="750" cm="1">
        <f t="array" ref="E19">_xlfn.IFERROR(SUM('Direct Costs 2026'!$C$10:$C$11,'Direct Costs 2026'!$C$48)*D19,"N/A")</f>
        <v>N/A</v>
      </c>
      <c r="F19" s="745" cm="1">
        <f t="array" ref="F19">_xlfn.IFERROR('Direct Costs 2026'!$C$43*B19,"N/A")</f>
        <v>0</v>
      </c>
      <c r="G19" t="str" s="750" cm="1">
        <f t="array" ref="G19">IF(B19&gt;0,'Direct Costs 2026'!$C$25,"N/A")</f>
        <v>N/A</v>
      </c>
      <c r="H19" t="str" s="750" cm="1">
        <f t="array" ref="H19">IF(B19&gt;0,('Direct Costs 2026'!$C$14+'Direct Costs 2026'!$C$22),"N/A")</f>
        <v>N/A</v>
      </c>
      <c r="I19" t="str" s="750" cm="1">
        <f t="array" ref="I19">IF(B19&gt;0,'Direct Costs 2026'!$C$26,"N/A")</f>
        <v>N/A</v>
      </c>
      <c r="J19" t="str" s="750" cm="1">
        <f t="array" ref="J19">IF(B19&gt;0,'Direct Costs 2026'!$C$23,"N/A")</f>
        <v>N/A</v>
      </c>
      <c r="K19" t="str" s="750" cm="1">
        <f t="array" ref="K19">IF(B19&gt;0,'Direct Costs 2026'!$C$33,"N/A")</f>
        <v>N/A</v>
      </c>
      <c r="L19" t="str" s="750" cm="1">
        <f t="array" ref="L19">IF(B19&gt;0,'Direct Costs 2026'!$C$57*B19,"N/A")</f>
        <v>N/A</v>
      </c>
      <c r="M19" t="str" s="750" cm="1">
        <f t="array" ref="M19">IF(B19&gt;0,MIN('Direct Costs 2026'!$C$58*B19,'Direct Costs 2026'!$C$58*2),"N/A")</f>
        <v>N/A</v>
      </c>
      <c r="N19" s="745">
        <v>0</v>
      </c>
      <c r="O19" t="str" s="750" cm="1">
        <f t="array" ref="O19">_xlfn.IFERROR(C19+SUM(E19:N19),"N/A")</f>
        <v>N/A</v>
      </c>
      <c r="P19" s="424"/>
      <c r="Q19" t="str" s="750" cm="1">
        <f t="array" ref="Q19">IF(B19&gt;0,'Allocation OH and Target 2025'!$E$31,"N/A")</f>
        <v>N/A</v>
      </c>
      <c r="R19" t="str" s="750" cm="1">
        <f t="array" ref="R19">IF(B19&gt;0,'Direct Costs 2026'!$C$56*B19,"N/A")</f>
        <v>N/A</v>
      </c>
      <c r="S19" t="str" s="750" cm="1">
        <f t="array" ref="S19">_xlfn.IFERROR((Q19+R19),"N/A")</f>
        <v>N/A</v>
      </c>
      <c r="T19" s="424"/>
      <c r="U19" t="str" s="750" cm="1">
        <f t="array" ref="U19">_xlfn.IFERROR(S19+O19,"N/A")</f>
        <v>N/A</v>
      </c>
      <c r="V19" s="745"/>
      <c r="W19" t="str" s="750" cm="1">
        <f t="array" ref="W19">IF(B19&gt;0,'Direct Costs 2026'!$C$12,"N/A")</f>
        <v>N/A</v>
      </c>
      <c r="X19" s="745"/>
      <c r="Y19" t="str" s="750" cm="1">
        <f t="array" ref="Y19">_xlfn.IFERROR((U19+W19)*0.5%,"N/A")</f>
        <v>N/A</v>
      </c>
      <c r="Z19" t="str" s="750" cm="1">
        <f t="array" ref="Z19">_xlfn.IFERROR((U19+W19+Y19+X19+V19)*25%,"N/A")</f>
        <v>N/A</v>
      </c>
      <c r="AA19" t="str" s="730" cm="1">
        <f t="array" ref="AA19">IF(B19&gt;0,SUM(U19:Z19),"N/A")</f>
        <v>N/A</v>
      </c>
      <c r="AB19" t="str" s="730" cm="1">
        <f t="array" ref="AB19">_xlfn.IFERROR((AA19-AVERAGE(AA6:AA11)),"N/A")</f>
        <v>N/A</v>
      </c>
      <c r="AC19" s="424"/>
      <c r="AD19" t="str" s="750" cm="1">
        <f t="array" ref="AD19">_xlfn.IFERROR(S19+O19,"N/A")</f>
        <v>N/A</v>
      </c>
      <c r="AE19" t="str" s="750" cm="1">
        <f t="array" ref="AE19">IF(B19&gt;0,'Direct Costs 2026'!$C$13,"N/A")</f>
        <v>N/A</v>
      </c>
      <c r="AF19" t="str" s="750" cm="1">
        <f t="array" ref="AF19">IF(B19&gt;0,'Direct Costs 2026'!$C$12,"N/A")</f>
        <v>N/A</v>
      </c>
      <c r="AG19" s="745"/>
      <c r="AH19" t="str" s="750" cm="1">
        <f t="array" ref="AH19">_xlfn.IFERROR((AD19+AF19)*0.5%,"N/A")</f>
        <v>N/A</v>
      </c>
      <c r="AI19" t="str" s="750" cm="1">
        <f t="array" ref="AI19">_xlfn.IFERROR((AD19+AF19+AH19+AG19+AE19)*25%,"N/A")</f>
        <v>N/A</v>
      </c>
      <c r="AJ19" s="746" cm="1">
        <f t="array" ref="AJ19">IF(M19&gt;0,SUM(AD19:AI19),"N/A")</f>
        <v>0</v>
      </c>
      <c r="AK19" t="str" s="730" cm="1">
        <f t="array" ref="AK19">_xlfn.IFERROR(ROUND(AJ19/B19,-4),"N/A")</f>
        <v>N/A</v>
      </c>
      <c r="AL19" t="str" s="730" cm="1">
        <f t="array" ref="AL19">_xlfn.IFERROR((AK19-AB19),"N/A")</f>
        <v>N/A</v>
      </c>
      <c r="AM19" s="424"/>
      <c r="AN19" s="745"/>
      <c r="AO19" s="745"/>
      <c r="AP19" s="745"/>
      <c r="AQ19" s="745"/>
      <c r="AR19" s="745"/>
      <c r="AS19" s="745"/>
      <c r="AT19" s="745"/>
      <c r="AU19" s="747"/>
    </row>
    <row r="20" ht="15" customHeight="1">
      <c r="A20" s="12"/>
      <c r="B20" s="748">
        <v>0</v>
      </c>
      <c r="C20" t="str" s="750" cm="1">
        <f t="array" ref="C20">IF(B20&gt;0,IF(VLOOKUP(C1,'Boats Data Sheet 2026'!$C$3:$J$57,8,0)="N/A",0,VLOOKUP(C1,'Boats Data Sheet 2026'!$C$3:$J$57,8,0)),"N/A")</f>
        <v>N/A</v>
      </c>
      <c r="D20" t="str" s="750" cm="1">
        <f t="array" ref="D20">IF(B20&gt;7,2,IF(B20=0,"N/A",1))</f>
        <v>N/A</v>
      </c>
      <c r="E20" t="str" s="750" cm="1">
        <f t="array" ref="E20">_xlfn.IFERROR(SUM('Direct Costs 2026'!$C$10:$C$11,'Direct Costs 2026'!$C$48)*D20,"N/A")</f>
        <v>N/A</v>
      </c>
      <c r="F20" s="745" cm="1">
        <f t="array" ref="F20">_xlfn.IFERROR('Direct Costs 2026'!$C$43*B20,"N/A")</f>
        <v>0</v>
      </c>
      <c r="G20" t="str" s="750" cm="1">
        <f t="array" ref="G20">IF(B20&gt;0,'Direct Costs 2026'!$C$25,"N/A")</f>
        <v>N/A</v>
      </c>
      <c r="H20" t="str" s="750" cm="1">
        <f t="array" ref="H20">IF(B20&gt;0,('Direct Costs 2026'!$C$14+'Direct Costs 2026'!$C$22),"N/A")</f>
        <v>N/A</v>
      </c>
      <c r="I20" t="str" s="750" cm="1">
        <f t="array" ref="I20">IF(B20&gt;0,'Direct Costs 2026'!$C$26,"N/A")</f>
        <v>N/A</v>
      </c>
      <c r="J20" t="str" s="750" cm="1">
        <f t="array" ref="J20">IF(B20&gt;0,'Direct Costs 2026'!$C$23,"N/A")</f>
        <v>N/A</v>
      </c>
      <c r="K20" t="str" s="750" cm="1">
        <f t="array" ref="K20">IF(B20&gt;0,'Direct Costs 2026'!$C$33,"N/A")</f>
        <v>N/A</v>
      </c>
      <c r="L20" t="str" s="750" cm="1">
        <f t="array" ref="L20">IF(B20&gt;0,'Direct Costs 2026'!$C$57*B20,"N/A")</f>
        <v>N/A</v>
      </c>
      <c r="M20" t="str" s="750" cm="1">
        <f t="array" ref="M20">IF(B20&gt;0,MIN('Direct Costs 2026'!$C$58*B20,'Direct Costs 2026'!$C$58*2),"N/A")</f>
        <v>N/A</v>
      </c>
      <c r="N20" s="745">
        <v>0</v>
      </c>
      <c r="O20" t="str" s="750" cm="1">
        <f t="array" ref="O20">_xlfn.IFERROR(C20+SUM(E20:N20),"N/A")</f>
        <v>N/A</v>
      </c>
      <c r="P20" s="424"/>
      <c r="Q20" t="str" s="750" cm="1">
        <f t="array" ref="Q20">IF(B20&gt;0,'Allocation OH and Target 2025'!$E$31,"N/A")</f>
        <v>N/A</v>
      </c>
      <c r="R20" t="str" s="750" cm="1">
        <f t="array" ref="R20">IF(B20&gt;0,'Direct Costs 2026'!$C$56*B20,"N/A")</f>
        <v>N/A</v>
      </c>
      <c r="S20" t="str" s="750" cm="1">
        <f t="array" ref="S20">_xlfn.IFERROR((Q20+R20),"N/A")</f>
        <v>N/A</v>
      </c>
      <c r="T20" s="424"/>
      <c r="U20" t="str" s="750" cm="1">
        <f t="array" ref="U20">_xlfn.IFERROR(S20+O20,"N/A")</f>
        <v>N/A</v>
      </c>
      <c r="V20" s="745"/>
      <c r="W20" t="str" s="750" cm="1">
        <f t="array" ref="W20">IF(B20&gt;0,'Direct Costs 2026'!$C$12,"N/A")</f>
        <v>N/A</v>
      </c>
      <c r="X20" s="745"/>
      <c r="Y20" t="str" s="750" cm="1">
        <f t="array" ref="Y20">_xlfn.IFERROR((U20+W20)*0.5%,"N/A")</f>
        <v>N/A</v>
      </c>
      <c r="Z20" t="str" s="750" cm="1">
        <f t="array" ref="Z20">_xlfn.IFERROR((U20+W20+Y20+X20+V20)*25%,"N/A")</f>
        <v>N/A</v>
      </c>
      <c r="AA20" t="str" s="730" cm="1">
        <f t="array" ref="AA20">IF(B20&gt;0,SUM(U20:Z20),"N/A")</f>
        <v>N/A</v>
      </c>
      <c r="AB20" t="str" s="730" cm="1">
        <f t="array" ref="AB20">_xlfn.IFERROR((AA20-AVERAGE(AA6:AA11)),"N/A")</f>
        <v>N/A</v>
      </c>
      <c r="AC20" s="424"/>
      <c r="AD20" t="str" s="750" cm="1">
        <f t="array" ref="AD20">_xlfn.IFERROR(S20+O20,"N/A")</f>
        <v>N/A</v>
      </c>
      <c r="AE20" t="str" s="750" cm="1">
        <f t="array" ref="AE20">IF(B20&gt;0,'Direct Costs 2026'!$C$13,"N/A")</f>
        <v>N/A</v>
      </c>
      <c r="AF20" t="str" s="750" cm="1">
        <f t="array" ref="AF20">IF(B20&gt;0,'Direct Costs 2026'!$C$12,"N/A")</f>
        <v>N/A</v>
      </c>
      <c r="AG20" s="745"/>
      <c r="AH20" t="str" s="750" cm="1">
        <f t="array" ref="AH20">_xlfn.IFERROR((AD20+AF20)*0.5%,"N/A")</f>
        <v>N/A</v>
      </c>
      <c r="AI20" t="str" s="750" cm="1">
        <f t="array" ref="AI20">_xlfn.IFERROR((AD20+AF20+AH20+AG20+AE20)*25%,"N/A")</f>
        <v>N/A</v>
      </c>
      <c r="AJ20" s="746" cm="1">
        <f t="array" ref="AJ20">IF(M20&gt;0,SUM(AD20:AI20),"N/A")</f>
        <v>0</v>
      </c>
      <c r="AK20" t="str" s="730" cm="1">
        <f t="array" ref="AK20">_xlfn.IFERROR(ROUND(AJ20/B20,-4),"N/A")</f>
        <v>N/A</v>
      </c>
      <c r="AL20" t="str" s="730" cm="1">
        <f t="array" ref="AL20">_xlfn.IFERROR((AK20-AB20),"N/A")</f>
        <v>N/A</v>
      </c>
      <c r="AM20" s="424"/>
      <c r="AN20" s="745"/>
      <c r="AO20" s="745"/>
      <c r="AP20" s="745"/>
      <c r="AQ20" s="745"/>
      <c r="AR20" s="745"/>
      <c r="AS20" s="745"/>
      <c r="AT20" s="745"/>
      <c r="AU20" s="747"/>
    </row>
    <row r="21" ht="15" customHeight="1">
      <c r="A21" s="12"/>
      <c r="B21" s="748">
        <v>0</v>
      </c>
      <c r="C21" t="str" s="750" cm="1">
        <f t="array" ref="C21">IF(B21&gt;0,IF(VLOOKUP(C1,'Boats Data Sheet 2026'!$C$3:$J$57,8,0)="N/A",0,VLOOKUP(C1,'Boats Data Sheet 2026'!$C$3:$J$57,8,0)),"N/A")</f>
        <v>N/A</v>
      </c>
      <c r="D21" t="str" s="750" cm="1">
        <f t="array" ref="D21">IF(B21&gt;7,2,IF(B21=0,"N/A",1))</f>
        <v>N/A</v>
      </c>
      <c r="E21" t="str" s="750" cm="1">
        <f t="array" ref="E21">_xlfn.IFERROR(SUM('Direct Costs 2026'!$C$10:$C$11,'Direct Costs 2026'!$C$48)*D21,"N/A")</f>
        <v>N/A</v>
      </c>
      <c r="F21" s="745" cm="1">
        <f t="array" ref="F21">_xlfn.IFERROR('Direct Costs 2026'!$C$43*B21,"N/A")</f>
        <v>0</v>
      </c>
      <c r="G21" t="str" s="750" cm="1">
        <f t="array" ref="G21">IF(B21&gt;0,'Direct Costs 2026'!$C$25,"N/A")</f>
        <v>N/A</v>
      </c>
      <c r="H21" t="str" s="750" cm="1">
        <f t="array" ref="H21">IF(B21&gt;0,('Direct Costs 2026'!$C$14+'Direct Costs 2026'!$C$22),"N/A")</f>
        <v>N/A</v>
      </c>
      <c r="I21" t="str" s="750" cm="1">
        <f t="array" ref="I21">IF(B21&gt;0,'Direct Costs 2026'!$C$26,"N/A")</f>
        <v>N/A</v>
      </c>
      <c r="J21" t="str" s="750" cm="1">
        <f t="array" ref="J21">IF(B21&gt;0,'Direct Costs 2026'!$C$23,"N/A")</f>
        <v>N/A</v>
      </c>
      <c r="K21" t="str" s="750" cm="1">
        <f t="array" ref="K21">IF(B21&gt;0,'Direct Costs 2026'!$C$33,"N/A")</f>
        <v>N/A</v>
      </c>
      <c r="L21" t="str" s="750" cm="1">
        <f t="array" ref="L21">IF(B21&gt;0,'Direct Costs 2026'!$C$57*B21,"N/A")</f>
        <v>N/A</v>
      </c>
      <c r="M21" t="str" s="750" cm="1">
        <f t="array" ref="M21">IF(B21&gt;0,MIN('Direct Costs 2026'!$C$58*B21,'Direct Costs 2026'!$C$58*2),"N/A")</f>
        <v>N/A</v>
      </c>
      <c r="N21" s="745">
        <v>0</v>
      </c>
      <c r="O21" t="str" s="750" cm="1">
        <f t="array" ref="O21">_xlfn.IFERROR(C21+SUM(E21:N21),"N/A")</f>
        <v>N/A</v>
      </c>
      <c r="P21" s="424"/>
      <c r="Q21" t="str" s="750" cm="1">
        <f t="array" ref="Q21">IF(B21&gt;0,'Allocation OH and Target 2025'!$E$31,"N/A")</f>
        <v>N/A</v>
      </c>
      <c r="R21" t="str" s="750" cm="1">
        <f t="array" ref="R21">IF(B21&gt;0,'Direct Costs 2026'!$C$56*B21,"N/A")</f>
        <v>N/A</v>
      </c>
      <c r="S21" t="str" s="750" cm="1">
        <f t="array" ref="S21">_xlfn.IFERROR((Q21+R21),"N/A")</f>
        <v>N/A</v>
      </c>
      <c r="T21" s="424"/>
      <c r="U21" t="str" s="750" cm="1">
        <f t="array" ref="U21">_xlfn.IFERROR(S21+O21,"N/A")</f>
        <v>N/A</v>
      </c>
      <c r="V21" s="745"/>
      <c r="W21" t="str" s="750" cm="1">
        <f t="array" ref="W21">IF(B21&gt;0,'Direct Costs 2026'!$C$12,"N/A")</f>
        <v>N/A</v>
      </c>
      <c r="X21" s="745"/>
      <c r="Y21" t="str" s="750" cm="1">
        <f t="array" ref="Y21">_xlfn.IFERROR((U21+W21)*0.5%,"N/A")</f>
        <v>N/A</v>
      </c>
      <c r="Z21" t="str" s="750" cm="1">
        <f t="array" ref="Z21">_xlfn.IFERROR((U21+W21+Y21+X21+V21)*25%,"N/A")</f>
        <v>N/A</v>
      </c>
      <c r="AA21" t="str" s="730" cm="1">
        <f t="array" ref="AA21">IF(B21&gt;0,SUM(U21:Z21),"N/A")</f>
        <v>N/A</v>
      </c>
      <c r="AB21" t="str" s="730" cm="1">
        <f t="array" ref="AB21">_xlfn.IFERROR((AA21-AVERAGE(AA6:AA11)),"N/A")</f>
        <v>N/A</v>
      </c>
      <c r="AC21" s="424"/>
      <c r="AD21" t="str" s="750" cm="1">
        <f t="array" ref="AD21">_xlfn.IFERROR(S21+O21,"N/A")</f>
        <v>N/A</v>
      </c>
      <c r="AE21" t="str" s="750" cm="1">
        <f t="array" ref="AE21">IF(B21&gt;0,'Direct Costs 2026'!$C$13,"N/A")</f>
        <v>N/A</v>
      </c>
      <c r="AF21" t="str" s="750" cm="1">
        <f t="array" ref="AF21">IF(B21&gt;0,'Direct Costs 2026'!$C$12,"N/A")</f>
        <v>N/A</v>
      </c>
      <c r="AG21" s="745"/>
      <c r="AH21" t="str" s="750" cm="1">
        <f t="array" ref="AH21">_xlfn.IFERROR((AD21+AF21)*0.5%,"N/A")</f>
        <v>N/A</v>
      </c>
      <c r="AI21" t="str" s="750" cm="1">
        <f t="array" ref="AI21">_xlfn.IFERROR((AD21+AF21+AH21+AG21+AE21)*25%,"N/A")</f>
        <v>N/A</v>
      </c>
      <c r="AJ21" s="746" cm="1">
        <f t="array" ref="AJ21">IF(M21&gt;0,SUM(AD21:AI21),"N/A")</f>
        <v>0</v>
      </c>
      <c r="AK21" t="str" s="730" cm="1">
        <f t="array" ref="AK21">_xlfn.IFERROR(ROUND(AJ21/B21,-4),"N/A")</f>
        <v>N/A</v>
      </c>
      <c r="AL21" t="str" s="730" cm="1">
        <f t="array" ref="AL21">_xlfn.IFERROR((AK21-AB21),"N/A")</f>
        <v>N/A</v>
      </c>
      <c r="AM21" s="424"/>
      <c r="AN21" s="745"/>
      <c r="AO21" s="745"/>
      <c r="AP21" s="745"/>
      <c r="AQ21" s="745"/>
      <c r="AR21" s="745"/>
      <c r="AS21" s="745"/>
      <c r="AT21" s="745"/>
      <c r="AU21" s="747"/>
    </row>
    <row r="22" ht="15" customHeight="1">
      <c r="A22" s="12"/>
      <c r="B22" s="748">
        <v>0</v>
      </c>
      <c r="C22" t="str" s="750" cm="1">
        <f t="array" ref="C22">IF(B22&gt;0,IF(VLOOKUP(C1,'Boats Data Sheet 2026'!$C$3:$J$57,8,0)="N/A",0,VLOOKUP(C1,'Boats Data Sheet 2026'!$C$3:$J$57,8,0)),"N/A")</f>
        <v>N/A</v>
      </c>
      <c r="D22" t="str" s="750" cm="1">
        <f t="array" ref="D22">IF(B22&gt;7,2,IF(B22=0,"N/A",1))</f>
        <v>N/A</v>
      </c>
      <c r="E22" t="str" s="750" cm="1">
        <f t="array" ref="E22">_xlfn.IFERROR(SUM('Direct Costs 2026'!$C$10:$C$11,'Direct Costs 2026'!$C$48)*D22,"N/A")</f>
        <v>N/A</v>
      </c>
      <c r="F22" s="745" cm="1">
        <f t="array" ref="F22">_xlfn.IFERROR('Direct Costs 2026'!$C$43*B22,"N/A")</f>
        <v>0</v>
      </c>
      <c r="G22" t="str" s="750" cm="1">
        <f t="array" ref="G22">IF(B22&gt;0,'Direct Costs 2026'!$C$25,"N/A")</f>
        <v>N/A</v>
      </c>
      <c r="H22" t="str" s="750" cm="1">
        <f t="array" ref="H22">IF(B22&gt;0,('Direct Costs 2026'!$C$14+'Direct Costs 2026'!$C$22),"N/A")</f>
        <v>N/A</v>
      </c>
      <c r="I22" t="str" s="750" cm="1">
        <f t="array" ref="I22">IF(B22&gt;0,'Direct Costs 2026'!$C$26,"N/A")</f>
        <v>N/A</v>
      </c>
      <c r="J22" t="str" s="750" cm="1">
        <f t="array" ref="J22">IF(B22&gt;0,'Direct Costs 2026'!$C$23,"N/A")</f>
        <v>N/A</v>
      </c>
      <c r="K22" t="str" s="750" cm="1">
        <f t="array" ref="K22">IF(B22&gt;0,'Direct Costs 2026'!$C$33,"N/A")</f>
        <v>N/A</v>
      </c>
      <c r="L22" t="str" s="750" cm="1">
        <f t="array" ref="L22">IF(B22&gt;0,'Direct Costs 2026'!$C$57*B22,"N/A")</f>
        <v>N/A</v>
      </c>
      <c r="M22" t="str" s="750" cm="1">
        <f t="array" ref="M22">IF(B22&gt;0,MIN('Direct Costs 2026'!$C$58*B22,'Direct Costs 2026'!$C$58*2),"N/A")</f>
        <v>N/A</v>
      </c>
      <c r="N22" s="745">
        <v>0</v>
      </c>
      <c r="O22" t="str" s="750" cm="1">
        <f t="array" ref="O22">_xlfn.IFERROR(C22+SUM(E22:N22),"N/A")</f>
        <v>N/A</v>
      </c>
      <c r="P22" s="424"/>
      <c r="Q22" t="str" s="750" cm="1">
        <f t="array" ref="Q22">IF(B22&gt;0,'Allocation OH and Target 2025'!$E$31,"N/A")</f>
        <v>N/A</v>
      </c>
      <c r="R22" t="str" s="750" cm="1">
        <f t="array" ref="R22">IF(B22&gt;0,'Direct Costs 2026'!$C$56*B22,"N/A")</f>
        <v>N/A</v>
      </c>
      <c r="S22" t="str" s="750" cm="1">
        <f t="array" ref="S22">_xlfn.IFERROR((Q22+R22),"N/A")</f>
        <v>N/A</v>
      </c>
      <c r="T22" s="424"/>
      <c r="U22" t="str" s="750" cm="1">
        <f t="array" ref="U22">_xlfn.IFERROR(S22+O22,"N/A")</f>
        <v>N/A</v>
      </c>
      <c r="V22" s="745"/>
      <c r="W22" t="str" s="750" cm="1">
        <f t="array" ref="W22">IF(B22&gt;0,'Direct Costs 2026'!$C$12,"N/A")</f>
        <v>N/A</v>
      </c>
      <c r="X22" s="745"/>
      <c r="Y22" t="str" s="750" cm="1">
        <f t="array" ref="Y22">_xlfn.IFERROR((U22+W22)*0.5%,"N/A")</f>
        <v>N/A</v>
      </c>
      <c r="Z22" t="str" s="750" cm="1">
        <f t="array" ref="Z22">_xlfn.IFERROR((U22+W22+Y22+X22+V22)*25%,"N/A")</f>
        <v>N/A</v>
      </c>
      <c r="AA22" t="str" s="730" cm="1">
        <f t="array" ref="AA22">IF(B22&gt;0,SUM(U22:Z22),"N/A")</f>
        <v>N/A</v>
      </c>
      <c r="AB22" t="str" s="730" cm="1">
        <f t="array" ref="AB22">_xlfn.IFERROR((AA22-AVERAGE(AA6:AA11)),"N/A")</f>
        <v>N/A</v>
      </c>
      <c r="AC22" s="424"/>
      <c r="AD22" t="str" s="750" cm="1">
        <f t="array" ref="AD22">_xlfn.IFERROR(S22+O22,"N/A")</f>
        <v>N/A</v>
      </c>
      <c r="AE22" t="str" s="750" cm="1">
        <f t="array" ref="AE22">IF(B22&gt;0,'Direct Costs 2026'!$C$13,"N/A")</f>
        <v>N/A</v>
      </c>
      <c r="AF22" t="str" s="750" cm="1">
        <f t="array" ref="AF22">IF(B22&gt;0,'Direct Costs 2026'!$C$12,"N/A")</f>
        <v>N/A</v>
      </c>
      <c r="AG22" s="745"/>
      <c r="AH22" t="str" s="750" cm="1">
        <f t="array" ref="AH22">_xlfn.IFERROR((AD22+AF22)*0.5%,"N/A")</f>
        <v>N/A</v>
      </c>
      <c r="AI22" t="str" s="750" cm="1">
        <f t="array" ref="AI22">_xlfn.IFERROR((AD22+AF22+AH22+AG22+AE22)*25%,"N/A")</f>
        <v>N/A</v>
      </c>
      <c r="AJ22" s="746" cm="1">
        <f t="array" ref="AJ22">IF(M22&gt;0,SUM(AD22:AI22),"N/A")</f>
        <v>0</v>
      </c>
      <c r="AK22" t="str" s="730" cm="1">
        <f t="array" ref="AK22">_xlfn.IFERROR(ROUND(AJ22/B22,-4),"N/A")</f>
        <v>N/A</v>
      </c>
      <c r="AL22" t="str" s="730" cm="1">
        <f t="array" ref="AL22">_xlfn.IFERROR((AK22-AB22),"N/A")</f>
        <v>N/A</v>
      </c>
      <c r="AM22" s="424"/>
      <c r="AN22" s="745"/>
      <c r="AO22" s="745"/>
      <c r="AP22" s="745"/>
      <c r="AQ22" s="745"/>
      <c r="AR22" s="745"/>
      <c r="AS22" s="745"/>
      <c r="AT22" s="745"/>
      <c r="AU22" s="747"/>
    </row>
    <row r="23" ht="15.5" customHeight="1">
      <c r="A23" s="12"/>
      <c r="B23" s="751">
        <v>0</v>
      </c>
      <c r="C23" t="str" s="752" cm="1">
        <f t="array" ref="C23">IF(B23&gt;0,IF(VLOOKUP(C1,'Boats Data Sheet 2026'!$C$3:$J$57,8,0)="N/A",0,VLOOKUP(C1,'Boats Data Sheet 2026'!$C$3:$J$57,8,0)),"N/A")</f>
        <v>N/A</v>
      </c>
      <c r="D23" t="str" s="752" cm="1">
        <f t="array" ref="D23">IF(B23&gt;7,2,IF(B23=0,"N/A",1))</f>
        <v>N/A</v>
      </c>
      <c r="E23" t="str" s="752" cm="1">
        <f t="array" ref="E23">_xlfn.IFERROR(SUM('Direct Costs 2026'!$C$10:$C$11,'Direct Costs 2026'!$C$48)*D23,"N/A")</f>
        <v>N/A</v>
      </c>
      <c r="F23" s="753" cm="1">
        <f t="array" ref="F23">_xlfn.IFERROR('Direct Costs 2026'!$C$43*B23,"N/A")</f>
        <v>0</v>
      </c>
      <c r="G23" t="str" s="752" cm="1">
        <f t="array" ref="G23">IF(B23&gt;0,'Direct Costs 2026'!$C$25,"N/A")</f>
        <v>N/A</v>
      </c>
      <c r="H23" t="str" s="752" cm="1">
        <f t="array" ref="H23">IF(B23&gt;0,('Direct Costs 2026'!$C$14+'Direct Costs 2026'!$C$22),"N/A")</f>
        <v>N/A</v>
      </c>
      <c r="I23" t="str" s="752" cm="1">
        <f t="array" ref="I23">IF(B23&gt;0,'Direct Costs 2026'!$C$26,"N/A")</f>
        <v>N/A</v>
      </c>
      <c r="J23" t="str" s="752" cm="1">
        <f t="array" ref="J23">IF(B23&gt;0,'Direct Costs 2026'!$C$23,"N/A")</f>
        <v>N/A</v>
      </c>
      <c r="K23" t="str" s="752" cm="1">
        <f t="array" ref="K23">IF(B23&gt;0,'Direct Costs 2026'!$C$33,"N/A")</f>
        <v>N/A</v>
      </c>
      <c r="L23" t="str" s="752" cm="1">
        <f t="array" ref="L23">IF(B23&gt;0,'Direct Costs 2026'!$C$57*B23,"N/A")</f>
        <v>N/A</v>
      </c>
      <c r="M23" t="str" s="752" cm="1">
        <f t="array" ref="M23">IF(B23&gt;0,MIN('Direct Costs 2026'!$C$58*B23,'Direct Costs 2026'!$C$58*2),"N/A")</f>
        <v>N/A</v>
      </c>
      <c r="N23" s="753">
        <v>0</v>
      </c>
      <c r="O23" t="str" s="752" cm="1">
        <f t="array" ref="O23">_xlfn.IFERROR(C23+SUM(E23:N23),"N/A")</f>
        <v>N/A</v>
      </c>
      <c r="P23" s="435"/>
      <c r="Q23" t="str" s="752" cm="1">
        <f t="array" ref="Q23">IF(B23&gt;0,'Allocation OH and Target 2025'!$E$31,"N/A")</f>
        <v>N/A</v>
      </c>
      <c r="R23" t="str" s="752" cm="1">
        <f t="array" ref="R23">IF(B23&gt;0,'Direct Costs 2026'!$C$56*B23,"N/A")</f>
        <v>N/A</v>
      </c>
      <c r="S23" t="str" s="752" cm="1">
        <f t="array" ref="S23">_xlfn.IFERROR((Q23+R23),"N/A")</f>
        <v>N/A</v>
      </c>
      <c r="T23" s="435"/>
      <c r="U23" t="str" s="752" cm="1">
        <f t="array" ref="U23">_xlfn.IFERROR(S23+O23,"N/A")</f>
        <v>N/A</v>
      </c>
      <c r="V23" s="753"/>
      <c r="W23" t="str" s="752" cm="1">
        <f t="array" ref="W23">IF(B23&gt;0,'Direct Costs 2026'!$C$12,"N/A")</f>
        <v>N/A</v>
      </c>
      <c r="X23" s="753"/>
      <c r="Y23" t="str" s="752" cm="1">
        <f t="array" ref="Y23">_xlfn.IFERROR((U23+W23)*0.5%,"N/A")</f>
        <v>N/A</v>
      </c>
      <c r="Z23" t="str" s="752" cm="1">
        <f t="array" ref="Z23">_xlfn.IFERROR((U23+W23+Y23+X23+V23)*25%,"N/A")</f>
        <v>N/A</v>
      </c>
      <c r="AA23" t="str" s="754" cm="1">
        <f t="array" ref="AA23">IF(B23&gt;0,SUM(U23:Z23),"N/A")</f>
        <v>N/A</v>
      </c>
      <c r="AB23" t="str" s="754" cm="1">
        <f t="array" ref="AB23">_xlfn.IFERROR((AA23-AVERAGE(AA6:AA11)),"N/A")</f>
        <v>N/A</v>
      </c>
      <c r="AC23" s="435"/>
      <c r="AD23" t="str" s="752" cm="1">
        <f t="array" ref="AD23">_xlfn.IFERROR(S23+O23,"N/A")</f>
        <v>N/A</v>
      </c>
      <c r="AE23" t="str" s="752" cm="1">
        <f t="array" ref="AE23">IF(B23&gt;0,'Direct Costs 2026'!$C$13,"N/A")</f>
        <v>N/A</v>
      </c>
      <c r="AF23" t="str" s="752" cm="1">
        <f t="array" ref="AF23">IF(B23&gt;0,'Direct Costs 2026'!$C$12,"N/A")</f>
        <v>N/A</v>
      </c>
      <c r="AG23" s="753"/>
      <c r="AH23" t="str" s="752" cm="1">
        <f t="array" ref="AH23">_xlfn.IFERROR((AD23+AF23)*0.5%,"N/A")</f>
        <v>N/A</v>
      </c>
      <c r="AI23" t="str" s="752" cm="1">
        <f t="array" ref="AI23">_xlfn.IFERROR((AD23+AF23+AH23+AG23+AE23)*25%,"N/A")</f>
        <v>N/A</v>
      </c>
      <c r="AJ23" s="755" cm="1">
        <f t="array" ref="AJ23">IF(M23&gt;0,SUM(AD23:AI23),"N/A")</f>
        <v>0</v>
      </c>
      <c r="AK23" t="str" s="754" cm="1">
        <f t="array" ref="AK23">_xlfn.IFERROR(ROUND(AJ23/B23,-4),"N/A")</f>
        <v>N/A</v>
      </c>
      <c r="AL23" t="str" s="754" cm="1">
        <f t="array" ref="AL23">_xlfn.IFERROR((AK23-AB23),"N/A")</f>
        <v>N/A</v>
      </c>
      <c r="AM23" s="435"/>
      <c r="AN23" s="753"/>
      <c r="AO23" s="753"/>
      <c r="AP23" s="753"/>
      <c r="AQ23" s="753"/>
      <c r="AR23" s="753"/>
      <c r="AS23" s="753"/>
      <c r="AT23" s="753"/>
      <c r="AU23" s="756"/>
    </row>
    <row r="24" ht="15" customHeight="1">
      <c r="A24" s="32"/>
      <c r="B24" s="124"/>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313"/>
    </row>
    <row r="25" ht="15" customHeight="1">
      <c r="A25" s="32"/>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757"/>
      <c r="AB25" s="703"/>
      <c r="AC25" s="17"/>
      <c r="AD25" s="17"/>
      <c r="AE25" s="17"/>
      <c r="AF25" s="17"/>
      <c r="AG25" s="17"/>
      <c r="AH25" s="17"/>
      <c r="AI25" s="17"/>
      <c r="AJ25" s="17"/>
      <c r="AK25" s="17"/>
      <c r="AL25" s="17"/>
      <c r="AM25" s="17"/>
      <c r="AN25" s="17"/>
      <c r="AO25" s="17"/>
      <c r="AP25" s="17"/>
      <c r="AQ25" s="17"/>
      <c r="AR25" s="17"/>
      <c r="AS25" s="17"/>
      <c r="AT25" s="17"/>
      <c r="AU25" s="18"/>
    </row>
    <row r="26" ht="15.5" customHeight="1">
      <c r="A26" s="32"/>
      <c r="B26" s="17"/>
      <c r="C26" s="17"/>
      <c r="D26" s="17"/>
      <c r="E26" s="17"/>
      <c r="F26" s="17"/>
      <c r="G26" s="17"/>
      <c r="H26" s="17"/>
      <c r="I26" s="17"/>
      <c r="J26" s="17"/>
      <c r="K26" s="17"/>
      <c r="L26" s="17"/>
      <c r="M26" s="17"/>
      <c r="N26" s="17"/>
      <c r="O26" s="17"/>
      <c r="P26" s="17"/>
      <c r="Q26" s="17"/>
      <c r="R26" s="17"/>
      <c r="S26" s="17"/>
      <c r="T26" s="17"/>
      <c r="U26" s="17"/>
      <c r="V26" s="17"/>
      <c r="W26" s="17"/>
      <c r="X26" s="17"/>
      <c r="Y26" s="17"/>
      <c r="Z26" s="704"/>
      <c r="AA26" t="s" s="758">
        <v>634</v>
      </c>
      <c r="AB26" t="s" s="758">
        <v>647</v>
      </c>
      <c r="AC26" s="706"/>
      <c r="AD26" s="17"/>
      <c r="AE26" s="17"/>
      <c r="AF26" s="17"/>
      <c r="AG26" s="17"/>
      <c r="AH26" s="17"/>
      <c r="AI26" s="17"/>
      <c r="AJ26" s="17"/>
      <c r="AK26" s="17"/>
      <c r="AL26" s="17"/>
      <c r="AM26" s="17"/>
      <c r="AN26" s="17"/>
      <c r="AO26" s="17"/>
      <c r="AP26" s="17"/>
      <c r="AQ26" s="17"/>
      <c r="AR26" s="17"/>
      <c r="AS26" s="17"/>
      <c r="AT26" s="17"/>
      <c r="AU26" s="18"/>
    </row>
    <row r="27" ht="15" customHeight="1">
      <c r="A27" s="32"/>
      <c r="B27" s="17"/>
      <c r="C27" s="17"/>
      <c r="D27" s="17"/>
      <c r="E27" s="17"/>
      <c r="F27" s="17"/>
      <c r="G27" s="17"/>
      <c r="H27" s="17"/>
      <c r="I27" s="17"/>
      <c r="J27" s="17"/>
      <c r="K27" s="17"/>
      <c r="L27" s="17"/>
      <c r="M27" s="17"/>
      <c r="N27" s="17"/>
      <c r="O27" s="17"/>
      <c r="P27" s="17"/>
      <c r="Q27" s="17"/>
      <c r="R27" s="17"/>
      <c r="S27" s="17"/>
      <c r="T27" s="17"/>
      <c r="U27" s="17"/>
      <c r="V27" s="17"/>
      <c r="W27" s="17"/>
      <c r="X27" s="17"/>
      <c r="Y27" s="17"/>
      <c r="Z27" s="704"/>
      <c r="AA27" s="759" cm="1">
        <f t="array" ref="AA27">ROUND(AA6,-3)</f>
        <v>16587000</v>
      </c>
      <c r="AB27" s="759" cm="1">
        <f t="array" ref="AB27">ROUND(AA27*0.95,-3)</f>
        <v>15758000</v>
      </c>
      <c r="AC27" s="706"/>
      <c r="AD27" s="17"/>
      <c r="AE27" s="17"/>
      <c r="AF27" s="17"/>
      <c r="AG27" s="17"/>
      <c r="AH27" s="17"/>
      <c r="AI27" s="17"/>
      <c r="AJ27" s="17"/>
      <c r="AK27" s="17"/>
      <c r="AL27" s="17"/>
      <c r="AM27" s="17"/>
      <c r="AN27" s="17"/>
      <c r="AO27" s="17"/>
      <c r="AP27" s="17"/>
      <c r="AQ27" s="17"/>
      <c r="AR27" s="17"/>
      <c r="AS27" s="17"/>
      <c r="AT27" s="17"/>
      <c r="AU27" s="18"/>
    </row>
    <row r="28" ht="15" customHeight="1">
      <c r="A28" s="32"/>
      <c r="B28" s="17"/>
      <c r="C28" s="17"/>
      <c r="D28" s="17"/>
      <c r="E28" s="17"/>
      <c r="F28" s="17"/>
      <c r="G28" s="17"/>
      <c r="H28" s="17"/>
      <c r="I28" s="17"/>
      <c r="J28" s="17"/>
      <c r="K28" s="17"/>
      <c r="L28" s="17"/>
      <c r="M28" s="17"/>
      <c r="N28" s="17"/>
      <c r="O28" s="17"/>
      <c r="P28" s="17"/>
      <c r="Q28" s="17"/>
      <c r="R28" s="17"/>
      <c r="S28" s="17"/>
      <c r="T28" s="17"/>
      <c r="U28" s="17"/>
      <c r="V28" s="17"/>
      <c r="W28" s="17"/>
      <c r="X28" s="17"/>
      <c r="Y28" s="17"/>
      <c r="Z28" s="704"/>
      <c r="AA28" s="759" cm="1">
        <f t="array" ref="AA28">ROUND(AA7,-3)</f>
        <v>17423000</v>
      </c>
      <c r="AB28" s="759" cm="1">
        <f t="array" ref="AB28">ROUND(AA28*0.95,-3)</f>
        <v>16552000</v>
      </c>
      <c r="AC28" s="706"/>
      <c r="AD28" s="17"/>
      <c r="AE28" s="17"/>
      <c r="AF28" s="17"/>
      <c r="AG28" s="17"/>
      <c r="AH28" s="17"/>
      <c r="AI28" s="17"/>
      <c r="AJ28" s="17"/>
      <c r="AK28" s="17"/>
      <c r="AL28" s="17"/>
      <c r="AM28" s="17"/>
      <c r="AN28" s="17"/>
      <c r="AO28" s="17"/>
      <c r="AP28" s="17"/>
      <c r="AQ28" s="17"/>
      <c r="AR28" s="17"/>
      <c r="AS28" s="17"/>
      <c r="AT28" s="17"/>
      <c r="AU28" s="18"/>
    </row>
    <row r="29" ht="15" customHeight="1">
      <c r="A29" s="32"/>
      <c r="B29" s="17"/>
      <c r="C29" s="17"/>
      <c r="D29" s="17"/>
      <c r="E29" s="17"/>
      <c r="F29" s="17"/>
      <c r="G29" s="17"/>
      <c r="H29" s="17"/>
      <c r="I29" s="17"/>
      <c r="J29" s="17"/>
      <c r="K29" s="17"/>
      <c r="L29" s="17"/>
      <c r="M29" s="17"/>
      <c r="N29" s="17"/>
      <c r="O29" s="17"/>
      <c r="P29" s="17"/>
      <c r="Q29" s="17"/>
      <c r="R29" s="17"/>
      <c r="S29" s="17"/>
      <c r="T29" s="17"/>
      <c r="U29" s="17"/>
      <c r="V29" s="17"/>
      <c r="W29" s="17"/>
      <c r="X29" s="17"/>
      <c r="Y29" s="17"/>
      <c r="Z29" s="704"/>
      <c r="AA29" s="759" cm="1">
        <f t="array" ref="AA29">ROUND(AA8,-3)</f>
        <v>17945000</v>
      </c>
      <c r="AB29" s="759" cm="1">
        <f t="array" ref="AB29">ROUND(AA29*0.95,-3)</f>
        <v>17048000</v>
      </c>
      <c r="AC29" s="706"/>
      <c r="AD29" s="17"/>
      <c r="AE29" s="17"/>
      <c r="AF29" s="17"/>
      <c r="AG29" s="17"/>
      <c r="AH29" s="17"/>
      <c r="AI29" s="17"/>
      <c r="AJ29" s="17"/>
      <c r="AK29" s="17"/>
      <c r="AL29" s="17"/>
      <c r="AM29" s="17"/>
      <c r="AN29" s="17"/>
      <c r="AO29" s="17"/>
      <c r="AP29" s="17"/>
      <c r="AQ29" s="17"/>
      <c r="AR29" s="17"/>
      <c r="AS29" s="17"/>
      <c r="AT29" s="17"/>
      <c r="AU29" s="18"/>
    </row>
    <row r="30" ht="15" customHeight="1">
      <c r="A30" s="32"/>
      <c r="B30" s="17"/>
      <c r="C30" s="17"/>
      <c r="D30" s="17"/>
      <c r="E30" s="17"/>
      <c r="F30" s="17"/>
      <c r="G30" s="17"/>
      <c r="H30" s="17"/>
      <c r="I30" s="17"/>
      <c r="J30" s="17"/>
      <c r="K30" s="17"/>
      <c r="L30" s="17"/>
      <c r="M30" s="17"/>
      <c r="N30" s="17"/>
      <c r="O30" s="17"/>
      <c r="P30" s="17"/>
      <c r="Q30" s="17"/>
      <c r="R30" s="17"/>
      <c r="S30" s="17"/>
      <c r="T30" s="17"/>
      <c r="U30" s="17"/>
      <c r="V30" s="17"/>
      <c r="W30" s="17"/>
      <c r="X30" s="17"/>
      <c r="Y30" s="17"/>
      <c r="Z30" s="704"/>
      <c r="AA30" s="759" cm="1">
        <f t="array" ref="AA30">ROUND(AA9,-3)</f>
        <v>19910000</v>
      </c>
      <c r="AB30" s="759" cm="1">
        <f t="array" ref="AB30">ROUND(AA30*0.95,-3)</f>
        <v>18915000</v>
      </c>
      <c r="AC30" s="706"/>
      <c r="AD30" s="17"/>
      <c r="AE30" s="17"/>
      <c r="AF30" s="17"/>
      <c r="AG30" s="17"/>
      <c r="AH30" s="17"/>
      <c r="AI30" s="17"/>
      <c r="AJ30" s="17"/>
      <c r="AK30" s="17"/>
      <c r="AL30" s="17"/>
      <c r="AM30" s="17"/>
      <c r="AN30" s="17"/>
      <c r="AO30" s="17"/>
      <c r="AP30" s="17"/>
      <c r="AQ30" s="17"/>
      <c r="AR30" s="17"/>
      <c r="AS30" s="17"/>
      <c r="AT30" s="17"/>
      <c r="AU30" s="18"/>
    </row>
    <row r="31" ht="15" customHeight="1">
      <c r="A31" s="32"/>
      <c r="B31" s="17"/>
      <c r="C31" s="17"/>
      <c r="D31" s="17"/>
      <c r="E31" s="17"/>
      <c r="F31" s="17"/>
      <c r="G31" s="17"/>
      <c r="H31" s="17"/>
      <c r="I31" s="17"/>
      <c r="J31" s="17"/>
      <c r="K31" s="17"/>
      <c r="L31" s="17"/>
      <c r="M31" s="17"/>
      <c r="N31" s="17"/>
      <c r="O31" s="17"/>
      <c r="P31" s="17"/>
      <c r="Q31" s="17"/>
      <c r="R31" s="17"/>
      <c r="S31" s="17"/>
      <c r="T31" s="17"/>
      <c r="U31" s="17"/>
      <c r="V31" s="17"/>
      <c r="W31" s="17"/>
      <c r="X31" s="17"/>
      <c r="Y31" s="17"/>
      <c r="Z31" s="704"/>
      <c r="AA31" s="759" cm="1">
        <f t="array" ref="AA31">ROUND(AA10,-3)</f>
        <v>20432000</v>
      </c>
      <c r="AB31" s="759" cm="1">
        <f t="array" ref="AB31">ROUND(AA31*0.95,-3)</f>
        <v>19410000</v>
      </c>
      <c r="AC31" s="706"/>
      <c r="AD31" s="17"/>
      <c r="AE31" s="17"/>
      <c r="AF31" s="17"/>
      <c r="AG31" s="17"/>
      <c r="AH31" s="17"/>
      <c r="AI31" s="17"/>
      <c r="AJ31" s="17"/>
      <c r="AK31" s="17"/>
      <c r="AL31" s="17"/>
      <c r="AM31" s="17"/>
      <c r="AN31" s="17"/>
      <c r="AO31" s="17"/>
      <c r="AP31" s="17"/>
      <c r="AQ31" s="17"/>
      <c r="AR31" s="17"/>
      <c r="AS31" s="17"/>
      <c r="AT31" s="17"/>
      <c r="AU31" s="18"/>
    </row>
    <row r="32" ht="15.5" customHeight="1">
      <c r="A32" s="32"/>
      <c r="B32" s="17"/>
      <c r="C32" s="17"/>
      <c r="D32" s="17"/>
      <c r="E32" s="17"/>
      <c r="F32" s="17"/>
      <c r="G32" s="17"/>
      <c r="H32" s="17"/>
      <c r="I32" s="17"/>
      <c r="J32" s="17"/>
      <c r="K32" s="17"/>
      <c r="L32" s="17"/>
      <c r="M32" s="17"/>
      <c r="N32" s="17"/>
      <c r="O32" s="17"/>
      <c r="P32" s="17"/>
      <c r="Q32" s="17"/>
      <c r="R32" s="17"/>
      <c r="S32" s="17"/>
      <c r="T32" s="17"/>
      <c r="U32" s="17"/>
      <c r="V32" s="17"/>
      <c r="W32" s="17"/>
      <c r="X32" s="17"/>
      <c r="Y32" s="17"/>
      <c r="Z32" s="704"/>
      <c r="AA32" s="760" cm="1">
        <f t="array" ref="AA32">ROUND(AA11,-3)</f>
        <v>20954000</v>
      </c>
      <c r="AB32" s="759" cm="1">
        <f t="array" ref="AB32">ROUND(AA32*0.95,-3)</f>
        <v>19906000</v>
      </c>
      <c r="AC32" s="706"/>
      <c r="AD32" s="17"/>
      <c r="AE32" s="17"/>
      <c r="AF32" s="17"/>
      <c r="AG32" s="17"/>
      <c r="AH32" s="17"/>
      <c r="AI32" s="17"/>
      <c r="AJ32" s="17"/>
      <c r="AK32" s="17"/>
      <c r="AL32" s="17"/>
      <c r="AM32" s="17"/>
      <c r="AN32" s="17"/>
      <c r="AO32" s="17"/>
      <c r="AP32" s="17"/>
      <c r="AQ32" s="17"/>
      <c r="AR32" s="17"/>
      <c r="AS32" s="17"/>
      <c r="AT32" s="17"/>
      <c r="AU32" s="18"/>
    </row>
    <row r="33" ht="15" customHeight="1">
      <c r="A33" s="32"/>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761"/>
      <c r="AB33" s="762"/>
      <c r="AC33" s="17"/>
      <c r="AD33" s="17"/>
      <c r="AE33" s="17"/>
      <c r="AF33" s="17"/>
      <c r="AG33" s="17"/>
      <c r="AH33" s="17"/>
      <c r="AI33" s="17"/>
      <c r="AJ33" s="17"/>
      <c r="AK33" s="17"/>
      <c r="AL33" s="17"/>
      <c r="AM33" s="17"/>
      <c r="AN33" s="17"/>
      <c r="AO33" s="17"/>
      <c r="AP33" s="17"/>
      <c r="AQ33" s="17"/>
      <c r="AR33" s="17"/>
      <c r="AS33" s="17"/>
      <c r="AT33" s="17"/>
      <c r="AU33" s="18"/>
    </row>
    <row r="34" ht="16" customHeight="1">
      <c r="A34" s="32"/>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6"/>
      <c r="AC34" s="17"/>
      <c r="AD34" s="17"/>
      <c r="AE34" s="17"/>
      <c r="AF34" s="17"/>
      <c r="AG34" s="17"/>
      <c r="AH34" s="17"/>
      <c r="AI34" s="17"/>
      <c r="AJ34" s="17"/>
      <c r="AK34" s="17"/>
      <c r="AL34" s="17"/>
      <c r="AM34" s="17"/>
      <c r="AN34" s="17"/>
      <c r="AO34" s="17"/>
      <c r="AP34" s="17"/>
      <c r="AQ34" s="17"/>
      <c r="AR34" s="17"/>
      <c r="AS34" s="17"/>
      <c r="AT34" s="17"/>
      <c r="AU34" s="18"/>
    </row>
    <row r="35" ht="16" customHeight="1">
      <c r="A35" s="32"/>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6"/>
      <c r="AC35" s="17"/>
      <c r="AD35" s="17"/>
      <c r="AE35" s="17"/>
      <c r="AF35" s="17"/>
      <c r="AG35" s="17"/>
      <c r="AH35" s="17"/>
      <c r="AI35" s="17"/>
      <c r="AJ35" s="17"/>
      <c r="AK35" s="17"/>
      <c r="AL35" s="17"/>
      <c r="AM35" s="17"/>
      <c r="AN35" s="17"/>
      <c r="AO35" s="17"/>
      <c r="AP35" s="17"/>
      <c r="AQ35" s="17"/>
      <c r="AR35" s="17"/>
      <c r="AS35" s="17"/>
      <c r="AT35" s="17"/>
      <c r="AU35" s="18"/>
    </row>
    <row r="36" ht="16" customHeight="1">
      <c r="A36" s="32"/>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6"/>
      <c r="AC36" s="17"/>
      <c r="AD36" s="17"/>
      <c r="AE36" s="17"/>
      <c r="AF36" s="17"/>
      <c r="AG36" s="17"/>
      <c r="AH36" s="17"/>
      <c r="AI36" s="17"/>
      <c r="AJ36" s="17"/>
      <c r="AK36" s="17"/>
      <c r="AL36" s="17"/>
      <c r="AM36" s="17"/>
      <c r="AN36" s="17"/>
      <c r="AO36" s="17"/>
      <c r="AP36" s="17"/>
      <c r="AQ36" s="17"/>
      <c r="AR36" s="17"/>
      <c r="AS36" s="17"/>
      <c r="AT36" s="17"/>
      <c r="AU36" s="18"/>
    </row>
    <row r="37" ht="16" customHeight="1">
      <c r="A37" s="192"/>
      <c r="B37" s="193"/>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763"/>
      <c r="AC37" s="193"/>
      <c r="AD37" s="193"/>
      <c r="AE37" s="193"/>
      <c r="AF37" s="193"/>
      <c r="AG37" s="193"/>
      <c r="AH37" s="193"/>
      <c r="AI37" s="193"/>
      <c r="AJ37" s="193"/>
      <c r="AK37" s="193"/>
      <c r="AL37" s="193"/>
      <c r="AM37" s="193"/>
      <c r="AN37" s="193"/>
      <c r="AO37" s="193"/>
      <c r="AP37" s="193"/>
      <c r="AQ37" s="193"/>
      <c r="AR37" s="193"/>
      <c r="AS37" s="193"/>
      <c r="AT37" s="193"/>
      <c r="AU37" s="195"/>
    </row>
  </sheetData>
  <mergeCells count="4">
    <mergeCell ref="C4:O4"/>
    <mergeCell ref="Q4:S4"/>
    <mergeCell ref="U4:AA4"/>
    <mergeCell ref="AD4:AJ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AJ80"/>
  <sheetViews>
    <sheetView workbookViewId="0" showGridLines="0" defaultGridColor="1"/>
  </sheetViews>
  <sheetFormatPr defaultColWidth="8.83333" defaultRowHeight="12.5" customHeight="1" outlineLevelRow="0" outlineLevelCol="0"/>
  <cols>
    <col min="1" max="1" width="3.85156" style="764" customWidth="1"/>
    <col min="2" max="2" width="32.8516" style="764" customWidth="1"/>
    <col min="3" max="3" width="1.35156" style="764" customWidth="1"/>
    <col min="4" max="4" width="16.6719" style="764" customWidth="1"/>
    <col min="5" max="5" width="1.35156" style="764" customWidth="1"/>
    <col min="6" max="6" width="16.8516" style="764" customWidth="1"/>
    <col min="7" max="7" width="1.35156" style="764" customWidth="1"/>
    <col min="8" max="8" width="16.5" style="764" customWidth="1"/>
    <col min="9" max="9" width="1.35156" style="764" customWidth="1"/>
    <col min="10" max="10" width="9.35156" style="764" customWidth="1"/>
    <col min="11" max="11" width="37.1719" style="764" customWidth="1"/>
    <col min="12" max="12" width="1.35156" style="764" customWidth="1"/>
    <col min="13" max="13" width="16.6719" style="764" customWidth="1"/>
    <col min="14" max="14" width="1.35156" style="764" customWidth="1"/>
    <col min="15" max="15" width="16.8516" style="764" customWidth="1"/>
    <col min="16" max="16" width="1.35156" style="764" customWidth="1"/>
    <col min="17" max="17" width="16.1719" style="764" customWidth="1"/>
    <col min="18" max="18" width="1.35156" style="764" customWidth="1"/>
    <col min="19" max="19" width="9.35156" style="764" customWidth="1"/>
    <col min="20" max="20" width="37.1719" style="764" customWidth="1"/>
    <col min="21" max="21" width="1.35156" style="764" customWidth="1"/>
    <col min="22" max="22" width="16.6719" style="764" customWidth="1"/>
    <col min="23" max="23" width="1.35156" style="764" customWidth="1"/>
    <col min="24" max="24" width="16.1719" style="764" customWidth="1"/>
    <col min="25" max="25" width="1.35156" style="764" customWidth="1"/>
    <col min="26" max="26" width="16.1719" style="764" customWidth="1"/>
    <col min="27" max="27" width="1.35156" style="764" customWidth="1"/>
    <col min="28" max="28" width="9.35156" style="764" customWidth="1"/>
    <col min="29" max="29" width="37.1719" style="764" customWidth="1"/>
    <col min="30" max="30" width="1.35156" style="764" customWidth="1"/>
    <col min="31" max="31" width="16.6719" style="764" customWidth="1"/>
    <col min="32" max="32" width="1.35156" style="764" customWidth="1"/>
    <col min="33" max="33" width="16.1719" style="764" customWidth="1"/>
    <col min="34" max="34" width="1.35156" style="764" customWidth="1"/>
    <col min="35" max="35" width="16.1719" style="764" customWidth="1"/>
    <col min="36" max="36" width="1.35156" style="764" customWidth="1"/>
    <col min="37" max="16384" width="8.85156" style="764" customWidth="1"/>
  </cols>
  <sheetData>
    <row r="1" ht="13" customHeight="1">
      <c r="A1" s="7"/>
      <c r="B1" s="8"/>
      <c r="C1" s="8"/>
      <c r="D1" s="8"/>
      <c r="E1" s="8"/>
      <c r="F1" s="8"/>
      <c r="G1" s="8"/>
      <c r="H1" s="8"/>
      <c r="I1" s="8"/>
      <c r="J1" s="9"/>
      <c r="K1" s="8"/>
      <c r="L1" s="8"/>
      <c r="M1" s="8"/>
      <c r="N1" s="8"/>
      <c r="O1" s="8"/>
      <c r="P1" s="8"/>
      <c r="Q1" s="8"/>
      <c r="R1" s="8"/>
      <c r="S1" s="9"/>
      <c r="T1" s="8"/>
      <c r="U1" s="8"/>
      <c r="V1" s="8"/>
      <c r="W1" s="8"/>
      <c r="X1" s="8"/>
      <c r="Y1" s="8"/>
      <c r="Z1" s="8"/>
      <c r="AA1" s="8"/>
      <c r="AB1" s="9"/>
      <c r="AC1" s="8"/>
      <c r="AD1" s="8"/>
      <c r="AE1" s="8"/>
      <c r="AF1" s="8"/>
      <c r="AG1" s="8"/>
      <c r="AH1" s="8"/>
      <c r="AI1" s="8"/>
      <c r="AJ1" s="246"/>
    </row>
    <row r="2" ht="28.25" customHeight="1">
      <c r="A2" s="12"/>
      <c r="B2" t="s" s="765">
        <v>649</v>
      </c>
      <c r="C2" s="766"/>
      <c r="D2" t="s" s="767">
        <v>650</v>
      </c>
      <c r="E2" s="768"/>
      <c r="F2" t="s" s="769">
        <v>651</v>
      </c>
      <c r="G2" s="770"/>
      <c r="H2" t="s" s="767">
        <v>652</v>
      </c>
      <c r="I2" s="771"/>
      <c r="J2" s="71"/>
      <c r="K2" t="s" s="765">
        <v>653</v>
      </c>
      <c r="L2" s="766"/>
      <c r="M2" t="s" s="767">
        <v>650</v>
      </c>
      <c r="N2" s="768"/>
      <c r="O2" t="s" s="769">
        <v>651</v>
      </c>
      <c r="P2" s="770"/>
      <c r="Q2" t="s" s="767">
        <v>652</v>
      </c>
      <c r="R2" s="771"/>
      <c r="S2" s="71"/>
      <c r="T2" t="s" s="765">
        <v>654</v>
      </c>
      <c r="U2" s="766"/>
      <c r="V2" t="s" s="767">
        <v>650</v>
      </c>
      <c r="W2" s="768"/>
      <c r="X2" t="s" s="769">
        <v>651</v>
      </c>
      <c r="Y2" s="770"/>
      <c r="Z2" t="s" s="767">
        <v>652</v>
      </c>
      <c r="AA2" s="771"/>
      <c r="AB2" s="71"/>
      <c r="AC2" t="s" s="765">
        <v>655</v>
      </c>
      <c r="AD2" s="766"/>
      <c r="AE2" t="s" s="767">
        <v>650</v>
      </c>
      <c r="AF2" s="768"/>
      <c r="AG2" t="s" s="769">
        <v>651</v>
      </c>
      <c r="AH2" s="770"/>
      <c r="AI2" t="s" s="767">
        <v>652</v>
      </c>
      <c r="AJ2" s="771"/>
    </row>
    <row r="3" ht="13" customHeight="1">
      <c r="A3" s="12"/>
      <c r="B3" t="s" s="772">
        <v>656</v>
      </c>
      <c r="C3" s="773"/>
      <c r="D3" s="774">
        <v>0.8</v>
      </c>
      <c r="E3" s="774"/>
      <c r="F3" s="775">
        <v>0.9</v>
      </c>
      <c r="G3" s="775"/>
      <c r="H3" s="774">
        <v>0.7</v>
      </c>
      <c r="I3" s="776"/>
      <c r="J3" s="71"/>
      <c r="K3" t="s" s="772">
        <v>656</v>
      </c>
      <c r="L3" s="773"/>
      <c r="M3" s="774">
        <v>0.8</v>
      </c>
      <c r="N3" s="774"/>
      <c r="O3" s="775">
        <v>0.9</v>
      </c>
      <c r="P3" s="775"/>
      <c r="Q3" s="774">
        <v>0.7</v>
      </c>
      <c r="R3" s="776"/>
      <c r="S3" s="71"/>
      <c r="T3" t="s" s="772">
        <v>656</v>
      </c>
      <c r="U3" s="773"/>
      <c r="V3" s="774">
        <v>0.8</v>
      </c>
      <c r="W3" s="774"/>
      <c r="X3" s="775">
        <v>0.9</v>
      </c>
      <c r="Y3" s="775"/>
      <c r="Z3" s="774">
        <v>0.7</v>
      </c>
      <c r="AA3" s="776"/>
      <c r="AB3" s="71"/>
      <c r="AC3" t="s" s="772">
        <v>656</v>
      </c>
      <c r="AD3" s="773"/>
      <c r="AE3" s="774">
        <v>0.8</v>
      </c>
      <c r="AF3" s="774"/>
      <c r="AG3" s="775">
        <v>0.9</v>
      </c>
      <c r="AH3" s="775"/>
      <c r="AI3" s="774">
        <v>0.7</v>
      </c>
      <c r="AJ3" s="776"/>
    </row>
    <row r="4" ht="13" customHeight="1">
      <c r="A4" s="12"/>
      <c r="B4" t="s" s="221">
        <v>657</v>
      </c>
      <c r="C4" s="204"/>
      <c r="D4" s="777">
        <v>0.9</v>
      </c>
      <c r="E4" s="777"/>
      <c r="F4" s="778">
        <v>0.9</v>
      </c>
      <c r="G4" s="778"/>
      <c r="H4" s="777">
        <v>0.9</v>
      </c>
      <c r="I4" s="205"/>
      <c r="J4" s="71"/>
      <c r="K4" t="s" s="221">
        <v>657</v>
      </c>
      <c r="L4" s="204"/>
      <c r="M4" s="777">
        <v>0.9</v>
      </c>
      <c r="N4" s="777"/>
      <c r="O4" s="778">
        <v>0.9</v>
      </c>
      <c r="P4" s="778"/>
      <c r="Q4" s="777">
        <v>0.9</v>
      </c>
      <c r="R4" s="205"/>
      <c r="S4" s="71"/>
      <c r="T4" t="s" s="221">
        <v>657</v>
      </c>
      <c r="U4" s="204"/>
      <c r="V4" s="777">
        <v>0.9</v>
      </c>
      <c r="W4" s="777"/>
      <c r="X4" s="778">
        <v>0.9</v>
      </c>
      <c r="Y4" s="778"/>
      <c r="Z4" s="777">
        <v>0.9</v>
      </c>
      <c r="AA4" s="205"/>
      <c r="AB4" s="71"/>
      <c r="AC4" t="s" s="221">
        <v>657</v>
      </c>
      <c r="AD4" s="204"/>
      <c r="AE4" s="777">
        <v>0.9</v>
      </c>
      <c r="AF4" s="777"/>
      <c r="AG4" s="778">
        <v>0.9</v>
      </c>
      <c r="AH4" s="778"/>
      <c r="AI4" s="777">
        <v>0.9</v>
      </c>
      <c r="AJ4" s="205"/>
    </row>
    <row r="5" ht="13" customHeight="1">
      <c r="A5" s="12"/>
      <c r="B5" t="s" s="221">
        <v>658</v>
      </c>
      <c r="C5" s="204"/>
      <c r="D5" s="779" cm="1">
        <f t="array" ref="D5">'Boats Data Sheet 2025'!H7</f>
        <v>13</v>
      </c>
      <c r="E5" s="780"/>
      <c r="F5" s="779" cm="1">
        <f t="array" ref="F5">D5</f>
        <v>13</v>
      </c>
      <c r="G5" s="781"/>
      <c r="H5" s="779" cm="1">
        <f t="array" ref="H5">F5</f>
        <v>13</v>
      </c>
      <c r="I5" s="205"/>
      <c r="J5" s="71"/>
      <c r="K5" t="s" s="221">
        <v>658</v>
      </c>
      <c r="L5" s="204"/>
      <c r="M5" s="779" cm="1">
        <f t="array" ref="M5">$D$5</f>
        <v>13</v>
      </c>
      <c r="N5" s="780"/>
      <c r="O5" s="779" cm="1">
        <f t="array" ref="O5">M5</f>
        <v>13</v>
      </c>
      <c r="P5" s="781"/>
      <c r="Q5" s="779" cm="1">
        <f t="array" ref="Q5">O5</f>
        <v>13</v>
      </c>
      <c r="R5" s="205"/>
      <c r="S5" s="71"/>
      <c r="T5" t="s" s="221">
        <v>658</v>
      </c>
      <c r="U5" s="204"/>
      <c r="V5" s="779" cm="1">
        <f t="array" ref="V5">$D$5</f>
        <v>13</v>
      </c>
      <c r="W5" s="780"/>
      <c r="X5" s="779" cm="1">
        <f t="array" ref="X5">V5</f>
        <v>13</v>
      </c>
      <c r="Y5" s="781"/>
      <c r="Z5" s="779" cm="1">
        <f t="array" ref="Z5">X5</f>
        <v>13</v>
      </c>
      <c r="AA5" s="205"/>
      <c r="AB5" s="71"/>
      <c r="AC5" t="s" s="221">
        <v>658</v>
      </c>
      <c r="AD5" s="204"/>
      <c r="AE5" s="779" cm="1">
        <f t="array" ref="AE5">$D$5</f>
        <v>13</v>
      </c>
      <c r="AF5" s="780"/>
      <c r="AG5" s="779" cm="1">
        <f t="array" ref="AG5">AE5</f>
        <v>13</v>
      </c>
      <c r="AH5" s="781"/>
      <c r="AI5" s="779" cm="1">
        <f t="array" ref="AI5">AG5</f>
        <v>13</v>
      </c>
      <c r="AJ5" s="205"/>
    </row>
    <row r="6" ht="13" customHeight="1">
      <c r="A6" s="12"/>
      <c r="B6" t="s" s="221">
        <v>659</v>
      </c>
      <c r="C6" s="204"/>
      <c r="D6" s="782">
        <v>350</v>
      </c>
      <c r="E6" s="783"/>
      <c r="F6" s="783">
        <v>350</v>
      </c>
      <c r="G6" s="783"/>
      <c r="H6" s="782">
        <v>350</v>
      </c>
      <c r="I6" s="209"/>
      <c r="J6" s="71"/>
      <c r="K6" t="s" s="221">
        <v>659</v>
      </c>
      <c r="L6" s="204"/>
      <c r="M6" s="782">
        <v>350</v>
      </c>
      <c r="N6" s="783"/>
      <c r="O6" s="783">
        <v>350</v>
      </c>
      <c r="P6" s="783"/>
      <c r="Q6" s="782">
        <v>350</v>
      </c>
      <c r="R6" s="209"/>
      <c r="S6" s="71"/>
      <c r="T6" t="s" s="221">
        <v>659</v>
      </c>
      <c r="U6" s="204"/>
      <c r="V6" s="782">
        <v>350</v>
      </c>
      <c r="W6" s="783"/>
      <c r="X6" s="783">
        <v>350</v>
      </c>
      <c r="Y6" s="783"/>
      <c r="Z6" s="782">
        <v>350</v>
      </c>
      <c r="AA6" s="209"/>
      <c r="AB6" s="71"/>
      <c r="AC6" t="s" s="221">
        <v>659</v>
      </c>
      <c r="AD6" s="204"/>
      <c r="AE6" s="782">
        <v>350</v>
      </c>
      <c r="AF6" s="783"/>
      <c r="AG6" s="783">
        <v>350</v>
      </c>
      <c r="AH6" s="783"/>
      <c r="AI6" s="782">
        <v>350</v>
      </c>
      <c r="AJ6" s="209"/>
    </row>
    <row r="7" ht="13" customHeight="1">
      <c r="A7" s="12"/>
      <c r="B7" t="s" s="221">
        <v>660</v>
      </c>
      <c r="C7" s="204"/>
      <c r="D7" s="784" cm="1">
        <f t="array" ref="D7">D3*D4*D5*D6</f>
        <v>3276</v>
      </c>
      <c r="E7" s="780"/>
      <c r="F7" s="785" cm="1">
        <f t="array" ref="F7">F3*F4*F5*F6</f>
        <v>3685.5</v>
      </c>
      <c r="G7" s="781"/>
      <c r="H7" s="784" cm="1">
        <f t="array" ref="H7">H3*H4*H5*H6</f>
        <v>2866.5</v>
      </c>
      <c r="I7" s="205"/>
      <c r="J7" s="71"/>
      <c r="K7" t="s" s="221">
        <v>660</v>
      </c>
      <c r="L7" s="204"/>
      <c r="M7" s="784" cm="1">
        <f t="array" ref="M7">M3*M4*M5*M6</f>
        <v>3276</v>
      </c>
      <c r="N7" s="780"/>
      <c r="O7" s="785" cm="1">
        <f t="array" ref="O7">O3*O4*O5*O6</f>
        <v>3685.5</v>
      </c>
      <c r="P7" s="781"/>
      <c r="Q7" s="784" cm="1">
        <f t="array" ref="Q7">Q3*Q4*Q5*Q6</f>
        <v>2866.5</v>
      </c>
      <c r="R7" s="205"/>
      <c r="S7" s="71"/>
      <c r="T7" t="s" s="221">
        <v>660</v>
      </c>
      <c r="U7" s="204"/>
      <c r="V7" s="784" cm="1">
        <f t="array" ref="V7">V3*V4*V5*V6</f>
        <v>3276</v>
      </c>
      <c r="W7" s="780"/>
      <c r="X7" s="785" cm="1">
        <f t="array" ref="X7">X3*X4*X5*X6</f>
        <v>3685.5</v>
      </c>
      <c r="Y7" s="781"/>
      <c r="Z7" s="784" cm="1">
        <f t="array" ref="Z7">Z3*Z4*Z5*Z6</f>
        <v>2866.5</v>
      </c>
      <c r="AA7" s="205"/>
      <c r="AB7" s="71"/>
      <c r="AC7" t="s" s="221">
        <v>660</v>
      </c>
      <c r="AD7" s="204"/>
      <c r="AE7" s="784" cm="1">
        <f t="array" ref="AE7">AE3*AE4*AE5*AE6</f>
        <v>3276</v>
      </c>
      <c r="AF7" s="780"/>
      <c r="AG7" s="785" cm="1">
        <f t="array" ref="AG7">AG3*AG4*AG5*AG6</f>
        <v>3685.5</v>
      </c>
      <c r="AH7" s="781"/>
      <c r="AI7" s="784" cm="1">
        <f t="array" ref="AI7">AI3*AI4*AI5*AI6</f>
        <v>2866.5</v>
      </c>
      <c r="AJ7" s="205"/>
    </row>
    <row r="8" ht="14" customHeight="1">
      <c r="A8" s="12"/>
      <c r="B8" t="s" s="221">
        <v>661</v>
      </c>
      <c r="C8" s="204"/>
      <c r="D8" s="786" cm="1">
        <f t="array" ref="D8">AVERAGE(1450000,2150000)</f>
        <v>1800000</v>
      </c>
      <c r="E8" s="787"/>
      <c r="F8" s="786" cm="1">
        <f t="array" ref="F8">AVERAGE(1550000,2150000)</f>
        <v>1850000</v>
      </c>
      <c r="G8" s="787">
        <v>0</v>
      </c>
      <c r="H8" s="786" cm="1">
        <f t="array" ref="H8">AVERAGE(1400000,2150000)</f>
        <v>1775000</v>
      </c>
      <c r="I8" s="213"/>
      <c r="J8" s="71"/>
      <c r="K8" t="s" s="221">
        <v>661</v>
      </c>
      <c r="L8" s="204"/>
      <c r="M8" s="786" cm="1">
        <f t="array" ref="M8">AVERAGE(1450000,2100000)</f>
        <v>1775000</v>
      </c>
      <c r="N8" s="787"/>
      <c r="O8" s="786" cm="1">
        <f t="array" ref="O8">AVERAGE(1550000,2100000)</f>
        <v>1825000</v>
      </c>
      <c r="P8" s="787">
        <v>0</v>
      </c>
      <c r="Q8" s="786" cm="1">
        <f t="array" ref="Q8">AVERAGE(1350000,2100000)</f>
        <v>1725000</v>
      </c>
      <c r="R8" s="213"/>
      <c r="S8" s="71"/>
      <c r="T8" t="s" s="221">
        <v>661</v>
      </c>
      <c r="U8" s="204"/>
      <c r="V8" s="786" cm="1">
        <f t="array" ref="V8">AVERAGE(1450000,2100000)</f>
        <v>1775000</v>
      </c>
      <c r="W8" s="787"/>
      <c r="X8" s="786" cm="1">
        <f t="array" ref="X8">AVERAGE(1550000,2100000)</f>
        <v>1825000</v>
      </c>
      <c r="Y8" s="787">
        <v>0</v>
      </c>
      <c r="Z8" s="786" cm="1">
        <f t="array" ref="Z8">AVERAGE(1350000,2100000)</f>
        <v>1725000</v>
      </c>
      <c r="AA8" s="213"/>
      <c r="AB8" s="71"/>
      <c r="AC8" t="s" s="221">
        <v>661</v>
      </c>
      <c r="AD8" s="204"/>
      <c r="AE8" s="786" cm="1">
        <f t="array" ref="AE8">AVERAGE(1450000,2100000)</f>
        <v>1775000</v>
      </c>
      <c r="AF8" s="787"/>
      <c r="AG8" s="786" cm="1">
        <f t="array" ref="AG8">AVERAGE(1550000,2100000)</f>
        <v>1825000</v>
      </c>
      <c r="AH8" s="787">
        <v>0</v>
      </c>
      <c r="AI8" s="786" cm="1">
        <f t="array" ref="AI8">AVERAGE(1350000,2100000)</f>
        <v>1725000</v>
      </c>
      <c r="AJ8" s="213"/>
    </row>
    <row r="9" ht="14" customHeight="1">
      <c r="A9" s="12"/>
      <c r="B9" t="s" s="221">
        <v>662</v>
      </c>
      <c r="C9" s="788"/>
      <c r="D9" s="789" cm="1">
        <f t="array" ref="D9">D7*D8</f>
        <v>5896800000</v>
      </c>
      <c r="E9" s="790"/>
      <c r="F9" s="789" cm="1">
        <f t="array" ref="F9">F7*F8</f>
        <v>6818175000</v>
      </c>
      <c r="G9" s="791"/>
      <c r="H9" s="789" cm="1">
        <f t="array" ref="H9">H7*H8</f>
        <v>5088037500</v>
      </c>
      <c r="I9" s="213"/>
      <c r="J9" s="71"/>
      <c r="K9" t="s" s="221">
        <v>662</v>
      </c>
      <c r="L9" s="788"/>
      <c r="M9" s="789" cm="1">
        <f t="array" ref="M9">M7*M8</f>
        <v>5814900000</v>
      </c>
      <c r="N9" s="790"/>
      <c r="O9" s="789" cm="1">
        <f t="array" ref="O9">O7*O8</f>
        <v>6726037500</v>
      </c>
      <c r="P9" s="791"/>
      <c r="Q9" s="789" cm="1">
        <f t="array" ref="Q9">Q7*Q8</f>
        <v>4944712500</v>
      </c>
      <c r="R9" s="213"/>
      <c r="S9" s="71"/>
      <c r="T9" t="s" s="221">
        <v>662</v>
      </c>
      <c r="U9" s="788"/>
      <c r="V9" s="789" cm="1">
        <f t="array" ref="V9">V7*V8</f>
        <v>5814900000</v>
      </c>
      <c r="W9" s="790"/>
      <c r="X9" s="789" cm="1">
        <f t="array" ref="X9">X7*X8</f>
        <v>6726037500</v>
      </c>
      <c r="Y9" s="791"/>
      <c r="Z9" s="789" cm="1">
        <f t="array" ref="Z9">Z7*Z8</f>
        <v>4944712500</v>
      </c>
      <c r="AA9" s="213"/>
      <c r="AB9" s="71"/>
      <c r="AC9" t="s" s="221">
        <v>662</v>
      </c>
      <c r="AD9" s="788"/>
      <c r="AE9" s="789" cm="1">
        <f t="array" ref="AE9">AE7*AE8</f>
        <v>5814900000</v>
      </c>
      <c r="AF9" s="790"/>
      <c r="AG9" s="789" cm="1">
        <f t="array" ref="AG9">AG7*AG8</f>
        <v>6726037500</v>
      </c>
      <c r="AH9" s="791"/>
      <c r="AI9" s="789" cm="1">
        <f t="array" ref="AI9">AI7*AI8</f>
        <v>4944712500</v>
      </c>
      <c r="AJ9" s="213"/>
    </row>
    <row r="10" ht="14" customHeight="1">
      <c r="A10" s="12"/>
      <c r="B10" t="s" s="216">
        <v>663</v>
      </c>
      <c r="C10" s="788"/>
      <c r="D10" s="780"/>
      <c r="E10" s="780"/>
      <c r="F10" s="780"/>
      <c r="G10" s="781"/>
      <c r="H10" s="780"/>
      <c r="I10" s="213"/>
      <c r="J10" s="71"/>
      <c r="K10" t="s" s="216">
        <v>663</v>
      </c>
      <c r="L10" s="788"/>
      <c r="M10" s="780"/>
      <c r="N10" s="780"/>
      <c r="O10" s="780"/>
      <c r="P10" s="781"/>
      <c r="Q10" s="780"/>
      <c r="R10" s="213"/>
      <c r="S10" s="71"/>
      <c r="T10" t="s" s="216">
        <v>663</v>
      </c>
      <c r="U10" s="788"/>
      <c r="V10" s="780"/>
      <c r="W10" s="780"/>
      <c r="X10" s="780"/>
      <c r="Y10" s="781"/>
      <c r="Z10" s="780"/>
      <c r="AA10" s="213"/>
      <c r="AB10" s="71"/>
      <c r="AC10" t="s" s="216">
        <v>663</v>
      </c>
      <c r="AD10" s="788"/>
      <c r="AE10" s="780"/>
      <c r="AF10" s="780"/>
      <c r="AG10" s="780"/>
      <c r="AH10" s="781"/>
      <c r="AI10" s="780"/>
      <c r="AJ10" s="213"/>
    </row>
    <row r="11" ht="14" customHeight="1">
      <c r="A11" s="12"/>
      <c r="B11" t="str" s="792" cm="1">
        <f t="array" ref="B11">'Shared Boats 2026 Target'!$E$257</f>
        <v>Guides Salary &amp; Tax</v>
      </c>
      <c r="C11" s="788"/>
      <c r="D11" s="222" cm="1">
        <f t="array" ref="D11">-'Shared Boats 2026 Target'!$E$268*D$3*D$6</f>
        <v>-490280000</v>
      </c>
      <c r="E11" s="222"/>
      <c r="F11" s="222" cm="1">
        <f t="array" ref="F11">-'Shared Boats 2026 Target'!$E$268*F$3*F$6</f>
        <v>-551565000</v>
      </c>
      <c r="G11" s="787"/>
      <c r="H11" s="222" cm="1">
        <f t="array" ref="H11">-'Shared Boats 2026 Target'!$E$268*H$3*H$6</f>
        <v>-428995000</v>
      </c>
      <c r="I11" s="213"/>
      <c r="J11" s="71"/>
      <c r="K11" t="str" s="792" cm="1">
        <f t="array" ref="K11">'Shared Boats 2026 Target'!$E$257</f>
        <v>Guides Salary &amp; Tax</v>
      </c>
      <c r="L11" s="788"/>
      <c r="M11" s="222" cm="1">
        <f t="array" ref="M11">-'Shared Boats 2026 Target'!$E$268*M$3*M$6</f>
        <v>-490280000</v>
      </c>
      <c r="N11" s="222"/>
      <c r="O11" s="222" cm="1">
        <f t="array" ref="O11">-'Shared Boats 2026 Target'!$E$268*O$3*O$6</f>
        <v>-551565000</v>
      </c>
      <c r="P11" s="787"/>
      <c r="Q11" s="222" cm="1">
        <f t="array" ref="Q11">-'Shared Boats 2026 Target'!$E$268*Q$3*Q$6</f>
        <v>-428995000</v>
      </c>
      <c r="R11" s="213"/>
      <c r="S11" s="71"/>
      <c r="T11" t="str" s="792" cm="1">
        <f t="array" ref="T11">'Shared Boats 2026 Target'!$E$257</f>
        <v>Guides Salary &amp; Tax</v>
      </c>
      <c r="U11" s="788"/>
      <c r="V11" s="222" cm="1">
        <f t="array" ref="V11">-'Shared Boats 2026 Target'!$E$268*V$3*V$6</f>
        <v>-490280000</v>
      </c>
      <c r="W11" s="222"/>
      <c r="X11" s="222" cm="1">
        <f t="array" ref="X11">-'Shared Boats 2026 Target'!$E$268*X$3*X$6</f>
        <v>-551565000</v>
      </c>
      <c r="Y11" s="787"/>
      <c r="Z11" s="222" cm="1">
        <f t="array" ref="Z11">-'Shared Boats 2026 Target'!$E$268*Z$3*Z$6</f>
        <v>-428995000</v>
      </c>
      <c r="AA11" s="213"/>
      <c r="AB11" s="71"/>
      <c r="AC11" t="str" s="792" cm="1">
        <f t="array" ref="AC11">'Shared Boats 2026 Target'!$E$257</f>
        <v>Guides Salary &amp; Tax</v>
      </c>
      <c r="AD11" s="788"/>
      <c r="AE11" s="222" cm="1">
        <f t="array" ref="AE11">-'Shared Boats 2026 Target'!$E$268*AE$3*AE$6</f>
        <v>-490280000</v>
      </c>
      <c r="AF11" s="222"/>
      <c r="AG11" s="222" cm="1">
        <f t="array" ref="AG11">-'Shared Boats 2026 Target'!$E$268*AG$3*AG$6</f>
        <v>-551565000</v>
      </c>
      <c r="AH11" s="787"/>
      <c r="AI11" s="222" cm="1">
        <f t="array" ref="AI11">-'Shared Boats 2026 Target'!$E$268*AI$3*AI$6</f>
        <v>-428995000</v>
      </c>
      <c r="AJ11" s="213"/>
    </row>
    <row r="12" ht="14" customHeight="1">
      <c r="A12" s="12"/>
      <c r="B12" t="str" s="792" cm="1">
        <f t="array" ref="B12">'Shared Boats 2026 Target'!$F$257</f>
        <v>Towels</v>
      </c>
      <c r="C12" s="788"/>
      <c r="D12" s="222" cm="1">
        <f t="array" ref="D12">-'Shared Boats 2026 Target'!$F$268*D$3*D$6</f>
        <v>-18480000</v>
      </c>
      <c r="E12" s="222"/>
      <c r="F12" s="222" cm="1">
        <f t="array" ref="F12">-'Shared Boats 2026 Target'!$F$268*F$3*F$6</f>
        <v>-20790000</v>
      </c>
      <c r="G12" s="787"/>
      <c r="H12" s="222" cm="1">
        <f t="array" ref="H12">-'Shared Boats 2026 Target'!$F$268*H$3*H$6</f>
        <v>-16170000</v>
      </c>
      <c r="I12" s="213"/>
      <c r="J12" s="71"/>
      <c r="K12" t="str" s="792" cm="1">
        <f t="array" ref="K12">'Shared Boats 2026 Target'!$F$257</f>
        <v>Towels</v>
      </c>
      <c r="L12" s="788"/>
      <c r="M12" s="222" cm="1">
        <f t="array" ref="M12">-'Shared Boats 2026 Target'!$F$268*M$3*M$6</f>
        <v>-18480000</v>
      </c>
      <c r="N12" s="222"/>
      <c r="O12" s="222" cm="1">
        <f t="array" ref="O12">-'Shared Boats 2026 Target'!$F$268*O$3*O$6</f>
        <v>-20790000</v>
      </c>
      <c r="P12" s="787"/>
      <c r="Q12" s="222" cm="1">
        <f t="array" ref="Q12">-'Shared Boats 2026 Target'!$F$268*Q$3*Q$6</f>
        <v>-16170000</v>
      </c>
      <c r="R12" s="213"/>
      <c r="S12" s="71"/>
      <c r="T12" t="str" s="792" cm="1">
        <f t="array" ref="T12">'Shared Boats 2026 Target'!$F$257</f>
        <v>Towels</v>
      </c>
      <c r="U12" s="788"/>
      <c r="V12" s="222" cm="1">
        <f t="array" ref="V12">-'Shared Boats 2026 Target'!$F$268*V$3*V$6</f>
        <v>-18480000</v>
      </c>
      <c r="W12" s="222"/>
      <c r="X12" s="222" cm="1">
        <f t="array" ref="X12">-'Shared Boats 2026 Target'!$F$268*X$3*X$6</f>
        <v>-20790000</v>
      </c>
      <c r="Y12" s="787"/>
      <c r="Z12" s="222" cm="1">
        <f t="array" ref="Z12">-'Shared Boats 2026 Target'!$F$268*Z$3*Z$6</f>
        <v>-16170000</v>
      </c>
      <c r="AA12" s="213"/>
      <c r="AB12" s="71"/>
      <c r="AC12" t="str" s="792" cm="1">
        <f t="array" ref="AC12">'Shared Boats 2026 Target'!$F$257</f>
        <v>Towels</v>
      </c>
      <c r="AD12" s="788"/>
      <c r="AE12" s="222" cm="1">
        <f t="array" ref="AE12">-'Shared Boats 2026 Target'!$F$268*AE$3*AE$6</f>
        <v>-18480000</v>
      </c>
      <c r="AF12" s="222"/>
      <c r="AG12" s="222" cm="1">
        <f t="array" ref="AG12">-'Shared Boats 2026 Target'!$F$268*AG$3*AG$6</f>
        <v>-20790000</v>
      </c>
      <c r="AH12" s="787"/>
      <c r="AI12" s="222" cm="1">
        <f t="array" ref="AI12">-'Shared Boats 2026 Target'!$F$268*AI$3*AI$6</f>
        <v>-16170000</v>
      </c>
      <c r="AJ12" s="213"/>
    </row>
    <row r="13" ht="14" customHeight="1">
      <c r="A13" s="12"/>
      <c r="B13" t="str" s="792" cm="1">
        <f t="array" ref="B13">'Shared Boats 2026 Target'!$G$257</f>
        <v>Ice &amp; Water</v>
      </c>
      <c r="C13" s="788"/>
      <c r="D13" s="222" cm="1">
        <f t="array" ref="D13">-'Shared Boats 2026 Target'!$G$268*D$3*D$6</f>
        <v>-25200000</v>
      </c>
      <c r="E13" s="222"/>
      <c r="F13" s="222" cm="1">
        <f t="array" ref="F13">-'Shared Boats 2026 Target'!$G$268*F$3*F$6</f>
        <v>-28350000</v>
      </c>
      <c r="G13" s="787"/>
      <c r="H13" s="222" cm="1">
        <f t="array" ref="H13">-'Shared Boats 2026 Target'!$G$268*H$3*H$6</f>
        <v>-22050000</v>
      </c>
      <c r="I13" s="213"/>
      <c r="J13" s="71"/>
      <c r="K13" t="str" s="792" cm="1">
        <f t="array" ref="K13">'Shared Boats 2026 Target'!$G$257</f>
        <v>Ice &amp; Water</v>
      </c>
      <c r="L13" s="788"/>
      <c r="M13" s="222" cm="1">
        <f t="array" ref="M13">-'Shared Boats 2026 Target'!$G$268*M$3*M$6</f>
        <v>-25200000</v>
      </c>
      <c r="N13" s="222"/>
      <c r="O13" s="222" cm="1">
        <f t="array" ref="O13">-'Shared Boats 2026 Target'!$G$268*O$3*O$6</f>
        <v>-28350000</v>
      </c>
      <c r="P13" s="787"/>
      <c r="Q13" s="222" cm="1">
        <f t="array" ref="Q13">-'Shared Boats 2026 Target'!$G$268*Q$3*Q$6</f>
        <v>-22050000</v>
      </c>
      <c r="R13" s="213"/>
      <c r="S13" s="71"/>
      <c r="T13" t="str" s="792" cm="1">
        <f t="array" ref="T13">'Shared Boats 2026 Target'!$G$257</f>
        <v>Ice &amp; Water</v>
      </c>
      <c r="U13" s="788"/>
      <c r="V13" s="222" cm="1">
        <f t="array" ref="V13">-'Shared Boats 2026 Target'!$G$268*V$3*V$6</f>
        <v>-25200000</v>
      </c>
      <c r="W13" s="222"/>
      <c r="X13" s="222" cm="1">
        <f t="array" ref="X13">-'Shared Boats 2026 Target'!$G$268*X$3*X$6</f>
        <v>-28350000</v>
      </c>
      <c r="Y13" s="787"/>
      <c r="Z13" s="222" cm="1">
        <f t="array" ref="Z13">-'Shared Boats 2026 Target'!$G$268*Z$3*Z$6</f>
        <v>-22050000</v>
      </c>
      <c r="AA13" s="213"/>
      <c r="AB13" s="71"/>
      <c r="AC13" t="str" s="792" cm="1">
        <f t="array" ref="AC13">'Shared Boats 2026 Target'!$G$257</f>
        <v>Ice &amp; Water</v>
      </c>
      <c r="AD13" s="788"/>
      <c r="AE13" s="222" cm="1">
        <f t="array" ref="AE13">-'Shared Boats 2026 Target'!$G$268*AE$3*AE$6</f>
        <v>-25200000</v>
      </c>
      <c r="AF13" s="222"/>
      <c r="AG13" s="222" cm="1">
        <f t="array" ref="AG13">-'Shared Boats 2026 Target'!$G$268*AG$3*AG$6</f>
        <v>-28350000</v>
      </c>
      <c r="AH13" s="787"/>
      <c r="AI13" s="222" cm="1">
        <f t="array" ref="AI13">-'Shared Boats 2026 Target'!$G$268*AI$3*AI$6</f>
        <v>-22050000</v>
      </c>
      <c r="AJ13" s="213"/>
    </row>
    <row r="14" ht="14" customHeight="1">
      <c r="A14" s="12"/>
      <c r="B14" t="str" s="792" cm="1">
        <f t="array" ref="B14">'Shared Boats 2026 Target'!$H$257</f>
        <v>Seran Retribution</v>
      </c>
      <c r="C14" s="788"/>
      <c r="D14" s="222" cm="1">
        <f t="array" ref="D14">-'Shared Boats 2026 Target'!$H$268*D$3*D$6</f>
        <v>-128800000</v>
      </c>
      <c r="E14" s="222"/>
      <c r="F14" s="222" cm="1">
        <f t="array" ref="F14">-'Shared Boats 2026 Target'!$H$268*F$3*F$6</f>
        <v>-144900000</v>
      </c>
      <c r="G14" s="787"/>
      <c r="H14" s="222" cm="1">
        <f t="array" ref="H14">-'Shared Boats 2026 Target'!$H$268*H$3*H$6</f>
        <v>-112700000</v>
      </c>
      <c r="I14" s="213"/>
      <c r="J14" s="71"/>
      <c r="K14" t="str" s="792" cm="1">
        <f t="array" ref="K14">'Shared Boats 2026 Target'!$H$257</f>
        <v>Seran Retribution</v>
      </c>
      <c r="L14" s="788"/>
      <c r="M14" s="222" cm="1">
        <f t="array" ref="M14">-'Shared Boats 2026 Target'!$H$268*M$3*M$6</f>
        <v>-128800000</v>
      </c>
      <c r="N14" s="222"/>
      <c r="O14" s="222" cm="1">
        <f t="array" ref="O14">-'Shared Boats 2026 Target'!$H$268*O$3*O$6</f>
        <v>-144900000</v>
      </c>
      <c r="P14" s="787"/>
      <c r="Q14" s="222" cm="1">
        <f t="array" ref="Q14">-'Shared Boats 2026 Target'!$H$268*Q$3*Q$6</f>
        <v>-112700000</v>
      </c>
      <c r="R14" s="213"/>
      <c r="S14" s="71"/>
      <c r="T14" t="str" s="792" cm="1">
        <f t="array" ref="T14">'Shared Boats 2026 Target'!$H$257</f>
        <v>Seran Retribution</v>
      </c>
      <c r="U14" s="788"/>
      <c r="V14" s="222" cm="1">
        <f t="array" ref="V14">-'Shared Boats 2026 Target'!$H$268*V$3*V$6</f>
        <v>-128800000</v>
      </c>
      <c r="W14" s="222"/>
      <c r="X14" s="222" cm="1">
        <f t="array" ref="X14">-'Shared Boats 2026 Target'!$H$268*X$3*X$6</f>
        <v>-144900000</v>
      </c>
      <c r="Y14" s="787"/>
      <c r="Z14" s="222" cm="1">
        <f t="array" ref="Z14">-'Shared Boats 2026 Target'!$H$268*Z$3*Z$6</f>
        <v>-112700000</v>
      </c>
      <c r="AA14" s="213"/>
      <c r="AB14" s="71"/>
      <c r="AC14" t="str" s="792" cm="1">
        <f t="array" ref="AC14">'Shared Boats 2026 Target'!$H$257</f>
        <v>Seran Retribution</v>
      </c>
      <c r="AD14" s="788"/>
      <c r="AE14" s="222" cm="1">
        <f t="array" ref="AE14">-'Shared Boats 2026 Target'!$H$268*AE$3*AE$6</f>
        <v>-128800000</v>
      </c>
      <c r="AF14" s="222"/>
      <c r="AG14" s="222" cm="1">
        <f t="array" ref="AG14">-'Shared Boats 2026 Target'!$H$268*AG$3*AG$6</f>
        <v>-144900000</v>
      </c>
      <c r="AH14" s="787"/>
      <c r="AI14" s="222" cm="1">
        <f t="array" ref="AI14">-'Shared Boats 2026 Target'!$H$268*AI$3*AI$6</f>
        <v>-112700000</v>
      </c>
      <c r="AJ14" s="213"/>
    </row>
    <row r="15" ht="14" customHeight="1">
      <c r="A15" s="12"/>
      <c r="B15" t="str" s="792" cm="1">
        <f t="array" ref="B15">'Shared Boats 2026 Target'!$I$257</f>
        <v>Seran Parking and Mooring</v>
      </c>
      <c r="C15" s="788"/>
      <c r="D15" s="222" cm="1">
        <f t="array" ref="D15">-'Shared Boats 2026 Target'!$I$268*D$3*D$6</f>
        <v>-27533333.3333333</v>
      </c>
      <c r="E15" s="222"/>
      <c r="F15" s="222" cm="1">
        <f t="array" ref="F15">-'Shared Boats 2026 Target'!$I$268*F$3*F$6</f>
        <v>-30975000</v>
      </c>
      <c r="G15" s="787"/>
      <c r="H15" s="222" cm="1">
        <f t="array" ref="H15">-'Shared Boats 2026 Target'!$I$268*H$3*H$6</f>
        <v>-24091666.6666667</v>
      </c>
      <c r="I15" s="213"/>
      <c r="J15" s="71"/>
      <c r="K15" t="str" s="792" cm="1">
        <f t="array" ref="K15">'Shared Boats 2026 Target'!$I$257</f>
        <v>Seran Parking and Mooring</v>
      </c>
      <c r="L15" s="788"/>
      <c r="M15" s="222" cm="1">
        <f t="array" ref="M15">-'Shared Boats 2026 Target'!$I$268*M$3*M$6</f>
        <v>-27533333.3333333</v>
      </c>
      <c r="N15" s="222"/>
      <c r="O15" s="222" cm="1">
        <f t="array" ref="O15">-'Shared Boats 2026 Target'!$I$268*O$3*O$6</f>
        <v>-30975000</v>
      </c>
      <c r="P15" s="787"/>
      <c r="Q15" s="222" cm="1">
        <f t="array" ref="Q15">-'Shared Boats 2026 Target'!$I$268*Q$3*Q$6</f>
        <v>-24091666.6666667</v>
      </c>
      <c r="R15" s="213"/>
      <c r="S15" s="71"/>
      <c r="T15" t="str" s="792" cm="1">
        <f t="array" ref="T15">'Shared Boats 2026 Target'!$I$257</f>
        <v>Seran Parking and Mooring</v>
      </c>
      <c r="U15" s="788"/>
      <c r="V15" s="222" cm="1">
        <f t="array" ref="V15">-'Shared Boats 2026 Target'!$I$268*V$3*V$6</f>
        <v>-27533333.3333333</v>
      </c>
      <c r="W15" s="222"/>
      <c r="X15" s="222" cm="1">
        <f t="array" ref="X15">-'Shared Boats 2026 Target'!$I$268*X$3*X$6</f>
        <v>-30975000</v>
      </c>
      <c r="Y15" s="787"/>
      <c r="Z15" s="222" cm="1">
        <f t="array" ref="Z15">-'Shared Boats 2026 Target'!$I$268*Z$3*Z$6</f>
        <v>-24091666.6666667</v>
      </c>
      <c r="AA15" s="213"/>
      <c r="AB15" s="71"/>
      <c r="AC15" t="str" s="792" cm="1">
        <f t="array" ref="AC15">'Shared Boats 2026 Target'!$I$257</f>
        <v>Seran Parking and Mooring</v>
      </c>
      <c r="AD15" s="788"/>
      <c r="AE15" s="222" cm="1">
        <f t="array" ref="AE15">-'Shared Boats 2026 Target'!$I$268*AE$3*AE$6</f>
        <v>-27533333.3333333</v>
      </c>
      <c r="AF15" s="222"/>
      <c r="AG15" s="222" cm="1">
        <f t="array" ref="AG15">-'Shared Boats 2026 Target'!$I$268*AG$3*AG$6</f>
        <v>-30975000</v>
      </c>
      <c r="AH15" s="787"/>
      <c r="AI15" s="222" cm="1">
        <f t="array" ref="AI15">-'Shared Boats 2026 Target'!$I$268*AI$3*AI$6</f>
        <v>-24091666.6666667</v>
      </c>
      <c r="AJ15" s="213"/>
    </row>
    <row r="16" ht="14" customHeight="1">
      <c r="A16" s="12"/>
      <c r="B16" t="str" s="792" cm="1">
        <f t="array" ref="B16">'Shared Boats 2026 Target'!$K$257</f>
        <v>NP + Serangan Clearance</v>
      </c>
      <c r="C16" s="788"/>
      <c r="D16" s="222" cm="1">
        <f t="array" ref="D16">-'Shared Boats 2026 Target'!$K$268*D$3*D$6</f>
        <v>-64400000</v>
      </c>
      <c r="E16" s="222"/>
      <c r="F16" s="222" cm="1">
        <f t="array" ref="F16">-'Shared Boats 2026 Target'!$K$268*F$3*F$6</f>
        <v>-72450000</v>
      </c>
      <c r="G16" s="787"/>
      <c r="H16" s="222" cm="1">
        <f t="array" ref="H16">-'Shared Boats 2026 Target'!$K$268*H$3*H$6</f>
        <v>-56350000</v>
      </c>
      <c r="I16" s="213"/>
      <c r="J16" s="71"/>
      <c r="K16" t="str" s="792" cm="1">
        <f t="array" ref="K16">'Shared Boats 2026 Target'!$K$257</f>
        <v>NP + Serangan Clearance</v>
      </c>
      <c r="L16" s="788"/>
      <c r="M16" s="222" cm="1">
        <f t="array" ref="M16">-'Shared Boats 2026 Target'!$K$268*M$3*M$6</f>
        <v>-64400000</v>
      </c>
      <c r="N16" s="222"/>
      <c r="O16" s="222" cm="1">
        <f t="array" ref="O16">-'Shared Boats 2026 Target'!$K$268*O$3*O$6</f>
        <v>-72450000</v>
      </c>
      <c r="P16" s="787"/>
      <c r="Q16" s="222" cm="1">
        <f t="array" ref="Q16">-'Shared Boats 2026 Target'!$K$268*Q$3*Q$6</f>
        <v>-56350000</v>
      </c>
      <c r="R16" s="213"/>
      <c r="S16" s="71"/>
      <c r="T16" t="str" s="792" cm="1">
        <f t="array" ref="T16">'Shared Boats 2026 Target'!$K$257</f>
        <v>NP + Serangan Clearance</v>
      </c>
      <c r="U16" s="788"/>
      <c r="V16" s="222" cm="1">
        <f t="array" ref="V16">-'Shared Boats 2026 Target'!$K$268*V$3*V$6</f>
        <v>-64400000</v>
      </c>
      <c r="W16" s="222"/>
      <c r="X16" s="222" cm="1">
        <f t="array" ref="X16">-'Shared Boats 2026 Target'!$K$268*X$3*X$6</f>
        <v>-72450000</v>
      </c>
      <c r="Y16" s="787"/>
      <c r="Z16" s="222" cm="1">
        <f t="array" ref="Z16">-'Shared Boats 2026 Target'!$K$268*Z$3*Z$6</f>
        <v>-56350000</v>
      </c>
      <c r="AA16" s="213"/>
      <c r="AB16" s="71"/>
      <c r="AC16" t="str" s="792" cm="1">
        <f t="array" ref="AC16">'Shared Boats 2026 Target'!$K$257</f>
        <v>NP + Serangan Clearance</v>
      </c>
      <c r="AD16" s="788"/>
      <c r="AE16" s="222" cm="1">
        <f t="array" ref="AE16">-'Shared Boats 2026 Target'!$K$268*AE$3*AE$6</f>
        <v>-64400000</v>
      </c>
      <c r="AF16" s="222"/>
      <c r="AG16" s="222" cm="1">
        <f t="array" ref="AG16">-'Shared Boats 2026 Target'!$K$268*AG$3*AG$6</f>
        <v>-72450000</v>
      </c>
      <c r="AH16" s="787"/>
      <c r="AI16" s="222" cm="1">
        <f t="array" ref="AI16">-'Shared Boats 2026 Target'!$K$268*AI$3*AI$6</f>
        <v>-56350000</v>
      </c>
      <c r="AJ16" s="213"/>
    </row>
    <row r="17" ht="14" customHeight="1">
      <c r="A17" s="12"/>
      <c r="B17" t="str" s="792" cm="1">
        <f t="array" ref="B17">'Shared Boats 2026 Target'!$L$257</f>
        <v>Offering</v>
      </c>
      <c r="C17" s="788"/>
      <c r="D17" s="222" cm="1">
        <f t="array" ref="D17">-'Shared Boats 2026 Target'!$L$268*D$3*D$6</f>
        <v>-5600000</v>
      </c>
      <c r="E17" s="222"/>
      <c r="F17" s="222" cm="1">
        <f t="array" ref="F17">-'Shared Boats 2026 Target'!$L$268*F$3*F$6</f>
        <v>-6300000</v>
      </c>
      <c r="G17" s="787"/>
      <c r="H17" s="222" cm="1">
        <f t="array" ref="H17">-'Shared Boats 2026 Target'!$L$268*H$3*H$6</f>
        <v>-4900000</v>
      </c>
      <c r="I17" s="213"/>
      <c r="J17" s="71"/>
      <c r="K17" t="str" s="792" cm="1">
        <f t="array" ref="K17">'Shared Boats 2026 Target'!$L$257</f>
        <v>Offering</v>
      </c>
      <c r="L17" s="788"/>
      <c r="M17" s="222" cm="1">
        <f t="array" ref="M17">-'Shared Boats 2026 Target'!$L$268*M$3*M$6</f>
        <v>-5600000</v>
      </c>
      <c r="N17" s="222"/>
      <c r="O17" s="222" cm="1">
        <f t="array" ref="O17">-'Shared Boats 2026 Target'!$L$268*O$3*O$6</f>
        <v>-6300000</v>
      </c>
      <c r="P17" s="787"/>
      <c r="Q17" s="222" cm="1">
        <f t="array" ref="Q17">-'Shared Boats 2026 Target'!$L$268*Q$3*Q$6</f>
        <v>-4900000</v>
      </c>
      <c r="R17" s="213"/>
      <c r="S17" s="71"/>
      <c r="T17" t="str" s="792" cm="1">
        <f t="array" ref="T17">'Shared Boats 2026 Target'!$L$257</f>
        <v>Offering</v>
      </c>
      <c r="U17" s="788"/>
      <c r="V17" s="222" cm="1">
        <f t="array" ref="V17">-'Shared Boats 2026 Target'!$L$268*V$3*V$6</f>
        <v>-5600000</v>
      </c>
      <c r="W17" s="222"/>
      <c r="X17" s="222" cm="1">
        <f t="array" ref="X17">-'Shared Boats 2026 Target'!$L$268*X$3*X$6</f>
        <v>-6300000</v>
      </c>
      <c r="Y17" s="787"/>
      <c r="Z17" s="222" cm="1">
        <f t="array" ref="Z17">-'Shared Boats 2026 Target'!$L$268*Z$3*Z$6</f>
        <v>-4900000</v>
      </c>
      <c r="AA17" s="213"/>
      <c r="AB17" s="71"/>
      <c r="AC17" t="str" s="792" cm="1">
        <f t="array" ref="AC17">'Shared Boats 2026 Target'!$L$257</f>
        <v>Offering</v>
      </c>
      <c r="AD17" s="788"/>
      <c r="AE17" s="222" cm="1">
        <f t="array" ref="AE17">-'Shared Boats 2026 Target'!$L$268*AE$3*AE$6</f>
        <v>-5600000</v>
      </c>
      <c r="AF17" s="222"/>
      <c r="AG17" s="222" cm="1">
        <f t="array" ref="AG17">-'Shared Boats 2026 Target'!$L$268*AG$3*AG$6</f>
        <v>-6300000</v>
      </c>
      <c r="AH17" s="787"/>
      <c r="AI17" s="222" cm="1">
        <f t="array" ref="AI17">-'Shared Boats 2026 Target'!$L$268*AI$3*AI$6</f>
        <v>-4900000</v>
      </c>
      <c r="AJ17" s="213"/>
    </row>
    <row r="18" ht="14" customHeight="1">
      <c r="A18" s="12"/>
      <c r="B18" t="str" s="792" cm="1">
        <f t="array" ref="B18">'Shared Boats 2026 Target'!$M$257</f>
        <v>Fruits</v>
      </c>
      <c r="C18" s="788"/>
      <c r="D18" s="222" cm="1">
        <f t="array" ref="D18">-'Shared Boats 2026 Target'!$M$268*D$3*D$6</f>
        <v>-39200000</v>
      </c>
      <c r="E18" s="222"/>
      <c r="F18" s="222" cm="1">
        <f t="array" ref="F18">-'Shared Boats 2026 Target'!$M$268*F$3*F$6</f>
        <v>-44100000</v>
      </c>
      <c r="G18" s="787"/>
      <c r="H18" s="222" cm="1">
        <f t="array" ref="H18">-'Shared Boats 2026 Target'!$M$268*H$3*H$6</f>
        <v>-34300000</v>
      </c>
      <c r="I18" s="213"/>
      <c r="J18" s="71"/>
      <c r="K18" t="str" s="792" cm="1">
        <f t="array" ref="K18">'Shared Boats 2026 Target'!$M$257</f>
        <v>Fruits</v>
      </c>
      <c r="L18" s="788"/>
      <c r="M18" s="222" cm="1">
        <f t="array" ref="M18">-'Shared Boats 2026 Target'!$M$268*M$3*M$6</f>
        <v>-39200000</v>
      </c>
      <c r="N18" s="222"/>
      <c r="O18" s="222" cm="1">
        <f t="array" ref="O18">-'Shared Boats 2026 Target'!$M$268*O$3*O$6</f>
        <v>-44100000</v>
      </c>
      <c r="P18" s="787"/>
      <c r="Q18" s="222" cm="1">
        <f t="array" ref="Q18">-'Shared Boats 2026 Target'!$M$268*Q$3*Q$6</f>
        <v>-34300000</v>
      </c>
      <c r="R18" s="213"/>
      <c r="S18" s="71"/>
      <c r="T18" t="str" s="792" cm="1">
        <f t="array" ref="T18">'Shared Boats 2026 Target'!$M$257</f>
        <v>Fruits</v>
      </c>
      <c r="U18" s="788"/>
      <c r="V18" s="222" cm="1">
        <f t="array" ref="V18">-'Shared Boats 2026 Target'!$M$268*V$3*V$6</f>
        <v>-39200000</v>
      </c>
      <c r="W18" s="222"/>
      <c r="X18" s="222" cm="1">
        <f t="array" ref="X18">-'Shared Boats 2026 Target'!$M$268*X$3*X$6</f>
        <v>-44100000</v>
      </c>
      <c r="Y18" s="787"/>
      <c r="Z18" s="222" cm="1">
        <f t="array" ref="Z18">-'Shared Boats 2026 Target'!$M$268*Z$3*Z$6</f>
        <v>-34300000</v>
      </c>
      <c r="AA18" s="213"/>
      <c r="AB18" s="71"/>
      <c r="AC18" t="str" s="792" cm="1">
        <f t="array" ref="AC18">'Shared Boats 2026 Target'!$M$257</f>
        <v>Fruits</v>
      </c>
      <c r="AD18" s="788"/>
      <c r="AE18" s="222" cm="1">
        <f t="array" ref="AE18">-'Shared Boats 2026 Target'!$M$268*AE$3*AE$6</f>
        <v>-39200000</v>
      </c>
      <c r="AF18" s="222"/>
      <c r="AG18" s="222" cm="1">
        <f t="array" ref="AG18">-'Shared Boats 2026 Target'!$M$268*AG$3*AG$6</f>
        <v>-44100000</v>
      </c>
      <c r="AH18" s="787"/>
      <c r="AI18" s="222" cm="1">
        <f t="array" ref="AI18">-'Shared Boats 2026 Target'!$M$268*AI$3*AI$6</f>
        <v>-34300000</v>
      </c>
      <c r="AJ18" s="213"/>
    </row>
    <row r="19" ht="14" customHeight="1">
      <c r="A19" s="12"/>
      <c r="B19" t="str" s="792" cm="1">
        <f t="array" ref="B19">'Shared Boats 2026 Target'!$N$257</f>
        <v>Lunch</v>
      </c>
      <c r="C19" s="788"/>
      <c r="D19" s="222" cm="1">
        <f t="array" ref="D19">-'Shared Boats 2026 Target'!$N$268*D$3*D$6</f>
        <v>-338800000</v>
      </c>
      <c r="E19" s="222"/>
      <c r="F19" s="222" cm="1">
        <f t="array" ref="F19">-'Shared Boats 2026 Target'!$N$268*F$3*F$6</f>
        <v>-381150000</v>
      </c>
      <c r="G19" s="787"/>
      <c r="H19" s="222" cm="1">
        <f t="array" ref="H19">-'Shared Boats 2026 Target'!$N$268*H$3*H$6</f>
        <v>-296450000</v>
      </c>
      <c r="I19" s="213"/>
      <c r="J19" s="71"/>
      <c r="K19" t="str" s="792" cm="1">
        <f t="array" ref="K19">'Shared Boats 2026 Target'!$N$257</f>
        <v>Lunch</v>
      </c>
      <c r="L19" s="788"/>
      <c r="M19" s="222" cm="1">
        <f t="array" ref="M19">-'Shared Boats 2026 Target'!$N$268*M$3*M$6</f>
        <v>-338800000</v>
      </c>
      <c r="N19" s="222"/>
      <c r="O19" s="222" cm="1">
        <f t="array" ref="O19">-'Shared Boats 2026 Target'!$N$268*O$3*O$6</f>
        <v>-381150000</v>
      </c>
      <c r="P19" s="787"/>
      <c r="Q19" s="222" cm="1">
        <f t="array" ref="Q19">-'Shared Boats 2026 Target'!$N$268*Q$3*Q$6</f>
        <v>-296450000</v>
      </c>
      <c r="R19" s="213"/>
      <c r="S19" s="71"/>
      <c r="T19" t="str" s="792" cm="1">
        <f t="array" ref="T19">'Shared Boats 2026 Target'!$N$257</f>
        <v>Lunch</v>
      </c>
      <c r="U19" s="788"/>
      <c r="V19" s="222" cm="1">
        <f t="array" ref="V19">-'Shared Boats 2026 Target'!$N$268*V$3*V$6</f>
        <v>-338800000</v>
      </c>
      <c r="W19" s="222"/>
      <c r="X19" s="222" cm="1">
        <f t="array" ref="X19">-'Shared Boats 2026 Target'!$N$268*X$3*X$6</f>
        <v>-381150000</v>
      </c>
      <c r="Y19" s="787"/>
      <c r="Z19" s="222" cm="1">
        <f t="array" ref="Z19">-'Shared Boats 2026 Target'!$N$268*Z$3*Z$6</f>
        <v>-296450000</v>
      </c>
      <c r="AA19" s="213"/>
      <c r="AB19" s="71"/>
      <c r="AC19" t="str" s="792" cm="1">
        <f t="array" ref="AC19">'Shared Boats 2026 Target'!$N$257</f>
        <v>Lunch</v>
      </c>
      <c r="AD19" s="788"/>
      <c r="AE19" s="222" cm="1">
        <f t="array" ref="AE19">-'Shared Boats 2026 Target'!$N$268*AE$3*AE$6</f>
        <v>-338800000</v>
      </c>
      <c r="AF19" s="222"/>
      <c r="AG19" s="222" cm="1">
        <f t="array" ref="AG19">-'Shared Boats 2026 Target'!$N$268*AG$3*AG$6</f>
        <v>-381150000</v>
      </c>
      <c r="AH19" s="787"/>
      <c r="AI19" s="222" cm="1">
        <f t="array" ref="AI19">-'Shared Boats 2026 Target'!$N$268*AI$3*AI$6</f>
        <v>-296450000</v>
      </c>
      <c r="AJ19" s="213"/>
    </row>
    <row r="20" ht="14" customHeight="1">
      <c r="A20" s="12"/>
      <c r="B20" t="str" s="792" cm="1">
        <f t="array" ref="B20">'Shared Boats 2026 Target'!$O$257</f>
        <v>Fuel (Pertamax)</v>
      </c>
      <c r="C20" s="788"/>
      <c r="D20" s="222" cm="1">
        <f t="array" ref="D20">-'Shared Boats 2026 Target'!$O$268*D$3*D$6</f>
        <v>-931000000</v>
      </c>
      <c r="E20" s="222"/>
      <c r="F20" s="222" cm="1">
        <f t="array" ref="F20">-'Shared Boats 2026 Target'!$O$268*F$3*F$6</f>
        <v>-1047375000</v>
      </c>
      <c r="G20" s="787"/>
      <c r="H20" s="222" cm="1">
        <f t="array" ref="H20">-'Shared Boats 2026 Target'!$O$268*H$3*H$6</f>
        <v>-814625000</v>
      </c>
      <c r="I20" s="213"/>
      <c r="J20" s="71"/>
      <c r="K20" t="str" s="792" cm="1">
        <f t="array" ref="K20">'Shared Boats 2026 Target'!$O$257</f>
        <v>Fuel (Pertamax)</v>
      </c>
      <c r="L20" s="788"/>
      <c r="M20" s="222" cm="1">
        <f t="array" ref="M20">-'Shared Boats 2026 Target'!$O$268*M$3*M$6</f>
        <v>-931000000</v>
      </c>
      <c r="N20" s="222"/>
      <c r="O20" s="222" cm="1">
        <f t="array" ref="O20">-'Shared Boats 2026 Target'!$O$268*O$3*O$6</f>
        <v>-1047375000</v>
      </c>
      <c r="P20" s="787"/>
      <c r="Q20" s="222" cm="1">
        <f t="array" ref="Q20">-'Shared Boats 2026 Target'!$O$268*Q$3*Q$6</f>
        <v>-814625000</v>
      </c>
      <c r="R20" s="213"/>
      <c r="S20" s="71"/>
      <c r="T20" t="str" s="792" cm="1">
        <f t="array" ref="T20">'Shared Boats 2026 Target'!$O$257</f>
        <v>Fuel (Pertamax)</v>
      </c>
      <c r="U20" s="788"/>
      <c r="V20" s="222" cm="1">
        <f t="array" ref="V20">-'Shared Boats 2026 Target'!$O$268*V$3*V$6</f>
        <v>-931000000</v>
      </c>
      <c r="W20" s="222"/>
      <c r="X20" s="222" cm="1">
        <f t="array" ref="X20">-'Shared Boats 2026 Target'!$O$268*X$3*X$6</f>
        <v>-1047375000</v>
      </c>
      <c r="Y20" s="787"/>
      <c r="Z20" s="222" cm="1">
        <f t="array" ref="Z20">-'Shared Boats 2026 Target'!$O$268*Z$3*Z$6</f>
        <v>-814625000</v>
      </c>
      <c r="AA20" s="213"/>
      <c r="AB20" s="71"/>
      <c r="AC20" t="str" s="792" cm="1">
        <f t="array" ref="AC20">'Shared Boats 2026 Target'!$O$257</f>
        <v>Fuel (Pertamax)</v>
      </c>
      <c r="AD20" s="788"/>
      <c r="AE20" s="222" cm="1">
        <f t="array" ref="AE20">-'Shared Boats 2026 Target'!$O$268*AE$3*AE$6</f>
        <v>-931000000</v>
      </c>
      <c r="AF20" s="222"/>
      <c r="AG20" s="222" cm="1">
        <f t="array" ref="AG20">-'Shared Boats 2026 Target'!$O$268*AG$3*AG$6</f>
        <v>-1047375000</v>
      </c>
      <c r="AH20" s="787"/>
      <c r="AI20" s="222" cm="1">
        <f t="array" ref="AI20">-'Shared Boats 2026 Target'!$O$268*AI$3*AI$6</f>
        <v>-814625000</v>
      </c>
      <c r="AJ20" s="213"/>
    </row>
    <row r="21" ht="14" customHeight="1">
      <c r="A21" s="12"/>
      <c r="B21" t="str" s="792" cm="1">
        <f t="array" ref="B21">'Shared Boats 2026 Target'!$P$257</f>
        <v>Crew Salary &amp; Tax u</v>
      </c>
      <c r="C21" s="788"/>
      <c r="D21" s="222" cm="1">
        <f t="array" ref="D21">-'Shared Boats 2026 Target'!$P$268*D$3*D$6</f>
        <v>-311472000</v>
      </c>
      <c r="E21" s="222"/>
      <c r="F21" s="222" cm="1">
        <f t="array" ref="F21">-'Shared Boats 2026 Target'!$P$268*F$3*F$6</f>
        <v>-350406000</v>
      </c>
      <c r="G21" s="787"/>
      <c r="H21" s="222" cm="1">
        <f t="array" ref="H21">-'Shared Boats 2026 Target'!$P$268*H$3*H$6</f>
        <v>-272538000</v>
      </c>
      <c r="I21" s="213"/>
      <c r="J21" s="71"/>
      <c r="K21" t="str" s="792" cm="1">
        <f t="array" ref="K21">'Shared Boats 2026 Target'!$P$257</f>
        <v>Crew Salary &amp; Tax u</v>
      </c>
      <c r="L21" s="788"/>
      <c r="M21" s="222" cm="1">
        <f t="array" ref="M21">-'Shared Boats 2026 Target'!$P$268*M$3*M$6</f>
        <v>-311472000</v>
      </c>
      <c r="N21" s="222"/>
      <c r="O21" s="222" cm="1">
        <f t="array" ref="O21">-'Shared Boats 2026 Target'!$P$268*O$3*O$6</f>
        <v>-350406000</v>
      </c>
      <c r="P21" s="787"/>
      <c r="Q21" s="222" cm="1">
        <f t="array" ref="Q21">-'Shared Boats 2026 Target'!$P$268*Q$3*Q$6</f>
        <v>-272538000</v>
      </c>
      <c r="R21" s="213"/>
      <c r="S21" s="71"/>
      <c r="T21" t="str" s="792" cm="1">
        <f t="array" ref="T21">'Shared Boats 2026 Target'!$P$257</f>
        <v>Crew Salary &amp; Tax u</v>
      </c>
      <c r="U21" s="788"/>
      <c r="V21" s="222" cm="1">
        <f t="array" ref="V21">-'Shared Boats 2026 Target'!$P$268*V$3*V$6</f>
        <v>-311472000</v>
      </c>
      <c r="W21" s="222"/>
      <c r="X21" s="222" cm="1">
        <f t="array" ref="X21">-'Shared Boats 2026 Target'!$P$268*X$3*X$6</f>
        <v>-350406000</v>
      </c>
      <c r="Y21" s="787"/>
      <c r="Z21" s="222" cm="1">
        <f t="array" ref="Z21">-'Shared Boats 2026 Target'!$P$268*Z$3*Z$6</f>
        <v>-272538000</v>
      </c>
      <c r="AA21" s="213"/>
      <c r="AB21" s="71"/>
      <c r="AC21" t="str" s="792" cm="1">
        <f t="array" ref="AC21">'Shared Boats 2026 Target'!$P$257</f>
        <v>Crew Salary &amp; Tax u</v>
      </c>
      <c r="AD21" s="788"/>
      <c r="AE21" s="222" cm="1">
        <f t="array" ref="AE21">-'Shared Boats 2026 Target'!$P$268*AE$3*AE$6</f>
        <v>-311472000</v>
      </c>
      <c r="AF21" s="222"/>
      <c r="AG21" s="222" cm="1">
        <f t="array" ref="AG21">-'Shared Boats 2026 Target'!$P$268*AG$3*AG$6</f>
        <v>-350406000</v>
      </c>
      <c r="AH21" s="787"/>
      <c r="AI21" s="222" cm="1">
        <f t="array" ref="AI21">-'Shared Boats 2026 Target'!$P$268*AI$3*AI$6</f>
        <v>-272538000</v>
      </c>
      <c r="AJ21" s="213"/>
    </row>
    <row r="22" ht="14" customHeight="1">
      <c r="A22" s="12"/>
      <c r="B22" t="str" s="792" cm="1">
        <f t="array" ref="B22">'Shared Boats 2026 Target'!$Q$257</f>
        <v>Land Tours</v>
      </c>
      <c r="C22" s="788"/>
      <c r="D22" s="222" cm="1">
        <f t="array" ref="D22">-'Shared Boats 2026 Target'!$Q$268*D$3*D$6</f>
        <v>-274176000</v>
      </c>
      <c r="E22" s="222"/>
      <c r="F22" s="222" cm="1">
        <f t="array" ref="F22">-'Shared Boats 2026 Target'!$Q$268*F$3*F$6</f>
        <v>-308448000</v>
      </c>
      <c r="G22" s="787"/>
      <c r="H22" s="222" cm="1">
        <f t="array" ref="H22">-'Shared Boats 2026 Target'!$Q$268*H$3*H$6</f>
        <v>-239904000</v>
      </c>
      <c r="I22" s="213"/>
      <c r="J22" s="71"/>
      <c r="K22" t="str" s="792" cm="1">
        <f t="array" ref="K22">'Shared Boats 2026 Target'!$Q$257</f>
        <v>Land Tours</v>
      </c>
      <c r="L22" s="788"/>
      <c r="M22" s="222" cm="1">
        <f t="array" ref="M22">-'Shared Boats 2026 Target'!$Q$268*M$3*M$6</f>
        <v>-274176000</v>
      </c>
      <c r="N22" s="222"/>
      <c r="O22" s="222" cm="1">
        <f t="array" ref="O22">-'Shared Boats 2026 Target'!$Q$268*O$3*O$6</f>
        <v>-308448000</v>
      </c>
      <c r="P22" s="787"/>
      <c r="Q22" s="222" cm="1">
        <f t="array" ref="Q22">-'Shared Boats 2026 Target'!$Q$268*Q$3*Q$6</f>
        <v>-239904000</v>
      </c>
      <c r="R22" s="213"/>
      <c r="S22" s="71"/>
      <c r="T22" t="str" s="792" cm="1">
        <f t="array" ref="T22">'Shared Boats 2026 Target'!$Q$257</f>
        <v>Land Tours</v>
      </c>
      <c r="U22" s="788"/>
      <c r="V22" s="222" cm="1">
        <f t="array" ref="V22">-'Shared Boats 2026 Target'!$Q$268*V$3*V$6</f>
        <v>-274176000</v>
      </c>
      <c r="W22" s="222"/>
      <c r="X22" s="222" cm="1">
        <f t="array" ref="X22">-'Shared Boats 2026 Target'!$Q$268*X$3*X$6</f>
        <v>-308448000</v>
      </c>
      <c r="Y22" s="787"/>
      <c r="Z22" s="222" cm="1">
        <f t="array" ref="Z22">-'Shared Boats 2026 Target'!$Q$268*Z$3*Z$6</f>
        <v>-239904000</v>
      </c>
      <c r="AA22" s="213"/>
      <c r="AB22" s="71"/>
      <c r="AC22" t="str" s="792" cm="1">
        <f t="array" ref="AC22">'Shared Boats 2026 Target'!$Q$257</f>
        <v>Land Tours</v>
      </c>
      <c r="AD22" s="788"/>
      <c r="AE22" s="222" cm="1">
        <f t="array" ref="AE22">-'Shared Boats 2026 Target'!$Q$268*AE$3*AE$6</f>
        <v>-274176000</v>
      </c>
      <c r="AF22" s="222"/>
      <c r="AG22" s="222" cm="1">
        <f t="array" ref="AG22">-'Shared Boats 2026 Target'!$Q$268*AG$3*AG$6</f>
        <v>-308448000</v>
      </c>
      <c r="AH22" s="787"/>
      <c r="AI22" s="222" cm="1">
        <f t="array" ref="AI22">-'Shared Boats 2026 Target'!$Q$268*AI$3*AI$6</f>
        <v>-239904000</v>
      </c>
      <c r="AJ22" s="213"/>
    </row>
    <row r="23" ht="14" customHeight="1">
      <c r="A23" s="12"/>
      <c r="B23" t="s" s="216">
        <v>676</v>
      </c>
      <c r="C23" s="788"/>
      <c r="D23" s="222" cm="1">
        <f t="array" ref="D23">-('Premium Shared 2026 Target'!$L$15-'Shared Boats 2026 Target'!$M$268)*D$3*D$6/2</f>
        <v>-2800000</v>
      </c>
      <c r="E23" s="222"/>
      <c r="F23" s="222" cm="1">
        <f t="array" ref="F23">-('Premium Shared 2026 Target'!$L$15-'Shared Boats 2026 Target'!$M$268)*F$3*F$6/2</f>
        <v>-3150000</v>
      </c>
      <c r="G23" s="787"/>
      <c r="H23" s="222" cm="1">
        <f t="array" ref="H23">-('Premium Shared 2026 Target'!$L$15-'Shared Boats 2026 Target'!$M$268)*H$3*H$6/2</f>
        <v>-2450000</v>
      </c>
      <c r="I23" s="213"/>
      <c r="J23" s="71"/>
      <c r="K23" t="s" s="216">
        <v>676</v>
      </c>
      <c r="L23" s="788"/>
      <c r="M23" s="222" cm="1">
        <f t="array" ref="M23">-('Premium Shared 2026 Target'!$L$15-'Shared Boats 2026 Target'!$M$268)*M$3*M$6/2</f>
        <v>-2800000</v>
      </c>
      <c r="N23" s="222"/>
      <c r="O23" s="222" cm="1">
        <f t="array" ref="O23">-('Premium Shared 2026 Target'!$L$15-'Shared Boats 2026 Target'!$M$268)*O$3*O$6/2</f>
        <v>-3150000</v>
      </c>
      <c r="P23" s="787"/>
      <c r="Q23" s="222" cm="1">
        <f t="array" ref="Q23">-('Premium Shared 2026 Target'!$L$15-'Shared Boats 2026 Target'!$M$268)*Q$3*Q$6/2</f>
        <v>-2450000</v>
      </c>
      <c r="R23" s="213"/>
      <c r="S23" s="71"/>
      <c r="T23" t="s" s="216">
        <v>676</v>
      </c>
      <c r="U23" s="788"/>
      <c r="V23" s="222" cm="1">
        <f t="array" ref="V23">-('Premium Shared 2026 Target'!$L$15-'Shared Boats 2026 Target'!$M$268)*V$3*V$6/2</f>
        <v>-2800000</v>
      </c>
      <c r="W23" s="222"/>
      <c r="X23" s="222" cm="1">
        <f t="array" ref="X23">-('Premium Shared 2026 Target'!$L$15-'Shared Boats 2026 Target'!$M$268)*X$3*X$6/2</f>
        <v>-3150000</v>
      </c>
      <c r="Y23" s="787"/>
      <c r="Z23" s="222" cm="1">
        <f t="array" ref="Z23">-('Premium Shared 2026 Target'!$L$15-'Shared Boats 2026 Target'!$M$268)*Z$3*Z$6/2</f>
        <v>-2450000</v>
      </c>
      <c r="AA23" s="213"/>
      <c r="AB23" s="71"/>
      <c r="AC23" t="s" s="216">
        <v>676</v>
      </c>
      <c r="AD23" s="788"/>
      <c r="AE23" s="222" cm="1">
        <f t="array" ref="AE23">-('Premium Shared 2026 Target'!$L$15-'Shared Boats 2026 Target'!$M$268)*AE$3*AE$6/2</f>
        <v>-2800000</v>
      </c>
      <c r="AF23" s="222"/>
      <c r="AG23" s="222" cm="1">
        <f t="array" ref="AG23">-('Premium Shared 2026 Target'!$L$15-'Shared Boats 2026 Target'!$M$268)*AG$3*AG$6/2</f>
        <v>-3150000</v>
      </c>
      <c r="AH23" s="787"/>
      <c r="AI23" s="222" cm="1">
        <f t="array" ref="AI23">-('Premium Shared 2026 Target'!$L$15-'Shared Boats 2026 Target'!$M$268)*AI$3*AI$6/2</f>
        <v>-2450000</v>
      </c>
      <c r="AJ23" s="213"/>
    </row>
    <row r="24" ht="14" customHeight="1">
      <c r="A24" s="12"/>
      <c r="B24" t="s" s="216">
        <v>677</v>
      </c>
      <c r="C24" s="788"/>
      <c r="D24" s="222" cm="1">
        <f t="array" ref="D24">-('Premium Shared 2026 Target'!$N$15)*D$3*D$6/2</f>
        <v>-61600000</v>
      </c>
      <c r="E24" s="222"/>
      <c r="F24" s="222" cm="1">
        <f t="array" ref="F24">-('Premium Shared 2026 Target'!$N$15)*F$3*F$6/2</f>
        <v>-69300000</v>
      </c>
      <c r="G24" s="787"/>
      <c r="H24" s="222" cm="1">
        <f t="array" ref="H24">-('Premium Shared 2026 Target'!$N$15)*H$3*H$6/2</f>
        <v>-53900000</v>
      </c>
      <c r="I24" s="213"/>
      <c r="J24" s="71"/>
      <c r="K24" t="s" s="216">
        <v>677</v>
      </c>
      <c r="L24" s="788"/>
      <c r="M24" s="222" cm="1">
        <f t="array" ref="M24">-('Premium Shared 2026 Target'!$N$15)*M$3*M$6/2</f>
        <v>-61600000</v>
      </c>
      <c r="N24" s="222"/>
      <c r="O24" s="222" cm="1">
        <f t="array" ref="O24">-('Premium Shared 2026 Target'!$N$15)*O$3*O$6/2</f>
        <v>-69300000</v>
      </c>
      <c r="P24" s="787"/>
      <c r="Q24" s="222" cm="1">
        <f t="array" ref="Q24">-('Premium Shared 2026 Target'!$N$15)*Q$3*Q$6/2</f>
        <v>-53900000</v>
      </c>
      <c r="R24" s="213"/>
      <c r="S24" s="71"/>
      <c r="T24" t="s" s="216">
        <v>677</v>
      </c>
      <c r="U24" s="788"/>
      <c r="V24" s="222" cm="1">
        <f t="array" ref="V24">-('Premium Shared 2026 Target'!$N$15)*V$3*V$6/2</f>
        <v>-61600000</v>
      </c>
      <c r="W24" s="222"/>
      <c r="X24" s="222" cm="1">
        <f t="array" ref="X24">-('Premium Shared 2026 Target'!$N$15)*X$3*X$6/2</f>
        <v>-69300000</v>
      </c>
      <c r="Y24" s="787"/>
      <c r="Z24" s="222" cm="1">
        <f t="array" ref="Z24">-('Premium Shared 2026 Target'!$N$15)*Z$3*Z$6/2</f>
        <v>-53900000</v>
      </c>
      <c r="AA24" s="213"/>
      <c r="AB24" s="71"/>
      <c r="AC24" t="s" s="216">
        <v>677</v>
      </c>
      <c r="AD24" s="788"/>
      <c r="AE24" s="222" cm="1">
        <f t="array" ref="AE24">-('Premium Shared 2026 Target'!$N$15)*AE$3*AE$6/2</f>
        <v>-61600000</v>
      </c>
      <c r="AF24" s="222"/>
      <c r="AG24" s="222" cm="1">
        <f t="array" ref="AG24">-('Premium Shared 2026 Target'!$N$15)*AG$3*AG$6/2</f>
        <v>-69300000</v>
      </c>
      <c r="AH24" s="787"/>
      <c r="AI24" s="222" cm="1">
        <f t="array" ref="AI24">-('Premium Shared 2026 Target'!$N$15)*AI$3*AI$6/2</f>
        <v>-53900000</v>
      </c>
      <c r="AJ24" s="213"/>
    </row>
    <row r="25" ht="14" customHeight="1">
      <c r="A25" s="12"/>
      <c r="B25" t="s" s="216">
        <v>678</v>
      </c>
      <c r="C25" s="788"/>
      <c r="D25" s="222" cm="1">
        <f t="array" ref="D25">-('Premium Shared 2026 Target'!$P$15)*D$3*D$6/2</f>
        <v>-63140000</v>
      </c>
      <c r="E25" s="222"/>
      <c r="F25" s="222" cm="1">
        <f t="array" ref="F25">-('Premium Shared 2026 Target'!$P$15)*F$3*F$6/2</f>
        <v>-71032500</v>
      </c>
      <c r="G25" s="787"/>
      <c r="H25" s="222" cm="1">
        <f t="array" ref="H25">-('Premium Shared 2026 Target'!$P$15)*H$3*H$6/2</f>
        <v>-55247500</v>
      </c>
      <c r="I25" s="213"/>
      <c r="J25" s="71"/>
      <c r="K25" t="s" s="216">
        <v>678</v>
      </c>
      <c r="L25" s="788"/>
      <c r="M25" s="222" cm="1">
        <f t="array" ref="M25">-('Premium Shared 2026 Target'!$P$15)*M$3*M$6/2</f>
        <v>-63140000</v>
      </c>
      <c r="N25" s="222"/>
      <c r="O25" s="222" cm="1">
        <f t="array" ref="O25">-('Premium Shared 2026 Target'!$P$15)*O$3*O$6/2</f>
        <v>-71032500</v>
      </c>
      <c r="P25" s="787"/>
      <c r="Q25" s="222" cm="1">
        <f t="array" ref="Q25">-('Premium Shared 2026 Target'!$P$15)*Q$3*Q$6/2</f>
        <v>-55247500</v>
      </c>
      <c r="R25" s="213"/>
      <c r="S25" s="71"/>
      <c r="T25" t="s" s="216">
        <v>678</v>
      </c>
      <c r="U25" s="788"/>
      <c r="V25" s="222" cm="1">
        <f t="array" ref="V25">-('Premium Shared 2026 Target'!$P$15)*V$3*V$6/2</f>
        <v>-63140000</v>
      </c>
      <c r="W25" s="222"/>
      <c r="X25" s="222" cm="1">
        <f t="array" ref="X25">-('Premium Shared 2026 Target'!$P$15)*X$3*X$6/2</f>
        <v>-71032500</v>
      </c>
      <c r="Y25" s="787"/>
      <c r="Z25" s="222" cm="1">
        <f t="array" ref="Z25">-('Premium Shared 2026 Target'!$P$15)*Z$3*Z$6/2</f>
        <v>-55247500</v>
      </c>
      <c r="AA25" s="213"/>
      <c r="AB25" s="71"/>
      <c r="AC25" t="s" s="216">
        <v>678</v>
      </c>
      <c r="AD25" s="788"/>
      <c r="AE25" s="222" cm="1">
        <f t="array" ref="AE25">-('Premium Shared 2026 Target'!$P$15)*AE$3*AE$6/2</f>
        <v>-63140000</v>
      </c>
      <c r="AF25" s="222"/>
      <c r="AG25" s="222" cm="1">
        <f t="array" ref="AG25">-('Premium Shared 2026 Target'!$P$15)*AG$3*AG$6/2</f>
        <v>-71032500</v>
      </c>
      <c r="AH25" s="787"/>
      <c r="AI25" s="222" cm="1">
        <f t="array" ref="AI25">-('Premium Shared 2026 Target'!$P$15)*AI$3*AI$6/2</f>
        <v>-55247500</v>
      </c>
      <c r="AJ25" s="213"/>
    </row>
    <row r="26" ht="14" customHeight="1">
      <c r="A26" s="12"/>
      <c r="B26" t="s" s="216">
        <v>679</v>
      </c>
      <c r="C26" s="788"/>
      <c r="D26" s="786" cm="1">
        <f t="array" ref="D26">-('Premium Shared 2026 Target'!$O$15)*D$3*D$6/2</f>
        <v>-121800000</v>
      </c>
      <c r="E26" s="787"/>
      <c r="F26" s="786" cm="1">
        <f t="array" ref="F26">-('Premium Shared 2026 Target'!$O$15)*F$3*F$6/2</f>
        <v>-137025000</v>
      </c>
      <c r="G26" s="787">
        <v>0</v>
      </c>
      <c r="H26" s="786" cm="1">
        <f t="array" ref="H26">-('Premium Shared 2026 Target'!$O$15)*H$3*H$6/2</f>
        <v>-106575000</v>
      </c>
      <c r="I26" s="213"/>
      <c r="J26" s="71"/>
      <c r="K26" t="s" s="216">
        <v>679</v>
      </c>
      <c r="L26" s="788"/>
      <c r="M26" s="786" cm="1">
        <f t="array" ref="M26">-('Premium Shared 2026 Target'!$O$15)*M$3*M$6/2</f>
        <v>-121800000</v>
      </c>
      <c r="N26" s="787"/>
      <c r="O26" s="786" cm="1">
        <f t="array" ref="O26">-('Premium Shared 2026 Target'!$O$15)*O$3*O$6/2</f>
        <v>-137025000</v>
      </c>
      <c r="P26" s="787">
        <v>0</v>
      </c>
      <c r="Q26" s="786" cm="1">
        <f t="array" ref="Q26">-('Premium Shared 2026 Target'!$O$15)*Q$3*Q$6/2</f>
        <v>-106575000</v>
      </c>
      <c r="R26" s="213"/>
      <c r="S26" s="71"/>
      <c r="T26" t="s" s="216">
        <v>679</v>
      </c>
      <c r="U26" s="788"/>
      <c r="V26" s="786" cm="1">
        <f t="array" ref="V26">-('Premium Shared 2026 Target'!$O$15)*V$3*V$6/2</f>
        <v>-121800000</v>
      </c>
      <c r="W26" s="787"/>
      <c r="X26" s="786" cm="1">
        <f t="array" ref="X26">-('Premium Shared 2026 Target'!$O$15)*X$3*X$6/2</f>
        <v>-137025000</v>
      </c>
      <c r="Y26" s="787">
        <v>0</v>
      </c>
      <c r="Z26" s="786" cm="1">
        <f t="array" ref="Z26">-('Premium Shared 2026 Target'!$O$15)*Z$3*Z$6/2</f>
        <v>-106575000</v>
      </c>
      <c r="AA26" s="213"/>
      <c r="AB26" s="71"/>
      <c r="AC26" t="s" s="216">
        <v>679</v>
      </c>
      <c r="AD26" s="788"/>
      <c r="AE26" s="786" cm="1">
        <f t="array" ref="AE26">-('Premium Shared 2026 Target'!$O$15)*AE$3*AE$6/2</f>
        <v>-121800000</v>
      </c>
      <c r="AF26" s="787"/>
      <c r="AG26" s="786" cm="1">
        <f t="array" ref="AG26">-('Premium Shared 2026 Target'!$O$15)*AG$3*AG$6/2</f>
        <v>-137025000</v>
      </c>
      <c r="AH26" s="787">
        <v>0</v>
      </c>
      <c r="AI26" s="786" cm="1">
        <f t="array" ref="AI26">-('Premium Shared 2026 Target'!$O$15)*AI$3*AI$6/2</f>
        <v>-106575000</v>
      </c>
      <c r="AJ26" s="213"/>
    </row>
    <row r="27" ht="14" customHeight="1">
      <c r="A27" s="12"/>
      <c r="B27" t="s" s="221">
        <v>680</v>
      </c>
      <c r="C27" s="788"/>
      <c r="D27" s="789" cm="1">
        <f t="array" ref="D27">SUM(D11:D26)</f>
        <v>-2904281333.33333</v>
      </c>
      <c r="E27" s="790"/>
      <c r="F27" s="789" cm="1">
        <f t="array" ref="F27">SUM(F11:F26)</f>
        <v>-3267316500</v>
      </c>
      <c r="G27" s="791"/>
      <c r="H27" s="789" cm="1">
        <f t="array" ref="H27">SUM(H11:H26)</f>
        <v>-2541246166.66667</v>
      </c>
      <c r="I27" s="213"/>
      <c r="J27" s="71"/>
      <c r="K27" t="s" s="221">
        <v>680</v>
      </c>
      <c r="L27" s="788"/>
      <c r="M27" s="789" cm="1">
        <f t="array" ref="M27">SUM(M11:M26)</f>
        <v>-2904281333.33333</v>
      </c>
      <c r="N27" s="790"/>
      <c r="O27" s="789" cm="1">
        <f t="array" ref="O27">SUM(O11:O26)</f>
        <v>-3267316500</v>
      </c>
      <c r="P27" s="791"/>
      <c r="Q27" s="789" cm="1">
        <f t="array" ref="Q27">SUM(Q11:Q26)</f>
        <v>-2541246166.66667</v>
      </c>
      <c r="R27" s="213"/>
      <c r="S27" s="71"/>
      <c r="T27" t="s" s="221">
        <v>680</v>
      </c>
      <c r="U27" s="788"/>
      <c r="V27" s="789" cm="1">
        <f t="array" ref="V27">SUM(V11:V26)</f>
        <v>-2904281333.33333</v>
      </c>
      <c r="W27" s="790"/>
      <c r="X27" s="789" cm="1">
        <f t="array" ref="X27">SUM(X11:X26)</f>
        <v>-3267316500</v>
      </c>
      <c r="Y27" s="791"/>
      <c r="Z27" s="789" cm="1">
        <f t="array" ref="Z27">SUM(Z11:Z26)</f>
        <v>-2541246166.66667</v>
      </c>
      <c r="AA27" s="213"/>
      <c r="AB27" s="71"/>
      <c r="AC27" t="s" s="221">
        <v>680</v>
      </c>
      <c r="AD27" s="788"/>
      <c r="AE27" s="789" cm="1">
        <f t="array" ref="AE27">SUM(AE11:AE26)</f>
        <v>-2904281333.33333</v>
      </c>
      <c r="AF27" s="790"/>
      <c r="AG27" s="789" cm="1">
        <f t="array" ref="AG27">SUM(AG11:AG26)</f>
        <v>-3267316500</v>
      </c>
      <c r="AH27" s="791"/>
      <c r="AI27" s="789" cm="1">
        <f t="array" ref="AI27">SUM(AI11:AI26)</f>
        <v>-2541246166.66667</v>
      </c>
      <c r="AJ27" s="213"/>
    </row>
    <row r="28" ht="8" customHeight="1">
      <c r="A28" s="12"/>
      <c r="B28" s="793"/>
      <c r="C28" s="788"/>
      <c r="D28" s="222"/>
      <c r="E28" s="222"/>
      <c r="F28" s="222"/>
      <c r="G28" s="787"/>
      <c r="H28" s="222"/>
      <c r="I28" s="213"/>
      <c r="J28" s="71"/>
      <c r="K28" s="793"/>
      <c r="L28" s="788"/>
      <c r="M28" s="222"/>
      <c r="N28" s="222"/>
      <c r="O28" s="222"/>
      <c r="P28" s="787"/>
      <c r="Q28" s="222"/>
      <c r="R28" s="213"/>
      <c r="S28" s="71"/>
      <c r="T28" s="793"/>
      <c r="U28" s="788"/>
      <c r="V28" s="222"/>
      <c r="W28" s="222"/>
      <c r="X28" s="222"/>
      <c r="Y28" s="787"/>
      <c r="Z28" s="222"/>
      <c r="AA28" s="213"/>
      <c r="AB28" s="71"/>
      <c r="AC28" s="793"/>
      <c r="AD28" s="788"/>
      <c r="AE28" s="222"/>
      <c r="AF28" s="222"/>
      <c r="AG28" s="222"/>
      <c r="AH28" s="787"/>
      <c r="AI28" s="222"/>
      <c r="AJ28" s="213"/>
    </row>
    <row r="29" ht="14" customHeight="1">
      <c r="A29" s="12"/>
      <c r="B29" t="s" s="216">
        <v>681</v>
      </c>
      <c r="C29" s="788"/>
      <c r="D29" s="222"/>
      <c r="E29" s="222"/>
      <c r="F29" s="222"/>
      <c r="G29" s="787"/>
      <c r="H29" s="222"/>
      <c r="I29" s="213"/>
      <c r="J29" s="71"/>
      <c r="K29" t="s" s="216">
        <v>681</v>
      </c>
      <c r="L29" s="788"/>
      <c r="M29" s="222"/>
      <c r="N29" s="222"/>
      <c r="O29" s="222"/>
      <c r="P29" s="787"/>
      <c r="Q29" s="222"/>
      <c r="R29" s="213"/>
      <c r="S29" s="71"/>
      <c r="T29" t="s" s="216">
        <v>681</v>
      </c>
      <c r="U29" s="788"/>
      <c r="V29" s="222"/>
      <c r="W29" s="222"/>
      <c r="X29" s="222"/>
      <c r="Y29" s="787"/>
      <c r="Z29" s="222"/>
      <c r="AA29" s="213"/>
      <c r="AB29" s="71"/>
      <c r="AC29" t="s" s="216">
        <v>681</v>
      </c>
      <c r="AD29" s="788"/>
      <c r="AE29" s="222"/>
      <c r="AF29" s="222"/>
      <c r="AG29" s="222"/>
      <c r="AH29" s="787"/>
      <c r="AI29" s="222"/>
      <c r="AJ29" s="213"/>
    </row>
    <row r="30" ht="14" customHeight="1">
      <c r="A30" s="12"/>
      <c r="B30" t="s" s="216">
        <v>682</v>
      </c>
      <c r="C30" s="788"/>
      <c r="D30" s="222" cm="1">
        <f t="array" ref="D30">-1300000000/10</f>
        <v>-130000000</v>
      </c>
      <c r="E30" s="222"/>
      <c r="F30" s="222" cm="1">
        <f t="array" ref="F30">-1300000000/10</f>
        <v>-130000000</v>
      </c>
      <c r="G30" s="787"/>
      <c r="H30" s="222" cm="1">
        <f t="array" ref="H30">-1300000000/10</f>
        <v>-130000000</v>
      </c>
      <c r="I30" s="213"/>
      <c r="J30" s="71"/>
      <c r="K30" t="s" s="216">
        <v>682</v>
      </c>
      <c r="L30" s="788"/>
      <c r="M30" s="222" cm="1">
        <f t="array" ref="M30">-1300000000/10</f>
        <v>-130000000</v>
      </c>
      <c r="N30" s="222"/>
      <c r="O30" s="222" cm="1">
        <f t="array" ref="O30">-1300000000/10</f>
        <v>-130000000</v>
      </c>
      <c r="P30" s="787"/>
      <c r="Q30" s="222" cm="1">
        <f t="array" ref="Q30">-1300000000/10</f>
        <v>-130000000</v>
      </c>
      <c r="R30" s="213"/>
      <c r="S30" s="71"/>
      <c r="T30" t="s" s="216">
        <v>682</v>
      </c>
      <c r="U30" s="788"/>
      <c r="V30" s="222" cm="1">
        <f t="array" ref="V30">-1300000000/10</f>
        <v>-130000000</v>
      </c>
      <c r="W30" s="222"/>
      <c r="X30" s="222" cm="1">
        <f t="array" ref="X30">-1300000000/10</f>
        <v>-130000000</v>
      </c>
      <c r="Y30" s="787"/>
      <c r="Z30" s="222" cm="1">
        <f t="array" ref="Z30">-1300000000/10</f>
        <v>-130000000</v>
      </c>
      <c r="AA30" s="213"/>
      <c r="AB30" s="71"/>
      <c r="AC30" t="s" s="216">
        <v>682</v>
      </c>
      <c r="AD30" s="788"/>
      <c r="AE30" s="222" cm="1">
        <f t="array" ref="AE30">-1300000000/10</f>
        <v>-130000000</v>
      </c>
      <c r="AF30" s="222"/>
      <c r="AG30" s="222" cm="1">
        <f t="array" ref="AG30">-1300000000/10</f>
        <v>-130000000</v>
      </c>
      <c r="AH30" s="787"/>
      <c r="AI30" s="222" cm="1">
        <f t="array" ref="AI30">-1300000000/10</f>
        <v>-130000000</v>
      </c>
      <c r="AJ30" s="213"/>
    </row>
    <row r="31" ht="14" customHeight="1">
      <c r="A31" s="12"/>
      <c r="B31" t="s" s="216">
        <v>683</v>
      </c>
      <c r="C31" s="788"/>
      <c r="D31" s="222" cm="1">
        <f t="array" ref="D31">-38848416</f>
        <v>-38848416</v>
      </c>
      <c r="E31" s="222"/>
      <c r="F31" s="222" cm="1">
        <f t="array" ref="F31">-38848416</f>
        <v>-38848416</v>
      </c>
      <c r="G31" s="787"/>
      <c r="H31" s="222" cm="1">
        <f t="array" ref="H31">-38848416</f>
        <v>-38848416</v>
      </c>
      <c r="I31" s="213"/>
      <c r="J31" s="71"/>
      <c r="K31" t="s" s="216">
        <v>683</v>
      </c>
      <c r="L31" s="788"/>
      <c r="M31" s="222" cm="1">
        <f t="array" ref="M31">-38848416</f>
        <v>-38848416</v>
      </c>
      <c r="N31" s="222"/>
      <c r="O31" s="222" cm="1">
        <f t="array" ref="O31">-38848416</f>
        <v>-38848416</v>
      </c>
      <c r="P31" s="787"/>
      <c r="Q31" s="222" cm="1">
        <f t="array" ref="Q31">-38848416</f>
        <v>-38848416</v>
      </c>
      <c r="R31" s="213"/>
      <c r="S31" s="71"/>
      <c r="T31" t="s" s="216">
        <v>683</v>
      </c>
      <c r="U31" s="788"/>
      <c r="V31" s="222" cm="1">
        <f t="array" ref="V31">-38848416</f>
        <v>-38848416</v>
      </c>
      <c r="W31" s="222"/>
      <c r="X31" s="222" cm="1">
        <f t="array" ref="X31">-38848416</f>
        <v>-38848416</v>
      </c>
      <c r="Y31" s="787"/>
      <c r="Z31" s="222" cm="1">
        <f t="array" ref="Z31">-38848416</f>
        <v>-38848416</v>
      </c>
      <c r="AA31" s="213"/>
      <c r="AB31" s="71"/>
      <c r="AC31" t="s" s="216">
        <v>683</v>
      </c>
      <c r="AD31" s="788"/>
      <c r="AE31" s="222" cm="1">
        <f t="array" ref="AE31">-38848416</f>
        <v>-38848416</v>
      </c>
      <c r="AF31" s="222"/>
      <c r="AG31" s="222" cm="1">
        <f t="array" ref="AG31">-38848416</f>
        <v>-38848416</v>
      </c>
      <c r="AH31" s="787"/>
      <c r="AI31" s="222" cm="1">
        <f t="array" ref="AI31">-38848416</f>
        <v>-38848416</v>
      </c>
      <c r="AJ31" s="213"/>
    </row>
    <row r="32" ht="14" customHeight="1">
      <c r="A32" s="12"/>
      <c r="B32" t="s" s="216">
        <v>684</v>
      </c>
      <c r="C32" s="788"/>
      <c r="D32" s="222" cm="1">
        <f t="array" ref="D32">-2100000-1000000*12</f>
        <v>-14100000</v>
      </c>
      <c r="E32" s="222"/>
      <c r="F32" s="222" cm="1">
        <f t="array" ref="F32">-2100000-1000000*12</f>
        <v>-14100000</v>
      </c>
      <c r="G32" s="787"/>
      <c r="H32" s="222" cm="1">
        <f t="array" ref="H32">-2100000-1000000*12</f>
        <v>-14100000</v>
      </c>
      <c r="I32" s="213"/>
      <c r="J32" s="71"/>
      <c r="K32" t="s" s="216">
        <v>684</v>
      </c>
      <c r="L32" s="788"/>
      <c r="M32" s="222" cm="1">
        <f t="array" ref="M32">-2100000-1000000*12</f>
        <v>-14100000</v>
      </c>
      <c r="N32" s="222"/>
      <c r="O32" s="222" cm="1">
        <f t="array" ref="O32">-2100000-1000000*12</f>
        <v>-14100000</v>
      </c>
      <c r="P32" s="787"/>
      <c r="Q32" s="222" cm="1">
        <f t="array" ref="Q32">-2100000-1000000*12</f>
        <v>-14100000</v>
      </c>
      <c r="R32" s="213"/>
      <c r="S32" s="71"/>
      <c r="T32" t="s" s="216">
        <v>684</v>
      </c>
      <c r="U32" s="788"/>
      <c r="V32" s="222" cm="1">
        <f t="array" ref="V32">-2100000-1000000*12</f>
        <v>-14100000</v>
      </c>
      <c r="W32" s="222"/>
      <c r="X32" s="222" cm="1">
        <f t="array" ref="X32">-2100000-1000000*12</f>
        <v>-14100000</v>
      </c>
      <c r="Y32" s="787"/>
      <c r="Z32" s="222" cm="1">
        <f t="array" ref="Z32">-2100000-1000000*12</f>
        <v>-14100000</v>
      </c>
      <c r="AA32" s="213"/>
      <c r="AB32" s="71"/>
      <c r="AC32" t="s" s="216">
        <v>684</v>
      </c>
      <c r="AD32" s="788"/>
      <c r="AE32" s="222" cm="1">
        <f t="array" ref="AE32">-2100000-1000000*12</f>
        <v>-14100000</v>
      </c>
      <c r="AF32" s="222"/>
      <c r="AG32" s="222" cm="1">
        <f t="array" ref="AG32">-2100000-1000000*12</f>
        <v>-14100000</v>
      </c>
      <c r="AH32" s="787"/>
      <c r="AI32" s="222" cm="1">
        <f t="array" ref="AI32">-2100000-1000000*12</f>
        <v>-14100000</v>
      </c>
      <c r="AJ32" s="213"/>
    </row>
    <row r="33" ht="14" customHeight="1">
      <c r="A33" s="12"/>
      <c r="B33" t="s" s="216">
        <v>385</v>
      </c>
      <c r="C33" s="788"/>
      <c r="D33" s="786" cm="1">
        <f t="array" ref="D33">-D9*0.5%</f>
        <v>-29484000</v>
      </c>
      <c r="E33" s="787"/>
      <c r="F33" s="786" cm="1">
        <f t="array" ref="F33">-F9*0.5%</f>
        <v>-34090875</v>
      </c>
      <c r="G33" s="787">
        <v>0</v>
      </c>
      <c r="H33" s="786" cm="1">
        <f t="array" ref="H33">-H9*0.5%</f>
        <v>-25440187.5</v>
      </c>
      <c r="I33" s="213"/>
      <c r="J33" s="71"/>
      <c r="K33" t="s" s="216">
        <v>385</v>
      </c>
      <c r="L33" s="788"/>
      <c r="M33" s="786" cm="1">
        <f t="array" ref="M33">-M9*0.5%</f>
        <v>-29074500</v>
      </c>
      <c r="N33" s="787"/>
      <c r="O33" s="786" cm="1">
        <f t="array" ref="O33">-O9*0.5%</f>
        <v>-33630187.5</v>
      </c>
      <c r="P33" s="787">
        <v>0</v>
      </c>
      <c r="Q33" s="786" cm="1">
        <f t="array" ref="Q33">-Q9*0.5%</f>
        <v>-24723562.5</v>
      </c>
      <c r="R33" s="213"/>
      <c r="S33" s="71"/>
      <c r="T33" t="s" s="216">
        <v>385</v>
      </c>
      <c r="U33" s="788"/>
      <c r="V33" s="786" cm="1">
        <f t="array" ref="V33">-V9*0.5%</f>
        <v>-29074500</v>
      </c>
      <c r="W33" s="787"/>
      <c r="X33" s="786" cm="1">
        <f t="array" ref="X33">-X9*0.5%</f>
        <v>-33630187.5</v>
      </c>
      <c r="Y33" s="787">
        <v>0</v>
      </c>
      <c r="Z33" s="786" cm="1">
        <f t="array" ref="Z33">-Z9*0.5%</f>
        <v>-24723562.5</v>
      </c>
      <c r="AA33" s="213"/>
      <c r="AB33" s="71"/>
      <c r="AC33" t="s" s="216">
        <v>385</v>
      </c>
      <c r="AD33" s="788"/>
      <c r="AE33" s="786" cm="1">
        <f t="array" ref="AE33">-AE9*0.5%</f>
        <v>-29074500</v>
      </c>
      <c r="AF33" s="787"/>
      <c r="AG33" s="786" cm="1">
        <f t="array" ref="AG33">-AG9*0.5%</f>
        <v>-33630187.5</v>
      </c>
      <c r="AH33" s="787">
        <v>0</v>
      </c>
      <c r="AI33" s="786" cm="1">
        <f t="array" ref="AI33">-AI9*0.5%</f>
        <v>-24723562.5</v>
      </c>
      <c r="AJ33" s="213"/>
    </row>
    <row r="34" ht="14" customHeight="1">
      <c r="A34" s="12"/>
      <c r="B34" t="s" s="221">
        <v>685</v>
      </c>
      <c r="C34" s="788"/>
      <c r="D34" s="789" cm="1">
        <f t="array" ref="D34">SUM(D30:D33)</f>
        <v>-212432416</v>
      </c>
      <c r="E34" s="790"/>
      <c r="F34" s="789" cm="1">
        <f t="array" ref="F34">SUM(F30:F33)</f>
        <v>-217039291</v>
      </c>
      <c r="G34" s="791"/>
      <c r="H34" s="789" cm="1">
        <f t="array" ref="H34">SUM(H30:H33)</f>
        <v>-208388603.5</v>
      </c>
      <c r="I34" s="213"/>
      <c r="J34" s="71"/>
      <c r="K34" t="s" s="221">
        <v>685</v>
      </c>
      <c r="L34" s="788"/>
      <c r="M34" s="789" cm="1">
        <f t="array" ref="M34">SUM(M30:M33)</f>
        <v>-212022916</v>
      </c>
      <c r="N34" s="790"/>
      <c r="O34" s="789" cm="1">
        <f t="array" ref="O34">SUM(O30:O33)</f>
        <v>-216578603.5</v>
      </c>
      <c r="P34" s="791"/>
      <c r="Q34" s="789" cm="1">
        <f t="array" ref="Q34">SUM(Q30:Q33)</f>
        <v>-207671978.5</v>
      </c>
      <c r="R34" s="213"/>
      <c r="S34" s="71"/>
      <c r="T34" t="s" s="221">
        <v>685</v>
      </c>
      <c r="U34" s="788"/>
      <c r="V34" s="789" cm="1">
        <f t="array" ref="V34">SUM(V30:V33)</f>
        <v>-212022916</v>
      </c>
      <c r="W34" s="790"/>
      <c r="X34" s="789" cm="1">
        <f t="array" ref="X34">SUM(X30:X33)</f>
        <v>-216578603.5</v>
      </c>
      <c r="Y34" s="791"/>
      <c r="Z34" s="789" cm="1">
        <f t="array" ref="Z34">SUM(Z30:Z33)</f>
        <v>-207671978.5</v>
      </c>
      <c r="AA34" s="213"/>
      <c r="AB34" s="71"/>
      <c r="AC34" t="s" s="221">
        <v>685</v>
      </c>
      <c r="AD34" s="788"/>
      <c r="AE34" s="789" cm="1">
        <f t="array" ref="AE34">SUM(AE30:AE33)</f>
        <v>-212022916</v>
      </c>
      <c r="AF34" s="790"/>
      <c r="AG34" s="789" cm="1">
        <f t="array" ref="AG34">SUM(AG30:AG33)</f>
        <v>-216578603.5</v>
      </c>
      <c r="AH34" s="791"/>
      <c r="AI34" s="789" cm="1">
        <f t="array" ref="AI34">SUM(AI30:AI33)</f>
        <v>-207671978.5</v>
      </c>
      <c r="AJ34" s="213"/>
    </row>
    <row r="35" ht="8" customHeight="1">
      <c r="A35" s="12"/>
      <c r="B35" s="793"/>
      <c r="C35" s="788"/>
      <c r="D35" s="794"/>
      <c r="E35" s="780"/>
      <c r="F35" s="794"/>
      <c r="G35" s="781"/>
      <c r="H35" s="794"/>
      <c r="I35" s="213"/>
      <c r="J35" s="71"/>
      <c r="K35" s="793"/>
      <c r="L35" s="788"/>
      <c r="M35" s="794"/>
      <c r="N35" s="780"/>
      <c r="O35" s="794"/>
      <c r="P35" s="781"/>
      <c r="Q35" s="794"/>
      <c r="R35" s="213"/>
      <c r="S35" s="71"/>
      <c r="T35" s="793"/>
      <c r="U35" s="788"/>
      <c r="V35" s="794"/>
      <c r="W35" s="780"/>
      <c r="X35" s="794"/>
      <c r="Y35" s="781"/>
      <c r="Z35" s="794"/>
      <c r="AA35" s="213"/>
      <c r="AB35" s="71"/>
      <c r="AC35" s="793"/>
      <c r="AD35" s="788"/>
      <c r="AE35" s="794"/>
      <c r="AF35" s="780"/>
      <c r="AG35" s="794"/>
      <c r="AH35" s="781"/>
      <c r="AI35" s="794"/>
      <c r="AJ35" s="213"/>
    </row>
    <row r="36" ht="13.5" customHeight="1">
      <c r="A36" s="12"/>
      <c r="B36" t="s" s="795">
        <v>686</v>
      </c>
      <c r="C36" s="788"/>
      <c r="D36" s="796" cm="1">
        <f t="array" ref="D36">SUM(D9,D27,D34)</f>
        <v>2780086250.66667</v>
      </c>
      <c r="E36" s="797"/>
      <c r="F36" s="796" cm="1">
        <f t="array" ref="F36">SUM(F9,F27,F34)</f>
        <v>3333819209</v>
      </c>
      <c r="G36" s="798"/>
      <c r="H36" s="796" cm="1">
        <f t="array" ref="H36">SUM(H9,H27,H34)</f>
        <v>2338402729.83333</v>
      </c>
      <c r="I36" s="213"/>
      <c r="J36" s="71"/>
      <c r="K36" t="s" s="795">
        <v>686</v>
      </c>
      <c r="L36" s="788"/>
      <c r="M36" s="796" cm="1">
        <f t="array" ref="M36">SUM(M9,M27,M34)</f>
        <v>2698595750.66667</v>
      </c>
      <c r="N36" s="797"/>
      <c r="O36" s="796" cm="1">
        <f t="array" ref="O36">SUM(O9,O27,O34)</f>
        <v>3242142396.5</v>
      </c>
      <c r="P36" s="798"/>
      <c r="Q36" s="796" cm="1">
        <f t="array" ref="Q36">SUM(Q9,Q27,Q34)</f>
        <v>2195794354.83333</v>
      </c>
      <c r="R36" s="213"/>
      <c r="S36" s="71"/>
      <c r="T36" t="s" s="795">
        <v>686</v>
      </c>
      <c r="U36" s="788"/>
      <c r="V36" s="796" cm="1">
        <f t="array" ref="V36">SUM(V9,V27,V34)</f>
        <v>2698595750.66667</v>
      </c>
      <c r="W36" s="797"/>
      <c r="X36" s="796" cm="1">
        <f t="array" ref="X36">SUM(X9,X27,X34)</f>
        <v>3242142396.5</v>
      </c>
      <c r="Y36" s="798"/>
      <c r="Z36" s="796" cm="1">
        <f t="array" ref="Z36">SUM(Z9,Z27,Z34)</f>
        <v>2195794354.83333</v>
      </c>
      <c r="AA36" s="213"/>
      <c r="AB36" s="71"/>
      <c r="AC36" t="s" s="795">
        <v>686</v>
      </c>
      <c r="AD36" s="788"/>
      <c r="AE36" s="796" cm="1">
        <f t="array" ref="AE36">SUM(AE9,AE27,AE34)</f>
        <v>2698595750.66667</v>
      </c>
      <c r="AF36" s="797"/>
      <c r="AG36" s="796" cm="1">
        <f t="array" ref="AG36">SUM(AG9,AG27,AG34)</f>
        <v>3242142396.5</v>
      </c>
      <c r="AH36" s="798"/>
      <c r="AI36" s="796" cm="1">
        <f t="array" ref="AI36">SUM(AI9,AI27,AI34)</f>
        <v>2195794354.83333</v>
      </c>
      <c r="AJ36" s="213"/>
    </row>
    <row r="37" ht="13" customHeight="1">
      <c r="A37" s="12"/>
      <c r="B37" t="s" s="799">
        <v>687</v>
      </c>
      <c r="C37" s="800"/>
      <c r="D37" s="801" cm="1">
        <f t="array" ref="D37">D36*50%</f>
        <v>1390043125.33334</v>
      </c>
      <c r="E37" s="797"/>
      <c r="F37" s="801" cm="1">
        <f t="array" ref="F37">F36*50%</f>
        <v>1666909604.5</v>
      </c>
      <c r="G37" s="802"/>
      <c r="H37" s="801" cm="1">
        <f t="array" ref="H37">H36*50%</f>
        <v>1169201364.91667</v>
      </c>
      <c r="I37" s="213"/>
      <c r="J37" s="71"/>
      <c r="K37" t="s" s="799">
        <v>688</v>
      </c>
      <c r="L37" s="800"/>
      <c r="M37" s="801" cm="1">
        <f t="array" ref="M37">M36*40%</f>
        <v>1079438300.26667</v>
      </c>
      <c r="N37" s="797"/>
      <c r="O37" s="801" cm="1">
        <f t="array" ref="O37">O36*40%</f>
        <v>1296856958.6</v>
      </c>
      <c r="P37" s="802"/>
      <c r="Q37" s="801" cm="1">
        <f t="array" ref="Q37">Q36*40%</f>
        <v>878317741.933332</v>
      </c>
      <c r="R37" s="213"/>
      <c r="S37" s="71"/>
      <c r="T37" t="s" s="799">
        <v>689</v>
      </c>
      <c r="U37" s="800"/>
      <c r="V37" s="801" cm="1">
        <f t="array" ref="V37">V36*30%</f>
        <v>809578725.200001</v>
      </c>
      <c r="W37" s="797"/>
      <c r="X37" s="801" cm="1">
        <f t="array" ref="X37">X36*30%</f>
        <v>972642718.95</v>
      </c>
      <c r="Y37" s="802"/>
      <c r="Z37" s="801" cm="1">
        <f t="array" ref="Z37">Z36*30%</f>
        <v>658738306.449999</v>
      </c>
      <c r="AA37" s="213"/>
      <c r="AB37" s="71"/>
      <c r="AC37" t="s" s="799">
        <v>690</v>
      </c>
      <c r="AD37" s="800"/>
      <c r="AE37" s="801" cm="1">
        <f t="array" ref="AE37">AE36*20%</f>
        <v>539719150.133334</v>
      </c>
      <c r="AF37" s="797"/>
      <c r="AG37" s="801" cm="1">
        <f t="array" ref="AG37">AG36*20%</f>
        <v>648428479.3</v>
      </c>
      <c r="AH37" s="802" cm="1">
        <f t="array" ref="AH37">AH36*20%</f>
        <v>0</v>
      </c>
      <c r="AI37" s="801" cm="1">
        <f t="array" ref="AI37">AI36*20%</f>
        <v>439158870.966666</v>
      </c>
      <c r="AJ37" s="213"/>
    </row>
    <row r="38" ht="14" customHeight="1">
      <c r="A38" s="12"/>
      <c r="B38" t="s" s="799">
        <v>691</v>
      </c>
      <c r="C38" s="800"/>
      <c r="D38" s="803" cm="1">
        <f t="array" ref="D38">-15000000*12</f>
        <v>-180000000</v>
      </c>
      <c r="E38" s="797"/>
      <c r="F38" s="803" cm="1">
        <f t="array" ref="F38">-15000000*12</f>
        <v>-180000000</v>
      </c>
      <c r="G38" s="802"/>
      <c r="H38" s="803" cm="1">
        <f t="array" ref="H38">-15000000*12</f>
        <v>-180000000</v>
      </c>
      <c r="I38" s="213"/>
      <c r="J38" s="71"/>
      <c r="K38" t="s" s="799">
        <v>691</v>
      </c>
      <c r="L38" s="800"/>
      <c r="M38" s="803" cm="1">
        <f t="array" ref="M38">-15000000*12</f>
        <v>-180000000</v>
      </c>
      <c r="N38" s="797"/>
      <c r="O38" s="803" cm="1">
        <f t="array" ref="O38">-15000000*12</f>
        <v>-180000000</v>
      </c>
      <c r="P38" s="802"/>
      <c r="Q38" s="803" cm="1">
        <f t="array" ref="Q38">-15000000*12</f>
        <v>-180000000</v>
      </c>
      <c r="R38" s="213"/>
      <c r="S38" s="71"/>
      <c r="T38" t="s" s="799">
        <v>691</v>
      </c>
      <c r="U38" s="800"/>
      <c r="V38" s="803" cm="1">
        <f t="array" ref="V38">-15000000*12</f>
        <v>-180000000</v>
      </c>
      <c r="W38" s="797"/>
      <c r="X38" s="803" cm="1">
        <f t="array" ref="X38">-15000000*12</f>
        <v>-180000000</v>
      </c>
      <c r="Y38" s="802"/>
      <c r="Z38" s="803" cm="1">
        <f t="array" ref="Z38">-15000000*12</f>
        <v>-180000000</v>
      </c>
      <c r="AA38" s="213"/>
      <c r="AB38" s="71"/>
      <c r="AC38" t="s" s="799">
        <v>691</v>
      </c>
      <c r="AD38" s="800"/>
      <c r="AE38" s="803" cm="1">
        <f t="array" ref="AE38">-15000000*12</f>
        <v>-180000000</v>
      </c>
      <c r="AF38" s="797"/>
      <c r="AG38" s="803" cm="1">
        <f t="array" ref="AG38">-15000000*12</f>
        <v>-180000000</v>
      </c>
      <c r="AH38" s="802"/>
      <c r="AI38" s="803" cm="1">
        <f t="array" ref="AI38">-15000000*12</f>
        <v>-180000000</v>
      </c>
      <c r="AJ38" s="213"/>
    </row>
    <row r="39" ht="13.5" customHeight="1">
      <c r="A39" s="12"/>
      <c r="B39" t="s" s="795">
        <v>692</v>
      </c>
      <c r="C39" s="800"/>
      <c r="D39" s="804" cm="1">
        <f t="array" ref="D39">D37+D38</f>
        <v>1210043125.33334</v>
      </c>
      <c r="E39" s="797"/>
      <c r="F39" s="804" cm="1">
        <f t="array" ref="F39">F37+F38</f>
        <v>1486909604.5</v>
      </c>
      <c r="G39" s="798"/>
      <c r="H39" s="804" cm="1">
        <f t="array" ref="H39">H37+H38</f>
        <v>989201364.91667</v>
      </c>
      <c r="I39" s="213"/>
      <c r="J39" s="71"/>
      <c r="K39" t="s" s="795">
        <v>692</v>
      </c>
      <c r="L39" s="800"/>
      <c r="M39" s="804" cm="1">
        <f t="array" ref="M39">M37+M38</f>
        <v>899438300.26667</v>
      </c>
      <c r="N39" s="797"/>
      <c r="O39" s="804" cm="1">
        <f t="array" ref="O39">O37+O38</f>
        <v>1116856958.6</v>
      </c>
      <c r="P39" s="798"/>
      <c r="Q39" s="804" cm="1">
        <f t="array" ref="Q39">Q37+Q38</f>
        <v>698317741.933332</v>
      </c>
      <c r="R39" s="213"/>
      <c r="S39" s="71"/>
      <c r="T39" t="s" s="795">
        <v>692</v>
      </c>
      <c r="U39" s="800"/>
      <c r="V39" s="804" cm="1">
        <f t="array" ref="V39">V37+V38</f>
        <v>629578725.200001</v>
      </c>
      <c r="W39" s="797"/>
      <c r="X39" s="804" cm="1">
        <f t="array" ref="X39">X37+X38</f>
        <v>792642718.95</v>
      </c>
      <c r="Y39" s="798"/>
      <c r="Z39" s="804" cm="1">
        <f t="array" ref="Z39">Z37+Z38</f>
        <v>478738306.449999</v>
      </c>
      <c r="AA39" s="213"/>
      <c r="AB39" s="71"/>
      <c r="AC39" t="s" s="795">
        <v>692</v>
      </c>
      <c r="AD39" s="800"/>
      <c r="AE39" s="804" cm="1">
        <f t="array" ref="AE39">AE37+AE38</f>
        <v>359719150.133334</v>
      </c>
      <c r="AF39" s="797"/>
      <c r="AG39" s="804" cm="1">
        <f t="array" ref="AG39">AG37+AG38</f>
        <v>468428479.3</v>
      </c>
      <c r="AH39" s="798"/>
      <c r="AI39" s="804" cm="1">
        <f t="array" ref="AI39">AI37+AI38</f>
        <v>259158870.966666</v>
      </c>
      <c r="AJ39" s="213"/>
    </row>
    <row r="40" ht="8" customHeight="1">
      <c r="A40" s="12"/>
      <c r="B40" s="240"/>
      <c r="C40" s="805"/>
      <c r="D40" s="241"/>
      <c r="E40" s="241"/>
      <c r="F40" s="242"/>
      <c r="G40" s="242"/>
      <c r="H40" s="241"/>
      <c r="I40" s="243"/>
      <c r="J40" s="71"/>
      <c r="K40" s="240"/>
      <c r="L40" s="805"/>
      <c r="M40" s="241"/>
      <c r="N40" s="241"/>
      <c r="O40" s="242"/>
      <c r="P40" s="242"/>
      <c r="Q40" s="241"/>
      <c r="R40" s="243"/>
      <c r="S40" s="71"/>
      <c r="T40" s="240"/>
      <c r="U40" s="805"/>
      <c r="V40" s="241"/>
      <c r="W40" s="241"/>
      <c r="X40" s="242"/>
      <c r="Y40" s="242"/>
      <c r="Z40" s="241"/>
      <c r="AA40" s="243"/>
      <c r="AB40" s="71"/>
      <c r="AC40" s="240"/>
      <c r="AD40" s="805"/>
      <c r="AE40" s="241"/>
      <c r="AF40" s="241"/>
      <c r="AG40" s="242"/>
      <c r="AH40" s="242"/>
      <c r="AI40" s="241"/>
      <c r="AJ40" s="243"/>
    </row>
    <row r="41" ht="13.5" customHeight="1">
      <c r="A41" s="32"/>
      <c r="B41" s="33"/>
      <c r="C41" s="33"/>
      <c r="D41" s="33"/>
      <c r="E41" s="33"/>
      <c r="F41" s="33"/>
      <c r="G41" s="33"/>
      <c r="H41" s="33"/>
      <c r="I41" s="33"/>
      <c r="J41" s="17"/>
      <c r="K41" s="33"/>
      <c r="L41" s="33"/>
      <c r="M41" s="33"/>
      <c r="N41" s="33"/>
      <c r="O41" s="33"/>
      <c r="P41" s="33"/>
      <c r="Q41" s="33"/>
      <c r="R41" s="33"/>
      <c r="S41" s="17"/>
      <c r="T41" s="33"/>
      <c r="U41" s="33"/>
      <c r="V41" s="33"/>
      <c r="W41" s="33"/>
      <c r="X41" s="33"/>
      <c r="Y41" s="33"/>
      <c r="Z41" s="33"/>
      <c r="AA41" s="33"/>
      <c r="AB41" s="17"/>
      <c r="AC41" s="33"/>
      <c r="AD41" s="33"/>
      <c r="AE41" s="33"/>
      <c r="AF41" s="33"/>
      <c r="AG41" s="33"/>
      <c r="AH41" s="33"/>
      <c r="AI41" s="33"/>
      <c r="AJ41" s="806"/>
    </row>
    <row r="42" ht="13.5" customHeight="1">
      <c r="A42" s="12"/>
      <c r="B42" t="s" s="807">
        <v>693</v>
      </c>
      <c r="C42" s="808"/>
      <c r="D42" t="s" s="809">
        <v>650</v>
      </c>
      <c r="E42" s="810"/>
      <c r="F42" t="s" s="811">
        <v>651</v>
      </c>
      <c r="G42" s="812"/>
      <c r="H42" t="s" s="809">
        <v>652</v>
      </c>
      <c r="I42" s="813"/>
      <c r="J42" s="71"/>
      <c r="K42" t="s" s="807">
        <v>693</v>
      </c>
      <c r="L42" s="808"/>
      <c r="M42" t="s" s="809">
        <v>650</v>
      </c>
      <c r="N42" s="810"/>
      <c r="O42" t="s" s="811">
        <v>651</v>
      </c>
      <c r="P42" s="812"/>
      <c r="Q42" t="s" s="809">
        <v>652</v>
      </c>
      <c r="R42" s="813"/>
      <c r="S42" s="71"/>
      <c r="T42" t="s" s="807">
        <v>693</v>
      </c>
      <c r="U42" s="808"/>
      <c r="V42" t="s" s="809">
        <v>650</v>
      </c>
      <c r="W42" s="810"/>
      <c r="X42" t="s" s="811">
        <v>651</v>
      </c>
      <c r="Y42" s="812"/>
      <c r="Z42" t="s" s="809">
        <v>652</v>
      </c>
      <c r="AA42" s="813"/>
      <c r="AB42" s="71"/>
      <c r="AC42" t="s" s="807">
        <v>693</v>
      </c>
      <c r="AD42" s="808"/>
      <c r="AE42" t="s" s="809">
        <v>650</v>
      </c>
      <c r="AF42" s="810"/>
      <c r="AG42" t="s" s="811">
        <v>651</v>
      </c>
      <c r="AH42" s="812"/>
      <c r="AI42" t="s" s="809">
        <v>652</v>
      </c>
      <c r="AJ42" s="813"/>
    </row>
    <row r="43" ht="13.5" customHeight="1">
      <c r="A43" s="12"/>
      <c r="B43" t="s" s="814">
        <v>694</v>
      </c>
      <c r="C43" s="815"/>
      <c r="D43" s="816"/>
      <c r="E43" s="816"/>
      <c r="F43" s="816"/>
      <c r="G43" s="817"/>
      <c r="H43" s="816"/>
      <c r="I43" s="818"/>
      <c r="J43" s="71"/>
      <c r="K43" t="s" s="814">
        <v>694</v>
      </c>
      <c r="L43" s="815"/>
      <c r="M43" s="816"/>
      <c r="N43" s="816"/>
      <c r="O43" s="816"/>
      <c r="P43" s="817"/>
      <c r="Q43" s="816"/>
      <c r="R43" s="818"/>
      <c r="S43" s="71"/>
      <c r="T43" t="s" s="814">
        <v>694</v>
      </c>
      <c r="U43" s="815"/>
      <c r="V43" s="816"/>
      <c r="W43" s="816"/>
      <c r="X43" s="816"/>
      <c r="Y43" s="817"/>
      <c r="Z43" s="816"/>
      <c r="AA43" s="818"/>
      <c r="AB43" s="71"/>
      <c r="AC43" t="s" s="814">
        <v>694</v>
      </c>
      <c r="AD43" s="815"/>
      <c r="AE43" s="816"/>
      <c r="AF43" s="816"/>
      <c r="AG43" s="816"/>
      <c r="AH43" s="817"/>
      <c r="AI43" s="816"/>
      <c r="AJ43" s="818"/>
    </row>
    <row r="44" ht="13.5" customHeight="1">
      <c r="A44" s="12"/>
      <c r="B44" t="s" s="819">
        <v>695</v>
      </c>
      <c r="C44" s="815"/>
      <c r="D44" s="816" cm="1">
        <f t="array" ref="D44">150000*16300</f>
        <v>2445000000</v>
      </c>
      <c r="E44" s="816"/>
      <c r="F44" s="816" cm="1">
        <f t="array" ref="F44">150000*16300</f>
        <v>2445000000</v>
      </c>
      <c r="G44" s="817"/>
      <c r="H44" s="816" cm="1">
        <f t="array" ref="H44">150000*16300</f>
        <v>2445000000</v>
      </c>
      <c r="I44" s="818"/>
      <c r="J44" s="71"/>
      <c r="K44" t="s" s="819">
        <v>695</v>
      </c>
      <c r="L44" s="815"/>
      <c r="M44" s="816">
        <v>0</v>
      </c>
      <c r="N44" s="816"/>
      <c r="O44" s="816">
        <v>0</v>
      </c>
      <c r="P44" s="817"/>
      <c r="Q44" s="816">
        <v>0</v>
      </c>
      <c r="R44" s="818"/>
      <c r="S44" s="71"/>
      <c r="T44" t="s" s="819">
        <v>695</v>
      </c>
      <c r="U44" s="815"/>
      <c r="V44" s="816">
        <v>0</v>
      </c>
      <c r="W44" s="816"/>
      <c r="X44" s="816">
        <v>0</v>
      </c>
      <c r="Y44" s="817"/>
      <c r="Z44" s="816">
        <v>0</v>
      </c>
      <c r="AA44" s="818"/>
      <c r="AB44" s="71"/>
      <c r="AC44" t="s" s="819">
        <v>695</v>
      </c>
      <c r="AD44" s="815"/>
      <c r="AE44" s="816">
        <v>0</v>
      </c>
      <c r="AF44" s="816"/>
      <c r="AG44" s="816">
        <v>0</v>
      </c>
      <c r="AH44" s="817"/>
      <c r="AI44" s="816">
        <v>0</v>
      </c>
      <c r="AJ44" s="818"/>
    </row>
    <row r="45" ht="13.5" customHeight="1">
      <c r="A45" s="12"/>
      <c r="B45" t="s" s="819">
        <v>696</v>
      </c>
      <c r="C45" s="815"/>
      <c r="D45" s="816" cm="1">
        <f t="array" ref="D45">603000000</f>
        <v>603000000</v>
      </c>
      <c r="E45" s="816"/>
      <c r="F45" s="816" cm="1">
        <f t="array" ref="F45">603000000</f>
        <v>603000000</v>
      </c>
      <c r="G45" s="817"/>
      <c r="H45" s="816" cm="1">
        <f t="array" ref="H45">603000000</f>
        <v>603000000</v>
      </c>
      <c r="I45" s="818"/>
      <c r="J45" s="71"/>
      <c r="K45" t="s" s="819">
        <v>696</v>
      </c>
      <c r="L45" s="815"/>
      <c r="M45" s="816" cm="1">
        <f t="array" ref="M45">603000000</f>
        <v>603000000</v>
      </c>
      <c r="N45" s="816"/>
      <c r="O45" s="816" cm="1">
        <f t="array" ref="O45">603000000</f>
        <v>603000000</v>
      </c>
      <c r="P45" s="817"/>
      <c r="Q45" s="816" cm="1">
        <f t="array" ref="Q45">603000000</f>
        <v>603000000</v>
      </c>
      <c r="R45" s="818"/>
      <c r="S45" s="71"/>
      <c r="T45" t="s" s="819">
        <v>697</v>
      </c>
      <c r="U45" s="815"/>
      <c r="V45" s="816" cm="1">
        <f t="array" ref="V45">650000000</f>
        <v>650000000</v>
      </c>
      <c r="W45" s="816"/>
      <c r="X45" s="816" cm="1">
        <f t="array" ref="X45">650000000</f>
        <v>650000000</v>
      </c>
      <c r="Y45" s="817"/>
      <c r="Z45" s="816" cm="1">
        <f t="array" ref="Z45">650000000</f>
        <v>650000000</v>
      </c>
      <c r="AA45" s="818"/>
      <c r="AB45" s="71"/>
      <c r="AC45" t="s" s="819">
        <v>696</v>
      </c>
      <c r="AD45" s="815"/>
      <c r="AE45" s="816" cm="1">
        <f t="array" ref="AE45">600000000</f>
        <v>600000000</v>
      </c>
      <c r="AF45" s="816"/>
      <c r="AG45" s="816">
        <v>600000000</v>
      </c>
      <c r="AH45" s="817"/>
      <c r="AI45" s="816">
        <v>600000000</v>
      </c>
      <c r="AJ45" s="818"/>
    </row>
    <row r="46" ht="13.5" customHeight="1">
      <c r="A46" s="12"/>
      <c r="B46" t="s" s="819">
        <v>698</v>
      </c>
      <c r="C46" s="815"/>
      <c r="D46" s="816">
        <v>220000000</v>
      </c>
      <c r="E46" s="816"/>
      <c r="F46" s="816">
        <v>220000000</v>
      </c>
      <c r="G46" s="817"/>
      <c r="H46" s="816">
        <v>220000000</v>
      </c>
      <c r="I46" s="818"/>
      <c r="J46" s="71"/>
      <c r="K46" t="s" s="819">
        <v>699</v>
      </c>
      <c r="L46" s="815"/>
      <c r="M46" s="816">
        <v>0</v>
      </c>
      <c r="N46" s="816"/>
      <c r="O46" s="816">
        <v>0</v>
      </c>
      <c r="P46" s="817"/>
      <c r="Q46" s="816">
        <v>0</v>
      </c>
      <c r="R46" s="818"/>
      <c r="S46" s="71"/>
      <c r="T46" t="s" s="819">
        <v>699</v>
      </c>
      <c r="U46" s="815"/>
      <c r="V46" s="816">
        <v>0</v>
      </c>
      <c r="W46" s="816"/>
      <c r="X46" s="816">
        <v>0</v>
      </c>
      <c r="Y46" s="817"/>
      <c r="Z46" s="816">
        <v>0</v>
      </c>
      <c r="AA46" s="818"/>
      <c r="AB46" s="71"/>
      <c r="AC46" t="s" s="819">
        <v>699</v>
      </c>
      <c r="AD46" s="815"/>
      <c r="AE46" s="816">
        <v>0</v>
      </c>
      <c r="AF46" s="816"/>
      <c r="AG46" s="816">
        <v>0</v>
      </c>
      <c r="AH46" s="817"/>
      <c r="AI46" s="816">
        <v>0</v>
      </c>
      <c r="AJ46" s="818"/>
    </row>
    <row r="47" ht="13.5" customHeight="1">
      <c r="A47" s="12"/>
      <c r="B47" t="s" s="819">
        <v>700</v>
      </c>
      <c r="C47" s="815"/>
      <c r="D47" s="820" cm="1">
        <f t="array" ref="D47">-SUM(D44:D46)*20%</f>
        <v>-653600000</v>
      </c>
      <c r="E47" s="817"/>
      <c r="F47" s="820" cm="1">
        <f t="array" ref="F47">-SUM(F44:F46)*20%</f>
        <v>-653600000</v>
      </c>
      <c r="G47" s="817"/>
      <c r="H47" s="820" cm="1">
        <f t="array" ref="H47">-SUM(H44:H46)*20%</f>
        <v>-653600000</v>
      </c>
      <c r="I47" s="818"/>
      <c r="J47" s="71"/>
      <c r="K47" t="s" s="819">
        <v>700</v>
      </c>
      <c r="L47" s="815"/>
      <c r="M47" s="820">
        <v>0</v>
      </c>
      <c r="N47" s="817"/>
      <c r="O47" s="820">
        <v>0</v>
      </c>
      <c r="P47" s="817"/>
      <c r="Q47" s="820">
        <v>0</v>
      </c>
      <c r="R47" s="818"/>
      <c r="S47" s="71"/>
      <c r="T47" t="s" s="819">
        <v>700</v>
      </c>
      <c r="U47" s="815"/>
      <c r="V47" s="820">
        <v>0</v>
      </c>
      <c r="W47" s="817"/>
      <c r="X47" s="820">
        <v>0</v>
      </c>
      <c r="Y47" s="817"/>
      <c r="Z47" s="820">
        <v>0</v>
      </c>
      <c r="AA47" s="818"/>
      <c r="AB47" s="71"/>
      <c r="AC47" t="s" s="819">
        <v>700</v>
      </c>
      <c r="AD47" s="815"/>
      <c r="AE47" s="820">
        <v>0</v>
      </c>
      <c r="AF47" s="817"/>
      <c r="AG47" s="820">
        <v>0</v>
      </c>
      <c r="AH47" s="817"/>
      <c r="AI47" s="820">
        <v>0</v>
      </c>
      <c r="AJ47" s="818"/>
    </row>
    <row r="48" ht="13.5" customHeight="1">
      <c r="A48" s="12"/>
      <c r="B48" t="s" s="814">
        <v>701</v>
      </c>
      <c r="C48" s="815"/>
      <c r="D48" s="821" cm="1">
        <f t="array" ref="D48">SUM(D44:D47)</f>
        <v>2614400000</v>
      </c>
      <c r="E48" s="822"/>
      <c r="F48" s="821" cm="1">
        <f t="array" ref="F48">SUM(F44:F47)</f>
        <v>2614400000</v>
      </c>
      <c r="G48" s="823"/>
      <c r="H48" s="821" cm="1">
        <f t="array" ref="H48">SUM(H44:H47)</f>
        <v>2614400000</v>
      </c>
      <c r="I48" s="818"/>
      <c r="J48" s="71"/>
      <c r="K48" t="s" s="814">
        <v>701</v>
      </c>
      <c r="L48" s="815"/>
      <c r="M48" s="821" cm="1">
        <f t="array" ref="M48">SUM(M44:M47)</f>
        <v>603000000</v>
      </c>
      <c r="N48" s="822"/>
      <c r="O48" s="821" cm="1">
        <f t="array" ref="O48">SUM(O44:O47)</f>
        <v>603000000</v>
      </c>
      <c r="P48" s="823"/>
      <c r="Q48" s="821" cm="1">
        <f t="array" ref="Q48">SUM(Q44:Q47)</f>
        <v>603000000</v>
      </c>
      <c r="R48" s="818"/>
      <c r="S48" s="71"/>
      <c r="T48" t="s" s="814">
        <v>701</v>
      </c>
      <c r="U48" s="815"/>
      <c r="V48" s="821" cm="1">
        <f t="array" ref="V48">SUM(V44:V47)</f>
        <v>650000000</v>
      </c>
      <c r="W48" s="822"/>
      <c r="X48" s="821" cm="1">
        <f t="array" ref="X48">SUM(X44:X47)</f>
        <v>650000000</v>
      </c>
      <c r="Y48" s="823"/>
      <c r="Z48" s="821" cm="1">
        <f t="array" ref="Z48">SUM(Z44:Z47)</f>
        <v>650000000</v>
      </c>
      <c r="AA48" s="818"/>
      <c r="AB48" s="71"/>
      <c r="AC48" t="s" s="814">
        <v>701</v>
      </c>
      <c r="AD48" s="815"/>
      <c r="AE48" s="821" cm="1">
        <f t="array" ref="AE48">SUM(AE44:AE47)</f>
        <v>600000000</v>
      </c>
      <c r="AF48" s="822"/>
      <c r="AG48" s="821" cm="1">
        <f t="array" ref="AG48">SUM(AG44:AG47)</f>
        <v>600000000</v>
      </c>
      <c r="AH48" s="823"/>
      <c r="AI48" s="821" cm="1">
        <f t="array" ref="AI48">SUM(AI44:AI47)</f>
        <v>600000000</v>
      </c>
      <c r="AJ48" s="818"/>
    </row>
    <row r="49" ht="9.5" customHeight="1">
      <c r="A49" s="12"/>
      <c r="B49" s="824"/>
      <c r="C49" s="815"/>
      <c r="D49" s="816"/>
      <c r="E49" s="816"/>
      <c r="F49" s="816"/>
      <c r="G49" s="817"/>
      <c r="H49" s="816"/>
      <c r="I49" s="818"/>
      <c r="J49" s="71"/>
      <c r="K49" s="824"/>
      <c r="L49" s="815"/>
      <c r="M49" s="816"/>
      <c r="N49" s="816"/>
      <c r="O49" s="816"/>
      <c r="P49" s="817"/>
      <c r="Q49" s="816"/>
      <c r="R49" s="818"/>
      <c r="S49" s="71"/>
      <c r="T49" s="824"/>
      <c r="U49" s="815"/>
      <c r="V49" s="816"/>
      <c r="W49" s="816"/>
      <c r="X49" s="816"/>
      <c r="Y49" s="817"/>
      <c r="Z49" s="816"/>
      <c r="AA49" s="818"/>
      <c r="AB49" s="71"/>
      <c r="AC49" s="824"/>
      <c r="AD49" s="815"/>
      <c r="AE49" s="816"/>
      <c r="AF49" s="816"/>
      <c r="AG49" s="816"/>
      <c r="AH49" s="817"/>
      <c r="AI49" s="816"/>
      <c r="AJ49" s="818"/>
    </row>
    <row r="50" ht="13.5" customHeight="1">
      <c r="A50" s="12"/>
      <c r="B50" t="s" s="814">
        <v>702</v>
      </c>
      <c r="C50" s="815"/>
      <c r="D50" s="825"/>
      <c r="E50" s="816"/>
      <c r="F50" s="825"/>
      <c r="G50" s="817"/>
      <c r="H50" s="825"/>
      <c r="I50" s="818"/>
      <c r="J50" s="71"/>
      <c r="K50" t="s" s="814">
        <v>702</v>
      </c>
      <c r="L50" s="815"/>
      <c r="M50" s="816"/>
      <c r="N50" s="816"/>
      <c r="O50" s="816"/>
      <c r="P50" s="817"/>
      <c r="Q50" s="816"/>
      <c r="R50" s="818"/>
      <c r="S50" s="71"/>
      <c r="T50" t="s" s="814">
        <v>702</v>
      </c>
      <c r="U50" s="815"/>
      <c r="V50" s="816"/>
      <c r="W50" s="816"/>
      <c r="X50" s="816"/>
      <c r="Y50" s="817"/>
      <c r="Z50" s="816"/>
      <c r="AA50" s="818"/>
      <c r="AB50" s="71"/>
      <c r="AC50" t="s" s="814">
        <v>702</v>
      </c>
      <c r="AD50" s="815"/>
      <c r="AE50" s="816"/>
      <c r="AF50" s="816"/>
      <c r="AG50" s="816"/>
      <c r="AH50" s="817"/>
      <c r="AI50" s="816"/>
      <c r="AJ50" s="818"/>
    </row>
    <row r="51" ht="13.5" customHeight="1">
      <c r="A51" s="12"/>
      <c r="B51" t="s" s="814">
        <v>703</v>
      </c>
      <c r="C51" s="815"/>
      <c r="D51" t="s" s="826">
        <v>704</v>
      </c>
      <c r="E51" s="827"/>
      <c r="F51" t="s" s="826">
        <v>705</v>
      </c>
      <c r="G51" s="828"/>
      <c r="H51" t="s" s="826">
        <v>706</v>
      </c>
      <c r="I51" s="818"/>
      <c r="J51" s="71"/>
      <c r="K51" t="s" s="814">
        <v>703</v>
      </c>
      <c r="L51" s="815"/>
      <c r="M51" t="s" s="826">
        <v>707</v>
      </c>
      <c r="N51" s="827"/>
      <c r="O51" t="s" s="826">
        <v>708</v>
      </c>
      <c r="P51" s="828"/>
      <c r="Q51" t="s" s="826">
        <v>709</v>
      </c>
      <c r="R51" s="818"/>
      <c r="S51" s="71"/>
      <c r="T51" t="s" s="814">
        <v>703</v>
      </c>
      <c r="U51" s="815"/>
      <c r="V51" t="s" s="826">
        <v>710</v>
      </c>
      <c r="W51" s="827"/>
      <c r="X51" t="s" s="826">
        <v>711</v>
      </c>
      <c r="Y51" s="828"/>
      <c r="Z51" t="s" s="826">
        <v>712</v>
      </c>
      <c r="AA51" s="818"/>
      <c r="AB51" s="71"/>
      <c r="AC51" t="s" s="814">
        <v>703</v>
      </c>
      <c r="AD51" s="815"/>
      <c r="AE51" t="s" s="826">
        <v>705</v>
      </c>
      <c r="AF51" s="827"/>
      <c r="AG51" t="s" s="826">
        <v>713</v>
      </c>
      <c r="AH51" s="828"/>
      <c r="AI51" t="s" s="826">
        <v>714</v>
      </c>
      <c r="AJ51" s="818"/>
    </row>
    <row r="52" ht="13.5" customHeight="1">
      <c r="A52" s="12"/>
      <c r="B52" t="s" s="814">
        <v>715</v>
      </c>
      <c r="C52" s="815"/>
      <c r="D52" s="829" cm="1">
        <f t="array" ref="D52">D39/D48</f>
        <v>0.462837792737661</v>
      </c>
      <c r="E52" s="827"/>
      <c r="F52" s="829" cm="1">
        <f t="array" ref="F52">F39/F48</f>
        <v>0.568738373814259</v>
      </c>
      <c r="G52" s="828"/>
      <c r="H52" s="829" cm="1">
        <f t="array" ref="H52">H39/H48</f>
        <v>0.378366495148665</v>
      </c>
      <c r="I52" s="818"/>
      <c r="J52" s="71"/>
      <c r="K52" t="s" s="814">
        <v>715</v>
      </c>
      <c r="L52" s="815"/>
      <c r="M52" s="829" cm="1">
        <f t="array" ref="M52">M39/M48</f>
        <v>1.49160580475401</v>
      </c>
      <c r="N52" s="827"/>
      <c r="O52" s="829" cm="1">
        <f t="array" ref="O52">O39/O48</f>
        <v>1.85216742719735</v>
      </c>
      <c r="P52" s="828"/>
      <c r="Q52" s="829" cm="1">
        <f t="array" ref="Q52">Q39/Q48</f>
        <v>1.15807254051962</v>
      </c>
      <c r="R52" s="818"/>
      <c r="S52" s="71"/>
      <c r="T52" t="s" s="814">
        <v>715</v>
      </c>
      <c r="U52" s="815"/>
      <c r="V52" s="829" cm="1">
        <f t="array" ref="V52">V39/V48</f>
        <v>0.968582654153848</v>
      </c>
      <c r="W52" s="827"/>
      <c r="X52" s="829" cm="1">
        <f t="array" ref="X52">X39/X48</f>
        <v>1.21945033684615</v>
      </c>
      <c r="Y52" s="828"/>
      <c r="Z52" s="829" cm="1">
        <f t="array" ref="Z52">Z39/Z48</f>
        <v>0.736520471461537</v>
      </c>
      <c r="AA52" s="818"/>
      <c r="AB52" s="71"/>
      <c r="AC52" t="s" s="814">
        <v>715</v>
      </c>
      <c r="AD52" s="815"/>
      <c r="AE52" s="829" cm="1">
        <f t="array" ref="AE52">AE39/AE48</f>
        <v>0.59953191688889</v>
      </c>
      <c r="AF52" s="827"/>
      <c r="AG52" s="829" cm="1">
        <f t="array" ref="AG52">AG39/AG48</f>
        <v>0.780714132166667</v>
      </c>
      <c r="AH52" s="828"/>
      <c r="AI52" s="829" cm="1">
        <f t="array" ref="AI52">AI39/AI48</f>
        <v>0.43193145161111</v>
      </c>
      <c r="AJ52" s="818"/>
    </row>
    <row r="53" ht="9.5" customHeight="1">
      <c r="A53" s="12"/>
      <c r="B53" s="830"/>
      <c r="C53" s="815"/>
      <c r="D53" s="816"/>
      <c r="E53" s="816"/>
      <c r="F53" s="816"/>
      <c r="G53" s="817"/>
      <c r="H53" s="816"/>
      <c r="I53" s="818"/>
      <c r="J53" s="71"/>
      <c r="K53" s="830"/>
      <c r="L53" s="815"/>
      <c r="M53" s="831"/>
      <c r="N53" s="816"/>
      <c r="O53" s="831"/>
      <c r="P53" s="817"/>
      <c r="Q53" s="831"/>
      <c r="R53" s="818"/>
      <c r="S53" s="71"/>
      <c r="T53" s="830"/>
      <c r="U53" s="815"/>
      <c r="V53" s="831"/>
      <c r="W53" s="816"/>
      <c r="X53" s="831"/>
      <c r="Y53" s="817"/>
      <c r="Z53" s="831"/>
      <c r="AA53" s="818"/>
      <c r="AB53" s="71"/>
      <c r="AC53" s="830"/>
      <c r="AD53" s="815"/>
      <c r="AE53" s="831"/>
      <c r="AF53" s="816"/>
      <c r="AG53" s="831"/>
      <c r="AH53" s="817"/>
      <c r="AI53" s="831"/>
      <c r="AJ53" s="818"/>
    </row>
    <row r="54" ht="8" customHeight="1">
      <c r="A54" s="12"/>
      <c r="B54" s="832"/>
      <c r="C54" s="833"/>
      <c r="D54" s="834"/>
      <c r="E54" s="834"/>
      <c r="F54" s="835"/>
      <c r="G54" s="835"/>
      <c r="H54" s="834"/>
      <c r="I54" s="836"/>
      <c r="J54" s="71"/>
      <c r="K54" s="832"/>
      <c r="L54" s="833"/>
      <c r="M54" s="834"/>
      <c r="N54" s="834"/>
      <c r="O54" s="835"/>
      <c r="P54" s="835"/>
      <c r="Q54" s="834"/>
      <c r="R54" s="836"/>
      <c r="S54" s="71"/>
      <c r="T54" s="832"/>
      <c r="U54" s="833"/>
      <c r="V54" s="834"/>
      <c r="W54" s="834"/>
      <c r="X54" s="835"/>
      <c r="Y54" s="835"/>
      <c r="Z54" s="834"/>
      <c r="AA54" s="836"/>
      <c r="AB54" s="71"/>
      <c r="AC54" s="832"/>
      <c r="AD54" s="833"/>
      <c r="AE54" s="834"/>
      <c r="AF54" s="834"/>
      <c r="AG54" s="835"/>
      <c r="AH54" s="835"/>
      <c r="AI54" s="834"/>
      <c r="AJ54" s="836"/>
    </row>
    <row r="55" ht="13.5" customHeight="1">
      <c r="A55" s="32"/>
      <c r="B55" s="124"/>
      <c r="C55" s="124"/>
      <c r="D55" s="702"/>
      <c r="E55" s="124"/>
      <c r="F55" s="702"/>
      <c r="G55" s="124"/>
      <c r="H55" s="702"/>
      <c r="I55" s="124"/>
      <c r="J55" s="17"/>
      <c r="K55" s="702"/>
      <c r="L55" s="124"/>
      <c r="M55" s="702"/>
      <c r="N55" s="124"/>
      <c r="O55" s="702"/>
      <c r="P55" s="124"/>
      <c r="Q55" s="702"/>
      <c r="R55" s="124"/>
      <c r="S55" s="17"/>
      <c r="T55" s="124"/>
      <c r="U55" s="124"/>
      <c r="V55" s="702"/>
      <c r="W55" s="124"/>
      <c r="X55" s="702"/>
      <c r="Y55" s="124"/>
      <c r="Z55" s="702"/>
      <c r="AA55" s="124"/>
      <c r="AB55" s="17"/>
      <c r="AC55" s="124"/>
      <c r="AD55" s="124"/>
      <c r="AE55" s="702"/>
      <c r="AF55" s="124"/>
      <c r="AG55" s="702"/>
      <c r="AH55" s="124"/>
      <c r="AI55" s="702"/>
      <c r="AJ55" s="313"/>
    </row>
    <row r="56" ht="13" customHeight="1">
      <c r="A56" s="32"/>
      <c r="B56" s="35"/>
      <c r="C56" s="35"/>
      <c r="D56" s="35"/>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8"/>
    </row>
    <row r="57" ht="13.5" customHeight="1">
      <c r="A57" s="12"/>
      <c r="B57" t="s" s="837">
        <v>716</v>
      </c>
      <c r="C57" s="838"/>
      <c r="D57" s="839"/>
      <c r="E57" s="840"/>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8"/>
    </row>
    <row r="58" ht="14" customHeight="1">
      <c r="A58" s="12"/>
      <c r="B58" t="s" s="841">
        <v>717</v>
      </c>
      <c r="C58" s="842"/>
      <c r="D58" t="s" s="843">
        <v>718</v>
      </c>
      <c r="E58" s="16"/>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8"/>
    </row>
    <row r="59" ht="14" customHeight="1">
      <c r="A59" s="12"/>
      <c r="B59" t="s" s="844">
        <v>719</v>
      </c>
      <c r="C59" s="845"/>
      <c r="D59" s="846" cm="1">
        <f t="array" ref="D59">F8</f>
        <v>1850000</v>
      </c>
      <c r="E59" s="16"/>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8"/>
    </row>
    <row r="60" ht="14" customHeight="1">
      <c r="A60" s="12"/>
      <c r="B60" t="s" s="844">
        <v>720</v>
      </c>
      <c r="C60" s="845"/>
      <c r="D60" s="847" cm="1">
        <f t="array" ref="D60">D59*13</f>
        <v>24050000</v>
      </c>
      <c r="E60" s="16"/>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8"/>
    </row>
    <row r="61" ht="14" customHeight="1">
      <c r="A61" s="12"/>
      <c r="B61" t="s" s="848">
        <v>721</v>
      </c>
      <c r="C61" s="845"/>
      <c r="D61" s="849"/>
      <c r="E61" s="16"/>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8"/>
    </row>
    <row r="62" ht="14" customHeight="1">
      <c r="A62" s="12"/>
      <c r="B62" t="str" s="850" cm="1">
        <f t="array" ref="B62">B11</f>
        <v>Guides Salary &amp; Tax</v>
      </c>
      <c r="C62" s="845"/>
      <c r="D62" s="849" cm="1">
        <f t="array" ref="D62">-'Shared Boats 2026 Target'!E268</f>
        <v>-1751000</v>
      </c>
      <c r="E62" s="16"/>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8"/>
    </row>
    <row r="63" ht="14" customHeight="1">
      <c r="A63" s="12"/>
      <c r="B63" t="str" s="850" cm="1">
        <f t="array" ref="B63">B12</f>
        <v>Towels</v>
      </c>
      <c r="C63" s="845"/>
      <c r="D63" s="849" cm="1">
        <f t="array" ref="D63">-'Shared Boats 2026 Target'!F270</f>
        <v>-78000</v>
      </c>
      <c r="E63" s="16"/>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8"/>
    </row>
    <row r="64" ht="14" customHeight="1">
      <c r="A64" s="12"/>
      <c r="B64" t="str" s="850" cm="1">
        <f t="array" ref="B64">B13</f>
        <v>Ice &amp; Water</v>
      </c>
      <c r="C64" s="845"/>
      <c r="D64" s="849" cm="1">
        <f t="array" ref="D64">-'Shared Boats 2026 Target'!G270</f>
        <v>-90000</v>
      </c>
      <c r="E64" s="16"/>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8"/>
    </row>
    <row r="65" ht="14" customHeight="1">
      <c r="A65" s="12"/>
      <c r="B65" t="str" s="850" cm="1">
        <f t="array" ref="B65">B14</f>
        <v>Seran Retribution</v>
      </c>
      <c r="C65" s="845"/>
      <c r="D65" s="849" cm="1">
        <f t="array" ref="D65">-'Shared Boats 2026 Target'!H270</f>
        <v>-530000</v>
      </c>
      <c r="E65" s="16"/>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8"/>
    </row>
    <row r="66" ht="14" customHeight="1">
      <c r="A66" s="12"/>
      <c r="B66" t="str" s="850" cm="1">
        <f t="array" ref="B66">B15</f>
        <v>Seran Parking and Mooring</v>
      </c>
      <c r="C66" s="845"/>
      <c r="D66" s="849" cm="1">
        <f t="array" ref="D66">-'Shared Boats 2026 Target'!I270</f>
        <v>-98333.3333333333</v>
      </c>
      <c r="E66" s="16"/>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8"/>
    </row>
    <row r="67" ht="14" customHeight="1">
      <c r="A67" s="12"/>
      <c r="B67" t="str" s="850" cm="1">
        <f t="array" ref="B67">B16</f>
        <v>NP + Serangan Clearance</v>
      </c>
      <c r="C67" s="845"/>
      <c r="D67" s="849" cm="1">
        <f t="array" ref="D67">-'Shared Boats 2026 Target'!K270</f>
        <v>-230000</v>
      </c>
      <c r="E67" s="16"/>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8"/>
    </row>
    <row r="68" ht="14" customHeight="1">
      <c r="A68" s="12"/>
      <c r="B68" t="str" s="850" cm="1">
        <f t="array" ref="B68">B17</f>
        <v>Offering</v>
      </c>
      <c r="C68" s="845"/>
      <c r="D68" s="849" cm="1">
        <f t="array" ref="D68">-'Shared Boats 2026 Target'!L270</f>
        <v>-20000</v>
      </c>
      <c r="E68" s="16"/>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8"/>
    </row>
    <row r="69" ht="14" customHeight="1">
      <c r="A69" s="12"/>
      <c r="B69" t="str" s="850" cm="1">
        <f t="array" ref="B69">B18</f>
        <v>Fruits</v>
      </c>
      <c r="C69" s="845"/>
      <c r="D69" s="849" cm="1">
        <f t="array" ref="D69">-'Shared Boats 2026 Target'!M270</f>
        <v>-140000</v>
      </c>
      <c r="E69" s="16"/>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8"/>
    </row>
    <row r="70" ht="14" customHeight="1">
      <c r="A70" s="12"/>
      <c r="B70" t="str" s="850" cm="1">
        <f t="array" ref="B70">B19</f>
        <v>Lunch</v>
      </c>
      <c r="C70" s="845"/>
      <c r="D70" s="849" cm="1">
        <f t="array" ref="D70">-'Shared Boats 2026 Target'!N270</f>
        <v>-1430000</v>
      </c>
      <c r="E70" s="16"/>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8"/>
    </row>
    <row r="71" ht="14" customHeight="1">
      <c r="A71" s="12"/>
      <c r="B71" t="str" s="850" cm="1">
        <f t="array" ref="B71">B20</f>
        <v>Fuel (Pertamax)</v>
      </c>
      <c r="C71" s="845"/>
      <c r="D71" s="849" cm="1">
        <f t="array" ref="D71">-'Shared Boats 2026 Target'!O270</f>
        <v>-3325000</v>
      </c>
      <c r="E71" s="16"/>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8"/>
    </row>
    <row r="72" ht="14" customHeight="1">
      <c r="A72" s="12"/>
      <c r="B72" t="str" s="850" cm="1">
        <f t="array" ref="B72">B21</f>
        <v>Crew Salary &amp; Tax u</v>
      </c>
      <c r="C72" s="845"/>
      <c r="D72" s="849" cm="1">
        <f t="array" ref="D72">-'Shared Boats 2026 Target'!P270</f>
        <v>-1112400</v>
      </c>
      <c r="E72" s="16"/>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8"/>
    </row>
    <row r="73" ht="14" customHeight="1">
      <c r="A73" s="12"/>
      <c r="B73" t="str" s="850" cm="1">
        <f t="array" ref="B73">B22</f>
        <v>Land Tours</v>
      </c>
      <c r="C73" s="845"/>
      <c r="D73" s="849" cm="1">
        <f t="array" ref="D73">-'Shared Boats 2026 Target'!Q270</f>
        <v>-1468800</v>
      </c>
      <c r="E73" s="16"/>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8"/>
    </row>
    <row r="74" ht="14" customHeight="1">
      <c r="A74" s="12"/>
      <c r="B74" t="str" s="850" cm="1">
        <f t="array" ref="B74">B23</f>
        <v>Extra fruits - Premium</v>
      </c>
      <c r="C74" s="845"/>
      <c r="D74" s="849" cm="1">
        <f t="array" ref="D74">-'Premium Shared 2026 Target'!L17+'Shared Boats 2026 Target'!M270</f>
        <v>-20000</v>
      </c>
      <c r="E74" s="16"/>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8"/>
    </row>
    <row r="75" ht="14" customHeight="1">
      <c r="A75" s="12"/>
      <c r="B75" t="str" s="850" cm="1">
        <f t="array" ref="B75">B24</f>
        <v>Extra photographer - Premium</v>
      </c>
      <c r="C75" s="845"/>
      <c r="D75" s="849" cm="1">
        <f t="array" ref="D75">-'Premium Shared 2026 Target'!N17</f>
        <v>-440000</v>
      </c>
      <c r="E75" s="16"/>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8"/>
    </row>
    <row r="76" ht="14" customHeight="1">
      <c r="A76" s="12"/>
      <c r="B76" t="str" s="850" cm="1">
        <f t="array" ref="B76">B25</f>
        <v>Extra welcome drinks - Premium</v>
      </c>
      <c r="C76" s="845"/>
      <c r="D76" s="849" cm="1">
        <f t="array" ref="D76">-'Premium Shared 2026 Target'!P17</f>
        <v>-533000</v>
      </c>
      <c r="E76" s="16"/>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8"/>
    </row>
    <row r="77" ht="14" customHeight="1">
      <c r="A77" s="12"/>
      <c r="B77" t="str" s="850" cm="1">
        <f t="array" ref="B77">B26</f>
        <v>Extra prosecco - Premium</v>
      </c>
      <c r="C77" s="845"/>
      <c r="D77" s="846" cm="1">
        <f t="array" ref="D77">-'Premium Shared 2026 Target'!O17</f>
        <v>-870000</v>
      </c>
      <c r="E77" s="16"/>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8"/>
    </row>
    <row r="78" ht="13.5" customHeight="1">
      <c r="A78" s="12"/>
      <c r="B78" t="s" s="851">
        <v>726</v>
      </c>
      <c r="C78" s="852"/>
      <c r="D78" s="853" cm="1">
        <f t="array" ref="D78">SUM(D60:D77)</f>
        <v>11913466.6666667</v>
      </c>
      <c r="E78" s="16"/>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8"/>
    </row>
    <row r="79" ht="13" customHeight="1">
      <c r="A79" s="12"/>
      <c r="B79" t="s" s="854">
        <v>687</v>
      </c>
      <c r="C79" s="855"/>
      <c r="D79" s="856" cm="1">
        <f t="array" ref="D79">D78*50%</f>
        <v>5956733.33333335</v>
      </c>
      <c r="E79" s="16"/>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8"/>
    </row>
    <row r="80" ht="13" customHeight="1">
      <c r="A80" s="570"/>
      <c r="B80" s="857"/>
      <c r="C80" s="858"/>
      <c r="D80" s="859"/>
      <c r="E80" s="860"/>
      <c r="F80" s="193"/>
      <c r="G80" s="193"/>
      <c r="H80" s="193"/>
      <c r="I80" s="193"/>
      <c r="J80" s="193"/>
      <c r="K80" s="193"/>
      <c r="L80" s="193"/>
      <c r="M80" s="193"/>
      <c r="N80" s="193"/>
      <c r="O80" s="193"/>
      <c r="P80" s="193"/>
      <c r="Q80" s="193"/>
      <c r="R80" s="193"/>
      <c r="S80" s="193"/>
      <c r="T80" s="193"/>
      <c r="U80" s="193"/>
      <c r="V80" s="193"/>
      <c r="W80" s="193"/>
      <c r="X80" s="193"/>
      <c r="Y80" s="193"/>
      <c r="Z80" s="193"/>
      <c r="AA80" s="193"/>
      <c r="AB80" s="193"/>
      <c r="AC80" s="193"/>
      <c r="AD80" s="193"/>
      <c r="AE80" s="193"/>
      <c r="AF80" s="193"/>
      <c r="AG80" s="193"/>
      <c r="AH80" s="193"/>
      <c r="AI80" s="193"/>
      <c r="AJ80" s="19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AJ80"/>
  <sheetViews>
    <sheetView workbookViewId="0" showGridLines="0" defaultGridColor="1"/>
  </sheetViews>
  <sheetFormatPr defaultColWidth="8.83333" defaultRowHeight="12.5" customHeight="1" outlineLevelRow="0" outlineLevelCol="0"/>
  <cols>
    <col min="1" max="1" width="3.85156" style="861" customWidth="1"/>
    <col min="2" max="2" width="32.8516" style="861" customWidth="1"/>
    <col min="3" max="3" width="1.35156" style="861" customWidth="1"/>
    <col min="4" max="4" width="16.6719" style="861" customWidth="1"/>
    <col min="5" max="5" width="1.35156" style="861" customWidth="1"/>
    <col min="6" max="6" width="16.8516" style="861" customWidth="1"/>
    <col min="7" max="7" width="1.35156" style="861" customWidth="1"/>
    <col min="8" max="8" width="16.5" style="861" customWidth="1"/>
    <col min="9" max="9" width="1.35156" style="861" customWidth="1"/>
    <col min="10" max="10" width="9.35156" style="861" customWidth="1"/>
    <col min="11" max="11" width="37.1719" style="861" customWidth="1"/>
    <col min="12" max="12" width="1.35156" style="861" customWidth="1"/>
    <col min="13" max="13" width="16.6719" style="861" customWidth="1"/>
    <col min="14" max="14" width="1.35156" style="861" customWidth="1"/>
    <col min="15" max="15" width="16.8516" style="861" customWidth="1"/>
    <col min="16" max="16" width="1.35156" style="861" customWidth="1"/>
    <col min="17" max="17" width="16.1719" style="861" customWidth="1"/>
    <col min="18" max="18" width="1.35156" style="861" customWidth="1"/>
    <col min="19" max="19" width="9.35156" style="861" customWidth="1"/>
    <col min="20" max="20" width="37.1719" style="861" customWidth="1"/>
    <col min="21" max="21" width="1.35156" style="861" customWidth="1"/>
    <col min="22" max="22" width="16.6719" style="861" customWidth="1"/>
    <col min="23" max="23" width="1.35156" style="861" customWidth="1"/>
    <col min="24" max="24" width="16.1719" style="861" customWidth="1"/>
    <col min="25" max="25" width="1.35156" style="861" customWidth="1"/>
    <col min="26" max="26" width="16.1719" style="861" customWidth="1"/>
    <col min="27" max="27" width="1.35156" style="861" customWidth="1"/>
    <col min="28" max="28" width="9.35156" style="861" customWidth="1"/>
    <col min="29" max="29" width="37.1719" style="861" customWidth="1"/>
    <col min="30" max="30" width="1.35156" style="861" customWidth="1"/>
    <col min="31" max="31" width="16.6719" style="861" customWidth="1"/>
    <col min="32" max="32" width="1.35156" style="861" customWidth="1"/>
    <col min="33" max="33" width="16.1719" style="861" customWidth="1"/>
    <col min="34" max="34" width="1.35156" style="861" customWidth="1"/>
    <col min="35" max="35" width="16.1719" style="861" customWidth="1"/>
    <col min="36" max="36" width="1.35156" style="861" customWidth="1"/>
    <col min="37" max="16384" width="8.85156" style="861" customWidth="1"/>
  </cols>
  <sheetData>
    <row r="1" ht="13" customHeight="1">
      <c r="A1" s="7"/>
      <c r="B1" s="8"/>
      <c r="C1" s="8"/>
      <c r="D1" s="8"/>
      <c r="E1" s="8"/>
      <c r="F1" s="8"/>
      <c r="G1" s="8"/>
      <c r="H1" s="8"/>
      <c r="I1" s="8"/>
      <c r="J1" s="9"/>
      <c r="K1" s="8"/>
      <c r="L1" s="8"/>
      <c r="M1" s="8"/>
      <c r="N1" s="8"/>
      <c r="O1" s="8"/>
      <c r="P1" s="8"/>
      <c r="Q1" s="8"/>
      <c r="R1" s="8"/>
      <c r="S1" s="9"/>
      <c r="T1" s="8"/>
      <c r="U1" s="8"/>
      <c r="V1" s="8"/>
      <c r="W1" s="8"/>
      <c r="X1" s="8"/>
      <c r="Y1" s="8"/>
      <c r="Z1" s="8"/>
      <c r="AA1" s="8"/>
      <c r="AB1" s="9"/>
      <c r="AC1" s="8"/>
      <c r="AD1" s="8"/>
      <c r="AE1" s="8"/>
      <c r="AF1" s="8"/>
      <c r="AG1" s="8"/>
      <c r="AH1" s="8"/>
      <c r="AI1" s="8"/>
      <c r="AJ1" s="246"/>
    </row>
    <row r="2" ht="28.25" customHeight="1">
      <c r="A2" s="12"/>
      <c r="B2" t="s" s="765">
        <v>649</v>
      </c>
      <c r="C2" s="766"/>
      <c r="D2" t="s" s="767">
        <v>650</v>
      </c>
      <c r="E2" s="768"/>
      <c r="F2" t="s" s="769">
        <v>651</v>
      </c>
      <c r="G2" s="770"/>
      <c r="H2" t="s" s="767">
        <v>652</v>
      </c>
      <c r="I2" s="771"/>
      <c r="J2" s="71"/>
      <c r="K2" t="s" s="765">
        <v>653</v>
      </c>
      <c r="L2" s="766"/>
      <c r="M2" t="s" s="767">
        <v>650</v>
      </c>
      <c r="N2" s="768"/>
      <c r="O2" t="s" s="769">
        <v>651</v>
      </c>
      <c r="P2" s="770"/>
      <c r="Q2" t="s" s="767">
        <v>652</v>
      </c>
      <c r="R2" s="771"/>
      <c r="S2" s="71"/>
      <c r="T2" t="s" s="765">
        <v>654</v>
      </c>
      <c r="U2" s="766"/>
      <c r="V2" t="s" s="767">
        <v>650</v>
      </c>
      <c r="W2" s="768"/>
      <c r="X2" t="s" s="769">
        <v>651</v>
      </c>
      <c r="Y2" s="770"/>
      <c r="Z2" t="s" s="767">
        <v>652</v>
      </c>
      <c r="AA2" s="771"/>
      <c r="AB2" s="71"/>
      <c r="AC2" t="s" s="765">
        <v>655</v>
      </c>
      <c r="AD2" s="766"/>
      <c r="AE2" t="s" s="767">
        <v>650</v>
      </c>
      <c r="AF2" s="768"/>
      <c r="AG2" t="s" s="769">
        <v>651</v>
      </c>
      <c r="AH2" s="770"/>
      <c r="AI2" t="s" s="767">
        <v>652</v>
      </c>
      <c r="AJ2" s="771"/>
    </row>
    <row r="3" ht="13" customHeight="1">
      <c r="A3" s="12"/>
      <c r="B3" t="s" s="772">
        <v>656</v>
      </c>
      <c r="C3" s="773"/>
      <c r="D3" s="774" cm="1">
        <f t="array" ref="D3">'Project Eldorado ROI in IDR'!D3</f>
        <v>0.8</v>
      </c>
      <c r="E3" s="774" cm="1">
        <f t="array" ref="E3">'Project Eldorado ROI in IDR'!E3</f>
        <v>0</v>
      </c>
      <c r="F3" s="775" cm="1">
        <f t="array" ref="F3">'Project Eldorado ROI in IDR'!F3</f>
        <v>0.9</v>
      </c>
      <c r="G3" s="775" cm="1">
        <f t="array" ref="G3">'Project Eldorado ROI in IDR'!G3</f>
        <v>0</v>
      </c>
      <c r="H3" s="774" cm="1">
        <f t="array" ref="H3">'Project Eldorado ROI in IDR'!H3</f>
        <v>0.7</v>
      </c>
      <c r="I3" s="776"/>
      <c r="J3" s="71"/>
      <c r="K3" t="s" s="772">
        <v>656</v>
      </c>
      <c r="L3" s="773"/>
      <c r="M3" s="774" cm="1">
        <f t="array" ref="M3">'Project Eldorado ROI in IDR'!M3</f>
        <v>0.8</v>
      </c>
      <c r="N3" s="774" cm="1">
        <f t="array" ref="N3">'Project Eldorado ROI in IDR'!N3</f>
        <v>0</v>
      </c>
      <c r="O3" s="775" cm="1">
        <f t="array" ref="O3">'Project Eldorado ROI in IDR'!O3</f>
        <v>0.9</v>
      </c>
      <c r="P3" s="775" cm="1">
        <f t="array" ref="P3">'Project Eldorado ROI in IDR'!P3</f>
        <v>0</v>
      </c>
      <c r="Q3" s="774" cm="1">
        <f t="array" ref="Q3">'Project Eldorado ROI in IDR'!Q3</f>
        <v>0.7</v>
      </c>
      <c r="R3" s="776"/>
      <c r="S3" s="71"/>
      <c r="T3" t="s" s="772">
        <v>656</v>
      </c>
      <c r="U3" s="773"/>
      <c r="V3" s="774" cm="1">
        <f t="array" ref="V3">'Project Eldorado ROI in IDR'!V3</f>
        <v>0.8</v>
      </c>
      <c r="W3" s="774" cm="1">
        <f t="array" ref="W3">'Project Eldorado ROI in IDR'!W3</f>
        <v>0</v>
      </c>
      <c r="X3" s="775" cm="1">
        <f t="array" ref="X3">'Project Eldorado ROI in IDR'!X3</f>
        <v>0.9</v>
      </c>
      <c r="Y3" s="775" cm="1">
        <f t="array" ref="Y3">'Project Eldorado ROI in IDR'!Y3</f>
        <v>0</v>
      </c>
      <c r="Z3" s="774" cm="1">
        <f t="array" ref="Z3">'Project Eldorado ROI in IDR'!Z3</f>
        <v>0.7</v>
      </c>
      <c r="AA3" s="776"/>
      <c r="AB3" s="71"/>
      <c r="AC3" t="s" s="772">
        <v>656</v>
      </c>
      <c r="AD3" s="773"/>
      <c r="AE3" s="774" cm="1">
        <f t="array" ref="AE3">'Project Eldorado ROI in IDR'!AE3</f>
        <v>0.8</v>
      </c>
      <c r="AF3" s="774" cm="1">
        <f t="array" ref="AF3">'Project Eldorado ROI in IDR'!AF3</f>
        <v>0</v>
      </c>
      <c r="AG3" s="775" cm="1">
        <f t="array" ref="AG3">'Project Eldorado ROI in IDR'!AG3</f>
        <v>0.9</v>
      </c>
      <c r="AH3" s="775" cm="1">
        <f t="array" ref="AH3">'Project Eldorado ROI in IDR'!AH3</f>
        <v>0</v>
      </c>
      <c r="AI3" s="774" cm="1">
        <f t="array" ref="AI3">'Project Eldorado ROI in IDR'!AI3</f>
        <v>0.7</v>
      </c>
      <c r="AJ3" s="776"/>
    </row>
    <row r="4" ht="13" customHeight="1">
      <c r="A4" s="12"/>
      <c r="B4" t="s" s="221">
        <v>657</v>
      </c>
      <c r="C4" s="204"/>
      <c r="D4" s="777" cm="1">
        <f t="array" ref="D4">'Project Eldorado ROI in IDR'!D4</f>
        <v>0.9</v>
      </c>
      <c r="E4" s="777" cm="1">
        <f t="array" ref="E4">'Project Eldorado ROI in IDR'!E4</f>
        <v>0</v>
      </c>
      <c r="F4" s="778" cm="1">
        <f t="array" ref="F4">'Project Eldorado ROI in IDR'!F4</f>
        <v>0.9</v>
      </c>
      <c r="G4" s="778" cm="1">
        <f t="array" ref="G4">'Project Eldorado ROI in IDR'!G4</f>
        <v>0</v>
      </c>
      <c r="H4" s="777" cm="1">
        <f t="array" ref="H4">'Project Eldorado ROI in IDR'!H4</f>
        <v>0.9</v>
      </c>
      <c r="I4" s="205"/>
      <c r="J4" s="71"/>
      <c r="K4" t="s" s="221">
        <v>657</v>
      </c>
      <c r="L4" s="204"/>
      <c r="M4" s="777" cm="1">
        <f t="array" ref="M4">'Project Eldorado ROI in IDR'!M4</f>
        <v>0.9</v>
      </c>
      <c r="N4" s="777" cm="1">
        <f t="array" ref="N4">'Project Eldorado ROI in IDR'!N4</f>
        <v>0</v>
      </c>
      <c r="O4" s="778" cm="1">
        <f t="array" ref="O4">'Project Eldorado ROI in IDR'!O4</f>
        <v>0.9</v>
      </c>
      <c r="P4" s="778" cm="1">
        <f t="array" ref="P4">'Project Eldorado ROI in IDR'!P4</f>
        <v>0</v>
      </c>
      <c r="Q4" s="777" cm="1">
        <f t="array" ref="Q4">'Project Eldorado ROI in IDR'!Q4</f>
        <v>0.9</v>
      </c>
      <c r="R4" s="205"/>
      <c r="S4" s="71"/>
      <c r="T4" t="s" s="221">
        <v>657</v>
      </c>
      <c r="U4" s="204"/>
      <c r="V4" s="777" cm="1">
        <f t="array" ref="V4">'Project Eldorado ROI in IDR'!V4</f>
        <v>0.9</v>
      </c>
      <c r="W4" s="777" cm="1">
        <f t="array" ref="W4">'Project Eldorado ROI in IDR'!W4</f>
        <v>0</v>
      </c>
      <c r="X4" s="778" cm="1">
        <f t="array" ref="X4">'Project Eldorado ROI in IDR'!X4</f>
        <v>0.9</v>
      </c>
      <c r="Y4" s="778" cm="1">
        <f t="array" ref="Y4">'Project Eldorado ROI in IDR'!Y4</f>
        <v>0</v>
      </c>
      <c r="Z4" s="777" cm="1">
        <f t="array" ref="Z4">'Project Eldorado ROI in IDR'!Z4</f>
        <v>0.9</v>
      </c>
      <c r="AA4" s="205"/>
      <c r="AB4" s="71"/>
      <c r="AC4" t="s" s="221">
        <v>657</v>
      </c>
      <c r="AD4" s="204"/>
      <c r="AE4" s="777" cm="1">
        <f t="array" ref="AE4">'Project Eldorado ROI in IDR'!AE4</f>
        <v>0.9</v>
      </c>
      <c r="AF4" s="777" cm="1">
        <f t="array" ref="AF4">'Project Eldorado ROI in IDR'!AF4</f>
        <v>0</v>
      </c>
      <c r="AG4" s="778" cm="1">
        <f t="array" ref="AG4">'Project Eldorado ROI in IDR'!AG4</f>
        <v>0.9</v>
      </c>
      <c r="AH4" s="778" cm="1">
        <f t="array" ref="AH4">'Project Eldorado ROI in IDR'!AH4</f>
        <v>0</v>
      </c>
      <c r="AI4" s="777" cm="1">
        <f t="array" ref="AI4">'Project Eldorado ROI in IDR'!AI4</f>
        <v>0.9</v>
      </c>
      <c r="AJ4" s="205"/>
    </row>
    <row r="5" ht="13" customHeight="1">
      <c r="A5" s="12"/>
      <c r="B5" t="s" s="221">
        <v>658</v>
      </c>
      <c r="C5" s="204"/>
      <c r="D5" s="779" cm="1">
        <f t="array" ref="D5">'Project Eldorado ROI in IDR'!D5</f>
        <v>13</v>
      </c>
      <c r="E5" s="779" cm="1">
        <f t="array" ref="E5">'Project Eldorado ROI in IDR'!E5</f>
        <v>0</v>
      </c>
      <c r="F5" s="779" cm="1">
        <f t="array" ref="F5">'Project Eldorado ROI in IDR'!F5</f>
        <v>13</v>
      </c>
      <c r="G5" s="862" cm="1">
        <f t="array" ref="G5">'Project Eldorado ROI in IDR'!G5</f>
        <v>0</v>
      </c>
      <c r="H5" s="779" cm="1">
        <f t="array" ref="H5">'Project Eldorado ROI in IDR'!H5</f>
        <v>13</v>
      </c>
      <c r="I5" s="205"/>
      <c r="J5" s="71"/>
      <c r="K5" t="s" s="221">
        <v>658</v>
      </c>
      <c r="L5" s="204"/>
      <c r="M5" s="779" cm="1">
        <f t="array" ref="M5">'Project Eldorado ROI in IDR'!M5</f>
        <v>13</v>
      </c>
      <c r="N5" s="779" cm="1">
        <f t="array" ref="N5">'Project Eldorado ROI in IDR'!N5</f>
        <v>0</v>
      </c>
      <c r="O5" s="779" cm="1">
        <f t="array" ref="O5">'Project Eldorado ROI in IDR'!O5</f>
        <v>13</v>
      </c>
      <c r="P5" s="862" cm="1">
        <f t="array" ref="P5">'Project Eldorado ROI in IDR'!P5</f>
        <v>0</v>
      </c>
      <c r="Q5" s="779" cm="1">
        <f t="array" ref="Q5">'Project Eldorado ROI in IDR'!Q5</f>
        <v>13</v>
      </c>
      <c r="R5" s="205"/>
      <c r="S5" s="71"/>
      <c r="T5" t="s" s="221">
        <v>658</v>
      </c>
      <c r="U5" s="204"/>
      <c r="V5" s="779" cm="1">
        <f t="array" ref="V5">'Project Eldorado ROI in IDR'!V5</f>
        <v>13</v>
      </c>
      <c r="W5" s="779" cm="1">
        <f t="array" ref="W5">'Project Eldorado ROI in IDR'!W5</f>
        <v>0</v>
      </c>
      <c r="X5" s="779" cm="1">
        <f t="array" ref="X5">'Project Eldorado ROI in IDR'!X5</f>
        <v>13</v>
      </c>
      <c r="Y5" s="862" cm="1">
        <f t="array" ref="Y5">'Project Eldorado ROI in IDR'!Y5</f>
        <v>0</v>
      </c>
      <c r="Z5" s="779" cm="1">
        <f t="array" ref="Z5">'Project Eldorado ROI in IDR'!Z5</f>
        <v>13</v>
      </c>
      <c r="AA5" s="205"/>
      <c r="AB5" s="71"/>
      <c r="AC5" t="s" s="221">
        <v>658</v>
      </c>
      <c r="AD5" s="204"/>
      <c r="AE5" s="779" cm="1">
        <f t="array" ref="AE5">'Project Eldorado ROI in IDR'!AE5</f>
        <v>13</v>
      </c>
      <c r="AF5" s="779" cm="1">
        <f t="array" ref="AF5">'Project Eldorado ROI in IDR'!AF5</f>
        <v>0</v>
      </c>
      <c r="AG5" s="779" cm="1">
        <f t="array" ref="AG5">'Project Eldorado ROI in IDR'!AG5</f>
        <v>13</v>
      </c>
      <c r="AH5" s="862" cm="1">
        <f t="array" ref="AH5">'Project Eldorado ROI in IDR'!AH5</f>
        <v>0</v>
      </c>
      <c r="AI5" s="779" cm="1">
        <f t="array" ref="AI5">'Project Eldorado ROI in IDR'!AI5</f>
        <v>13</v>
      </c>
      <c r="AJ5" s="205"/>
    </row>
    <row r="6" ht="13" customHeight="1">
      <c r="A6" s="12"/>
      <c r="B6" t="s" s="221">
        <v>659</v>
      </c>
      <c r="C6" s="204"/>
      <c r="D6" s="782" cm="1">
        <f t="array" ref="D6">'Project Eldorado ROI in IDR'!D6</f>
        <v>350</v>
      </c>
      <c r="E6" s="783" cm="1">
        <f t="array" ref="E6">'Project Eldorado ROI in IDR'!E6</f>
        <v>0</v>
      </c>
      <c r="F6" s="783" cm="1">
        <f t="array" ref="F6">'Project Eldorado ROI in IDR'!F6</f>
        <v>350</v>
      </c>
      <c r="G6" s="783" cm="1">
        <f t="array" ref="G6">'Project Eldorado ROI in IDR'!G6</f>
        <v>0</v>
      </c>
      <c r="H6" s="782" cm="1">
        <f t="array" ref="H6">'Project Eldorado ROI in IDR'!H6</f>
        <v>350</v>
      </c>
      <c r="I6" s="209"/>
      <c r="J6" s="71"/>
      <c r="K6" t="s" s="221">
        <v>659</v>
      </c>
      <c r="L6" s="204"/>
      <c r="M6" s="782" cm="1">
        <f t="array" ref="M6">'Project Eldorado ROI in IDR'!M6</f>
        <v>350</v>
      </c>
      <c r="N6" s="783" cm="1">
        <f t="array" ref="N6">'Project Eldorado ROI in IDR'!N6</f>
        <v>0</v>
      </c>
      <c r="O6" s="783" cm="1">
        <f t="array" ref="O6">'Project Eldorado ROI in IDR'!O6</f>
        <v>350</v>
      </c>
      <c r="P6" s="783" cm="1">
        <f t="array" ref="P6">'Project Eldorado ROI in IDR'!P6</f>
        <v>0</v>
      </c>
      <c r="Q6" s="782" cm="1">
        <f t="array" ref="Q6">'Project Eldorado ROI in IDR'!Q6</f>
        <v>350</v>
      </c>
      <c r="R6" s="209"/>
      <c r="S6" s="71"/>
      <c r="T6" t="s" s="221">
        <v>659</v>
      </c>
      <c r="U6" s="204"/>
      <c r="V6" s="782" cm="1">
        <f t="array" ref="V6">'Project Eldorado ROI in IDR'!V6</f>
        <v>350</v>
      </c>
      <c r="W6" s="783" cm="1">
        <f t="array" ref="W6">'Project Eldorado ROI in IDR'!W6</f>
        <v>0</v>
      </c>
      <c r="X6" s="783" cm="1">
        <f t="array" ref="X6">'Project Eldorado ROI in IDR'!X6</f>
        <v>350</v>
      </c>
      <c r="Y6" s="783" cm="1">
        <f t="array" ref="Y6">'Project Eldorado ROI in IDR'!Y6</f>
        <v>0</v>
      </c>
      <c r="Z6" s="782" cm="1">
        <f t="array" ref="Z6">'Project Eldorado ROI in IDR'!Z6</f>
        <v>350</v>
      </c>
      <c r="AA6" s="209"/>
      <c r="AB6" s="71"/>
      <c r="AC6" t="s" s="221">
        <v>659</v>
      </c>
      <c r="AD6" s="204"/>
      <c r="AE6" s="782" cm="1">
        <f t="array" ref="AE6">'Project Eldorado ROI in IDR'!AE6</f>
        <v>350</v>
      </c>
      <c r="AF6" s="783" cm="1">
        <f t="array" ref="AF6">'Project Eldorado ROI in IDR'!AF6</f>
        <v>0</v>
      </c>
      <c r="AG6" s="783" cm="1">
        <f t="array" ref="AG6">'Project Eldorado ROI in IDR'!AG6</f>
        <v>350</v>
      </c>
      <c r="AH6" s="783" cm="1">
        <f t="array" ref="AH6">'Project Eldorado ROI in IDR'!AH6</f>
        <v>0</v>
      </c>
      <c r="AI6" s="782" cm="1">
        <f t="array" ref="AI6">'Project Eldorado ROI in IDR'!AI6</f>
        <v>350</v>
      </c>
      <c r="AJ6" s="209"/>
    </row>
    <row r="7" ht="13" customHeight="1">
      <c r="A7" s="12"/>
      <c r="B7" t="s" s="221">
        <v>660</v>
      </c>
      <c r="C7" s="204"/>
      <c r="D7" s="784" cm="1">
        <f t="array" ref="D7">'Project Eldorado ROI in IDR'!D7</f>
        <v>3276</v>
      </c>
      <c r="E7" s="779" cm="1">
        <f t="array" ref="E7">'Project Eldorado ROI in IDR'!E7</f>
        <v>0</v>
      </c>
      <c r="F7" s="785" cm="1">
        <f t="array" ref="F7">'Project Eldorado ROI in IDR'!F7</f>
        <v>3685.5</v>
      </c>
      <c r="G7" s="862" cm="1">
        <f t="array" ref="G7">'Project Eldorado ROI in IDR'!G7</f>
        <v>0</v>
      </c>
      <c r="H7" s="784" cm="1">
        <f t="array" ref="H7">'Project Eldorado ROI in IDR'!H7</f>
        <v>2866.5</v>
      </c>
      <c r="I7" s="205"/>
      <c r="J7" s="71"/>
      <c r="K7" t="s" s="221">
        <v>660</v>
      </c>
      <c r="L7" s="204"/>
      <c r="M7" s="784" cm="1">
        <f t="array" ref="M7">'Project Eldorado ROI in IDR'!M7</f>
        <v>3276</v>
      </c>
      <c r="N7" s="779" cm="1">
        <f t="array" ref="N7">'Project Eldorado ROI in IDR'!N7</f>
        <v>0</v>
      </c>
      <c r="O7" s="785" cm="1">
        <f t="array" ref="O7">'Project Eldorado ROI in IDR'!O7</f>
        <v>3685.5</v>
      </c>
      <c r="P7" s="862" cm="1">
        <f t="array" ref="P7">'Project Eldorado ROI in IDR'!P7</f>
        <v>0</v>
      </c>
      <c r="Q7" s="784" cm="1">
        <f t="array" ref="Q7">'Project Eldorado ROI in IDR'!Q7</f>
        <v>2866.5</v>
      </c>
      <c r="R7" s="205"/>
      <c r="S7" s="71"/>
      <c r="T7" t="s" s="221">
        <v>660</v>
      </c>
      <c r="U7" s="204"/>
      <c r="V7" s="784" cm="1">
        <f t="array" ref="V7">'Project Eldorado ROI in IDR'!V7</f>
        <v>3276</v>
      </c>
      <c r="W7" s="779" cm="1">
        <f t="array" ref="W7">'Project Eldorado ROI in IDR'!W7</f>
        <v>0</v>
      </c>
      <c r="X7" s="785" cm="1">
        <f t="array" ref="X7">'Project Eldorado ROI in IDR'!X7</f>
        <v>3685.5</v>
      </c>
      <c r="Y7" s="862" cm="1">
        <f t="array" ref="Y7">'Project Eldorado ROI in IDR'!Y7</f>
        <v>0</v>
      </c>
      <c r="Z7" s="784" cm="1">
        <f t="array" ref="Z7">'Project Eldorado ROI in IDR'!Z7</f>
        <v>2866.5</v>
      </c>
      <c r="AA7" s="205"/>
      <c r="AB7" s="71"/>
      <c r="AC7" t="s" s="221">
        <v>660</v>
      </c>
      <c r="AD7" s="204"/>
      <c r="AE7" s="784" cm="1">
        <f t="array" ref="AE7">'Project Eldorado ROI in IDR'!AE7</f>
        <v>3276</v>
      </c>
      <c r="AF7" s="779" cm="1">
        <f t="array" ref="AF7">'Project Eldorado ROI in IDR'!AF7</f>
        <v>0</v>
      </c>
      <c r="AG7" s="785" cm="1">
        <f t="array" ref="AG7">'Project Eldorado ROI in IDR'!AG7</f>
        <v>3685.5</v>
      </c>
      <c r="AH7" s="862" cm="1">
        <f t="array" ref="AH7">'Project Eldorado ROI in IDR'!AH7</f>
        <v>0</v>
      </c>
      <c r="AI7" s="784" cm="1">
        <f t="array" ref="AI7">'Project Eldorado ROI in IDR'!AI7</f>
        <v>2866.5</v>
      </c>
      <c r="AJ7" s="205"/>
    </row>
    <row r="8" ht="14" customHeight="1">
      <c r="A8" s="12"/>
      <c r="B8" t="s" s="221">
        <v>661</v>
      </c>
      <c r="C8" s="204"/>
      <c r="D8" s="863" cm="1">
        <f t="array" ref="D8">'Project Eldorado ROI in IDR'!D8/16000</f>
        <v>112.5</v>
      </c>
      <c r="E8" s="864" cm="1">
        <f t="array" ref="E8">'Project Eldorado ROI in IDR'!E8/16000</f>
        <v>0</v>
      </c>
      <c r="F8" s="863" cm="1">
        <f t="array" ref="F8">'Project Eldorado ROI in IDR'!F8/16000</f>
        <v>115.625</v>
      </c>
      <c r="G8" s="864" cm="1">
        <f t="array" ref="G8">'Project Eldorado ROI in IDR'!G8/16000</f>
        <v>0</v>
      </c>
      <c r="H8" s="863" cm="1">
        <f t="array" ref="H8">'Project Eldorado ROI in IDR'!H8/16000</f>
        <v>110.9375</v>
      </c>
      <c r="I8" s="213"/>
      <c r="J8" s="71"/>
      <c r="K8" t="s" s="221">
        <v>661</v>
      </c>
      <c r="L8" s="204"/>
      <c r="M8" s="863" cm="1">
        <f t="array" ref="M8">'Project Eldorado ROI in IDR'!M8/16000</f>
        <v>110.9375</v>
      </c>
      <c r="N8" s="864" cm="1">
        <f t="array" ref="N8">'Project Eldorado ROI in IDR'!N8/16000</f>
        <v>0</v>
      </c>
      <c r="O8" s="863" cm="1">
        <f t="array" ref="O8">'Project Eldorado ROI in IDR'!O8/16000</f>
        <v>114.0625</v>
      </c>
      <c r="P8" s="864" cm="1">
        <f t="array" ref="P8">'Project Eldorado ROI in IDR'!P8/16000</f>
        <v>0</v>
      </c>
      <c r="Q8" s="863" cm="1">
        <f t="array" ref="Q8">'Project Eldorado ROI in IDR'!Q8/16000</f>
        <v>107.8125</v>
      </c>
      <c r="R8" s="213"/>
      <c r="S8" s="71"/>
      <c r="T8" t="s" s="221">
        <v>661</v>
      </c>
      <c r="U8" s="204"/>
      <c r="V8" s="863" cm="1">
        <f t="array" ref="V8">'Project Eldorado ROI in IDR'!V8/16000</f>
        <v>110.9375</v>
      </c>
      <c r="W8" s="864" cm="1">
        <f t="array" ref="W8">'Project Eldorado ROI in IDR'!W8/16000</f>
        <v>0</v>
      </c>
      <c r="X8" s="863" cm="1">
        <f t="array" ref="X8">'Project Eldorado ROI in IDR'!X8/16000</f>
        <v>114.0625</v>
      </c>
      <c r="Y8" s="864" cm="1">
        <f t="array" ref="Y8">'Project Eldorado ROI in IDR'!Y8/16000</f>
        <v>0</v>
      </c>
      <c r="Z8" s="863" cm="1">
        <f t="array" ref="Z8">'Project Eldorado ROI in IDR'!Z8/16000</f>
        <v>107.8125</v>
      </c>
      <c r="AA8" s="213"/>
      <c r="AB8" s="71"/>
      <c r="AC8" t="s" s="221">
        <v>661</v>
      </c>
      <c r="AD8" s="204"/>
      <c r="AE8" s="863" cm="1">
        <f t="array" ref="AE8">'Project Eldorado ROI in IDR'!AE8/16000</f>
        <v>110.9375</v>
      </c>
      <c r="AF8" s="864" cm="1">
        <f t="array" ref="AF8">'Project Eldorado ROI in IDR'!AF8/16000</f>
        <v>0</v>
      </c>
      <c r="AG8" s="863" cm="1">
        <f t="array" ref="AG8">'Project Eldorado ROI in IDR'!AG8/16000</f>
        <v>114.0625</v>
      </c>
      <c r="AH8" s="864" cm="1">
        <f t="array" ref="AH8">'Project Eldorado ROI in IDR'!AH8/16000</f>
        <v>0</v>
      </c>
      <c r="AI8" s="863" cm="1">
        <f t="array" ref="AI8">'Project Eldorado ROI in IDR'!AI8/16000</f>
        <v>107.8125</v>
      </c>
      <c r="AJ8" s="213"/>
    </row>
    <row r="9" ht="14" customHeight="1">
      <c r="A9" s="12"/>
      <c r="B9" t="s" s="221">
        <v>662</v>
      </c>
      <c r="C9" s="788"/>
      <c r="D9" s="865" cm="1">
        <f t="array" ref="D9">'Project Eldorado ROI in IDR'!D9/16000</f>
        <v>368550</v>
      </c>
      <c r="E9" s="866" cm="1">
        <f t="array" ref="E9">'Project Eldorado ROI in IDR'!E9/16000</f>
        <v>0</v>
      </c>
      <c r="F9" s="865" cm="1">
        <f t="array" ref="F9">'Project Eldorado ROI in IDR'!F9/16000</f>
        <v>426135.9375</v>
      </c>
      <c r="G9" s="864" cm="1">
        <f t="array" ref="G9">'Project Eldorado ROI in IDR'!G9/16000</f>
        <v>0</v>
      </c>
      <c r="H9" s="865" cm="1">
        <f t="array" ref="H9">'Project Eldorado ROI in IDR'!H9/16000</f>
        <v>318002.34375</v>
      </c>
      <c r="I9" s="213"/>
      <c r="J9" s="71"/>
      <c r="K9" t="s" s="221">
        <v>662</v>
      </c>
      <c r="L9" s="788"/>
      <c r="M9" s="865" cm="1">
        <f t="array" ref="M9">'Project Eldorado ROI in IDR'!M9/16000</f>
        <v>363431.25</v>
      </c>
      <c r="N9" s="866" cm="1">
        <f t="array" ref="N9">'Project Eldorado ROI in IDR'!N9/16000</f>
        <v>0</v>
      </c>
      <c r="O9" s="865" cm="1">
        <f t="array" ref="O9">'Project Eldorado ROI in IDR'!O9/16000</f>
        <v>420377.34375</v>
      </c>
      <c r="P9" s="864" cm="1">
        <f t="array" ref="P9">'Project Eldorado ROI in IDR'!P9/16000</f>
        <v>0</v>
      </c>
      <c r="Q9" s="865" cm="1">
        <f t="array" ref="Q9">'Project Eldorado ROI in IDR'!Q9/16000</f>
        <v>309044.53125</v>
      </c>
      <c r="R9" s="213"/>
      <c r="S9" s="71"/>
      <c r="T9" t="s" s="221">
        <v>662</v>
      </c>
      <c r="U9" s="788"/>
      <c r="V9" s="865" cm="1">
        <f t="array" ref="V9">'Project Eldorado ROI in IDR'!V9/16000</f>
        <v>363431.25</v>
      </c>
      <c r="W9" s="866" cm="1">
        <f t="array" ref="W9">'Project Eldorado ROI in IDR'!W9/16000</f>
        <v>0</v>
      </c>
      <c r="X9" s="865" cm="1">
        <f t="array" ref="X9">'Project Eldorado ROI in IDR'!X9/16000</f>
        <v>420377.34375</v>
      </c>
      <c r="Y9" s="864" cm="1">
        <f t="array" ref="Y9">'Project Eldorado ROI in IDR'!Y9/16000</f>
        <v>0</v>
      </c>
      <c r="Z9" s="865" cm="1">
        <f t="array" ref="Z9">'Project Eldorado ROI in IDR'!Z9/16000</f>
        <v>309044.53125</v>
      </c>
      <c r="AA9" s="213"/>
      <c r="AB9" s="71"/>
      <c r="AC9" t="s" s="221">
        <v>662</v>
      </c>
      <c r="AD9" s="788"/>
      <c r="AE9" s="865" cm="1">
        <f t="array" ref="AE9">'Project Eldorado ROI in IDR'!AE9/16000</f>
        <v>363431.25</v>
      </c>
      <c r="AF9" s="866" cm="1">
        <f t="array" ref="AF9">'Project Eldorado ROI in IDR'!AF9/16000</f>
        <v>0</v>
      </c>
      <c r="AG9" s="865" cm="1">
        <f t="array" ref="AG9">'Project Eldorado ROI in IDR'!AG9/16000</f>
        <v>420377.34375</v>
      </c>
      <c r="AH9" s="864" cm="1">
        <f t="array" ref="AH9">'Project Eldorado ROI in IDR'!AH9/16000</f>
        <v>0</v>
      </c>
      <c r="AI9" s="865" cm="1">
        <f t="array" ref="AI9">'Project Eldorado ROI in IDR'!AI9/16000</f>
        <v>309044.53125</v>
      </c>
      <c r="AJ9" s="213"/>
    </row>
    <row r="10" ht="14" customHeight="1">
      <c r="A10" s="12"/>
      <c r="B10" t="s" s="216">
        <v>663</v>
      </c>
      <c r="C10" s="788"/>
      <c r="D10" s="780"/>
      <c r="E10" s="780"/>
      <c r="F10" s="780"/>
      <c r="G10" s="781"/>
      <c r="H10" s="780"/>
      <c r="I10" s="213"/>
      <c r="J10" s="71"/>
      <c r="K10" t="s" s="216">
        <v>663</v>
      </c>
      <c r="L10" s="788"/>
      <c r="M10" s="780"/>
      <c r="N10" s="780"/>
      <c r="O10" s="780"/>
      <c r="P10" s="781"/>
      <c r="Q10" s="780"/>
      <c r="R10" s="213"/>
      <c r="S10" s="71"/>
      <c r="T10" t="s" s="216">
        <v>663</v>
      </c>
      <c r="U10" s="788"/>
      <c r="V10" s="780"/>
      <c r="W10" s="780"/>
      <c r="X10" s="780"/>
      <c r="Y10" s="781"/>
      <c r="Z10" s="780"/>
      <c r="AA10" s="213"/>
      <c r="AB10" s="71"/>
      <c r="AC10" t="s" s="216">
        <v>663</v>
      </c>
      <c r="AD10" s="788"/>
      <c r="AE10" s="780"/>
      <c r="AF10" s="780"/>
      <c r="AG10" s="780"/>
      <c r="AH10" s="781"/>
      <c r="AI10" s="780"/>
      <c r="AJ10" s="213"/>
    </row>
    <row r="11" ht="14" customHeight="1">
      <c r="A11" s="12"/>
      <c r="B11" t="str" s="792" cm="1">
        <f t="array" ref="B11">'Shared Boats 2026 Target'!$E$257</f>
        <v>Guides Salary &amp; Tax</v>
      </c>
      <c r="C11" s="788"/>
      <c r="D11" s="867" cm="1">
        <f t="array" ref="D11">'Project Eldorado ROI in IDR'!D11/16000</f>
        <v>-30642.5</v>
      </c>
      <c r="E11" s="867" cm="1">
        <f t="array" ref="E11">'Project Eldorado ROI in IDR'!E11/16000</f>
        <v>0</v>
      </c>
      <c r="F11" s="867" cm="1">
        <f t="array" ref="F11">'Project Eldorado ROI in IDR'!F11/16000</f>
        <v>-34472.8125</v>
      </c>
      <c r="G11" s="864" cm="1">
        <f t="array" ref="G11">'Project Eldorado ROI in IDR'!G11/16000</f>
        <v>0</v>
      </c>
      <c r="H11" s="867" cm="1">
        <f t="array" ref="H11">'Project Eldorado ROI in IDR'!H11/16000</f>
        <v>-26812.1875</v>
      </c>
      <c r="I11" s="213"/>
      <c r="J11" s="71"/>
      <c r="K11" t="str" s="792" cm="1">
        <f t="array" ref="K11">'Shared Boats 2026 Target'!$E$257</f>
        <v>Guides Salary &amp; Tax</v>
      </c>
      <c r="L11" s="788"/>
      <c r="M11" s="867" cm="1">
        <f t="array" ref="M11">'Project Eldorado ROI in IDR'!M11/16000</f>
        <v>-30642.5</v>
      </c>
      <c r="N11" s="867" cm="1">
        <f t="array" ref="N11">'Project Eldorado ROI in IDR'!N11/16000</f>
        <v>0</v>
      </c>
      <c r="O11" s="867" cm="1">
        <f t="array" ref="O11">'Project Eldorado ROI in IDR'!O11/16000</f>
        <v>-34472.8125</v>
      </c>
      <c r="P11" s="864" cm="1">
        <f t="array" ref="P11">'Project Eldorado ROI in IDR'!P11/16000</f>
        <v>0</v>
      </c>
      <c r="Q11" s="867" cm="1">
        <f t="array" ref="Q11">'Project Eldorado ROI in IDR'!Q11/16000</f>
        <v>-26812.1875</v>
      </c>
      <c r="R11" s="213"/>
      <c r="S11" s="71"/>
      <c r="T11" t="str" s="792" cm="1">
        <f t="array" ref="T11">'Shared Boats 2026 Target'!$E$257</f>
        <v>Guides Salary &amp; Tax</v>
      </c>
      <c r="U11" s="788"/>
      <c r="V11" s="867" cm="1">
        <f t="array" ref="V11">'Project Eldorado ROI in IDR'!V11/16000</f>
        <v>-30642.5</v>
      </c>
      <c r="W11" s="867" cm="1">
        <f t="array" ref="W11">'Project Eldorado ROI in IDR'!W11/16000</f>
        <v>0</v>
      </c>
      <c r="X11" s="867" cm="1">
        <f t="array" ref="X11">'Project Eldorado ROI in IDR'!X11/16000</f>
        <v>-34472.8125</v>
      </c>
      <c r="Y11" s="864" cm="1">
        <f t="array" ref="Y11">'Project Eldorado ROI in IDR'!Y11/16000</f>
        <v>0</v>
      </c>
      <c r="Z11" s="867" cm="1">
        <f t="array" ref="Z11">'Project Eldorado ROI in IDR'!Z11/16000</f>
        <v>-26812.1875</v>
      </c>
      <c r="AA11" s="213"/>
      <c r="AB11" s="71"/>
      <c r="AC11" t="str" s="792" cm="1">
        <f t="array" ref="AC11">'Shared Boats 2026 Target'!$E$257</f>
        <v>Guides Salary &amp; Tax</v>
      </c>
      <c r="AD11" s="788"/>
      <c r="AE11" s="867" cm="1">
        <f t="array" ref="AE11">'Project Eldorado ROI in IDR'!AE11/16000</f>
        <v>-30642.5</v>
      </c>
      <c r="AF11" s="867" cm="1">
        <f t="array" ref="AF11">'Project Eldorado ROI in IDR'!AF11/16000</f>
        <v>0</v>
      </c>
      <c r="AG11" s="867" cm="1">
        <f t="array" ref="AG11">'Project Eldorado ROI in IDR'!AG11/16000</f>
        <v>-34472.8125</v>
      </c>
      <c r="AH11" s="864" cm="1">
        <f t="array" ref="AH11">'Project Eldorado ROI in IDR'!AH11/16000</f>
        <v>0</v>
      </c>
      <c r="AI11" s="867" cm="1">
        <f t="array" ref="AI11">'Project Eldorado ROI in IDR'!AI11/16000</f>
        <v>-26812.1875</v>
      </c>
      <c r="AJ11" s="213"/>
    </row>
    <row r="12" ht="14" customHeight="1">
      <c r="A12" s="12"/>
      <c r="B12" t="str" s="792" cm="1">
        <f t="array" ref="B12">'Shared Boats 2026 Target'!$F$257</f>
        <v>Towels</v>
      </c>
      <c r="C12" s="788"/>
      <c r="D12" s="867" cm="1">
        <f t="array" ref="D12">'Project Eldorado ROI in IDR'!D12/16000</f>
        <v>-1155</v>
      </c>
      <c r="E12" s="867" cm="1">
        <f t="array" ref="E12">'Project Eldorado ROI in IDR'!E12/16000</f>
        <v>0</v>
      </c>
      <c r="F12" s="867" cm="1">
        <f t="array" ref="F12">'Project Eldorado ROI in IDR'!F12/16000</f>
        <v>-1299.375</v>
      </c>
      <c r="G12" s="864" cm="1">
        <f t="array" ref="G12">'Project Eldorado ROI in IDR'!G12/16000</f>
        <v>0</v>
      </c>
      <c r="H12" s="867" cm="1">
        <f t="array" ref="H12">'Project Eldorado ROI in IDR'!H12/16000</f>
        <v>-1010.625</v>
      </c>
      <c r="I12" s="213"/>
      <c r="J12" s="71"/>
      <c r="K12" t="str" s="792" cm="1">
        <f t="array" ref="K12">'Shared Boats 2026 Target'!$F$257</f>
        <v>Towels</v>
      </c>
      <c r="L12" s="788"/>
      <c r="M12" s="867" cm="1">
        <f t="array" ref="M12">'Project Eldorado ROI in IDR'!M12/16000</f>
        <v>-1155</v>
      </c>
      <c r="N12" s="867" cm="1">
        <f t="array" ref="N12">'Project Eldorado ROI in IDR'!N12/16000</f>
        <v>0</v>
      </c>
      <c r="O12" s="867" cm="1">
        <f t="array" ref="O12">'Project Eldorado ROI in IDR'!O12/16000</f>
        <v>-1299.375</v>
      </c>
      <c r="P12" s="864" cm="1">
        <f t="array" ref="P12">'Project Eldorado ROI in IDR'!P12/16000</f>
        <v>0</v>
      </c>
      <c r="Q12" s="867" cm="1">
        <f t="array" ref="Q12">'Project Eldorado ROI in IDR'!Q12/16000</f>
        <v>-1010.625</v>
      </c>
      <c r="R12" s="213"/>
      <c r="S12" s="71"/>
      <c r="T12" t="str" s="792" cm="1">
        <f t="array" ref="T12">'Shared Boats 2026 Target'!$F$257</f>
        <v>Towels</v>
      </c>
      <c r="U12" s="788"/>
      <c r="V12" s="867" cm="1">
        <f t="array" ref="V12">'Project Eldorado ROI in IDR'!V12/16000</f>
        <v>-1155</v>
      </c>
      <c r="W12" s="867" cm="1">
        <f t="array" ref="W12">'Project Eldorado ROI in IDR'!W12/16000</f>
        <v>0</v>
      </c>
      <c r="X12" s="867" cm="1">
        <f t="array" ref="X12">'Project Eldorado ROI in IDR'!X12/16000</f>
        <v>-1299.375</v>
      </c>
      <c r="Y12" s="864" cm="1">
        <f t="array" ref="Y12">'Project Eldorado ROI in IDR'!Y12/16000</f>
        <v>0</v>
      </c>
      <c r="Z12" s="867" cm="1">
        <f t="array" ref="Z12">'Project Eldorado ROI in IDR'!Z12/16000</f>
        <v>-1010.625</v>
      </c>
      <c r="AA12" s="213"/>
      <c r="AB12" s="71"/>
      <c r="AC12" t="str" s="792" cm="1">
        <f t="array" ref="AC12">'Shared Boats 2026 Target'!$F$257</f>
        <v>Towels</v>
      </c>
      <c r="AD12" s="788"/>
      <c r="AE12" s="867" cm="1">
        <f t="array" ref="AE12">'Project Eldorado ROI in IDR'!AE12/16000</f>
        <v>-1155</v>
      </c>
      <c r="AF12" s="867" cm="1">
        <f t="array" ref="AF12">'Project Eldorado ROI in IDR'!AF12/16000</f>
        <v>0</v>
      </c>
      <c r="AG12" s="867" cm="1">
        <f t="array" ref="AG12">'Project Eldorado ROI in IDR'!AG12/16000</f>
        <v>-1299.375</v>
      </c>
      <c r="AH12" s="864" cm="1">
        <f t="array" ref="AH12">'Project Eldorado ROI in IDR'!AH12/16000</f>
        <v>0</v>
      </c>
      <c r="AI12" s="867" cm="1">
        <f t="array" ref="AI12">'Project Eldorado ROI in IDR'!AI12/16000</f>
        <v>-1010.625</v>
      </c>
      <c r="AJ12" s="213"/>
    </row>
    <row r="13" ht="14" customHeight="1">
      <c r="A13" s="12"/>
      <c r="B13" t="str" s="792" cm="1">
        <f t="array" ref="B13">'Shared Boats 2026 Target'!$G$257</f>
        <v>Ice &amp; Water</v>
      </c>
      <c r="C13" s="788"/>
      <c r="D13" s="867" cm="1">
        <f t="array" ref="D13">'Project Eldorado ROI in IDR'!D13/16000</f>
        <v>-1575</v>
      </c>
      <c r="E13" s="867" cm="1">
        <f t="array" ref="E13">'Project Eldorado ROI in IDR'!E13/16000</f>
        <v>0</v>
      </c>
      <c r="F13" s="867" cm="1">
        <f t="array" ref="F13">'Project Eldorado ROI in IDR'!F13/16000</f>
        <v>-1771.875</v>
      </c>
      <c r="G13" s="864" cm="1">
        <f t="array" ref="G13">'Project Eldorado ROI in IDR'!G13/16000</f>
        <v>0</v>
      </c>
      <c r="H13" s="867" cm="1">
        <f t="array" ref="H13">'Project Eldorado ROI in IDR'!H13/16000</f>
        <v>-1378.125</v>
      </c>
      <c r="I13" s="213"/>
      <c r="J13" s="71"/>
      <c r="K13" t="str" s="792" cm="1">
        <f t="array" ref="K13">'Shared Boats 2026 Target'!$G$257</f>
        <v>Ice &amp; Water</v>
      </c>
      <c r="L13" s="788"/>
      <c r="M13" s="867" cm="1">
        <f t="array" ref="M13">'Project Eldorado ROI in IDR'!M13/16000</f>
        <v>-1575</v>
      </c>
      <c r="N13" s="867" cm="1">
        <f t="array" ref="N13">'Project Eldorado ROI in IDR'!N13/16000</f>
        <v>0</v>
      </c>
      <c r="O13" s="867" cm="1">
        <f t="array" ref="O13">'Project Eldorado ROI in IDR'!O13/16000</f>
        <v>-1771.875</v>
      </c>
      <c r="P13" s="864" cm="1">
        <f t="array" ref="P13">'Project Eldorado ROI in IDR'!P13/16000</f>
        <v>0</v>
      </c>
      <c r="Q13" s="867" cm="1">
        <f t="array" ref="Q13">'Project Eldorado ROI in IDR'!Q13/16000</f>
        <v>-1378.125</v>
      </c>
      <c r="R13" s="213"/>
      <c r="S13" s="71"/>
      <c r="T13" t="str" s="792" cm="1">
        <f t="array" ref="T13">'Shared Boats 2026 Target'!$G$257</f>
        <v>Ice &amp; Water</v>
      </c>
      <c r="U13" s="788"/>
      <c r="V13" s="867" cm="1">
        <f t="array" ref="V13">'Project Eldorado ROI in IDR'!V13/16000</f>
        <v>-1575</v>
      </c>
      <c r="W13" s="867" cm="1">
        <f t="array" ref="W13">'Project Eldorado ROI in IDR'!W13/16000</f>
        <v>0</v>
      </c>
      <c r="X13" s="867" cm="1">
        <f t="array" ref="X13">'Project Eldorado ROI in IDR'!X13/16000</f>
        <v>-1771.875</v>
      </c>
      <c r="Y13" s="864" cm="1">
        <f t="array" ref="Y13">'Project Eldorado ROI in IDR'!Y13/16000</f>
        <v>0</v>
      </c>
      <c r="Z13" s="867" cm="1">
        <f t="array" ref="Z13">'Project Eldorado ROI in IDR'!Z13/16000</f>
        <v>-1378.125</v>
      </c>
      <c r="AA13" s="213"/>
      <c r="AB13" s="71"/>
      <c r="AC13" t="str" s="792" cm="1">
        <f t="array" ref="AC13">'Shared Boats 2026 Target'!$G$257</f>
        <v>Ice &amp; Water</v>
      </c>
      <c r="AD13" s="788"/>
      <c r="AE13" s="867" cm="1">
        <f t="array" ref="AE13">'Project Eldorado ROI in IDR'!AE13/16000</f>
        <v>-1575</v>
      </c>
      <c r="AF13" s="867" cm="1">
        <f t="array" ref="AF13">'Project Eldorado ROI in IDR'!AF13/16000</f>
        <v>0</v>
      </c>
      <c r="AG13" s="867" cm="1">
        <f t="array" ref="AG13">'Project Eldorado ROI in IDR'!AG13/16000</f>
        <v>-1771.875</v>
      </c>
      <c r="AH13" s="864" cm="1">
        <f t="array" ref="AH13">'Project Eldorado ROI in IDR'!AH13/16000</f>
        <v>0</v>
      </c>
      <c r="AI13" s="867" cm="1">
        <f t="array" ref="AI13">'Project Eldorado ROI in IDR'!AI13/16000</f>
        <v>-1378.125</v>
      </c>
      <c r="AJ13" s="213"/>
    </row>
    <row r="14" ht="14" customHeight="1">
      <c r="A14" s="12"/>
      <c r="B14" t="str" s="792" cm="1">
        <f t="array" ref="B14">'Shared Boats 2026 Target'!$H$257</f>
        <v>Seran Retribution</v>
      </c>
      <c r="C14" s="788"/>
      <c r="D14" s="867" cm="1">
        <f t="array" ref="D14">'Project Eldorado ROI in IDR'!D14/16000</f>
        <v>-8050</v>
      </c>
      <c r="E14" s="867" cm="1">
        <f t="array" ref="E14">'Project Eldorado ROI in IDR'!E14/16000</f>
        <v>0</v>
      </c>
      <c r="F14" s="867" cm="1">
        <f t="array" ref="F14">'Project Eldorado ROI in IDR'!F14/16000</f>
        <v>-9056.25</v>
      </c>
      <c r="G14" s="864" cm="1">
        <f t="array" ref="G14">'Project Eldorado ROI in IDR'!G14/16000</f>
        <v>0</v>
      </c>
      <c r="H14" s="867" cm="1">
        <f t="array" ref="H14">'Project Eldorado ROI in IDR'!H14/16000</f>
        <v>-7043.75</v>
      </c>
      <c r="I14" s="213"/>
      <c r="J14" s="71"/>
      <c r="K14" t="str" s="792" cm="1">
        <f t="array" ref="K14">'Shared Boats 2026 Target'!$H$257</f>
        <v>Seran Retribution</v>
      </c>
      <c r="L14" s="788"/>
      <c r="M14" s="867" cm="1">
        <f t="array" ref="M14">'Project Eldorado ROI in IDR'!M14/16000</f>
        <v>-8050</v>
      </c>
      <c r="N14" s="867" cm="1">
        <f t="array" ref="N14">'Project Eldorado ROI in IDR'!N14/16000</f>
        <v>0</v>
      </c>
      <c r="O14" s="867" cm="1">
        <f t="array" ref="O14">'Project Eldorado ROI in IDR'!O14/16000</f>
        <v>-9056.25</v>
      </c>
      <c r="P14" s="864" cm="1">
        <f t="array" ref="P14">'Project Eldorado ROI in IDR'!P14/16000</f>
        <v>0</v>
      </c>
      <c r="Q14" s="867" cm="1">
        <f t="array" ref="Q14">'Project Eldorado ROI in IDR'!Q14/16000</f>
        <v>-7043.75</v>
      </c>
      <c r="R14" s="213"/>
      <c r="S14" s="71"/>
      <c r="T14" t="str" s="792" cm="1">
        <f t="array" ref="T14">'Shared Boats 2026 Target'!$H$257</f>
        <v>Seran Retribution</v>
      </c>
      <c r="U14" s="788"/>
      <c r="V14" s="867" cm="1">
        <f t="array" ref="V14">'Project Eldorado ROI in IDR'!V14/16000</f>
        <v>-8050</v>
      </c>
      <c r="W14" s="867" cm="1">
        <f t="array" ref="W14">'Project Eldorado ROI in IDR'!W14/16000</f>
        <v>0</v>
      </c>
      <c r="X14" s="867" cm="1">
        <f t="array" ref="X14">'Project Eldorado ROI in IDR'!X14/16000</f>
        <v>-9056.25</v>
      </c>
      <c r="Y14" s="864" cm="1">
        <f t="array" ref="Y14">'Project Eldorado ROI in IDR'!Y14/16000</f>
        <v>0</v>
      </c>
      <c r="Z14" s="867" cm="1">
        <f t="array" ref="Z14">'Project Eldorado ROI in IDR'!Z14/16000</f>
        <v>-7043.75</v>
      </c>
      <c r="AA14" s="213"/>
      <c r="AB14" s="71"/>
      <c r="AC14" t="str" s="792" cm="1">
        <f t="array" ref="AC14">'Shared Boats 2026 Target'!$H$257</f>
        <v>Seran Retribution</v>
      </c>
      <c r="AD14" s="788"/>
      <c r="AE14" s="867" cm="1">
        <f t="array" ref="AE14">'Project Eldorado ROI in IDR'!AE14/16000</f>
        <v>-8050</v>
      </c>
      <c r="AF14" s="867" cm="1">
        <f t="array" ref="AF14">'Project Eldorado ROI in IDR'!AF14/16000</f>
        <v>0</v>
      </c>
      <c r="AG14" s="867" cm="1">
        <f t="array" ref="AG14">'Project Eldorado ROI in IDR'!AG14/16000</f>
        <v>-9056.25</v>
      </c>
      <c r="AH14" s="864" cm="1">
        <f t="array" ref="AH14">'Project Eldorado ROI in IDR'!AH14/16000</f>
        <v>0</v>
      </c>
      <c r="AI14" s="867" cm="1">
        <f t="array" ref="AI14">'Project Eldorado ROI in IDR'!AI14/16000</f>
        <v>-7043.75</v>
      </c>
      <c r="AJ14" s="213"/>
    </row>
    <row r="15" ht="14" customHeight="1">
      <c r="A15" s="12"/>
      <c r="B15" t="str" s="792" cm="1">
        <f t="array" ref="B15">'Shared Boats 2026 Target'!$I$257</f>
        <v>Seran Parking and Mooring</v>
      </c>
      <c r="C15" s="788"/>
      <c r="D15" s="867" cm="1">
        <f t="array" ref="D15">'Project Eldorado ROI in IDR'!D15/16000</f>
        <v>-1720.833333333330</v>
      </c>
      <c r="E15" s="867" cm="1">
        <f t="array" ref="E15">'Project Eldorado ROI in IDR'!E15/16000</f>
        <v>0</v>
      </c>
      <c r="F15" s="867" cm="1">
        <f t="array" ref="F15">'Project Eldorado ROI in IDR'!F15/16000</f>
        <v>-1935.9375</v>
      </c>
      <c r="G15" s="864" cm="1">
        <f t="array" ref="G15">'Project Eldorado ROI in IDR'!G15/16000</f>
        <v>0</v>
      </c>
      <c r="H15" s="867" cm="1">
        <f t="array" ref="H15">'Project Eldorado ROI in IDR'!H15/16000</f>
        <v>-1505.729166666670</v>
      </c>
      <c r="I15" s="213"/>
      <c r="J15" s="71"/>
      <c r="K15" t="str" s="792" cm="1">
        <f t="array" ref="K15">'Shared Boats 2026 Target'!$I$257</f>
        <v>Seran Parking and Mooring</v>
      </c>
      <c r="L15" s="788"/>
      <c r="M15" s="867" cm="1">
        <f t="array" ref="M15">'Project Eldorado ROI in IDR'!M15/16000</f>
        <v>-1720.833333333330</v>
      </c>
      <c r="N15" s="867" cm="1">
        <f t="array" ref="N15">'Project Eldorado ROI in IDR'!N15/16000</f>
        <v>0</v>
      </c>
      <c r="O15" s="867" cm="1">
        <f t="array" ref="O15">'Project Eldorado ROI in IDR'!O15/16000</f>
        <v>-1935.9375</v>
      </c>
      <c r="P15" s="864" cm="1">
        <f t="array" ref="P15">'Project Eldorado ROI in IDR'!P15/16000</f>
        <v>0</v>
      </c>
      <c r="Q15" s="867" cm="1">
        <f t="array" ref="Q15">'Project Eldorado ROI in IDR'!Q15/16000</f>
        <v>-1505.729166666670</v>
      </c>
      <c r="R15" s="213"/>
      <c r="S15" s="71"/>
      <c r="T15" t="str" s="792" cm="1">
        <f t="array" ref="T15">'Shared Boats 2026 Target'!$I$257</f>
        <v>Seran Parking and Mooring</v>
      </c>
      <c r="U15" s="788"/>
      <c r="V15" s="867" cm="1">
        <f t="array" ref="V15">'Project Eldorado ROI in IDR'!V15/16000</f>
        <v>-1720.833333333330</v>
      </c>
      <c r="W15" s="867" cm="1">
        <f t="array" ref="W15">'Project Eldorado ROI in IDR'!W15/16000</f>
        <v>0</v>
      </c>
      <c r="X15" s="867" cm="1">
        <f t="array" ref="X15">'Project Eldorado ROI in IDR'!X15/16000</f>
        <v>-1935.9375</v>
      </c>
      <c r="Y15" s="864" cm="1">
        <f t="array" ref="Y15">'Project Eldorado ROI in IDR'!Y15/16000</f>
        <v>0</v>
      </c>
      <c r="Z15" s="867" cm="1">
        <f t="array" ref="Z15">'Project Eldorado ROI in IDR'!Z15/16000</f>
        <v>-1505.729166666670</v>
      </c>
      <c r="AA15" s="213"/>
      <c r="AB15" s="71"/>
      <c r="AC15" t="str" s="792" cm="1">
        <f t="array" ref="AC15">'Shared Boats 2026 Target'!$I$257</f>
        <v>Seran Parking and Mooring</v>
      </c>
      <c r="AD15" s="788"/>
      <c r="AE15" s="867" cm="1">
        <f t="array" ref="AE15">'Project Eldorado ROI in IDR'!AE15/16000</f>
        <v>-1720.833333333330</v>
      </c>
      <c r="AF15" s="867" cm="1">
        <f t="array" ref="AF15">'Project Eldorado ROI in IDR'!AF15/16000</f>
        <v>0</v>
      </c>
      <c r="AG15" s="867" cm="1">
        <f t="array" ref="AG15">'Project Eldorado ROI in IDR'!AG15/16000</f>
        <v>-1935.9375</v>
      </c>
      <c r="AH15" s="864" cm="1">
        <f t="array" ref="AH15">'Project Eldorado ROI in IDR'!AH15/16000</f>
        <v>0</v>
      </c>
      <c r="AI15" s="867" cm="1">
        <f t="array" ref="AI15">'Project Eldorado ROI in IDR'!AI15/16000</f>
        <v>-1505.729166666670</v>
      </c>
      <c r="AJ15" s="213"/>
    </row>
    <row r="16" ht="14" customHeight="1">
      <c r="A16" s="12"/>
      <c r="B16" t="str" s="792" cm="1">
        <f t="array" ref="B16">'Shared Boats 2026 Target'!$K$257</f>
        <v>NP + Serangan Clearance</v>
      </c>
      <c r="C16" s="788"/>
      <c r="D16" s="867" cm="1">
        <f t="array" ref="D16">'Project Eldorado ROI in IDR'!D16/16000</f>
        <v>-4025</v>
      </c>
      <c r="E16" s="867" cm="1">
        <f t="array" ref="E16">'Project Eldorado ROI in IDR'!E16/16000</f>
        <v>0</v>
      </c>
      <c r="F16" s="867" cm="1">
        <f t="array" ref="F16">'Project Eldorado ROI in IDR'!F16/16000</f>
        <v>-4528.125</v>
      </c>
      <c r="G16" s="864" cm="1">
        <f t="array" ref="G16">'Project Eldorado ROI in IDR'!G16/16000</f>
        <v>0</v>
      </c>
      <c r="H16" s="867" cm="1">
        <f t="array" ref="H16">'Project Eldorado ROI in IDR'!H16/16000</f>
        <v>-3521.875</v>
      </c>
      <c r="I16" s="213"/>
      <c r="J16" s="71"/>
      <c r="K16" t="str" s="792" cm="1">
        <f t="array" ref="K16">'Shared Boats 2026 Target'!$K$257</f>
        <v>NP + Serangan Clearance</v>
      </c>
      <c r="L16" s="788"/>
      <c r="M16" s="867" cm="1">
        <f t="array" ref="M16">'Project Eldorado ROI in IDR'!M16/16000</f>
        <v>-4025</v>
      </c>
      <c r="N16" s="867" cm="1">
        <f t="array" ref="N16">'Project Eldorado ROI in IDR'!N16/16000</f>
        <v>0</v>
      </c>
      <c r="O16" s="867" cm="1">
        <f t="array" ref="O16">'Project Eldorado ROI in IDR'!O16/16000</f>
        <v>-4528.125</v>
      </c>
      <c r="P16" s="864" cm="1">
        <f t="array" ref="P16">'Project Eldorado ROI in IDR'!P16/16000</f>
        <v>0</v>
      </c>
      <c r="Q16" s="867" cm="1">
        <f t="array" ref="Q16">'Project Eldorado ROI in IDR'!Q16/16000</f>
        <v>-3521.875</v>
      </c>
      <c r="R16" s="213"/>
      <c r="S16" s="71"/>
      <c r="T16" t="str" s="792" cm="1">
        <f t="array" ref="T16">'Shared Boats 2026 Target'!$K$257</f>
        <v>NP + Serangan Clearance</v>
      </c>
      <c r="U16" s="788"/>
      <c r="V16" s="867" cm="1">
        <f t="array" ref="V16">'Project Eldorado ROI in IDR'!V16/16000</f>
        <v>-4025</v>
      </c>
      <c r="W16" s="867" cm="1">
        <f t="array" ref="W16">'Project Eldorado ROI in IDR'!W16/16000</f>
        <v>0</v>
      </c>
      <c r="X16" s="867" cm="1">
        <f t="array" ref="X16">'Project Eldorado ROI in IDR'!X16/16000</f>
        <v>-4528.125</v>
      </c>
      <c r="Y16" s="864" cm="1">
        <f t="array" ref="Y16">'Project Eldorado ROI in IDR'!Y16/16000</f>
        <v>0</v>
      </c>
      <c r="Z16" s="867" cm="1">
        <f t="array" ref="Z16">'Project Eldorado ROI in IDR'!Z16/16000</f>
        <v>-3521.875</v>
      </c>
      <c r="AA16" s="213"/>
      <c r="AB16" s="71"/>
      <c r="AC16" t="str" s="792" cm="1">
        <f t="array" ref="AC16">'Shared Boats 2026 Target'!$K$257</f>
        <v>NP + Serangan Clearance</v>
      </c>
      <c r="AD16" s="788"/>
      <c r="AE16" s="867" cm="1">
        <f t="array" ref="AE16">'Project Eldorado ROI in IDR'!AE16/16000</f>
        <v>-4025</v>
      </c>
      <c r="AF16" s="867" cm="1">
        <f t="array" ref="AF16">'Project Eldorado ROI in IDR'!AF16/16000</f>
        <v>0</v>
      </c>
      <c r="AG16" s="867" cm="1">
        <f t="array" ref="AG16">'Project Eldorado ROI in IDR'!AG16/16000</f>
        <v>-4528.125</v>
      </c>
      <c r="AH16" s="864" cm="1">
        <f t="array" ref="AH16">'Project Eldorado ROI in IDR'!AH16/16000</f>
        <v>0</v>
      </c>
      <c r="AI16" s="867" cm="1">
        <f t="array" ref="AI16">'Project Eldorado ROI in IDR'!AI16/16000</f>
        <v>-3521.875</v>
      </c>
      <c r="AJ16" s="213"/>
    </row>
    <row r="17" ht="14" customHeight="1">
      <c r="A17" s="12"/>
      <c r="B17" t="str" s="792" cm="1">
        <f t="array" ref="B17">'Shared Boats 2026 Target'!$L$257</f>
        <v>Offering</v>
      </c>
      <c r="C17" s="788"/>
      <c r="D17" s="867" cm="1">
        <f t="array" ref="D17">'Project Eldorado ROI in IDR'!D17/16000</f>
        <v>-350</v>
      </c>
      <c r="E17" s="867" cm="1">
        <f t="array" ref="E17">'Project Eldorado ROI in IDR'!E17/16000</f>
        <v>0</v>
      </c>
      <c r="F17" s="867" cm="1">
        <f t="array" ref="F17">'Project Eldorado ROI in IDR'!F17/16000</f>
        <v>-393.75</v>
      </c>
      <c r="G17" s="864" cm="1">
        <f t="array" ref="G17">'Project Eldorado ROI in IDR'!G17/16000</f>
        <v>0</v>
      </c>
      <c r="H17" s="867" cm="1">
        <f t="array" ref="H17">'Project Eldorado ROI in IDR'!H17/16000</f>
        <v>-306.25</v>
      </c>
      <c r="I17" s="213"/>
      <c r="J17" s="71"/>
      <c r="K17" t="str" s="792" cm="1">
        <f t="array" ref="K17">'Shared Boats 2026 Target'!$L$257</f>
        <v>Offering</v>
      </c>
      <c r="L17" s="788"/>
      <c r="M17" s="867" cm="1">
        <f t="array" ref="M17">'Project Eldorado ROI in IDR'!M17/16000</f>
        <v>-350</v>
      </c>
      <c r="N17" s="867" cm="1">
        <f t="array" ref="N17">'Project Eldorado ROI in IDR'!N17/16000</f>
        <v>0</v>
      </c>
      <c r="O17" s="867" cm="1">
        <f t="array" ref="O17">'Project Eldorado ROI in IDR'!O17/16000</f>
        <v>-393.75</v>
      </c>
      <c r="P17" s="864" cm="1">
        <f t="array" ref="P17">'Project Eldorado ROI in IDR'!P17/16000</f>
        <v>0</v>
      </c>
      <c r="Q17" s="867" cm="1">
        <f t="array" ref="Q17">'Project Eldorado ROI in IDR'!Q17/16000</f>
        <v>-306.25</v>
      </c>
      <c r="R17" s="213"/>
      <c r="S17" s="71"/>
      <c r="T17" t="str" s="792" cm="1">
        <f t="array" ref="T17">'Shared Boats 2026 Target'!$L$257</f>
        <v>Offering</v>
      </c>
      <c r="U17" s="788"/>
      <c r="V17" s="867" cm="1">
        <f t="array" ref="V17">'Project Eldorado ROI in IDR'!V17/16000</f>
        <v>-350</v>
      </c>
      <c r="W17" s="867" cm="1">
        <f t="array" ref="W17">'Project Eldorado ROI in IDR'!W17/16000</f>
        <v>0</v>
      </c>
      <c r="X17" s="867" cm="1">
        <f t="array" ref="X17">'Project Eldorado ROI in IDR'!X17/16000</f>
        <v>-393.75</v>
      </c>
      <c r="Y17" s="864" cm="1">
        <f t="array" ref="Y17">'Project Eldorado ROI in IDR'!Y17/16000</f>
        <v>0</v>
      </c>
      <c r="Z17" s="867" cm="1">
        <f t="array" ref="Z17">'Project Eldorado ROI in IDR'!Z17/16000</f>
        <v>-306.25</v>
      </c>
      <c r="AA17" s="213"/>
      <c r="AB17" s="71"/>
      <c r="AC17" t="str" s="792" cm="1">
        <f t="array" ref="AC17">'Shared Boats 2026 Target'!$L$257</f>
        <v>Offering</v>
      </c>
      <c r="AD17" s="788"/>
      <c r="AE17" s="867" cm="1">
        <f t="array" ref="AE17">'Project Eldorado ROI in IDR'!AE17/16000</f>
        <v>-350</v>
      </c>
      <c r="AF17" s="867" cm="1">
        <f t="array" ref="AF17">'Project Eldorado ROI in IDR'!AF17/16000</f>
        <v>0</v>
      </c>
      <c r="AG17" s="867" cm="1">
        <f t="array" ref="AG17">'Project Eldorado ROI in IDR'!AG17/16000</f>
        <v>-393.75</v>
      </c>
      <c r="AH17" s="864" cm="1">
        <f t="array" ref="AH17">'Project Eldorado ROI in IDR'!AH17/16000</f>
        <v>0</v>
      </c>
      <c r="AI17" s="867" cm="1">
        <f t="array" ref="AI17">'Project Eldorado ROI in IDR'!AI17/16000</f>
        <v>-306.25</v>
      </c>
      <c r="AJ17" s="213"/>
    </row>
    <row r="18" ht="14" customHeight="1">
      <c r="A18" s="12"/>
      <c r="B18" t="str" s="792" cm="1">
        <f t="array" ref="B18">'Shared Boats 2026 Target'!$M$257</f>
        <v>Fruits</v>
      </c>
      <c r="C18" s="788"/>
      <c r="D18" s="867" cm="1">
        <f t="array" ref="D18">'Project Eldorado ROI in IDR'!D18/16000</f>
        <v>-2450</v>
      </c>
      <c r="E18" s="867" cm="1">
        <f t="array" ref="E18">'Project Eldorado ROI in IDR'!E18/16000</f>
        <v>0</v>
      </c>
      <c r="F18" s="867" cm="1">
        <f t="array" ref="F18">'Project Eldorado ROI in IDR'!F18/16000</f>
        <v>-2756.25</v>
      </c>
      <c r="G18" s="864" cm="1">
        <f t="array" ref="G18">'Project Eldorado ROI in IDR'!G18/16000</f>
        <v>0</v>
      </c>
      <c r="H18" s="867" cm="1">
        <f t="array" ref="H18">'Project Eldorado ROI in IDR'!H18/16000</f>
        <v>-2143.75</v>
      </c>
      <c r="I18" s="213"/>
      <c r="J18" s="71"/>
      <c r="K18" t="str" s="792" cm="1">
        <f t="array" ref="K18">'Shared Boats 2026 Target'!$M$257</f>
        <v>Fruits</v>
      </c>
      <c r="L18" s="788"/>
      <c r="M18" s="867" cm="1">
        <f t="array" ref="M18">'Project Eldorado ROI in IDR'!M18/16000</f>
        <v>-2450</v>
      </c>
      <c r="N18" s="867" cm="1">
        <f t="array" ref="N18">'Project Eldorado ROI in IDR'!N18/16000</f>
        <v>0</v>
      </c>
      <c r="O18" s="867" cm="1">
        <f t="array" ref="O18">'Project Eldorado ROI in IDR'!O18/16000</f>
        <v>-2756.25</v>
      </c>
      <c r="P18" s="864" cm="1">
        <f t="array" ref="P18">'Project Eldorado ROI in IDR'!P18/16000</f>
        <v>0</v>
      </c>
      <c r="Q18" s="867" cm="1">
        <f t="array" ref="Q18">'Project Eldorado ROI in IDR'!Q18/16000</f>
        <v>-2143.75</v>
      </c>
      <c r="R18" s="213"/>
      <c r="S18" s="71"/>
      <c r="T18" t="str" s="792" cm="1">
        <f t="array" ref="T18">'Shared Boats 2026 Target'!$M$257</f>
        <v>Fruits</v>
      </c>
      <c r="U18" s="788"/>
      <c r="V18" s="867" cm="1">
        <f t="array" ref="V18">'Project Eldorado ROI in IDR'!V18/16000</f>
        <v>-2450</v>
      </c>
      <c r="W18" s="867" cm="1">
        <f t="array" ref="W18">'Project Eldorado ROI in IDR'!W18/16000</f>
        <v>0</v>
      </c>
      <c r="X18" s="867" cm="1">
        <f t="array" ref="X18">'Project Eldorado ROI in IDR'!X18/16000</f>
        <v>-2756.25</v>
      </c>
      <c r="Y18" s="864" cm="1">
        <f t="array" ref="Y18">'Project Eldorado ROI in IDR'!Y18/16000</f>
        <v>0</v>
      </c>
      <c r="Z18" s="867" cm="1">
        <f t="array" ref="Z18">'Project Eldorado ROI in IDR'!Z18/16000</f>
        <v>-2143.75</v>
      </c>
      <c r="AA18" s="213"/>
      <c r="AB18" s="71"/>
      <c r="AC18" t="str" s="792" cm="1">
        <f t="array" ref="AC18">'Shared Boats 2026 Target'!$M$257</f>
        <v>Fruits</v>
      </c>
      <c r="AD18" s="788"/>
      <c r="AE18" s="867" cm="1">
        <f t="array" ref="AE18">'Project Eldorado ROI in IDR'!AE18/16000</f>
        <v>-2450</v>
      </c>
      <c r="AF18" s="867" cm="1">
        <f t="array" ref="AF18">'Project Eldorado ROI in IDR'!AF18/16000</f>
        <v>0</v>
      </c>
      <c r="AG18" s="867" cm="1">
        <f t="array" ref="AG18">'Project Eldorado ROI in IDR'!AG18/16000</f>
        <v>-2756.25</v>
      </c>
      <c r="AH18" s="864" cm="1">
        <f t="array" ref="AH18">'Project Eldorado ROI in IDR'!AH18/16000</f>
        <v>0</v>
      </c>
      <c r="AI18" s="867" cm="1">
        <f t="array" ref="AI18">'Project Eldorado ROI in IDR'!AI18/16000</f>
        <v>-2143.75</v>
      </c>
      <c r="AJ18" s="213"/>
    </row>
    <row r="19" ht="14" customHeight="1">
      <c r="A19" s="12"/>
      <c r="B19" t="str" s="792" cm="1">
        <f t="array" ref="B19">'Shared Boats 2026 Target'!$N$257</f>
        <v>Lunch</v>
      </c>
      <c r="C19" s="788"/>
      <c r="D19" s="867" cm="1">
        <f t="array" ref="D19">'Project Eldorado ROI in IDR'!D19/16000</f>
        <v>-21175</v>
      </c>
      <c r="E19" s="867" cm="1">
        <f t="array" ref="E19">'Project Eldorado ROI in IDR'!E19/16000</f>
        <v>0</v>
      </c>
      <c r="F19" s="867" cm="1">
        <f t="array" ref="F19">'Project Eldorado ROI in IDR'!F19/16000</f>
        <v>-23821.875</v>
      </c>
      <c r="G19" s="864" cm="1">
        <f t="array" ref="G19">'Project Eldorado ROI in IDR'!G19/16000</f>
        <v>0</v>
      </c>
      <c r="H19" s="867" cm="1">
        <f t="array" ref="H19">'Project Eldorado ROI in IDR'!H19/16000</f>
        <v>-18528.125</v>
      </c>
      <c r="I19" s="213"/>
      <c r="J19" s="71"/>
      <c r="K19" t="str" s="792" cm="1">
        <f t="array" ref="K19">'Shared Boats 2026 Target'!$N$257</f>
        <v>Lunch</v>
      </c>
      <c r="L19" s="788"/>
      <c r="M19" s="867" cm="1">
        <f t="array" ref="M19">'Project Eldorado ROI in IDR'!M19/16000</f>
        <v>-21175</v>
      </c>
      <c r="N19" s="867" cm="1">
        <f t="array" ref="N19">'Project Eldorado ROI in IDR'!N19/16000</f>
        <v>0</v>
      </c>
      <c r="O19" s="867" cm="1">
        <f t="array" ref="O19">'Project Eldorado ROI in IDR'!O19/16000</f>
        <v>-23821.875</v>
      </c>
      <c r="P19" s="864" cm="1">
        <f t="array" ref="P19">'Project Eldorado ROI in IDR'!P19/16000</f>
        <v>0</v>
      </c>
      <c r="Q19" s="867" cm="1">
        <f t="array" ref="Q19">'Project Eldorado ROI in IDR'!Q19/16000</f>
        <v>-18528.125</v>
      </c>
      <c r="R19" s="213"/>
      <c r="S19" s="71"/>
      <c r="T19" t="str" s="792" cm="1">
        <f t="array" ref="T19">'Shared Boats 2026 Target'!$N$257</f>
        <v>Lunch</v>
      </c>
      <c r="U19" s="788"/>
      <c r="V19" s="867" cm="1">
        <f t="array" ref="V19">'Project Eldorado ROI in IDR'!V19/16000</f>
        <v>-21175</v>
      </c>
      <c r="W19" s="867" cm="1">
        <f t="array" ref="W19">'Project Eldorado ROI in IDR'!W19/16000</f>
        <v>0</v>
      </c>
      <c r="X19" s="867" cm="1">
        <f t="array" ref="X19">'Project Eldorado ROI in IDR'!X19/16000</f>
        <v>-23821.875</v>
      </c>
      <c r="Y19" s="864" cm="1">
        <f t="array" ref="Y19">'Project Eldorado ROI in IDR'!Y19/16000</f>
        <v>0</v>
      </c>
      <c r="Z19" s="867" cm="1">
        <f t="array" ref="Z19">'Project Eldorado ROI in IDR'!Z19/16000</f>
        <v>-18528.125</v>
      </c>
      <c r="AA19" s="213"/>
      <c r="AB19" s="71"/>
      <c r="AC19" t="str" s="792" cm="1">
        <f t="array" ref="AC19">'Shared Boats 2026 Target'!$N$257</f>
        <v>Lunch</v>
      </c>
      <c r="AD19" s="788"/>
      <c r="AE19" s="867" cm="1">
        <f t="array" ref="AE19">'Project Eldorado ROI in IDR'!AE19/16000</f>
        <v>-21175</v>
      </c>
      <c r="AF19" s="867" cm="1">
        <f t="array" ref="AF19">'Project Eldorado ROI in IDR'!AF19/16000</f>
        <v>0</v>
      </c>
      <c r="AG19" s="867" cm="1">
        <f t="array" ref="AG19">'Project Eldorado ROI in IDR'!AG19/16000</f>
        <v>-23821.875</v>
      </c>
      <c r="AH19" s="864" cm="1">
        <f t="array" ref="AH19">'Project Eldorado ROI in IDR'!AH19/16000</f>
        <v>0</v>
      </c>
      <c r="AI19" s="867" cm="1">
        <f t="array" ref="AI19">'Project Eldorado ROI in IDR'!AI19/16000</f>
        <v>-18528.125</v>
      </c>
      <c r="AJ19" s="213"/>
    </row>
    <row r="20" ht="14" customHeight="1">
      <c r="A20" s="12"/>
      <c r="B20" t="str" s="792" cm="1">
        <f t="array" ref="B20">'Shared Boats 2026 Target'!$O$257</f>
        <v>Fuel (Pertamax)</v>
      </c>
      <c r="C20" s="788"/>
      <c r="D20" s="867" cm="1">
        <f t="array" ref="D20">'Project Eldorado ROI in IDR'!D20/16000</f>
        <v>-58187.5</v>
      </c>
      <c r="E20" s="867" cm="1">
        <f t="array" ref="E20">'Project Eldorado ROI in IDR'!E20/16000</f>
        <v>0</v>
      </c>
      <c r="F20" s="867" cm="1">
        <f t="array" ref="F20">'Project Eldorado ROI in IDR'!F20/16000</f>
        <v>-65460.9375</v>
      </c>
      <c r="G20" s="864" cm="1">
        <f t="array" ref="G20">'Project Eldorado ROI in IDR'!G20/16000</f>
        <v>0</v>
      </c>
      <c r="H20" s="867" cm="1">
        <f t="array" ref="H20">'Project Eldorado ROI in IDR'!H20/16000</f>
        <v>-50914.0625</v>
      </c>
      <c r="I20" s="213"/>
      <c r="J20" s="71"/>
      <c r="K20" t="str" s="792" cm="1">
        <f t="array" ref="K20">'Shared Boats 2026 Target'!$O$257</f>
        <v>Fuel (Pertamax)</v>
      </c>
      <c r="L20" s="788"/>
      <c r="M20" s="867" cm="1">
        <f t="array" ref="M20">'Project Eldorado ROI in IDR'!M20/16000</f>
        <v>-58187.5</v>
      </c>
      <c r="N20" s="867" cm="1">
        <f t="array" ref="N20">'Project Eldorado ROI in IDR'!N20/16000</f>
        <v>0</v>
      </c>
      <c r="O20" s="867" cm="1">
        <f t="array" ref="O20">'Project Eldorado ROI in IDR'!O20/16000</f>
        <v>-65460.9375</v>
      </c>
      <c r="P20" s="864" cm="1">
        <f t="array" ref="P20">'Project Eldorado ROI in IDR'!P20/16000</f>
        <v>0</v>
      </c>
      <c r="Q20" s="867" cm="1">
        <f t="array" ref="Q20">'Project Eldorado ROI in IDR'!Q20/16000</f>
        <v>-50914.0625</v>
      </c>
      <c r="R20" s="213"/>
      <c r="S20" s="71"/>
      <c r="T20" t="str" s="792" cm="1">
        <f t="array" ref="T20">'Shared Boats 2026 Target'!$O$257</f>
        <v>Fuel (Pertamax)</v>
      </c>
      <c r="U20" s="788"/>
      <c r="V20" s="867" cm="1">
        <f t="array" ref="V20">'Project Eldorado ROI in IDR'!V20/16000</f>
        <v>-58187.5</v>
      </c>
      <c r="W20" s="867" cm="1">
        <f t="array" ref="W20">'Project Eldorado ROI in IDR'!W20/16000</f>
        <v>0</v>
      </c>
      <c r="X20" s="867" cm="1">
        <f t="array" ref="X20">'Project Eldorado ROI in IDR'!X20/16000</f>
        <v>-65460.9375</v>
      </c>
      <c r="Y20" s="864" cm="1">
        <f t="array" ref="Y20">'Project Eldorado ROI in IDR'!Y20/16000</f>
        <v>0</v>
      </c>
      <c r="Z20" s="867" cm="1">
        <f t="array" ref="Z20">'Project Eldorado ROI in IDR'!Z20/16000</f>
        <v>-50914.0625</v>
      </c>
      <c r="AA20" s="213"/>
      <c r="AB20" s="71"/>
      <c r="AC20" t="str" s="792" cm="1">
        <f t="array" ref="AC20">'Shared Boats 2026 Target'!$O$257</f>
        <v>Fuel (Pertamax)</v>
      </c>
      <c r="AD20" s="788"/>
      <c r="AE20" s="867" cm="1">
        <f t="array" ref="AE20">'Project Eldorado ROI in IDR'!AE20/16000</f>
        <v>-58187.5</v>
      </c>
      <c r="AF20" s="867" cm="1">
        <f t="array" ref="AF20">'Project Eldorado ROI in IDR'!AF20/16000</f>
        <v>0</v>
      </c>
      <c r="AG20" s="867" cm="1">
        <f t="array" ref="AG20">'Project Eldorado ROI in IDR'!AG20/16000</f>
        <v>-65460.9375</v>
      </c>
      <c r="AH20" s="864" cm="1">
        <f t="array" ref="AH20">'Project Eldorado ROI in IDR'!AH20/16000</f>
        <v>0</v>
      </c>
      <c r="AI20" s="867" cm="1">
        <f t="array" ref="AI20">'Project Eldorado ROI in IDR'!AI20/16000</f>
        <v>-50914.0625</v>
      </c>
      <c r="AJ20" s="213"/>
    </row>
    <row r="21" ht="14" customHeight="1">
      <c r="A21" s="12"/>
      <c r="B21" t="str" s="792" cm="1">
        <f t="array" ref="B21">'Shared Boats 2026 Target'!$P$257</f>
        <v>Crew Salary &amp; Tax u</v>
      </c>
      <c r="C21" s="788"/>
      <c r="D21" s="867" cm="1">
        <f t="array" ref="D21">'Project Eldorado ROI in IDR'!D21/16000</f>
        <v>-19467</v>
      </c>
      <c r="E21" s="867" cm="1">
        <f t="array" ref="E21">'Project Eldorado ROI in IDR'!E21/16000</f>
        <v>0</v>
      </c>
      <c r="F21" s="867" cm="1">
        <f t="array" ref="F21">'Project Eldorado ROI in IDR'!F21/16000</f>
        <v>-21900.375</v>
      </c>
      <c r="G21" s="864" cm="1">
        <f t="array" ref="G21">'Project Eldorado ROI in IDR'!G21/16000</f>
        <v>0</v>
      </c>
      <c r="H21" s="867" cm="1">
        <f t="array" ref="H21">'Project Eldorado ROI in IDR'!H21/16000</f>
        <v>-17033.625</v>
      </c>
      <c r="I21" s="213"/>
      <c r="J21" s="71"/>
      <c r="K21" t="str" s="792" cm="1">
        <f t="array" ref="K21">'Shared Boats 2026 Target'!$P$257</f>
        <v>Crew Salary &amp; Tax u</v>
      </c>
      <c r="L21" s="788"/>
      <c r="M21" s="867" cm="1">
        <f t="array" ref="M21">'Project Eldorado ROI in IDR'!M21/16000</f>
        <v>-19467</v>
      </c>
      <c r="N21" s="867" cm="1">
        <f t="array" ref="N21">'Project Eldorado ROI in IDR'!N21/16000</f>
        <v>0</v>
      </c>
      <c r="O21" s="867" cm="1">
        <f t="array" ref="O21">'Project Eldorado ROI in IDR'!O21/16000</f>
        <v>-21900.375</v>
      </c>
      <c r="P21" s="864" cm="1">
        <f t="array" ref="P21">'Project Eldorado ROI in IDR'!P21/16000</f>
        <v>0</v>
      </c>
      <c r="Q21" s="867" cm="1">
        <f t="array" ref="Q21">'Project Eldorado ROI in IDR'!Q21/16000</f>
        <v>-17033.625</v>
      </c>
      <c r="R21" s="213"/>
      <c r="S21" s="71"/>
      <c r="T21" t="str" s="792" cm="1">
        <f t="array" ref="T21">'Shared Boats 2026 Target'!$P$257</f>
        <v>Crew Salary &amp; Tax u</v>
      </c>
      <c r="U21" s="788"/>
      <c r="V21" s="867" cm="1">
        <f t="array" ref="V21">'Project Eldorado ROI in IDR'!V21/16000</f>
        <v>-19467</v>
      </c>
      <c r="W21" s="867" cm="1">
        <f t="array" ref="W21">'Project Eldorado ROI in IDR'!W21/16000</f>
        <v>0</v>
      </c>
      <c r="X21" s="867" cm="1">
        <f t="array" ref="X21">'Project Eldorado ROI in IDR'!X21/16000</f>
        <v>-21900.375</v>
      </c>
      <c r="Y21" s="864" cm="1">
        <f t="array" ref="Y21">'Project Eldorado ROI in IDR'!Y21/16000</f>
        <v>0</v>
      </c>
      <c r="Z21" s="867" cm="1">
        <f t="array" ref="Z21">'Project Eldorado ROI in IDR'!Z21/16000</f>
        <v>-17033.625</v>
      </c>
      <c r="AA21" s="213"/>
      <c r="AB21" s="71"/>
      <c r="AC21" t="str" s="792" cm="1">
        <f t="array" ref="AC21">'Shared Boats 2026 Target'!$P$257</f>
        <v>Crew Salary &amp; Tax u</v>
      </c>
      <c r="AD21" s="788"/>
      <c r="AE21" s="867" cm="1">
        <f t="array" ref="AE21">'Project Eldorado ROI in IDR'!AE21/16000</f>
        <v>-19467</v>
      </c>
      <c r="AF21" s="867" cm="1">
        <f t="array" ref="AF21">'Project Eldorado ROI in IDR'!AF21/16000</f>
        <v>0</v>
      </c>
      <c r="AG21" s="867" cm="1">
        <f t="array" ref="AG21">'Project Eldorado ROI in IDR'!AG21/16000</f>
        <v>-21900.375</v>
      </c>
      <c r="AH21" s="864" cm="1">
        <f t="array" ref="AH21">'Project Eldorado ROI in IDR'!AH21/16000</f>
        <v>0</v>
      </c>
      <c r="AI21" s="867" cm="1">
        <f t="array" ref="AI21">'Project Eldorado ROI in IDR'!AI21/16000</f>
        <v>-17033.625</v>
      </c>
      <c r="AJ21" s="213"/>
    </row>
    <row r="22" ht="14" customHeight="1">
      <c r="A22" s="12"/>
      <c r="B22" t="str" s="792" cm="1">
        <f t="array" ref="B22">'Shared Boats 2026 Target'!$Q$257</f>
        <v>Land Tours</v>
      </c>
      <c r="C22" s="788"/>
      <c r="D22" s="867" cm="1">
        <f t="array" ref="D22">'Project Eldorado ROI in IDR'!D22/16000</f>
        <v>-17136</v>
      </c>
      <c r="E22" s="867" cm="1">
        <f t="array" ref="E22">'Project Eldorado ROI in IDR'!E22/16000</f>
        <v>0</v>
      </c>
      <c r="F22" s="867" cm="1">
        <f t="array" ref="F22">'Project Eldorado ROI in IDR'!F22/16000</f>
        <v>-19278</v>
      </c>
      <c r="G22" s="864" cm="1">
        <f t="array" ref="G22">'Project Eldorado ROI in IDR'!G22/16000</f>
        <v>0</v>
      </c>
      <c r="H22" s="867" cm="1">
        <f t="array" ref="H22">'Project Eldorado ROI in IDR'!H22/16000</f>
        <v>-14994</v>
      </c>
      <c r="I22" s="213"/>
      <c r="J22" s="71"/>
      <c r="K22" t="str" s="792" cm="1">
        <f t="array" ref="K22">'Shared Boats 2026 Target'!$Q$257</f>
        <v>Land Tours</v>
      </c>
      <c r="L22" s="788"/>
      <c r="M22" s="867" cm="1">
        <f t="array" ref="M22">'Project Eldorado ROI in IDR'!M22/16000</f>
        <v>-17136</v>
      </c>
      <c r="N22" s="867" cm="1">
        <f t="array" ref="N22">'Project Eldorado ROI in IDR'!N22/16000</f>
        <v>0</v>
      </c>
      <c r="O22" s="867" cm="1">
        <f t="array" ref="O22">'Project Eldorado ROI in IDR'!O22/16000</f>
        <v>-19278</v>
      </c>
      <c r="P22" s="864" cm="1">
        <f t="array" ref="P22">'Project Eldorado ROI in IDR'!P22/16000</f>
        <v>0</v>
      </c>
      <c r="Q22" s="867" cm="1">
        <f t="array" ref="Q22">'Project Eldorado ROI in IDR'!Q22/16000</f>
        <v>-14994</v>
      </c>
      <c r="R22" s="213"/>
      <c r="S22" s="71"/>
      <c r="T22" t="str" s="792" cm="1">
        <f t="array" ref="T22">'Shared Boats 2026 Target'!$Q$257</f>
        <v>Land Tours</v>
      </c>
      <c r="U22" s="788"/>
      <c r="V22" s="867" cm="1">
        <f t="array" ref="V22">'Project Eldorado ROI in IDR'!V22/16000</f>
        <v>-17136</v>
      </c>
      <c r="W22" s="867" cm="1">
        <f t="array" ref="W22">'Project Eldorado ROI in IDR'!W22/16000</f>
        <v>0</v>
      </c>
      <c r="X22" s="867" cm="1">
        <f t="array" ref="X22">'Project Eldorado ROI in IDR'!X22/16000</f>
        <v>-19278</v>
      </c>
      <c r="Y22" s="864" cm="1">
        <f t="array" ref="Y22">'Project Eldorado ROI in IDR'!Y22/16000</f>
        <v>0</v>
      </c>
      <c r="Z22" s="867" cm="1">
        <f t="array" ref="Z22">'Project Eldorado ROI in IDR'!Z22/16000</f>
        <v>-14994</v>
      </c>
      <c r="AA22" s="213"/>
      <c r="AB22" s="71"/>
      <c r="AC22" t="str" s="792" cm="1">
        <f t="array" ref="AC22">'Shared Boats 2026 Target'!$Q$257</f>
        <v>Land Tours</v>
      </c>
      <c r="AD22" s="788"/>
      <c r="AE22" s="867" cm="1">
        <f t="array" ref="AE22">'Project Eldorado ROI in IDR'!AE22/16000</f>
        <v>-17136</v>
      </c>
      <c r="AF22" s="867" cm="1">
        <f t="array" ref="AF22">'Project Eldorado ROI in IDR'!AF22/16000</f>
        <v>0</v>
      </c>
      <c r="AG22" s="867" cm="1">
        <f t="array" ref="AG22">'Project Eldorado ROI in IDR'!AG22/16000</f>
        <v>-19278</v>
      </c>
      <c r="AH22" s="864" cm="1">
        <f t="array" ref="AH22">'Project Eldorado ROI in IDR'!AH22/16000</f>
        <v>0</v>
      </c>
      <c r="AI22" s="867" cm="1">
        <f t="array" ref="AI22">'Project Eldorado ROI in IDR'!AI22/16000</f>
        <v>-14994</v>
      </c>
      <c r="AJ22" s="213"/>
    </row>
    <row r="23" ht="14" customHeight="1">
      <c r="A23" s="12"/>
      <c r="B23" t="s" s="216">
        <v>676</v>
      </c>
      <c r="C23" s="788"/>
      <c r="D23" s="867" cm="1">
        <f t="array" ref="D23">'Project Eldorado ROI in IDR'!D23/16000</f>
        <v>-175</v>
      </c>
      <c r="E23" s="867" cm="1">
        <f t="array" ref="E23">'Project Eldorado ROI in IDR'!E23/16000</f>
        <v>0</v>
      </c>
      <c r="F23" s="867" cm="1">
        <f t="array" ref="F23">'Project Eldorado ROI in IDR'!F23/16000</f>
        <v>-196.875</v>
      </c>
      <c r="G23" s="864" cm="1">
        <f t="array" ref="G23">'Project Eldorado ROI in IDR'!G23/16000</f>
        <v>0</v>
      </c>
      <c r="H23" s="867" cm="1">
        <f t="array" ref="H23">'Project Eldorado ROI in IDR'!H23/16000</f>
        <v>-153.125</v>
      </c>
      <c r="I23" s="213"/>
      <c r="J23" s="71"/>
      <c r="K23" t="s" s="216">
        <v>676</v>
      </c>
      <c r="L23" s="788"/>
      <c r="M23" s="867" cm="1">
        <f t="array" ref="M23">'Project Eldorado ROI in IDR'!M23/16000</f>
        <v>-175</v>
      </c>
      <c r="N23" s="867" cm="1">
        <f t="array" ref="N23">'Project Eldorado ROI in IDR'!N23/16000</f>
        <v>0</v>
      </c>
      <c r="O23" s="867" cm="1">
        <f t="array" ref="O23">'Project Eldorado ROI in IDR'!O23/16000</f>
        <v>-196.875</v>
      </c>
      <c r="P23" s="864" cm="1">
        <f t="array" ref="P23">'Project Eldorado ROI in IDR'!P23/16000</f>
        <v>0</v>
      </c>
      <c r="Q23" s="867" cm="1">
        <f t="array" ref="Q23">'Project Eldorado ROI in IDR'!Q23/16000</f>
        <v>-153.125</v>
      </c>
      <c r="R23" s="213"/>
      <c r="S23" s="71"/>
      <c r="T23" t="s" s="216">
        <v>676</v>
      </c>
      <c r="U23" s="788"/>
      <c r="V23" s="867" cm="1">
        <f t="array" ref="V23">'Project Eldorado ROI in IDR'!V23/16000</f>
        <v>-175</v>
      </c>
      <c r="W23" s="867" cm="1">
        <f t="array" ref="W23">'Project Eldorado ROI in IDR'!W23/16000</f>
        <v>0</v>
      </c>
      <c r="X23" s="867" cm="1">
        <f t="array" ref="X23">'Project Eldorado ROI in IDR'!X23/16000</f>
        <v>-196.875</v>
      </c>
      <c r="Y23" s="864" cm="1">
        <f t="array" ref="Y23">'Project Eldorado ROI in IDR'!Y23/16000</f>
        <v>0</v>
      </c>
      <c r="Z23" s="867" cm="1">
        <f t="array" ref="Z23">'Project Eldorado ROI in IDR'!Z23/16000</f>
        <v>-153.125</v>
      </c>
      <c r="AA23" s="213"/>
      <c r="AB23" s="71"/>
      <c r="AC23" t="s" s="216">
        <v>676</v>
      </c>
      <c r="AD23" s="788"/>
      <c r="AE23" s="867" cm="1">
        <f t="array" ref="AE23">'Project Eldorado ROI in IDR'!AE23/16000</f>
        <v>-175</v>
      </c>
      <c r="AF23" s="867" cm="1">
        <f t="array" ref="AF23">'Project Eldorado ROI in IDR'!AF23/16000</f>
        <v>0</v>
      </c>
      <c r="AG23" s="867" cm="1">
        <f t="array" ref="AG23">'Project Eldorado ROI in IDR'!AG23/16000</f>
        <v>-196.875</v>
      </c>
      <c r="AH23" s="864" cm="1">
        <f t="array" ref="AH23">'Project Eldorado ROI in IDR'!AH23/16000</f>
        <v>0</v>
      </c>
      <c r="AI23" s="867" cm="1">
        <f t="array" ref="AI23">'Project Eldorado ROI in IDR'!AI23/16000</f>
        <v>-153.125</v>
      </c>
      <c r="AJ23" s="213"/>
    </row>
    <row r="24" ht="14" customHeight="1">
      <c r="A24" s="12"/>
      <c r="B24" t="s" s="216">
        <v>677</v>
      </c>
      <c r="C24" s="788"/>
      <c r="D24" s="867" cm="1">
        <f t="array" ref="D24">'Project Eldorado ROI in IDR'!D24/16000</f>
        <v>-3850</v>
      </c>
      <c r="E24" s="867" cm="1">
        <f t="array" ref="E24">'Project Eldorado ROI in IDR'!E24/16000</f>
        <v>0</v>
      </c>
      <c r="F24" s="867" cm="1">
        <f t="array" ref="F24">'Project Eldorado ROI in IDR'!F24/16000</f>
        <v>-4331.25</v>
      </c>
      <c r="G24" s="864" cm="1">
        <f t="array" ref="G24">'Project Eldorado ROI in IDR'!G24/16000</f>
        <v>0</v>
      </c>
      <c r="H24" s="867" cm="1">
        <f t="array" ref="H24">'Project Eldorado ROI in IDR'!H24/16000</f>
        <v>-3368.75</v>
      </c>
      <c r="I24" s="213"/>
      <c r="J24" s="71"/>
      <c r="K24" t="s" s="216">
        <v>677</v>
      </c>
      <c r="L24" s="788"/>
      <c r="M24" s="867" cm="1">
        <f t="array" ref="M24">'Project Eldorado ROI in IDR'!M24/16000</f>
        <v>-3850</v>
      </c>
      <c r="N24" s="867" cm="1">
        <f t="array" ref="N24">'Project Eldorado ROI in IDR'!N24/16000</f>
        <v>0</v>
      </c>
      <c r="O24" s="867" cm="1">
        <f t="array" ref="O24">'Project Eldorado ROI in IDR'!O24/16000</f>
        <v>-4331.25</v>
      </c>
      <c r="P24" s="864" cm="1">
        <f t="array" ref="P24">'Project Eldorado ROI in IDR'!P24/16000</f>
        <v>0</v>
      </c>
      <c r="Q24" s="867" cm="1">
        <f t="array" ref="Q24">'Project Eldorado ROI in IDR'!Q24/16000</f>
        <v>-3368.75</v>
      </c>
      <c r="R24" s="213"/>
      <c r="S24" s="71"/>
      <c r="T24" t="s" s="216">
        <v>677</v>
      </c>
      <c r="U24" s="788"/>
      <c r="V24" s="867" cm="1">
        <f t="array" ref="V24">'Project Eldorado ROI in IDR'!V24/16000</f>
        <v>-3850</v>
      </c>
      <c r="W24" s="867" cm="1">
        <f t="array" ref="W24">'Project Eldorado ROI in IDR'!W24/16000</f>
        <v>0</v>
      </c>
      <c r="X24" s="867" cm="1">
        <f t="array" ref="X24">'Project Eldorado ROI in IDR'!X24/16000</f>
        <v>-4331.25</v>
      </c>
      <c r="Y24" s="864" cm="1">
        <f t="array" ref="Y24">'Project Eldorado ROI in IDR'!Y24/16000</f>
        <v>0</v>
      </c>
      <c r="Z24" s="867" cm="1">
        <f t="array" ref="Z24">'Project Eldorado ROI in IDR'!Z24/16000</f>
        <v>-3368.75</v>
      </c>
      <c r="AA24" s="213"/>
      <c r="AB24" s="71"/>
      <c r="AC24" t="s" s="216">
        <v>677</v>
      </c>
      <c r="AD24" s="788"/>
      <c r="AE24" s="867" cm="1">
        <f t="array" ref="AE24">'Project Eldorado ROI in IDR'!AE24/16000</f>
        <v>-3850</v>
      </c>
      <c r="AF24" s="867" cm="1">
        <f t="array" ref="AF24">'Project Eldorado ROI in IDR'!AF24/16000</f>
        <v>0</v>
      </c>
      <c r="AG24" s="867" cm="1">
        <f t="array" ref="AG24">'Project Eldorado ROI in IDR'!AG24/16000</f>
        <v>-4331.25</v>
      </c>
      <c r="AH24" s="864" cm="1">
        <f t="array" ref="AH24">'Project Eldorado ROI in IDR'!AH24/16000</f>
        <v>0</v>
      </c>
      <c r="AI24" s="867" cm="1">
        <f t="array" ref="AI24">'Project Eldorado ROI in IDR'!AI24/16000</f>
        <v>-3368.75</v>
      </c>
      <c r="AJ24" s="213"/>
    </row>
    <row r="25" ht="14" customHeight="1">
      <c r="A25" s="12"/>
      <c r="B25" t="s" s="216">
        <v>678</v>
      </c>
      <c r="C25" s="788"/>
      <c r="D25" s="867" cm="1">
        <f t="array" ref="D25">'Project Eldorado ROI in IDR'!D25/16000</f>
        <v>-3946.25</v>
      </c>
      <c r="E25" s="867" cm="1">
        <f t="array" ref="E25">'Project Eldorado ROI in IDR'!E25/16000</f>
        <v>0</v>
      </c>
      <c r="F25" s="867" cm="1">
        <f t="array" ref="F25">'Project Eldorado ROI in IDR'!F25/16000</f>
        <v>-4439.53125</v>
      </c>
      <c r="G25" s="864" cm="1">
        <f t="array" ref="G25">'Project Eldorado ROI in IDR'!G25/16000</f>
        <v>0</v>
      </c>
      <c r="H25" s="867" cm="1">
        <f t="array" ref="H25">'Project Eldorado ROI in IDR'!H25/16000</f>
        <v>-3452.96875</v>
      </c>
      <c r="I25" s="213"/>
      <c r="J25" s="71"/>
      <c r="K25" t="s" s="216">
        <v>678</v>
      </c>
      <c r="L25" s="788"/>
      <c r="M25" s="867" cm="1">
        <f t="array" ref="M25">'Project Eldorado ROI in IDR'!M25/16000</f>
        <v>-3946.25</v>
      </c>
      <c r="N25" s="867" cm="1">
        <f t="array" ref="N25">'Project Eldorado ROI in IDR'!N25/16000</f>
        <v>0</v>
      </c>
      <c r="O25" s="867" cm="1">
        <f t="array" ref="O25">'Project Eldorado ROI in IDR'!O25/16000</f>
        <v>-4439.53125</v>
      </c>
      <c r="P25" s="864" cm="1">
        <f t="array" ref="P25">'Project Eldorado ROI in IDR'!P25/16000</f>
        <v>0</v>
      </c>
      <c r="Q25" s="867" cm="1">
        <f t="array" ref="Q25">'Project Eldorado ROI in IDR'!Q25/16000</f>
        <v>-3452.96875</v>
      </c>
      <c r="R25" s="213"/>
      <c r="S25" s="71"/>
      <c r="T25" t="s" s="216">
        <v>678</v>
      </c>
      <c r="U25" s="788"/>
      <c r="V25" s="867" cm="1">
        <f t="array" ref="V25">'Project Eldorado ROI in IDR'!V25/16000</f>
        <v>-3946.25</v>
      </c>
      <c r="W25" s="867" cm="1">
        <f t="array" ref="W25">'Project Eldorado ROI in IDR'!W25/16000</f>
        <v>0</v>
      </c>
      <c r="X25" s="867" cm="1">
        <f t="array" ref="X25">'Project Eldorado ROI in IDR'!X25/16000</f>
        <v>-4439.53125</v>
      </c>
      <c r="Y25" s="864" cm="1">
        <f t="array" ref="Y25">'Project Eldorado ROI in IDR'!Y25/16000</f>
        <v>0</v>
      </c>
      <c r="Z25" s="867" cm="1">
        <f t="array" ref="Z25">'Project Eldorado ROI in IDR'!Z25/16000</f>
        <v>-3452.96875</v>
      </c>
      <c r="AA25" s="213"/>
      <c r="AB25" s="71"/>
      <c r="AC25" t="s" s="216">
        <v>678</v>
      </c>
      <c r="AD25" s="788"/>
      <c r="AE25" s="867" cm="1">
        <f t="array" ref="AE25">'Project Eldorado ROI in IDR'!AE25/16000</f>
        <v>-3946.25</v>
      </c>
      <c r="AF25" s="867" cm="1">
        <f t="array" ref="AF25">'Project Eldorado ROI in IDR'!AF25/16000</f>
        <v>0</v>
      </c>
      <c r="AG25" s="867" cm="1">
        <f t="array" ref="AG25">'Project Eldorado ROI in IDR'!AG25/16000</f>
        <v>-4439.53125</v>
      </c>
      <c r="AH25" s="864" cm="1">
        <f t="array" ref="AH25">'Project Eldorado ROI in IDR'!AH25/16000</f>
        <v>0</v>
      </c>
      <c r="AI25" s="867" cm="1">
        <f t="array" ref="AI25">'Project Eldorado ROI in IDR'!AI25/16000</f>
        <v>-3452.96875</v>
      </c>
      <c r="AJ25" s="213"/>
    </row>
    <row r="26" ht="14" customHeight="1">
      <c r="A26" s="12"/>
      <c r="B26" t="s" s="216">
        <v>679</v>
      </c>
      <c r="C26" s="788"/>
      <c r="D26" s="863" cm="1">
        <f t="array" ref="D26">'Project Eldorado ROI in IDR'!D26/16000</f>
        <v>-7612.5</v>
      </c>
      <c r="E26" s="864" cm="1">
        <f t="array" ref="E26">'Project Eldorado ROI in IDR'!E26/16000</f>
        <v>0</v>
      </c>
      <c r="F26" s="863" cm="1">
        <f t="array" ref="F26">'Project Eldorado ROI in IDR'!F26/16000</f>
        <v>-8564.0625</v>
      </c>
      <c r="G26" s="864" cm="1">
        <f t="array" ref="G26">'Project Eldorado ROI in IDR'!G26/16000</f>
        <v>0</v>
      </c>
      <c r="H26" s="863" cm="1">
        <f t="array" ref="H26">'Project Eldorado ROI in IDR'!H26/16000</f>
        <v>-6660.9375</v>
      </c>
      <c r="I26" s="213"/>
      <c r="J26" s="71"/>
      <c r="K26" t="s" s="216">
        <v>679</v>
      </c>
      <c r="L26" s="788"/>
      <c r="M26" s="863" cm="1">
        <f t="array" ref="M26">'Project Eldorado ROI in IDR'!M26/16000</f>
        <v>-7612.5</v>
      </c>
      <c r="N26" s="864" cm="1">
        <f t="array" ref="N26">'Project Eldorado ROI in IDR'!N26/16000</f>
        <v>0</v>
      </c>
      <c r="O26" s="863" cm="1">
        <f t="array" ref="O26">'Project Eldorado ROI in IDR'!O26/16000</f>
        <v>-8564.0625</v>
      </c>
      <c r="P26" s="864" cm="1">
        <f t="array" ref="P26">'Project Eldorado ROI in IDR'!P26/16000</f>
        <v>0</v>
      </c>
      <c r="Q26" s="863" cm="1">
        <f t="array" ref="Q26">'Project Eldorado ROI in IDR'!Q26/16000</f>
        <v>-6660.9375</v>
      </c>
      <c r="R26" s="213"/>
      <c r="S26" s="71"/>
      <c r="T26" t="s" s="216">
        <v>679</v>
      </c>
      <c r="U26" s="788"/>
      <c r="V26" s="863" cm="1">
        <f t="array" ref="V26">'Project Eldorado ROI in IDR'!V26/16000</f>
        <v>-7612.5</v>
      </c>
      <c r="W26" s="864" cm="1">
        <f t="array" ref="W26">'Project Eldorado ROI in IDR'!W26/16000</f>
        <v>0</v>
      </c>
      <c r="X26" s="863" cm="1">
        <f t="array" ref="X26">'Project Eldorado ROI in IDR'!X26/16000</f>
        <v>-8564.0625</v>
      </c>
      <c r="Y26" s="864" cm="1">
        <f t="array" ref="Y26">'Project Eldorado ROI in IDR'!Y26/16000</f>
        <v>0</v>
      </c>
      <c r="Z26" s="863" cm="1">
        <f t="array" ref="Z26">'Project Eldorado ROI in IDR'!Z26/16000</f>
        <v>-6660.9375</v>
      </c>
      <c r="AA26" s="213"/>
      <c r="AB26" s="71"/>
      <c r="AC26" t="s" s="216">
        <v>679</v>
      </c>
      <c r="AD26" s="788"/>
      <c r="AE26" s="863" cm="1">
        <f t="array" ref="AE26">'Project Eldorado ROI in IDR'!AE26/16000</f>
        <v>-7612.5</v>
      </c>
      <c r="AF26" s="864" cm="1">
        <f t="array" ref="AF26">'Project Eldorado ROI in IDR'!AF26/16000</f>
        <v>0</v>
      </c>
      <c r="AG26" s="863" cm="1">
        <f t="array" ref="AG26">'Project Eldorado ROI in IDR'!AG26/16000</f>
        <v>-8564.0625</v>
      </c>
      <c r="AH26" s="864" cm="1">
        <f t="array" ref="AH26">'Project Eldorado ROI in IDR'!AH26/16000</f>
        <v>0</v>
      </c>
      <c r="AI26" s="863" cm="1">
        <f t="array" ref="AI26">'Project Eldorado ROI in IDR'!AI26/16000</f>
        <v>-6660.9375</v>
      </c>
      <c r="AJ26" s="213"/>
    </row>
    <row r="27" ht="14" customHeight="1">
      <c r="A27" s="12"/>
      <c r="B27" t="s" s="221">
        <v>680</v>
      </c>
      <c r="C27" s="788"/>
      <c r="D27" s="865" cm="1">
        <f t="array" ref="D27">'Project Eldorado ROI in IDR'!D27/16000</f>
        <v>-181517.583333333</v>
      </c>
      <c r="E27" s="866" cm="1">
        <f t="array" ref="E27">'Project Eldorado ROI in IDR'!E27/16000</f>
        <v>0</v>
      </c>
      <c r="F27" s="865" cm="1">
        <f t="array" ref="F27">'Project Eldorado ROI in IDR'!F27/16000</f>
        <v>-204207.28125</v>
      </c>
      <c r="G27" s="864" cm="1">
        <f t="array" ref="G27">'Project Eldorado ROI in IDR'!G27/16000</f>
        <v>0</v>
      </c>
      <c r="H27" s="865" cm="1">
        <f t="array" ref="H27">'Project Eldorado ROI in IDR'!H27/16000</f>
        <v>-158827.885416667</v>
      </c>
      <c r="I27" s="213"/>
      <c r="J27" s="71"/>
      <c r="K27" t="s" s="221">
        <v>680</v>
      </c>
      <c r="L27" s="788"/>
      <c r="M27" s="865" cm="1">
        <f t="array" ref="M27">'Project Eldorado ROI in IDR'!M27/16000</f>
        <v>-181517.583333333</v>
      </c>
      <c r="N27" s="866" cm="1">
        <f t="array" ref="N27">'Project Eldorado ROI in IDR'!N27/16000</f>
        <v>0</v>
      </c>
      <c r="O27" s="865" cm="1">
        <f t="array" ref="O27">'Project Eldorado ROI in IDR'!O27/16000</f>
        <v>-204207.28125</v>
      </c>
      <c r="P27" s="864" cm="1">
        <f t="array" ref="P27">'Project Eldorado ROI in IDR'!P27/16000</f>
        <v>0</v>
      </c>
      <c r="Q27" s="865" cm="1">
        <f t="array" ref="Q27">'Project Eldorado ROI in IDR'!Q27/16000</f>
        <v>-158827.885416667</v>
      </c>
      <c r="R27" s="213"/>
      <c r="S27" s="71"/>
      <c r="T27" t="s" s="221">
        <v>680</v>
      </c>
      <c r="U27" s="788"/>
      <c r="V27" s="865" cm="1">
        <f t="array" ref="V27">'Project Eldorado ROI in IDR'!V27/16000</f>
        <v>-181517.583333333</v>
      </c>
      <c r="W27" s="866" cm="1">
        <f t="array" ref="W27">'Project Eldorado ROI in IDR'!W27/16000</f>
        <v>0</v>
      </c>
      <c r="X27" s="865" cm="1">
        <f t="array" ref="X27">'Project Eldorado ROI in IDR'!X27/16000</f>
        <v>-204207.28125</v>
      </c>
      <c r="Y27" s="864" cm="1">
        <f t="array" ref="Y27">'Project Eldorado ROI in IDR'!Y27/16000</f>
        <v>0</v>
      </c>
      <c r="Z27" s="865" cm="1">
        <f t="array" ref="Z27">'Project Eldorado ROI in IDR'!Z27/16000</f>
        <v>-158827.885416667</v>
      </c>
      <c r="AA27" s="213"/>
      <c r="AB27" s="71"/>
      <c r="AC27" t="s" s="221">
        <v>680</v>
      </c>
      <c r="AD27" s="788"/>
      <c r="AE27" s="865" cm="1">
        <f t="array" ref="AE27">'Project Eldorado ROI in IDR'!AE27/16000</f>
        <v>-181517.583333333</v>
      </c>
      <c r="AF27" s="866" cm="1">
        <f t="array" ref="AF27">'Project Eldorado ROI in IDR'!AF27/16000</f>
        <v>0</v>
      </c>
      <c r="AG27" s="865" cm="1">
        <f t="array" ref="AG27">'Project Eldorado ROI in IDR'!AG27/16000</f>
        <v>-204207.28125</v>
      </c>
      <c r="AH27" s="864" cm="1">
        <f t="array" ref="AH27">'Project Eldorado ROI in IDR'!AH27/16000</f>
        <v>0</v>
      </c>
      <c r="AI27" s="865" cm="1">
        <f t="array" ref="AI27">'Project Eldorado ROI in IDR'!AI27/16000</f>
        <v>-158827.885416667</v>
      </c>
      <c r="AJ27" s="213"/>
    </row>
    <row r="28" ht="8" customHeight="1">
      <c r="A28" s="12"/>
      <c r="B28" s="793"/>
      <c r="C28" s="788"/>
      <c r="D28" s="222"/>
      <c r="E28" s="222"/>
      <c r="F28" s="222"/>
      <c r="G28" s="787"/>
      <c r="H28" s="222"/>
      <c r="I28" s="213"/>
      <c r="J28" s="71"/>
      <c r="K28" s="793"/>
      <c r="L28" s="788"/>
      <c r="M28" s="222"/>
      <c r="N28" s="222"/>
      <c r="O28" s="222"/>
      <c r="P28" s="787"/>
      <c r="Q28" s="222"/>
      <c r="R28" s="213"/>
      <c r="S28" s="71"/>
      <c r="T28" s="793"/>
      <c r="U28" s="788"/>
      <c r="V28" s="222"/>
      <c r="W28" s="222"/>
      <c r="X28" s="222"/>
      <c r="Y28" s="787"/>
      <c r="Z28" s="222"/>
      <c r="AA28" s="213"/>
      <c r="AB28" s="71"/>
      <c r="AC28" s="793"/>
      <c r="AD28" s="788"/>
      <c r="AE28" s="222"/>
      <c r="AF28" s="222"/>
      <c r="AG28" s="222"/>
      <c r="AH28" s="787"/>
      <c r="AI28" s="222"/>
      <c r="AJ28" s="213"/>
    </row>
    <row r="29" ht="14" customHeight="1">
      <c r="A29" s="12"/>
      <c r="B29" t="s" s="216">
        <v>681</v>
      </c>
      <c r="C29" s="788"/>
      <c r="D29" s="222"/>
      <c r="E29" s="222"/>
      <c r="F29" s="222"/>
      <c r="G29" s="787"/>
      <c r="H29" s="222"/>
      <c r="I29" s="213"/>
      <c r="J29" s="71"/>
      <c r="K29" t="s" s="216">
        <v>681</v>
      </c>
      <c r="L29" s="788"/>
      <c r="M29" s="222"/>
      <c r="N29" s="222"/>
      <c r="O29" s="222"/>
      <c r="P29" s="787"/>
      <c r="Q29" s="222"/>
      <c r="R29" s="213"/>
      <c r="S29" s="71"/>
      <c r="T29" t="s" s="216">
        <v>681</v>
      </c>
      <c r="U29" s="788"/>
      <c r="V29" s="222"/>
      <c r="W29" s="222"/>
      <c r="X29" s="222"/>
      <c r="Y29" s="787"/>
      <c r="Z29" s="222"/>
      <c r="AA29" s="213"/>
      <c r="AB29" s="71"/>
      <c r="AC29" t="s" s="216">
        <v>681</v>
      </c>
      <c r="AD29" s="788"/>
      <c r="AE29" s="222"/>
      <c r="AF29" s="222"/>
      <c r="AG29" s="222"/>
      <c r="AH29" s="787"/>
      <c r="AI29" s="222"/>
      <c r="AJ29" s="213"/>
    </row>
    <row r="30" ht="14" customHeight="1">
      <c r="A30" s="12"/>
      <c r="B30" t="s" s="216">
        <v>682</v>
      </c>
      <c r="C30" s="788"/>
      <c r="D30" s="867" cm="1">
        <f t="array" ref="D30">'Project Eldorado ROI in IDR'!D30/16000</f>
        <v>-8125</v>
      </c>
      <c r="E30" s="867" cm="1">
        <f t="array" ref="E30">'Project Eldorado ROI in IDR'!E30/16000</f>
        <v>0</v>
      </c>
      <c r="F30" s="867" cm="1">
        <f t="array" ref="F30">'Project Eldorado ROI in IDR'!F30/16000</f>
        <v>-8125</v>
      </c>
      <c r="G30" s="864" cm="1">
        <f t="array" ref="G30">'Project Eldorado ROI in IDR'!G30/16000</f>
        <v>0</v>
      </c>
      <c r="H30" s="867" cm="1">
        <f t="array" ref="H30">'Project Eldorado ROI in IDR'!H30/16000</f>
        <v>-8125</v>
      </c>
      <c r="I30" s="213"/>
      <c r="J30" s="71"/>
      <c r="K30" t="s" s="216">
        <v>682</v>
      </c>
      <c r="L30" s="788"/>
      <c r="M30" s="867" cm="1">
        <f t="array" ref="M30">'Project Eldorado ROI in IDR'!M30/16000</f>
        <v>-8125</v>
      </c>
      <c r="N30" s="867" cm="1">
        <f t="array" ref="N30">'Project Eldorado ROI in IDR'!N30/16000</f>
        <v>0</v>
      </c>
      <c r="O30" s="867" cm="1">
        <f t="array" ref="O30">'Project Eldorado ROI in IDR'!O30/16000</f>
        <v>-8125</v>
      </c>
      <c r="P30" s="864" cm="1">
        <f t="array" ref="P30">'Project Eldorado ROI in IDR'!P30/16000</f>
        <v>0</v>
      </c>
      <c r="Q30" s="867" cm="1">
        <f t="array" ref="Q30">'Project Eldorado ROI in IDR'!Q30/16000</f>
        <v>-8125</v>
      </c>
      <c r="R30" s="213"/>
      <c r="S30" s="71"/>
      <c r="T30" t="s" s="216">
        <v>682</v>
      </c>
      <c r="U30" s="788"/>
      <c r="V30" s="867" cm="1">
        <f t="array" ref="V30">'Project Eldorado ROI in IDR'!V30/16000</f>
        <v>-8125</v>
      </c>
      <c r="W30" s="867" cm="1">
        <f t="array" ref="W30">'Project Eldorado ROI in IDR'!W30/16000</f>
        <v>0</v>
      </c>
      <c r="X30" s="867" cm="1">
        <f t="array" ref="X30">'Project Eldorado ROI in IDR'!X30/16000</f>
        <v>-8125</v>
      </c>
      <c r="Y30" s="864" cm="1">
        <f t="array" ref="Y30">'Project Eldorado ROI in IDR'!Y30/16000</f>
        <v>0</v>
      </c>
      <c r="Z30" s="867" cm="1">
        <f t="array" ref="Z30">'Project Eldorado ROI in IDR'!Z30/16000</f>
        <v>-8125</v>
      </c>
      <c r="AA30" s="213"/>
      <c r="AB30" s="71"/>
      <c r="AC30" t="s" s="216">
        <v>682</v>
      </c>
      <c r="AD30" s="788"/>
      <c r="AE30" s="867" cm="1">
        <f t="array" ref="AE30">'Project Eldorado ROI in IDR'!AE30/16000</f>
        <v>-8125</v>
      </c>
      <c r="AF30" s="867" cm="1">
        <f t="array" ref="AF30">'Project Eldorado ROI in IDR'!AF30/16000</f>
        <v>0</v>
      </c>
      <c r="AG30" s="867" cm="1">
        <f t="array" ref="AG30">'Project Eldorado ROI in IDR'!AG30/16000</f>
        <v>-8125</v>
      </c>
      <c r="AH30" s="864" cm="1">
        <f t="array" ref="AH30">'Project Eldorado ROI in IDR'!AH30/16000</f>
        <v>0</v>
      </c>
      <c r="AI30" s="867" cm="1">
        <f t="array" ref="AI30">'Project Eldorado ROI in IDR'!AI30/16000</f>
        <v>-8125</v>
      </c>
      <c r="AJ30" s="213"/>
    </row>
    <row r="31" ht="14" customHeight="1">
      <c r="A31" s="12"/>
      <c r="B31" t="s" s="216">
        <v>683</v>
      </c>
      <c r="C31" s="788"/>
      <c r="D31" s="867" cm="1">
        <f t="array" ref="D31">'Project Eldorado ROI in IDR'!D31/16000</f>
        <v>-2428.026</v>
      </c>
      <c r="E31" s="867" cm="1">
        <f t="array" ref="E31">'Project Eldorado ROI in IDR'!E31/16000</f>
        <v>0</v>
      </c>
      <c r="F31" s="867" cm="1">
        <f t="array" ref="F31">'Project Eldorado ROI in IDR'!F31/16000</f>
        <v>-2428.026</v>
      </c>
      <c r="G31" s="864" cm="1">
        <f t="array" ref="G31">'Project Eldorado ROI in IDR'!G31/16000</f>
        <v>0</v>
      </c>
      <c r="H31" s="867" cm="1">
        <f t="array" ref="H31">'Project Eldorado ROI in IDR'!H31/16000</f>
        <v>-2428.026</v>
      </c>
      <c r="I31" s="213"/>
      <c r="J31" s="71"/>
      <c r="K31" t="s" s="216">
        <v>683</v>
      </c>
      <c r="L31" s="788"/>
      <c r="M31" s="867" cm="1">
        <f t="array" ref="M31">'Project Eldorado ROI in IDR'!M31/16000</f>
        <v>-2428.026</v>
      </c>
      <c r="N31" s="867" cm="1">
        <f t="array" ref="N31">'Project Eldorado ROI in IDR'!N31/16000</f>
        <v>0</v>
      </c>
      <c r="O31" s="867" cm="1">
        <f t="array" ref="O31">'Project Eldorado ROI in IDR'!O31/16000</f>
        <v>-2428.026</v>
      </c>
      <c r="P31" s="864" cm="1">
        <f t="array" ref="P31">'Project Eldorado ROI in IDR'!P31/16000</f>
        <v>0</v>
      </c>
      <c r="Q31" s="867" cm="1">
        <f t="array" ref="Q31">'Project Eldorado ROI in IDR'!Q31/16000</f>
        <v>-2428.026</v>
      </c>
      <c r="R31" s="213"/>
      <c r="S31" s="71"/>
      <c r="T31" t="s" s="216">
        <v>683</v>
      </c>
      <c r="U31" s="788"/>
      <c r="V31" s="867" cm="1">
        <f t="array" ref="V31">'Project Eldorado ROI in IDR'!V31/16000</f>
        <v>-2428.026</v>
      </c>
      <c r="W31" s="867" cm="1">
        <f t="array" ref="W31">'Project Eldorado ROI in IDR'!W31/16000</f>
        <v>0</v>
      </c>
      <c r="X31" s="867" cm="1">
        <f t="array" ref="X31">'Project Eldorado ROI in IDR'!X31/16000</f>
        <v>-2428.026</v>
      </c>
      <c r="Y31" s="864" cm="1">
        <f t="array" ref="Y31">'Project Eldorado ROI in IDR'!Y31/16000</f>
        <v>0</v>
      </c>
      <c r="Z31" s="867" cm="1">
        <f t="array" ref="Z31">'Project Eldorado ROI in IDR'!Z31/16000</f>
        <v>-2428.026</v>
      </c>
      <c r="AA31" s="213"/>
      <c r="AB31" s="71"/>
      <c r="AC31" t="s" s="216">
        <v>683</v>
      </c>
      <c r="AD31" s="788"/>
      <c r="AE31" s="867" cm="1">
        <f t="array" ref="AE31">'Project Eldorado ROI in IDR'!AE31/16000</f>
        <v>-2428.026</v>
      </c>
      <c r="AF31" s="867" cm="1">
        <f t="array" ref="AF31">'Project Eldorado ROI in IDR'!AF31/16000</f>
        <v>0</v>
      </c>
      <c r="AG31" s="867" cm="1">
        <f t="array" ref="AG31">'Project Eldorado ROI in IDR'!AG31/16000</f>
        <v>-2428.026</v>
      </c>
      <c r="AH31" s="864" cm="1">
        <f t="array" ref="AH31">'Project Eldorado ROI in IDR'!AH31/16000</f>
        <v>0</v>
      </c>
      <c r="AI31" s="867" cm="1">
        <f t="array" ref="AI31">'Project Eldorado ROI in IDR'!AI31/16000</f>
        <v>-2428.026</v>
      </c>
      <c r="AJ31" s="213"/>
    </row>
    <row r="32" ht="14" customHeight="1">
      <c r="A32" s="12"/>
      <c r="B32" t="s" s="216">
        <v>684</v>
      </c>
      <c r="C32" s="788"/>
      <c r="D32" s="867" cm="1">
        <f t="array" ref="D32">'Project Eldorado ROI in IDR'!D32/16000</f>
        <v>-881.25</v>
      </c>
      <c r="E32" s="867" cm="1">
        <f t="array" ref="E32">'Project Eldorado ROI in IDR'!E32/16000</f>
        <v>0</v>
      </c>
      <c r="F32" s="867" cm="1">
        <f t="array" ref="F32">'Project Eldorado ROI in IDR'!F32/16000</f>
        <v>-881.25</v>
      </c>
      <c r="G32" s="864" cm="1">
        <f t="array" ref="G32">'Project Eldorado ROI in IDR'!G32/16000</f>
        <v>0</v>
      </c>
      <c r="H32" s="867" cm="1">
        <f t="array" ref="H32">'Project Eldorado ROI in IDR'!H32/16000</f>
        <v>-881.25</v>
      </c>
      <c r="I32" s="213"/>
      <c r="J32" s="71"/>
      <c r="K32" t="s" s="216">
        <v>684</v>
      </c>
      <c r="L32" s="788"/>
      <c r="M32" s="867" cm="1">
        <f t="array" ref="M32">'Project Eldorado ROI in IDR'!M32/16000</f>
        <v>-881.25</v>
      </c>
      <c r="N32" s="867" cm="1">
        <f t="array" ref="N32">'Project Eldorado ROI in IDR'!N32/16000</f>
        <v>0</v>
      </c>
      <c r="O32" s="867" cm="1">
        <f t="array" ref="O32">'Project Eldorado ROI in IDR'!O32/16000</f>
        <v>-881.25</v>
      </c>
      <c r="P32" s="864" cm="1">
        <f t="array" ref="P32">'Project Eldorado ROI in IDR'!P32/16000</f>
        <v>0</v>
      </c>
      <c r="Q32" s="867" cm="1">
        <f t="array" ref="Q32">'Project Eldorado ROI in IDR'!Q32/16000</f>
        <v>-881.25</v>
      </c>
      <c r="R32" s="213"/>
      <c r="S32" s="71"/>
      <c r="T32" t="s" s="216">
        <v>684</v>
      </c>
      <c r="U32" s="788"/>
      <c r="V32" s="867" cm="1">
        <f t="array" ref="V32">'Project Eldorado ROI in IDR'!V32/16000</f>
        <v>-881.25</v>
      </c>
      <c r="W32" s="867" cm="1">
        <f t="array" ref="W32">'Project Eldorado ROI in IDR'!W32/16000</f>
        <v>0</v>
      </c>
      <c r="X32" s="867" cm="1">
        <f t="array" ref="X32">'Project Eldorado ROI in IDR'!X32/16000</f>
        <v>-881.25</v>
      </c>
      <c r="Y32" s="864" cm="1">
        <f t="array" ref="Y32">'Project Eldorado ROI in IDR'!Y32/16000</f>
        <v>0</v>
      </c>
      <c r="Z32" s="867" cm="1">
        <f t="array" ref="Z32">'Project Eldorado ROI in IDR'!Z32/16000</f>
        <v>-881.25</v>
      </c>
      <c r="AA32" s="213"/>
      <c r="AB32" s="71"/>
      <c r="AC32" t="s" s="216">
        <v>684</v>
      </c>
      <c r="AD32" s="788"/>
      <c r="AE32" s="867" cm="1">
        <f t="array" ref="AE32">'Project Eldorado ROI in IDR'!AE32/16000</f>
        <v>-881.25</v>
      </c>
      <c r="AF32" s="867" cm="1">
        <f t="array" ref="AF32">'Project Eldorado ROI in IDR'!AF32/16000</f>
        <v>0</v>
      </c>
      <c r="AG32" s="867" cm="1">
        <f t="array" ref="AG32">'Project Eldorado ROI in IDR'!AG32/16000</f>
        <v>-881.25</v>
      </c>
      <c r="AH32" s="864" cm="1">
        <f t="array" ref="AH32">'Project Eldorado ROI in IDR'!AH32/16000</f>
        <v>0</v>
      </c>
      <c r="AI32" s="867" cm="1">
        <f t="array" ref="AI32">'Project Eldorado ROI in IDR'!AI32/16000</f>
        <v>-881.25</v>
      </c>
      <c r="AJ32" s="213"/>
    </row>
    <row r="33" ht="14" customHeight="1">
      <c r="A33" s="12"/>
      <c r="B33" t="s" s="216">
        <v>385</v>
      </c>
      <c r="C33" s="788"/>
      <c r="D33" s="863" cm="1">
        <f t="array" ref="D33">'Project Eldorado ROI in IDR'!D33/16000</f>
        <v>-1842.75</v>
      </c>
      <c r="E33" s="864" cm="1">
        <f t="array" ref="E33">'Project Eldorado ROI in IDR'!E33/16000</f>
        <v>0</v>
      </c>
      <c r="F33" s="863" cm="1">
        <f t="array" ref="F33">'Project Eldorado ROI in IDR'!F33/16000</f>
        <v>-2130.6796875</v>
      </c>
      <c r="G33" s="864" cm="1">
        <f t="array" ref="G33">'Project Eldorado ROI in IDR'!G33/16000</f>
        <v>0</v>
      </c>
      <c r="H33" s="863" cm="1">
        <f t="array" ref="H33">'Project Eldorado ROI in IDR'!H33/16000</f>
        <v>-1590.01171875</v>
      </c>
      <c r="I33" s="213"/>
      <c r="J33" s="71"/>
      <c r="K33" t="s" s="216">
        <v>385</v>
      </c>
      <c r="L33" s="788"/>
      <c r="M33" s="863" cm="1">
        <f t="array" ref="M33">'Project Eldorado ROI in IDR'!M33/16000</f>
        <v>-1817.15625</v>
      </c>
      <c r="N33" s="864" cm="1">
        <f t="array" ref="N33">'Project Eldorado ROI in IDR'!N33/16000</f>
        <v>0</v>
      </c>
      <c r="O33" s="863" cm="1">
        <f t="array" ref="O33">'Project Eldorado ROI in IDR'!O33/16000</f>
        <v>-2101.88671875</v>
      </c>
      <c r="P33" s="864" cm="1">
        <f t="array" ref="P33">'Project Eldorado ROI in IDR'!P33/16000</f>
        <v>0</v>
      </c>
      <c r="Q33" s="863" cm="1">
        <f t="array" ref="Q33">'Project Eldorado ROI in IDR'!Q33/16000</f>
        <v>-1545.22265625</v>
      </c>
      <c r="R33" s="213"/>
      <c r="S33" s="71"/>
      <c r="T33" t="s" s="216">
        <v>385</v>
      </c>
      <c r="U33" s="788"/>
      <c r="V33" s="863" cm="1">
        <f t="array" ref="V33">'Project Eldorado ROI in IDR'!V33/16000</f>
        <v>-1817.15625</v>
      </c>
      <c r="W33" s="864" cm="1">
        <f t="array" ref="W33">'Project Eldorado ROI in IDR'!W33/16000</f>
        <v>0</v>
      </c>
      <c r="X33" s="863" cm="1">
        <f t="array" ref="X33">'Project Eldorado ROI in IDR'!X33/16000</f>
        <v>-2101.88671875</v>
      </c>
      <c r="Y33" s="864" cm="1">
        <f t="array" ref="Y33">'Project Eldorado ROI in IDR'!Y33/16000</f>
        <v>0</v>
      </c>
      <c r="Z33" s="863" cm="1">
        <f t="array" ref="Z33">'Project Eldorado ROI in IDR'!Z33/16000</f>
        <v>-1545.22265625</v>
      </c>
      <c r="AA33" s="213"/>
      <c r="AB33" s="71"/>
      <c r="AC33" t="s" s="216">
        <v>385</v>
      </c>
      <c r="AD33" s="788"/>
      <c r="AE33" s="863" cm="1">
        <f t="array" ref="AE33">'Project Eldorado ROI in IDR'!AE33/16000</f>
        <v>-1817.15625</v>
      </c>
      <c r="AF33" s="864" cm="1">
        <f t="array" ref="AF33">'Project Eldorado ROI in IDR'!AF33/16000</f>
        <v>0</v>
      </c>
      <c r="AG33" s="863" cm="1">
        <f t="array" ref="AG33">'Project Eldorado ROI in IDR'!AG33/16000</f>
        <v>-2101.88671875</v>
      </c>
      <c r="AH33" s="864" cm="1">
        <f t="array" ref="AH33">'Project Eldorado ROI in IDR'!AH33/16000</f>
        <v>0</v>
      </c>
      <c r="AI33" s="863" cm="1">
        <f t="array" ref="AI33">'Project Eldorado ROI in IDR'!AI33/16000</f>
        <v>-1545.22265625</v>
      </c>
      <c r="AJ33" s="213"/>
    </row>
    <row r="34" ht="14" customHeight="1">
      <c r="A34" s="12"/>
      <c r="B34" t="s" s="221">
        <v>685</v>
      </c>
      <c r="C34" s="788"/>
      <c r="D34" s="865" cm="1">
        <f t="array" ref="D34">'Project Eldorado ROI in IDR'!D34/16000</f>
        <v>-13277.026</v>
      </c>
      <c r="E34" s="866" cm="1">
        <f t="array" ref="E34">'Project Eldorado ROI in IDR'!E34/16000</f>
        <v>0</v>
      </c>
      <c r="F34" s="865" cm="1">
        <f t="array" ref="F34">'Project Eldorado ROI in IDR'!F34/16000</f>
        <v>-13564.9556875</v>
      </c>
      <c r="G34" s="864" cm="1">
        <f t="array" ref="G34">'Project Eldorado ROI in IDR'!G34/16000</f>
        <v>0</v>
      </c>
      <c r="H34" s="865" cm="1">
        <f t="array" ref="H34">'Project Eldorado ROI in IDR'!H34/16000</f>
        <v>-13024.28771875</v>
      </c>
      <c r="I34" s="213"/>
      <c r="J34" s="71"/>
      <c r="K34" t="s" s="221">
        <v>685</v>
      </c>
      <c r="L34" s="788"/>
      <c r="M34" s="865" cm="1">
        <f t="array" ref="M34">'Project Eldorado ROI in IDR'!M34/16000</f>
        <v>-13251.43225</v>
      </c>
      <c r="N34" s="866" cm="1">
        <f t="array" ref="N34">'Project Eldorado ROI in IDR'!N34/16000</f>
        <v>0</v>
      </c>
      <c r="O34" s="865" cm="1">
        <f t="array" ref="O34">'Project Eldorado ROI in IDR'!O34/16000</f>
        <v>-13536.16271875</v>
      </c>
      <c r="P34" s="864" cm="1">
        <f t="array" ref="P34">'Project Eldorado ROI in IDR'!P34/16000</f>
        <v>0</v>
      </c>
      <c r="Q34" s="865" cm="1">
        <f t="array" ref="Q34">'Project Eldorado ROI in IDR'!Q34/16000</f>
        <v>-12979.49865625</v>
      </c>
      <c r="R34" s="213"/>
      <c r="S34" s="71"/>
      <c r="T34" t="s" s="221">
        <v>685</v>
      </c>
      <c r="U34" s="788"/>
      <c r="V34" s="865" cm="1">
        <f t="array" ref="V34">'Project Eldorado ROI in IDR'!V34/16000</f>
        <v>-13251.43225</v>
      </c>
      <c r="W34" s="866" cm="1">
        <f t="array" ref="W34">'Project Eldorado ROI in IDR'!W34/16000</f>
        <v>0</v>
      </c>
      <c r="X34" s="865" cm="1">
        <f t="array" ref="X34">'Project Eldorado ROI in IDR'!X34/16000</f>
        <v>-13536.16271875</v>
      </c>
      <c r="Y34" s="864" cm="1">
        <f t="array" ref="Y34">'Project Eldorado ROI in IDR'!Y34/16000</f>
        <v>0</v>
      </c>
      <c r="Z34" s="865" cm="1">
        <f t="array" ref="Z34">'Project Eldorado ROI in IDR'!Z34/16000</f>
        <v>-12979.49865625</v>
      </c>
      <c r="AA34" s="213"/>
      <c r="AB34" s="71"/>
      <c r="AC34" t="s" s="221">
        <v>685</v>
      </c>
      <c r="AD34" s="788"/>
      <c r="AE34" s="865" cm="1">
        <f t="array" ref="AE34">'Project Eldorado ROI in IDR'!AE34/16000</f>
        <v>-13251.43225</v>
      </c>
      <c r="AF34" s="866" cm="1">
        <f t="array" ref="AF34">'Project Eldorado ROI in IDR'!AF34/16000</f>
        <v>0</v>
      </c>
      <c r="AG34" s="865" cm="1">
        <f t="array" ref="AG34">'Project Eldorado ROI in IDR'!AG34/16000</f>
        <v>-13536.16271875</v>
      </c>
      <c r="AH34" s="864" cm="1">
        <f t="array" ref="AH34">'Project Eldorado ROI in IDR'!AH34/16000</f>
        <v>0</v>
      </c>
      <c r="AI34" s="865" cm="1">
        <f t="array" ref="AI34">'Project Eldorado ROI in IDR'!AI34/16000</f>
        <v>-12979.49865625</v>
      </c>
      <c r="AJ34" s="213"/>
    </row>
    <row r="35" ht="8" customHeight="1">
      <c r="A35" s="12"/>
      <c r="B35" s="793"/>
      <c r="C35" s="788"/>
      <c r="D35" s="794"/>
      <c r="E35" s="780"/>
      <c r="F35" s="794"/>
      <c r="G35" s="781"/>
      <c r="H35" s="794"/>
      <c r="I35" s="213"/>
      <c r="J35" s="71"/>
      <c r="K35" s="793"/>
      <c r="L35" s="788"/>
      <c r="M35" s="794"/>
      <c r="N35" s="780"/>
      <c r="O35" s="794"/>
      <c r="P35" s="781"/>
      <c r="Q35" s="794"/>
      <c r="R35" s="213"/>
      <c r="S35" s="71"/>
      <c r="T35" s="793"/>
      <c r="U35" s="788"/>
      <c r="V35" s="794"/>
      <c r="W35" s="780"/>
      <c r="X35" s="794"/>
      <c r="Y35" s="781"/>
      <c r="Z35" s="794"/>
      <c r="AA35" s="213"/>
      <c r="AB35" s="71"/>
      <c r="AC35" s="793"/>
      <c r="AD35" s="788"/>
      <c r="AE35" s="794"/>
      <c r="AF35" s="780"/>
      <c r="AG35" s="794"/>
      <c r="AH35" s="781"/>
      <c r="AI35" s="794"/>
      <c r="AJ35" s="213"/>
    </row>
    <row r="36" ht="13.5" customHeight="1">
      <c r="A36" s="12"/>
      <c r="B36" t="s" s="795">
        <v>686</v>
      </c>
      <c r="C36" s="788"/>
      <c r="D36" s="868" cm="1">
        <f t="array" ref="D36">'Project Eldorado ROI in IDR'!D36/16000</f>
        <v>173755.390666667</v>
      </c>
      <c r="E36" s="869" cm="1">
        <f t="array" ref="E36">'Project Eldorado ROI in IDR'!E36/16000</f>
        <v>0</v>
      </c>
      <c r="F36" s="868" cm="1">
        <f t="array" ref="F36">'Project Eldorado ROI in IDR'!F36/16000</f>
        <v>208363.7005625</v>
      </c>
      <c r="G36" s="870" cm="1">
        <f t="array" ref="G36">'Project Eldorado ROI in IDR'!G36/16000</f>
        <v>0</v>
      </c>
      <c r="H36" s="868" cm="1">
        <f t="array" ref="H36">'Project Eldorado ROI in IDR'!H36/16000</f>
        <v>146150.170614583</v>
      </c>
      <c r="I36" s="213"/>
      <c r="J36" s="71"/>
      <c r="K36" t="s" s="795">
        <v>686</v>
      </c>
      <c r="L36" s="788"/>
      <c r="M36" s="868" cm="1">
        <f t="array" ref="M36">'Project Eldorado ROI in IDR'!M36/16000</f>
        <v>168662.234416667</v>
      </c>
      <c r="N36" s="869" cm="1">
        <f t="array" ref="N36">'Project Eldorado ROI in IDR'!N36/16000</f>
        <v>0</v>
      </c>
      <c r="O36" s="868" cm="1">
        <f t="array" ref="O36">'Project Eldorado ROI in IDR'!O36/16000</f>
        <v>202633.89978125</v>
      </c>
      <c r="P36" s="870" cm="1">
        <f t="array" ref="P36">'Project Eldorado ROI in IDR'!P36/16000</f>
        <v>0</v>
      </c>
      <c r="Q36" s="868" cm="1">
        <f t="array" ref="Q36">'Project Eldorado ROI in IDR'!Q36/16000</f>
        <v>137237.147177083</v>
      </c>
      <c r="R36" s="213"/>
      <c r="S36" s="71"/>
      <c r="T36" t="s" s="795">
        <v>686</v>
      </c>
      <c r="U36" s="788"/>
      <c r="V36" s="868" cm="1">
        <f t="array" ref="V36">'Project Eldorado ROI in IDR'!V36/16000</f>
        <v>168662.234416667</v>
      </c>
      <c r="W36" s="869" cm="1">
        <f t="array" ref="W36">'Project Eldorado ROI in IDR'!W36/16000</f>
        <v>0</v>
      </c>
      <c r="X36" s="868" cm="1">
        <f t="array" ref="X36">'Project Eldorado ROI in IDR'!X36/16000</f>
        <v>202633.89978125</v>
      </c>
      <c r="Y36" s="870" cm="1">
        <f t="array" ref="Y36">'Project Eldorado ROI in IDR'!Y36/16000</f>
        <v>0</v>
      </c>
      <c r="Z36" s="868" cm="1">
        <f t="array" ref="Z36">'Project Eldorado ROI in IDR'!Z36/16000</f>
        <v>137237.147177083</v>
      </c>
      <c r="AA36" s="213"/>
      <c r="AB36" s="71"/>
      <c r="AC36" t="s" s="795">
        <v>686</v>
      </c>
      <c r="AD36" s="788"/>
      <c r="AE36" s="868" cm="1">
        <f t="array" ref="AE36">'Project Eldorado ROI in IDR'!AE36/16000</f>
        <v>168662.234416667</v>
      </c>
      <c r="AF36" s="869" cm="1">
        <f t="array" ref="AF36">'Project Eldorado ROI in IDR'!AF36/16000</f>
        <v>0</v>
      </c>
      <c r="AG36" s="868" cm="1">
        <f t="array" ref="AG36">'Project Eldorado ROI in IDR'!AG36/16000</f>
        <v>202633.89978125</v>
      </c>
      <c r="AH36" s="870" cm="1">
        <f t="array" ref="AH36">'Project Eldorado ROI in IDR'!AH36/16000</f>
        <v>0</v>
      </c>
      <c r="AI36" s="868" cm="1">
        <f t="array" ref="AI36">'Project Eldorado ROI in IDR'!AI36/16000</f>
        <v>137237.147177083</v>
      </c>
      <c r="AJ36" s="213"/>
    </row>
    <row r="37" ht="13" customHeight="1">
      <c r="A37" s="12"/>
      <c r="B37" t="s" s="799">
        <v>687</v>
      </c>
      <c r="C37" s="800"/>
      <c r="D37" s="871" cm="1">
        <f t="array" ref="D37">'Project Eldorado ROI in IDR'!D37/16000</f>
        <v>86877.6953333338</v>
      </c>
      <c r="E37" s="869" cm="1">
        <f t="array" ref="E37">'Project Eldorado ROI in IDR'!E37/16000</f>
        <v>0</v>
      </c>
      <c r="F37" s="871" cm="1">
        <f t="array" ref="F37">'Project Eldorado ROI in IDR'!F37/16000</f>
        <v>104181.85028125</v>
      </c>
      <c r="G37" s="869" cm="1">
        <f t="array" ref="G37">'Project Eldorado ROI in IDR'!G37/16000</f>
        <v>0</v>
      </c>
      <c r="H37" s="871" cm="1">
        <f t="array" ref="H37">'Project Eldorado ROI in IDR'!H37/16000</f>
        <v>73075.0853072919</v>
      </c>
      <c r="I37" s="213"/>
      <c r="J37" s="71"/>
      <c r="K37" t="s" s="799">
        <v>688</v>
      </c>
      <c r="L37" s="800"/>
      <c r="M37" s="871" cm="1">
        <f t="array" ref="M37">'Project Eldorado ROI in IDR'!M37/16000</f>
        <v>67464.893766666893</v>
      </c>
      <c r="N37" s="869" cm="1">
        <f t="array" ref="N37">'Project Eldorado ROI in IDR'!N37/16000</f>
        <v>0</v>
      </c>
      <c r="O37" s="871" cm="1">
        <f t="array" ref="O37">'Project Eldorado ROI in IDR'!O37/16000</f>
        <v>81053.5599125</v>
      </c>
      <c r="P37" s="869" cm="1">
        <f t="array" ref="P37">'Project Eldorado ROI in IDR'!P37/16000</f>
        <v>0</v>
      </c>
      <c r="Q37" s="871" cm="1">
        <f t="array" ref="Q37">'Project Eldorado ROI in IDR'!Q37/16000</f>
        <v>54894.8588708333</v>
      </c>
      <c r="R37" s="213"/>
      <c r="S37" s="71"/>
      <c r="T37" t="s" s="799">
        <v>689</v>
      </c>
      <c r="U37" s="800"/>
      <c r="V37" s="871" cm="1">
        <f t="array" ref="V37">'Project Eldorado ROI in IDR'!V37/16000</f>
        <v>50598.6703250001</v>
      </c>
      <c r="W37" s="869" cm="1">
        <f t="array" ref="W37">'Project Eldorado ROI in IDR'!W37/16000</f>
        <v>0</v>
      </c>
      <c r="X37" s="871" cm="1">
        <f t="array" ref="X37">'Project Eldorado ROI in IDR'!X37/16000</f>
        <v>60790.169934375</v>
      </c>
      <c r="Y37" s="869" cm="1">
        <f t="array" ref="Y37">'Project Eldorado ROI in IDR'!Y37/16000</f>
        <v>0</v>
      </c>
      <c r="Z37" s="871" cm="1">
        <f t="array" ref="Z37">'Project Eldorado ROI in IDR'!Z37/16000</f>
        <v>41171.1441531249</v>
      </c>
      <c r="AA37" s="213"/>
      <c r="AB37" s="71"/>
      <c r="AC37" t="s" s="799">
        <v>690</v>
      </c>
      <c r="AD37" s="800"/>
      <c r="AE37" s="871" cm="1">
        <f t="array" ref="AE37">'Project Eldorado ROI in IDR'!AE37/16000</f>
        <v>33732.4468833334</v>
      </c>
      <c r="AF37" s="869" cm="1">
        <f t="array" ref="AF37">'Project Eldorado ROI in IDR'!AF37/16000</f>
        <v>0</v>
      </c>
      <c r="AG37" s="871" cm="1">
        <f t="array" ref="AG37">'Project Eldorado ROI in IDR'!AG37/16000</f>
        <v>40526.77995625</v>
      </c>
      <c r="AH37" s="869" cm="1">
        <f t="array" ref="AH37">'Project Eldorado ROI in IDR'!AH37/16000</f>
        <v>0</v>
      </c>
      <c r="AI37" s="871" cm="1">
        <f t="array" ref="AI37">'Project Eldorado ROI in IDR'!AI37/16000</f>
        <v>27447.4294354166</v>
      </c>
      <c r="AJ37" s="213"/>
    </row>
    <row r="38" ht="14" customHeight="1">
      <c r="A38" s="12"/>
      <c r="B38" t="s" s="799">
        <v>691</v>
      </c>
      <c r="C38" s="800"/>
      <c r="D38" s="863" cm="1">
        <f t="array" ref="D38">'Project Eldorado ROI in IDR'!D38/16000</f>
        <v>-11250</v>
      </c>
      <c r="E38" s="797"/>
      <c r="F38" s="863" cm="1">
        <f t="array" ref="F38">'Project Eldorado ROI in IDR'!F38/16000</f>
        <v>-11250</v>
      </c>
      <c r="G38" s="802"/>
      <c r="H38" s="863" cm="1">
        <f t="array" ref="H38">'Project Eldorado ROI in IDR'!H38/16000</f>
        <v>-11250</v>
      </c>
      <c r="I38" s="213"/>
      <c r="J38" s="71"/>
      <c r="K38" t="s" s="799">
        <v>691</v>
      </c>
      <c r="L38" s="800"/>
      <c r="M38" s="863" cm="1">
        <f t="array" ref="M38">'Project Eldorado ROI in IDR'!M38/16000</f>
        <v>-11250</v>
      </c>
      <c r="N38" s="797"/>
      <c r="O38" s="863" cm="1">
        <f t="array" ref="O38">'Project Eldorado ROI in IDR'!O38/16000</f>
        <v>-11250</v>
      </c>
      <c r="P38" s="802"/>
      <c r="Q38" s="863" cm="1">
        <f t="array" ref="Q38">'Project Eldorado ROI in IDR'!Q38/16000</f>
        <v>-11250</v>
      </c>
      <c r="R38" s="213"/>
      <c r="S38" s="71"/>
      <c r="T38" t="s" s="799">
        <v>691</v>
      </c>
      <c r="U38" s="800"/>
      <c r="V38" s="863" cm="1">
        <f t="array" ref="V38">'Project Eldorado ROI in IDR'!V38/16000</f>
        <v>-11250</v>
      </c>
      <c r="W38" s="797"/>
      <c r="X38" s="863" cm="1">
        <f t="array" ref="X38">'Project Eldorado ROI in IDR'!X38/16000</f>
        <v>-11250</v>
      </c>
      <c r="Y38" s="802"/>
      <c r="Z38" s="863" cm="1">
        <f t="array" ref="Z38">'Project Eldorado ROI in IDR'!Z38/16000</f>
        <v>-11250</v>
      </c>
      <c r="AA38" s="213"/>
      <c r="AB38" s="71"/>
      <c r="AC38" t="s" s="799">
        <v>691</v>
      </c>
      <c r="AD38" s="800"/>
      <c r="AE38" s="863" cm="1">
        <f t="array" ref="AE38">'Project Eldorado ROI in IDR'!AE38/16000</f>
        <v>-11250</v>
      </c>
      <c r="AF38" s="797"/>
      <c r="AG38" s="863" cm="1">
        <f t="array" ref="AG38">'Project Eldorado ROI in IDR'!AG38/16000</f>
        <v>-11250</v>
      </c>
      <c r="AH38" s="802"/>
      <c r="AI38" s="863" cm="1">
        <f t="array" ref="AI38">'Project Eldorado ROI in IDR'!AI38/16000</f>
        <v>-11250</v>
      </c>
      <c r="AJ38" s="213"/>
    </row>
    <row r="39" ht="13.5" customHeight="1">
      <c r="A39" s="12"/>
      <c r="B39" t="s" s="795">
        <v>692</v>
      </c>
      <c r="C39" s="800"/>
      <c r="D39" s="872" cm="1">
        <f t="array" ref="D39">D37+D38</f>
        <v>75627.6953333338</v>
      </c>
      <c r="E39" s="797"/>
      <c r="F39" s="872" cm="1">
        <f t="array" ref="F39">F37+F38</f>
        <v>92931.850281249994</v>
      </c>
      <c r="G39" s="798"/>
      <c r="H39" s="872" cm="1">
        <f t="array" ref="H39">H37+H38</f>
        <v>61825.0853072919</v>
      </c>
      <c r="I39" s="213"/>
      <c r="J39" s="71"/>
      <c r="K39" t="s" s="795">
        <v>692</v>
      </c>
      <c r="L39" s="800"/>
      <c r="M39" s="872" cm="1">
        <f t="array" ref="M39">M37+M38</f>
        <v>56214.8937666669</v>
      </c>
      <c r="N39" s="797"/>
      <c r="O39" s="872" cm="1">
        <f t="array" ref="O39">O37+O38</f>
        <v>69803.5599125</v>
      </c>
      <c r="P39" s="798"/>
      <c r="Q39" s="872" cm="1">
        <f t="array" ref="Q39">Q37+Q38</f>
        <v>43644.8588708333</v>
      </c>
      <c r="R39" s="213"/>
      <c r="S39" s="71"/>
      <c r="T39" t="s" s="795">
        <v>692</v>
      </c>
      <c r="U39" s="800"/>
      <c r="V39" s="872" cm="1">
        <f t="array" ref="V39">V37+V38</f>
        <v>39348.6703250001</v>
      </c>
      <c r="W39" s="797"/>
      <c r="X39" s="872" cm="1">
        <f t="array" ref="X39">X37+X38</f>
        <v>49540.169934375</v>
      </c>
      <c r="Y39" s="798"/>
      <c r="Z39" s="872" cm="1">
        <f t="array" ref="Z39">Z37+Z38</f>
        <v>29921.1441531249</v>
      </c>
      <c r="AA39" s="213"/>
      <c r="AB39" s="71"/>
      <c r="AC39" t="s" s="795">
        <v>692</v>
      </c>
      <c r="AD39" s="800"/>
      <c r="AE39" s="872" cm="1">
        <f t="array" ref="AE39">AE37+AE38</f>
        <v>22482.4468833334</v>
      </c>
      <c r="AF39" s="797"/>
      <c r="AG39" s="872" cm="1">
        <f t="array" ref="AG39">AG37+AG38</f>
        <v>29276.77995625</v>
      </c>
      <c r="AH39" s="798"/>
      <c r="AI39" s="872" cm="1">
        <f t="array" ref="AI39">AI37+AI38</f>
        <v>16197.4294354166</v>
      </c>
      <c r="AJ39" s="213"/>
    </row>
    <row r="40" ht="8" customHeight="1">
      <c r="A40" s="12"/>
      <c r="B40" s="240"/>
      <c r="C40" s="805"/>
      <c r="D40" s="241"/>
      <c r="E40" s="241"/>
      <c r="F40" s="242"/>
      <c r="G40" s="242"/>
      <c r="H40" s="241"/>
      <c r="I40" s="243"/>
      <c r="J40" s="71"/>
      <c r="K40" s="240"/>
      <c r="L40" s="805"/>
      <c r="M40" s="241"/>
      <c r="N40" s="241"/>
      <c r="O40" s="242"/>
      <c r="P40" s="242"/>
      <c r="Q40" s="241"/>
      <c r="R40" s="243"/>
      <c r="S40" s="71"/>
      <c r="T40" s="240"/>
      <c r="U40" s="805"/>
      <c r="V40" s="241"/>
      <c r="W40" s="241"/>
      <c r="X40" s="242"/>
      <c r="Y40" s="242"/>
      <c r="Z40" s="241"/>
      <c r="AA40" s="243"/>
      <c r="AB40" s="71"/>
      <c r="AC40" s="240"/>
      <c r="AD40" s="805"/>
      <c r="AE40" s="241"/>
      <c r="AF40" s="241"/>
      <c r="AG40" s="242"/>
      <c r="AH40" s="242"/>
      <c r="AI40" s="241"/>
      <c r="AJ40" s="243"/>
    </row>
    <row r="41" ht="13.5" customHeight="1">
      <c r="A41" s="32"/>
      <c r="B41" s="33"/>
      <c r="C41" s="33"/>
      <c r="D41" s="33"/>
      <c r="E41" s="33"/>
      <c r="F41" s="33"/>
      <c r="G41" s="33"/>
      <c r="H41" s="33"/>
      <c r="I41" s="33"/>
      <c r="J41" s="17"/>
      <c r="K41" s="33"/>
      <c r="L41" s="33"/>
      <c r="M41" s="33"/>
      <c r="N41" s="33"/>
      <c r="O41" s="33"/>
      <c r="P41" s="33"/>
      <c r="Q41" s="33"/>
      <c r="R41" s="33"/>
      <c r="S41" s="17"/>
      <c r="T41" s="33"/>
      <c r="U41" s="33"/>
      <c r="V41" s="33"/>
      <c r="W41" s="33"/>
      <c r="X41" s="33"/>
      <c r="Y41" s="33"/>
      <c r="Z41" s="33"/>
      <c r="AA41" s="33"/>
      <c r="AB41" s="17"/>
      <c r="AC41" s="33"/>
      <c r="AD41" s="33"/>
      <c r="AE41" s="33"/>
      <c r="AF41" s="33"/>
      <c r="AG41" s="33"/>
      <c r="AH41" s="33"/>
      <c r="AI41" s="33"/>
      <c r="AJ41" s="806"/>
    </row>
    <row r="42" ht="13.5" customHeight="1">
      <c r="A42" s="12"/>
      <c r="B42" t="s" s="807">
        <v>693</v>
      </c>
      <c r="C42" s="808"/>
      <c r="D42" t="s" s="809">
        <v>650</v>
      </c>
      <c r="E42" s="810"/>
      <c r="F42" t="s" s="811">
        <v>651</v>
      </c>
      <c r="G42" s="812"/>
      <c r="H42" t="s" s="809">
        <v>652</v>
      </c>
      <c r="I42" s="813"/>
      <c r="J42" s="71"/>
      <c r="K42" t="s" s="807">
        <v>693</v>
      </c>
      <c r="L42" s="808"/>
      <c r="M42" t="s" s="809">
        <v>650</v>
      </c>
      <c r="N42" s="810"/>
      <c r="O42" t="s" s="811">
        <v>651</v>
      </c>
      <c r="P42" s="812"/>
      <c r="Q42" t="s" s="809">
        <v>652</v>
      </c>
      <c r="R42" s="813"/>
      <c r="S42" s="71"/>
      <c r="T42" t="s" s="807">
        <v>693</v>
      </c>
      <c r="U42" s="808"/>
      <c r="V42" t="s" s="809">
        <v>650</v>
      </c>
      <c r="W42" s="810"/>
      <c r="X42" t="s" s="811">
        <v>651</v>
      </c>
      <c r="Y42" s="812"/>
      <c r="Z42" t="s" s="809">
        <v>652</v>
      </c>
      <c r="AA42" s="813"/>
      <c r="AB42" s="71"/>
      <c r="AC42" t="s" s="807">
        <v>693</v>
      </c>
      <c r="AD42" s="808"/>
      <c r="AE42" t="s" s="809">
        <v>650</v>
      </c>
      <c r="AF42" s="810"/>
      <c r="AG42" t="s" s="811">
        <v>651</v>
      </c>
      <c r="AH42" s="812"/>
      <c r="AI42" t="s" s="809">
        <v>652</v>
      </c>
      <c r="AJ42" s="813"/>
    </row>
    <row r="43" ht="13.5" customHeight="1">
      <c r="A43" s="12"/>
      <c r="B43" t="s" s="814">
        <v>694</v>
      </c>
      <c r="C43" s="815"/>
      <c r="D43" s="816"/>
      <c r="E43" s="816"/>
      <c r="F43" s="816"/>
      <c r="G43" s="817"/>
      <c r="H43" s="816"/>
      <c r="I43" s="818"/>
      <c r="J43" s="71"/>
      <c r="K43" t="s" s="814">
        <v>694</v>
      </c>
      <c r="L43" s="815"/>
      <c r="M43" s="816"/>
      <c r="N43" s="816"/>
      <c r="O43" s="816"/>
      <c r="P43" s="817"/>
      <c r="Q43" s="816"/>
      <c r="R43" s="818"/>
      <c r="S43" s="71"/>
      <c r="T43" t="s" s="814">
        <v>694</v>
      </c>
      <c r="U43" s="815"/>
      <c r="V43" s="816"/>
      <c r="W43" s="816"/>
      <c r="X43" s="816"/>
      <c r="Y43" s="817"/>
      <c r="Z43" s="816"/>
      <c r="AA43" s="818"/>
      <c r="AB43" s="71"/>
      <c r="AC43" t="s" s="814">
        <v>694</v>
      </c>
      <c r="AD43" s="815"/>
      <c r="AE43" s="816"/>
      <c r="AF43" s="816"/>
      <c r="AG43" s="816"/>
      <c r="AH43" s="817"/>
      <c r="AI43" s="816"/>
      <c r="AJ43" s="818"/>
    </row>
    <row r="44" ht="13.5" customHeight="1">
      <c r="A44" s="12"/>
      <c r="B44" t="s" s="819">
        <v>695</v>
      </c>
      <c r="C44" s="815"/>
      <c r="D44" s="873" cm="1">
        <f t="array" ref="D44">'Project Eldorado ROI in IDR'!D44/16300</f>
        <v>150000</v>
      </c>
      <c r="E44" s="873" cm="1">
        <f t="array" ref="E44">'Project Eldorado ROI in IDR'!E44/16000</f>
        <v>0</v>
      </c>
      <c r="F44" s="873" cm="1">
        <f t="array" ref="F44">'Project Eldorado ROI in IDR'!F44/16300</f>
        <v>150000</v>
      </c>
      <c r="G44" s="874" cm="1">
        <f t="array" ref="G44">'Project Eldorado ROI in IDR'!G44/16000</f>
        <v>0</v>
      </c>
      <c r="H44" s="873" cm="1">
        <f t="array" ref="H44">'Project Eldorado ROI in IDR'!H44/16300</f>
        <v>150000</v>
      </c>
      <c r="I44" s="818"/>
      <c r="J44" s="71"/>
      <c r="K44" t="s" s="819">
        <v>695</v>
      </c>
      <c r="L44" s="815"/>
      <c r="M44" s="873" cm="1">
        <f t="array" ref="M44">'Project Eldorado ROI in IDR'!M44/16000</f>
        <v>0</v>
      </c>
      <c r="N44" s="873" cm="1">
        <f t="array" ref="N44">'Project Eldorado ROI in IDR'!N44/16000</f>
        <v>0</v>
      </c>
      <c r="O44" s="873" cm="1">
        <f t="array" ref="O44">'Project Eldorado ROI in IDR'!O44/16000</f>
        <v>0</v>
      </c>
      <c r="P44" s="874" cm="1">
        <f t="array" ref="P44">'Project Eldorado ROI in IDR'!P44/16000</f>
        <v>0</v>
      </c>
      <c r="Q44" s="873" cm="1">
        <f t="array" ref="Q44">'Project Eldorado ROI in IDR'!Q44/16000</f>
        <v>0</v>
      </c>
      <c r="R44" s="818"/>
      <c r="S44" s="71"/>
      <c r="T44" t="s" s="819">
        <v>695</v>
      </c>
      <c r="U44" s="815"/>
      <c r="V44" s="873" cm="1">
        <f t="array" ref="V44">'Project Eldorado ROI in IDR'!V44/16000</f>
        <v>0</v>
      </c>
      <c r="W44" s="873" cm="1">
        <f t="array" ref="W44">'Project Eldorado ROI in IDR'!W44/16000</f>
        <v>0</v>
      </c>
      <c r="X44" s="873" cm="1">
        <f t="array" ref="X44">'Project Eldorado ROI in IDR'!X44/16000</f>
        <v>0</v>
      </c>
      <c r="Y44" s="874" cm="1">
        <f t="array" ref="Y44">'Project Eldorado ROI in IDR'!Y44/16000</f>
        <v>0</v>
      </c>
      <c r="Z44" s="873" cm="1">
        <f t="array" ref="Z44">'Project Eldorado ROI in IDR'!Z44/16000</f>
        <v>0</v>
      </c>
      <c r="AA44" s="818"/>
      <c r="AB44" s="71"/>
      <c r="AC44" t="s" s="819">
        <v>695</v>
      </c>
      <c r="AD44" s="815"/>
      <c r="AE44" s="873" cm="1">
        <f t="array" ref="AE44">'Project Eldorado ROI in IDR'!AE44/16000</f>
        <v>0</v>
      </c>
      <c r="AF44" s="873" cm="1">
        <f t="array" ref="AF44">'Project Eldorado ROI in IDR'!AF44/16000</f>
        <v>0</v>
      </c>
      <c r="AG44" s="873" cm="1">
        <f t="array" ref="AG44">'Project Eldorado ROI in IDR'!AG44/16000</f>
        <v>0</v>
      </c>
      <c r="AH44" s="874" cm="1">
        <f t="array" ref="AH44">'Project Eldorado ROI in IDR'!AH44/16000</f>
        <v>0</v>
      </c>
      <c r="AI44" s="873" cm="1">
        <f t="array" ref="AI44">'Project Eldorado ROI in IDR'!AI44/16000</f>
        <v>0</v>
      </c>
      <c r="AJ44" s="818"/>
    </row>
    <row r="45" ht="13.5" customHeight="1">
      <c r="A45" s="12"/>
      <c r="B45" t="s" s="819">
        <v>696</v>
      </c>
      <c r="C45" s="815"/>
      <c r="D45" s="873" cm="1">
        <f t="array" ref="D45">'Project Eldorado ROI in IDR'!D45/16300</f>
        <v>36993.8650306748</v>
      </c>
      <c r="E45" s="873" cm="1">
        <f t="array" ref="E45">'Project Eldorado ROI in IDR'!E45/16300</f>
        <v>0</v>
      </c>
      <c r="F45" s="873" cm="1">
        <f t="array" ref="F45">'Project Eldorado ROI in IDR'!F45/16300</f>
        <v>36993.8650306748</v>
      </c>
      <c r="G45" s="874" cm="1">
        <f t="array" ref="G45">'Project Eldorado ROI in IDR'!G45/16300</f>
        <v>0</v>
      </c>
      <c r="H45" s="873" cm="1">
        <f t="array" ref="H45">'Project Eldorado ROI in IDR'!H45/16300</f>
        <v>36993.8650306748</v>
      </c>
      <c r="I45" s="818"/>
      <c r="J45" s="71"/>
      <c r="K45" t="s" s="819">
        <v>696</v>
      </c>
      <c r="L45" s="815"/>
      <c r="M45" s="873" cm="1">
        <f t="array" ref="M45">'Project Eldorado ROI in IDR'!M45/16300</f>
        <v>36993.8650306748</v>
      </c>
      <c r="N45" s="873" cm="1">
        <f t="array" ref="N45">'Project Eldorado ROI in IDR'!N45/16300</f>
        <v>0</v>
      </c>
      <c r="O45" s="873" cm="1">
        <f t="array" ref="O45">'Project Eldorado ROI in IDR'!O45/16300</f>
        <v>36993.8650306748</v>
      </c>
      <c r="P45" s="874" cm="1">
        <f t="array" ref="P45">'Project Eldorado ROI in IDR'!P45/16300</f>
        <v>0</v>
      </c>
      <c r="Q45" s="873" cm="1">
        <f t="array" ref="Q45">'Project Eldorado ROI in IDR'!Q45/16300</f>
        <v>36993.8650306748</v>
      </c>
      <c r="R45" s="818"/>
      <c r="S45" s="71"/>
      <c r="T45" t="s" s="819">
        <v>697</v>
      </c>
      <c r="U45" s="815"/>
      <c r="V45" s="873" cm="1">
        <f t="array" ref="V45">'Project Eldorado ROI in IDR'!V45/16300</f>
        <v>39877.3006134969</v>
      </c>
      <c r="W45" s="873" cm="1">
        <f t="array" ref="W45">'Project Eldorado ROI in IDR'!W45/16300</f>
        <v>0</v>
      </c>
      <c r="X45" s="873" cm="1">
        <f t="array" ref="X45">'Project Eldorado ROI in IDR'!X45/16300</f>
        <v>39877.3006134969</v>
      </c>
      <c r="Y45" s="874" cm="1">
        <f t="array" ref="Y45">'Project Eldorado ROI in IDR'!Y45/16300</f>
        <v>0</v>
      </c>
      <c r="Z45" s="873" cm="1">
        <f t="array" ref="Z45">'Project Eldorado ROI in IDR'!Z45/16300</f>
        <v>39877.3006134969</v>
      </c>
      <c r="AA45" s="818"/>
      <c r="AB45" s="71"/>
      <c r="AC45" t="s" s="819">
        <v>696</v>
      </c>
      <c r="AD45" s="815"/>
      <c r="AE45" s="873" cm="1">
        <f t="array" ref="AE45">'Project Eldorado ROI in IDR'!AE45/16300</f>
        <v>36809.8159509202</v>
      </c>
      <c r="AF45" s="873" cm="1">
        <f t="array" ref="AF45">'Project Eldorado ROI in IDR'!AF45/16300</f>
        <v>0</v>
      </c>
      <c r="AG45" s="873" cm="1">
        <f t="array" ref="AG45">'Project Eldorado ROI in IDR'!AG45/16300</f>
        <v>36809.8159509202</v>
      </c>
      <c r="AH45" s="874" cm="1">
        <f t="array" ref="AH45">'Project Eldorado ROI in IDR'!AH45/16300</f>
        <v>0</v>
      </c>
      <c r="AI45" s="873" cm="1">
        <f t="array" ref="AI45">'Project Eldorado ROI in IDR'!AI45/16300</f>
        <v>36809.8159509202</v>
      </c>
      <c r="AJ45" s="818"/>
    </row>
    <row r="46" ht="13.5" customHeight="1">
      <c r="A46" s="12"/>
      <c r="B46" t="s" s="819">
        <v>699</v>
      </c>
      <c r="C46" s="815"/>
      <c r="D46" s="873" cm="1">
        <f t="array" ref="D46">'Project Eldorado ROI in IDR'!D46/16300</f>
        <v>13496.9325153374</v>
      </c>
      <c r="E46" s="873" cm="1">
        <f t="array" ref="E46">'Project Eldorado ROI in IDR'!E46/16300</f>
        <v>0</v>
      </c>
      <c r="F46" s="873" cm="1">
        <f t="array" ref="F46">'Project Eldorado ROI in IDR'!F46/16300</f>
        <v>13496.9325153374</v>
      </c>
      <c r="G46" s="874" cm="1">
        <f t="array" ref="G46">'Project Eldorado ROI in IDR'!G46/16300</f>
        <v>0</v>
      </c>
      <c r="H46" s="873" cm="1">
        <f t="array" ref="H46">'Project Eldorado ROI in IDR'!H46/16300</f>
        <v>13496.9325153374</v>
      </c>
      <c r="I46" s="818"/>
      <c r="J46" s="71"/>
      <c r="K46" t="s" s="819">
        <v>699</v>
      </c>
      <c r="L46" s="815"/>
      <c r="M46" s="873" cm="1">
        <f t="array" ref="M46">'Project Eldorado ROI in IDR'!M46/16300</f>
        <v>0</v>
      </c>
      <c r="N46" s="873" cm="1">
        <f t="array" ref="N46">'Project Eldorado ROI in IDR'!N46/16300</f>
        <v>0</v>
      </c>
      <c r="O46" s="873" cm="1">
        <f t="array" ref="O46">'Project Eldorado ROI in IDR'!O46/16300</f>
        <v>0</v>
      </c>
      <c r="P46" s="874" cm="1">
        <f t="array" ref="P46">'Project Eldorado ROI in IDR'!P46/16300</f>
        <v>0</v>
      </c>
      <c r="Q46" s="873" cm="1">
        <f t="array" ref="Q46">'Project Eldorado ROI in IDR'!Q46/16300</f>
        <v>0</v>
      </c>
      <c r="R46" s="818"/>
      <c r="S46" s="71"/>
      <c r="T46" t="s" s="819">
        <v>699</v>
      </c>
      <c r="U46" s="815"/>
      <c r="V46" s="873" cm="1">
        <f t="array" ref="V46">'Project Eldorado ROI in IDR'!V46/16300</f>
        <v>0</v>
      </c>
      <c r="W46" s="873" cm="1">
        <f t="array" ref="W46">'Project Eldorado ROI in IDR'!W46/16300</f>
        <v>0</v>
      </c>
      <c r="X46" s="873" cm="1">
        <f t="array" ref="X46">'Project Eldorado ROI in IDR'!X46/16300</f>
        <v>0</v>
      </c>
      <c r="Y46" s="874" cm="1">
        <f t="array" ref="Y46">'Project Eldorado ROI in IDR'!Y46/16300</f>
        <v>0</v>
      </c>
      <c r="Z46" s="873" cm="1">
        <f t="array" ref="Z46">'Project Eldorado ROI in IDR'!Z46/16300</f>
        <v>0</v>
      </c>
      <c r="AA46" s="818"/>
      <c r="AB46" s="71"/>
      <c r="AC46" t="s" s="819">
        <v>699</v>
      </c>
      <c r="AD46" s="815"/>
      <c r="AE46" s="873" cm="1">
        <f t="array" ref="AE46">'Project Eldorado ROI in IDR'!AE46/16300</f>
        <v>0</v>
      </c>
      <c r="AF46" s="873" cm="1">
        <f t="array" ref="AF46">'Project Eldorado ROI in IDR'!AF46/16300</f>
        <v>0</v>
      </c>
      <c r="AG46" s="873" cm="1">
        <f t="array" ref="AG46">'Project Eldorado ROI in IDR'!AG46/16300</f>
        <v>0</v>
      </c>
      <c r="AH46" s="874" cm="1">
        <f t="array" ref="AH46">'Project Eldorado ROI in IDR'!AH46/16300</f>
        <v>0</v>
      </c>
      <c r="AI46" s="873" cm="1">
        <f t="array" ref="AI46">'Project Eldorado ROI in IDR'!AI46/16300</f>
        <v>0</v>
      </c>
      <c r="AJ46" s="818"/>
    </row>
    <row r="47" ht="13.5" customHeight="1">
      <c r="A47" s="12"/>
      <c r="B47" t="s" s="819">
        <v>700</v>
      </c>
      <c r="C47" s="815"/>
      <c r="D47" s="875" cm="1">
        <f t="array" ref="D47">'Project Eldorado ROI in IDR'!D47/16300</f>
        <v>-40098.1595092025</v>
      </c>
      <c r="E47" s="874" cm="1">
        <f t="array" ref="E47">'Project Eldorado ROI in IDR'!E47/16300</f>
        <v>0</v>
      </c>
      <c r="F47" s="875" cm="1">
        <f t="array" ref="F47">'Project Eldorado ROI in IDR'!F47/16300</f>
        <v>-40098.1595092025</v>
      </c>
      <c r="G47" s="874" cm="1">
        <f t="array" ref="G47">'Project Eldorado ROI in IDR'!G47/16300</f>
        <v>0</v>
      </c>
      <c r="H47" s="875" cm="1">
        <f t="array" ref="H47">'Project Eldorado ROI in IDR'!H47/16300</f>
        <v>-40098.1595092025</v>
      </c>
      <c r="I47" s="818"/>
      <c r="J47" s="71"/>
      <c r="K47" t="s" s="819">
        <v>700</v>
      </c>
      <c r="L47" s="815"/>
      <c r="M47" s="875" cm="1">
        <f t="array" ref="M47">'Project Eldorado ROI in IDR'!M47/16300</f>
        <v>0</v>
      </c>
      <c r="N47" s="874" cm="1">
        <f t="array" ref="N47">'Project Eldorado ROI in IDR'!N47/16300</f>
        <v>0</v>
      </c>
      <c r="O47" s="875" cm="1">
        <f t="array" ref="O47">'Project Eldorado ROI in IDR'!O47/16300</f>
        <v>0</v>
      </c>
      <c r="P47" s="874" cm="1">
        <f t="array" ref="P47">'Project Eldorado ROI in IDR'!P47/16300</f>
        <v>0</v>
      </c>
      <c r="Q47" s="875" cm="1">
        <f t="array" ref="Q47">'Project Eldorado ROI in IDR'!Q47/16300</f>
        <v>0</v>
      </c>
      <c r="R47" s="818"/>
      <c r="S47" s="71"/>
      <c r="T47" t="s" s="819">
        <v>700</v>
      </c>
      <c r="U47" s="815"/>
      <c r="V47" s="875" cm="1">
        <f t="array" ref="V47">'Project Eldorado ROI in IDR'!V47/16300</f>
        <v>0</v>
      </c>
      <c r="W47" s="874" cm="1">
        <f t="array" ref="W47">'Project Eldorado ROI in IDR'!W47/16300</f>
        <v>0</v>
      </c>
      <c r="X47" s="875" cm="1">
        <f t="array" ref="X47">'Project Eldorado ROI in IDR'!X47/16300</f>
        <v>0</v>
      </c>
      <c r="Y47" s="874" cm="1">
        <f t="array" ref="Y47">'Project Eldorado ROI in IDR'!Y47/16300</f>
        <v>0</v>
      </c>
      <c r="Z47" s="875" cm="1">
        <f t="array" ref="Z47">'Project Eldorado ROI in IDR'!Z47/16300</f>
        <v>0</v>
      </c>
      <c r="AA47" s="818"/>
      <c r="AB47" s="71"/>
      <c r="AC47" t="s" s="819">
        <v>700</v>
      </c>
      <c r="AD47" s="815"/>
      <c r="AE47" s="875" cm="1">
        <f t="array" ref="AE47">'Project Eldorado ROI in IDR'!AE47/16300</f>
        <v>0</v>
      </c>
      <c r="AF47" s="874" cm="1">
        <f t="array" ref="AF47">'Project Eldorado ROI in IDR'!AF47/16300</f>
        <v>0</v>
      </c>
      <c r="AG47" s="875" cm="1">
        <f t="array" ref="AG47">'Project Eldorado ROI in IDR'!AG47/16300</f>
        <v>0</v>
      </c>
      <c r="AH47" s="874" cm="1">
        <f t="array" ref="AH47">'Project Eldorado ROI in IDR'!AH47/16300</f>
        <v>0</v>
      </c>
      <c r="AI47" s="875" cm="1">
        <f t="array" ref="AI47">'Project Eldorado ROI in IDR'!AI47/16300</f>
        <v>0</v>
      </c>
      <c r="AJ47" s="818"/>
    </row>
    <row r="48" ht="13.5" customHeight="1">
      <c r="A48" s="12"/>
      <c r="B48" t="s" s="814">
        <v>701</v>
      </c>
      <c r="C48" s="815"/>
      <c r="D48" s="876" cm="1">
        <f t="array" ref="D48">'Project Eldorado ROI in IDR'!D48/16000</f>
        <v>163400</v>
      </c>
      <c r="E48" s="877" cm="1">
        <f t="array" ref="E48">'Project Eldorado ROI in IDR'!E48/16000</f>
        <v>0</v>
      </c>
      <c r="F48" s="876" cm="1">
        <f t="array" ref="F48">'Project Eldorado ROI in IDR'!F48/16000</f>
        <v>163400</v>
      </c>
      <c r="G48" s="878" cm="1">
        <f t="array" ref="G48">'Project Eldorado ROI in IDR'!G48/16000</f>
        <v>0</v>
      </c>
      <c r="H48" s="876" cm="1">
        <f t="array" ref="H48">'Project Eldorado ROI in IDR'!H48/16000</f>
        <v>163400</v>
      </c>
      <c r="I48" s="818"/>
      <c r="J48" s="71"/>
      <c r="K48" t="s" s="814">
        <v>701</v>
      </c>
      <c r="L48" s="815"/>
      <c r="M48" s="876" cm="1">
        <f t="array" ref="M48">'Project Eldorado ROI in IDR'!M48/16000</f>
        <v>37687.5</v>
      </c>
      <c r="N48" s="877" cm="1">
        <f t="array" ref="N48">'Project Eldorado ROI in IDR'!N48/16000</f>
        <v>0</v>
      </c>
      <c r="O48" s="876" cm="1">
        <f t="array" ref="O48">'Project Eldorado ROI in IDR'!O48/16000</f>
        <v>37687.5</v>
      </c>
      <c r="P48" s="878" cm="1">
        <f t="array" ref="P48">'Project Eldorado ROI in IDR'!P48/16000</f>
        <v>0</v>
      </c>
      <c r="Q48" s="876" cm="1">
        <f t="array" ref="Q48">'Project Eldorado ROI in IDR'!Q48/16000</f>
        <v>37687.5</v>
      </c>
      <c r="R48" s="818"/>
      <c r="S48" s="71"/>
      <c r="T48" t="s" s="814">
        <v>701</v>
      </c>
      <c r="U48" s="815"/>
      <c r="V48" s="876" cm="1">
        <f t="array" ref="V48">'Project Eldorado ROI in IDR'!V48/16000</f>
        <v>40625</v>
      </c>
      <c r="W48" s="877" cm="1">
        <f t="array" ref="W48">'Project Eldorado ROI in IDR'!W48/16000</f>
        <v>0</v>
      </c>
      <c r="X48" s="876" cm="1">
        <f t="array" ref="X48">'Project Eldorado ROI in IDR'!X48/16000</f>
        <v>40625</v>
      </c>
      <c r="Y48" s="878" cm="1">
        <f t="array" ref="Y48">'Project Eldorado ROI in IDR'!Y48/16000</f>
        <v>0</v>
      </c>
      <c r="Z48" s="876" cm="1">
        <f t="array" ref="Z48">'Project Eldorado ROI in IDR'!Z48/16000</f>
        <v>40625</v>
      </c>
      <c r="AA48" s="818"/>
      <c r="AB48" s="71"/>
      <c r="AC48" t="s" s="814">
        <v>701</v>
      </c>
      <c r="AD48" s="815"/>
      <c r="AE48" s="876" cm="1">
        <f t="array" ref="AE48">'Project Eldorado ROI in IDR'!AE48/16000</f>
        <v>37500</v>
      </c>
      <c r="AF48" s="877" cm="1">
        <f t="array" ref="AF48">'Project Eldorado ROI in IDR'!AF48/16000</f>
        <v>0</v>
      </c>
      <c r="AG48" s="876" cm="1">
        <f t="array" ref="AG48">'Project Eldorado ROI in IDR'!AG48/16000</f>
        <v>37500</v>
      </c>
      <c r="AH48" s="878" cm="1">
        <f t="array" ref="AH48">'Project Eldorado ROI in IDR'!AH48/16000</f>
        <v>0</v>
      </c>
      <c r="AI48" s="876" cm="1">
        <f t="array" ref="AI48">'Project Eldorado ROI in IDR'!AI48/16000</f>
        <v>37500</v>
      </c>
      <c r="AJ48" s="818"/>
    </row>
    <row r="49" ht="9.5" customHeight="1">
      <c r="A49" s="12"/>
      <c r="B49" s="824"/>
      <c r="C49" s="815"/>
      <c r="D49" s="816"/>
      <c r="E49" s="816"/>
      <c r="F49" s="816"/>
      <c r="G49" s="817"/>
      <c r="H49" s="816"/>
      <c r="I49" s="818"/>
      <c r="J49" s="71"/>
      <c r="K49" s="824"/>
      <c r="L49" s="815"/>
      <c r="M49" s="816"/>
      <c r="N49" s="816"/>
      <c r="O49" s="816"/>
      <c r="P49" s="817"/>
      <c r="Q49" s="816"/>
      <c r="R49" s="818"/>
      <c r="S49" s="71"/>
      <c r="T49" s="824"/>
      <c r="U49" s="815"/>
      <c r="V49" s="816"/>
      <c r="W49" s="816"/>
      <c r="X49" s="816"/>
      <c r="Y49" s="817"/>
      <c r="Z49" s="816"/>
      <c r="AA49" s="818"/>
      <c r="AB49" s="71"/>
      <c r="AC49" s="824"/>
      <c r="AD49" s="815"/>
      <c r="AE49" s="816"/>
      <c r="AF49" s="816"/>
      <c r="AG49" s="816"/>
      <c r="AH49" s="817"/>
      <c r="AI49" s="816"/>
      <c r="AJ49" s="818"/>
    </row>
    <row r="50" ht="13.5" customHeight="1">
      <c r="A50" s="12"/>
      <c r="B50" t="s" s="814">
        <v>702</v>
      </c>
      <c r="C50" s="815"/>
      <c r="D50" s="816"/>
      <c r="E50" s="816"/>
      <c r="F50" s="816"/>
      <c r="G50" s="817"/>
      <c r="H50" s="879"/>
      <c r="I50" s="818"/>
      <c r="J50" s="71"/>
      <c r="K50" t="s" s="814">
        <v>702</v>
      </c>
      <c r="L50" s="815"/>
      <c r="M50" s="816"/>
      <c r="N50" s="816"/>
      <c r="O50" s="816"/>
      <c r="P50" s="817"/>
      <c r="Q50" s="816"/>
      <c r="R50" s="818"/>
      <c r="S50" s="71"/>
      <c r="T50" t="s" s="814">
        <v>702</v>
      </c>
      <c r="U50" s="815"/>
      <c r="V50" s="816"/>
      <c r="W50" s="816"/>
      <c r="X50" s="816"/>
      <c r="Y50" s="817"/>
      <c r="Z50" s="816"/>
      <c r="AA50" s="818"/>
      <c r="AB50" s="71"/>
      <c r="AC50" t="s" s="814">
        <v>702</v>
      </c>
      <c r="AD50" s="815"/>
      <c r="AE50" s="816"/>
      <c r="AF50" s="816"/>
      <c r="AG50" s="816"/>
      <c r="AH50" s="817"/>
      <c r="AI50" s="816"/>
      <c r="AJ50" s="818"/>
    </row>
    <row r="51" ht="13.5" customHeight="1">
      <c r="A51" s="12"/>
      <c r="B51" t="s" s="814">
        <v>703</v>
      </c>
      <c r="C51" s="815"/>
      <c r="D51" t="str" s="880" cm="1">
        <f t="array" ref="D51">'Project Eldorado ROI in IDR'!D51</f>
        <v>25 months</v>
      </c>
      <c r="E51" s="827" cm="1">
        <f t="array" ref="E51">'Project Eldorado ROI in IDR'!E51</f>
        <v>0</v>
      </c>
      <c r="F51" t="str" s="880" cm="1">
        <f t="array" ref="F51">'Project Eldorado ROI in IDR'!F51</f>
        <v>20 months</v>
      </c>
      <c r="G51" s="828" cm="1">
        <f t="array" ref="G51">'Project Eldorado ROI in IDR'!G51</f>
        <v>0</v>
      </c>
      <c r="H51" t="str" s="880" cm="1">
        <f t="array" ref="H51">'Project Eldorado ROI in IDR'!H51</f>
        <v>32 months</v>
      </c>
      <c r="I51" s="818"/>
      <c r="J51" s="71"/>
      <c r="K51" t="s" s="814">
        <v>703</v>
      </c>
      <c r="L51" s="815"/>
      <c r="M51" t="s" s="826">
        <v>708</v>
      </c>
      <c r="N51" s="827"/>
      <c r="O51" t="s" s="826">
        <v>731</v>
      </c>
      <c r="P51" s="828"/>
      <c r="Q51" t="s" s="826">
        <v>707</v>
      </c>
      <c r="R51" s="818"/>
      <c r="S51" s="71"/>
      <c r="T51" t="s" s="814">
        <v>703</v>
      </c>
      <c r="U51" s="815"/>
      <c r="V51" t="s" s="826">
        <v>732</v>
      </c>
      <c r="W51" s="827"/>
      <c r="X51" t="s" s="826">
        <v>707</v>
      </c>
      <c r="Y51" s="828"/>
      <c r="Z51" t="s" s="826">
        <v>733</v>
      </c>
      <c r="AA51" s="818"/>
      <c r="AB51" s="71"/>
      <c r="AC51" t="s" s="814">
        <v>703</v>
      </c>
      <c r="AD51" s="815"/>
      <c r="AE51" t="s" s="826">
        <v>734</v>
      </c>
      <c r="AF51" s="827"/>
      <c r="AG51" t="s" s="826">
        <v>733</v>
      </c>
      <c r="AH51" s="828"/>
      <c r="AI51" t="s" s="826">
        <v>735</v>
      </c>
      <c r="AJ51" s="818"/>
    </row>
    <row r="52" ht="13.5" customHeight="1">
      <c r="A52" s="12"/>
      <c r="B52" t="s" s="814">
        <v>715</v>
      </c>
      <c r="C52" s="815"/>
      <c r="D52" s="829" cm="1">
        <f t="array" ref="D52">'Project Eldorado ROI in IDR'!D52</f>
        <v>0.462837792737661</v>
      </c>
      <c r="E52" s="827" cm="1">
        <f t="array" ref="E52">'Project Eldorado ROI in IDR'!E52</f>
        <v>0</v>
      </c>
      <c r="F52" s="829" cm="1">
        <f t="array" ref="F52">'Project Eldorado ROI in IDR'!F52</f>
        <v>0.568738373814259</v>
      </c>
      <c r="G52" s="828" cm="1">
        <f t="array" ref="G52">'Project Eldorado ROI in IDR'!G52</f>
        <v>0</v>
      </c>
      <c r="H52" s="829" cm="1">
        <f t="array" ref="H52">'Project Eldorado ROI in IDR'!H52</f>
        <v>0.378366495148665</v>
      </c>
      <c r="I52" s="818"/>
      <c r="J52" s="71"/>
      <c r="K52" t="s" s="814">
        <v>715</v>
      </c>
      <c r="L52" s="815"/>
      <c r="M52" s="829" cm="1">
        <f t="array" ref="M52">M37/M48</f>
        <v>1.79011326744058</v>
      </c>
      <c r="N52" s="827"/>
      <c r="O52" s="829" cm="1">
        <f t="array" ref="O52">O37/O48</f>
        <v>2.15067488988391</v>
      </c>
      <c r="P52" s="828"/>
      <c r="Q52" s="829" cm="1">
        <f t="array" ref="Q52">Q37/Q48</f>
        <v>1.45658000320619</v>
      </c>
      <c r="R52" s="818"/>
      <c r="S52" s="71"/>
      <c r="T52" t="s" s="814">
        <v>715</v>
      </c>
      <c r="U52" s="815"/>
      <c r="V52" s="829" cm="1">
        <f t="array" ref="V52">V37/V48</f>
        <v>1.24550573107693</v>
      </c>
      <c r="W52" s="827"/>
      <c r="X52" s="829" cm="1">
        <f t="array" ref="X52">X37/X48</f>
        <v>1.49637341376923</v>
      </c>
      <c r="Y52" s="828"/>
      <c r="Z52" s="829" cm="1">
        <f t="array" ref="Z52">Z37/Z48</f>
        <v>1.01344354838461</v>
      </c>
      <c r="AA52" s="818"/>
      <c r="AB52" s="71"/>
      <c r="AC52" t="s" s="814">
        <v>715</v>
      </c>
      <c r="AD52" s="815"/>
      <c r="AE52" s="829" cm="1">
        <f t="array" ref="AE52">AE37/AE48</f>
        <v>0.899531916888891</v>
      </c>
      <c r="AF52" s="827"/>
      <c r="AG52" s="829" cm="1">
        <f t="array" ref="AG52">AG37/AG48</f>
        <v>1.08071413216667</v>
      </c>
      <c r="AH52" s="828"/>
      <c r="AI52" s="829" cm="1">
        <f t="array" ref="AI52">AI37/AI48</f>
        <v>0.731931451611109</v>
      </c>
      <c r="AJ52" s="818"/>
    </row>
    <row r="53" ht="9.5" customHeight="1">
      <c r="A53" s="12"/>
      <c r="B53" s="830"/>
      <c r="C53" s="815"/>
      <c r="D53" s="816"/>
      <c r="E53" s="816"/>
      <c r="F53" s="816"/>
      <c r="G53" s="817"/>
      <c r="H53" s="816"/>
      <c r="I53" s="818"/>
      <c r="J53" s="71"/>
      <c r="K53" s="830"/>
      <c r="L53" s="815"/>
      <c r="M53" s="831"/>
      <c r="N53" s="816"/>
      <c r="O53" s="831"/>
      <c r="P53" s="817"/>
      <c r="Q53" s="831"/>
      <c r="R53" s="818"/>
      <c r="S53" s="71"/>
      <c r="T53" s="830"/>
      <c r="U53" s="815"/>
      <c r="V53" s="831"/>
      <c r="W53" s="816"/>
      <c r="X53" s="831"/>
      <c r="Y53" s="817"/>
      <c r="Z53" s="831"/>
      <c r="AA53" s="818"/>
      <c r="AB53" s="71"/>
      <c r="AC53" s="830"/>
      <c r="AD53" s="815"/>
      <c r="AE53" s="831"/>
      <c r="AF53" s="816"/>
      <c r="AG53" s="831"/>
      <c r="AH53" s="817"/>
      <c r="AI53" s="831"/>
      <c r="AJ53" s="818"/>
    </row>
    <row r="54" ht="8" customHeight="1">
      <c r="A54" s="12"/>
      <c r="B54" s="832"/>
      <c r="C54" s="833"/>
      <c r="D54" s="834"/>
      <c r="E54" s="834"/>
      <c r="F54" s="835"/>
      <c r="G54" s="835"/>
      <c r="H54" s="834"/>
      <c r="I54" s="836"/>
      <c r="J54" s="71"/>
      <c r="K54" s="832"/>
      <c r="L54" s="833"/>
      <c r="M54" s="834"/>
      <c r="N54" s="834"/>
      <c r="O54" s="835"/>
      <c r="P54" s="835"/>
      <c r="Q54" s="834"/>
      <c r="R54" s="836"/>
      <c r="S54" s="71"/>
      <c r="T54" s="832"/>
      <c r="U54" s="833"/>
      <c r="V54" s="834"/>
      <c r="W54" s="834"/>
      <c r="X54" s="835"/>
      <c r="Y54" s="835"/>
      <c r="Z54" s="834"/>
      <c r="AA54" s="836"/>
      <c r="AB54" s="71"/>
      <c r="AC54" s="832"/>
      <c r="AD54" s="833"/>
      <c r="AE54" s="834"/>
      <c r="AF54" s="834"/>
      <c r="AG54" s="835"/>
      <c r="AH54" s="835"/>
      <c r="AI54" s="834"/>
      <c r="AJ54" s="836"/>
    </row>
    <row r="55" ht="13.5" customHeight="1">
      <c r="A55" s="32"/>
      <c r="B55" s="124"/>
      <c r="C55" s="124"/>
      <c r="D55" s="702"/>
      <c r="E55" s="124"/>
      <c r="F55" s="702"/>
      <c r="G55" s="124"/>
      <c r="H55" s="702"/>
      <c r="I55" s="124"/>
      <c r="J55" s="17"/>
      <c r="K55" s="124"/>
      <c r="L55" s="124"/>
      <c r="M55" s="124"/>
      <c r="N55" s="124"/>
      <c r="O55" s="124"/>
      <c r="P55" s="124"/>
      <c r="Q55" s="124"/>
      <c r="R55" s="124"/>
      <c r="S55" s="17"/>
      <c r="T55" s="124"/>
      <c r="U55" s="124"/>
      <c r="V55" s="124"/>
      <c r="W55" s="124"/>
      <c r="X55" s="124"/>
      <c r="Y55" s="124"/>
      <c r="Z55" s="124"/>
      <c r="AA55" s="124"/>
      <c r="AB55" s="17"/>
      <c r="AC55" s="124"/>
      <c r="AD55" s="124"/>
      <c r="AE55" s="124"/>
      <c r="AF55" s="124"/>
      <c r="AG55" s="124"/>
      <c r="AH55" s="124"/>
      <c r="AI55" s="124"/>
      <c r="AJ55" s="313"/>
    </row>
    <row r="56" ht="13" customHeight="1">
      <c r="A56" s="32"/>
      <c r="B56" s="35"/>
      <c r="C56" s="35"/>
      <c r="D56" s="35"/>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8"/>
    </row>
    <row r="57" ht="13.5" customHeight="1">
      <c r="A57" s="12"/>
      <c r="B57" t="s" s="837">
        <v>716</v>
      </c>
      <c r="C57" s="838"/>
      <c r="D57" s="839"/>
      <c r="E57" s="840"/>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8"/>
    </row>
    <row r="58" ht="14" customHeight="1">
      <c r="A58" s="12"/>
      <c r="B58" t="s" s="841">
        <v>717</v>
      </c>
      <c r="C58" s="842"/>
      <c r="D58" t="s" s="843">
        <v>718</v>
      </c>
      <c r="E58" s="16"/>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8"/>
    </row>
    <row r="59" ht="14" customHeight="1">
      <c r="A59" s="12"/>
      <c r="B59" t="s" s="844">
        <v>719</v>
      </c>
      <c r="C59" s="845"/>
      <c r="D59" s="881" cm="1">
        <f t="array" ref="D59">'Project Eldorado ROI in IDR'!D59/16000</f>
        <v>115.625</v>
      </c>
      <c r="E59" s="16"/>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8"/>
    </row>
    <row r="60" ht="14" customHeight="1">
      <c r="A60" s="12"/>
      <c r="B60" t="s" s="844">
        <v>720</v>
      </c>
      <c r="C60" s="845"/>
      <c r="D60" s="882" cm="1">
        <f t="array" ref="D60">'Project Eldorado ROI in IDR'!D60/16000</f>
        <v>1503.125</v>
      </c>
      <c r="E60" s="16"/>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8"/>
    </row>
    <row r="61" ht="14" customHeight="1">
      <c r="A61" s="12"/>
      <c r="B61" t="s" s="848">
        <v>721</v>
      </c>
      <c r="C61" s="845"/>
      <c r="D61" s="883" cm="1">
        <f t="array" ref="D61">'Project Eldorado ROI in IDR'!D61/16000</f>
        <v>0</v>
      </c>
      <c r="E61" s="16"/>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8"/>
    </row>
    <row r="62" ht="14" customHeight="1">
      <c r="A62" s="12"/>
      <c r="B62" t="str" s="850" cm="1">
        <f t="array" ref="B62">B11</f>
        <v>Guides Salary &amp; Tax</v>
      </c>
      <c r="C62" s="845"/>
      <c r="D62" s="883" cm="1">
        <f t="array" ref="D62">'Project Eldorado ROI in IDR'!D62/16000</f>
        <v>-109.4375</v>
      </c>
      <c r="E62" s="16"/>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8"/>
    </row>
    <row r="63" ht="14" customHeight="1">
      <c r="A63" s="12"/>
      <c r="B63" t="str" s="850" cm="1">
        <f t="array" ref="B63">B12</f>
        <v>Towels</v>
      </c>
      <c r="C63" s="845"/>
      <c r="D63" s="883" cm="1">
        <f t="array" ref="D63">'Project Eldorado ROI in IDR'!D63/16000</f>
        <v>-4.875</v>
      </c>
      <c r="E63" s="16"/>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8"/>
    </row>
    <row r="64" ht="14" customHeight="1">
      <c r="A64" s="12"/>
      <c r="B64" t="str" s="850" cm="1">
        <f t="array" ref="B64">B13</f>
        <v>Ice &amp; Water</v>
      </c>
      <c r="C64" s="845"/>
      <c r="D64" s="883" cm="1">
        <f t="array" ref="D64">'Project Eldorado ROI in IDR'!D64/16000</f>
        <v>-5.625</v>
      </c>
      <c r="E64" s="16"/>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8"/>
    </row>
    <row r="65" ht="14" customHeight="1">
      <c r="A65" s="12"/>
      <c r="B65" t="str" s="850" cm="1">
        <f t="array" ref="B65">B14</f>
        <v>Seran Retribution</v>
      </c>
      <c r="C65" s="845"/>
      <c r="D65" s="883" cm="1">
        <f t="array" ref="D65">'Project Eldorado ROI in IDR'!D65/16000</f>
        <v>-33.125</v>
      </c>
      <c r="E65" s="16"/>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8"/>
    </row>
    <row r="66" ht="14" customHeight="1">
      <c r="A66" s="12"/>
      <c r="B66" t="str" s="850" cm="1">
        <f t="array" ref="B66">B15</f>
        <v>Seran Parking and Mooring</v>
      </c>
      <c r="C66" s="845"/>
      <c r="D66" s="883" cm="1">
        <f t="array" ref="D66">'Project Eldorado ROI in IDR'!D66/16000</f>
        <v>-6.14583333333333</v>
      </c>
      <c r="E66" s="16"/>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8"/>
    </row>
    <row r="67" ht="14" customHeight="1">
      <c r="A67" s="12"/>
      <c r="B67" t="str" s="850" cm="1">
        <f t="array" ref="B67">B16</f>
        <v>NP + Serangan Clearance</v>
      </c>
      <c r="C67" s="845"/>
      <c r="D67" s="883" cm="1">
        <f t="array" ref="D67">'Project Eldorado ROI in IDR'!D67/16000</f>
        <v>-14.375</v>
      </c>
      <c r="E67" s="16"/>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8"/>
    </row>
    <row r="68" ht="14" customHeight="1">
      <c r="A68" s="12"/>
      <c r="B68" t="str" s="850" cm="1">
        <f t="array" ref="B68">B17</f>
        <v>Offering</v>
      </c>
      <c r="C68" s="845"/>
      <c r="D68" s="883" cm="1">
        <f t="array" ref="D68">'Project Eldorado ROI in IDR'!D68/16000</f>
        <v>-1.25</v>
      </c>
      <c r="E68" s="16"/>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8"/>
    </row>
    <row r="69" ht="14" customHeight="1">
      <c r="A69" s="12"/>
      <c r="B69" t="str" s="850" cm="1">
        <f t="array" ref="B69">B18</f>
        <v>Fruits</v>
      </c>
      <c r="C69" s="845"/>
      <c r="D69" s="883" cm="1">
        <f t="array" ref="D69">'Project Eldorado ROI in IDR'!D69/16000</f>
        <v>-8.75</v>
      </c>
      <c r="E69" s="16"/>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8"/>
    </row>
    <row r="70" ht="14" customHeight="1">
      <c r="A70" s="12"/>
      <c r="B70" t="str" s="850" cm="1">
        <f t="array" ref="B70">B19</f>
        <v>Lunch</v>
      </c>
      <c r="C70" s="845"/>
      <c r="D70" s="883" cm="1">
        <f t="array" ref="D70">'Project Eldorado ROI in IDR'!D70/16000</f>
        <v>-89.375</v>
      </c>
      <c r="E70" s="16"/>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8"/>
    </row>
    <row r="71" ht="14" customHeight="1">
      <c r="A71" s="12"/>
      <c r="B71" t="str" s="850" cm="1">
        <f t="array" ref="B71">B20</f>
        <v>Fuel (Pertamax)</v>
      </c>
      <c r="C71" s="845"/>
      <c r="D71" s="883" cm="1">
        <f t="array" ref="D71">'Project Eldorado ROI in IDR'!D71/16000</f>
        <v>-207.8125</v>
      </c>
      <c r="E71" s="16"/>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8"/>
    </row>
    <row r="72" ht="14" customHeight="1">
      <c r="A72" s="12"/>
      <c r="B72" t="str" s="850" cm="1">
        <f t="array" ref="B72">B21</f>
        <v>Crew Salary &amp; Tax u</v>
      </c>
      <c r="C72" s="845"/>
      <c r="D72" s="883" cm="1">
        <f t="array" ref="D72">'Project Eldorado ROI in IDR'!D72/16000</f>
        <v>-69.52500000000001</v>
      </c>
      <c r="E72" s="16"/>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8"/>
    </row>
    <row r="73" ht="14" customHeight="1">
      <c r="A73" s="12"/>
      <c r="B73" t="str" s="850" cm="1">
        <f t="array" ref="B73">B22</f>
        <v>Land Tours</v>
      </c>
      <c r="C73" s="845"/>
      <c r="D73" s="883" cm="1">
        <f t="array" ref="D73">'Project Eldorado ROI in IDR'!D73/16000</f>
        <v>-91.8</v>
      </c>
      <c r="E73" s="16"/>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8"/>
    </row>
    <row r="74" ht="14" customHeight="1">
      <c r="A74" s="12"/>
      <c r="B74" t="str" s="850" cm="1">
        <f t="array" ref="B74">B23</f>
        <v>Extra fruits - Premium</v>
      </c>
      <c r="C74" s="845"/>
      <c r="D74" s="883" cm="1">
        <f t="array" ref="D74">'Project Eldorado ROI in IDR'!D74/16000</f>
        <v>-1.25</v>
      </c>
      <c r="E74" s="16"/>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8"/>
    </row>
    <row r="75" ht="14" customHeight="1">
      <c r="A75" s="12"/>
      <c r="B75" t="str" s="850" cm="1">
        <f t="array" ref="B75">B24</f>
        <v>Extra photographer - Premium</v>
      </c>
      <c r="C75" s="845"/>
      <c r="D75" s="883" cm="1">
        <f t="array" ref="D75">'Project Eldorado ROI in IDR'!D75/16000</f>
        <v>-27.5</v>
      </c>
      <c r="E75" s="16"/>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8"/>
    </row>
    <row r="76" ht="14" customHeight="1">
      <c r="A76" s="12"/>
      <c r="B76" t="str" s="850" cm="1">
        <f t="array" ref="B76">B25</f>
        <v>Extra welcome drinks - Premium</v>
      </c>
      <c r="C76" s="845"/>
      <c r="D76" s="883" cm="1">
        <f t="array" ref="D76">'Project Eldorado ROI in IDR'!D76/16000</f>
        <v>-33.3125</v>
      </c>
      <c r="E76" s="16"/>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8"/>
    </row>
    <row r="77" ht="14" customHeight="1">
      <c r="A77" s="12"/>
      <c r="B77" t="str" s="850" cm="1">
        <f t="array" ref="B77">B26</f>
        <v>Extra prosecco - Premium</v>
      </c>
      <c r="C77" s="845"/>
      <c r="D77" s="881" cm="1">
        <f t="array" ref="D77">'Project Eldorado ROI in IDR'!D77/16000</f>
        <v>-54.375</v>
      </c>
      <c r="E77" s="16"/>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8"/>
    </row>
    <row r="78" ht="13.5" customHeight="1">
      <c r="A78" s="12"/>
      <c r="B78" t="s" s="851">
        <v>726</v>
      </c>
      <c r="C78" s="852"/>
      <c r="D78" s="884" cm="1">
        <f t="array" ref="D78">'Project Eldorado ROI in IDR'!D78/16000</f>
        <v>744.591666666669</v>
      </c>
      <c r="E78" s="16"/>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8"/>
    </row>
    <row r="79" ht="13" customHeight="1">
      <c r="A79" s="12"/>
      <c r="B79" t="s" s="854">
        <v>687</v>
      </c>
      <c r="C79" s="855"/>
      <c r="D79" s="885" cm="1">
        <f t="array" ref="D79">'Project Eldorado ROI in IDR'!D79/16000</f>
        <v>372.295833333334</v>
      </c>
      <c r="E79" s="16"/>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8"/>
    </row>
    <row r="80" ht="13" customHeight="1">
      <c r="A80" s="570"/>
      <c r="B80" s="857"/>
      <c r="C80" s="858"/>
      <c r="D80" s="859"/>
      <c r="E80" s="860"/>
      <c r="F80" s="193"/>
      <c r="G80" s="193"/>
      <c r="H80" s="193"/>
      <c r="I80" s="193"/>
      <c r="J80" s="193"/>
      <c r="K80" s="193"/>
      <c r="L80" s="193"/>
      <c r="M80" s="193"/>
      <c r="N80" s="193"/>
      <c r="O80" s="193"/>
      <c r="P80" s="193"/>
      <c r="Q80" s="193"/>
      <c r="R80" s="193"/>
      <c r="S80" s="193"/>
      <c r="T80" s="193"/>
      <c r="U80" s="193"/>
      <c r="V80" s="193"/>
      <c r="W80" s="193"/>
      <c r="X80" s="193"/>
      <c r="Y80" s="193"/>
      <c r="Z80" s="193"/>
      <c r="AA80" s="193"/>
      <c r="AB80" s="193"/>
      <c r="AC80" s="193"/>
      <c r="AD80" s="193"/>
      <c r="AE80" s="193"/>
      <c r="AF80" s="193"/>
      <c r="AG80" s="193"/>
      <c r="AH80" s="193"/>
      <c r="AI80" s="193"/>
      <c r="AJ80" s="19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AT71"/>
  <sheetViews>
    <sheetView workbookViewId="0" showGridLines="0" defaultGridColor="1"/>
  </sheetViews>
  <sheetFormatPr defaultColWidth="8.83333" defaultRowHeight="14.5" customHeight="1" outlineLevelRow="0" outlineLevelCol="0"/>
  <cols>
    <col min="1" max="1" width="2" style="886" customWidth="1"/>
    <col min="2" max="2" width="24.5" style="886" customWidth="1"/>
    <col min="3" max="3" width="1.5" style="886" customWidth="1"/>
    <col min="4" max="4" width="17.8516" style="886" customWidth="1"/>
    <col min="5" max="5" width="1.85156" style="886" customWidth="1"/>
    <col min="6" max="17" width="11.8516" style="886" customWidth="1"/>
    <col min="18" max="19" width="12.5" style="886" customWidth="1"/>
    <col min="20" max="20" width="13.1719" style="886" customWidth="1"/>
    <col min="21" max="45" width="12.5" style="886" customWidth="1"/>
    <col min="46" max="46" width="1.85156" style="886" customWidth="1"/>
    <col min="47" max="16384" width="8.85156" style="886" customWidth="1"/>
  </cols>
  <sheetData>
    <row r="1" ht="11.4" customHeight="1">
      <c r="A1" s="7"/>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246"/>
    </row>
    <row r="2" ht="15.5" customHeight="1">
      <c r="A2" s="12"/>
      <c r="B2" s="247"/>
      <c r="C2" s="248"/>
      <c r="D2" s="248"/>
      <c r="E2" s="249"/>
      <c r="F2" t="s" s="250">
        <v>737</v>
      </c>
      <c r="G2" t="s" s="250">
        <v>738</v>
      </c>
      <c r="H2" t="s" s="250">
        <v>739</v>
      </c>
      <c r="I2" t="s" s="250">
        <v>740</v>
      </c>
      <c r="J2" t="s" s="250">
        <v>741</v>
      </c>
      <c r="K2" t="s" s="250">
        <v>742</v>
      </c>
      <c r="L2" t="s" s="250">
        <v>743</v>
      </c>
      <c r="M2" t="s" s="250">
        <v>744</v>
      </c>
      <c r="N2" t="s" s="250">
        <v>745</v>
      </c>
      <c r="O2" t="s" s="250">
        <v>746</v>
      </c>
      <c r="P2" t="s" s="250">
        <v>747</v>
      </c>
      <c r="Q2" t="s" s="250">
        <v>748</v>
      </c>
      <c r="R2" t="s" s="250">
        <v>749</v>
      </c>
      <c r="S2" t="s" s="250">
        <v>750</v>
      </c>
      <c r="T2" t="s" s="250">
        <v>751</v>
      </c>
      <c r="U2" t="s" s="250">
        <v>752</v>
      </c>
      <c r="V2" t="s" s="250">
        <v>753</v>
      </c>
      <c r="W2" t="s" s="250">
        <v>754</v>
      </c>
      <c r="X2" t="s" s="250">
        <v>755</v>
      </c>
      <c r="Y2" t="s" s="250">
        <v>756</v>
      </c>
      <c r="Z2" t="s" s="250">
        <v>757</v>
      </c>
      <c r="AA2" t="s" s="250">
        <v>758</v>
      </c>
      <c r="AB2" t="s" s="250">
        <v>759</v>
      </c>
      <c r="AC2" t="s" s="250">
        <v>760</v>
      </c>
      <c r="AD2" t="s" s="250">
        <v>761</v>
      </c>
      <c r="AE2" t="s" s="250">
        <v>762</v>
      </c>
      <c r="AF2" t="s" s="250">
        <v>763</v>
      </c>
      <c r="AG2" t="s" s="250">
        <v>764</v>
      </c>
      <c r="AH2" t="s" s="250">
        <v>765</v>
      </c>
      <c r="AI2" t="s" s="250">
        <v>766</v>
      </c>
      <c r="AJ2" t="s" s="250">
        <v>767</v>
      </c>
      <c r="AK2" t="s" s="250">
        <v>768</v>
      </c>
      <c r="AL2" t="s" s="250">
        <v>769</v>
      </c>
      <c r="AM2" t="s" s="250">
        <v>770</v>
      </c>
      <c r="AN2" t="s" s="250">
        <v>771</v>
      </c>
      <c r="AO2" t="s" s="250">
        <v>772</v>
      </c>
      <c r="AP2" t="s" s="250">
        <v>773</v>
      </c>
      <c r="AQ2" t="s" s="250">
        <v>774</v>
      </c>
      <c r="AR2" t="s" s="250">
        <v>775</v>
      </c>
      <c r="AS2" t="s" s="250">
        <v>776</v>
      </c>
      <c r="AT2" s="251"/>
    </row>
    <row r="3" ht="15" customHeight="1">
      <c r="A3" s="12"/>
      <c r="B3" t="s" s="252">
        <v>390</v>
      </c>
      <c r="C3" s="253"/>
      <c r="D3" s="254"/>
      <c r="E3" s="255"/>
      <c r="F3" s="256">
        <v>45566</v>
      </c>
      <c r="G3" s="256">
        <v>45597</v>
      </c>
      <c r="H3" s="256">
        <v>45627</v>
      </c>
      <c r="I3" s="256">
        <v>45658</v>
      </c>
      <c r="J3" s="256">
        <v>45689</v>
      </c>
      <c r="K3" s="256">
        <v>45717</v>
      </c>
      <c r="L3" s="256">
        <v>45748</v>
      </c>
      <c r="M3" s="256">
        <v>45778</v>
      </c>
      <c r="N3" s="256">
        <v>45809</v>
      </c>
      <c r="O3" s="256">
        <v>45839</v>
      </c>
      <c r="P3" s="256">
        <v>45870</v>
      </c>
      <c r="Q3" s="256">
        <v>45901</v>
      </c>
      <c r="R3" s="256">
        <v>45931</v>
      </c>
      <c r="S3" s="256">
        <v>45962</v>
      </c>
      <c r="T3" s="256">
        <v>45992</v>
      </c>
      <c r="U3" s="256">
        <v>46023</v>
      </c>
      <c r="V3" s="256">
        <v>46054</v>
      </c>
      <c r="W3" s="256">
        <v>46082</v>
      </c>
      <c r="X3" s="256">
        <v>46113</v>
      </c>
      <c r="Y3" s="256">
        <v>46143</v>
      </c>
      <c r="Z3" s="256">
        <v>46174</v>
      </c>
      <c r="AA3" s="256">
        <v>46204</v>
      </c>
      <c r="AB3" s="256">
        <v>46235</v>
      </c>
      <c r="AC3" s="256">
        <v>46266</v>
      </c>
      <c r="AD3" s="256">
        <v>46296</v>
      </c>
      <c r="AE3" s="256">
        <v>46327</v>
      </c>
      <c r="AF3" s="256">
        <v>46357</v>
      </c>
      <c r="AG3" s="256">
        <v>46388</v>
      </c>
      <c r="AH3" s="256">
        <v>46419</v>
      </c>
      <c r="AI3" s="256">
        <v>46447</v>
      </c>
      <c r="AJ3" s="256">
        <v>46478</v>
      </c>
      <c r="AK3" s="256">
        <v>46508</v>
      </c>
      <c r="AL3" s="256">
        <v>46539</v>
      </c>
      <c r="AM3" s="256">
        <v>46569</v>
      </c>
      <c r="AN3" s="256">
        <v>46600</v>
      </c>
      <c r="AO3" s="256">
        <v>46631</v>
      </c>
      <c r="AP3" s="256">
        <v>46661</v>
      </c>
      <c r="AQ3" s="256">
        <v>46692</v>
      </c>
      <c r="AR3" s="256">
        <v>46722</v>
      </c>
      <c r="AS3" s="256">
        <v>46753</v>
      </c>
      <c r="AT3" s="257"/>
    </row>
    <row r="4" ht="15" customHeight="1">
      <c r="A4" s="12"/>
      <c r="B4" t="s" s="258">
        <v>391</v>
      </c>
      <c r="C4" s="259"/>
      <c r="D4" s="260"/>
      <c r="E4" s="261"/>
      <c r="F4" s="262"/>
      <c r="G4" s="262"/>
      <c r="H4" s="262"/>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3"/>
    </row>
    <row r="5" ht="15" customHeight="1">
      <c r="A5" s="12"/>
      <c r="B5" t="s" s="264">
        <v>392</v>
      </c>
      <c r="C5" s="265"/>
      <c r="D5" s="266"/>
      <c r="E5" s="267"/>
      <c r="F5" s="268"/>
      <c r="G5" s="268"/>
      <c r="H5" s="268"/>
      <c r="I5" s="268"/>
      <c r="J5" s="268"/>
      <c r="K5" s="268"/>
      <c r="L5" s="268"/>
      <c r="M5" s="268"/>
      <c r="N5" s="268"/>
      <c r="O5" s="268"/>
      <c r="P5" s="268"/>
      <c r="Q5" s="268"/>
      <c r="R5" s="268"/>
      <c r="S5" s="268"/>
      <c r="T5" s="268"/>
      <c r="U5" s="268"/>
      <c r="V5" s="268"/>
      <c r="W5" s="268"/>
      <c r="X5" s="268"/>
      <c r="Y5" s="268"/>
      <c r="Z5" s="268"/>
      <c r="AA5" s="268"/>
      <c r="AB5" s="268"/>
      <c r="AC5" s="268"/>
      <c r="AD5" s="268"/>
      <c r="AE5" s="268"/>
      <c r="AF5" s="268"/>
      <c r="AG5" s="268"/>
      <c r="AH5" s="268"/>
      <c r="AI5" s="268"/>
      <c r="AJ5" s="268"/>
      <c r="AK5" s="268"/>
      <c r="AL5" s="268"/>
      <c r="AM5" s="268"/>
      <c r="AN5" s="268"/>
      <c r="AO5" s="268"/>
      <c r="AP5" s="268"/>
      <c r="AQ5" s="268"/>
      <c r="AR5" s="268"/>
      <c r="AS5" s="268"/>
      <c r="AT5" s="270"/>
    </row>
    <row r="6" ht="16" customHeight="1">
      <c r="A6" s="12"/>
      <c r="B6" s="271"/>
      <c r="C6" s="272"/>
      <c r="D6" t="s" s="273">
        <v>658</v>
      </c>
      <c r="E6" s="274" cm="1">
        <f t="array" ref="E6">50896.35*16272</f>
        <v>828185407.2</v>
      </c>
      <c r="F6" t="s" s="887">
        <v>777</v>
      </c>
      <c r="G6" s="888"/>
      <c r="H6" s="889"/>
      <c r="I6" s="275">
        <v>13</v>
      </c>
      <c r="J6" s="275">
        <v>13</v>
      </c>
      <c r="K6" s="275">
        <v>13</v>
      </c>
      <c r="L6" s="275">
        <v>13</v>
      </c>
      <c r="M6" s="275">
        <v>13</v>
      </c>
      <c r="N6" s="275">
        <v>13</v>
      </c>
      <c r="O6" s="275">
        <v>13</v>
      </c>
      <c r="P6" s="275">
        <v>13</v>
      </c>
      <c r="Q6" s="275">
        <v>13</v>
      </c>
      <c r="R6" s="275">
        <v>13</v>
      </c>
      <c r="S6" s="275">
        <v>13</v>
      </c>
      <c r="T6" s="275">
        <v>13</v>
      </c>
      <c r="U6" s="275">
        <v>13</v>
      </c>
      <c r="V6" s="275">
        <v>13</v>
      </c>
      <c r="W6" s="275">
        <v>13</v>
      </c>
      <c r="X6" s="275">
        <v>13</v>
      </c>
      <c r="Y6" s="275">
        <v>13</v>
      </c>
      <c r="Z6" s="275">
        <v>13</v>
      </c>
      <c r="AA6" s="275">
        <v>13</v>
      </c>
      <c r="AB6" s="275">
        <v>13</v>
      </c>
      <c r="AC6" s="275">
        <v>13</v>
      </c>
      <c r="AD6" s="275">
        <v>13</v>
      </c>
      <c r="AE6" s="275">
        <v>13</v>
      </c>
      <c r="AF6" s="275">
        <v>13</v>
      </c>
      <c r="AG6" s="275">
        <v>13</v>
      </c>
      <c r="AH6" s="275">
        <v>13</v>
      </c>
      <c r="AI6" s="275">
        <v>13</v>
      </c>
      <c r="AJ6" s="275">
        <v>13</v>
      </c>
      <c r="AK6" s="275">
        <v>13</v>
      </c>
      <c r="AL6" s="275">
        <v>13</v>
      </c>
      <c r="AM6" s="275">
        <v>13</v>
      </c>
      <c r="AN6" s="275">
        <v>13</v>
      </c>
      <c r="AO6" s="275">
        <v>13</v>
      </c>
      <c r="AP6" s="275">
        <v>13</v>
      </c>
      <c r="AQ6" s="275">
        <v>13</v>
      </c>
      <c r="AR6" s="275">
        <v>13</v>
      </c>
      <c r="AS6" s="275">
        <v>13</v>
      </c>
      <c r="AT6" s="276"/>
    </row>
    <row r="7" ht="16" customHeight="1">
      <c r="A7" s="12"/>
      <c r="B7" s="271"/>
      <c r="C7" s="272"/>
      <c r="D7" t="s" s="273">
        <v>778</v>
      </c>
      <c r="E7" s="274"/>
      <c r="F7" s="890"/>
      <c r="G7" s="891"/>
      <c r="H7" s="892"/>
      <c r="I7" s="275">
        <v>29</v>
      </c>
      <c r="J7" s="275">
        <v>28</v>
      </c>
      <c r="K7" s="275">
        <v>29</v>
      </c>
      <c r="L7" s="275">
        <v>29</v>
      </c>
      <c r="M7" s="275">
        <v>29</v>
      </c>
      <c r="N7" s="275">
        <v>29</v>
      </c>
      <c r="O7" s="275">
        <v>30</v>
      </c>
      <c r="P7" s="275">
        <v>30</v>
      </c>
      <c r="Q7" s="275">
        <v>29</v>
      </c>
      <c r="R7" s="275">
        <v>29</v>
      </c>
      <c r="S7" s="275">
        <v>29</v>
      </c>
      <c r="T7" s="275">
        <v>29</v>
      </c>
      <c r="U7" s="275" cm="1">
        <f t="array" ref="U7">I7</f>
        <v>29</v>
      </c>
      <c r="V7" s="275" cm="1">
        <f t="array" ref="V7">J7</f>
        <v>28</v>
      </c>
      <c r="W7" s="275" cm="1">
        <f t="array" ref="W7">K7</f>
        <v>29</v>
      </c>
      <c r="X7" s="275" cm="1">
        <f t="array" ref="X7">L7</f>
        <v>29</v>
      </c>
      <c r="Y7" s="275" cm="1">
        <f t="array" ref="Y7">M7</f>
        <v>29</v>
      </c>
      <c r="Z7" s="275" cm="1">
        <f t="array" ref="Z7">N7</f>
        <v>29</v>
      </c>
      <c r="AA7" s="275" cm="1">
        <f t="array" ref="AA7">O7</f>
        <v>30</v>
      </c>
      <c r="AB7" s="275" cm="1">
        <f t="array" ref="AB7">P7</f>
        <v>30</v>
      </c>
      <c r="AC7" s="275" cm="1">
        <f t="array" ref="AC7">Q7</f>
        <v>29</v>
      </c>
      <c r="AD7" s="275" cm="1">
        <f t="array" ref="AD7">R7</f>
        <v>29</v>
      </c>
      <c r="AE7" s="275" cm="1">
        <f t="array" ref="AE7">S7</f>
        <v>29</v>
      </c>
      <c r="AF7" s="275" cm="1">
        <f t="array" ref="AF7">T7</f>
        <v>29</v>
      </c>
      <c r="AG7" s="275" cm="1">
        <f t="array" ref="AG7">U7</f>
        <v>29</v>
      </c>
      <c r="AH7" s="275" cm="1">
        <f t="array" ref="AH7">V7</f>
        <v>28</v>
      </c>
      <c r="AI7" s="275" cm="1">
        <f t="array" ref="AI7">W7</f>
        <v>29</v>
      </c>
      <c r="AJ7" s="275" cm="1">
        <f t="array" ref="AJ7">X7</f>
        <v>29</v>
      </c>
      <c r="AK7" s="275" cm="1">
        <f t="array" ref="AK7">Y7</f>
        <v>29</v>
      </c>
      <c r="AL7" s="275" cm="1">
        <f t="array" ref="AL7">Z7</f>
        <v>29</v>
      </c>
      <c r="AM7" s="275" cm="1">
        <f t="array" ref="AM7">AA7</f>
        <v>30</v>
      </c>
      <c r="AN7" s="275" cm="1">
        <f t="array" ref="AN7">AB7</f>
        <v>30</v>
      </c>
      <c r="AO7" s="275" cm="1">
        <f t="array" ref="AO7">AC7</f>
        <v>29</v>
      </c>
      <c r="AP7" s="275" cm="1">
        <f t="array" ref="AP7">AD7</f>
        <v>29</v>
      </c>
      <c r="AQ7" s="275" cm="1">
        <f t="array" ref="AQ7">AE7</f>
        <v>29</v>
      </c>
      <c r="AR7" s="275" cm="1">
        <f t="array" ref="AR7">AF7</f>
        <v>29</v>
      </c>
      <c r="AS7" s="275" cm="1">
        <f t="array" ref="AS7">AG7</f>
        <v>29</v>
      </c>
      <c r="AT7" s="276"/>
    </row>
    <row r="8" ht="16" customHeight="1">
      <c r="A8" s="12"/>
      <c r="B8" s="271"/>
      <c r="C8" s="272"/>
      <c r="D8" t="s" s="273">
        <v>656</v>
      </c>
      <c r="E8" s="274" cm="1">
        <f t="array" ref="E8">50896.35*16272</f>
        <v>828185407.2</v>
      </c>
      <c r="F8" s="890"/>
      <c r="G8" s="891"/>
      <c r="H8" s="892"/>
      <c r="I8" s="277">
        <v>0.8</v>
      </c>
      <c r="J8" s="277">
        <v>0.7</v>
      </c>
      <c r="K8" s="277">
        <v>0.8</v>
      </c>
      <c r="L8" s="277">
        <v>0.8</v>
      </c>
      <c r="M8" s="277">
        <v>0.85</v>
      </c>
      <c r="N8" s="277">
        <v>0.95</v>
      </c>
      <c r="O8" s="277">
        <v>1</v>
      </c>
      <c r="P8" s="277">
        <v>1</v>
      </c>
      <c r="Q8" s="277">
        <v>0.9</v>
      </c>
      <c r="R8" s="277">
        <v>0.8</v>
      </c>
      <c r="S8" s="277">
        <v>0.7</v>
      </c>
      <c r="T8" s="277">
        <v>0.8</v>
      </c>
      <c r="U8" s="277" cm="1">
        <f t="array" ref="U8">I8</f>
        <v>0.8</v>
      </c>
      <c r="V8" s="277" cm="1">
        <f t="array" ref="V8">J8</f>
        <v>0.7</v>
      </c>
      <c r="W8" s="277" cm="1">
        <f t="array" ref="W8">K8</f>
        <v>0.8</v>
      </c>
      <c r="X8" s="277" cm="1">
        <f t="array" ref="X8">L8</f>
        <v>0.8</v>
      </c>
      <c r="Y8" s="277" cm="1">
        <f t="array" ref="Y8">M8</f>
        <v>0.85</v>
      </c>
      <c r="Z8" s="277" cm="1">
        <f t="array" ref="Z8">N8</f>
        <v>0.95</v>
      </c>
      <c r="AA8" s="277" cm="1">
        <f t="array" ref="AA8">O8</f>
        <v>1</v>
      </c>
      <c r="AB8" s="277" cm="1">
        <f t="array" ref="AB8">P8</f>
        <v>1</v>
      </c>
      <c r="AC8" s="277" cm="1">
        <f t="array" ref="AC8">Q8</f>
        <v>0.9</v>
      </c>
      <c r="AD8" s="277" cm="1">
        <f t="array" ref="AD8">R8</f>
        <v>0.8</v>
      </c>
      <c r="AE8" s="277" cm="1">
        <f t="array" ref="AE8">S8</f>
        <v>0.7</v>
      </c>
      <c r="AF8" s="277" cm="1">
        <f t="array" ref="AF8">T8</f>
        <v>0.8</v>
      </c>
      <c r="AG8" s="277" cm="1">
        <f t="array" ref="AG8">U8</f>
        <v>0.8</v>
      </c>
      <c r="AH8" s="277" cm="1">
        <f t="array" ref="AH8">V8</f>
        <v>0.7</v>
      </c>
      <c r="AI8" s="277" cm="1">
        <f t="array" ref="AI8">W8</f>
        <v>0.8</v>
      </c>
      <c r="AJ8" s="277" cm="1">
        <f t="array" ref="AJ8">X8</f>
        <v>0.8</v>
      </c>
      <c r="AK8" s="277" cm="1">
        <f t="array" ref="AK8">Y8</f>
        <v>0.85</v>
      </c>
      <c r="AL8" s="277" cm="1">
        <f t="array" ref="AL8">Z8</f>
        <v>0.95</v>
      </c>
      <c r="AM8" s="277" cm="1">
        <f t="array" ref="AM8">AA8</f>
        <v>1</v>
      </c>
      <c r="AN8" s="277" cm="1">
        <f t="array" ref="AN8">AB8</f>
        <v>1</v>
      </c>
      <c r="AO8" s="277" cm="1">
        <f t="array" ref="AO8">AC8</f>
        <v>0.9</v>
      </c>
      <c r="AP8" s="277" cm="1">
        <f t="array" ref="AP8">AD8</f>
        <v>0.8</v>
      </c>
      <c r="AQ8" s="277" cm="1">
        <f t="array" ref="AQ8">AE8</f>
        <v>0.7</v>
      </c>
      <c r="AR8" s="277" cm="1">
        <f t="array" ref="AR8">AF8</f>
        <v>0.8</v>
      </c>
      <c r="AS8" s="277" cm="1">
        <f t="array" ref="AS8">AG8</f>
        <v>0.8</v>
      </c>
      <c r="AT8" s="278"/>
    </row>
    <row r="9" ht="16" customHeight="1">
      <c r="A9" s="12"/>
      <c r="B9" s="271"/>
      <c r="C9" s="272"/>
      <c r="D9" t="s" s="273">
        <v>657</v>
      </c>
      <c r="E9" s="274"/>
      <c r="F9" s="893"/>
      <c r="G9" s="894"/>
      <c r="H9" s="895"/>
      <c r="I9" s="277">
        <v>0.8</v>
      </c>
      <c r="J9" s="277">
        <v>0.8</v>
      </c>
      <c r="K9" s="277">
        <v>0.8</v>
      </c>
      <c r="L9" s="277">
        <v>0.85</v>
      </c>
      <c r="M9" s="277">
        <v>0.9</v>
      </c>
      <c r="N9" s="277">
        <v>0.9</v>
      </c>
      <c r="O9" s="277">
        <v>0.9</v>
      </c>
      <c r="P9" s="277">
        <v>0.9</v>
      </c>
      <c r="Q9" s="277">
        <v>0.9</v>
      </c>
      <c r="R9" s="277">
        <v>0.85</v>
      </c>
      <c r="S9" s="277">
        <v>0.8</v>
      </c>
      <c r="T9" s="277">
        <v>0.8</v>
      </c>
      <c r="U9" s="277" cm="1">
        <f t="array" ref="U9">I9</f>
        <v>0.8</v>
      </c>
      <c r="V9" s="277" cm="1">
        <f t="array" ref="V9">J9</f>
        <v>0.8</v>
      </c>
      <c r="W9" s="277" cm="1">
        <f t="array" ref="W9">K9</f>
        <v>0.8</v>
      </c>
      <c r="X9" s="277" cm="1">
        <f t="array" ref="X9">L9</f>
        <v>0.85</v>
      </c>
      <c r="Y9" s="277" cm="1">
        <f t="array" ref="Y9">M9</f>
        <v>0.9</v>
      </c>
      <c r="Z9" s="277" cm="1">
        <f t="array" ref="Z9">N9</f>
        <v>0.9</v>
      </c>
      <c r="AA9" s="277" cm="1">
        <f t="array" ref="AA9">O9</f>
        <v>0.9</v>
      </c>
      <c r="AB9" s="277" cm="1">
        <f t="array" ref="AB9">P9</f>
        <v>0.9</v>
      </c>
      <c r="AC9" s="277" cm="1">
        <f t="array" ref="AC9">Q9</f>
        <v>0.9</v>
      </c>
      <c r="AD9" s="277" cm="1">
        <f t="array" ref="AD9">R9</f>
        <v>0.85</v>
      </c>
      <c r="AE9" s="277" cm="1">
        <f t="array" ref="AE9">S9</f>
        <v>0.8</v>
      </c>
      <c r="AF9" s="277" cm="1">
        <f t="array" ref="AF9">T9</f>
        <v>0.8</v>
      </c>
      <c r="AG9" s="277" cm="1">
        <f t="array" ref="AG9">U9</f>
        <v>0.8</v>
      </c>
      <c r="AH9" s="277" cm="1">
        <f t="array" ref="AH9">V9</f>
        <v>0.8</v>
      </c>
      <c r="AI9" s="277" cm="1">
        <f t="array" ref="AI9">W9</f>
        <v>0.8</v>
      </c>
      <c r="AJ9" s="277" cm="1">
        <f t="array" ref="AJ9">X9</f>
        <v>0.85</v>
      </c>
      <c r="AK9" s="277" cm="1">
        <f t="array" ref="AK9">Y9</f>
        <v>0.9</v>
      </c>
      <c r="AL9" s="277" cm="1">
        <f t="array" ref="AL9">Z9</f>
        <v>0.9</v>
      </c>
      <c r="AM9" s="277" cm="1">
        <f t="array" ref="AM9">AA9</f>
        <v>0.9</v>
      </c>
      <c r="AN9" s="277" cm="1">
        <f t="array" ref="AN9">AB9</f>
        <v>0.9</v>
      </c>
      <c r="AO9" s="277" cm="1">
        <f t="array" ref="AO9">AC9</f>
        <v>0.9</v>
      </c>
      <c r="AP9" s="277" cm="1">
        <f t="array" ref="AP9">AD9</f>
        <v>0.85</v>
      </c>
      <c r="AQ9" s="277" cm="1">
        <f t="array" ref="AQ9">AE9</f>
        <v>0.8</v>
      </c>
      <c r="AR9" s="277" cm="1">
        <f t="array" ref="AR9">AF9</f>
        <v>0.8</v>
      </c>
      <c r="AS9" s="277" cm="1">
        <f t="array" ref="AS9">AG9</f>
        <v>0.8</v>
      </c>
      <c r="AT9" s="278"/>
    </row>
    <row r="10" ht="16" customHeight="1">
      <c r="A10" s="12"/>
      <c r="B10" s="271"/>
      <c r="C10" s="272"/>
      <c r="D10" t="s" s="273">
        <v>779</v>
      </c>
      <c r="E10" s="274"/>
      <c r="F10" s="275"/>
      <c r="G10" s="275"/>
      <c r="H10" s="275"/>
      <c r="I10" s="275" cm="1">
        <f t="array" ref="I10">I6*I7*I8*I9</f>
        <v>241.28</v>
      </c>
      <c r="J10" s="275" cm="1">
        <f t="array" ref="J10">J6*J7*J8*J9</f>
        <v>203.84</v>
      </c>
      <c r="K10" s="275" cm="1">
        <f t="array" ref="K10">K6*K7*K8*K9</f>
        <v>241.28</v>
      </c>
      <c r="L10" s="275" cm="1">
        <f t="array" ref="L10">L6*L7*L8*L9</f>
        <v>256.36</v>
      </c>
      <c r="M10" s="275" cm="1">
        <f t="array" ref="M10">M6*M7*M8*M9</f>
        <v>288.405</v>
      </c>
      <c r="N10" s="275" cm="1">
        <f t="array" ref="N10">N6*N7*N8*N9</f>
        <v>322.335</v>
      </c>
      <c r="O10" s="275" cm="1">
        <f t="array" ref="O10">O6*O7*O8*O9</f>
        <v>351</v>
      </c>
      <c r="P10" s="275" cm="1">
        <f t="array" ref="P10">P6*P7*P8*P9</f>
        <v>351</v>
      </c>
      <c r="Q10" s="275" cm="1">
        <f t="array" ref="Q10">Q6*Q7*Q8*Q9</f>
        <v>305.37</v>
      </c>
      <c r="R10" s="275" cm="1">
        <f t="array" ref="R10">R6*R7*R8*R9</f>
        <v>256.36</v>
      </c>
      <c r="S10" s="275" cm="1">
        <f t="array" ref="S10">S6*S7*S8*S9</f>
        <v>211.12</v>
      </c>
      <c r="T10" s="275" cm="1">
        <f t="array" ref="T10">T6*T7*T8*T9</f>
        <v>241.28</v>
      </c>
      <c r="U10" s="275" cm="1">
        <f t="array" ref="U10">U6*U7*U8*U9</f>
        <v>241.28</v>
      </c>
      <c r="V10" s="275" cm="1">
        <f t="array" ref="V10">V6*V7*V8*V9</f>
        <v>203.84</v>
      </c>
      <c r="W10" s="275" cm="1">
        <f t="array" ref="W10">W6*W7*W8*W9</f>
        <v>241.28</v>
      </c>
      <c r="X10" s="275" cm="1">
        <f t="array" ref="X10">X6*X7*X8*X9</f>
        <v>256.36</v>
      </c>
      <c r="Y10" s="275" cm="1">
        <f t="array" ref="Y10">Y6*Y7*Y8*Y9</f>
        <v>288.405</v>
      </c>
      <c r="Z10" s="275" cm="1">
        <f t="array" ref="Z10">Z6*Z7*Z8*Z9</f>
        <v>322.335</v>
      </c>
      <c r="AA10" s="275" cm="1">
        <f t="array" ref="AA10">AA6*AA7*AA8*AA9</f>
        <v>351</v>
      </c>
      <c r="AB10" s="275" cm="1">
        <f t="array" ref="AB10">AB6*AB7*AB8*AB9</f>
        <v>351</v>
      </c>
      <c r="AC10" s="275" cm="1">
        <f t="array" ref="AC10">AC6*AC7*AC8*AC9</f>
        <v>305.37</v>
      </c>
      <c r="AD10" s="275" cm="1">
        <f t="array" ref="AD10">AD6*AD7*AD8*AD9</f>
        <v>256.36</v>
      </c>
      <c r="AE10" s="275" cm="1">
        <f t="array" ref="AE10">AE6*AE7*AE8*AE9</f>
        <v>211.12</v>
      </c>
      <c r="AF10" s="275" cm="1">
        <f t="array" ref="AF10">AF6*AF7*AF8*AF9</f>
        <v>241.28</v>
      </c>
      <c r="AG10" s="275" cm="1">
        <f t="array" ref="AG10">AG6*AG7*AG8*AG9</f>
        <v>241.28</v>
      </c>
      <c r="AH10" s="275" cm="1">
        <f t="array" ref="AH10">AH6*AH7*AH8*AH9</f>
        <v>203.84</v>
      </c>
      <c r="AI10" s="275" cm="1">
        <f t="array" ref="AI10">AI6*AI7*AI8*AI9</f>
        <v>241.28</v>
      </c>
      <c r="AJ10" s="275" cm="1">
        <f t="array" ref="AJ10">AJ6*AJ7*AJ8*AJ9</f>
        <v>256.36</v>
      </c>
      <c r="AK10" s="275" cm="1">
        <f t="array" ref="AK10">AK6*AK7*AK8*AK9</f>
        <v>288.405</v>
      </c>
      <c r="AL10" s="275" cm="1">
        <f t="array" ref="AL10">AL6*AL7*AL8*AL9</f>
        <v>322.335</v>
      </c>
      <c r="AM10" s="275" cm="1">
        <f t="array" ref="AM10">AM6*AM7*AM8*AM9</f>
        <v>351</v>
      </c>
      <c r="AN10" s="275" cm="1">
        <f t="array" ref="AN10">AN6*AN7*AN8*AN9</f>
        <v>351</v>
      </c>
      <c r="AO10" s="275" cm="1">
        <f t="array" ref="AO10">AO6*AO7*AO8*AO9</f>
        <v>305.37</v>
      </c>
      <c r="AP10" s="275" cm="1">
        <f t="array" ref="AP10">AP6*AP7*AP8*AP9</f>
        <v>256.36</v>
      </c>
      <c r="AQ10" s="275" cm="1">
        <f t="array" ref="AQ10">AQ6*AQ7*AQ8*AQ9</f>
        <v>211.12</v>
      </c>
      <c r="AR10" s="275" cm="1">
        <f t="array" ref="AR10">AR6*AR7*AR8*AR9</f>
        <v>241.28</v>
      </c>
      <c r="AS10" s="275" cm="1">
        <f t="array" ref="AS10">AS6*AS7*AS8*AS9</f>
        <v>241.28</v>
      </c>
      <c r="AT10" s="278"/>
    </row>
    <row r="11" ht="16" customHeight="1">
      <c r="A11" s="12"/>
      <c r="B11" s="271"/>
      <c r="C11" s="272"/>
      <c r="D11" t="s" s="273">
        <v>780</v>
      </c>
      <c r="E11" s="274"/>
      <c r="F11" s="275"/>
      <c r="G11" s="275"/>
      <c r="H11" s="275"/>
      <c r="I11" s="275" cm="1">
        <f t="array" ref="I11">'Project Eldorado ROI in IDR'!$F$8/1000</f>
        <v>1850</v>
      </c>
      <c r="J11" s="275" cm="1">
        <f t="array" ref="J11">'Project Eldorado ROI in IDR'!$D$8/1000</f>
        <v>1800</v>
      </c>
      <c r="K11" s="275" cm="1">
        <f t="array" ref="K11">'Project Eldorado ROI in IDR'!$D$8/1000</f>
        <v>1800</v>
      </c>
      <c r="L11" s="275" cm="1">
        <f t="array" ref="L11">'Project Eldorado ROI in IDR'!$D$8/1000</f>
        <v>1800</v>
      </c>
      <c r="M11" s="275" cm="1">
        <f t="array" ref="M11">'Project Eldorado ROI in IDR'!$F$8/1000</f>
        <v>1850</v>
      </c>
      <c r="N11" s="275" cm="1">
        <f t="array" ref="N11">'Project Eldorado ROI in IDR'!$F$8/1000</f>
        <v>1850</v>
      </c>
      <c r="O11" s="275" cm="1">
        <f t="array" ref="O11">'Project Eldorado ROI in IDR'!$F$8/1000</f>
        <v>1850</v>
      </c>
      <c r="P11" s="275" cm="1">
        <f t="array" ref="P11">'Project Eldorado ROI in IDR'!$F$8/1000</f>
        <v>1850</v>
      </c>
      <c r="Q11" s="275" cm="1">
        <f t="array" ref="Q11">'Project Eldorado ROI in IDR'!$F$8/1000</f>
        <v>1850</v>
      </c>
      <c r="R11" s="275" cm="1">
        <f t="array" ref="R11">'Project Eldorado ROI in IDR'!$D$8/1000</f>
        <v>1800</v>
      </c>
      <c r="S11" s="275" cm="1">
        <f t="array" ref="S11">'Project Eldorado ROI in IDR'!$D$8/1000</f>
        <v>1800</v>
      </c>
      <c r="T11" s="275" cm="1">
        <f t="array" ref="T11">'Project Eldorado ROI in IDR'!$F$8/1000</f>
        <v>1850</v>
      </c>
      <c r="U11" s="275" cm="1">
        <f t="array" ref="U11">I11</f>
        <v>1850</v>
      </c>
      <c r="V11" s="275" cm="1">
        <f t="array" ref="V11">J11</f>
        <v>1800</v>
      </c>
      <c r="W11" s="275" cm="1">
        <f t="array" ref="W11">K11</f>
        <v>1800</v>
      </c>
      <c r="X11" s="275" cm="1">
        <f t="array" ref="X11">L11</f>
        <v>1800</v>
      </c>
      <c r="Y11" s="275" cm="1">
        <f t="array" ref="Y11">M11</f>
        <v>1850</v>
      </c>
      <c r="Z11" s="275" cm="1">
        <f t="array" ref="Z11">N11</f>
        <v>1850</v>
      </c>
      <c r="AA11" s="275" cm="1">
        <f t="array" ref="AA11">O11</f>
        <v>1850</v>
      </c>
      <c r="AB11" s="275" cm="1">
        <f t="array" ref="AB11">P11</f>
        <v>1850</v>
      </c>
      <c r="AC11" s="275" cm="1">
        <f t="array" ref="AC11">Q11</f>
        <v>1850</v>
      </c>
      <c r="AD11" s="275" cm="1">
        <f t="array" ref="AD11">R11</f>
        <v>1800</v>
      </c>
      <c r="AE11" s="275" cm="1">
        <f t="array" ref="AE11">S11</f>
        <v>1800</v>
      </c>
      <c r="AF11" s="275" cm="1">
        <f t="array" ref="AF11">T11</f>
        <v>1850</v>
      </c>
      <c r="AG11" s="275" cm="1">
        <f t="array" ref="AG11">U11</f>
        <v>1850</v>
      </c>
      <c r="AH11" s="275" cm="1">
        <f t="array" ref="AH11">V11</f>
        <v>1800</v>
      </c>
      <c r="AI11" s="275" cm="1">
        <f t="array" ref="AI11">W11</f>
        <v>1800</v>
      </c>
      <c r="AJ11" s="275" cm="1">
        <f t="array" ref="AJ11">X11</f>
        <v>1800</v>
      </c>
      <c r="AK11" s="275" cm="1">
        <f t="array" ref="AK11">Y11</f>
        <v>1850</v>
      </c>
      <c r="AL11" s="275" cm="1">
        <f t="array" ref="AL11">Z11</f>
        <v>1850</v>
      </c>
      <c r="AM11" s="275" cm="1">
        <f t="array" ref="AM11">AA11</f>
        <v>1850</v>
      </c>
      <c r="AN11" s="275" cm="1">
        <f t="array" ref="AN11">AB11</f>
        <v>1850</v>
      </c>
      <c r="AO11" s="275" cm="1">
        <f t="array" ref="AO11">AC11</f>
        <v>1850</v>
      </c>
      <c r="AP11" s="275" cm="1">
        <f t="array" ref="AP11">AD11</f>
        <v>1800</v>
      </c>
      <c r="AQ11" s="275" cm="1">
        <f t="array" ref="AQ11">AE11</f>
        <v>1800</v>
      </c>
      <c r="AR11" s="275" cm="1">
        <f t="array" ref="AR11">AF11</f>
        <v>1850</v>
      </c>
      <c r="AS11" s="275" cm="1">
        <f t="array" ref="AS11">AG11</f>
        <v>1850</v>
      </c>
      <c r="AT11" s="278"/>
    </row>
    <row r="12" ht="16" customHeight="1">
      <c r="A12" s="12"/>
      <c r="B12" s="271"/>
      <c r="C12" s="272"/>
      <c r="D12" t="s" s="273">
        <v>393</v>
      </c>
      <c r="E12" s="274" cm="1">
        <f t="array" ref="E12">50896.35*16272</f>
        <v>828185407.2</v>
      </c>
      <c r="F12" s="282">
        <v>0</v>
      </c>
      <c r="G12" s="282">
        <v>0</v>
      </c>
      <c r="H12" s="282">
        <v>0</v>
      </c>
      <c r="I12" s="275" cm="1">
        <f t="array" ref="I12">I10*I11</f>
        <v>446368</v>
      </c>
      <c r="J12" s="275" cm="1">
        <f t="array" ref="J12">J10*J11</f>
        <v>366912</v>
      </c>
      <c r="K12" s="275" cm="1">
        <f t="array" ref="K12">K10*K11</f>
        <v>434304</v>
      </c>
      <c r="L12" s="275" cm="1">
        <f t="array" ref="L12">L10*L11</f>
        <v>461448</v>
      </c>
      <c r="M12" s="275" cm="1">
        <f t="array" ref="M12">M10*M11</f>
        <v>533549.25</v>
      </c>
      <c r="N12" s="275" cm="1">
        <f t="array" ref="N12">N10*N11</f>
        <v>596319.75</v>
      </c>
      <c r="O12" s="275" cm="1">
        <f t="array" ref="O12">O10*O11</f>
        <v>649350</v>
      </c>
      <c r="P12" s="275" cm="1">
        <f t="array" ref="P12">P10*P11</f>
        <v>649350</v>
      </c>
      <c r="Q12" s="275" cm="1">
        <f t="array" ref="Q12">Q10*Q11</f>
        <v>564934.5</v>
      </c>
      <c r="R12" s="275" cm="1">
        <f t="array" ref="R12">R10*R11</f>
        <v>461448</v>
      </c>
      <c r="S12" s="275" cm="1">
        <f t="array" ref="S12">S10*S11</f>
        <v>380016</v>
      </c>
      <c r="T12" s="275" cm="1">
        <f t="array" ref="T12">T10*T11</f>
        <v>446368</v>
      </c>
      <c r="U12" s="275" cm="1">
        <f t="array" ref="U12">U10*U11</f>
        <v>446368</v>
      </c>
      <c r="V12" s="275" cm="1">
        <f t="array" ref="V12">V10*V11</f>
        <v>366912</v>
      </c>
      <c r="W12" s="275" cm="1">
        <f t="array" ref="W12">W10*W11</f>
        <v>434304</v>
      </c>
      <c r="X12" s="275" cm="1">
        <f t="array" ref="X12">X10*X11</f>
        <v>461448</v>
      </c>
      <c r="Y12" s="275" cm="1">
        <f t="array" ref="Y12">Y10*Y11</f>
        <v>533549.25</v>
      </c>
      <c r="Z12" s="275" cm="1">
        <f t="array" ref="Z12">Z10*Z11</f>
        <v>596319.75</v>
      </c>
      <c r="AA12" s="275" cm="1">
        <f t="array" ref="AA12">AA10*AA11</f>
        <v>649350</v>
      </c>
      <c r="AB12" s="275" cm="1">
        <f t="array" ref="AB12">AB10*AB11</f>
        <v>649350</v>
      </c>
      <c r="AC12" s="275" cm="1">
        <f t="array" ref="AC12">AC10*AC11</f>
        <v>564934.5</v>
      </c>
      <c r="AD12" s="275" cm="1">
        <f t="array" ref="AD12">AD10*AD11</f>
        <v>461448</v>
      </c>
      <c r="AE12" s="275" cm="1">
        <f t="array" ref="AE12">AE10*AE11</f>
        <v>380016</v>
      </c>
      <c r="AF12" s="275" cm="1">
        <f t="array" ref="AF12">AF10*AF11</f>
        <v>446368</v>
      </c>
      <c r="AG12" s="275" cm="1">
        <f t="array" ref="AG12">AG10*AG11</f>
        <v>446368</v>
      </c>
      <c r="AH12" s="275" cm="1">
        <f t="array" ref="AH12">AH10*AH11</f>
        <v>366912</v>
      </c>
      <c r="AI12" s="275" cm="1">
        <f t="array" ref="AI12">AI10*AI11</f>
        <v>434304</v>
      </c>
      <c r="AJ12" s="275" cm="1">
        <f t="array" ref="AJ12">AJ10*AJ11</f>
        <v>461448</v>
      </c>
      <c r="AK12" s="275" cm="1">
        <f t="array" ref="AK12">AK10*AK11</f>
        <v>533549.25</v>
      </c>
      <c r="AL12" s="275" cm="1">
        <f t="array" ref="AL12">AL10*AL11</f>
        <v>596319.75</v>
      </c>
      <c r="AM12" s="275" cm="1">
        <f t="array" ref="AM12">AM10*AM11</f>
        <v>649350</v>
      </c>
      <c r="AN12" s="275" cm="1">
        <f t="array" ref="AN12">AN10*AN11</f>
        <v>649350</v>
      </c>
      <c r="AO12" s="275" cm="1">
        <f t="array" ref="AO12">AO10*AO11</f>
        <v>564934.5</v>
      </c>
      <c r="AP12" s="275" cm="1">
        <f t="array" ref="AP12">AP10*AP11</f>
        <v>461448</v>
      </c>
      <c r="AQ12" s="275" cm="1">
        <f t="array" ref="AQ12">AQ10*AQ11</f>
        <v>380016</v>
      </c>
      <c r="AR12" s="275" cm="1">
        <f t="array" ref="AR12">AR10*AR11</f>
        <v>446368</v>
      </c>
      <c r="AS12" s="275" cm="1">
        <f t="array" ref="AS12">AS10*AS11</f>
        <v>446368</v>
      </c>
      <c r="AT12" s="276"/>
    </row>
    <row r="13" ht="16" customHeight="1">
      <c r="A13" s="12"/>
      <c r="B13" s="271"/>
      <c r="C13" s="272"/>
      <c r="D13" s="300"/>
      <c r="E13" s="274"/>
      <c r="F13" s="275"/>
      <c r="G13" s="275"/>
      <c r="H13" s="275"/>
      <c r="I13" s="275"/>
      <c r="J13" s="275"/>
      <c r="K13" s="275"/>
      <c r="L13" s="279"/>
      <c r="M13" s="275"/>
      <c r="N13" s="275"/>
      <c r="O13" s="275"/>
      <c r="P13" s="275"/>
      <c r="Q13" s="275"/>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5"/>
      <c r="AP13" s="275"/>
      <c r="AQ13" s="275"/>
      <c r="AR13" s="275"/>
      <c r="AS13" s="275"/>
      <c r="AT13" s="276"/>
    </row>
    <row r="14" ht="16" customHeight="1">
      <c r="A14" s="12"/>
      <c r="B14" t="s" s="264">
        <v>395</v>
      </c>
      <c r="C14" s="272"/>
      <c r="D14" s="280"/>
      <c r="E14" s="274" cm="1">
        <f t="array" ref="E14">50896.35*16272</f>
        <v>828185407.2</v>
      </c>
      <c r="F14" s="275"/>
      <c r="G14" s="275"/>
      <c r="H14" s="275"/>
      <c r="I14" s="275"/>
      <c r="J14" s="275"/>
      <c r="K14" s="275"/>
      <c r="L14" s="275"/>
      <c r="M14" s="275"/>
      <c r="N14" s="275"/>
      <c r="O14" s="275"/>
      <c r="P14" s="275"/>
      <c r="Q14" s="275"/>
      <c r="R14" s="275"/>
      <c r="S14" s="275"/>
      <c r="T14" s="275"/>
      <c r="U14" s="275"/>
      <c r="V14" s="275"/>
      <c r="W14" s="275"/>
      <c r="X14" s="275"/>
      <c r="Y14" s="275"/>
      <c r="Z14" s="275"/>
      <c r="AA14" s="275"/>
      <c r="AB14" s="275"/>
      <c r="AC14" s="275"/>
      <c r="AD14" s="275"/>
      <c r="AE14" s="275"/>
      <c r="AF14" s="275"/>
      <c r="AG14" s="275"/>
      <c r="AH14" s="275"/>
      <c r="AI14" s="275"/>
      <c r="AJ14" s="275"/>
      <c r="AK14" s="275"/>
      <c r="AL14" s="275"/>
      <c r="AM14" s="275"/>
      <c r="AN14" s="275"/>
      <c r="AO14" s="275"/>
      <c r="AP14" s="275"/>
      <c r="AQ14" s="275"/>
      <c r="AR14" s="275"/>
      <c r="AS14" s="275"/>
      <c r="AT14" s="276"/>
    </row>
    <row r="15" ht="15" customHeight="1">
      <c r="A15" s="12"/>
      <c r="B15" s="283"/>
      <c r="C15" s="272"/>
      <c r="D15" t="str" s="896" cm="1">
        <f t="array" ref="D15">'Project Eldorado ROI in IDR'!B11</f>
        <v>Guides Salary &amp; Tax</v>
      </c>
      <c r="E15" s="274" cm="1">
        <f t="array" ref="E15">50896.35*16272</f>
        <v>828185407.2</v>
      </c>
      <c r="F15" s="282">
        <v>0</v>
      </c>
      <c r="G15" s="282">
        <v>0</v>
      </c>
      <c r="H15" s="282">
        <v>0</v>
      </c>
      <c r="I15" s="282" cm="1">
        <f t="array" ref="I15">-'Shared Boats 2026 Target'!$E$268*I7*I8/1000</f>
        <v>-40623.2</v>
      </c>
      <c r="J15" s="282" cm="1">
        <f t="array" ref="J15">-'Shared Boats 2026 Target'!$E$268*J7*J8/1000</f>
        <v>-34319.6</v>
      </c>
      <c r="K15" s="282" cm="1">
        <f t="array" ref="K15">-'Shared Boats 2026 Target'!$E$268*K7*K8/1000</f>
        <v>-40623.2</v>
      </c>
      <c r="L15" s="282" cm="1">
        <f t="array" ref="L15">-'Shared Boats 2026 Target'!$E$268*L7*L8/1000</f>
        <v>-40623.2</v>
      </c>
      <c r="M15" s="282" cm="1">
        <f t="array" ref="M15">-'Shared Boats 2026 Target'!$E$268*M7*M8/1000</f>
        <v>-43162.15</v>
      </c>
      <c r="N15" s="282" cm="1">
        <f t="array" ref="N15">-'Shared Boats 2026 Target'!$E$268*N7*N8/1000</f>
        <v>-48240.05</v>
      </c>
      <c r="O15" s="282" cm="1">
        <f t="array" ref="O15">-'Shared Boats 2026 Target'!$E$268*O7*O8/1000</f>
        <v>-52530</v>
      </c>
      <c r="P15" s="282" cm="1">
        <f t="array" ref="P15">-'Shared Boats 2026 Target'!$E$268*P7*P8/1000</f>
        <v>-52530</v>
      </c>
      <c r="Q15" s="282" cm="1">
        <f t="array" ref="Q15">-'Shared Boats 2026 Target'!$E$268*Q7*Q8/1000</f>
        <v>-45701.1</v>
      </c>
      <c r="R15" s="282" cm="1">
        <f t="array" ref="R15">-'Shared Boats 2026 Target'!$E$268*R7*R8/1000</f>
        <v>-40623.2</v>
      </c>
      <c r="S15" s="282" cm="1">
        <f t="array" ref="S15">-'Shared Boats 2026 Target'!$E$268*S7*S8/1000</f>
        <v>-35545.3</v>
      </c>
      <c r="T15" s="282" cm="1">
        <f t="array" ref="T15">-'Shared Boats 2026 Target'!$E$268*T7*T8/1000</f>
        <v>-40623.2</v>
      </c>
      <c r="U15" s="282" cm="1">
        <f t="array" ref="U15">-'Shared Boats 2026 Target'!$E$268*U7*U8/1000</f>
        <v>-40623.2</v>
      </c>
      <c r="V15" s="282" cm="1">
        <f t="array" ref="V15">-'Shared Boats 2026 Target'!$E$268*V7*V8/1000</f>
        <v>-34319.6</v>
      </c>
      <c r="W15" s="282" cm="1">
        <f t="array" ref="W15">-'Shared Boats 2026 Target'!$E$268*W7*W8/1000</f>
        <v>-40623.2</v>
      </c>
      <c r="X15" s="282" cm="1">
        <f t="array" ref="X15">-'Shared Boats 2026 Target'!$E$268*X7*X8/1000</f>
        <v>-40623.2</v>
      </c>
      <c r="Y15" s="282" cm="1">
        <f t="array" ref="Y15">-'Shared Boats 2026 Target'!$E$268*Y7*Y8/1000</f>
        <v>-43162.15</v>
      </c>
      <c r="Z15" s="282" cm="1">
        <f t="array" ref="Z15">-'Shared Boats 2026 Target'!$E$268*Z7*Z8/1000</f>
        <v>-48240.05</v>
      </c>
      <c r="AA15" s="282" cm="1">
        <f t="array" ref="AA15">-'Shared Boats 2026 Target'!$E$268*AA7*AA8/1000</f>
        <v>-52530</v>
      </c>
      <c r="AB15" s="282" cm="1">
        <f t="array" ref="AB15">-'Shared Boats 2026 Target'!$E$268*AB7*AB8/1000</f>
        <v>-52530</v>
      </c>
      <c r="AC15" s="282" cm="1">
        <f t="array" ref="AC15">-'Shared Boats 2026 Target'!$E$268*AC7*AC8/1000</f>
        <v>-45701.1</v>
      </c>
      <c r="AD15" s="282" cm="1">
        <f t="array" ref="AD15">-'Shared Boats 2026 Target'!$E$268*AD7*AD8/1000</f>
        <v>-40623.2</v>
      </c>
      <c r="AE15" s="282" cm="1">
        <f t="array" ref="AE15">-'Shared Boats 2026 Target'!$E$268*AE7*AE8/1000</f>
        <v>-35545.3</v>
      </c>
      <c r="AF15" s="282" cm="1">
        <f t="array" ref="AF15">-'Shared Boats 2026 Target'!$E$268*AF7*AF8/1000</f>
        <v>-40623.2</v>
      </c>
      <c r="AG15" s="282" cm="1">
        <f t="array" ref="AG15">-'Shared Boats 2026 Target'!$E$268*AG7*AG8/1000</f>
        <v>-40623.2</v>
      </c>
      <c r="AH15" s="282" cm="1">
        <f t="array" ref="AH15">-'Shared Boats 2026 Target'!$E$268*AH7*AH8/1000</f>
        <v>-34319.6</v>
      </c>
      <c r="AI15" s="282" cm="1">
        <f t="array" ref="AI15">-'Shared Boats 2026 Target'!$E$268*AI7*AI8/1000</f>
        <v>-40623.2</v>
      </c>
      <c r="AJ15" s="282" cm="1">
        <f t="array" ref="AJ15">-'Shared Boats 2026 Target'!$E$268*AJ7*AJ8/1000</f>
        <v>-40623.2</v>
      </c>
      <c r="AK15" s="282" cm="1">
        <f t="array" ref="AK15">-'Shared Boats 2026 Target'!$E$268*AK7*AK8/1000</f>
        <v>-43162.15</v>
      </c>
      <c r="AL15" s="282" cm="1">
        <f t="array" ref="AL15">-'Shared Boats 2026 Target'!$E$268*AL7*AL8/1000</f>
        <v>-48240.05</v>
      </c>
      <c r="AM15" s="282" cm="1">
        <f t="array" ref="AM15">-'Shared Boats 2026 Target'!$E$268*AM7*AM8/1000</f>
        <v>-52530</v>
      </c>
      <c r="AN15" s="282" cm="1">
        <f t="array" ref="AN15">-'Shared Boats 2026 Target'!$E$268*AN7*AN8/1000</f>
        <v>-52530</v>
      </c>
      <c r="AO15" s="282" cm="1">
        <f t="array" ref="AO15">-'Shared Boats 2026 Target'!$E$268*AO7*AO8/1000</f>
        <v>-45701.1</v>
      </c>
      <c r="AP15" s="282" cm="1">
        <f t="array" ref="AP15">-'Shared Boats 2026 Target'!$E$268*AP7*AP8/1000</f>
        <v>-40623.2</v>
      </c>
      <c r="AQ15" s="282" cm="1">
        <f t="array" ref="AQ15">-'Shared Boats 2026 Target'!$E$268*AQ7*AQ8/1000</f>
        <v>-35545.3</v>
      </c>
      <c r="AR15" s="282" cm="1">
        <f t="array" ref="AR15">-'Shared Boats 2026 Target'!$E$268*AR7*AR8/1000</f>
        <v>-40623.2</v>
      </c>
      <c r="AS15" s="282" cm="1">
        <f t="array" ref="AS15">-'Shared Boats 2026 Target'!$E$268*AS7*AS8/1000</f>
        <v>-40623.2</v>
      </c>
      <c r="AT15" s="284"/>
    </row>
    <row r="16" ht="15" customHeight="1">
      <c r="A16" s="12"/>
      <c r="B16" s="283"/>
      <c r="C16" s="272"/>
      <c r="D16" t="str" s="896" cm="1">
        <f t="array" ref="D16">'Project Eldorado ROI in IDR'!B12</f>
        <v>Towels</v>
      </c>
      <c r="E16" s="274"/>
      <c r="F16" s="282">
        <v>0</v>
      </c>
      <c r="G16" s="282">
        <v>0</v>
      </c>
      <c r="H16" s="282">
        <v>0</v>
      </c>
      <c r="I16" s="282" cm="1">
        <f t="array" ref="I16">-'Shared Boats 2026 Target'!$F$268*I7*I8/1000</f>
        <v>-1531.2</v>
      </c>
      <c r="J16" s="282" cm="1">
        <f t="array" ref="J16">-'Shared Boats 2026 Target'!$F$268*J7*J8/1000</f>
        <v>-1293.6</v>
      </c>
      <c r="K16" s="282" cm="1">
        <f t="array" ref="K16">-'Shared Boats 2026 Target'!$F$268*K7*K8/1000</f>
        <v>-1531.2</v>
      </c>
      <c r="L16" s="282" cm="1">
        <f t="array" ref="L16">-'Shared Boats 2026 Target'!$F$268*L7*L8/1000</f>
        <v>-1531.2</v>
      </c>
      <c r="M16" s="282" cm="1">
        <f t="array" ref="M16">-'Shared Boats 2026 Target'!$F$268*M7*M8/1000</f>
        <v>-1626.9</v>
      </c>
      <c r="N16" s="282" cm="1">
        <f t="array" ref="N16">-'Shared Boats 2026 Target'!$F$268*N7*N8/1000</f>
        <v>-1818.3</v>
      </c>
      <c r="O16" s="282" cm="1">
        <f t="array" ref="O16">-'Shared Boats 2026 Target'!$F$268*O7*O8/1000</f>
        <v>-1980</v>
      </c>
      <c r="P16" s="282" cm="1">
        <f t="array" ref="P16">-'Shared Boats 2026 Target'!$F$268*P7*P8/1000</f>
        <v>-1980</v>
      </c>
      <c r="Q16" s="282" cm="1">
        <f t="array" ref="Q16">-'Shared Boats 2026 Target'!$F$268*Q7*Q8/1000</f>
        <v>-1722.6</v>
      </c>
      <c r="R16" s="282" cm="1">
        <f t="array" ref="R16">-'Shared Boats 2026 Target'!$F$268*R7*R8/1000</f>
        <v>-1531.2</v>
      </c>
      <c r="S16" s="282" cm="1">
        <f t="array" ref="S16">-'Shared Boats 2026 Target'!$F$268*S7*S8/1000</f>
        <v>-1339.8</v>
      </c>
      <c r="T16" s="282" cm="1">
        <f t="array" ref="T16">-'Shared Boats 2026 Target'!$F$268*T7*T8/1000</f>
        <v>-1531.2</v>
      </c>
      <c r="U16" s="282" cm="1">
        <f t="array" ref="U16">-'Shared Boats 2026 Target'!$F$268*U7*U8/1000</f>
        <v>-1531.2</v>
      </c>
      <c r="V16" s="282" cm="1">
        <f t="array" ref="V16">-'Shared Boats 2026 Target'!$F$268*V7*V8/1000</f>
        <v>-1293.6</v>
      </c>
      <c r="W16" s="282" cm="1">
        <f t="array" ref="W16">-'Shared Boats 2026 Target'!$F$268*W7*W8/1000</f>
        <v>-1531.2</v>
      </c>
      <c r="X16" s="282" cm="1">
        <f t="array" ref="X16">-'Shared Boats 2026 Target'!$F$268*X7*X8/1000</f>
        <v>-1531.2</v>
      </c>
      <c r="Y16" s="282" cm="1">
        <f t="array" ref="Y16">-'Shared Boats 2026 Target'!$F$268*Y7*Y8/1000</f>
        <v>-1626.9</v>
      </c>
      <c r="Z16" s="282" cm="1">
        <f t="array" ref="Z16">-'Shared Boats 2026 Target'!$F$268*Z7*Z8/1000</f>
        <v>-1818.3</v>
      </c>
      <c r="AA16" s="282" cm="1">
        <f t="array" ref="AA16">-'Shared Boats 2026 Target'!$F$268*AA7*AA8/1000</f>
        <v>-1980</v>
      </c>
      <c r="AB16" s="282" cm="1">
        <f t="array" ref="AB16">-'Shared Boats 2026 Target'!$F$268*AB7*AB8/1000</f>
        <v>-1980</v>
      </c>
      <c r="AC16" s="282" cm="1">
        <f t="array" ref="AC16">-'Shared Boats 2026 Target'!$F$268*AC7*AC8/1000</f>
        <v>-1722.6</v>
      </c>
      <c r="AD16" s="282" cm="1">
        <f t="array" ref="AD16">-'Shared Boats 2026 Target'!$F$268*AD7*AD8/1000</f>
        <v>-1531.2</v>
      </c>
      <c r="AE16" s="282" cm="1">
        <f t="array" ref="AE16">-'Shared Boats 2026 Target'!$F$268*AE7*AE8/1000</f>
        <v>-1339.8</v>
      </c>
      <c r="AF16" s="282" cm="1">
        <f t="array" ref="AF16">-'Shared Boats 2026 Target'!$F$268*AF7*AF8/1000</f>
        <v>-1531.2</v>
      </c>
      <c r="AG16" s="282" cm="1">
        <f t="array" ref="AG16">-'Shared Boats 2026 Target'!$F$268*AG7*AG8/1000</f>
        <v>-1531.2</v>
      </c>
      <c r="AH16" s="282" cm="1">
        <f t="array" ref="AH16">-'Shared Boats 2026 Target'!$F$268*AH7*AH8/1000</f>
        <v>-1293.6</v>
      </c>
      <c r="AI16" s="282" cm="1">
        <f t="array" ref="AI16">-'Shared Boats 2026 Target'!$F$268*AI7*AI8/1000</f>
        <v>-1531.2</v>
      </c>
      <c r="AJ16" s="282" cm="1">
        <f t="array" ref="AJ16">-'Shared Boats 2026 Target'!$F$268*AJ7*AJ8/1000</f>
        <v>-1531.2</v>
      </c>
      <c r="AK16" s="282" cm="1">
        <f t="array" ref="AK16">-'Shared Boats 2026 Target'!$F$268*AK7*AK8/1000</f>
        <v>-1626.9</v>
      </c>
      <c r="AL16" s="282" cm="1">
        <f t="array" ref="AL16">-'Shared Boats 2026 Target'!$F$268*AL7*AL8/1000</f>
        <v>-1818.3</v>
      </c>
      <c r="AM16" s="282" cm="1">
        <f t="array" ref="AM16">-'Shared Boats 2026 Target'!$F$268*AM7*AM8/1000</f>
        <v>-1980</v>
      </c>
      <c r="AN16" s="282" cm="1">
        <f t="array" ref="AN16">-'Shared Boats 2026 Target'!$F$268*AN7*AN8/1000</f>
        <v>-1980</v>
      </c>
      <c r="AO16" s="282" cm="1">
        <f t="array" ref="AO16">-'Shared Boats 2026 Target'!$F$268*AO7*AO8/1000</f>
        <v>-1722.6</v>
      </c>
      <c r="AP16" s="282" cm="1">
        <f t="array" ref="AP16">-'Shared Boats 2026 Target'!$F$268*AP7*AP8/1000</f>
        <v>-1531.2</v>
      </c>
      <c r="AQ16" s="282" cm="1">
        <f t="array" ref="AQ16">-'Shared Boats 2026 Target'!$F$268*AQ7*AQ8/1000</f>
        <v>-1339.8</v>
      </c>
      <c r="AR16" s="282" cm="1">
        <f t="array" ref="AR16">-'Shared Boats 2026 Target'!$F$268*AR7*AR8/1000</f>
        <v>-1531.2</v>
      </c>
      <c r="AS16" s="282" cm="1">
        <f t="array" ref="AS16">-'Shared Boats 2026 Target'!$F$268*AS7*AS8/1000</f>
        <v>-1531.2</v>
      </c>
      <c r="AT16" s="284"/>
    </row>
    <row r="17" ht="15" customHeight="1">
      <c r="A17" s="12"/>
      <c r="B17" s="283"/>
      <c r="C17" s="272"/>
      <c r="D17" t="str" s="896" cm="1">
        <f t="array" ref="D17">'Project Eldorado ROI in IDR'!B13</f>
        <v>Ice &amp; Water</v>
      </c>
      <c r="E17" s="274"/>
      <c r="F17" s="282">
        <v>0</v>
      </c>
      <c r="G17" s="282">
        <v>0</v>
      </c>
      <c r="H17" s="282">
        <v>0</v>
      </c>
      <c r="I17" s="282" cm="1">
        <f t="array" ref="I17">-'Shared Boats 2026 Target'!$G$268*I7*I8/1000</f>
        <v>-2088</v>
      </c>
      <c r="J17" s="282" cm="1">
        <f t="array" ref="J17">-'Shared Boats 2026 Target'!$G$268*J7*J8/1000</f>
        <v>-1764</v>
      </c>
      <c r="K17" s="282" cm="1">
        <f t="array" ref="K17">-'Shared Boats 2026 Target'!$G$268*K7*K8/1000</f>
        <v>-2088</v>
      </c>
      <c r="L17" s="282" cm="1">
        <f t="array" ref="L17">-'Shared Boats 2026 Target'!$G$268*L7*L8/1000</f>
        <v>-2088</v>
      </c>
      <c r="M17" s="282" cm="1">
        <f t="array" ref="M17">-'Shared Boats 2026 Target'!$G$268*M7*M8/1000</f>
        <v>-2218.5</v>
      </c>
      <c r="N17" s="282" cm="1">
        <f t="array" ref="N17">-'Shared Boats 2026 Target'!$G$268*N7*N8/1000</f>
        <v>-2479.5</v>
      </c>
      <c r="O17" s="282" cm="1">
        <f t="array" ref="O17">-'Shared Boats 2026 Target'!$G$268*O7*O8/1000</f>
        <v>-2700</v>
      </c>
      <c r="P17" s="282" cm="1">
        <f t="array" ref="P17">-'Shared Boats 2026 Target'!$G$268*P7*P8/1000</f>
        <v>-2700</v>
      </c>
      <c r="Q17" s="282" cm="1">
        <f t="array" ref="Q17">-'Shared Boats 2026 Target'!$G$268*Q7*Q8/1000</f>
        <v>-2349</v>
      </c>
      <c r="R17" s="282" cm="1">
        <f t="array" ref="R17">-'Shared Boats 2026 Target'!$G$268*R7*R8/1000</f>
        <v>-2088</v>
      </c>
      <c r="S17" s="282" cm="1">
        <f t="array" ref="S17">-'Shared Boats 2026 Target'!$G$268*S7*S8/1000</f>
        <v>-1827</v>
      </c>
      <c r="T17" s="282" cm="1">
        <f t="array" ref="T17">-'Shared Boats 2026 Target'!$G$268*T7*T8/1000</f>
        <v>-2088</v>
      </c>
      <c r="U17" s="282" cm="1">
        <f t="array" ref="U17">-'Shared Boats 2026 Target'!$G$268*U7*U8/1000</f>
        <v>-2088</v>
      </c>
      <c r="V17" s="282" cm="1">
        <f t="array" ref="V17">-'Shared Boats 2026 Target'!$G$268*V7*V8/1000</f>
        <v>-1764</v>
      </c>
      <c r="W17" s="282" cm="1">
        <f t="array" ref="W17">-'Shared Boats 2026 Target'!$G$268*W7*W8/1000</f>
        <v>-2088</v>
      </c>
      <c r="X17" s="282" cm="1">
        <f t="array" ref="X17">-'Shared Boats 2026 Target'!$G$268*X7*X8/1000</f>
        <v>-2088</v>
      </c>
      <c r="Y17" s="282" cm="1">
        <f t="array" ref="Y17">-'Shared Boats 2026 Target'!$G$268*Y7*Y8/1000</f>
        <v>-2218.5</v>
      </c>
      <c r="Z17" s="282" cm="1">
        <f t="array" ref="Z17">-'Shared Boats 2026 Target'!$G$268*Z7*Z8/1000</f>
        <v>-2479.5</v>
      </c>
      <c r="AA17" s="282" cm="1">
        <f t="array" ref="AA17">-'Shared Boats 2026 Target'!$G$268*AA7*AA8/1000</f>
        <v>-2700</v>
      </c>
      <c r="AB17" s="282" cm="1">
        <f t="array" ref="AB17">-'Shared Boats 2026 Target'!$G$268*AB7*AB8/1000</f>
        <v>-2700</v>
      </c>
      <c r="AC17" s="282" cm="1">
        <f t="array" ref="AC17">-'Shared Boats 2026 Target'!$G$268*AC7*AC8/1000</f>
        <v>-2349</v>
      </c>
      <c r="AD17" s="282" cm="1">
        <f t="array" ref="AD17">-'Shared Boats 2026 Target'!$G$268*AD7*AD8/1000</f>
        <v>-2088</v>
      </c>
      <c r="AE17" s="282" cm="1">
        <f t="array" ref="AE17">-'Shared Boats 2026 Target'!$G$268*AE7*AE8/1000</f>
        <v>-1827</v>
      </c>
      <c r="AF17" s="282" cm="1">
        <f t="array" ref="AF17">-'Shared Boats 2026 Target'!$G$268*AF7*AF8/1000</f>
        <v>-2088</v>
      </c>
      <c r="AG17" s="282" cm="1">
        <f t="array" ref="AG17">-'Shared Boats 2026 Target'!$G$268*AG7*AG8/1000</f>
        <v>-2088</v>
      </c>
      <c r="AH17" s="282" cm="1">
        <f t="array" ref="AH17">-'Shared Boats 2026 Target'!$G$268*AH7*AH8/1000</f>
        <v>-1764</v>
      </c>
      <c r="AI17" s="282" cm="1">
        <f t="array" ref="AI17">-'Shared Boats 2026 Target'!$G$268*AI7*AI8/1000</f>
        <v>-2088</v>
      </c>
      <c r="AJ17" s="282" cm="1">
        <f t="array" ref="AJ17">-'Shared Boats 2026 Target'!$G$268*AJ7*AJ8/1000</f>
        <v>-2088</v>
      </c>
      <c r="AK17" s="282" cm="1">
        <f t="array" ref="AK17">-'Shared Boats 2026 Target'!$G$268*AK7*AK8/1000</f>
        <v>-2218.5</v>
      </c>
      <c r="AL17" s="282" cm="1">
        <f t="array" ref="AL17">-'Shared Boats 2026 Target'!$G$268*AL7*AL8/1000</f>
        <v>-2479.5</v>
      </c>
      <c r="AM17" s="282" cm="1">
        <f t="array" ref="AM17">-'Shared Boats 2026 Target'!$G$268*AM7*AM8/1000</f>
        <v>-2700</v>
      </c>
      <c r="AN17" s="282" cm="1">
        <f t="array" ref="AN17">-'Shared Boats 2026 Target'!$G$268*AN7*AN8/1000</f>
        <v>-2700</v>
      </c>
      <c r="AO17" s="282" cm="1">
        <f t="array" ref="AO17">-'Shared Boats 2026 Target'!$G$268*AO7*AO8/1000</f>
        <v>-2349</v>
      </c>
      <c r="AP17" s="282" cm="1">
        <f t="array" ref="AP17">-'Shared Boats 2026 Target'!$G$268*AP7*AP8/1000</f>
        <v>-2088</v>
      </c>
      <c r="AQ17" s="282" cm="1">
        <f t="array" ref="AQ17">-'Shared Boats 2026 Target'!$G$268*AQ7*AQ8/1000</f>
        <v>-1827</v>
      </c>
      <c r="AR17" s="282" cm="1">
        <f t="array" ref="AR17">-'Shared Boats 2026 Target'!$G$268*AR7*AR8/1000</f>
        <v>-2088</v>
      </c>
      <c r="AS17" s="282" cm="1">
        <f t="array" ref="AS17">-'Shared Boats 2026 Target'!$G$268*AS7*AS8/1000</f>
        <v>-2088</v>
      </c>
      <c r="AT17" s="284"/>
    </row>
    <row r="18" ht="15" customHeight="1">
      <c r="A18" s="12"/>
      <c r="B18" s="283"/>
      <c r="C18" s="272"/>
      <c r="D18" t="str" s="896" cm="1">
        <f t="array" ref="D18">'Project Eldorado ROI in IDR'!B14</f>
        <v>Seran Retribution</v>
      </c>
      <c r="E18" s="274"/>
      <c r="F18" s="282">
        <v>0</v>
      </c>
      <c r="G18" s="282">
        <v>0</v>
      </c>
      <c r="H18" s="282">
        <v>0</v>
      </c>
      <c r="I18" s="282" cm="1">
        <f t="array" ref="I18">-'Shared Boats 2026 Target'!$H$268*I7*I8/1000</f>
        <v>-10672</v>
      </c>
      <c r="J18" s="282" cm="1">
        <f t="array" ref="J18">-'Shared Boats 2026 Target'!$H$268*J7*J8/1000</f>
        <v>-9016</v>
      </c>
      <c r="K18" s="282" cm="1">
        <f t="array" ref="K18">-'Shared Boats 2026 Target'!$H$268*K7*K8/1000</f>
        <v>-10672</v>
      </c>
      <c r="L18" s="282" cm="1">
        <f t="array" ref="L18">-'Shared Boats 2026 Target'!$H$268*L7*L8/1000</f>
        <v>-10672</v>
      </c>
      <c r="M18" s="282" cm="1">
        <f t="array" ref="M18">-'Shared Boats 2026 Target'!$H$268*M7*M8/1000</f>
        <v>-11339</v>
      </c>
      <c r="N18" s="282" cm="1">
        <f t="array" ref="N18">-'Shared Boats 2026 Target'!$H$268*N7*N8/1000</f>
        <v>-12673</v>
      </c>
      <c r="O18" s="282" cm="1">
        <f t="array" ref="O18">-'Shared Boats 2026 Target'!$H$268*O7*O8/1000</f>
        <v>-13800</v>
      </c>
      <c r="P18" s="282" cm="1">
        <f t="array" ref="P18">-'Shared Boats 2026 Target'!$H$268*P7*P8/1000</f>
        <v>-13800</v>
      </c>
      <c r="Q18" s="282" cm="1">
        <f t="array" ref="Q18">-'Shared Boats 2026 Target'!$H$268*Q7*Q8/1000</f>
        <v>-12006</v>
      </c>
      <c r="R18" s="282" cm="1">
        <f t="array" ref="R18">-'Shared Boats 2026 Target'!$H$268*R7*R8/1000</f>
        <v>-10672</v>
      </c>
      <c r="S18" s="282" cm="1">
        <f t="array" ref="S18">-'Shared Boats 2026 Target'!$H$268*S7*S8/1000</f>
        <v>-9338</v>
      </c>
      <c r="T18" s="282" cm="1">
        <f t="array" ref="T18">-'Shared Boats 2026 Target'!$H$268*T7*T8/1000</f>
        <v>-10672</v>
      </c>
      <c r="U18" s="282" cm="1">
        <f t="array" ref="U18">-'Shared Boats 2026 Target'!$H$268*U7*U8/1000</f>
        <v>-10672</v>
      </c>
      <c r="V18" s="282" cm="1">
        <f t="array" ref="V18">-'Shared Boats 2026 Target'!$H$268*V7*V8/1000</f>
        <v>-9016</v>
      </c>
      <c r="W18" s="282" cm="1">
        <f t="array" ref="W18">-'Shared Boats 2026 Target'!$H$268*W7*W8/1000</f>
        <v>-10672</v>
      </c>
      <c r="X18" s="282" cm="1">
        <f t="array" ref="X18">-'Shared Boats 2026 Target'!$H$268*X7*X8/1000</f>
        <v>-10672</v>
      </c>
      <c r="Y18" s="282" cm="1">
        <f t="array" ref="Y18">-'Shared Boats 2026 Target'!$H$268*Y7*Y8/1000</f>
        <v>-11339</v>
      </c>
      <c r="Z18" s="282" cm="1">
        <f t="array" ref="Z18">-'Shared Boats 2026 Target'!$H$268*Z7*Z8/1000</f>
        <v>-12673</v>
      </c>
      <c r="AA18" s="282" cm="1">
        <f t="array" ref="AA18">-'Shared Boats 2026 Target'!$H$268*AA7*AA8/1000</f>
        <v>-13800</v>
      </c>
      <c r="AB18" s="282" cm="1">
        <f t="array" ref="AB18">-'Shared Boats 2026 Target'!$H$268*AB7*AB8/1000</f>
        <v>-13800</v>
      </c>
      <c r="AC18" s="282" cm="1">
        <f t="array" ref="AC18">-'Shared Boats 2026 Target'!$H$268*AC7*AC8/1000</f>
        <v>-12006</v>
      </c>
      <c r="AD18" s="282" cm="1">
        <f t="array" ref="AD18">-'Shared Boats 2026 Target'!$H$268*AD7*AD8/1000</f>
        <v>-10672</v>
      </c>
      <c r="AE18" s="282" cm="1">
        <f t="array" ref="AE18">-'Shared Boats 2026 Target'!$H$268*AE7*AE8/1000</f>
        <v>-9338</v>
      </c>
      <c r="AF18" s="282" cm="1">
        <f t="array" ref="AF18">-'Shared Boats 2026 Target'!$H$268*AF7*AF8/1000</f>
        <v>-10672</v>
      </c>
      <c r="AG18" s="282" cm="1">
        <f t="array" ref="AG18">-'Shared Boats 2026 Target'!$H$268*AG7*AG8/1000</f>
        <v>-10672</v>
      </c>
      <c r="AH18" s="282" cm="1">
        <f t="array" ref="AH18">-'Shared Boats 2026 Target'!$H$268*AH7*AH8/1000</f>
        <v>-9016</v>
      </c>
      <c r="AI18" s="282" cm="1">
        <f t="array" ref="AI18">-'Shared Boats 2026 Target'!$H$268*AI7*AI8/1000</f>
        <v>-10672</v>
      </c>
      <c r="AJ18" s="282" cm="1">
        <f t="array" ref="AJ18">-'Shared Boats 2026 Target'!$H$268*AJ7*AJ8/1000</f>
        <v>-10672</v>
      </c>
      <c r="AK18" s="282" cm="1">
        <f t="array" ref="AK18">-'Shared Boats 2026 Target'!$H$268*AK7*AK8/1000</f>
        <v>-11339</v>
      </c>
      <c r="AL18" s="282" cm="1">
        <f t="array" ref="AL18">-'Shared Boats 2026 Target'!$H$268*AL7*AL8/1000</f>
        <v>-12673</v>
      </c>
      <c r="AM18" s="282" cm="1">
        <f t="array" ref="AM18">-'Shared Boats 2026 Target'!$H$268*AM7*AM8/1000</f>
        <v>-13800</v>
      </c>
      <c r="AN18" s="282" cm="1">
        <f t="array" ref="AN18">-'Shared Boats 2026 Target'!$H$268*AN7*AN8/1000</f>
        <v>-13800</v>
      </c>
      <c r="AO18" s="282" cm="1">
        <f t="array" ref="AO18">-'Shared Boats 2026 Target'!$H$268*AO7*AO8/1000</f>
        <v>-12006</v>
      </c>
      <c r="AP18" s="282" cm="1">
        <f t="array" ref="AP18">-'Shared Boats 2026 Target'!$H$268*AP7*AP8/1000</f>
        <v>-10672</v>
      </c>
      <c r="AQ18" s="282" cm="1">
        <f t="array" ref="AQ18">-'Shared Boats 2026 Target'!$H$268*AQ7*AQ8/1000</f>
        <v>-9338</v>
      </c>
      <c r="AR18" s="282" cm="1">
        <f t="array" ref="AR18">-'Shared Boats 2026 Target'!$H$268*AR7*AR8/1000</f>
        <v>-10672</v>
      </c>
      <c r="AS18" s="282" cm="1">
        <f t="array" ref="AS18">-'Shared Boats 2026 Target'!$H$268*AS7*AS8/1000</f>
        <v>-10672</v>
      </c>
      <c r="AT18" s="284"/>
    </row>
    <row r="19" ht="15" customHeight="1">
      <c r="A19" s="12"/>
      <c r="B19" s="283"/>
      <c r="C19" s="272"/>
      <c r="D19" t="str" s="896" cm="1">
        <f t="array" ref="D19">'Project Eldorado ROI in IDR'!B15</f>
        <v>Seran Parking and Mooring</v>
      </c>
      <c r="E19" s="274"/>
      <c r="F19" s="282">
        <v>0</v>
      </c>
      <c r="G19" s="282">
        <v>0</v>
      </c>
      <c r="H19" s="282">
        <v>0</v>
      </c>
      <c r="I19" s="282" cm="1">
        <f t="array" ref="I19">-'Shared Boats 2026 Target'!$I$268*I7*I8/1000</f>
        <v>-2281.333333333330</v>
      </c>
      <c r="J19" s="282" cm="1">
        <f t="array" ref="J19">-'Shared Boats 2026 Target'!$I$268*J7*J8/1000</f>
        <v>-1927.333333333330</v>
      </c>
      <c r="K19" s="282" cm="1">
        <f t="array" ref="K19">-'Shared Boats 2026 Target'!$I$268*K7*K8/1000</f>
        <v>-2281.333333333330</v>
      </c>
      <c r="L19" s="282" cm="1">
        <f t="array" ref="L19">-'Shared Boats 2026 Target'!$I$268*L7*L8/1000</f>
        <v>-2281.333333333330</v>
      </c>
      <c r="M19" s="282" cm="1">
        <f t="array" ref="M19">-'Shared Boats 2026 Target'!$I$268*M7*M8/1000</f>
        <v>-2423.916666666670</v>
      </c>
      <c r="N19" s="282" cm="1">
        <f t="array" ref="N19">-'Shared Boats 2026 Target'!$I$268*N7*N8/1000</f>
        <v>-2709.083333333330</v>
      </c>
      <c r="O19" s="282" cm="1">
        <f t="array" ref="O19">-'Shared Boats 2026 Target'!$I$268*O7*O8/1000</f>
        <v>-2950</v>
      </c>
      <c r="P19" s="282" cm="1">
        <f t="array" ref="P19">-'Shared Boats 2026 Target'!$I$268*P7*P8/1000</f>
        <v>-2950</v>
      </c>
      <c r="Q19" s="282" cm="1">
        <f t="array" ref="Q19">-'Shared Boats 2026 Target'!$I$268*Q7*Q8/1000</f>
        <v>-2566.5</v>
      </c>
      <c r="R19" s="282" cm="1">
        <f t="array" ref="R19">-'Shared Boats 2026 Target'!$I$268*R7*R8/1000</f>
        <v>-2281.333333333330</v>
      </c>
      <c r="S19" s="282" cm="1">
        <f t="array" ref="S19">-'Shared Boats 2026 Target'!$I$268*S7*S8/1000</f>
        <v>-1996.166666666670</v>
      </c>
      <c r="T19" s="282" cm="1">
        <f t="array" ref="T19">-'Shared Boats 2026 Target'!$I$268*T7*T8/1000</f>
        <v>-2281.333333333330</v>
      </c>
      <c r="U19" s="282" cm="1">
        <f t="array" ref="U19">-'Shared Boats 2026 Target'!$I$268*U7*U8/1000</f>
        <v>-2281.333333333330</v>
      </c>
      <c r="V19" s="282" cm="1">
        <f t="array" ref="V19">-'Shared Boats 2026 Target'!$I$268*V7*V8/1000</f>
        <v>-1927.333333333330</v>
      </c>
      <c r="W19" s="282" cm="1">
        <f t="array" ref="W19">-'Shared Boats 2026 Target'!$I$268*W7*W8/1000</f>
        <v>-2281.333333333330</v>
      </c>
      <c r="X19" s="282" cm="1">
        <f t="array" ref="X19">-'Shared Boats 2026 Target'!$I$268*X7*X8/1000</f>
        <v>-2281.333333333330</v>
      </c>
      <c r="Y19" s="282" cm="1">
        <f t="array" ref="Y19">-'Shared Boats 2026 Target'!$I$268*Y7*Y8/1000</f>
        <v>-2423.916666666670</v>
      </c>
      <c r="Z19" s="282" cm="1">
        <f t="array" ref="Z19">-'Shared Boats 2026 Target'!$I$268*Z7*Z8/1000</f>
        <v>-2709.083333333330</v>
      </c>
      <c r="AA19" s="282" cm="1">
        <f t="array" ref="AA19">-'Shared Boats 2026 Target'!$I$268*AA7*AA8/1000</f>
        <v>-2950</v>
      </c>
      <c r="AB19" s="282" cm="1">
        <f t="array" ref="AB19">-'Shared Boats 2026 Target'!$I$268*AB7*AB8/1000</f>
        <v>-2950</v>
      </c>
      <c r="AC19" s="282" cm="1">
        <f t="array" ref="AC19">-'Shared Boats 2026 Target'!$I$268*AC7*AC8/1000</f>
        <v>-2566.5</v>
      </c>
      <c r="AD19" s="282" cm="1">
        <f t="array" ref="AD19">-'Shared Boats 2026 Target'!$I$268*AD7*AD8/1000</f>
        <v>-2281.333333333330</v>
      </c>
      <c r="AE19" s="282" cm="1">
        <f t="array" ref="AE19">-'Shared Boats 2026 Target'!$I$268*AE7*AE8/1000</f>
        <v>-1996.166666666670</v>
      </c>
      <c r="AF19" s="282" cm="1">
        <f t="array" ref="AF19">-'Shared Boats 2026 Target'!$I$268*AF7*AF8/1000</f>
        <v>-2281.333333333330</v>
      </c>
      <c r="AG19" s="282" cm="1">
        <f t="array" ref="AG19">-'Shared Boats 2026 Target'!$I$268*AG7*AG8/1000</f>
        <v>-2281.333333333330</v>
      </c>
      <c r="AH19" s="282" cm="1">
        <f t="array" ref="AH19">-'Shared Boats 2026 Target'!$I$268*AH7*AH8/1000</f>
        <v>-1927.333333333330</v>
      </c>
      <c r="AI19" s="282" cm="1">
        <f t="array" ref="AI19">-'Shared Boats 2026 Target'!$I$268*AI7*AI8/1000</f>
        <v>-2281.333333333330</v>
      </c>
      <c r="AJ19" s="282" cm="1">
        <f t="array" ref="AJ19">-'Shared Boats 2026 Target'!$I$268*AJ7*AJ8/1000</f>
        <v>-2281.333333333330</v>
      </c>
      <c r="AK19" s="282" cm="1">
        <f t="array" ref="AK19">-'Shared Boats 2026 Target'!$I$268*AK7*AK8/1000</f>
        <v>-2423.916666666670</v>
      </c>
      <c r="AL19" s="282" cm="1">
        <f t="array" ref="AL19">-'Shared Boats 2026 Target'!$I$268*AL7*AL8/1000</f>
        <v>-2709.083333333330</v>
      </c>
      <c r="AM19" s="282" cm="1">
        <f t="array" ref="AM19">-'Shared Boats 2026 Target'!$I$268*AM7*AM8/1000</f>
        <v>-2950</v>
      </c>
      <c r="AN19" s="282" cm="1">
        <f t="array" ref="AN19">-'Shared Boats 2026 Target'!$I$268*AN7*AN8/1000</f>
        <v>-2950</v>
      </c>
      <c r="AO19" s="282" cm="1">
        <f t="array" ref="AO19">-'Shared Boats 2026 Target'!$I$268*AO7*AO8/1000</f>
        <v>-2566.5</v>
      </c>
      <c r="AP19" s="282" cm="1">
        <f t="array" ref="AP19">-'Shared Boats 2026 Target'!$I$268*AP7*AP8/1000</f>
        <v>-2281.333333333330</v>
      </c>
      <c r="AQ19" s="282" cm="1">
        <f t="array" ref="AQ19">-'Shared Boats 2026 Target'!$I$268*AQ7*AQ8/1000</f>
        <v>-1996.166666666670</v>
      </c>
      <c r="AR19" s="282" cm="1">
        <f t="array" ref="AR19">-'Shared Boats 2026 Target'!$I$268*AR7*AR8/1000</f>
        <v>-2281.333333333330</v>
      </c>
      <c r="AS19" s="282" cm="1">
        <f t="array" ref="AS19">-'Shared Boats 2026 Target'!$I$268*AS7*AS8/1000</f>
        <v>-2281.333333333330</v>
      </c>
      <c r="AT19" s="284"/>
    </row>
    <row r="20" ht="15" customHeight="1">
      <c r="A20" s="12"/>
      <c r="B20" s="283"/>
      <c r="C20" s="272"/>
      <c r="D20" t="str" s="896" cm="1">
        <f t="array" ref="D20">'Project Eldorado ROI in IDR'!B16</f>
        <v>NP + Serangan Clearance</v>
      </c>
      <c r="E20" s="274"/>
      <c r="F20" s="282">
        <v>0</v>
      </c>
      <c r="G20" s="282">
        <v>0</v>
      </c>
      <c r="H20" s="282">
        <v>0</v>
      </c>
      <c r="I20" s="282" cm="1">
        <f t="array" ref="I20">-'Shared Boats 2026 Target'!$K$268*I7*I8/1000</f>
        <v>-5336</v>
      </c>
      <c r="J20" s="282" cm="1">
        <f t="array" ref="J20">-'Shared Boats 2026 Target'!$K$268*J7*J8/1000</f>
        <v>-4508</v>
      </c>
      <c r="K20" s="282" cm="1">
        <f t="array" ref="K20">-'Shared Boats 2026 Target'!$K$268*K7*K8/1000</f>
        <v>-5336</v>
      </c>
      <c r="L20" s="282" cm="1">
        <f t="array" ref="L20">-'Shared Boats 2026 Target'!$K$268*L7*L8/1000</f>
        <v>-5336</v>
      </c>
      <c r="M20" s="282" cm="1">
        <f t="array" ref="M20">-'Shared Boats 2026 Target'!$K$268*M7*M8/1000</f>
        <v>-5669.5</v>
      </c>
      <c r="N20" s="282" cm="1">
        <f t="array" ref="N20">-'Shared Boats 2026 Target'!$K$268*N7*N8/1000</f>
        <v>-6336.5</v>
      </c>
      <c r="O20" s="282" cm="1">
        <f t="array" ref="O20">-'Shared Boats 2026 Target'!$K$268*O7*O8/1000</f>
        <v>-6900</v>
      </c>
      <c r="P20" s="282" cm="1">
        <f t="array" ref="P20">-'Shared Boats 2026 Target'!$K$268*P7*P8/1000</f>
        <v>-6900</v>
      </c>
      <c r="Q20" s="282" cm="1">
        <f t="array" ref="Q20">-'Shared Boats 2026 Target'!$K$268*Q7*Q8/1000</f>
        <v>-6003</v>
      </c>
      <c r="R20" s="282" cm="1">
        <f t="array" ref="R20">-'Shared Boats 2026 Target'!$K$268*R7*R8/1000</f>
        <v>-5336</v>
      </c>
      <c r="S20" s="282" cm="1">
        <f t="array" ref="S20">-'Shared Boats 2026 Target'!$K$268*S7*S8/1000</f>
        <v>-4669</v>
      </c>
      <c r="T20" s="282" cm="1">
        <f t="array" ref="T20">-'Shared Boats 2026 Target'!$K$268*T7*T8/1000</f>
        <v>-5336</v>
      </c>
      <c r="U20" s="282" cm="1">
        <f t="array" ref="U20">-'Shared Boats 2026 Target'!$K$268*U7*U8/1000</f>
        <v>-5336</v>
      </c>
      <c r="V20" s="282" cm="1">
        <f t="array" ref="V20">-'Shared Boats 2026 Target'!$K$268*V7*V8/1000</f>
        <v>-4508</v>
      </c>
      <c r="W20" s="282" cm="1">
        <f t="array" ref="W20">-'Shared Boats 2026 Target'!$K$268*W7*W8/1000</f>
        <v>-5336</v>
      </c>
      <c r="X20" s="282" cm="1">
        <f t="array" ref="X20">-'Shared Boats 2026 Target'!$K$268*X7*X8/1000</f>
        <v>-5336</v>
      </c>
      <c r="Y20" s="282" cm="1">
        <f t="array" ref="Y20">-'Shared Boats 2026 Target'!$K$268*Y7*Y8/1000</f>
        <v>-5669.5</v>
      </c>
      <c r="Z20" s="282" cm="1">
        <f t="array" ref="Z20">-'Shared Boats 2026 Target'!$K$268*Z7*Z8/1000</f>
        <v>-6336.5</v>
      </c>
      <c r="AA20" s="282" cm="1">
        <f t="array" ref="AA20">-'Shared Boats 2026 Target'!$K$268*AA7*AA8/1000</f>
        <v>-6900</v>
      </c>
      <c r="AB20" s="282" cm="1">
        <f t="array" ref="AB20">-'Shared Boats 2026 Target'!$K$268*AB7*AB8/1000</f>
        <v>-6900</v>
      </c>
      <c r="AC20" s="282" cm="1">
        <f t="array" ref="AC20">-'Shared Boats 2026 Target'!$K$268*AC7*AC8/1000</f>
        <v>-6003</v>
      </c>
      <c r="AD20" s="282" cm="1">
        <f t="array" ref="AD20">-'Shared Boats 2026 Target'!$K$268*AD7*AD8/1000</f>
        <v>-5336</v>
      </c>
      <c r="AE20" s="282" cm="1">
        <f t="array" ref="AE20">-'Shared Boats 2026 Target'!$K$268*AE7*AE8/1000</f>
        <v>-4669</v>
      </c>
      <c r="AF20" s="282" cm="1">
        <f t="array" ref="AF20">-'Shared Boats 2026 Target'!$K$268*AF7*AF8/1000</f>
        <v>-5336</v>
      </c>
      <c r="AG20" s="282" cm="1">
        <f t="array" ref="AG20">-'Shared Boats 2026 Target'!$K$268*AG7*AG8/1000</f>
        <v>-5336</v>
      </c>
      <c r="AH20" s="282" cm="1">
        <f t="array" ref="AH20">-'Shared Boats 2026 Target'!$K$268*AH7*AH8/1000</f>
        <v>-4508</v>
      </c>
      <c r="AI20" s="282" cm="1">
        <f t="array" ref="AI20">-'Shared Boats 2026 Target'!$K$268*AI7*AI8/1000</f>
        <v>-5336</v>
      </c>
      <c r="AJ20" s="282" cm="1">
        <f t="array" ref="AJ20">-'Shared Boats 2026 Target'!$K$268*AJ7*AJ8/1000</f>
        <v>-5336</v>
      </c>
      <c r="AK20" s="282" cm="1">
        <f t="array" ref="AK20">-'Shared Boats 2026 Target'!$K$268*AK7*AK8/1000</f>
        <v>-5669.5</v>
      </c>
      <c r="AL20" s="282" cm="1">
        <f t="array" ref="AL20">-'Shared Boats 2026 Target'!$K$268*AL7*AL8/1000</f>
        <v>-6336.5</v>
      </c>
      <c r="AM20" s="282" cm="1">
        <f t="array" ref="AM20">-'Shared Boats 2026 Target'!$K$268*AM7*AM8/1000</f>
        <v>-6900</v>
      </c>
      <c r="AN20" s="282" cm="1">
        <f t="array" ref="AN20">-'Shared Boats 2026 Target'!$K$268*AN7*AN8/1000</f>
        <v>-6900</v>
      </c>
      <c r="AO20" s="282" cm="1">
        <f t="array" ref="AO20">-'Shared Boats 2026 Target'!$K$268*AO7*AO8/1000</f>
        <v>-6003</v>
      </c>
      <c r="AP20" s="282" cm="1">
        <f t="array" ref="AP20">-'Shared Boats 2026 Target'!$K$268*AP7*AP8/1000</f>
        <v>-5336</v>
      </c>
      <c r="AQ20" s="282" cm="1">
        <f t="array" ref="AQ20">-'Shared Boats 2026 Target'!$K$268*AQ7*AQ8/1000</f>
        <v>-4669</v>
      </c>
      <c r="AR20" s="282" cm="1">
        <f t="array" ref="AR20">-'Shared Boats 2026 Target'!$K$268*AR7*AR8/1000</f>
        <v>-5336</v>
      </c>
      <c r="AS20" s="282" cm="1">
        <f t="array" ref="AS20">-'Shared Boats 2026 Target'!$K$268*AS7*AS8/1000</f>
        <v>-5336</v>
      </c>
      <c r="AT20" s="284"/>
    </row>
    <row r="21" ht="15" customHeight="1">
      <c r="A21" s="12"/>
      <c r="B21" s="283"/>
      <c r="C21" s="272"/>
      <c r="D21" t="str" s="896" cm="1">
        <f t="array" ref="D21">'Project Eldorado ROI in IDR'!B17</f>
        <v>Offering</v>
      </c>
      <c r="E21" s="274"/>
      <c r="F21" s="282">
        <v>0</v>
      </c>
      <c r="G21" s="282">
        <v>0</v>
      </c>
      <c r="H21" s="282">
        <v>0</v>
      </c>
      <c r="I21" s="282" cm="1">
        <f t="array" ref="I21">-'Shared Boats 2026 Target'!$L$268*I7*I8/1000</f>
        <v>-464</v>
      </c>
      <c r="J21" s="282" cm="1">
        <f t="array" ref="J21">-'Shared Boats 2026 Target'!$L$268*J7*J8/1000</f>
        <v>-392</v>
      </c>
      <c r="K21" s="282" cm="1">
        <f t="array" ref="K21">-'Shared Boats 2026 Target'!$L$268*K7*K8/1000</f>
        <v>-464</v>
      </c>
      <c r="L21" s="282" cm="1">
        <f t="array" ref="L21">-'Shared Boats 2026 Target'!$L$268*L7*L8/1000</f>
        <v>-464</v>
      </c>
      <c r="M21" s="282" cm="1">
        <f t="array" ref="M21">-'Shared Boats 2026 Target'!$L$268*M7*M8/1000</f>
        <v>-493</v>
      </c>
      <c r="N21" s="282" cm="1">
        <f t="array" ref="N21">-'Shared Boats 2026 Target'!$L$268*N7*N8/1000</f>
        <v>-551</v>
      </c>
      <c r="O21" s="282" cm="1">
        <f t="array" ref="O21">-'Shared Boats 2026 Target'!$L$268*O7*O8/1000</f>
        <v>-600</v>
      </c>
      <c r="P21" s="282" cm="1">
        <f t="array" ref="P21">-'Shared Boats 2026 Target'!$L$268*P7*P8/1000</f>
        <v>-600</v>
      </c>
      <c r="Q21" s="282" cm="1">
        <f t="array" ref="Q21">-'Shared Boats 2026 Target'!$L$268*Q7*Q8/1000</f>
        <v>-522</v>
      </c>
      <c r="R21" s="282" cm="1">
        <f t="array" ref="R21">-'Shared Boats 2026 Target'!$L$268*R7*R8/1000</f>
        <v>-464</v>
      </c>
      <c r="S21" s="282" cm="1">
        <f t="array" ref="S21">-'Shared Boats 2026 Target'!$L$268*S7*S8/1000</f>
        <v>-406</v>
      </c>
      <c r="T21" s="282" cm="1">
        <f t="array" ref="T21">-'Shared Boats 2026 Target'!$L$268*T7*T8/1000</f>
        <v>-464</v>
      </c>
      <c r="U21" s="282" cm="1">
        <f t="array" ref="U21">-'Shared Boats 2026 Target'!$L$268*U7*U8/1000</f>
        <v>-464</v>
      </c>
      <c r="V21" s="282" cm="1">
        <f t="array" ref="V21">-'Shared Boats 2026 Target'!$L$268*V7*V8/1000</f>
        <v>-392</v>
      </c>
      <c r="W21" s="282" cm="1">
        <f t="array" ref="W21">-'Shared Boats 2026 Target'!$L$268*W7*W8/1000</f>
        <v>-464</v>
      </c>
      <c r="X21" s="282" cm="1">
        <f t="array" ref="X21">-'Shared Boats 2026 Target'!$L$268*X7*X8/1000</f>
        <v>-464</v>
      </c>
      <c r="Y21" s="282" cm="1">
        <f t="array" ref="Y21">-'Shared Boats 2026 Target'!$L$268*Y7*Y8/1000</f>
        <v>-493</v>
      </c>
      <c r="Z21" s="282" cm="1">
        <f t="array" ref="Z21">-'Shared Boats 2026 Target'!$L$268*Z7*Z8/1000</f>
        <v>-551</v>
      </c>
      <c r="AA21" s="282" cm="1">
        <f t="array" ref="AA21">-'Shared Boats 2026 Target'!$L$268*AA7*AA8/1000</f>
        <v>-600</v>
      </c>
      <c r="AB21" s="282" cm="1">
        <f t="array" ref="AB21">-'Shared Boats 2026 Target'!$L$268*AB7*AB8/1000</f>
        <v>-600</v>
      </c>
      <c r="AC21" s="282" cm="1">
        <f t="array" ref="AC21">-'Shared Boats 2026 Target'!$L$268*AC7*AC8/1000</f>
        <v>-522</v>
      </c>
      <c r="AD21" s="282" cm="1">
        <f t="array" ref="AD21">-'Shared Boats 2026 Target'!$L$268*AD7*AD8/1000</f>
        <v>-464</v>
      </c>
      <c r="AE21" s="282" cm="1">
        <f t="array" ref="AE21">-'Shared Boats 2026 Target'!$L$268*AE7*AE8/1000</f>
        <v>-406</v>
      </c>
      <c r="AF21" s="282" cm="1">
        <f t="array" ref="AF21">-'Shared Boats 2026 Target'!$L$268*AF7*AF8/1000</f>
        <v>-464</v>
      </c>
      <c r="AG21" s="282" cm="1">
        <f t="array" ref="AG21">-'Shared Boats 2026 Target'!$L$268*AG7*AG8/1000</f>
        <v>-464</v>
      </c>
      <c r="AH21" s="282" cm="1">
        <f t="array" ref="AH21">-'Shared Boats 2026 Target'!$L$268*AH7*AH8/1000</f>
        <v>-392</v>
      </c>
      <c r="AI21" s="282" cm="1">
        <f t="array" ref="AI21">-'Shared Boats 2026 Target'!$L$268*AI7*AI8/1000</f>
        <v>-464</v>
      </c>
      <c r="AJ21" s="282" cm="1">
        <f t="array" ref="AJ21">-'Shared Boats 2026 Target'!$L$268*AJ7*AJ8/1000</f>
        <v>-464</v>
      </c>
      <c r="AK21" s="282" cm="1">
        <f t="array" ref="AK21">-'Shared Boats 2026 Target'!$L$268*AK7*AK8/1000</f>
        <v>-493</v>
      </c>
      <c r="AL21" s="282" cm="1">
        <f t="array" ref="AL21">-'Shared Boats 2026 Target'!$L$268*AL7*AL8/1000</f>
        <v>-551</v>
      </c>
      <c r="AM21" s="282" cm="1">
        <f t="array" ref="AM21">-'Shared Boats 2026 Target'!$L$268*AM7*AM8/1000</f>
        <v>-600</v>
      </c>
      <c r="AN21" s="282" cm="1">
        <f t="array" ref="AN21">-'Shared Boats 2026 Target'!$L$268*AN7*AN8/1000</f>
        <v>-600</v>
      </c>
      <c r="AO21" s="282" cm="1">
        <f t="array" ref="AO21">-'Shared Boats 2026 Target'!$L$268*AO7*AO8/1000</f>
        <v>-522</v>
      </c>
      <c r="AP21" s="282" cm="1">
        <f t="array" ref="AP21">-'Shared Boats 2026 Target'!$L$268*AP7*AP8/1000</f>
        <v>-464</v>
      </c>
      <c r="AQ21" s="282" cm="1">
        <f t="array" ref="AQ21">-'Shared Boats 2026 Target'!$L$268*AQ7*AQ8/1000</f>
        <v>-406</v>
      </c>
      <c r="AR21" s="282" cm="1">
        <f t="array" ref="AR21">-'Shared Boats 2026 Target'!$L$268*AR7*AR8/1000</f>
        <v>-464</v>
      </c>
      <c r="AS21" s="282" cm="1">
        <f t="array" ref="AS21">-'Shared Boats 2026 Target'!$L$268*AS7*AS8/1000</f>
        <v>-464</v>
      </c>
      <c r="AT21" s="284"/>
    </row>
    <row r="22" ht="15" customHeight="1">
      <c r="A22" s="12"/>
      <c r="B22" s="283"/>
      <c r="C22" s="272"/>
      <c r="D22" t="str" s="896" cm="1">
        <f t="array" ref="D22">'Project Eldorado ROI in IDR'!B18</f>
        <v>Fruits</v>
      </c>
      <c r="E22" s="274"/>
      <c r="F22" s="282">
        <v>0</v>
      </c>
      <c r="G22" s="282">
        <v>0</v>
      </c>
      <c r="H22" s="282">
        <v>0</v>
      </c>
      <c r="I22" s="282" cm="1">
        <f t="array" ref="I22">-'Shared Boats 2026 Target'!$M$268*I7*I8/1000</f>
        <v>-3248</v>
      </c>
      <c r="J22" s="282" cm="1">
        <f t="array" ref="J22">-'Shared Boats 2026 Target'!$M$268*J7*J8/1000</f>
        <v>-2744</v>
      </c>
      <c r="K22" s="282" cm="1">
        <f t="array" ref="K22">-'Shared Boats 2026 Target'!$M$268*K7*K8/1000</f>
        <v>-3248</v>
      </c>
      <c r="L22" s="282" cm="1">
        <f t="array" ref="L22">-'Shared Boats 2026 Target'!$M$268*L7*L8/1000</f>
        <v>-3248</v>
      </c>
      <c r="M22" s="282" cm="1">
        <f t="array" ref="M22">-'Shared Boats 2026 Target'!$M$268*M7*M8/1000</f>
        <v>-3451</v>
      </c>
      <c r="N22" s="282" cm="1">
        <f t="array" ref="N22">-'Shared Boats 2026 Target'!$M$268*N7*N8/1000</f>
        <v>-3857</v>
      </c>
      <c r="O22" s="282" cm="1">
        <f t="array" ref="O22">-'Shared Boats 2026 Target'!$M$268*O7*O8/1000</f>
        <v>-4200</v>
      </c>
      <c r="P22" s="282" cm="1">
        <f t="array" ref="P22">-'Shared Boats 2026 Target'!$M$268*P7*P8/1000</f>
        <v>-4200</v>
      </c>
      <c r="Q22" s="282" cm="1">
        <f t="array" ref="Q22">-'Shared Boats 2026 Target'!$M$268*Q7*Q8/1000</f>
        <v>-3654</v>
      </c>
      <c r="R22" s="282" cm="1">
        <f t="array" ref="R22">-'Shared Boats 2026 Target'!$M$268*R7*R8/1000</f>
        <v>-3248</v>
      </c>
      <c r="S22" s="282" cm="1">
        <f t="array" ref="S22">-'Shared Boats 2026 Target'!$M$268*S7*S8/1000</f>
        <v>-2842</v>
      </c>
      <c r="T22" s="282" cm="1">
        <f t="array" ref="T22">-'Shared Boats 2026 Target'!$M$268*T7*T8/1000</f>
        <v>-3248</v>
      </c>
      <c r="U22" s="282" cm="1">
        <f t="array" ref="U22">-'Shared Boats 2026 Target'!$M$268*U7*U8/1000</f>
        <v>-3248</v>
      </c>
      <c r="V22" s="282" cm="1">
        <f t="array" ref="V22">-'Shared Boats 2026 Target'!$M$268*V7*V8/1000</f>
        <v>-2744</v>
      </c>
      <c r="W22" s="282" cm="1">
        <f t="array" ref="W22">-'Shared Boats 2026 Target'!$M$268*W7*W8/1000</f>
        <v>-3248</v>
      </c>
      <c r="X22" s="282" cm="1">
        <f t="array" ref="X22">-'Shared Boats 2026 Target'!$M$268*X7*X8/1000</f>
        <v>-3248</v>
      </c>
      <c r="Y22" s="282" cm="1">
        <f t="array" ref="Y22">-'Shared Boats 2026 Target'!$M$268*Y7*Y8/1000</f>
        <v>-3451</v>
      </c>
      <c r="Z22" s="282" cm="1">
        <f t="array" ref="Z22">-'Shared Boats 2026 Target'!$M$268*Z7*Z8/1000</f>
        <v>-3857</v>
      </c>
      <c r="AA22" s="282" cm="1">
        <f t="array" ref="AA22">-'Shared Boats 2026 Target'!$M$268*AA7*AA8/1000</f>
        <v>-4200</v>
      </c>
      <c r="AB22" s="282" cm="1">
        <f t="array" ref="AB22">-'Shared Boats 2026 Target'!$M$268*AB7*AB8/1000</f>
        <v>-4200</v>
      </c>
      <c r="AC22" s="282" cm="1">
        <f t="array" ref="AC22">-'Shared Boats 2026 Target'!$M$268*AC7*AC8/1000</f>
        <v>-3654</v>
      </c>
      <c r="AD22" s="282" cm="1">
        <f t="array" ref="AD22">-'Shared Boats 2026 Target'!$M$268*AD7*AD8/1000</f>
        <v>-3248</v>
      </c>
      <c r="AE22" s="282" cm="1">
        <f t="array" ref="AE22">-'Shared Boats 2026 Target'!$M$268*AE7*AE8/1000</f>
        <v>-2842</v>
      </c>
      <c r="AF22" s="282" cm="1">
        <f t="array" ref="AF22">-'Shared Boats 2026 Target'!$M$268*AF7*AF8/1000</f>
        <v>-3248</v>
      </c>
      <c r="AG22" s="282" cm="1">
        <f t="array" ref="AG22">-'Shared Boats 2026 Target'!$M$268*AG7*AG8/1000</f>
        <v>-3248</v>
      </c>
      <c r="AH22" s="282" cm="1">
        <f t="array" ref="AH22">-'Shared Boats 2026 Target'!$M$268*AH7*AH8/1000</f>
        <v>-2744</v>
      </c>
      <c r="AI22" s="282" cm="1">
        <f t="array" ref="AI22">-'Shared Boats 2026 Target'!$M$268*AI7*AI8/1000</f>
        <v>-3248</v>
      </c>
      <c r="AJ22" s="282" cm="1">
        <f t="array" ref="AJ22">-'Shared Boats 2026 Target'!$M$268*AJ7*AJ8/1000</f>
        <v>-3248</v>
      </c>
      <c r="AK22" s="282" cm="1">
        <f t="array" ref="AK22">-'Shared Boats 2026 Target'!$M$268*AK7*AK8/1000</f>
        <v>-3451</v>
      </c>
      <c r="AL22" s="282" cm="1">
        <f t="array" ref="AL22">-'Shared Boats 2026 Target'!$M$268*AL7*AL8/1000</f>
        <v>-3857</v>
      </c>
      <c r="AM22" s="282" cm="1">
        <f t="array" ref="AM22">-'Shared Boats 2026 Target'!$M$268*AM7*AM8/1000</f>
        <v>-4200</v>
      </c>
      <c r="AN22" s="282" cm="1">
        <f t="array" ref="AN22">-'Shared Boats 2026 Target'!$M$268*AN7*AN8/1000</f>
        <v>-4200</v>
      </c>
      <c r="AO22" s="282" cm="1">
        <f t="array" ref="AO22">-'Shared Boats 2026 Target'!$M$268*AO7*AO8/1000</f>
        <v>-3654</v>
      </c>
      <c r="AP22" s="282" cm="1">
        <f t="array" ref="AP22">-'Shared Boats 2026 Target'!$M$268*AP7*AP8/1000</f>
        <v>-3248</v>
      </c>
      <c r="AQ22" s="282" cm="1">
        <f t="array" ref="AQ22">-'Shared Boats 2026 Target'!$M$268*AQ7*AQ8/1000</f>
        <v>-2842</v>
      </c>
      <c r="AR22" s="282" cm="1">
        <f t="array" ref="AR22">-'Shared Boats 2026 Target'!$M$268*AR7*AR8/1000</f>
        <v>-3248</v>
      </c>
      <c r="AS22" s="282" cm="1">
        <f t="array" ref="AS22">-'Shared Boats 2026 Target'!$M$268*AS7*AS8/1000</f>
        <v>-3248</v>
      </c>
      <c r="AT22" s="284"/>
    </row>
    <row r="23" ht="15" customHeight="1">
      <c r="A23" s="12"/>
      <c r="B23" s="283"/>
      <c r="C23" s="272"/>
      <c r="D23" t="str" s="896" cm="1">
        <f t="array" ref="D23">'Project Eldorado ROI in IDR'!B19</f>
        <v>Lunch</v>
      </c>
      <c r="E23" s="274"/>
      <c r="F23" s="282">
        <v>0</v>
      </c>
      <c r="G23" s="282">
        <v>0</v>
      </c>
      <c r="H23" s="282">
        <v>0</v>
      </c>
      <c r="I23" s="282" cm="1">
        <f t="array" ref="I23">-'Direct Costs 2026'!$C$45*I10/1000</f>
        <v>-36192</v>
      </c>
      <c r="J23" s="282" cm="1">
        <f t="array" ref="J23">-'Direct Costs 2026'!$C$45*J10/1000</f>
        <v>-30576</v>
      </c>
      <c r="K23" s="282" cm="1">
        <f t="array" ref="K23">-'Direct Costs 2026'!$C$45*K10/1000</f>
        <v>-36192</v>
      </c>
      <c r="L23" s="282" cm="1">
        <f t="array" ref="L23">-'Direct Costs 2026'!$C$45*L10/1000</f>
        <v>-38454</v>
      </c>
      <c r="M23" s="282" cm="1">
        <f t="array" ref="M23">-'Direct Costs 2026'!$C$45*M10/1000</f>
        <v>-43260.75</v>
      </c>
      <c r="N23" s="282" cm="1">
        <f t="array" ref="N23">-'Direct Costs 2026'!$C$45*N10/1000</f>
        <v>-48350.25</v>
      </c>
      <c r="O23" s="282" cm="1">
        <f t="array" ref="O23">-'Direct Costs 2026'!$C$45*O10/1000</f>
        <v>-52650</v>
      </c>
      <c r="P23" s="282" cm="1">
        <f t="array" ref="P23">-'Direct Costs 2026'!$C$45*P10/1000</f>
        <v>-52650</v>
      </c>
      <c r="Q23" s="282" cm="1">
        <f t="array" ref="Q23">-'Direct Costs 2026'!$C$45*Q10/1000</f>
        <v>-45805.5</v>
      </c>
      <c r="R23" s="282" cm="1">
        <f t="array" ref="R23">-'Direct Costs 2026'!$C$45*R10/1000</f>
        <v>-38454</v>
      </c>
      <c r="S23" s="282" cm="1">
        <f t="array" ref="S23">-'Direct Costs 2026'!$C$45*S10/1000</f>
        <v>-31668</v>
      </c>
      <c r="T23" s="282" cm="1">
        <f t="array" ref="T23">-'Direct Costs 2026'!$C$45*T10/1000</f>
        <v>-36192</v>
      </c>
      <c r="U23" s="282" cm="1">
        <f t="array" ref="U23">-'Direct Costs 2026'!$C$45*U10/1000</f>
        <v>-36192</v>
      </c>
      <c r="V23" s="282" cm="1">
        <f t="array" ref="V23">-'Direct Costs 2026'!$C$45*V10/1000</f>
        <v>-30576</v>
      </c>
      <c r="W23" s="282" cm="1">
        <f t="array" ref="W23">-'Direct Costs 2026'!$C$45*W10/1000</f>
        <v>-36192</v>
      </c>
      <c r="X23" s="282" cm="1">
        <f t="array" ref="X23">-'Direct Costs 2026'!$C$45*X10/1000</f>
        <v>-38454</v>
      </c>
      <c r="Y23" s="282" cm="1">
        <f t="array" ref="Y23">-'Direct Costs 2026'!$C$45*Y10/1000</f>
        <v>-43260.75</v>
      </c>
      <c r="Z23" s="282" cm="1">
        <f t="array" ref="Z23">-'Direct Costs 2026'!$C$45*Z10/1000</f>
        <v>-48350.25</v>
      </c>
      <c r="AA23" s="282" cm="1">
        <f t="array" ref="AA23">-'Direct Costs 2026'!$C$45*AA10/1000</f>
        <v>-52650</v>
      </c>
      <c r="AB23" s="282" cm="1">
        <f t="array" ref="AB23">-'Direct Costs 2026'!$C$45*AB10/1000</f>
        <v>-52650</v>
      </c>
      <c r="AC23" s="282" cm="1">
        <f t="array" ref="AC23">-'Direct Costs 2026'!$C$45*AC10/1000</f>
        <v>-45805.5</v>
      </c>
      <c r="AD23" s="282" cm="1">
        <f t="array" ref="AD23">-'Direct Costs 2026'!$C$45*AD10/1000</f>
        <v>-38454</v>
      </c>
      <c r="AE23" s="282" cm="1">
        <f t="array" ref="AE23">-'Direct Costs 2026'!$C$45*AE10/1000</f>
        <v>-31668</v>
      </c>
      <c r="AF23" s="282" cm="1">
        <f t="array" ref="AF23">-'Direct Costs 2026'!$C$45*AF10/1000</f>
        <v>-36192</v>
      </c>
      <c r="AG23" s="282" cm="1">
        <f t="array" ref="AG23">-'Direct Costs 2026'!$C$45*AG10/1000</f>
        <v>-36192</v>
      </c>
      <c r="AH23" s="282" cm="1">
        <f t="array" ref="AH23">-'Direct Costs 2026'!$C$45*AH10/1000</f>
        <v>-30576</v>
      </c>
      <c r="AI23" s="282" cm="1">
        <f t="array" ref="AI23">-'Direct Costs 2026'!$C$45*AI10/1000</f>
        <v>-36192</v>
      </c>
      <c r="AJ23" s="282" cm="1">
        <f t="array" ref="AJ23">-'Direct Costs 2026'!$C$45*AJ10/1000</f>
        <v>-38454</v>
      </c>
      <c r="AK23" s="282" cm="1">
        <f t="array" ref="AK23">-'Direct Costs 2026'!$C$45*AK10/1000</f>
        <v>-43260.75</v>
      </c>
      <c r="AL23" s="282" cm="1">
        <f t="array" ref="AL23">-'Direct Costs 2026'!$C$45*AL10/1000</f>
        <v>-48350.25</v>
      </c>
      <c r="AM23" s="282" cm="1">
        <f t="array" ref="AM23">-'Direct Costs 2026'!$C$45*AM10/1000</f>
        <v>-52650</v>
      </c>
      <c r="AN23" s="282" cm="1">
        <f t="array" ref="AN23">-'Direct Costs 2026'!$C$45*AN10/1000</f>
        <v>-52650</v>
      </c>
      <c r="AO23" s="282" cm="1">
        <f t="array" ref="AO23">-'Direct Costs 2026'!$C$45*AO10/1000</f>
        <v>-45805.5</v>
      </c>
      <c r="AP23" s="282" cm="1">
        <f t="array" ref="AP23">-'Direct Costs 2026'!$C$45*AP10/1000</f>
        <v>-38454</v>
      </c>
      <c r="AQ23" s="282" cm="1">
        <f t="array" ref="AQ23">-'Direct Costs 2026'!$C$45*AQ10/1000</f>
        <v>-31668</v>
      </c>
      <c r="AR23" s="282" cm="1">
        <f t="array" ref="AR23">-'Direct Costs 2026'!$C$45*AR10/1000</f>
        <v>-36192</v>
      </c>
      <c r="AS23" s="282" cm="1">
        <f t="array" ref="AS23">-'Direct Costs 2026'!$C$45*AS10/1000</f>
        <v>-36192</v>
      </c>
      <c r="AT23" s="284"/>
    </row>
    <row r="24" ht="15" customHeight="1">
      <c r="A24" s="12"/>
      <c r="B24" s="283"/>
      <c r="C24" s="272"/>
      <c r="D24" t="str" s="896" cm="1">
        <f t="array" ref="D24">'Project Eldorado ROI in IDR'!B20</f>
        <v>Fuel (Pertamax)</v>
      </c>
      <c r="E24" s="274"/>
      <c r="F24" s="282">
        <v>0</v>
      </c>
      <c r="G24" s="282">
        <v>0</v>
      </c>
      <c r="H24" s="282">
        <v>0</v>
      </c>
      <c r="I24" s="282" cm="1">
        <f t="array" ref="I24">-'Shared Boats 2026 Target'!$O$268*I7*I8/1000</f>
        <v>-77140</v>
      </c>
      <c r="J24" s="282" cm="1">
        <f t="array" ref="J24">-'Shared Boats 2026 Target'!$O$268*J7*J8/1000</f>
        <v>-65170</v>
      </c>
      <c r="K24" s="282" cm="1">
        <f t="array" ref="K24">-'Shared Boats 2026 Target'!$O$268*K7*K8/1000</f>
        <v>-77140</v>
      </c>
      <c r="L24" s="282" cm="1">
        <f t="array" ref="L24">-'Shared Boats 2026 Target'!$O$268*L7*L8/1000</f>
        <v>-77140</v>
      </c>
      <c r="M24" s="282" cm="1">
        <f t="array" ref="M24">-'Shared Boats 2026 Target'!$O$268*M7*M8/1000</f>
        <v>-81961.25</v>
      </c>
      <c r="N24" s="282" cm="1">
        <f t="array" ref="N24">-'Shared Boats 2026 Target'!$O$268*N7*N8/1000</f>
        <v>-91603.75</v>
      </c>
      <c r="O24" s="282" cm="1">
        <f t="array" ref="O24">-'Shared Boats 2026 Target'!$O$268*O7*O8/1000</f>
        <v>-99750</v>
      </c>
      <c r="P24" s="282" cm="1">
        <f t="array" ref="P24">-'Shared Boats 2026 Target'!$O$268*P7*P8/1000</f>
        <v>-99750</v>
      </c>
      <c r="Q24" s="282" cm="1">
        <f t="array" ref="Q24">-'Shared Boats 2026 Target'!$O$268*Q7*Q8/1000</f>
        <v>-86782.5</v>
      </c>
      <c r="R24" s="282" cm="1">
        <f t="array" ref="R24">-'Shared Boats 2026 Target'!$O$268*R7*R8/1000</f>
        <v>-77140</v>
      </c>
      <c r="S24" s="282" cm="1">
        <f t="array" ref="S24">-'Shared Boats 2026 Target'!$O$268*S7*S8/1000</f>
        <v>-67497.5</v>
      </c>
      <c r="T24" s="282" cm="1">
        <f t="array" ref="T24">-'Shared Boats 2026 Target'!$O$268*T7*T8/1000</f>
        <v>-77140</v>
      </c>
      <c r="U24" s="282" cm="1">
        <f t="array" ref="U24">-'Shared Boats 2026 Target'!$O$268*U7*U8/1000</f>
        <v>-77140</v>
      </c>
      <c r="V24" s="282" cm="1">
        <f t="array" ref="V24">-'Shared Boats 2026 Target'!$O$268*V7*V8/1000</f>
        <v>-65170</v>
      </c>
      <c r="W24" s="282" cm="1">
        <f t="array" ref="W24">-'Shared Boats 2026 Target'!$O$268*W7*W8/1000</f>
        <v>-77140</v>
      </c>
      <c r="X24" s="282" cm="1">
        <f t="array" ref="X24">-'Shared Boats 2026 Target'!$O$268*X7*X8/1000</f>
        <v>-77140</v>
      </c>
      <c r="Y24" s="282" cm="1">
        <f t="array" ref="Y24">-'Shared Boats 2026 Target'!$O$268*Y7*Y8/1000</f>
        <v>-81961.25</v>
      </c>
      <c r="Z24" s="282" cm="1">
        <f t="array" ref="Z24">-'Shared Boats 2026 Target'!$O$268*Z7*Z8/1000</f>
        <v>-91603.75</v>
      </c>
      <c r="AA24" s="282" cm="1">
        <f t="array" ref="AA24">-'Shared Boats 2026 Target'!$O$268*AA7*AA8/1000</f>
        <v>-99750</v>
      </c>
      <c r="AB24" s="282" cm="1">
        <f t="array" ref="AB24">-'Shared Boats 2026 Target'!$O$268*AB7*AB8/1000</f>
        <v>-99750</v>
      </c>
      <c r="AC24" s="282" cm="1">
        <f t="array" ref="AC24">-'Shared Boats 2026 Target'!$O$268*AC7*AC8/1000</f>
        <v>-86782.5</v>
      </c>
      <c r="AD24" s="282" cm="1">
        <f t="array" ref="AD24">-'Shared Boats 2026 Target'!$O$268*AD7*AD8/1000</f>
        <v>-77140</v>
      </c>
      <c r="AE24" s="282" cm="1">
        <f t="array" ref="AE24">-'Shared Boats 2026 Target'!$O$268*AE7*AE8/1000</f>
        <v>-67497.5</v>
      </c>
      <c r="AF24" s="282" cm="1">
        <f t="array" ref="AF24">-'Shared Boats 2026 Target'!$O$268*AF7*AF8/1000</f>
        <v>-77140</v>
      </c>
      <c r="AG24" s="282" cm="1">
        <f t="array" ref="AG24">-'Shared Boats 2026 Target'!$O$268*AG7*AG8/1000</f>
        <v>-77140</v>
      </c>
      <c r="AH24" s="282" cm="1">
        <f t="array" ref="AH24">-'Shared Boats 2026 Target'!$O$268*AH7*AH8/1000</f>
        <v>-65170</v>
      </c>
      <c r="AI24" s="282" cm="1">
        <f t="array" ref="AI24">-'Shared Boats 2026 Target'!$O$268*AI7*AI8/1000</f>
        <v>-77140</v>
      </c>
      <c r="AJ24" s="282" cm="1">
        <f t="array" ref="AJ24">-'Shared Boats 2026 Target'!$O$268*AJ7*AJ8/1000</f>
        <v>-77140</v>
      </c>
      <c r="AK24" s="282" cm="1">
        <f t="array" ref="AK24">-'Shared Boats 2026 Target'!$O$268*AK7*AK8/1000</f>
        <v>-81961.25</v>
      </c>
      <c r="AL24" s="282" cm="1">
        <f t="array" ref="AL24">-'Shared Boats 2026 Target'!$O$268*AL7*AL8/1000</f>
        <v>-91603.75</v>
      </c>
      <c r="AM24" s="282" cm="1">
        <f t="array" ref="AM24">-'Shared Boats 2026 Target'!$O$268*AM7*AM8/1000</f>
        <v>-99750</v>
      </c>
      <c r="AN24" s="282" cm="1">
        <f t="array" ref="AN24">-'Shared Boats 2026 Target'!$O$268*AN7*AN8/1000</f>
        <v>-99750</v>
      </c>
      <c r="AO24" s="282" cm="1">
        <f t="array" ref="AO24">-'Shared Boats 2026 Target'!$O$268*AO7*AO8/1000</f>
        <v>-86782.5</v>
      </c>
      <c r="AP24" s="282" cm="1">
        <f t="array" ref="AP24">-'Shared Boats 2026 Target'!$O$268*AP7*AP8/1000</f>
        <v>-77140</v>
      </c>
      <c r="AQ24" s="282" cm="1">
        <f t="array" ref="AQ24">-'Shared Boats 2026 Target'!$O$268*AQ7*AQ8/1000</f>
        <v>-67497.5</v>
      </c>
      <c r="AR24" s="282" cm="1">
        <f t="array" ref="AR24">-'Shared Boats 2026 Target'!$O$268*AR7*AR8/1000</f>
        <v>-77140</v>
      </c>
      <c r="AS24" s="282" cm="1">
        <f t="array" ref="AS24">-'Shared Boats 2026 Target'!$O$268*AS7*AS8/1000</f>
        <v>-77140</v>
      </c>
      <c r="AT24" s="284"/>
    </row>
    <row r="25" ht="15" customHeight="1">
      <c r="A25" s="12"/>
      <c r="B25" s="283"/>
      <c r="C25" s="272"/>
      <c r="D25" t="str" s="896" cm="1">
        <f t="array" ref="D25">'Project Eldorado ROI in IDR'!B21</f>
        <v>Crew Salary &amp; Tax u</v>
      </c>
      <c r="E25" s="274"/>
      <c r="F25" s="282">
        <v>0</v>
      </c>
      <c r="G25" s="282">
        <v>0</v>
      </c>
      <c r="H25" s="282">
        <v>0</v>
      </c>
      <c r="I25" s="282" cm="1">
        <f t="array" ref="I25">-'Shared Boats 2026 Target'!$P$268*I7*I8/1000</f>
        <v>-25807.68</v>
      </c>
      <c r="J25" s="282" cm="1">
        <f t="array" ref="J25">-'Shared Boats 2026 Target'!$P$268*J7*J8/1000</f>
        <v>-21803.04</v>
      </c>
      <c r="K25" s="282" cm="1">
        <f t="array" ref="K25">-'Shared Boats 2026 Target'!$P$268*K7*K8/1000</f>
        <v>-25807.68</v>
      </c>
      <c r="L25" s="282" cm="1">
        <f t="array" ref="L25">-'Shared Boats 2026 Target'!$P$268*L7*L8/1000</f>
        <v>-25807.68</v>
      </c>
      <c r="M25" s="282" cm="1">
        <f t="array" ref="M25">-'Shared Boats 2026 Target'!$P$268*M7*M8/1000</f>
        <v>-27420.66</v>
      </c>
      <c r="N25" s="282" cm="1">
        <f t="array" ref="N25">-'Shared Boats 2026 Target'!$P$268*N7*N8/1000</f>
        <v>-30646.62</v>
      </c>
      <c r="O25" s="282" cm="1">
        <f t="array" ref="O25">-'Shared Boats 2026 Target'!$P$268*O7*O8/1000</f>
        <v>-33372</v>
      </c>
      <c r="P25" s="282" cm="1">
        <f t="array" ref="P25">-'Shared Boats 2026 Target'!$P$268*P7*P8/1000</f>
        <v>-33372</v>
      </c>
      <c r="Q25" s="282" cm="1">
        <f t="array" ref="Q25">-'Shared Boats 2026 Target'!$P$268*Q7*Q8/1000</f>
        <v>-29033.64</v>
      </c>
      <c r="R25" s="282" cm="1">
        <f t="array" ref="R25">-'Shared Boats 2026 Target'!$P$268*R7*R8/1000</f>
        <v>-25807.68</v>
      </c>
      <c r="S25" s="282" cm="1">
        <f t="array" ref="S25">-'Shared Boats 2026 Target'!$P$268*S7*S8/1000</f>
        <v>-22581.72</v>
      </c>
      <c r="T25" s="282" cm="1">
        <f t="array" ref="T25">-'Shared Boats 2026 Target'!$P$268*T7*T8/1000</f>
        <v>-25807.68</v>
      </c>
      <c r="U25" s="282" cm="1">
        <f t="array" ref="U25">-'Shared Boats 2026 Target'!$P$268*U7*U8/1000</f>
        <v>-25807.68</v>
      </c>
      <c r="V25" s="282" cm="1">
        <f t="array" ref="V25">-'Shared Boats 2026 Target'!$P$268*V7*V8/1000</f>
        <v>-21803.04</v>
      </c>
      <c r="W25" s="282" cm="1">
        <f t="array" ref="W25">-'Shared Boats 2026 Target'!$P$268*W7*W8/1000</f>
        <v>-25807.68</v>
      </c>
      <c r="X25" s="282" cm="1">
        <f t="array" ref="X25">-'Shared Boats 2026 Target'!$P$268*X7*X8/1000</f>
        <v>-25807.68</v>
      </c>
      <c r="Y25" s="282" cm="1">
        <f t="array" ref="Y25">-'Shared Boats 2026 Target'!$P$268*Y7*Y8/1000</f>
        <v>-27420.66</v>
      </c>
      <c r="Z25" s="282" cm="1">
        <f t="array" ref="Z25">-'Shared Boats 2026 Target'!$P$268*Z7*Z8/1000</f>
        <v>-30646.62</v>
      </c>
      <c r="AA25" s="282" cm="1">
        <f t="array" ref="AA25">-'Shared Boats 2026 Target'!$P$268*AA7*AA8/1000</f>
        <v>-33372</v>
      </c>
      <c r="AB25" s="282" cm="1">
        <f t="array" ref="AB25">-'Shared Boats 2026 Target'!$P$268*AB7*AB8/1000</f>
        <v>-33372</v>
      </c>
      <c r="AC25" s="282" cm="1">
        <f t="array" ref="AC25">-'Shared Boats 2026 Target'!$P$268*AC7*AC8/1000</f>
        <v>-29033.64</v>
      </c>
      <c r="AD25" s="282" cm="1">
        <f t="array" ref="AD25">-'Shared Boats 2026 Target'!$P$268*AD7*AD8/1000</f>
        <v>-25807.68</v>
      </c>
      <c r="AE25" s="282" cm="1">
        <f t="array" ref="AE25">-'Shared Boats 2026 Target'!$P$268*AE7*AE8/1000</f>
        <v>-22581.72</v>
      </c>
      <c r="AF25" s="282" cm="1">
        <f t="array" ref="AF25">-'Shared Boats 2026 Target'!$P$268*AF7*AF8/1000</f>
        <v>-25807.68</v>
      </c>
      <c r="AG25" s="282" cm="1">
        <f t="array" ref="AG25">-'Shared Boats 2026 Target'!$P$268*AG7*AG8/1000</f>
        <v>-25807.68</v>
      </c>
      <c r="AH25" s="282" cm="1">
        <f t="array" ref="AH25">-'Shared Boats 2026 Target'!$P$268*AH7*AH8/1000</f>
        <v>-21803.04</v>
      </c>
      <c r="AI25" s="282" cm="1">
        <f t="array" ref="AI25">-'Shared Boats 2026 Target'!$P$268*AI7*AI8/1000</f>
        <v>-25807.68</v>
      </c>
      <c r="AJ25" s="282" cm="1">
        <f t="array" ref="AJ25">-'Shared Boats 2026 Target'!$P$268*AJ7*AJ8/1000</f>
        <v>-25807.68</v>
      </c>
      <c r="AK25" s="282" cm="1">
        <f t="array" ref="AK25">-'Shared Boats 2026 Target'!$P$268*AK7*AK8/1000</f>
        <v>-27420.66</v>
      </c>
      <c r="AL25" s="282" cm="1">
        <f t="array" ref="AL25">-'Shared Boats 2026 Target'!$P$268*AL7*AL8/1000</f>
        <v>-30646.62</v>
      </c>
      <c r="AM25" s="282" cm="1">
        <f t="array" ref="AM25">-'Shared Boats 2026 Target'!$P$268*AM7*AM8/1000</f>
        <v>-33372</v>
      </c>
      <c r="AN25" s="282" cm="1">
        <f t="array" ref="AN25">-'Shared Boats 2026 Target'!$P$268*AN7*AN8/1000</f>
        <v>-33372</v>
      </c>
      <c r="AO25" s="282" cm="1">
        <f t="array" ref="AO25">-'Shared Boats 2026 Target'!$P$268*AO7*AO8/1000</f>
        <v>-29033.64</v>
      </c>
      <c r="AP25" s="282" cm="1">
        <f t="array" ref="AP25">-'Shared Boats 2026 Target'!$P$268*AP7*AP8/1000</f>
        <v>-25807.68</v>
      </c>
      <c r="AQ25" s="282" cm="1">
        <f t="array" ref="AQ25">-'Shared Boats 2026 Target'!$P$268*AQ7*AQ8/1000</f>
        <v>-22581.72</v>
      </c>
      <c r="AR25" s="282" cm="1">
        <f t="array" ref="AR25">-'Shared Boats 2026 Target'!$P$268*AR7*AR8/1000</f>
        <v>-25807.68</v>
      </c>
      <c r="AS25" s="282" cm="1">
        <f t="array" ref="AS25">-'Shared Boats 2026 Target'!$P$268*AS7*AS8/1000</f>
        <v>-25807.68</v>
      </c>
      <c r="AT25" s="284"/>
    </row>
    <row r="26" ht="15" customHeight="1">
      <c r="A26" s="12"/>
      <c r="B26" s="283"/>
      <c r="C26" s="272"/>
      <c r="D26" t="str" s="896" cm="1">
        <f t="array" ref="D26">'Project Eldorado ROI in IDR'!B22</f>
        <v>Land Tours</v>
      </c>
      <c r="E26" s="274"/>
      <c r="F26" s="282">
        <v>0</v>
      </c>
      <c r="G26" s="282">
        <v>0</v>
      </c>
      <c r="H26" s="282">
        <v>0</v>
      </c>
      <c r="I26" s="282" cm="1">
        <f t="array" ref="I26">-'Shared Boats 2026 Target'!$Q$268*I7*I8/1000</f>
        <v>-22717.44</v>
      </c>
      <c r="J26" s="282" cm="1">
        <f t="array" ref="J26">-'Shared Boats 2026 Target'!$Q$268*J7*J8/1000</f>
        <v>-19192.32</v>
      </c>
      <c r="K26" s="282" cm="1">
        <f t="array" ref="K26">-'Shared Boats 2026 Target'!$Q$268*K7*K8/1000</f>
        <v>-22717.44</v>
      </c>
      <c r="L26" s="282" cm="1">
        <f t="array" ref="L26">-'Shared Boats 2026 Target'!$Q$268*L7*L8/1000</f>
        <v>-22717.44</v>
      </c>
      <c r="M26" s="282" cm="1">
        <f t="array" ref="M26">-'Shared Boats 2026 Target'!$Q$268*M7*M8/1000</f>
        <v>-24137.28</v>
      </c>
      <c r="N26" s="282" cm="1">
        <f t="array" ref="N26">-'Shared Boats 2026 Target'!$Q$268*N7*N8/1000</f>
        <v>-26976.96</v>
      </c>
      <c r="O26" s="282" cm="1">
        <f t="array" ref="O26">-'Shared Boats 2026 Target'!$Q$268*O7*O8/1000</f>
        <v>-29376</v>
      </c>
      <c r="P26" s="282" cm="1">
        <f t="array" ref="P26">-'Shared Boats 2026 Target'!$Q$268*P7*P8/1000</f>
        <v>-29376</v>
      </c>
      <c r="Q26" s="282" cm="1">
        <f t="array" ref="Q26">-'Shared Boats 2026 Target'!$Q$268*Q7*Q8/1000</f>
        <v>-25557.12</v>
      </c>
      <c r="R26" s="282" cm="1">
        <f t="array" ref="R26">-'Shared Boats 2026 Target'!$Q$268*R7*R8/1000</f>
        <v>-22717.44</v>
      </c>
      <c r="S26" s="282" cm="1">
        <f t="array" ref="S26">-'Shared Boats 2026 Target'!$Q$268*S7*S8/1000</f>
        <v>-19877.76</v>
      </c>
      <c r="T26" s="282" cm="1">
        <f t="array" ref="T26">-'Shared Boats 2026 Target'!$Q$268*T7*T8/1000</f>
        <v>-22717.44</v>
      </c>
      <c r="U26" s="282" cm="1">
        <f t="array" ref="U26">-'Shared Boats 2026 Target'!$Q$268*U7*U8/1000</f>
        <v>-22717.44</v>
      </c>
      <c r="V26" s="282" cm="1">
        <f t="array" ref="V26">-'Shared Boats 2026 Target'!$Q$268*V7*V8/1000</f>
        <v>-19192.32</v>
      </c>
      <c r="W26" s="282" cm="1">
        <f t="array" ref="W26">-'Shared Boats 2026 Target'!$Q$268*W7*W8/1000</f>
        <v>-22717.44</v>
      </c>
      <c r="X26" s="282" cm="1">
        <f t="array" ref="X26">-'Shared Boats 2026 Target'!$Q$268*X7*X8/1000</f>
        <v>-22717.44</v>
      </c>
      <c r="Y26" s="282" cm="1">
        <f t="array" ref="Y26">-'Shared Boats 2026 Target'!$Q$268*Y7*Y8/1000</f>
        <v>-24137.28</v>
      </c>
      <c r="Z26" s="282" cm="1">
        <f t="array" ref="Z26">-'Shared Boats 2026 Target'!$Q$268*Z7*Z8/1000</f>
        <v>-26976.96</v>
      </c>
      <c r="AA26" s="282" cm="1">
        <f t="array" ref="AA26">-'Shared Boats 2026 Target'!$Q$268*AA7*AA8/1000</f>
        <v>-29376</v>
      </c>
      <c r="AB26" s="282" cm="1">
        <f t="array" ref="AB26">-'Shared Boats 2026 Target'!$Q$268*AB7*AB8/1000</f>
        <v>-29376</v>
      </c>
      <c r="AC26" s="282" cm="1">
        <f t="array" ref="AC26">-'Shared Boats 2026 Target'!$Q$268*AC7*AC8/1000</f>
        <v>-25557.12</v>
      </c>
      <c r="AD26" s="282" cm="1">
        <f t="array" ref="AD26">-'Shared Boats 2026 Target'!$Q$268*AD7*AD8/1000</f>
        <v>-22717.44</v>
      </c>
      <c r="AE26" s="282" cm="1">
        <f t="array" ref="AE26">-'Shared Boats 2026 Target'!$Q$268*AE7*AE8/1000</f>
        <v>-19877.76</v>
      </c>
      <c r="AF26" s="282" cm="1">
        <f t="array" ref="AF26">-'Shared Boats 2026 Target'!$Q$268*AF7*AF8/1000</f>
        <v>-22717.44</v>
      </c>
      <c r="AG26" s="282" cm="1">
        <f t="array" ref="AG26">-'Shared Boats 2026 Target'!$Q$268*AG7*AG8/1000</f>
        <v>-22717.44</v>
      </c>
      <c r="AH26" s="282" cm="1">
        <f t="array" ref="AH26">-'Shared Boats 2026 Target'!$Q$268*AH7*AH8/1000</f>
        <v>-19192.32</v>
      </c>
      <c r="AI26" s="282" cm="1">
        <f t="array" ref="AI26">-'Shared Boats 2026 Target'!$Q$268*AI7*AI8/1000</f>
        <v>-22717.44</v>
      </c>
      <c r="AJ26" s="282" cm="1">
        <f t="array" ref="AJ26">-'Shared Boats 2026 Target'!$Q$268*AJ7*AJ8/1000</f>
        <v>-22717.44</v>
      </c>
      <c r="AK26" s="282" cm="1">
        <f t="array" ref="AK26">-'Shared Boats 2026 Target'!$Q$268*AK7*AK8/1000</f>
        <v>-24137.28</v>
      </c>
      <c r="AL26" s="282" cm="1">
        <f t="array" ref="AL26">-'Shared Boats 2026 Target'!$Q$268*AL7*AL8/1000</f>
        <v>-26976.96</v>
      </c>
      <c r="AM26" s="282" cm="1">
        <f t="array" ref="AM26">-'Shared Boats 2026 Target'!$Q$268*AM7*AM8/1000</f>
        <v>-29376</v>
      </c>
      <c r="AN26" s="282" cm="1">
        <f t="array" ref="AN26">-'Shared Boats 2026 Target'!$Q$268*AN7*AN8/1000</f>
        <v>-29376</v>
      </c>
      <c r="AO26" s="282" cm="1">
        <f t="array" ref="AO26">-'Shared Boats 2026 Target'!$Q$268*AO7*AO8/1000</f>
        <v>-25557.12</v>
      </c>
      <c r="AP26" s="282" cm="1">
        <f t="array" ref="AP26">-'Shared Boats 2026 Target'!$Q$268*AP7*AP8/1000</f>
        <v>-22717.44</v>
      </c>
      <c r="AQ26" s="282" cm="1">
        <f t="array" ref="AQ26">-'Shared Boats 2026 Target'!$Q$268*AQ7*AQ8/1000</f>
        <v>-19877.76</v>
      </c>
      <c r="AR26" s="282" cm="1">
        <f t="array" ref="AR26">-'Shared Boats 2026 Target'!$Q$268*AR7*AR8/1000</f>
        <v>-22717.44</v>
      </c>
      <c r="AS26" s="282" cm="1">
        <f t="array" ref="AS26">-'Shared Boats 2026 Target'!$Q$268*AS7*AS8/1000</f>
        <v>-22717.44</v>
      </c>
      <c r="AT26" s="284"/>
    </row>
    <row r="27" ht="15" customHeight="1">
      <c r="A27" s="12"/>
      <c r="B27" s="283"/>
      <c r="C27" s="272"/>
      <c r="D27" t="str" s="896" cm="1">
        <f t="array" ref="D27">'Project Eldorado ROI in IDR'!B23</f>
        <v>Extra fruits - Premium</v>
      </c>
      <c r="E27" s="274"/>
      <c r="F27" s="282">
        <v>0</v>
      </c>
      <c r="G27" s="282">
        <v>0</v>
      </c>
      <c r="H27" s="282">
        <v>0</v>
      </c>
      <c r="I27" s="282" cm="1">
        <f t="array" ref="I27">-('Premium Shared 2026 Target'!$L$15-'Shared Boats 2026 Target'!$M$268)*I7*I8/2/1000</f>
        <v>-232</v>
      </c>
      <c r="J27" s="282" cm="1">
        <f t="array" ref="J27">-('Premium Shared 2026 Target'!$L$15-'Shared Boats 2026 Target'!$M$268)*J7*J8/2/1000</f>
        <v>-196</v>
      </c>
      <c r="K27" s="282" cm="1">
        <f t="array" ref="K27">-('Premium Shared 2026 Target'!$L$15-'Shared Boats 2026 Target'!$M$268)*K7*K8/2/1000</f>
        <v>-232</v>
      </c>
      <c r="L27" s="282" cm="1">
        <f t="array" ref="L27">-('Premium Shared 2026 Target'!$L$15-'Shared Boats 2026 Target'!$M$268)*L7*L8/2/1000</f>
        <v>-232</v>
      </c>
      <c r="M27" s="282" cm="1">
        <f t="array" ref="M27">-('Premium Shared 2026 Target'!$L$15-'Shared Boats 2026 Target'!$M$268)*M7*M8/2/1000</f>
        <v>-246.5</v>
      </c>
      <c r="N27" s="282" cm="1">
        <f t="array" ref="N27">-('Premium Shared 2026 Target'!$L$15-'Shared Boats 2026 Target'!$M$268)*N7*N8/2/1000</f>
        <v>-275.5</v>
      </c>
      <c r="O27" s="282" cm="1">
        <f t="array" ref="O27">-('Premium Shared 2026 Target'!$L$15-'Shared Boats 2026 Target'!$M$268)*O7*O8/2/1000</f>
        <v>-300</v>
      </c>
      <c r="P27" s="282" cm="1">
        <f t="array" ref="P27">-('Premium Shared 2026 Target'!$L$15-'Shared Boats 2026 Target'!$M$268)*P7*P8/2/1000</f>
        <v>-300</v>
      </c>
      <c r="Q27" s="282" cm="1">
        <f t="array" ref="Q27">-('Premium Shared 2026 Target'!$L$15-'Shared Boats 2026 Target'!$M$268)*Q7*Q8/2/1000</f>
        <v>-261</v>
      </c>
      <c r="R27" s="282" cm="1">
        <f t="array" ref="R27">-('Premium Shared 2026 Target'!$L$15-'Shared Boats 2026 Target'!$M$268)*R7*R8/2/1000</f>
        <v>-232</v>
      </c>
      <c r="S27" s="282" cm="1">
        <f t="array" ref="S27">-('Premium Shared 2026 Target'!$L$15-'Shared Boats 2026 Target'!$M$268)*S7*S8/2/1000</f>
        <v>-203</v>
      </c>
      <c r="T27" s="282" cm="1">
        <f t="array" ref="T27">-('Premium Shared 2026 Target'!$L$15-'Shared Boats 2026 Target'!$M$268)*T7*T8/2/1000</f>
        <v>-232</v>
      </c>
      <c r="U27" s="282" cm="1">
        <f t="array" ref="U27">-('Premium Shared 2026 Target'!$L$15-'Shared Boats 2026 Target'!$M$268)*U7*U8/2/1000</f>
        <v>-232</v>
      </c>
      <c r="V27" s="282" cm="1">
        <f t="array" ref="V27">-('Premium Shared 2026 Target'!$L$15-'Shared Boats 2026 Target'!$M$268)*V7*V8/2/1000</f>
        <v>-196</v>
      </c>
      <c r="W27" s="282" cm="1">
        <f t="array" ref="W27">-('Premium Shared 2026 Target'!$L$15-'Shared Boats 2026 Target'!$M$268)*W7*W8/2/1000</f>
        <v>-232</v>
      </c>
      <c r="X27" s="282" cm="1">
        <f t="array" ref="X27">-('Premium Shared 2026 Target'!$L$15-'Shared Boats 2026 Target'!$M$268)*X7*X8/2/1000</f>
        <v>-232</v>
      </c>
      <c r="Y27" s="282" cm="1">
        <f t="array" ref="Y27">-('Premium Shared 2026 Target'!$L$15-'Shared Boats 2026 Target'!$M$268)*Y7*Y8/2/1000</f>
        <v>-246.5</v>
      </c>
      <c r="Z27" s="282" cm="1">
        <f t="array" ref="Z27">-('Premium Shared 2026 Target'!$L$15-'Shared Boats 2026 Target'!$M$268)*Z7*Z8/2/1000</f>
        <v>-275.5</v>
      </c>
      <c r="AA27" s="282" cm="1">
        <f t="array" ref="AA27">-('Premium Shared 2026 Target'!$L$15-'Shared Boats 2026 Target'!$M$268)*AA7*AA8/2/1000</f>
        <v>-300</v>
      </c>
      <c r="AB27" s="282" cm="1">
        <f t="array" ref="AB27">-('Premium Shared 2026 Target'!$L$15-'Shared Boats 2026 Target'!$M$268)*AB7*AB8/2/1000</f>
        <v>-300</v>
      </c>
      <c r="AC27" s="282" cm="1">
        <f t="array" ref="AC27">-('Premium Shared 2026 Target'!$L$15-'Shared Boats 2026 Target'!$M$268)*AC7*AC8/2/1000</f>
        <v>-261</v>
      </c>
      <c r="AD27" s="282" cm="1">
        <f t="array" ref="AD27">-('Premium Shared 2026 Target'!$L$15-'Shared Boats 2026 Target'!$M$268)*AD7*AD8/2/1000</f>
        <v>-232</v>
      </c>
      <c r="AE27" s="282" cm="1">
        <f t="array" ref="AE27">-('Premium Shared 2026 Target'!$L$15-'Shared Boats 2026 Target'!$M$268)*AE7*AE8/2/1000</f>
        <v>-203</v>
      </c>
      <c r="AF27" s="282" cm="1">
        <f t="array" ref="AF27">-('Premium Shared 2026 Target'!$L$15-'Shared Boats 2026 Target'!$M$268)*AF7*AF8/2/1000</f>
        <v>-232</v>
      </c>
      <c r="AG27" s="282" cm="1">
        <f t="array" ref="AG27">-('Premium Shared 2026 Target'!$L$15-'Shared Boats 2026 Target'!$M$268)*AG7*AG8/2/1000</f>
        <v>-232</v>
      </c>
      <c r="AH27" s="282" cm="1">
        <f t="array" ref="AH27">-('Premium Shared 2026 Target'!$L$15-'Shared Boats 2026 Target'!$M$268)*AH7*AH8/2/1000</f>
        <v>-196</v>
      </c>
      <c r="AI27" s="282" cm="1">
        <f t="array" ref="AI27">-('Premium Shared 2026 Target'!$L$15-'Shared Boats 2026 Target'!$M$268)*AI7*AI8/2/1000</f>
        <v>-232</v>
      </c>
      <c r="AJ27" s="282" cm="1">
        <f t="array" ref="AJ27">-('Premium Shared 2026 Target'!$L$15-'Shared Boats 2026 Target'!$M$268)*AJ7*AJ8/2/1000</f>
        <v>-232</v>
      </c>
      <c r="AK27" s="282" cm="1">
        <f t="array" ref="AK27">-('Premium Shared 2026 Target'!$L$15-'Shared Boats 2026 Target'!$M$268)*AK7*AK8/2/1000</f>
        <v>-246.5</v>
      </c>
      <c r="AL27" s="282" cm="1">
        <f t="array" ref="AL27">-('Premium Shared 2026 Target'!$L$15-'Shared Boats 2026 Target'!$M$268)*AL7*AL8/2/1000</f>
        <v>-275.5</v>
      </c>
      <c r="AM27" s="282" cm="1">
        <f t="array" ref="AM27">-('Premium Shared 2026 Target'!$L$15-'Shared Boats 2026 Target'!$M$268)*AM7*AM8/2/1000</f>
        <v>-300</v>
      </c>
      <c r="AN27" s="282" cm="1">
        <f t="array" ref="AN27">-('Premium Shared 2026 Target'!$L$15-'Shared Boats 2026 Target'!$M$268)*AN7*AN8/2/1000</f>
        <v>-300</v>
      </c>
      <c r="AO27" s="282" cm="1">
        <f t="array" ref="AO27">-('Premium Shared 2026 Target'!$L$15-'Shared Boats 2026 Target'!$M$268)*AO7*AO8/2/1000</f>
        <v>-261</v>
      </c>
      <c r="AP27" s="282" cm="1">
        <f t="array" ref="AP27">-('Premium Shared 2026 Target'!$L$15-'Shared Boats 2026 Target'!$M$268)*AP7*AP8/2/1000</f>
        <v>-232</v>
      </c>
      <c r="AQ27" s="282" cm="1">
        <f t="array" ref="AQ27">-('Premium Shared 2026 Target'!$L$15-'Shared Boats 2026 Target'!$M$268)*AQ7*AQ8/2/1000</f>
        <v>-203</v>
      </c>
      <c r="AR27" s="282" cm="1">
        <f t="array" ref="AR27">-('Premium Shared 2026 Target'!$L$15-'Shared Boats 2026 Target'!$M$268)*AR7*AR8/2/1000</f>
        <v>-232</v>
      </c>
      <c r="AS27" s="282" cm="1">
        <f t="array" ref="AS27">-('Premium Shared 2026 Target'!$L$15-'Shared Boats 2026 Target'!$M$268)*AS7*AS8/2/1000</f>
        <v>-232</v>
      </c>
      <c r="AT27" s="284"/>
    </row>
    <row r="28" ht="15" customHeight="1">
      <c r="A28" s="12"/>
      <c r="B28" s="283"/>
      <c r="C28" s="272"/>
      <c r="D28" t="str" s="896" cm="1">
        <f t="array" ref="D28">'Project Eldorado ROI in IDR'!B24</f>
        <v>Extra photographer - Premium</v>
      </c>
      <c r="E28" s="274"/>
      <c r="F28" s="282">
        <v>0</v>
      </c>
      <c r="G28" s="282">
        <v>0</v>
      </c>
      <c r="H28" s="282">
        <v>0</v>
      </c>
      <c r="I28" s="282" cm="1">
        <f t="array" ref="I28">-('Premium Shared 2026 Target'!$N$15)*I7*I8/2/1000</f>
        <v>-5104</v>
      </c>
      <c r="J28" s="282" cm="1">
        <f t="array" ref="J28">-('Premium Shared 2026 Target'!$N$15)*J7*J8/2/1000</f>
        <v>-4312</v>
      </c>
      <c r="K28" s="282" cm="1">
        <f t="array" ref="K28">-('Premium Shared 2026 Target'!$N$15)*K7*K8/2/1000</f>
        <v>-5104</v>
      </c>
      <c r="L28" s="282" cm="1">
        <f t="array" ref="L28">-('Premium Shared 2026 Target'!$N$15)*L7*L8/2/1000</f>
        <v>-5104</v>
      </c>
      <c r="M28" s="282" cm="1">
        <f t="array" ref="M28">-('Premium Shared 2026 Target'!$N$15)*M7*M8/2/1000</f>
        <v>-5423</v>
      </c>
      <c r="N28" s="282" cm="1">
        <f t="array" ref="N28">-('Premium Shared 2026 Target'!$N$15)*N7*N8/2/1000</f>
        <v>-6061</v>
      </c>
      <c r="O28" s="282" cm="1">
        <f t="array" ref="O28">-('Premium Shared 2026 Target'!$N$15)*O7*O8/2/1000</f>
        <v>-6600</v>
      </c>
      <c r="P28" s="282" cm="1">
        <f t="array" ref="P28">-('Premium Shared 2026 Target'!$N$15)*P7*P8/2/1000</f>
        <v>-6600</v>
      </c>
      <c r="Q28" s="282" cm="1">
        <f t="array" ref="Q28">-('Premium Shared 2026 Target'!$N$15)*Q7*Q8/2/1000</f>
        <v>-5742</v>
      </c>
      <c r="R28" s="282" cm="1">
        <f t="array" ref="R28">-('Premium Shared 2026 Target'!$N$15)*R7*R8/2/1000</f>
        <v>-5104</v>
      </c>
      <c r="S28" s="282" cm="1">
        <f t="array" ref="S28">-('Premium Shared 2026 Target'!$N$15)*S7*S8/2/1000</f>
        <v>-4466</v>
      </c>
      <c r="T28" s="282" cm="1">
        <f t="array" ref="T28">-('Premium Shared 2026 Target'!$N$15)*T7*T8/2/1000</f>
        <v>-5104</v>
      </c>
      <c r="U28" s="282" cm="1">
        <f t="array" ref="U28">-('Premium Shared 2026 Target'!$N$15)*U7*U8/2/1000</f>
        <v>-5104</v>
      </c>
      <c r="V28" s="282" cm="1">
        <f t="array" ref="V28">-('Premium Shared 2026 Target'!$N$15)*V7*V8/2/1000</f>
        <v>-4312</v>
      </c>
      <c r="W28" s="282" cm="1">
        <f t="array" ref="W28">-('Premium Shared 2026 Target'!$N$15)*W7*W8/2/1000</f>
        <v>-5104</v>
      </c>
      <c r="X28" s="282" cm="1">
        <f t="array" ref="X28">-('Premium Shared 2026 Target'!$N$15)*X7*X8/2/1000</f>
        <v>-5104</v>
      </c>
      <c r="Y28" s="282" cm="1">
        <f t="array" ref="Y28">-('Premium Shared 2026 Target'!$N$15)*Y7*Y8/2/1000</f>
        <v>-5423</v>
      </c>
      <c r="Z28" s="282" cm="1">
        <f t="array" ref="Z28">-('Premium Shared 2026 Target'!$N$15)*Z7*Z8/2/1000</f>
        <v>-6061</v>
      </c>
      <c r="AA28" s="282" cm="1">
        <f t="array" ref="AA28">-('Premium Shared 2026 Target'!$N$15)*AA7*AA8/2/1000</f>
        <v>-6600</v>
      </c>
      <c r="AB28" s="282" cm="1">
        <f t="array" ref="AB28">-('Premium Shared 2026 Target'!$N$15)*AB7*AB8/2/1000</f>
        <v>-6600</v>
      </c>
      <c r="AC28" s="282" cm="1">
        <f t="array" ref="AC28">-('Premium Shared 2026 Target'!$N$15)*AC7*AC8/2/1000</f>
        <v>-5742</v>
      </c>
      <c r="AD28" s="282" cm="1">
        <f t="array" ref="AD28">-('Premium Shared 2026 Target'!$N$15)*AD7*AD8/2/1000</f>
        <v>-5104</v>
      </c>
      <c r="AE28" s="282" cm="1">
        <f t="array" ref="AE28">-('Premium Shared 2026 Target'!$N$15)*AE7*AE8/2/1000</f>
        <v>-4466</v>
      </c>
      <c r="AF28" s="282" cm="1">
        <f t="array" ref="AF28">-('Premium Shared 2026 Target'!$N$15)*AF7*AF8/2/1000</f>
        <v>-5104</v>
      </c>
      <c r="AG28" s="282" cm="1">
        <f t="array" ref="AG28">-('Premium Shared 2026 Target'!$N$15)*AG7*AG8/2/1000</f>
        <v>-5104</v>
      </c>
      <c r="AH28" s="282" cm="1">
        <f t="array" ref="AH28">-('Premium Shared 2026 Target'!$N$15)*AH7*AH8/2/1000</f>
        <v>-4312</v>
      </c>
      <c r="AI28" s="282" cm="1">
        <f t="array" ref="AI28">-('Premium Shared 2026 Target'!$N$15)*AI7*AI8/2/1000</f>
        <v>-5104</v>
      </c>
      <c r="AJ28" s="282" cm="1">
        <f t="array" ref="AJ28">-('Premium Shared 2026 Target'!$N$15)*AJ7*AJ8/2/1000</f>
        <v>-5104</v>
      </c>
      <c r="AK28" s="282" cm="1">
        <f t="array" ref="AK28">-('Premium Shared 2026 Target'!$N$15)*AK7*AK8/2/1000</f>
        <v>-5423</v>
      </c>
      <c r="AL28" s="282" cm="1">
        <f t="array" ref="AL28">-('Premium Shared 2026 Target'!$N$15)*AL7*AL8/2/1000</f>
        <v>-6061</v>
      </c>
      <c r="AM28" s="282" cm="1">
        <f t="array" ref="AM28">-('Premium Shared 2026 Target'!$N$15)*AM7*AM8/2/1000</f>
        <v>-6600</v>
      </c>
      <c r="AN28" s="282" cm="1">
        <f t="array" ref="AN28">-('Premium Shared 2026 Target'!$N$15)*AN7*AN8/2/1000</f>
        <v>-6600</v>
      </c>
      <c r="AO28" s="282" cm="1">
        <f t="array" ref="AO28">-('Premium Shared 2026 Target'!$N$15)*AO7*AO8/2/1000</f>
        <v>-5742</v>
      </c>
      <c r="AP28" s="282" cm="1">
        <f t="array" ref="AP28">-('Premium Shared 2026 Target'!$N$15)*AP7*AP8/2/1000</f>
        <v>-5104</v>
      </c>
      <c r="AQ28" s="282" cm="1">
        <f t="array" ref="AQ28">-('Premium Shared 2026 Target'!$N$15)*AQ7*AQ8/2/1000</f>
        <v>-4466</v>
      </c>
      <c r="AR28" s="282" cm="1">
        <f t="array" ref="AR28">-('Premium Shared 2026 Target'!$N$15)*AR7*AR8/2/1000</f>
        <v>-5104</v>
      </c>
      <c r="AS28" s="282" cm="1">
        <f t="array" ref="AS28">-('Premium Shared 2026 Target'!$N$15)*AS7*AS8/2/1000</f>
        <v>-5104</v>
      </c>
      <c r="AT28" s="284"/>
    </row>
    <row r="29" ht="15" customHeight="1">
      <c r="A29" s="12"/>
      <c r="B29" s="283"/>
      <c r="C29" s="272"/>
      <c r="D29" t="str" s="896" cm="1">
        <f t="array" ref="D29">'Project Eldorado ROI in IDR'!B25</f>
        <v>Extra welcome drinks - Premium</v>
      </c>
      <c r="E29" s="274"/>
      <c r="F29" s="282">
        <v>0</v>
      </c>
      <c r="G29" s="282">
        <v>0</v>
      </c>
      <c r="H29" s="282">
        <v>0</v>
      </c>
      <c r="I29" s="282" cm="1">
        <f t="array" ref="I29">-('Premium Shared 2026 Target'!$P$15)*I7*I8/2/1000</f>
        <v>-5231.6</v>
      </c>
      <c r="J29" s="282" cm="1">
        <f t="array" ref="J29">-('Premium Shared 2026 Target'!$P$15)*J7*J8/2/1000</f>
        <v>-4419.8</v>
      </c>
      <c r="K29" s="282" cm="1">
        <f t="array" ref="K29">-('Premium Shared 2026 Target'!$P$15)*K7*K8/2/1000</f>
        <v>-5231.6</v>
      </c>
      <c r="L29" s="282" cm="1">
        <f t="array" ref="L29">-('Premium Shared 2026 Target'!$P$15)*L7*L8/2/1000</f>
        <v>-5231.6</v>
      </c>
      <c r="M29" s="282" cm="1">
        <f t="array" ref="M29">-('Premium Shared 2026 Target'!$P$15)*M7*M8/2/1000</f>
        <v>-5558.575</v>
      </c>
      <c r="N29" s="282" cm="1">
        <f t="array" ref="N29">-('Premium Shared 2026 Target'!$P$15)*N7*N8/2/1000</f>
        <v>-6212.525</v>
      </c>
      <c r="O29" s="282" cm="1">
        <f t="array" ref="O29">-('Premium Shared 2026 Target'!$P$15)*O7*O8/2/1000</f>
        <v>-6765</v>
      </c>
      <c r="P29" s="282" cm="1">
        <f t="array" ref="P29">-('Premium Shared 2026 Target'!$P$15)*P7*P8/2/1000</f>
        <v>-6765</v>
      </c>
      <c r="Q29" s="282" cm="1">
        <f t="array" ref="Q29">-('Premium Shared 2026 Target'!$P$15)*Q7*Q8/2/1000</f>
        <v>-5885.55</v>
      </c>
      <c r="R29" s="282" cm="1">
        <f t="array" ref="R29">-('Premium Shared 2026 Target'!$P$15)*R7*R8/2/1000</f>
        <v>-5231.6</v>
      </c>
      <c r="S29" s="282" cm="1">
        <f t="array" ref="S29">-('Premium Shared 2026 Target'!$P$15)*S7*S8/2/1000</f>
        <v>-4577.65</v>
      </c>
      <c r="T29" s="282" cm="1">
        <f t="array" ref="T29">-('Premium Shared 2026 Target'!$P$15)*T7*T8/2/1000</f>
        <v>-5231.6</v>
      </c>
      <c r="U29" s="282" cm="1">
        <f t="array" ref="U29">-('Premium Shared 2026 Target'!$P$15)*U7*U8/2/1000</f>
        <v>-5231.6</v>
      </c>
      <c r="V29" s="282" cm="1">
        <f t="array" ref="V29">-('Premium Shared 2026 Target'!$P$15)*V7*V8/2/1000</f>
        <v>-4419.8</v>
      </c>
      <c r="W29" s="282" cm="1">
        <f t="array" ref="W29">-('Premium Shared 2026 Target'!$P$15)*W7*W8/2/1000</f>
        <v>-5231.6</v>
      </c>
      <c r="X29" s="282" cm="1">
        <f t="array" ref="X29">-('Premium Shared 2026 Target'!$P$15)*X7*X8/2/1000</f>
        <v>-5231.6</v>
      </c>
      <c r="Y29" s="282" cm="1">
        <f t="array" ref="Y29">-('Premium Shared 2026 Target'!$P$15)*Y7*Y8/2/1000</f>
        <v>-5558.575</v>
      </c>
      <c r="Z29" s="282" cm="1">
        <f t="array" ref="Z29">-('Premium Shared 2026 Target'!$P$15)*Z7*Z8/2/1000</f>
        <v>-6212.525</v>
      </c>
      <c r="AA29" s="282" cm="1">
        <f t="array" ref="AA29">-('Premium Shared 2026 Target'!$P$15)*AA7*AA8/2/1000</f>
        <v>-6765</v>
      </c>
      <c r="AB29" s="282" cm="1">
        <f t="array" ref="AB29">-('Premium Shared 2026 Target'!$P$15)*AB7*AB8/2/1000</f>
        <v>-6765</v>
      </c>
      <c r="AC29" s="282" cm="1">
        <f t="array" ref="AC29">-('Premium Shared 2026 Target'!$P$15)*AC7*AC8/2/1000</f>
        <v>-5885.55</v>
      </c>
      <c r="AD29" s="282" cm="1">
        <f t="array" ref="AD29">-('Premium Shared 2026 Target'!$P$15)*AD7*AD8/2/1000</f>
        <v>-5231.6</v>
      </c>
      <c r="AE29" s="282" cm="1">
        <f t="array" ref="AE29">-('Premium Shared 2026 Target'!$P$15)*AE7*AE8/2/1000</f>
        <v>-4577.65</v>
      </c>
      <c r="AF29" s="282" cm="1">
        <f t="array" ref="AF29">-('Premium Shared 2026 Target'!$P$15)*AF7*AF8/2/1000</f>
        <v>-5231.6</v>
      </c>
      <c r="AG29" s="282" cm="1">
        <f t="array" ref="AG29">-('Premium Shared 2026 Target'!$P$15)*AG7*AG8/2/1000</f>
        <v>-5231.6</v>
      </c>
      <c r="AH29" s="282" cm="1">
        <f t="array" ref="AH29">-('Premium Shared 2026 Target'!$P$15)*AH7*AH8/2/1000</f>
        <v>-4419.8</v>
      </c>
      <c r="AI29" s="282" cm="1">
        <f t="array" ref="AI29">-('Premium Shared 2026 Target'!$P$15)*AI7*AI8/2/1000</f>
        <v>-5231.6</v>
      </c>
      <c r="AJ29" s="282" cm="1">
        <f t="array" ref="AJ29">-('Premium Shared 2026 Target'!$P$15)*AJ7*AJ8/2/1000</f>
        <v>-5231.6</v>
      </c>
      <c r="AK29" s="282" cm="1">
        <f t="array" ref="AK29">-('Premium Shared 2026 Target'!$P$15)*AK7*AK8/2/1000</f>
        <v>-5558.575</v>
      </c>
      <c r="AL29" s="282" cm="1">
        <f t="array" ref="AL29">-('Premium Shared 2026 Target'!$P$15)*AL7*AL8/2/1000</f>
        <v>-6212.525</v>
      </c>
      <c r="AM29" s="282" cm="1">
        <f t="array" ref="AM29">-('Premium Shared 2026 Target'!$P$15)*AM7*AM8/2/1000</f>
        <v>-6765</v>
      </c>
      <c r="AN29" s="282" cm="1">
        <f t="array" ref="AN29">-('Premium Shared 2026 Target'!$P$15)*AN7*AN8/2/1000</f>
        <v>-6765</v>
      </c>
      <c r="AO29" s="282" cm="1">
        <f t="array" ref="AO29">-('Premium Shared 2026 Target'!$P$15)*AO7*AO8/2/1000</f>
        <v>-5885.55</v>
      </c>
      <c r="AP29" s="282" cm="1">
        <f t="array" ref="AP29">-('Premium Shared 2026 Target'!$P$15)*AP7*AP8/2/1000</f>
        <v>-5231.6</v>
      </c>
      <c r="AQ29" s="282" cm="1">
        <f t="array" ref="AQ29">-('Premium Shared 2026 Target'!$P$15)*AQ7*AQ8/2/1000</f>
        <v>-4577.65</v>
      </c>
      <c r="AR29" s="282" cm="1">
        <f t="array" ref="AR29">-('Premium Shared 2026 Target'!$P$15)*AR7*AR8/2/1000</f>
        <v>-5231.6</v>
      </c>
      <c r="AS29" s="282" cm="1">
        <f t="array" ref="AS29">-('Premium Shared 2026 Target'!$P$15)*AS7*AS8/2/1000</f>
        <v>-5231.6</v>
      </c>
      <c r="AT29" s="284"/>
    </row>
    <row r="30" ht="15" customHeight="1">
      <c r="A30" s="12"/>
      <c r="B30" s="283"/>
      <c r="C30" s="272"/>
      <c r="D30" t="str" s="896" cm="1">
        <f t="array" ref="D30">'Project Eldorado ROI in IDR'!B26</f>
        <v>Extra prosecco - Premium</v>
      </c>
      <c r="E30" s="274"/>
      <c r="F30" s="282">
        <v>0</v>
      </c>
      <c r="G30" s="282">
        <v>0</v>
      </c>
      <c r="H30" s="282">
        <v>0</v>
      </c>
      <c r="I30" s="282" cm="1">
        <f t="array" ref="I30">-('Premium Shared 2026 Target'!$O$15)*I7*I8/2/1000</f>
        <v>-10092</v>
      </c>
      <c r="J30" s="282" cm="1">
        <f t="array" ref="J30">-('Premium Shared 2026 Target'!$O$15)*J7*J8/2/1000</f>
        <v>-8526</v>
      </c>
      <c r="K30" s="282" cm="1">
        <f t="array" ref="K30">-('Premium Shared 2026 Target'!$O$15)*K7*K8/2/1000</f>
        <v>-10092</v>
      </c>
      <c r="L30" s="282" cm="1">
        <f t="array" ref="L30">-('Premium Shared 2026 Target'!$O$15)*L7*L8/2/1000</f>
        <v>-10092</v>
      </c>
      <c r="M30" s="282" cm="1">
        <f t="array" ref="M30">-('Premium Shared 2026 Target'!$O$15)*M7*M8/2/1000</f>
        <v>-10722.75</v>
      </c>
      <c r="N30" s="282" cm="1">
        <f t="array" ref="N30">-('Premium Shared 2026 Target'!$O$15)*N7*N8/2/1000</f>
        <v>-11984.25</v>
      </c>
      <c r="O30" s="282" cm="1">
        <f t="array" ref="O30">-('Premium Shared 2026 Target'!$O$15)*O7*O8/2/1000</f>
        <v>-13050</v>
      </c>
      <c r="P30" s="282" cm="1">
        <f t="array" ref="P30">-('Premium Shared 2026 Target'!$O$15)*P7*P8/2/1000</f>
        <v>-13050</v>
      </c>
      <c r="Q30" s="282" cm="1">
        <f t="array" ref="Q30">-('Premium Shared 2026 Target'!$O$15)*Q7*Q8/2/1000</f>
        <v>-11353.5</v>
      </c>
      <c r="R30" s="282" cm="1">
        <f t="array" ref="R30">-('Premium Shared 2026 Target'!$O$15)*R7*R8/2/1000</f>
        <v>-10092</v>
      </c>
      <c r="S30" s="282" cm="1">
        <f t="array" ref="S30">-('Premium Shared 2026 Target'!$O$15)*S7*S8/2/1000</f>
        <v>-8830.5</v>
      </c>
      <c r="T30" s="282" cm="1">
        <f t="array" ref="T30">-('Premium Shared 2026 Target'!$O$15)*T7*T8/2/1000</f>
        <v>-10092</v>
      </c>
      <c r="U30" s="282" cm="1">
        <f t="array" ref="U30">-('Premium Shared 2026 Target'!$O$15)*U7*U8/2/1000</f>
        <v>-10092</v>
      </c>
      <c r="V30" s="282" cm="1">
        <f t="array" ref="V30">-('Premium Shared 2026 Target'!$O$15)*V7*V8/2/1000</f>
        <v>-8526</v>
      </c>
      <c r="W30" s="282" cm="1">
        <f t="array" ref="W30">-('Premium Shared 2026 Target'!$O$15)*W7*W8/2/1000</f>
        <v>-10092</v>
      </c>
      <c r="X30" s="282" cm="1">
        <f t="array" ref="X30">-('Premium Shared 2026 Target'!$O$15)*X7*X8/2/1000</f>
        <v>-10092</v>
      </c>
      <c r="Y30" s="282" cm="1">
        <f t="array" ref="Y30">-('Premium Shared 2026 Target'!$O$15)*Y7*Y8/2/1000</f>
        <v>-10722.75</v>
      </c>
      <c r="Z30" s="282" cm="1">
        <f t="array" ref="Z30">-('Premium Shared 2026 Target'!$O$15)*Z7*Z8/2/1000</f>
        <v>-11984.25</v>
      </c>
      <c r="AA30" s="282" cm="1">
        <f t="array" ref="AA30">-('Premium Shared 2026 Target'!$O$15)*AA7*AA8/2/1000</f>
        <v>-13050</v>
      </c>
      <c r="AB30" s="282" cm="1">
        <f t="array" ref="AB30">-('Premium Shared 2026 Target'!$O$15)*AB7*AB8/2/1000</f>
        <v>-13050</v>
      </c>
      <c r="AC30" s="282" cm="1">
        <f t="array" ref="AC30">-('Premium Shared 2026 Target'!$O$15)*AC7*AC8/2/1000</f>
        <v>-11353.5</v>
      </c>
      <c r="AD30" s="282" cm="1">
        <f t="array" ref="AD30">-('Premium Shared 2026 Target'!$O$15)*AD7*AD8/2/1000</f>
        <v>-10092</v>
      </c>
      <c r="AE30" s="282" cm="1">
        <f t="array" ref="AE30">-('Premium Shared 2026 Target'!$O$15)*AE7*AE8/2/1000</f>
        <v>-8830.5</v>
      </c>
      <c r="AF30" s="282" cm="1">
        <f t="array" ref="AF30">-('Premium Shared 2026 Target'!$O$15)*AF7*AF8/2/1000</f>
        <v>-10092</v>
      </c>
      <c r="AG30" s="282" cm="1">
        <f t="array" ref="AG30">-('Premium Shared 2026 Target'!$O$15)*AG7*AG8/2/1000</f>
        <v>-10092</v>
      </c>
      <c r="AH30" s="282" cm="1">
        <f t="array" ref="AH30">-('Premium Shared 2026 Target'!$O$15)*AH7*AH8/2/1000</f>
        <v>-8526</v>
      </c>
      <c r="AI30" s="282" cm="1">
        <f t="array" ref="AI30">-('Premium Shared 2026 Target'!$O$15)*AI7*AI8/2/1000</f>
        <v>-10092</v>
      </c>
      <c r="AJ30" s="282" cm="1">
        <f t="array" ref="AJ30">-('Premium Shared 2026 Target'!$O$15)*AJ7*AJ8/2/1000</f>
        <v>-10092</v>
      </c>
      <c r="AK30" s="282" cm="1">
        <f t="array" ref="AK30">-('Premium Shared 2026 Target'!$O$15)*AK7*AK8/2/1000</f>
        <v>-10722.75</v>
      </c>
      <c r="AL30" s="282" cm="1">
        <f t="array" ref="AL30">-('Premium Shared 2026 Target'!$O$15)*AL7*AL8/2/1000</f>
        <v>-11984.25</v>
      </c>
      <c r="AM30" s="282" cm="1">
        <f t="array" ref="AM30">-('Premium Shared 2026 Target'!$O$15)*AM7*AM8/2/1000</f>
        <v>-13050</v>
      </c>
      <c r="AN30" s="282" cm="1">
        <f t="array" ref="AN30">-('Premium Shared 2026 Target'!$O$15)*AN7*AN8/2/1000</f>
        <v>-13050</v>
      </c>
      <c r="AO30" s="282" cm="1">
        <f t="array" ref="AO30">-('Premium Shared 2026 Target'!$O$15)*AO7*AO8/2/1000</f>
        <v>-11353.5</v>
      </c>
      <c r="AP30" s="282" cm="1">
        <f t="array" ref="AP30">-('Premium Shared 2026 Target'!$O$15)*AP7*AP8/2/1000</f>
        <v>-10092</v>
      </c>
      <c r="AQ30" s="282" cm="1">
        <f t="array" ref="AQ30">-('Premium Shared 2026 Target'!$O$15)*AQ7*AQ8/2/1000</f>
        <v>-8830.5</v>
      </c>
      <c r="AR30" s="282" cm="1">
        <f t="array" ref="AR30">-('Premium Shared 2026 Target'!$O$15)*AR7*AR8/2/1000</f>
        <v>-10092</v>
      </c>
      <c r="AS30" s="282" cm="1">
        <f t="array" ref="AS30">-('Premium Shared 2026 Target'!$O$15)*AS7*AS8/2/1000</f>
        <v>-10092</v>
      </c>
      <c r="AT30" s="284"/>
    </row>
    <row r="31" ht="15" customHeight="1">
      <c r="A31" s="12"/>
      <c r="B31" s="283"/>
      <c r="C31" s="272"/>
      <c r="D31" t="str" s="896" cm="1">
        <f t="array" ref="D31">'Project Eldorado ROI in IDR'!B31</f>
        <v>100H service + routine maintenance</v>
      </c>
      <c r="E31" s="274"/>
      <c r="F31" s="282">
        <v>0</v>
      </c>
      <c r="G31" s="282">
        <v>0</v>
      </c>
      <c r="H31" s="282">
        <v>0</v>
      </c>
      <c r="I31" s="282" cm="1">
        <f t="array" ref="I31">'Project Eldorado ROI in IDR'!$F$31/12/1000</f>
        <v>-3237.368</v>
      </c>
      <c r="J31" s="282" cm="1">
        <f t="array" ref="J31">'Project Eldorado ROI in IDR'!$F$31/12/1000</f>
        <v>-3237.368</v>
      </c>
      <c r="K31" s="282" cm="1">
        <f t="array" ref="K31">'Project Eldorado ROI in IDR'!$F$31/12/1000</f>
        <v>-3237.368</v>
      </c>
      <c r="L31" s="282" cm="1">
        <f t="array" ref="L31">'Project Eldorado ROI in IDR'!$F$31/12/1000</f>
        <v>-3237.368</v>
      </c>
      <c r="M31" s="282" cm="1">
        <f t="array" ref="M31">'Project Eldorado ROI in IDR'!$F$31/12/1000</f>
        <v>-3237.368</v>
      </c>
      <c r="N31" s="282" cm="1">
        <f t="array" ref="N31">'Project Eldorado ROI in IDR'!$F$31/12/1000</f>
        <v>-3237.368</v>
      </c>
      <c r="O31" s="282" cm="1">
        <f t="array" ref="O31">'Project Eldorado ROI in IDR'!$F$31/12/1000</f>
        <v>-3237.368</v>
      </c>
      <c r="P31" s="282" cm="1">
        <f t="array" ref="P31">'Project Eldorado ROI in IDR'!$F$31/12/1000</f>
        <v>-3237.368</v>
      </c>
      <c r="Q31" s="282" cm="1">
        <f t="array" ref="Q31">'Project Eldorado ROI in IDR'!$F$31/12/1000</f>
        <v>-3237.368</v>
      </c>
      <c r="R31" s="282" cm="1">
        <f t="array" ref="R31">'Project Eldorado ROI in IDR'!$F$31/12/1000</f>
        <v>-3237.368</v>
      </c>
      <c r="S31" s="282" cm="1">
        <f t="array" ref="S31">'Project Eldorado ROI in IDR'!$F$31/12/1000</f>
        <v>-3237.368</v>
      </c>
      <c r="T31" s="282" cm="1">
        <f t="array" ref="T31">'Project Eldorado ROI in IDR'!$F$31/12/1000</f>
        <v>-3237.368</v>
      </c>
      <c r="U31" s="282" cm="1">
        <f t="array" ref="U31">'Project Eldorado ROI in IDR'!$F$31/12/1000</f>
        <v>-3237.368</v>
      </c>
      <c r="V31" s="282" cm="1">
        <f t="array" ref="V31">'Project Eldorado ROI in IDR'!$F$31/12/1000</f>
        <v>-3237.368</v>
      </c>
      <c r="W31" s="282" cm="1">
        <f t="array" ref="W31">'Project Eldorado ROI in IDR'!$F$31/12/1000</f>
        <v>-3237.368</v>
      </c>
      <c r="X31" s="282" cm="1">
        <f t="array" ref="X31">'Project Eldorado ROI in IDR'!$F$31/12/1000</f>
        <v>-3237.368</v>
      </c>
      <c r="Y31" s="282" cm="1">
        <f t="array" ref="Y31">'Project Eldorado ROI in IDR'!$F$31/12/1000</f>
        <v>-3237.368</v>
      </c>
      <c r="Z31" s="282" cm="1">
        <f t="array" ref="Z31">'Project Eldorado ROI in IDR'!$F$31/12/1000</f>
        <v>-3237.368</v>
      </c>
      <c r="AA31" s="282" cm="1">
        <f t="array" ref="AA31">'Project Eldorado ROI in IDR'!$F$31/12/1000</f>
        <v>-3237.368</v>
      </c>
      <c r="AB31" s="282" cm="1">
        <f t="array" ref="AB31">'Project Eldorado ROI in IDR'!$F$31/12/1000</f>
        <v>-3237.368</v>
      </c>
      <c r="AC31" s="282" cm="1">
        <f t="array" ref="AC31">'Project Eldorado ROI in IDR'!$F$31/12/1000</f>
        <v>-3237.368</v>
      </c>
      <c r="AD31" s="282" cm="1">
        <f t="array" ref="AD31">'Project Eldorado ROI in IDR'!$F$31/12/1000</f>
        <v>-3237.368</v>
      </c>
      <c r="AE31" s="282" cm="1">
        <f t="array" ref="AE31">'Project Eldorado ROI in IDR'!$F$31/12/1000</f>
        <v>-3237.368</v>
      </c>
      <c r="AF31" s="282" cm="1">
        <f t="array" ref="AF31">'Project Eldorado ROI in IDR'!$F$31/12/1000</f>
        <v>-3237.368</v>
      </c>
      <c r="AG31" s="282" cm="1">
        <f t="array" ref="AG31">'Project Eldorado ROI in IDR'!$F$31/12/1000</f>
        <v>-3237.368</v>
      </c>
      <c r="AH31" s="282" cm="1">
        <f t="array" ref="AH31">'Project Eldorado ROI in IDR'!$F$31/12/1000</f>
        <v>-3237.368</v>
      </c>
      <c r="AI31" s="282" cm="1">
        <f t="array" ref="AI31">'Project Eldorado ROI in IDR'!$F$31/12/1000</f>
        <v>-3237.368</v>
      </c>
      <c r="AJ31" s="282" cm="1">
        <f t="array" ref="AJ31">'Project Eldorado ROI in IDR'!$F$31/12/1000</f>
        <v>-3237.368</v>
      </c>
      <c r="AK31" s="282" cm="1">
        <f t="array" ref="AK31">'Project Eldorado ROI in IDR'!$F$31/12/1000</f>
        <v>-3237.368</v>
      </c>
      <c r="AL31" s="282" cm="1">
        <f t="array" ref="AL31">'Project Eldorado ROI in IDR'!$F$31/12/1000</f>
        <v>-3237.368</v>
      </c>
      <c r="AM31" s="282" cm="1">
        <f t="array" ref="AM31">'Project Eldorado ROI in IDR'!$F$31/12/1000</f>
        <v>-3237.368</v>
      </c>
      <c r="AN31" s="282" cm="1">
        <f t="array" ref="AN31">'Project Eldorado ROI in IDR'!$F$31/12/1000</f>
        <v>-3237.368</v>
      </c>
      <c r="AO31" s="282" cm="1">
        <f t="array" ref="AO31">'Project Eldorado ROI in IDR'!$F$31/12/1000</f>
        <v>-3237.368</v>
      </c>
      <c r="AP31" s="282" cm="1">
        <f t="array" ref="AP31">'Project Eldorado ROI in IDR'!$F$31/12/1000</f>
        <v>-3237.368</v>
      </c>
      <c r="AQ31" s="282" cm="1">
        <f t="array" ref="AQ31">'Project Eldorado ROI in IDR'!$F$31/12/1000</f>
        <v>-3237.368</v>
      </c>
      <c r="AR31" s="282" cm="1">
        <f t="array" ref="AR31">'Project Eldorado ROI in IDR'!$F$31/12/1000</f>
        <v>-3237.368</v>
      </c>
      <c r="AS31" s="282" cm="1">
        <f t="array" ref="AS31">'Project Eldorado ROI in IDR'!$F$31/12/1000</f>
        <v>-3237.368</v>
      </c>
      <c r="AT31" s="284"/>
    </row>
    <row r="32" ht="15" customHeight="1">
      <c r="A32" s="12"/>
      <c r="B32" s="283"/>
      <c r="C32" s="272"/>
      <c r="D32" t="str" s="896" cm="1">
        <f t="array" ref="D32">'Project Eldorado ROI in IDR'!B32</f>
        <v>Odoo subscription + accounting</v>
      </c>
      <c r="E32" s="274"/>
      <c r="F32" s="282">
        <v>0</v>
      </c>
      <c r="G32" s="282">
        <v>0</v>
      </c>
      <c r="H32" s="282">
        <v>0</v>
      </c>
      <c r="I32" s="282" cm="1">
        <f t="array" ref="I32">'Project Eldorado ROI in IDR'!$F$32/12/1000</f>
        <v>-1175</v>
      </c>
      <c r="J32" s="282" cm="1">
        <f t="array" ref="J32">'Project Eldorado ROI in IDR'!$F$32/12/1000</f>
        <v>-1175</v>
      </c>
      <c r="K32" s="282" cm="1">
        <f t="array" ref="K32">'Project Eldorado ROI in IDR'!$F$32/12/1000</f>
        <v>-1175</v>
      </c>
      <c r="L32" s="282" cm="1">
        <f t="array" ref="L32">'Project Eldorado ROI in IDR'!$F$32/12/1000</f>
        <v>-1175</v>
      </c>
      <c r="M32" s="282" cm="1">
        <f t="array" ref="M32">'Project Eldorado ROI in IDR'!$F$32/12/1000</f>
        <v>-1175</v>
      </c>
      <c r="N32" s="282" cm="1">
        <f t="array" ref="N32">'Project Eldorado ROI in IDR'!$F$32/12/1000</f>
        <v>-1175</v>
      </c>
      <c r="O32" s="282" cm="1">
        <f t="array" ref="O32">'Project Eldorado ROI in IDR'!$F$32/12/1000</f>
        <v>-1175</v>
      </c>
      <c r="P32" s="282" cm="1">
        <f t="array" ref="P32">'Project Eldorado ROI in IDR'!$F$32/12/1000</f>
        <v>-1175</v>
      </c>
      <c r="Q32" s="282" cm="1">
        <f t="array" ref="Q32">'Project Eldorado ROI in IDR'!$F$32/12/1000</f>
        <v>-1175</v>
      </c>
      <c r="R32" s="282" cm="1">
        <f t="array" ref="R32">'Project Eldorado ROI in IDR'!$F$32/12/1000</f>
        <v>-1175</v>
      </c>
      <c r="S32" s="282" cm="1">
        <f t="array" ref="S32">'Project Eldorado ROI in IDR'!$F$32/12/1000</f>
        <v>-1175</v>
      </c>
      <c r="T32" s="282" cm="1">
        <f t="array" ref="T32">'Project Eldorado ROI in IDR'!$F$32/12/1000</f>
        <v>-1175</v>
      </c>
      <c r="U32" s="282" cm="1">
        <f t="array" ref="U32">'Project Eldorado ROI in IDR'!$F$32/12/1000</f>
        <v>-1175</v>
      </c>
      <c r="V32" s="282" cm="1">
        <f t="array" ref="V32">'Project Eldorado ROI in IDR'!$F$32/12/1000</f>
        <v>-1175</v>
      </c>
      <c r="W32" s="282" cm="1">
        <f t="array" ref="W32">'Project Eldorado ROI in IDR'!$F$32/12/1000</f>
        <v>-1175</v>
      </c>
      <c r="X32" s="282" cm="1">
        <f t="array" ref="X32">'Project Eldorado ROI in IDR'!$F$32/12/1000</f>
        <v>-1175</v>
      </c>
      <c r="Y32" s="282" cm="1">
        <f t="array" ref="Y32">'Project Eldorado ROI in IDR'!$F$32/12/1000</f>
        <v>-1175</v>
      </c>
      <c r="Z32" s="282" cm="1">
        <f t="array" ref="Z32">'Project Eldorado ROI in IDR'!$F$32/12/1000</f>
        <v>-1175</v>
      </c>
      <c r="AA32" s="282" cm="1">
        <f t="array" ref="AA32">'Project Eldorado ROI in IDR'!$F$32/12/1000</f>
        <v>-1175</v>
      </c>
      <c r="AB32" s="282" cm="1">
        <f t="array" ref="AB32">'Project Eldorado ROI in IDR'!$F$32/12/1000</f>
        <v>-1175</v>
      </c>
      <c r="AC32" s="282" cm="1">
        <f t="array" ref="AC32">'Project Eldorado ROI in IDR'!$F$32/12/1000</f>
        <v>-1175</v>
      </c>
      <c r="AD32" s="282" cm="1">
        <f t="array" ref="AD32">'Project Eldorado ROI in IDR'!$F$32/12/1000</f>
        <v>-1175</v>
      </c>
      <c r="AE32" s="282" cm="1">
        <f t="array" ref="AE32">'Project Eldorado ROI in IDR'!$F$32/12/1000</f>
        <v>-1175</v>
      </c>
      <c r="AF32" s="282" cm="1">
        <f t="array" ref="AF32">'Project Eldorado ROI in IDR'!$F$32/12/1000</f>
        <v>-1175</v>
      </c>
      <c r="AG32" s="282" cm="1">
        <f t="array" ref="AG32">'Project Eldorado ROI in IDR'!$F$32/12/1000</f>
        <v>-1175</v>
      </c>
      <c r="AH32" s="282" cm="1">
        <f t="array" ref="AH32">'Project Eldorado ROI in IDR'!$F$32/12/1000</f>
        <v>-1175</v>
      </c>
      <c r="AI32" s="282" cm="1">
        <f t="array" ref="AI32">'Project Eldorado ROI in IDR'!$F$32/12/1000</f>
        <v>-1175</v>
      </c>
      <c r="AJ32" s="282" cm="1">
        <f t="array" ref="AJ32">'Project Eldorado ROI in IDR'!$F$32/12/1000</f>
        <v>-1175</v>
      </c>
      <c r="AK32" s="282" cm="1">
        <f t="array" ref="AK32">'Project Eldorado ROI in IDR'!$F$32/12/1000</f>
        <v>-1175</v>
      </c>
      <c r="AL32" s="282" cm="1">
        <f t="array" ref="AL32">'Project Eldorado ROI in IDR'!$F$32/12/1000</f>
        <v>-1175</v>
      </c>
      <c r="AM32" s="282" cm="1">
        <f t="array" ref="AM32">'Project Eldorado ROI in IDR'!$F$32/12/1000</f>
        <v>-1175</v>
      </c>
      <c r="AN32" s="282" cm="1">
        <f t="array" ref="AN32">'Project Eldorado ROI in IDR'!$F$32/12/1000</f>
        <v>-1175</v>
      </c>
      <c r="AO32" s="282" cm="1">
        <f t="array" ref="AO32">'Project Eldorado ROI in IDR'!$F$32/12/1000</f>
        <v>-1175</v>
      </c>
      <c r="AP32" s="282" cm="1">
        <f t="array" ref="AP32">'Project Eldorado ROI in IDR'!$F$32/12/1000</f>
        <v>-1175</v>
      </c>
      <c r="AQ32" s="282" cm="1">
        <f t="array" ref="AQ32">'Project Eldorado ROI in IDR'!$F$32/12/1000</f>
        <v>-1175</v>
      </c>
      <c r="AR32" s="282" cm="1">
        <f t="array" ref="AR32">'Project Eldorado ROI in IDR'!$F$32/12/1000</f>
        <v>-1175</v>
      </c>
      <c r="AS32" s="282" cm="1">
        <f t="array" ref="AS32">'Project Eldorado ROI in IDR'!$F$32/12/1000</f>
        <v>-1175</v>
      </c>
      <c r="AT32" s="284"/>
    </row>
    <row r="33" ht="15" customHeight="1">
      <c r="A33" s="12"/>
      <c r="B33" s="283"/>
      <c r="C33" s="272"/>
      <c r="D33" t="str" s="896" cm="1">
        <f t="array" ref="D33">'Project Eldorado ROI in IDR'!B33</f>
        <v>Income taxes</v>
      </c>
      <c r="E33" s="274"/>
      <c r="F33" s="282">
        <v>0</v>
      </c>
      <c r="G33" s="282">
        <v>0</v>
      </c>
      <c r="H33" s="282">
        <v>0</v>
      </c>
      <c r="I33" s="282" cm="1">
        <f t="array" ref="I33">-I12*0.5%</f>
        <v>-2231.84</v>
      </c>
      <c r="J33" s="282" cm="1">
        <f t="array" ref="J33">-J12*0.5%</f>
        <v>-1834.56</v>
      </c>
      <c r="K33" s="282" cm="1">
        <f t="array" ref="K33">-K12*0.5%</f>
        <v>-2171.52</v>
      </c>
      <c r="L33" s="282" cm="1">
        <f t="array" ref="L33">-L12*0.5%</f>
        <v>-2307.24</v>
      </c>
      <c r="M33" s="282" cm="1">
        <f t="array" ref="M33">-M12*0.5%</f>
        <v>-2667.74625</v>
      </c>
      <c r="N33" s="282" cm="1">
        <f t="array" ref="N33">-N12*0.5%</f>
        <v>-2981.59875</v>
      </c>
      <c r="O33" s="282" cm="1">
        <f t="array" ref="O33">-O12*0.5%</f>
        <v>-3246.75</v>
      </c>
      <c r="P33" s="282" cm="1">
        <f t="array" ref="P33">-P12*0.5%</f>
        <v>-3246.75</v>
      </c>
      <c r="Q33" s="282" cm="1">
        <f t="array" ref="Q33">-Q12*0.5%</f>
        <v>-2824.6725</v>
      </c>
      <c r="R33" s="282" cm="1">
        <f t="array" ref="R33">-R12*0.5%</f>
        <v>-2307.24</v>
      </c>
      <c r="S33" s="282" cm="1">
        <f t="array" ref="S33">-S12*0.5%</f>
        <v>-1900.08</v>
      </c>
      <c r="T33" s="282" cm="1">
        <f t="array" ref="T33">-T12*0.5%</f>
        <v>-2231.84</v>
      </c>
      <c r="U33" s="282" cm="1">
        <f t="array" ref="U33">-U12*0.5%</f>
        <v>-2231.84</v>
      </c>
      <c r="V33" s="282" cm="1">
        <f t="array" ref="V33">-V12*0.5%</f>
        <v>-1834.56</v>
      </c>
      <c r="W33" s="282" cm="1">
        <f t="array" ref="W33">-W12*0.5%</f>
        <v>-2171.52</v>
      </c>
      <c r="X33" s="282" cm="1">
        <f t="array" ref="X33">-X12*0.5%</f>
        <v>-2307.24</v>
      </c>
      <c r="Y33" s="282" cm="1">
        <f t="array" ref="Y33">-Y12*0.5%</f>
        <v>-2667.74625</v>
      </c>
      <c r="Z33" s="282" cm="1">
        <f t="array" ref="Z33">-Z12*0.5%</f>
        <v>-2981.59875</v>
      </c>
      <c r="AA33" s="282" cm="1">
        <f t="array" ref="AA33">-AA12*0.5%</f>
        <v>-3246.75</v>
      </c>
      <c r="AB33" s="282" cm="1">
        <f t="array" ref="AB33">-AB12*0.5%</f>
        <v>-3246.75</v>
      </c>
      <c r="AC33" s="282" cm="1">
        <f t="array" ref="AC33">-AC12*0.5%</f>
        <v>-2824.6725</v>
      </c>
      <c r="AD33" s="282" cm="1">
        <f t="array" ref="AD33">-AD12*0.5%</f>
        <v>-2307.24</v>
      </c>
      <c r="AE33" s="282" cm="1">
        <f t="array" ref="AE33">-AE12*0.5%</f>
        <v>-1900.08</v>
      </c>
      <c r="AF33" s="282" cm="1">
        <f t="array" ref="AF33">-AF12*0.5%</f>
        <v>-2231.84</v>
      </c>
      <c r="AG33" s="282" cm="1">
        <f t="array" ref="AG33">-AG12*0.5%</f>
        <v>-2231.84</v>
      </c>
      <c r="AH33" s="282" cm="1">
        <f t="array" ref="AH33">-AH12*0.5%</f>
        <v>-1834.56</v>
      </c>
      <c r="AI33" s="282" cm="1">
        <f t="array" ref="AI33">-AI12*0.5%</f>
        <v>-2171.52</v>
      </c>
      <c r="AJ33" s="282" cm="1">
        <f t="array" ref="AJ33">-AJ12*0.5%</f>
        <v>-2307.24</v>
      </c>
      <c r="AK33" s="282" cm="1">
        <f t="array" ref="AK33">-AK12*0.5%</f>
        <v>-2667.74625</v>
      </c>
      <c r="AL33" s="282" cm="1">
        <f t="array" ref="AL33">-AL12*0.5%</f>
        <v>-2981.59875</v>
      </c>
      <c r="AM33" s="282" cm="1">
        <f t="array" ref="AM33">-AM12*0.5%</f>
        <v>-3246.75</v>
      </c>
      <c r="AN33" s="282" cm="1">
        <f t="array" ref="AN33">-AN12*0.5%</f>
        <v>-3246.75</v>
      </c>
      <c r="AO33" s="282" cm="1">
        <f t="array" ref="AO33">-AO12*0.5%</f>
        <v>-2824.6725</v>
      </c>
      <c r="AP33" s="282" cm="1">
        <f t="array" ref="AP33">-AP12*0.5%</f>
        <v>-2307.24</v>
      </c>
      <c r="AQ33" s="282" cm="1">
        <f t="array" ref="AQ33">-AQ12*0.5%</f>
        <v>-1900.08</v>
      </c>
      <c r="AR33" s="282" cm="1">
        <f t="array" ref="AR33">-AR12*0.5%</f>
        <v>-2231.84</v>
      </c>
      <c r="AS33" s="282" cm="1">
        <f t="array" ref="AS33">-AS12*0.5%</f>
        <v>-2231.84</v>
      </c>
      <c r="AT33" s="284"/>
    </row>
    <row r="34" ht="15" customHeight="1">
      <c r="A34" s="12"/>
      <c r="B34" s="283"/>
      <c r="C34" s="272"/>
      <c r="D34" s="300"/>
      <c r="E34" s="274"/>
      <c r="F34" s="282"/>
      <c r="G34" s="282"/>
      <c r="H34" s="282"/>
      <c r="I34" s="282"/>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4"/>
    </row>
    <row r="35" ht="15.5" customHeight="1">
      <c r="A35" s="12"/>
      <c r="B35" s="283"/>
      <c r="C35" s="272"/>
      <c r="D35" t="s" s="273">
        <v>800</v>
      </c>
      <c r="E35" s="274"/>
      <c r="F35" s="897" cm="1">
        <f t="array" ref="F35">SUM(F12:F33)</f>
        <v>0</v>
      </c>
      <c r="G35" s="897" cm="1">
        <f t="array" ref="G35">SUM(G12:G33)</f>
        <v>0</v>
      </c>
      <c r="H35" s="897" cm="1">
        <f t="array" ref="H35">SUM(H12:H33)</f>
        <v>0</v>
      </c>
      <c r="I35" s="897" cm="1">
        <f t="array" ref="I35">SUM(I12:I33)</f>
        <v>190963.338666667</v>
      </c>
      <c r="J35" s="897" cm="1">
        <f t="array" ref="J35">SUM(J12:J33)</f>
        <v>150505.378666667</v>
      </c>
      <c r="K35" s="897" cm="1">
        <f t="array" ref="K35">SUM(K12:K33)</f>
        <v>178959.658666667</v>
      </c>
      <c r="L35" s="897" cm="1">
        <f t="array" ref="L35">SUM(L12:L33)</f>
        <v>203705.938666667</v>
      </c>
      <c r="M35" s="897" cm="1">
        <f t="array" ref="M35">SUM(M12:M33)</f>
        <v>257354.404083333</v>
      </c>
      <c r="N35" s="897" cm="1">
        <f t="array" ref="N35">SUM(N12:N33)</f>
        <v>288150.494916667</v>
      </c>
      <c r="O35" s="897" cm="1">
        <f t="array" ref="O35">SUM(O12:O33)</f>
        <v>314167.882</v>
      </c>
      <c r="P35" s="897" cm="1">
        <f t="array" ref="P35">SUM(P12:P33)</f>
        <v>314167.882</v>
      </c>
      <c r="Q35" s="897" cm="1">
        <f t="array" ref="Q35">SUM(Q12:Q33)</f>
        <v>272752.4495</v>
      </c>
      <c r="R35" s="897" cm="1">
        <f t="array" ref="R35">SUM(R12:R33)</f>
        <v>203705.938666667</v>
      </c>
      <c r="S35" s="897" cm="1">
        <f t="array" ref="S35">SUM(S12:S33)</f>
        <v>156038.155333333</v>
      </c>
      <c r="T35" s="897" cm="1">
        <f t="array" ref="T35">SUM(T12:T33)</f>
        <v>190963.338666667</v>
      </c>
      <c r="U35" s="897" cm="1">
        <f t="array" ref="U35">SUM(U12:U33)</f>
        <v>190963.338666667</v>
      </c>
      <c r="V35" s="897" cm="1">
        <f t="array" ref="V35">SUM(V12:V33)</f>
        <v>150505.378666667</v>
      </c>
      <c r="W35" s="897" cm="1">
        <f t="array" ref="W35">SUM(W12:W33)</f>
        <v>178959.658666667</v>
      </c>
      <c r="X35" s="897" cm="1">
        <f t="array" ref="X35">SUM(X12:X33)</f>
        <v>203705.938666667</v>
      </c>
      <c r="Y35" s="897" cm="1">
        <f t="array" ref="Y35">SUM(Y12:Y33)</f>
        <v>257354.404083333</v>
      </c>
      <c r="Z35" s="897" cm="1">
        <f t="array" ref="Z35">SUM(Z12:Z33)</f>
        <v>288150.494916667</v>
      </c>
      <c r="AA35" s="897" cm="1">
        <f t="array" ref="AA35">SUM(AA12:AA33)</f>
        <v>314167.882</v>
      </c>
      <c r="AB35" s="897" cm="1">
        <f t="array" ref="AB35">SUM(AB12:AB33)</f>
        <v>314167.882</v>
      </c>
      <c r="AC35" s="897" cm="1">
        <f t="array" ref="AC35">SUM(AC12:AC33)</f>
        <v>272752.4495</v>
      </c>
      <c r="AD35" s="897" cm="1">
        <f t="array" ref="AD35">SUM(AD12:AD33)</f>
        <v>203705.938666667</v>
      </c>
      <c r="AE35" s="897" cm="1">
        <f t="array" ref="AE35">SUM(AE12:AE33)</f>
        <v>156038.155333333</v>
      </c>
      <c r="AF35" s="897" cm="1">
        <f t="array" ref="AF35">SUM(AF12:AF33)</f>
        <v>190963.338666667</v>
      </c>
      <c r="AG35" s="897" cm="1">
        <f t="array" ref="AG35">SUM(AG12:AG33)</f>
        <v>190963.338666667</v>
      </c>
      <c r="AH35" s="897" cm="1">
        <f t="array" ref="AH35">SUM(AH12:AH33)</f>
        <v>150505.378666667</v>
      </c>
      <c r="AI35" s="897" cm="1">
        <f t="array" ref="AI35">SUM(AI12:AI33)</f>
        <v>178959.658666667</v>
      </c>
      <c r="AJ35" s="897" cm="1">
        <f t="array" ref="AJ35">SUM(AJ12:AJ33)</f>
        <v>203705.938666667</v>
      </c>
      <c r="AK35" s="897" cm="1">
        <f t="array" ref="AK35">SUM(AK12:AK33)</f>
        <v>257354.404083333</v>
      </c>
      <c r="AL35" s="897" cm="1">
        <f t="array" ref="AL35">SUM(AL12:AL33)</f>
        <v>288150.494916667</v>
      </c>
      <c r="AM35" s="897" cm="1">
        <f t="array" ref="AM35">SUM(AM12:AM33)</f>
        <v>314167.882</v>
      </c>
      <c r="AN35" s="897" cm="1">
        <f t="array" ref="AN35">SUM(AN12:AN33)</f>
        <v>314167.882</v>
      </c>
      <c r="AO35" s="897" cm="1">
        <f t="array" ref="AO35">SUM(AO12:AO33)</f>
        <v>272752.4495</v>
      </c>
      <c r="AP35" s="897" cm="1">
        <f t="array" ref="AP35">SUM(AP12:AP33)</f>
        <v>203705.938666667</v>
      </c>
      <c r="AQ35" s="897" cm="1">
        <f t="array" ref="AQ35">SUM(AQ12:AQ33)</f>
        <v>156038.155333333</v>
      </c>
      <c r="AR35" s="897" cm="1">
        <f t="array" ref="AR35">SUM(AR12:AR33)</f>
        <v>190963.338666667</v>
      </c>
      <c r="AS35" s="897" cm="1">
        <f t="array" ref="AS35">SUM(AS12:AS33)</f>
        <v>190963.338666667</v>
      </c>
      <c r="AT35" s="284"/>
    </row>
    <row r="36" ht="15" customHeight="1">
      <c r="A36" s="12"/>
      <c r="B36" s="283"/>
      <c r="C36" s="272"/>
      <c r="D36" s="300"/>
      <c r="E36" s="274"/>
      <c r="F36" s="898"/>
      <c r="G36" s="898"/>
      <c r="H36" s="898"/>
      <c r="I36" s="898"/>
      <c r="J36" s="898"/>
      <c r="K36" s="898"/>
      <c r="L36" s="898"/>
      <c r="M36" s="898"/>
      <c r="N36" s="898"/>
      <c r="O36" s="898"/>
      <c r="P36" s="898"/>
      <c r="Q36" s="898"/>
      <c r="R36" s="898"/>
      <c r="S36" s="898"/>
      <c r="T36" s="898"/>
      <c r="U36" s="898"/>
      <c r="V36" s="898"/>
      <c r="W36" s="898"/>
      <c r="X36" s="898"/>
      <c r="Y36" s="898"/>
      <c r="Z36" s="898"/>
      <c r="AA36" s="898"/>
      <c r="AB36" s="898"/>
      <c r="AC36" s="898"/>
      <c r="AD36" s="898"/>
      <c r="AE36" s="898"/>
      <c r="AF36" s="898"/>
      <c r="AG36" s="898"/>
      <c r="AH36" s="898"/>
      <c r="AI36" s="898"/>
      <c r="AJ36" s="898"/>
      <c r="AK36" s="898"/>
      <c r="AL36" s="898"/>
      <c r="AM36" s="898"/>
      <c r="AN36" s="898"/>
      <c r="AO36" s="898"/>
      <c r="AP36" s="898"/>
      <c r="AQ36" s="898"/>
      <c r="AR36" s="898"/>
      <c r="AS36" s="898"/>
      <c r="AT36" s="284"/>
    </row>
    <row r="37" ht="15" customHeight="1">
      <c r="A37" s="12"/>
      <c r="B37" s="283"/>
      <c r="C37" s="272"/>
      <c r="D37" t="s" s="273">
        <v>801</v>
      </c>
      <c r="E37" s="274"/>
      <c r="F37" s="899" cm="1">
        <f t="array" ref="F37">F35*50%</f>
        <v>0</v>
      </c>
      <c r="G37" s="899" cm="1">
        <f t="array" ref="G37">G35*50%</f>
        <v>0</v>
      </c>
      <c r="H37" s="899" cm="1">
        <f t="array" ref="H37">H35*50%</f>
        <v>0</v>
      </c>
      <c r="I37" s="899" cm="1">
        <f t="array" ref="I37">I35*50%</f>
        <v>95481.6693333335</v>
      </c>
      <c r="J37" s="899" cm="1">
        <f t="array" ref="J37">J35*50%</f>
        <v>75252.6893333335</v>
      </c>
      <c r="K37" s="899" cm="1">
        <f t="array" ref="K37">K35*50%</f>
        <v>89479.8293333335</v>
      </c>
      <c r="L37" s="899" cm="1">
        <f t="array" ref="L37">L35*50%</f>
        <v>101852.969333334</v>
      </c>
      <c r="M37" s="899" cm="1">
        <f t="array" ref="M37">M35*50%</f>
        <v>128677.202041667</v>
      </c>
      <c r="N37" s="899" cm="1">
        <f t="array" ref="N37">N35*50%</f>
        <v>144075.247458334</v>
      </c>
      <c r="O37" s="899" cm="1">
        <f t="array" ref="O37">O35*50%</f>
        <v>157083.941</v>
      </c>
      <c r="P37" s="899" cm="1">
        <f t="array" ref="P37">P35*50%</f>
        <v>157083.941</v>
      </c>
      <c r="Q37" s="899" cm="1">
        <f t="array" ref="Q37">Q35*50%</f>
        <v>136376.22475</v>
      </c>
      <c r="R37" s="899" cm="1">
        <f t="array" ref="R37">R35*50%</f>
        <v>101852.969333334</v>
      </c>
      <c r="S37" s="899" cm="1">
        <f t="array" ref="S37">S35*50%</f>
        <v>78019.0776666665</v>
      </c>
      <c r="T37" s="899" cm="1">
        <f t="array" ref="T37">T35*50%</f>
        <v>95481.6693333335</v>
      </c>
      <c r="U37" s="899" cm="1">
        <f t="array" ref="U37">U35*50%</f>
        <v>95481.6693333335</v>
      </c>
      <c r="V37" s="899" cm="1">
        <f t="array" ref="V37">V35*50%</f>
        <v>75252.6893333335</v>
      </c>
      <c r="W37" s="899" cm="1">
        <f t="array" ref="W37">W35*50%</f>
        <v>89479.8293333335</v>
      </c>
      <c r="X37" s="899" cm="1">
        <f t="array" ref="X37">X35*50%</f>
        <v>101852.969333334</v>
      </c>
      <c r="Y37" s="899" cm="1">
        <f t="array" ref="Y37">Y35*50%</f>
        <v>128677.202041667</v>
      </c>
      <c r="Z37" s="899" cm="1">
        <f t="array" ref="Z37">Z35*50%</f>
        <v>144075.247458334</v>
      </c>
      <c r="AA37" s="899" cm="1">
        <f t="array" ref="AA37">AA35*50%</f>
        <v>157083.941</v>
      </c>
      <c r="AB37" s="899" cm="1">
        <f t="array" ref="AB37">AB35*50%</f>
        <v>157083.941</v>
      </c>
      <c r="AC37" s="899" cm="1">
        <f t="array" ref="AC37">AC35*50%</f>
        <v>136376.22475</v>
      </c>
      <c r="AD37" s="899" cm="1">
        <f t="array" ref="AD37">AD35*50%</f>
        <v>101852.969333334</v>
      </c>
      <c r="AE37" s="899" cm="1">
        <f t="array" ref="AE37">AE35*50%</f>
        <v>78019.0776666665</v>
      </c>
      <c r="AF37" s="899" cm="1">
        <f t="array" ref="AF37">AF35*50%</f>
        <v>95481.6693333335</v>
      </c>
      <c r="AG37" s="899" cm="1">
        <f t="array" ref="AG37">AG35*50%</f>
        <v>95481.6693333335</v>
      </c>
      <c r="AH37" s="899" cm="1">
        <f t="array" ref="AH37">AH35*50%</f>
        <v>75252.6893333335</v>
      </c>
      <c r="AI37" s="899" cm="1">
        <f t="array" ref="AI37">AI35*50%</f>
        <v>89479.8293333335</v>
      </c>
      <c r="AJ37" s="899" cm="1">
        <f t="array" ref="AJ37">AJ35*50%</f>
        <v>101852.969333334</v>
      </c>
      <c r="AK37" s="899" cm="1">
        <f t="array" ref="AK37">AK35*50%</f>
        <v>128677.202041667</v>
      </c>
      <c r="AL37" s="899" cm="1">
        <f t="array" ref="AL37">AL35*50%</f>
        <v>144075.247458334</v>
      </c>
      <c r="AM37" s="899" cm="1">
        <f t="array" ref="AM37">AM35*50%</f>
        <v>157083.941</v>
      </c>
      <c r="AN37" s="899" cm="1">
        <f t="array" ref="AN37">AN35*50%</f>
        <v>157083.941</v>
      </c>
      <c r="AO37" s="899" cm="1">
        <f t="array" ref="AO37">AO35*50%</f>
        <v>136376.22475</v>
      </c>
      <c r="AP37" s="899" cm="1">
        <f t="array" ref="AP37">AP35*50%</f>
        <v>101852.969333334</v>
      </c>
      <c r="AQ37" s="899" cm="1">
        <f t="array" ref="AQ37">AQ35*50%</f>
        <v>78019.0776666665</v>
      </c>
      <c r="AR37" s="899" cm="1">
        <f t="array" ref="AR37">AR35*50%</f>
        <v>95481.6693333335</v>
      </c>
      <c r="AS37" s="899" cm="1">
        <f t="array" ref="AS37">AS35*50%</f>
        <v>95481.6693333335</v>
      </c>
      <c r="AT37" s="284"/>
    </row>
    <row r="38" ht="15" customHeight="1">
      <c r="A38" s="12"/>
      <c r="B38" s="285"/>
      <c r="C38" s="286"/>
      <c r="D38" s="287"/>
      <c r="E38" s="288" cm="1">
        <f t="array" ref="E38">50896.35*16272</f>
        <v>828185407.2</v>
      </c>
      <c r="F38" s="289"/>
      <c r="G38" s="289"/>
      <c r="H38" s="289"/>
      <c r="I38" s="289"/>
      <c r="J38" s="289"/>
      <c r="K38" s="289"/>
      <c r="L38" s="289"/>
      <c r="M38" s="289"/>
      <c r="N38" s="289"/>
      <c r="O38" s="289"/>
      <c r="P38" s="289"/>
      <c r="Q38" s="289"/>
      <c r="R38" s="289"/>
      <c r="S38" s="289"/>
      <c r="T38" s="289"/>
      <c r="U38" s="289"/>
      <c r="V38" s="289"/>
      <c r="W38" s="289"/>
      <c r="X38" s="289"/>
      <c r="Y38" s="289"/>
      <c r="Z38" s="289"/>
      <c r="AA38" s="289"/>
      <c r="AB38" s="289"/>
      <c r="AC38" s="289"/>
      <c r="AD38" s="289"/>
      <c r="AE38" s="289"/>
      <c r="AF38" s="289"/>
      <c r="AG38" s="289"/>
      <c r="AH38" s="289"/>
      <c r="AI38" s="289"/>
      <c r="AJ38" s="289"/>
      <c r="AK38" s="289"/>
      <c r="AL38" s="289"/>
      <c r="AM38" s="289"/>
      <c r="AN38" s="289"/>
      <c r="AO38" s="289"/>
      <c r="AP38" s="289"/>
      <c r="AQ38" s="289"/>
      <c r="AR38" s="289"/>
      <c r="AS38" s="289"/>
      <c r="AT38" s="290"/>
    </row>
    <row r="39" ht="15" customHeight="1">
      <c r="A39" s="12"/>
      <c r="B39" t="s" s="291">
        <v>403</v>
      </c>
      <c r="C39" s="292"/>
      <c r="D39" s="293"/>
      <c r="E39" s="294" cm="1">
        <f t="array" ref="E39">50896.35*16272</f>
        <v>828185407.2</v>
      </c>
      <c r="F39" s="295"/>
      <c r="G39" s="295"/>
      <c r="H39" s="295"/>
      <c r="I39" s="295"/>
      <c r="J39" s="295"/>
      <c r="K39" s="295"/>
      <c r="L39" s="295"/>
      <c r="M39" s="295"/>
      <c r="N39" s="295"/>
      <c r="O39" s="295"/>
      <c r="P39" s="295"/>
      <c r="Q39" s="295"/>
      <c r="R39" s="295"/>
      <c r="S39" s="295"/>
      <c r="T39" s="295"/>
      <c r="U39" s="295"/>
      <c r="V39" s="295"/>
      <c r="W39" s="295"/>
      <c r="X39" s="295"/>
      <c r="Y39" s="295"/>
      <c r="Z39" s="295"/>
      <c r="AA39" s="295"/>
      <c r="AB39" s="295"/>
      <c r="AC39" s="295"/>
      <c r="AD39" s="295"/>
      <c r="AE39" s="295"/>
      <c r="AF39" s="295"/>
      <c r="AG39" s="295"/>
      <c r="AH39" s="295"/>
      <c r="AI39" s="295"/>
      <c r="AJ39" s="295"/>
      <c r="AK39" s="295"/>
      <c r="AL39" s="295"/>
      <c r="AM39" s="295"/>
      <c r="AN39" s="295"/>
      <c r="AO39" s="295"/>
      <c r="AP39" s="295"/>
      <c r="AQ39" s="295"/>
      <c r="AR39" s="295"/>
      <c r="AS39" s="295"/>
      <c r="AT39" s="296"/>
    </row>
    <row r="40" ht="16" customHeight="1">
      <c r="A40" s="12"/>
      <c r="B40" t="s" s="264">
        <v>404</v>
      </c>
      <c r="C40" s="272"/>
      <c r="D40" s="297"/>
      <c r="E40" s="274" cm="1">
        <f t="array" ref="E40">50896.35*16272</f>
        <v>828185407.2</v>
      </c>
      <c r="F40" s="275"/>
      <c r="G40" s="275"/>
      <c r="H40" s="275"/>
      <c r="I40" s="275"/>
      <c r="J40" s="275"/>
      <c r="K40" s="275"/>
      <c r="L40" s="275"/>
      <c r="M40" s="275"/>
      <c r="N40" s="275"/>
      <c r="O40" s="275"/>
      <c r="P40" s="275"/>
      <c r="Q40" s="275"/>
      <c r="R40" s="275"/>
      <c r="S40" s="275"/>
      <c r="T40" s="275"/>
      <c r="U40" s="275"/>
      <c r="V40" s="275"/>
      <c r="W40" s="275"/>
      <c r="X40" s="275"/>
      <c r="Y40" s="275"/>
      <c r="Z40" s="275"/>
      <c r="AA40" s="275"/>
      <c r="AB40" s="275"/>
      <c r="AC40" s="275"/>
      <c r="AD40" s="275"/>
      <c r="AE40" s="275"/>
      <c r="AF40" s="275"/>
      <c r="AG40" s="275"/>
      <c r="AH40" s="275"/>
      <c r="AI40" s="275"/>
      <c r="AJ40" s="275"/>
      <c r="AK40" s="275"/>
      <c r="AL40" s="275"/>
      <c r="AM40" s="275"/>
      <c r="AN40" s="275"/>
      <c r="AO40" s="275"/>
      <c r="AP40" s="275"/>
      <c r="AQ40" s="275"/>
      <c r="AR40" s="275"/>
      <c r="AS40" s="275"/>
      <c r="AT40" s="276"/>
    </row>
    <row r="41" ht="16" customHeight="1">
      <c r="A41" s="12"/>
      <c r="B41" t="s" s="298">
        <v>405</v>
      </c>
      <c r="C41" s="272"/>
      <c r="D41" s="299" cm="1">
        <f t="array" ref="D41">SUM(F42:H45)</f>
        <v>-1960800</v>
      </c>
      <c r="E41" s="274"/>
      <c r="F41" s="275"/>
      <c r="G41" s="275"/>
      <c r="H41" s="275"/>
      <c r="I41" s="275"/>
      <c r="J41" s="275"/>
      <c r="K41" s="275"/>
      <c r="L41" s="275"/>
      <c r="M41" s="275"/>
      <c r="N41" s="275"/>
      <c r="O41" s="275"/>
      <c r="P41" s="275"/>
      <c r="Q41" s="275"/>
      <c r="R41" s="275"/>
      <c r="S41" s="275"/>
      <c r="T41" s="275"/>
      <c r="U41" s="275"/>
      <c r="V41" s="275"/>
      <c r="W41" s="275"/>
      <c r="X41" s="275"/>
      <c r="Y41" s="275"/>
      <c r="Z41" s="275"/>
      <c r="AA41" s="275"/>
      <c r="AB41" s="275"/>
      <c r="AC41" s="275"/>
      <c r="AD41" s="275"/>
      <c r="AE41" s="275"/>
      <c r="AF41" s="275"/>
      <c r="AG41" s="275"/>
      <c r="AH41" s="275"/>
      <c r="AI41" s="275"/>
      <c r="AJ41" s="275"/>
      <c r="AK41" s="275"/>
      <c r="AL41" s="275"/>
      <c r="AM41" s="275"/>
      <c r="AN41" s="275"/>
      <c r="AO41" s="275"/>
      <c r="AP41" s="275"/>
      <c r="AQ41" s="275"/>
      <c r="AR41" s="275"/>
      <c r="AS41" s="275"/>
      <c r="AT41" s="276"/>
    </row>
    <row r="42" ht="16" customHeight="1">
      <c r="A42" s="12"/>
      <c r="B42" s="271"/>
      <c r="C42" s="272"/>
      <c r="D42" t="s" s="273">
        <v>695</v>
      </c>
      <c r="E42" s="274" cm="1">
        <f t="array" ref="E42">50896.35*16272</f>
        <v>828185407.2</v>
      </c>
      <c r="F42" s="282" cm="1">
        <f t="array" ref="F42">-'Project Eldorado ROI in IDR'!$D$44*50%/1000</f>
        <v>-1222500</v>
      </c>
      <c r="G42" s="282" cm="1">
        <f t="array" ref="G42">-'Project Eldorado ROI in IDR'!$D$44*50%/1000</f>
        <v>-1222500</v>
      </c>
      <c r="H42" s="282">
        <v>0</v>
      </c>
      <c r="I42" s="282">
        <v>0</v>
      </c>
      <c r="J42" s="282">
        <v>0</v>
      </c>
      <c r="K42" s="282">
        <v>0</v>
      </c>
      <c r="L42" s="282">
        <v>0</v>
      </c>
      <c r="M42" s="282">
        <v>0</v>
      </c>
      <c r="N42" s="282">
        <v>0</v>
      </c>
      <c r="O42" s="282">
        <v>0</v>
      </c>
      <c r="P42" s="282">
        <v>0</v>
      </c>
      <c r="Q42" s="282">
        <v>0</v>
      </c>
      <c r="R42" s="282">
        <v>0</v>
      </c>
      <c r="S42" s="282">
        <v>0</v>
      </c>
      <c r="T42" s="282">
        <v>0</v>
      </c>
      <c r="U42" s="282">
        <v>0</v>
      </c>
      <c r="V42" s="282">
        <v>0</v>
      </c>
      <c r="W42" s="282">
        <v>0</v>
      </c>
      <c r="X42" s="282">
        <v>0</v>
      </c>
      <c r="Y42" s="282">
        <v>0</v>
      </c>
      <c r="Z42" s="282">
        <v>0</v>
      </c>
      <c r="AA42" s="282">
        <v>0</v>
      </c>
      <c r="AB42" s="282">
        <v>0</v>
      </c>
      <c r="AC42" s="282">
        <v>0</v>
      </c>
      <c r="AD42" s="282">
        <v>0</v>
      </c>
      <c r="AE42" s="282">
        <v>0</v>
      </c>
      <c r="AF42" s="282">
        <v>0</v>
      </c>
      <c r="AG42" s="282">
        <v>0</v>
      </c>
      <c r="AH42" s="282">
        <v>0</v>
      </c>
      <c r="AI42" s="282">
        <v>0</v>
      </c>
      <c r="AJ42" s="282">
        <v>0</v>
      </c>
      <c r="AK42" s="282">
        <v>0</v>
      </c>
      <c r="AL42" s="282">
        <v>0</v>
      </c>
      <c r="AM42" s="282">
        <v>0</v>
      </c>
      <c r="AN42" s="282">
        <v>0</v>
      </c>
      <c r="AO42" s="282">
        <v>0</v>
      </c>
      <c r="AP42" s="282">
        <v>0</v>
      </c>
      <c r="AQ42" s="282">
        <v>0</v>
      </c>
      <c r="AR42" s="282">
        <v>0</v>
      </c>
      <c r="AS42" s="282">
        <v>0</v>
      </c>
      <c r="AT42" s="284"/>
    </row>
    <row r="43" ht="16" customHeight="1">
      <c r="A43" s="12"/>
      <c r="B43" s="271"/>
      <c r="C43" s="272"/>
      <c r="D43" t="s" s="273">
        <v>696</v>
      </c>
      <c r="E43" s="274" cm="1">
        <f t="array" ref="E43">50896.35*16272</f>
        <v>828185407.2</v>
      </c>
      <c r="F43" s="282">
        <v>0</v>
      </c>
      <c r="G43" s="282">
        <v>0</v>
      </c>
      <c r="H43" s="282" cm="1">
        <f t="array" ref="H43">-'Project Eldorado ROI in IDR'!$D$45/1000</f>
        <v>-603000</v>
      </c>
      <c r="I43" s="282">
        <v>0</v>
      </c>
      <c r="J43" s="282">
        <v>0</v>
      </c>
      <c r="K43" s="282">
        <v>0</v>
      </c>
      <c r="L43" s="282">
        <v>0</v>
      </c>
      <c r="M43" s="282">
        <v>0</v>
      </c>
      <c r="N43" s="282">
        <v>0</v>
      </c>
      <c r="O43" s="282">
        <v>0</v>
      </c>
      <c r="P43" s="282">
        <v>0</v>
      </c>
      <c r="Q43" s="282">
        <v>0</v>
      </c>
      <c r="R43" s="282">
        <v>0</v>
      </c>
      <c r="S43" s="282">
        <v>0</v>
      </c>
      <c r="T43" s="282">
        <v>0</v>
      </c>
      <c r="U43" s="282">
        <v>0</v>
      </c>
      <c r="V43" s="282">
        <v>0</v>
      </c>
      <c r="W43" s="282">
        <v>0</v>
      </c>
      <c r="X43" s="282">
        <v>0</v>
      </c>
      <c r="Y43" s="282">
        <v>0</v>
      </c>
      <c r="Z43" s="282">
        <v>0</v>
      </c>
      <c r="AA43" s="282">
        <v>0</v>
      </c>
      <c r="AB43" s="282">
        <v>0</v>
      </c>
      <c r="AC43" s="282">
        <v>0</v>
      </c>
      <c r="AD43" s="282">
        <v>0</v>
      </c>
      <c r="AE43" s="282">
        <v>0</v>
      </c>
      <c r="AF43" s="282">
        <v>0</v>
      </c>
      <c r="AG43" s="282">
        <v>0</v>
      </c>
      <c r="AH43" s="282">
        <v>0</v>
      </c>
      <c r="AI43" s="282">
        <v>0</v>
      </c>
      <c r="AJ43" s="282">
        <v>0</v>
      </c>
      <c r="AK43" s="282">
        <v>0</v>
      </c>
      <c r="AL43" s="282">
        <v>0</v>
      </c>
      <c r="AM43" s="282">
        <v>0</v>
      </c>
      <c r="AN43" s="282">
        <v>0</v>
      </c>
      <c r="AO43" s="282">
        <v>0</v>
      </c>
      <c r="AP43" s="282">
        <v>0</v>
      </c>
      <c r="AQ43" s="282">
        <v>0</v>
      </c>
      <c r="AR43" s="282">
        <v>0</v>
      </c>
      <c r="AS43" s="282">
        <v>0</v>
      </c>
      <c r="AT43" s="284"/>
    </row>
    <row r="44" ht="16" customHeight="1">
      <c r="A44" s="12"/>
      <c r="B44" s="271"/>
      <c r="C44" s="272"/>
      <c r="D44" t="s" s="273">
        <v>699</v>
      </c>
      <c r="E44" s="274" cm="1">
        <f t="array" ref="E44">50896.35*16272</f>
        <v>828185407.2</v>
      </c>
      <c r="F44" s="282">
        <v>0</v>
      </c>
      <c r="G44" s="282">
        <v>0</v>
      </c>
      <c r="H44" s="282" cm="1">
        <f t="array" ref="H44">-'Project Eldorado ROI in IDR'!$D$46/1000</f>
        <v>-220000</v>
      </c>
      <c r="I44" s="282">
        <v>0</v>
      </c>
      <c r="J44" s="282">
        <v>0</v>
      </c>
      <c r="K44" s="282">
        <v>0</v>
      </c>
      <c r="L44" s="282">
        <v>0</v>
      </c>
      <c r="M44" s="282">
        <v>0</v>
      </c>
      <c r="N44" s="282">
        <v>0</v>
      </c>
      <c r="O44" s="282">
        <v>0</v>
      </c>
      <c r="P44" s="282">
        <v>0</v>
      </c>
      <c r="Q44" s="282">
        <v>0</v>
      </c>
      <c r="R44" s="282">
        <v>0</v>
      </c>
      <c r="S44" s="282">
        <v>0</v>
      </c>
      <c r="T44" s="282">
        <v>0</v>
      </c>
      <c r="U44" s="282">
        <v>0</v>
      </c>
      <c r="V44" s="282">
        <v>0</v>
      </c>
      <c r="W44" s="282">
        <v>0</v>
      </c>
      <c r="X44" s="282">
        <v>0</v>
      </c>
      <c r="Y44" s="282">
        <v>0</v>
      </c>
      <c r="Z44" s="282">
        <v>0</v>
      </c>
      <c r="AA44" s="282">
        <v>0</v>
      </c>
      <c r="AB44" s="282">
        <v>0</v>
      </c>
      <c r="AC44" s="282">
        <v>0</v>
      </c>
      <c r="AD44" s="282">
        <v>0</v>
      </c>
      <c r="AE44" s="282">
        <v>0</v>
      </c>
      <c r="AF44" s="282">
        <v>0</v>
      </c>
      <c r="AG44" s="282">
        <v>0</v>
      </c>
      <c r="AH44" s="282">
        <v>0</v>
      </c>
      <c r="AI44" s="282">
        <v>0</v>
      </c>
      <c r="AJ44" s="282">
        <v>0</v>
      </c>
      <c r="AK44" s="282">
        <v>0</v>
      </c>
      <c r="AL44" s="282">
        <v>0</v>
      </c>
      <c r="AM44" s="282">
        <v>0</v>
      </c>
      <c r="AN44" s="282">
        <v>0</v>
      </c>
      <c r="AO44" s="282">
        <v>0</v>
      </c>
      <c r="AP44" s="282">
        <v>0</v>
      </c>
      <c r="AQ44" s="282">
        <v>0</v>
      </c>
      <c r="AR44" s="282">
        <v>0</v>
      </c>
      <c r="AS44" s="282">
        <v>0</v>
      </c>
      <c r="AT44" s="284"/>
    </row>
    <row r="45" ht="16" customHeight="1">
      <c r="A45" s="12"/>
      <c r="B45" s="271"/>
      <c r="C45" s="272"/>
      <c r="D45" t="s" s="273">
        <v>802</v>
      </c>
      <c r="E45" s="274"/>
      <c r="F45" s="282" cm="1">
        <f t="array" ref="F45">SUM(F42:F44)*-40%</f>
        <v>489000</v>
      </c>
      <c r="G45" s="282" cm="1">
        <f t="array" ref="G45">SUM(G42:G44)*-40%</f>
        <v>489000</v>
      </c>
      <c r="H45" s="282" cm="1">
        <f t="array" ref="H45">SUM(H42:H44)*-40%</f>
        <v>329200</v>
      </c>
      <c r="I45" s="282">
        <v>0</v>
      </c>
      <c r="J45" s="282">
        <v>0</v>
      </c>
      <c r="K45" s="282">
        <v>0</v>
      </c>
      <c r="L45" s="282">
        <v>0</v>
      </c>
      <c r="M45" s="282">
        <v>0</v>
      </c>
      <c r="N45" s="282">
        <v>0</v>
      </c>
      <c r="O45" s="282">
        <v>0</v>
      </c>
      <c r="P45" s="282">
        <v>0</v>
      </c>
      <c r="Q45" s="282">
        <v>0</v>
      </c>
      <c r="R45" s="282">
        <v>0</v>
      </c>
      <c r="S45" s="282">
        <v>0</v>
      </c>
      <c r="T45" s="282">
        <v>0</v>
      </c>
      <c r="U45" s="282">
        <v>0</v>
      </c>
      <c r="V45" s="282">
        <v>0</v>
      </c>
      <c r="W45" s="282">
        <v>0</v>
      </c>
      <c r="X45" s="282">
        <v>0</v>
      </c>
      <c r="Y45" s="282">
        <v>0</v>
      </c>
      <c r="Z45" s="282">
        <v>0</v>
      </c>
      <c r="AA45" s="282">
        <v>0</v>
      </c>
      <c r="AB45" s="282">
        <v>0</v>
      </c>
      <c r="AC45" s="282">
        <v>0</v>
      </c>
      <c r="AD45" s="282">
        <v>0</v>
      </c>
      <c r="AE45" s="282">
        <v>0</v>
      </c>
      <c r="AF45" s="282">
        <v>0</v>
      </c>
      <c r="AG45" s="282">
        <v>0</v>
      </c>
      <c r="AH45" s="282">
        <v>0</v>
      </c>
      <c r="AI45" s="282">
        <v>0</v>
      </c>
      <c r="AJ45" s="282">
        <v>0</v>
      </c>
      <c r="AK45" s="282">
        <v>0</v>
      </c>
      <c r="AL45" s="282">
        <v>0</v>
      </c>
      <c r="AM45" s="282">
        <v>0</v>
      </c>
      <c r="AN45" s="282">
        <v>0</v>
      </c>
      <c r="AO45" s="282">
        <v>0</v>
      </c>
      <c r="AP45" s="282">
        <v>0</v>
      </c>
      <c r="AQ45" s="282">
        <v>0</v>
      </c>
      <c r="AR45" s="282">
        <v>0</v>
      </c>
      <c r="AS45" s="282">
        <v>0</v>
      </c>
      <c r="AT45" s="284"/>
    </row>
    <row r="46" ht="16" customHeight="1">
      <c r="A46" s="12"/>
      <c r="B46" s="271"/>
      <c r="C46" s="272"/>
      <c r="D46" s="300"/>
      <c r="E46" s="274"/>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4"/>
    </row>
    <row r="47" ht="16" customHeight="1">
      <c r="A47" s="12"/>
      <c r="B47" s="271"/>
      <c r="C47" s="272"/>
      <c r="D47" t="s" s="273">
        <v>803</v>
      </c>
      <c r="E47" s="274"/>
      <c r="F47" s="282">
        <v>0</v>
      </c>
      <c r="G47" s="282">
        <v>0</v>
      </c>
      <c r="H47" s="282">
        <v>0</v>
      </c>
      <c r="I47" s="282">
        <v>0</v>
      </c>
      <c r="J47" s="282">
        <v>0</v>
      </c>
      <c r="K47" s="282">
        <v>0</v>
      </c>
      <c r="L47" s="282">
        <v>0</v>
      </c>
      <c r="M47" s="282">
        <v>0</v>
      </c>
      <c r="N47" s="282">
        <v>0</v>
      </c>
      <c r="O47" s="282">
        <v>0</v>
      </c>
      <c r="P47" s="282">
        <v>0</v>
      </c>
      <c r="Q47" s="282">
        <v>0</v>
      </c>
      <c r="R47" s="282">
        <v>0</v>
      </c>
      <c r="S47" s="282">
        <v>0</v>
      </c>
      <c r="T47" s="282">
        <v>0</v>
      </c>
      <c r="U47" s="282">
        <v>0</v>
      </c>
      <c r="V47" s="282">
        <v>0</v>
      </c>
      <c r="W47" s="282">
        <v>0</v>
      </c>
      <c r="X47" s="282">
        <v>0</v>
      </c>
      <c r="Y47" s="282">
        <v>0</v>
      </c>
      <c r="Z47" s="282">
        <v>0</v>
      </c>
      <c r="AA47" s="282">
        <v>0</v>
      </c>
      <c r="AB47" s="282">
        <v>0</v>
      </c>
      <c r="AC47" s="282">
        <v>0</v>
      </c>
      <c r="AD47" s="282">
        <v>0</v>
      </c>
      <c r="AE47" s="282">
        <v>0</v>
      </c>
      <c r="AF47" s="282">
        <v>0</v>
      </c>
      <c r="AG47" s="282">
        <v>0</v>
      </c>
      <c r="AH47" s="282">
        <v>0</v>
      </c>
      <c r="AI47" s="282">
        <v>0</v>
      </c>
      <c r="AJ47" s="282">
        <v>0</v>
      </c>
      <c r="AK47" s="282">
        <v>0</v>
      </c>
      <c r="AL47" s="282">
        <v>0</v>
      </c>
      <c r="AM47" s="282">
        <v>0</v>
      </c>
      <c r="AN47" s="282">
        <v>0</v>
      </c>
      <c r="AO47" s="282">
        <v>0</v>
      </c>
      <c r="AP47" s="282">
        <v>0</v>
      </c>
      <c r="AQ47" s="282">
        <v>0</v>
      </c>
      <c r="AR47" s="282">
        <v>0</v>
      </c>
      <c r="AS47" s="282">
        <v>900000</v>
      </c>
      <c r="AT47" s="284"/>
    </row>
    <row r="48" ht="15" customHeight="1">
      <c r="A48" s="12"/>
      <c r="B48" s="285"/>
      <c r="C48" s="272"/>
      <c r="D48" s="300"/>
      <c r="E48" s="274" cm="1">
        <f t="array" ref="E48">50896.35*16272</f>
        <v>828185407.2</v>
      </c>
      <c r="F48" s="275"/>
      <c r="G48" s="275"/>
      <c r="H48" s="275"/>
      <c r="I48" s="275"/>
      <c r="J48" s="275"/>
      <c r="K48" s="275"/>
      <c r="L48" s="275"/>
      <c r="M48" s="275"/>
      <c r="N48" s="275"/>
      <c r="O48" s="275"/>
      <c r="P48" s="275"/>
      <c r="Q48" s="275"/>
      <c r="R48" s="275"/>
      <c r="S48" s="275"/>
      <c r="T48" s="275"/>
      <c r="U48" s="275"/>
      <c r="V48" s="275"/>
      <c r="W48" s="275"/>
      <c r="X48" s="275"/>
      <c r="Y48" s="275"/>
      <c r="Z48" s="275"/>
      <c r="AA48" s="275"/>
      <c r="AB48" s="275"/>
      <c r="AC48" s="275"/>
      <c r="AD48" s="275"/>
      <c r="AE48" s="275"/>
      <c r="AF48" s="275"/>
      <c r="AG48" s="275"/>
      <c r="AH48" s="275"/>
      <c r="AI48" s="275"/>
      <c r="AJ48" s="275"/>
      <c r="AK48" s="275"/>
      <c r="AL48" s="275"/>
      <c r="AM48" s="275"/>
      <c r="AN48" s="275"/>
      <c r="AO48" s="275"/>
      <c r="AP48" s="275"/>
      <c r="AQ48" s="275"/>
      <c r="AR48" s="275"/>
      <c r="AS48" s="275"/>
      <c r="AT48" s="276"/>
    </row>
    <row r="49" ht="15" customHeight="1">
      <c r="A49" s="12"/>
      <c r="B49" t="s" s="291">
        <v>450</v>
      </c>
      <c r="C49" s="272"/>
      <c r="D49" s="300"/>
      <c r="E49" s="274"/>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4"/>
    </row>
    <row r="50" ht="9" customHeight="1" hidden="1">
      <c r="A50" s="12"/>
      <c r="B50" s="271"/>
      <c r="C50" s="272"/>
      <c r="D50" t="s" s="273">
        <v>804</v>
      </c>
      <c r="E50" s="274"/>
      <c r="F50" s="282">
        <v>0</v>
      </c>
      <c r="G50" s="282">
        <v>0</v>
      </c>
      <c r="H50" s="282">
        <v>0</v>
      </c>
      <c r="I50" s="282">
        <v>0</v>
      </c>
      <c r="J50" s="282">
        <v>0</v>
      </c>
      <c r="K50" s="282">
        <v>0</v>
      </c>
      <c r="L50" s="282">
        <v>0</v>
      </c>
      <c r="M50" s="282">
        <v>0</v>
      </c>
      <c r="N50" s="282">
        <v>0</v>
      </c>
      <c r="O50" s="282">
        <v>0</v>
      </c>
      <c r="P50" s="282">
        <v>0</v>
      </c>
      <c r="Q50" s="282">
        <v>0</v>
      </c>
      <c r="R50" s="282">
        <v>0</v>
      </c>
      <c r="S50" s="282">
        <v>0</v>
      </c>
      <c r="T50" s="282">
        <v>0</v>
      </c>
      <c r="U50" s="282">
        <v>0</v>
      </c>
      <c r="V50" s="282">
        <v>0</v>
      </c>
      <c r="W50" s="282">
        <v>0</v>
      </c>
      <c r="X50" s="282">
        <v>0</v>
      </c>
      <c r="Y50" s="282">
        <v>0</v>
      </c>
      <c r="Z50" s="282">
        <v>0</v>
      </c>
      <c r="AA50" s="282">
        <v>0</v>
      </c>
      <c r="AB50" s="282">
        <v>0</v>
      </c>
      <c r="AC50" s="282">
        <v>0</v>
      </c>
      <c r="AD50" s="282">
        <v>0</v>
      </c>
      <c r="AE50" s="282">
        <v>0</v>
      </c>
      <c r="AF50" s="282">
        <v>0</v>
      </c>
      <c r="AG50" s="282">
        <v>0</v>
      </c>
      <c r="AH50" s="282">
        <v>0</v>
      </c>
      <c r="AI50" s="282">
        <v>0</v>
      </c>
      <c r="AJ50" s="282">
        <v>0</v>
      </c>
      <c r="AK50" s="282">
        <v>0</v>
      </c>
      <c r="AL50" s="282">
        <v>0</v>
      </c>
      <c r="AM50" s="282">
        <v>0</v>
      </c>
      <c r="AN50" s="282">
        <v>0</v>
      </c>
      <c r="AO50" s="282">
        <v>0</v>
      </c>
      <c r="AP50" s="282">
        <v>0</v>
      </c>
      <c r="AQ50" s="282">
        <v>0</v>
      </c>
      <c r="AR50" s="282">
        <v>0</v>
      </c>
      <c r="AS50" s="282">
        <v>0</v>
      </c>
      <c r="AT50" s="284"/>
    </row>
    <row r="51" ht="9" customHeight="1" hidden="1">
      <c r="A51" s="12"/>
      <c r="B51" s="271"/>
      <c r="C51" s="272"/>
      <c r="D51" t="s" s="273">
        <v>805</v>
      </c>
      <c r="E51" s="274"/>
      <c r="F51" s="282">
        <v>0</v>
      </c>
      <c r="G51" s="282">
        <v>0</v>
      </c>
      <c r="H51" s="282">
        <v>0</v>
      </c>
      <c r="I51" s="282">
        <v>0</v>
      </c>
      <c r="J51" s="282">
        <v>0</v>
      </c>
      <c r="K51" s="282">
        <v>0</v>
      </c>
      <c r="L51" s="282">
        <v>0</v>
      </c>
      <c r="M51" s="282">
        <v>0</v>
      </c>
      <c r="N51" s="282">
        <v>0</v>
      </c>
      <c r="O51" s="282">
        <v>0</v>
      </c>
      <c r="P51" s="282">
        <v>0</v>
      </c>
      <c r="Q51" s="282">
        <v>0</v>
      </c>
      <c r="R51" s="282">
        <v>0</v>
      </c>
      <c r="S51" s="282">
        <v>0</v>
      </c>
      <c r="T51" s="282">
        <v>0</v>
      </c>
      <c r="U51" s="282">
        <v>0</v>
      </c>
      <c r="V51" s="282">
        <v>0</v>
      </c>
      <c r="W51" s="282">
        <v>0</v>
      </c>
      <c r="X51" s="282">
        <v>0</v>
      </c>
      <c r="Y51" s="282">
        <v>0</v>
      </c>
      <c r="Z51" s="282">
        <v>0</v>
      </c>
      <c r="AA51" s="282">
        <v>0</v>
      </c>
      <c r="AB51" s="282">
        <v>0</v>
      </c>
      <c r="AC51" s="282">
        <v>0</v>
      </c>
      <c r="AD51" s="282">
        <v>0</v>
      </c>
      <c r="AE51" s="282">
        <v>0</v>
      </c>
      <c r="AF51" s="282">
        <v>0</v>
      </c>
      <c r="AG51" s="282">
        <v>0</v>
      </c>
      <c r="AH51" s="282">
        <v>0</v>
      </c>
      <c r="AI51" s="282">
        <v>0</v>
      </c>
      <c r="AJ51" s="282">
        <v>0</v>
      </c>
      <c r="AK51" s="282">
        <v>0</v>
      </c>
      <c r="AL51" s="282">
        <v>0</v>
      </c>
      <c r="AM51" s="282">
        <v>0</v>
      </c>
      <c r="AN51" s="282">
        <v>0</v>
      </c>
      <c r="AO51" s="282">
        <v>0</v>
      </c>
      <c r="AP51" s="282">
        <v>0</v>
      </c>
      <c r="AQ51" s="282">
        <v>0</v>
      </c>
      <c r="AR51" s="282">
        <v>0</v>
      </c>
      <c r="AS51" s="282">
        <v>0</v>
      </c>
      <c r="AT51" s="284"/>
    </row>
    <row r="52" ht="9" customHeight="1" hidden="1">
      <c r="A52" s="12"/>
      <c r="B52" s="271"/>
      <c r="C52" s="272"/>
      <c r="D52" t="s" s="273">
        <v>806</v>
      </c>
      <c r="E52" s="274"/>
      <c r="F52" s="282">
        <v>0</v>
      </c>
      <c r="G52" s="282">
        <v>0</v>
      </c>
      <c r="H52" s="282">
        <v>0</v>
      </c>
      <c r="I52" s="282">
        <v>0</v>
      </c>
      <c r="J52" s="282">
        <v>0</v>
      </c>
      <c r="K52" s="282">
        <v>0</v>
      </c>
      <c r="L52" s="282">
        <v>0</v>
      </c>
      <c r="M52" s="282">
        <v>0</v>
      </c>
      <c r="N52" s="282">
        <v>0</v>
      </c>
      <c r="O52" s="282">
        <v>0</v>
      </c>
      <c r="P52" s="282">
        <v>0</v>
      </c>
      <c r="Q52" s="282">
        <v>0</v>
      </c>
      <c r="R52" s="282">
        <v>0</v>
      </c>
      <c r="S52" s="282">
        <v>0</v>
      </c>
      <c r="T52" s="282">
        <v>0</v>
      </c>
      <c r="U52" s="282">
        <v>0</v>
      </c>
      <c r="V52" s="282">
        <v>0</v>
      </c>
      <c r="W52" s="282">
        <v>0</v>
      </c>
      <c r="X52" s="282">
        <v>0</v>
      </c>
      <c r="Y52" s="282">
        <v>0</v>
      </c>
      <c r="Z52" s="282">
        <v>0</v>
      </c>
      <c r="AA52" s="282">
        <v>0</v>
      </c>
      <c r="AB52" s="282">
        <v>0</v>
      </c>
      <c r="AC52" s="282">
        <v>0</v>
      </c>
      <c r="AD52" s="282">
        <v>0</v>
      </c>
      <c r="AE52" s="282">
        <v>0</v>
      </c>
      <c r="AF52" s="282">
        <v>0</v>
      </c>
      <c r="AG52" s="282">
        <v>0</v>
      </c>
      <c r="AH52" s="282">
        <v>0</v>
      </c>
      <c r="AI52" s="282">
        <v>0</v>
      </c>
      <c r="AJ52" s="282">
        <v>0</v>
      </c>
      <c r="AK52" s="282">
        <v>0</v>
      </c>
      <c r="AL52" s="282">
        <v>0</v>
      </c>
      <c r="AM52" s="282">
        <v>0</v>
      </c>
      <c r="AN52" s="282">
        <v>0</v>
      </c>
      <c r="AO52" s="282">
        <v>0</v>
      </c>
      <c r="AP52" s="282">
        <v>0</v>
      </c>
      <c r="AQ52" s="282">
        <v>0</v>
      </c>
      <c r="AR52" s="282">
        <v>0</v>
      </c>
      <c r="AS52" s="282">
        <v>0</v>
      </c>
      <c r="AT52" s="284"/>
    </row>
    <row r="53" ht="15" customHeight="1">
      <c r="A53" s="12"/>
      <c r="B53" s="285"/>
      <c r="C53" s="272"/>
      <c r="D53" s="300"/>
      <c r="E53" s="274" cm="1">
        <f t="array" ref="E53">50896.35*16272</f>
        <v>828185407.2</v>
      </c>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c r="AF53" s="275"/>
      <c r="AG53" s="275"/>
      <c r="AH53" s="275"/>
      <c r="AI53" s="275"/>
      <c r="AJ53" s="275"/>
      <c r="AK53" s="275"/>
      <c r="AL53" s="275"/>
      <c r="AM53" s="275"/>
      <c r="AN53" s="275"/>
      <c r="AO53" s="275"/>
      <c r="AP53" s="275"/>
      <c r="AQ53" s="275"/>
      <c r="AR53" s="275"/>
      <c r="AS53" s="275"/>
      <c r="AT53" s="276"/>
    </row>
    <row r="54" ht="15" customHeight="1">
      <c r="A54" s="12"/>
      <c r="B54" t="s" s="291">
        <v>807</v>
      </c>
      <c r="C54" s="272"/>
      <c r="D54" s="300"/>
      <c r="E54" s="274"/>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4"/>
    </row>
    <row r="55" ht="16" customHeight="1">
      <c r="A55" s="12"/>
      <c r="B55" s="271"/>
      <c r="C55" s="272"/>
      <c r="D55" t="s" s="273">
        <v>808</v>
      </c>
      <c r="E55" s="274"/>
      <c r="F55" s="282" cm="1">
        <f t="array" ref="F55">SUM(F37)</f>
        <v>0</v>
      </c>
      <c r="G55" s="282" cm="1">
        <f t="array" ref="G55">SUM(G37)</f>
        <v>0</v>
      </c>
      <c r="H55" s="282" cm="1">
        <f t="array" ref="H55">SUM(H37)</f>
        <v>0</v>
      </c>
      <c r="I55" s="282" cm="1">
        <f t="array" ref="I55">SUM(I37)</f>
        <v>95481.6693333335</v>
      </c>
      <c r="J55" s="282" cm="1">
        <f t="array" ref="J55">SUM(J37)</f>
        <v>75252.6893333335</v>
      </c>
      <c r="K55" s="282" cm="1">
        <f t="array" ref="K55">SUM(K37)</f>
        <v>89479.8293333335</v>
      </c>
      <c r="L55" s="282" cm="1">
        <f t="array" ref="L55">SUM(L37)</f>
        <v>101852.969333334</v>
      </c>
      <c r="M55" s="282" cm="1">
        <f t="array" ref="M55">SUM(M37)</f>
        <v>128677.202041667</v>
      </c>
      <c r="N55" s="282" cm="1">
        <f t="array" ref="N55">SUM(N37)</f>
        <v>144075.247458334</v>
      </c>
      <c r="O55" s="282" cm="1">
        <f t="array" ref="O55">SUM(O37)</f>
        <v>157083.941</v>
      </c>
      <c r="P55" s="282" cm="1">
        <f t="array" ref="P55">SUM(P37)</f>
        <v>157083.941</v>
      </c>
      <c r="Q55" s="282" cm="1">
        <f t="array" ref="Q55">SUM(Q37)</f>
        <v>136376.22475</v>
      </c>
      <c r="R55" s="282" cm="1">
        <f t="array" ref="R55">SUM(R37)</f>
        <v>101852.969333334</v>
      </c>
      <c r="S55" s="282" cm="1">
        <f t="array" ref="S55">SUM(S37)</f>
        <v>78019.0776666665</v>
      </c>
      <c r="T55" s="282" cm="1">
        <f t="array" ref="T55">SUM(T37)</f>
        <v>95481.6693333335</v>
      </c>
      <c r="U55" s="282" cm="1">
        <f t="array" ref="U55">SUM(U37)</f>
        <v>95481.6693333335</v>
      </c>
      <c r="V55" s="282" cm="1">
        <f t="array" ref="V55">SUM(V37)</f>
        <v>75252.6893333335</v>
      </c>
      <c r="W55" s="282" cm="1">
        <f t="array" ref="W55">SUM(W37)</f>
        <v>89479.8293333335</v>
      </c>
      <c r="X55" s="282" cm="1">
        <f t="array" ref="X55">SUM(X37)</f>
        <v>101852.969333334</v>
      </c>
      <c r="Y55" s="282" cm="1">
        <f t="array" ref="Y55">SUM(Y37)</f>
        <v>128677.202041667</v>
      </c>
      <c r="Z55" s="282" cm="1">
        <f t="array" ref="Z55">SUM(Z37)</f>
        <v>144075.247458334</v>
      </c>
      <c r="AA55" s="282" cm="1">
        <f t="array" ref="AA55">SUM(AA37)</f>
        <v>157083.941</v>
      </c>
      <c r="AB55" s="282" cm="1">
        <f t="array" ref="AB55">SUM(AB37)</f>
        <v>157083.941</v>
      </c>
      <c r="AC55" s="282" cm="1">
        <f t="array" ref="AC55">SUM(AC37)</f>
        <v>136376.22475</v>
      </c>
      <c r="AD55" s="282" cm="1">
        <f t="array" ref="AD55">SUM(AD37)</f>
        <v>101852.969333334</v>
      </c>
      <c r="AE55" s="282" cm="1">
        <f t="array" ref="AE55">SUM(AE37)</f>
        <v>78019.0776666665</v>
      </c>
      <c r="AF55" s="282" cm="1">
        <f t="array" ref="AF55">SUM(AF37)</f>
        <v>95481.6693333335</v>
      </c>
      <c r="AG55" s="282" cm="1">
        <f t="array" ref="AG55">SUM(AG37)</f>
        <v>95481.6693333335</v>
      </c>
      <c r="AH55" s="282" cm="1">
        <f t="array" ref="AH55">SUM(AH37)</f>
        <v>75252.6893333335</v>
      </c>
      <c r="AI55" s="282" cm="1">
        <f t="array" ref="AI55">SUM(AI37)</f>
        <v>89479.8293333335</v>
      </c>
      <c r="AJ55" s="282" cm="1">
        <f t="array" ref="AJ55">SUM(AJ37)</f>
        <v>101852.969333334</v>
      </c>
      <c r="AK55" s="282" cm="1">
        <f t="array" ref="AK55">SUM(AK37)</f>
        <v>128677.202041667</v>
      </c>
      <c r="AL55" s="282" cm="1">
        <f t="array" ref="AL55">SUM(AL37)</f>
        <v>144075.247458334</v>
      </c>
      <c r="AM55" s="282" cm="1">
        <f t="array" ref="AM55">SUM(AM37)</f>
        <v>157083.941</v>
      </c>
      <c r="AN55" s="282" cm="1">
        <f t="array" ref="AN55">SUM(AN37)</f>
        <v>157083.941</v>
      </c>
      <c r="AO55" s="282" cm="1">
        <f t="array" ref="AO55">SUM(AO37)</f>
        <v>136376.22475</v>
      </c>
      <c r="AP55" s="282" cm="1">
        <f t="array" ref="AP55">SUM(AP37)</f>
        <v>101852.969333334</v>
      </c>
      <c r="AQ55" s="282" cm="1">
        <f t="array" ref="AQ55">SUM(AQ37)</f>
        <v>78019.0776666665</v>
      </c>
      <c r="AR55" s="282" cm="1">
        <f t="array" ref="AR55">SUM(AR37)</f>
        <v>95481.6693333335</v>
      </c>
      <c r="AS55" s="282" cm="1">
        <f t="array" ref="AS55">SUM(AS37)</f>
        <v>95481.6693333335</v>
      </c>
      <c r="AT55" s="284"/>
    </row>
    <row r="56" ht="16" customHeight="1">
      <c r="A56" s="12"/>
      <c r="B56" s="271"/>
      <c r="C56" s="272"/>
      <c r="D56" t="s" s="273">
        <v>809</v>
      </c>
      <c r="E56" s="274"/>
      <c r="F56" s="282" cm="1">
        <f t="array" ref="F56">SUM(F42:F47)</f>
        <v>-733500</v>
      </c>
      <c r="G56" s="282" cm="1">
        <f t="array" ref="G56">SUM(G42:G47)</f>
        <v>-733500</v>
      </c>
      <c r="H56" s="282" cm="1">
        <f t="array" ref="H56">SUM(H42:H47)</f>
        <v>-493800</v>
      </c>
      <c r="I56" s="282" cm="1">
        <f t="array" ref="I56">SUM(I42:I47)</f>
        <v>0</v>
      </c>
      <c r="J56" s="282" cm="1">
        <f t="array" ref="J56">SUM(J42:J47)</f>
        <v>0</v>
      </c>
      <c r="K56" s="282" cm="1">
        <f t="array" ref="K56">SUM(K42:K47)</f>
        <v>0</v>
      </c>
      <c r="L56" s="282" cm="1">
        <f t="array" ref="L56">SUM(L42:L47)</f>
        <v>0</v>
      </c>
      <c r="M56" s="282" cm="1">
        <f t="array" ref="M56">SUM(M42:M47)</f>
        <v>0</v>
      </c>
      <c r="N56" s="282" cm="1">
        <f t="array" ref="N56">SUM(N42:N47)</f>
        <v>0</v>
      </c>
      <c r="O56" s="282" cm="1">
        <f t="array" ref="O56">SUM(O42:O47)</f>
        <v>0</v>
      </c>
      <c r="P56" s="282" cm="1">
        <f t="array" ref="P56">SUM(P42:P47)</f>
        <v>0</v>
      </c>
      <c r="Q56" s="282" cm="1">
        <f t="array" ref="Q56">SUM(Q42:Q47)</f>
        <v>0</v>
      </c>
      <c r="R56" s="282" cm="1">
        <f t="array" ref="R56">SUM(R42:R47)</f>
        <v>0</v>
      </c>
      <c r="S56" s="282" cm="1">
        <f t="array" ref="S56">SUM(S42:S47)</f>
        <v>0</v>
      </c>
      <c r="T56" s="282" cm="1">
        <f t="array" ref="T56">SUM(T42:T47)</f>
        <v>0</v>
      </c>
      <c r="U56" s="282" cm="1">
        <f t="array" ref="U56">SUM(U42:U47)</f>
        <v>0</v>
      </c>
      <c r="V56" s="282" cm="1">
        <f t="array" ref="V56">SUM(V42:V47)</f>
        <v>0</v>
      </c>
      <c r="W56" s="282" cm="1">
        <f t="array" ref="W56">SUM(W42:W47)</f>
        <v>0</v>
      </c>
      <c r="X56" s="282" cm="1">
        <f t="array" ref="X56">SUM(X42:X47)</f>
        <v>0</v>
      </c>
      <c r="Y56" s="282" cm="1">
        <f t="array" ref="Y56">SUM(Y42:Y47)</f>
        <v>0</v>
      </c>
      <c r="Z56" s="282" cm="1">
        <f t="array" ref="Z56">SUM(Z42:Z47)</f>
        <v>0</v>
      </c>
      <c r="AA56" s="282" cm="1">
        <f t="array" ref="AA56">SUM(AA42:AA47)</f>
        <v>0</v>
      </c>
      <c r="AB56" s="282" cm="1">
        <f t="array" ref="AB56">SUM(AB42:AB47)</f>
        <v>0</v>
      </c>
      <c r="AC56" s="282" cm="1">
        <f t="array" ref="AC56">SUM(AC42:AC47)</f>
        <v>0</v>
      </c>
      <c r="AD56" s="282" cm="1">
        <f t="array" ref="AD56">SUM(AD42:AD47)</f>
        <v>0</v>
      </c>
      <c r="AE56" s="282" cm="1">
        <f t="array" ref="AE56">SUM(AE42:AE47)</f>
        <v>0</v>
      </c>
      <c r="AF56" s="282" cm="1">
        <f t="array" ref="AF56">SUM(AF42:AF47)</f>
        <v>0</v>
      </c>
      <c r="AG56" s="282" cm="1">
        <f t="array" ref="AG56">SUM(AG42:AG47)</f>
        <v>0</v>
      </c>
      <c r="AH56" s="282" cm="1">
        <f t="array" ref="AH56">SUM(AH42:AH47)</f>
        <v>0</v>
      </c>
      <c r="AI56" s="282" cm="1">
        <f t="array" ref="AI56">SUM(AI42:AI47)</f>
        <v>0</v>
      </c>
      <c r="AJ56" s="282" cm="1">
        <f t="array" ref="AJ56">SUM(AJ42:AJ47)</f>
        <v>0</v>
      </c>
      <c r="AK56" s="282" cm="1">
        <f t="array" ref="AK56">SUM(AK42:AK47)</f>
        <v>0</v>
      </c>
      <c r="AL56" s="282" cm="1">
        <f t="array" ref="AL56">SUM(AL42:AL47)</f>
        <v>0</v>
      </c>
      <c r="AM56" s="282" cm="1">
        <f t="array" ref="AM56">SUM(AM42:AM47)</f>
        <v>0</v>
      </c>
      <c r="AN56" s="282" cm="1">
        <f t="array" ref="AN56">SUM(AN42:AN47)</f>
        <v>0</v>
      </c>
      <c r="AO56" s="282" cm="1">
        <f t="array" ref="AO56">SUM(AO42:AO47)</f>
        <v>0</v>
      </c>
      <c r="AP56" s="282" cm="1">
        <f t="array" ref="AP56">SUM(AP42:AP47)</f>
        <v>0</v>
      </c>
      <c r="AQ56" s="282" cm="1">
        <f t="array" ref="AQ56">SUM(AQ42:AQ47)</f>
        <v>0</v>
      </c>
      <c r="AR56" s="282" cm="1">
        <f t="array" ref="AR56">SUM(AR42:AR47)</f>
        <v>0</v>
      </c>
      <c r="AS56" s="282" cm="1">
        <f t="array" ref="AS56">SUM(AS42:AS47)</f>
        <v>900000</v>
      </c>
      <c r="AT56" s="284"/>
    </row>
    <row r="57" ht="16" customHeight="1">
      <c r="A57" s="12"/>
      <c r="B57" s="271"/>
      <c r="C57" s="272"/>
      <c r="D57" t="s" s="273">
        <v>810</v>
      </c>
      <c r="E57" s="274"/>
      <c r="F57" s="282" cm="1">
        <f t="array" ref="F57">SUM(F49:F53)</f>
        <v>0</v>
      </c>
      <c r="G57" s="282" cm="1">
        <f t="array" ref="G57">SUM(G49:G53)</f>
        <v>0</v>
      </c>
      <c r="H57" s="282" cm="1">
        <f t="array" ref="H57">SUM(H49:H53)</f>
        <v>0</v>
      </c>
      <c r="I57" s="282" cm="1">
        <f t="array" ref="I57">SUM(I49:I53)</f>
        <v>0</v>
      </c>
      <c r="J57" s="282" cm="1">
        <f t="array" ref="J57">SUM(J49:J53)</f>
        <v>0</v>
      </c>
      <c r="K57" s="282" cm="1">
        <f t="array" ref="K57">SUM(K49:K53)</f>
        <v>0</v>
      </c>
      <c r="L57" s="282" cm="1">
        <f t="array" ref="L57">SUM(L49:L53)</f>
        <v>0</v>
      </c>
      <c r="M57" s="282" cm="1">
        <f t="array" ref="M57">SUM(M49:M53)</f>
        <v>0</v>
      </c>
      <c r="N57" s="282" cm="1">
        <f t="array" ref="N57">SUM(N49:N53)</f>
        <v>0</v>
      </c>
      <c r="O57" s="282" cm="1">
        <f t="array" ref="O57">SUM(O49:O53)</f>
        <v>0</v>
      </c>
      <c r="P57" s="282" cm="1">
        <f t="array" ref="P57">SUM(P49:P53)</f>
        <v>0</v>
      </c>
      <c r="Q57" s="282" cm="1">
        <f t="array" ref="Q57">SUM(Q49:Q53)</f>
        <v>0</v>
      </c>
      <c r="R57" s="282" cm="1">
        <f t="array" ref="R57">SUM(R49:R53)</f>
        <v>0</v>
      </c>
      <c r="S57" s="282" cm="1">
        <f t="array" ref="S57">SUM(S49:S53)</f>
        <v>0</v>
      </c>
      <c r="T57" s="282" cm="1">
        <f t="array" ref="T57">SUM(T49:T53)</f>
        <v>0</v>
      </c>
      <c r="U57" s="282" cm="1">
        <f t="array" ref="U57">SUM(U49:U53)</f>
        <v>0</v>
      </c>
      <c r="V57" s="282" cm="1">
        <f t="array" ref="V57">SUM(V49:V53)</f>
        <v>0</v>
      </c>
      <c r="W57" s="282" cm="1">
        <f t="array" ref="W57">SUM(W49:W53)</f>
        <v>0</v>
      </c>
      <c r="X57" s="282" cm="1">
        <f t="array" ref="X57">SUM(X49:X53)</f>
        <v>0</v>
      </c>
      <c r="Y57" s="282" cm="1">
        <f t="array" ref="Y57">SUM(Y49:Y53)</f>
        <v>0</v>
      </c>
      <c r="Z57" s="282" cm="1">
        <f t="array" ref="Z57">SUM(Z49:Z53)</f>
        <v>0</v>
      </c>
      <c r="AA57" s="282" cm="1">
        <f t="array" ref="AA57">SUM(AA49:AA53)</f>
        <v>0</v>
      </c>
      <c r="AB57" s="282" cm="1">
        <f t="array" ref="AB57">SUM(AB49:AB53)</f>
        <v>0</v>
      </c>
      <c r="AC57" s="282" cm="1">
        <f t="array" ref="AC57">SUM(AC49:AC53)</f>
        <v>0</v>
      </c>
      <c r="AD57" s="282" cm="1">
        <f t="array" ref="AD57">SUM(AD49:AD53)</f>
        <v>0</v>
      </c>
      <c r="AE57" s="282" cm="1">
        <f t="array" ref="AE57">SUM(AE49:AE53)</f>
        <v>0</v>
      </c>
      <c r="AF57" s="282" cm="1">
        <f t="array" ref="AF57">SUM(AF49:AF53)</f>
        <v>0</v>
      </c>
      <c r="AG57" s="282" cm="1">
        <f t="array" ref="AG57">SUM(AG49:AG53)</f>
        <v>0</v>
      </c>
      <c r="AH57" s="282" cm="1">
        <f t="array" ref="AH57">SUM(AH49:AH53)</f>
        <v>0</v>
      </c>
      <c r="AI57" s="282" cm="1">
        <f t="array" ref="AI57">SUM(AI49:AI53)</f>
        <v>0</v>
      </c>
      <c r="AJ57" s="282" cm="1">
        <f t="array" ref="AJ57">SUM(AJ49:AJ53)</f>
        <v>0</v>
      </c>
      <c r="AK57" s="282" cm="1">
        <f t="array" ref="AK57">SUM(AK49:AK53)</f>
        <v>0</v>
      </c>
      <c r="AL57" s="282" cm="1">
        <f t="array" ref="AL57">SUM(AL49:AL53)</f>
        <v>0</v>
      </c>
      <c r="AM57" s="282" cm="1">
        <f t="array" ref="AM57">SUM(AM49:AM53)</f>
        <v>0</v>
      </c>
      <c r="AN57" s="282" cm="1">
        <f t="array" ref="AN57">SUM(AN49:AN53)</f>
        <v>0</v>
      </c>
      <c r="AO57" s="282" cm="1">
        <f t="array" ref="AO57">SUM(AO49:AO53)</f>
        <v>0</v>
      </c>
      <c r="AP57" s="282" cm="1">
        <f t="array" ref="AP57">SUM(AP49:AP53)</f>
        <v>0</v>
      </c>
      <c r="AQ57" s="282" cm="1">
        <f t="array" ref="AQ57">SUM(AQ49:AQ53)</f>
        <v>0</v>
      </c>
      <c r="AR57" s="282" cm="1">
        <f t="array" ref="AR57">SUM(AR49:AR53)</f>
        <v>0</v>
      </c>
      <c r="AS57" s="282" cm="1">
        <f t="array" ref="AS57">SUM(AS49:AS53)</f>
        <v>0</v>
      </c>
      <c r="AT57" s="284"/>
    </row>
    <row r="58" ht="15" customHeight="1">
      <c r="A58" s="12"/>
      <c r="B58" s="285"/>
      <c r="C58" s="272"/>
      <c r="D58" s="300"/>
      <c r="E58" s="274" cm="1">
        <f t="array" ref="E58">50896.35*16272</f>
        <v>828185407.2</v>
      </c>
      <c r="F58" s="275"/>
      <c r="G58" s="275"/>
      <c r="H58" s="275"/>
      <c r="I58" s="275"/>
      <c r="J58" s="275"/>
      <c r="K58" s="275"/>
      <c r="L58" s="275"/>
      <c r="M58" s="275"/>
      <c r="N58" s="275"/>
      <c r="O58" s="275"/>
      <c r="P58" s="275"/>
      <c r="Q58" s="275"/>
      <c r="R58" s="275"/>
      <c r="S58" s="275"/>
      <c r="T58" s="275"/>
      <c r="U58" s="275"/>
      <c r="V58" s="275"/>
      <c r="W58" s="275"/>
      <c r="X58" s="275"/>
      <c r="Y58" s="275"/>
      <c r="Z58" s="275"/>
      <c r="AA58" s="275"/>
      <c r="AB58" s="275"/>
      <c r="AC58" s="275"/>
      <c r="AD58" s="275"/>
      <c r="AE58" s="275"/>
      <c r="AF58" s="275"/>
      <c r="AG58" s="275"/>
      <c r="AH58" s="275"/>
      <c r="AI58" s="275"/>
      <c r="AJ58" s="275"/>
      <c r="AK58" s="275"/>
      <c r="AL58" s="275"/>
      <c r="AM58" s="275"/>
      <c r="AN58" s="275"/>
      <c r="AO58" s="275"/>
      <c r="AP58" s="275"/>
      <c r="AQ58" s="275"/>
      <c r="AR58" s="275"/>
      <c r="AS58" s="275"/>
      <c r="AT58" s="276"/>
    </row>
    <row r="59" ht="15.5" customHeight="1">
      <c r="A59" s="12"/>
      <c r="B59" s="900"/>
      <c r="C59" s="272"/>
      <c r="D59" s="300"/>
      <c r="E59" s="274"/>
      <c r="F59" s="304"/>
      <c r="G59" s="304"/>
      <c r="H59" s="304"/>
      <c r="I59" s="304"/>
      <c r="J59" s="304"/>
      <c r="K59" s="304"/>
      <c r="L59" s="304"/>
      <c r="M59" s="304"/>
      <c r="N59" s="304"/>
      <c r="O59" s="304"/>
      <c r="P59" s="304"/>
      <c r="Q59" s="304"/>
      <c r="R59" s="304"/>
      <c r="S59" s="304"/>
      <c r="T59" s="304"/>
      <c r="U59" s="304"/>
      <c r="V59" s="304"/>
      <c r="W59" s="304"/>
      <c r="X59" s="304"/>
      <c r="Y59" s="304"/>
      <c r="Z59" s="304"/>
      <c r="AA59" s="304"/>
      <c r="AB59" s="304"/>
      <c r="AC59" s="304"/>
      <c r="AD59" s="304"/>
      <c r="AE59" s="304"/>
      <c r="AF59" s="304"/>
      <c r="AG59" s="304"/>
      <c r="AH59" s="304"/>
      <c r="AI59" s="304"/>
      <c r="AJ59" s="304"/>
      <c r="AK59" s="304"/>
      <c r="AL59" s="304"/>
      <c r="AM59" s="304"/>
      <c r="AN59" s="304"/>
      <c r="AO59" s="304"/>
      <c r="AP59" s="304"/>
      <c r="AQ59" s="304"/>
      <c r="AR59" s="304"/>
      <c r="AS59" s="304"/>
      <c r="AT59" s="284"/>
    </row>
    <row r="60" ht="15.5" customHeight="1">
      <c r="A60" s="12"/>
      <c r="B60" s="271"/>
      <c r="C60" s="272"/>
      <c r="D60" t="s" s="305">
        <v>811</v>
      </c>
      <c r="E60" s="274"/>
      <c r="F60" s="306" cm="1">
        <f t="array" ref="F60">SUM(F55:F57)</f>
        <v>-733500</v>
      </c>
      <c r="G60" s="306" cm="1">
        <f t="array" ref="G60">SUM(G55:G57)</f>
        <v>-733500</v>
      </c>
      <c r="H60" s="306" cm="1">
        <f t="array" ref="H60">SUM(H55:H57)</f>
        <v>-493800</v>
      </c>
      <c r="I60" s="306" cm="1">
        <f t="array" ref="I60">SUM(I55:I57)</f>
        <v>95481.6693333335</v>
      </c>
      <c r="J60" s="306" cm="1">
        <f t="array" ref="J60">SUM(J55:J57)</f>
        <v>75252.6893333335</v>
      </c>
      <c r="K60" s="306" cm="1">
        <f t="array" ref="K60">SUM(K55:K57)</f>
        <v>89479.8293333335</v>
      </c>
      <c r="L60" s="306" cm="1">
        <f t="array" ref="L60">SUM(L55:L57)</f>
        <v>101852.969333334</v>
      </c>
      <c r="M60" s="306" cm="1">
        <f t="array" ref="M60">SUM(M55:M57)</f>
        <v>128677.202041667</v>
      </c>
      <c r="N60" s="306" cm="1">
        <f t="array" ref="N60">SUM(N55:N57)</f>
        <v>144075.247458334</v>
      </c>
      <c r="O60" s="306" cm="1">
        <f t="array" ref="O60">SUM(O55:O57)</f>
        <v>157083.941</v>
      </c>
      <c r="P60" s="306" cm="1">
        <f t="array" ref="P60">SUM(P55:P57)</f>
        <v>157083.941</v>
      </c>
      <c r="Q60" s="306" cm="1">
        <f t="array" ref="Q60">SUM(Q55:Q57)</f>
        <v>136376.22475</v>
      </c>
      <c r="R60" s="306" cm="1">
        <f t="array" ref="R60">SUM(R55:R57)</f>
        <v>101852.969333334</v>
      </c>
      <c r="S60" s="306" cm="1">
        <f t="array" ref="S60">SUM(S55:S57)</f>
        <v>78019.0776666665</v>
      </c>
      <c r="T60" s="306" cm="1">
        <f t="array" ref="T60">SUM(T55:T57)</f>
        <v>95481.6693333335</v>
      </c>
      <c r="U60" s="306" cm="1">
        <f t="array" ref="U60">SUM(U55:U57)</f>
        <v>95481.6693333335</v>
      </c>
      <c r="V60" s="306" cm="1">
        <f t="array" ref="V60">SUM(V55:V57)</f>
        <v>75252.6893333335</v>
      </c>
      <c r="W60" s="306" cm="1">
        <f t="array" ref="W60">SUM(W55:W57)</f>
        <v>89479.8293333335</v>
      </c>
      <c r="X60" s="306" cm="1">
        <f t="array" ref="X60">SUM(X55:X57)</f>
        <v>101852.969333334</v>
      </c>
      <c r="Y60" s="306" cm="1">
        <f t="array" ref="Y60">SUM(Y55:Y57)</f>
        <v>128677.202041667</v>
      </c>
      <c r="Z60" s="306" cm="1">
        <f t="array" ref="Z60">SUM(Z55:Z57)</f>
        <v>144075.247458334</v>
      </c>
      <c r="AA60" s="306" cm="1">
        <f t="array" ref="AA60">SUM(AA55:AA57)</f>
        <v>157083.941</v>
      </c>
      <c r="AB60" s="306" cm="1">
        <f t="array" ref="AB60">SUM(AB55:AB57)</f>
        <v>157083.941</v>
      </c>
      <c r="AC60" s="306" cm="1">
        <f t="array" ref="AC60">SUM(AC55:AC57)</f>
        <v>136376.22475</v>
      </c>
      <c r="AD60" s="306" cm="1">
        <f t="array" ref="AD60">SUM(AD55:AD57)</f>
        <v>101852.969333334</v>
      </c>
      <c r="AE60" s="306" cm="1">
        <f t="array" ref="AE60">SUM(AE55:AE57)</f>
        <v>78019.0776666665</v>
      </c>
      <c r="AF60" s="306" cm="1">
        <f t="array" ref="AF60">SUM(AF55:AF57)</f>
        <v>95481.6693333335</v>
      </c>
      <c r="AG60" s="306" cm="1">
        <f t="array" ref="AG60">SUM(AG55:AG57)</f>
        <v>95481.6693333335</v>
      </c>
      <c r="AH60" s="306" cm="1">
        <f t="array" ref="AH60">SUM(AH55:AH57)</f>
        <v>75252.6893333335</v>
      </c>
      <c r="AI60" s="306" cm="1">
        <f t="array" ref="AI60">SUM(AI55:AI57)</f>
        <v>89479.8293333335</v>
      </c>
      <c r="AJ60" s="306" cm="1">
        <f t="array" ref="AJ60">SUM(AJ55:AJ57)</f>
        <v>101852.969333334</v>
      </c>
      <c r="AK60" s="306" cm="1">
        <f t="array" ref="AK60">SUM(AK55:AK57)</f>
        <v>128677.202041667</v>
      </c>
      <c r="AL60" s="306" cm="1">
        <f t="array" ref="AL60">SUM(AL55:AL57)</f>
        <v>144075.247458334</v>
      </c>
      <c r="AM60" s="306" cm="1">
        <f t="array" ref="AM60">SUM(AM55:AM57)</f>
        <v>157083.941</v>
      </c>
      <c r="AN60" s="306" cm="1">
        <f t="array" ref="AN60">SUM(AN55:AN57)</f>
        <v>157083.941</v>
      </c>
      <c r="AO60" s="306" cm="1">
        <f t="array" ref="AO60">SUM(AO55:AO57)</f>
        <v>136376.22475</v>
      </c>
      <c r="AP60" s="306" cm="1">
        <f t="array" ref="AP60">SUM(AP55:AP57)</f>
        <v>101852.969333334</v>
      </c>
      <c r="AQ60" s="306" cm="1">
        <f t="array" ref="AQ60">SUM(AQ55:AQ57)</f>
        <v>78019.0776666665</v>
      </c>
      <c r="AR60" s="306" cm="1">
        <f t="array" ref="AR60">SUM(AR55:AR57)</f>
        <v>95481.6693333335</v>
      </c>
      <c r="AS60" s="306" cm="1">
        <f t="array" ref="AS60">SUM(AS55:AS57)</f>
        <v>995481.669333334</v>
      </c>
      <c r="AT60" s="284"/>
    </row>
    <row r="61" ht="15.5" customHeight="1">
      <c r="A61" s="12"/>
      <c r="B61" s="307"/>
      <c r="C61" s="308"/>
      <c r="D61" s="309"/>
      <c r="E61" s="310" cm="1">
        <f t="array" ref="E61">50896.35*16272</f>
        <v>828185407.2</v>
      </c>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2"/>
    </row>
    <row r="62" ht="15.5" customHeight="1">
      <c r="A62" s="32"/>
      <c r="B62" s="33"/>
      <c r="C62" s="33"/>
      <c r="D62" s="33"/>
      <c r="E62" s="33"/>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313"/>
    </row>
    <row r="63" ht="19.75" customHeight="1">
      <c r="A63" s="12"/>
      <c r="B63" t="s" s="901">
        <v>812</v>
      </c>
      <c r="C63" s="902"/>
      <c r="D63" s="902"/>
      <c r="E63" s="903"/>
      <c r="F63" s="16"/>
      <c r="G63" s="17"/>
      <c r="H63" s="17"/>
      <c r="I63" s="17"/>
      <c r="J63" s="904"/>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8"/>
    </row>
    <row r="64" ht="15" customHeight="1">
      <c r="A64" s="12"/>
      <c r="B64" s="905"/>
      <c r="C64" s="906"/>
      <c r="D64" s="907"/>
      <c r="E64" s="908"/>
      <c r="F64" s="16"/>
      <c r="G64" s="17"/>
      <c r="H64" s="17"/>
      <c r="I64" s="17"/>
      <c r="J64" s="904"/>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8"/>
    </row>
    <row r="65" ht="15" customHeight="1">
      <c r="A65" s="12"/>
      <c r="B65" t="s" s="909">
        <v>703</v>
      </c>
      <c r="C65" s="906"/>
      <c r="D65" t="s" s="910">
        <v>813</v>
      </c>
      <c r="E65" s="911"/>
      <c r="F65" s="16"/>
      <c r="G65" s="17"/>
      <c r="H65" s="17"/>
      <c r="I65" s="17"/>
      <c r="J65" s="904"/>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8"/>
    </row>
    <row r="66" ht="9" customHeight="1">
      <c r="A66" s="12"/>
      <c r="B66" s="905"/>
      <c r="C66" s="906"/>
      <c r="D66" s="912"/>
      <c r="E66" s="911"/>
      <c r="F66" s="16"/>
      <c r="G66" s="17"/>
      <c r="H66" s="17"/>
      <c r="I66" s="17"/>
      <c r="J66" s="904"/>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8"/>
    </row>
    <row r="67" ht="27" customHeight="1">
      <c r="A67" s="12"/>
      <c r="B67" t="s" s="913">
        <v>814</v>
      </c>
      <c r="C67" s="906"/>
      <c r="D67" s="914" cm="1">
        <f t="array" ref="D67">XIRR(F60:AS60,F3:AS3,0)</f>
        <v>0.765548293118764</v>
      </c>
      <c r="E67" s="911"/>
      <c r="F67" s="16"/>
      <c r="G67" s="17"/>
      <c r="H67" s="17"/>
      <c r="I67" s="17"/>
      <c r="J67" s="904"/>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8"/>
    </row>
    <row r="68" ht="9" customHeight="1">
      <c r="A68" s="12"/>
      <c r="B68" s="915"/>
      <c r="C68" s="906"/>
      <c r="D68" s="907"/>
      <c r="E68" s="908"/>
      <c r="F68" s="16"/>
      <c r="G68" s="17"/>
      <c r="H68" s="17"/>
      <c r="I68" s="17"/>
      <c r="J68" s="904"/>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8"/>
    </row>
    <row r="69" ht="28.25" customHeight="1">
      <c r="A69" s="12"/>
      <c r="B69" t="s" s="913">
        <v>815</v>
      </c>
      <c r="C69" s="906"/>
      <c r="D69" s="916" cm="1">
        <f t="array" ref="D69">XNPV(30%,F60:AS60,F3:AS3)</f>
        <v>1166746.47471684</v>
      </c>
      <c r="E69" s="908"/>
      <c r="F69" s="16"/>
      <c r="G69" s="17"/>
      <c r="H69" s="17"/>
      <c r="I69" s="17"/>
      <c r="J69" s="904"/>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8"/>
    </row>
    <row r="70" ht="15" customHeight="1">
      <c r="A70" s="12"/>
      <c r="B70" t="s" s="917">
        <v>816</v>
      </c>
      <c r="C70" s="906"/>
      <c r="D70" s="907"/>
      <c r="E70" s="908"/>
      <c r="F70" s="16"/>
      <c r="G70" s="17"/>
      <c r="H70" s="17"/>
      <c r="I70" s="17"/>
      <c r="J70" s="904"/>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8"/>
    </row>
    <row r="71" ht="15" customHeight="1">
      <c r="A71" s="570"/>
      <c r="B71" s="918"/>
      <c r="C71" s="919"/>
      <c r="D71" s="920"/>
      <c r="E71" s="921"/>
      <c r="F71" s="860"/>
      <c r="G71" s="193"/>
      <c r="H71" s="193"/>
      <c r="I71" s="193"/>
      <c r="J71" s="922"/>
      <c r="K71" s="193"/>
      <c r="L71" s="193"/>
      <c r="M71" s="193"/>
      <c r="N71" s="193"/>
      <c r="O71" s="193"/>
      <c r="P71" s="193"/>
      <c r="Q71" s="193"/>
      <c r="R71" s="193"/>
      <c r="S71" s="193"/>
      <c r="T71" s="193"/>
      <c r="U71" s="193"/>
      <c r="V71" s="193"/>
      <c r="W71" s="193"/>
      <c r="X71" s="193"/>
      <c r="Y71" s="193"/>
      <c r="Z71" s="193"/>
      <c r="AA71" s="193"/>
      <c r="AB71" s="193"/>
      <c r="AC71" s="193"/>
      <c r="AD71" s="193"/>
      <c r="AE71" s="193"/>
      <c r="AF71" s="193"/>
      <c r="AG71" s="193"/>
      <c r="AH71" s="193"/>
      <c r="AI71" s="193"/>
      <c r="AJ71" s="193"/>
      <c r="AK71" s="193"/>
      <c r="AL71" s="193"/>
      <c r="AM71" s="193"/>
      <c r="AN71" s="193"/>
      <c r="AO71" s="193"/>
      <c r="AP71" s="193"/>
      <c r="AQ71" s="193"/>
      <c r="AR71" s="193"/>
      <c r="AS71" s="193"/>
      <c r="AT71" s="195"/>
    </row>
  </sheetData>
  <mergeCells count="2">
    <mergeCell ref="F6:H9"/>
    <mergeCell ref="B63:E6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AT71"/>
  <sheetViews>
    <sheetView workbookViewId="0" showGridLines="0" defaultGridColor="1"/>
  </sheetViews>
  <sheetFormatPr defaultColWidth="8.83333" defaultRowHeight="14.5" customHeight="1" outlineLevelRow="0" outlineLevelCol="0"/>
  <cols>
    <col min="1" max="1" width="2" style="923" customWidth="1"/>
    <col min="2" max="2" width="24.5" style="923" customWidth="1"/>
    <col min="3" max="3" width="1.5" style="923" customWidth="1"/>
    <col min="4" max="4" width="17.8516" style="923" customWidth="1"/>
    <col min="5" max="5" width="1.85156" style="923" customWidth="1"/>
    <col min="6" max="17" width="11.8516" style="923" customWidth="1"/>
    <col min="18" max="19" width="12.5" style="923" customWidth="1"/>
    <col min="20" max="20" width="13.1719" style="923" customWidth="1"/>
    <col min="21" max="45" width="12.5" style="923" customWidth="1"/>
    <col min="46" max="46" width="1.85156" style="923" customWidth="1"/>
    <col min="47" max="16384" width="8.85156" style="923" customWidth="1"/>
  </cols>
  <sheetData>
    <row r="1" ht="11.4" customHeight="1">
      <c r="A1" s="7"/>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246"/>
    </row>
    <row r="2" ht="15.5" customHeight="1">
      <c r="A2" s="12"/>
      <c r="B2" s="247"/>
      <c r="C2" s="248"/>
      <c r="D2" s="248"/>
      <c r="E2" s="249"/>
      <c r="F2" t="s" s="250">
        <v>737</v>
      </c>
      <c r="G2" t="s" s="250">
        <v>738</v>
      </c>
      <c r="H2" t="s" s="250">
        <v>739</v>
      </c>
      <c r="I2" t="s" s="250">
        <v>740</v>
      </c>
      <c r="J2" t="s" s="250">
        <v>741</v>
      </c>
      <c r="K2" t="s" s="250">
        <v>742</v>
      </c>
      <c r="L2" t="s" s="250">
        <v>743</v>
      </c>
      <c r="M2" t="s" s="250">
        <v>744</v>
      </c>
      <c r="N2" t="s" s="250">
        <v>745</v>
      </c>
      <c r="O2" t="s" s="250">
        <v>746</v>
      </c>
      <c r="P2" t="s" s="250">
        <v>747</v>
      </c>
      <c r="Q2" t="s" s="250">
        <v>748</v>
      </c>
      <c r="R2" t="s" s="250">
        <v>749</v>
      </c>
      <c r="S2" t="s" s="250">
        <v>750</v>
      </c>
      <c r="T2" t="s" s="250">
        <v>751</v>
      </c>
      <c r="U2" t="s" s="250">
        <v>752</v>
      </c>
      <c r="V2" t="s" s="250">
        <v>753</v>
      </c>
      <c r="W2" t="s" s="250">
        <v>754</v>
      </c>
      <c r="X2" t="s" s="250">
        <v>755</v>
      </c>
      <c r="Y2" t="s" s="250">
        <v>756</v>
      </c>
      <c r="Z2" t="s" s="250">
        <v>757</v>
      </c>
      <c r="AA2" t="s" s="250">
        <v>758</v>
      </c>
      <c r="AB2" t="s" s="250">
        <v>759</v>
      </c>
      <c r="AC2" t="s" s="250">
        <v>760</v>
      </c>
      <c r="AD2" t="s" s="250">
        <v>761</v>
      </c>
      <c r="AE2" t="s" s="250">
        <v>762</v>
      </c>
      <c r="AF2" t="s" s="250">
        <v>763</v>
      </c>
      <c r="AG2" t="s" s="250">
        <v>764</v>
      </c>
      <c r="AH2" t="s" s="250">
        <v>765</v>
      </c>
      <c r="AI2" t="s" s="250">
        <v>766</v>
      </c>
      <c r="AJ2" t="s" s="250">
        <v>767</v>
      </c>
      <c r="AK2" t="s" s="250">
        <v>768</v>
      </c>
      <c r="AL2" t="s" s="250">
        <v>769</v>
      </c>
      <c r="AM2" t="s" s="250">
        <v>770</v>
      </c>
      <c r="AN2" t="s" s="250">
        <v>771</v>
      </c>
      <c r="AO2" t="s" s="250">
        <v>772</v>
      </c>
      <c r="AP2" t="s" s="250">
        <v>773</v>
      </c>
      <c r="AQ2" t="s" s="250">
        <v>774</v>
      </c>
      <c r="AR2" t="s" s="250">
        <v>775</v>
      </c>
      <c r="AS2" t="s" s="250">
        <v>776</v>
      </c>
      <c r="AT2" s="251"/>
    </row>
    <row r="3" ht="15" customHeight="1">
      <c r="A3" s="12"/>
      <c r="B3" t="s" s="252">
        <v>390</v>
      </c>
      <c r="C3" s="253"/>
      <c r="D3" s="254"/>
      <c r="E3" s="255"/>
      <c r="F3" s="256">
        <v>45566</v>
      </c>
      <c r="G3" s="256">
        <v>45597</v>
      </c>
      <c r="H3" s="256">
        <v>45627</v>
      </c>
      <c r="I3" s="256">
        <v>45658</v>
      </c>
      <c r="J3" s="256">
        <v>45689</v>
      </c>
      <c r="K3" s="256">
        <v>45717</v>
      </c>
      <c r="L3" s="256">
        <v>45748</v>
      </c>
      <c r="M3" s="256">
        <v>45778</v>
      </c>
      <c r="N3" s="256">
        <v>45809</v>
      </c>
      <c r="O3" s="256">
        <v>45839</v>
      </c>
      <c r="P3" s="256">
        <v>45870</v>
      </c>
      <c r="Q3" s="256">
        <v>45901</v>
      </c>
      <c r="R3" s="256">
        <v>45931</v>
      </c>
      <c r="S3" s="256">
        <v>45962</v>
      </c>
      <c r="T3" s="256">
        <v>45992</v>
      </c>
      <c r="U3" s="256">
        <v>46023</v>
      </c>
      <c r="V3" s="256">
        <v>46054</v>
      </c>
      <c r="W3" s="256">
        <v>46082</v>
      </c>
      <c r="X3" s="256">
        <v>46113</v>
      </c>
      <c r="Y3" s="256">
        <v>46143</v>
      </c>
      <c r="Z3" s="256">
        <v>46174</v>
      </c>
      <c r="AA3" s="256">
        <v>46204</v>
      </c>
      <c r="AB3" s="256">
        <v>46235</v>
      </c>
      <c r="AC3" s="256">
        <v>46266</v>
      </c>
      <c r="AD3" s="256">
        <v>46296</v>
      </c>
      <c r="AE3" s="256">
        <v>46327</v>
      </c>
      <c r="AF3" s="256">
        <v>46357</v>
      </c>
      <c r="AG3" s="256">
        <v>46388</v>
      </c>
      <c r="AH3" s="256">
        <v>46419</v>
      </c>
      <c r="AI3" s="256">
        <v>46447</v>
      </c>
      <c r="AJ3" s="256">
        <v>46478</v>
      </c>
      <c r="AK3" s="256">
        <v>46508</v>
      </c>
      <c r="AL3" s="256">
        <v>46539</v>
      </c>
      <c r="AM3" s="256">
        <v>46569</v>
      </c>
      <c r="AN3" s="256">
        <v>46600</v>
      </c>
      <c r="AO3" s="256">
        <v>46631</v>
      </c>
      <c r="AP3" s="256">
        <v>46661</v>
      </c>
      <c r="AQ3" s="256">
        <v>46692</v>
      </c>
      <c r="AR3" s="256">
        <v>46722</v>
      </c>
      <c r="AS3" s="256">
        <v>46753</v>
      </c>
      <c r="AT3" s="257"/>
    </row>
    <row r="4" ht="15" customHeight="1">
      <c r="A4" s="12"/>
      <c r="B4" t="s" s="258">
        <v>391</v>
      </c>
      <c r="C4" s="259"/>
      <c r="D4" s="260"/>
      <c r="E4" s="261"/>
      <c r="F4" s="262"/>
      <c r="G4" s="262"/>
      <c r="H4" s="262"/>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3"/>
    </row>
    <row r="5" ht="15" customHeight="1">
      <c r="A5" s="12"/>
      <c r="B5" t="s" s="264">
        <v>392</v>
      </c>
      <c r="C5" s="265"/>
      <c r="D5" s="266"/>
      <c r="E5" s="267"/>
      <c r="F5" s="268"/>
      <c r="G5" s="268"/>
      <c r="H5" s="268"/>
      <c r="I5" s="268"/>
      <c r="J5" s="268"/>
      <c r="K5" s="268"/>
      <c r="L5" s="268"/>
      <c r="M5" s="268"/>
      <c r="N5" s="268"/>
      <c r="O5" s="268"/>
      <c r="P5" s="268"/>
      <c r="Q5" s="268"/>
      <c r="R5" s="268"/>
      <c r="S5" s="268"/>
      <c r="T5" s="268"/>
      <c r="U5" s="268"/>
      <c r="V5" s="268"/>
      <c r="W5" s="268"/>
      <c r="X5" s="268"/>
      <c r="Y5" s="268"/>
      <c r="Z5" s="268"/>
      <c r="AA5" s="268"/>
      <c r="AB5" s="268"/>
      <c r="AC5" s="268"/>
      <c r="AD5" s="268"/>
      <c r="AE5" s="268"/>
      <c r="AF5" s="268"/>
      <c r="AG5" s="268"/>
      <c r="AH5" s="268"/>
      <c r="AI5" s="268"/>
      <c r="AJ5" s="268"/>
      <c r="AK5" s="268"/>
      <c r="AL5" s="268"/>
      <c r="AM5" s="268"/>
      <c r="AN5" s="268"/>
      <c r="AO5" s="268"/>
      <c r="AP5" s="268"/>
      <c r="AQ5" s="268"/>
      <c r="AR5" s="268"/>
      <c r="AS5" s="268"/>
      <c r="AT5" s="270"/>
    </row>
    <row r="6" ht="16" customHeight="1">
      <c r="A6" s="12"/>
      <c r="B6" s="271"/>
      <c r="C6" s="272"/>
      <c r="D6" t="s" s="273">
        <v>658</v>
      </c>
      <c r="E6" s="274" cm="1">
        <f t="array" ref="E6">50896.35*16272</f>
        <v>828185407.2</v>
      </c>
      <c r="F6" t="s" s="887">
        <v>777</v>
      </c>
      <c r="G6" s="888"/>
      <c r="H6" s="889"/>
      <c r="I6" s="275">
        <v>13</v>
      </c>
      <c r="J6" s="275">
        <v>13</v>
      </c>
      <c r="K6" s="275">
        <v>13</v>
      </c>
      <c r="L6" s="275">
        <v>13</v>
      </c>
      <c r="M6" s="275">
        <v>13</v>
      </c>
      <c r="N6" s="275">
        <v>13</v>
      </c>
      <c r="O6" s="275">
        <v>13</v>
      </c>
      <c r="P6" s="275">
        <v>13</v>
      </c>
      <c r="Q6" s="275">
        <v>13</v>
      </c>
      <c r="R6" s="275">
        <v>13</v>
      </c>
      <c r="S6" s="275">
        <v>13</v>
      </c>
      <c r="T6" s="275">
        <v>13</v>
      </c>
      <c r="U6" s="275">
        <v>13</v>
      </c>
      <c r="V6" s="275">
        <v>13</v>
      </c>
      <c r="W6" s="275">
        <v>13</v>
      </c>
      <c r="X6" s="275">
        <v>13</v>
      </c>
      <c r="Y6" s="275">
        <v>13</v>
      </c>
      <c r="Z6" s="275">
        <v>13</v>
      </c>
      <c r="AA6" s="275">
        <v>13</v>
      </c>
      <c r="AB6" s="275">
        <v>13</v>
      </c>
      <c r="AC6" s="275">
        <v>13</v>
      </c>
      <c r="AD6" s="275">
        <v>13</v>
      </c>
      <c r="AE6" s="275">
        <v>13</v>
      </c>
      <c r="AF6" s="275">
        <v>13</v>
      </c>
      <c r="AG6" s="275">
        <v>13</v>
      </c>
      <c r="AH6" s="275">
        <v>13</v>
      </c>
      <c r="AI6" s="275">
        <v>13</v>
      </c>
      <c r="AJ6" s="275">
        <v>13</v>
      </c>
      <c r="AK6" s="275">
        <v>13</v>
      </c>
      <c r="AL6" s="275">
        <v>13</v>
      </c>
      <c r="AM6" s="275">
        <v>13</v>
      </c>
      <c r="AN6" s="275">
        <v>13</v>
      </c>
      <c r="AO6" s="275">
        <v>13</v>
      </c>
      <c r="AP6" s="275">
        <v>13</v>
      </c>
      <c r="AQ6" s="275">
        <v>13</v>
      </c>
      <c r="AR6" s="275">
        <v>13</v>
      </c>
      <c r="AS6" s="275">
        <v>13</v>
      </c>
      <c r="AT6" s="276"/>
    </row>
    <row r="7" ht="16" customHeight="1">
      <c r="A7" s="12"/>
      <c r="B7" s="271"/>
      <c r="C7" s="272"/>
      <c r="D7" t="s" s="273">
        <v>778</v>
      </c>
      <c r="E7" s="274"/>
      <c r="F7" s="890"/>
      <c r="G7" s="891"/>
      <c r="H7" s="892"/>
      <c r="I7" s="275">
        <v>29</v>
      </c>
      <c r="J7" s="275">
        <v>28</v>
      </c>
      <c r="K7" s="275">
        <v>29</v>
      </c>
      <c r="L7" s="275">
        <v>29</v>
      </c>
      <c r="M7" s="275">
        <v>29</v>
      </c>
      <c r="N7" s="275">
        <v>29</v>
      </c>
      <c r="O7" s="275">
        <v>30</v>
      </c>
      <c r="P7" s="275">
        <v>30</v>
      </c>
      <c r="Q7" s="275">
        <v>29</v>
      </c>
      <c r="R7" s="275">
        <v>29</v>
      </c>
      <c r="S7" s="275">
        <v>29</v>
      </c>
      <c r="T7" s="275">
        <v>29</v>
      </c>
      <c r="U7" s="275" cm="1">
        <f t="array" ref="U7">I7</f>
        <v>29</v>
      </c>
      <c r="V7" s="275" cm="1">
        <f t="array" ref="V7">J7</f>
        <v>28</v>
      </c>
      <c r="W7" s="275" cm="1">
        <f t="array" ref="W7">K7</f>
        <v>29</v>
      </c>
      <c r="X7" s="275" cm="1">
        <f t="array" ref="X7">L7</f>
        <v>29</v>
      </c>
      <c r="Y7" s="275" cm="1">
        <f t="array" ref="Y7">M7</f>
        <v>29</v>
      </c>
      <c r="Z7" s="275" cm="1">
        <f t="array" ref="Z7">N7</f>
        <v>29</v>
      </c>
      <c r="AA7" s="275" cm="1">
        <f t="array" ref="AA7">O7</f>
        <v>30</v>
      </c>
      <c r="AB7" s="275" cm="1">
        <f t="array" ref="AB7">P7</f>
        <v>30</v>
      </c>
      <c r="AC7" s="275" cm="1">
        <f t="array" ref="AC7">Q7</f>
        <v>29</v>
      </c>
      <c r="AD7" s="275" cm="1">
        <f t="array" ref="AD7">R7</f>
        <v>29</v>
      </c>
      <c r="AE7" s="275" cm="1">
        <f t="array" ref="AE7">S7</f>
        <v>29</v>
      </c>
      <c r="AF7" s="275" cm="1">
        <f t="array" ref="AF7">T7</f>
        <v>29</v>
      </c>
      <c r="AG7" s="275" cm="1">
        <f t="array" ref="AG7">U7</f>
        <v>29</v>
      </c>
      <c r="AH7" s="275" cm="1">
        <f t="array" ref="AH7">V7</f>
        <v>28</v>
      </c>
      <c r="AI7" s="275" cm="1">
        <f t="array" ref="AI7">W7</f>
        <v>29</v>
      </c>
      <c r="AJ7" s="275" cm="1">
        <f t="array" ref="AJ7">X7</f>
        <v>29</v>
      </c>
      <c r="AK7" s="275" cm="1">
        <f t="array" ref="AK7">Y7</f>
        <v>29</v>
      </c>
      <c r="AL7" s="275" cm="1">
        <f t="array" ref="AL7">Z7</f>
        <v>29</v>
      </c>
      <c r="AM7" s="275" cm="1">
        <f t="array" ref="AM7">AA7</f>
        <v>30</v>
      </c>
      <c r="AN7" s="275" cm="1">
        <f t="array" ref="AN7">AB7</f>
        <v>30</v>
      </c>
      <c r="AO7" s="275" cm="1">
        <f t="array" ref="AO7">AC7</f>
        <v>29</v>
      </c>
      <c r="AP7" s="275" cm="1">
        <f t="array" ref="AP7">AD7</f>
        <v>29</v>
      </c>
      <c r="AQ7" s="275" cm="1">
        <f t="array" ref="AQ7">AE7</f>
        <v>29</v>
      </c>
      <c r="AR7" s="275" cm="1">
        <f t="array" ref="AR7">AF7</f>
        <v>29</v>
      </c>
      <c r="AS7" s="275" cm="1">
        <f t="array" ref="AS7">AG7</f>
        <v>29</v>
      </c>
      <c r="AT7" s="276"/>
    </row>
    <row r="8" ht="16" customHeight="1">
      <c r="A8" s="12"/>
      <c r="B8" s="271"/>
      <c r="C8" s="272"/>
      <c r="D8" t="s" s="273">
        <v>656</v>
      </c>
      <c r="E8" s="274" cm="1">
        <f t="array" ref="E8">50896.35*16272</f>
        <v>828185407.2</v>
      </c>
      <c r="F8" s="890"/>
      <c r="G8" s="891"/>
      <c r="H8" s="892"/>
      <c r="I8" s="277">
        <v>0.8</v>
      </c>
      <c r="J8" s="277">
        <v>0.7</v>
      </c>
      <c r="K8" s="277">
        <v>0.8</v>
      </c>
      <c r="L8" s="277">
        <v>0.8</v>
      </c>
      <c r="M8" s="277">
        <v>0.85</v>
      </c>
      <c r="N8" s="277">
        <v>0.95</v>
      </c>
      <c r="O8" s="277">
        <v>1</v>
      </c>
      <c r="P8" s="277">
        <v>1</v>
      </c>
      <c r="Q8" s="277">
        <v>0.9</v>
      </c>
      <c r="R8" s="277">
        <v>0.8</v>
      </c>
      <c r="S8" s="277">
        <v>0.7</v>
      </c>
      <c r="T8" s="277">
        <v>0.8</v>
      </c>
      <c r="U8" s="277" cm="1">
        <f t="array" ref="U8">I8</f>
        <v>0.8</v>
      </c>
      <c r="V8" s="277" cm="1">
        <f t="array" ref="V8">J8</f>
        <v>0.7</v>
      </c>
      <c r="W8" s="277" cm="1">
        <f t="array" ref="W8">K8</f>
        <v>0.8</v>
      </c>
      <c r="X8" s="277" cm="1">
        <f t="array" ref="X8">L8</f>
        <v>0.8</v>
      </c>
      <c r="Y8" s="277" cm="1">
        <f t="array" ref="Y8">M8</f>
        <v>0.85</v>
      </c>
      <c r="Z8" s="277" cm="1">
        <f t="array" ref="Z8">N8</f>
        <v>0.95</v>
      </c>
      <c r="AA8" s="277" cm="1">
        <f t="array" ref="AA8">O8</f>
        <v>1</v>
      </c>
      <c r="AB8" s="277" cm="1">
        <f t="array" ref="AB8">P8</f>
        <v>1</v>
      </c>
      <c r="AC8" s="277" cm="1">
        <f t="array" ref="AC8">Q8</f>
        <v>0.9</v>
      </c>
      <c r="AD8" s="277" cm="1">
        <f t="array" ref="AD8">R8</f>
        <v>0.8</v>
      </c>
      <c r="AE8" s="277" cm="1">
        <f t="array" ref="AE8">S8</f>
        <v>0.7</v>
      </c>
      <c r="AF8" s="277" cm="1">
        <f t="array" ref="AF8">T8</f>
        <v>0.8</v>
      </c>
      <c r="AG8" s="277" cm="1">
        <f t="array" ref="AG8">U8</f>
        <v>0.8</v>
      </c>
      <c r="AH8" s="277" cm="1">
        <f t="array" ref="AH8">V8</f>
        <v>0.7</v>
      </c>
      <c r="AI8" s="277" cm="1">
        <f t="array" ref="AI8">W8</f>
        <v>0.8</v>
      </c>
      <c r="AJ8" s="277" cm="1">
        <f t="array" ref="AJ8">X8</f>
        <v>0.8</v>
      </c>
      <c r="AK8" s="277" cm="1">
        <f t="array" ref="AK8">Y8</f>
        <v>0.85</v>
      </c>
      <c r="AL8" s="277" cm="1">
        <f t="array" ref="AL8">Z8</f>
        <v>0.95</v>
      </c>
      <c r="AM8" s="277" cm="1">
        <f t="array" ref="AM8">AA8</f>
        <v>1</v>
      </c>
      <c r="AN8" s="277" cm="1">
        <f t="array" ref="AN8">AB8</f>
        <v>1</v>
      </c>
      <c r="AO8" s="277" cm="1">
        <f t="array" ref="AO8">AC8</f>
        <v>0.9</v>
      </c>
      <c r="AP8" s="277" cm="1">
        <f t="array" ref="AP8">AD8</f>
        <v>0.8</v>
      </c>
      <c r="AQ8" s="277" cm="1">
        <f t="array" ref="AQ8">AE8</f>
        <v>0.7</v>
      </c>
      <c r="AR8" s="277" cm="1">
        <f t="array" ref="AR8">AF8</f>
        <v>0.8</v>
      </c>
      <c r="AS8" s="277" cm="1">
        <f t="array" ref="AS8">AG8</f>
        <v>0.8</v>
      </c>
      <c r="AT8" s="278"/>
    </row>
    <row r="9" ht="16" customHeight="1">
      <c r="A9" s="12"/>
      <c r="B9" s="271"/>
      <c r="C9" s="272"/>
      <c r="D9" t="s" s="273">
        <v>657</v>
      </c>
      <c r="E9" s="274"/>
      <c r="F9" s="893"/>
      <c r="G9" s="894"/>
      <c r="H9" s="895"/>
      <c r="I9" s="277">
        <v>0.8</v>
      </c>
      <c r="J9" s="277">
        <v>0.8</v>
      </c>
      <c r="K9" s="277">
        <v>0.8</v>
      </c>
      <c r="L9" s="277">
        <v>0.85</v>
      </c>
      <c r="M9" s="277">
        <v>0.9</v>
      </c>
      <c r="N9" s="277">
        <v>0.9</v>
      </c>
      <c r="O9" s="277">
        <v>0.9</v>
      </c>
      <c r="P9" s="277">
        <v>0.9</v>
      </c>
      <c r="Q9" s="277">
        <v>0.9</v>
      </c>
      <c r="R9" s="277">
        <v>0.85</v>
      </c>
      <c r="S9" s="277">
        <v>0.8</v>
      </c>
      <c r="T9" s="277">
        <v>0.8</v>
      </c>
      <c r="U9" s="277" cm="1">
        <f t="array" ref="U9">I9</f>
        <v>0.8</v>
      </c>
      <c r="V9" s="277" cm="1">
        <f t="array" ref="V9">J9</f>
        <v>0.8</v>
      </c>
      <c r="W9" s="277" cm="1">
        <f t="array" ref="W9">K9</f>
        <v>0.8</v>
      </c>
      <c r="X9" s="277" cm="1">
        <f t="array" ref="X9">L9</f>
        <v>0.85</v>
      </c>
      <c r="Y9" s="277" cm="1">
        <f t="array" ref="Y9">M9</f>
        <v>0.9</v>
      </c>
      <c r="Z9" s="277" cm="1">
        <f t="array" ref="Z9">N9</f>
        <v>0.9</v>
      </c>
      <c r="AA9" s="277" cm="1">
        <f t="array" ref="AA9">O9</f>
        <v>0.9</v>
      </c>
      <c r="AB9" s="277" cm="1">
        <f t="array" ref="AB9">P9</f>
        <v>0.9</v>
      </c>
      <c r="AC9" s="277" cm="1">
        <f t="array" ref="AC9">Q9</f>
        <v>0.9</v>
      </c>
      <c r="AD9" s="277" cm="1">
        <f t="array" ref="AD9">R9</f>
        <v>0.85</v>
      </c>
      <c r="AE9" s="277" cm="1">
        <f t="array" ref="AE9">S9</f>
        <v>0.8</v>
      </c>
      <c r="AF9" s="277" cm="1">
        <f t="array" ref="AF9">T9</f>
        <v>0.8</v>
      </c>
      <c r="AG9" s="277" cm="1">
        <f t="array" ref="AG9">U9</f>
        <v>0.8</v>
      </c>
      <c r="AH9" s="277" cm="1">
        <f t="array" ref="AH9">V9</f>
        <v>0.8</v>
      </c>
      <c r="AI9" s="277" cm="1">
        <f t="array" ref="AI9">W9</f>
        <v>0.8</v>
      </c>
      <c r="AJ9" s="277" cm="1">
        <f t="array" ref="AJ9">X9</f>
        <v>0.85</v>
      </c>
      <c r="AK9" s="277" cm="1">
        <f t="array" ref="AK9">Y9</f>
        <v>0.9</v>
      </c>
      <c r="AL9" s="277" cm="1">
        <f t="array" ref="AL9">Z9</f>
        <v>0.9</v>
      </c>
      <c r="AM9" s="277" cm="1">
        <f t="array" ref="AM9">AA9</f>
        <v>0.9</v>
      </c>
      <c r="AN9" s="277" cm="1">
        <f t="array" ref="AN9">AB9</f>
        <v>0.9</v>
      </c>
      <c r="AO9" s="277" cm="1">
        <f t="array" ref="AO9">AC9</f>
        <v>0.9</v>
      </c>
      <c r="AP9" s="277" cm="1">
        <f t="array" ref="AP9">AD9</f>
        <v>0.85</v>
      </c>
      <c r="AQ9" s="277" cm="1">
        <f t="array" ref="AQ9">AE9</f>
        <v>0.8</v>
      </c>
      <c r="AR9" s="277" cm="1">
        <f t="array" ref="AR9">AF9</f>
        <v>0.8</v>
      </c>
      <c r="AS9" s="277" cm="1">
        <f t="array" ref="AS9">AG9</f>
        <v>0.8</v>
      </c>
      <c r="AT9" s="278"/>
    </row>
    <row r="10" ht="16" customHeight="1">
      <c r="A10" s="12"/>
      <c r="B10" s="271"/>
      <c r="C10" s="272"/>
      <c r="D10" t="s" s="273">
        <v>779</v>
      </c>
      <c r="E10" s="274"/>
      <c r="F10" s="275"/>
      <c r="G10" s="275"/>
      <c r="H10" s="275"/>
      <c r="I10" s="275" cm="1">
        <f t="array" ref="I10">I6*I7*I8*I9</f>
        <v>241.28</v>
      </c>
      <c r="J10" s="275" cm="1">
        <f t="array" ref="J10">J6*J7*J8*J9</f>
        <v>203.84</v>
      </c>
      <c r="K10" s="275" cm="1">
        <f t="array" ref="K10">K6*K7*K8*K9</f>
        <v>241.28</v>
      </c>
      <c r="L10" s="275" cm="1">
        <f t="array" ref="L10">L6*L7*L8*L9</f>
        <v>256.36</v>
      </c>
      <c r="M10" s="275" cm="1">
        <f t="array" ref="M10">M6*M7*M8*M9</f>
        <v>288.405</v>
      </c>
      <c r="N10" s="275" cm="1">
        <f t="array" ref="N10">N6*N7*N8*N9</f>
        <v>322.335</v>
      </c>
      <c r="O10" s="275" cm="1">
        <f t="array" ref="O10">O6*O7*O8*O9</f>
        <v>351</v>
      </c>
      <c r="P10" s="275" cm="1">
        <f t="array" ref="P10">P6*P7*P8*P9</f>
        <v>351</v>
      </c>
      <c r="Q10" s="275" cm="1">
        <f t="array" ref="Q10">Q6*Q7*Q8*Q9</f>
        <v>305.37</v>
      </c>
      <c r="R10" s="275" cm="1">
        <f t="array" ref="R10">R6*R7*R8*R9</f>
        <v>256.36</v>
      </c>
      <c r="S10" s="275" cm="1">
        <f t="array" ref="S10">S6*S7*S8*S9</f>
        <v>211.12</v>
      </c>
      <c r="T10" s="275" cm="1">
        <f t="array" ref="T10">T6*T7*T8*T9</f>
        <v>241.28</v>
      </c>
      <c r="U10" s="275" cm="1">
        <f t="array" ref="U10">U6*U7*U8*U9</f>
        <v>241.28</v>
      </c>
      <c r="V10" s="275" cm="1">
        <f t="array" ref="V10">V6*V7*V8*V9</f>
        <v>203.84</v>
      </c>
      <c r="W10" s="275" cm="1">
        <f t="array" ref="W10">W6*W7*W8*W9</f>
        <v>241.28</v>
      </c>
      <c r="X10" s="275" cm="1">
        <f t="array" ref="X10">X6*X7*X8*X9</f>
        <v>256.36</v>
      </c>
      <c r="Y10" s="275" cm="1">
        <f t="array" ref="Y10">Y6*Y7*Y8*Y9</f>
        <v>288.405</v>
      </c>
      <c r="Z10" s="275" cm="1">
        <f t="array" ref="Z10">Z6*Z7*Z8*Z9</f>
        <v>322.335</v>
      </c>
      <c r="AA10" s="275" cm="1">
        <f t="array" ref="AA10">AA6*AA7*AA8*AA9</f>
        <v>351</v>
      </c>
      <c r="AB10" s="275" cm="1">
        <f t="array" ref="AB10">AB6*AB7*AB8*AB9</f>
        <v>351</v>
      </c>
      <c r="AC10" s="275" cm="1">
        <f t="array" ref="AC10">AC6*AC7*AC8*AC9</f>
        <v>305.37</v>
      </c>
      <c r="AD10" s="275" cm="1">
        <f t="array" ref="AD10">AD6*AD7*AD8*AD9</f>
        <v>256.36</v>
      </c>
      <c r="AE10" s="275" cm="1">
        <f t="array" ref="AE10">AE6*AE7*AE8*AE9</f>
        <v>211.12</v>
      </c>
      <c r="AF10" s="275" cm="1">
        <f t="array" ref="AF10">AF6*AF7*AF8*AF9</f>
        <v>241.28</v>
      </c>
      <c r="AG10" s="275" cm="1">
        <f t="array" ref="AG10">AG6*AG7*AG8*AG9</f>
        <v>241.28</v>
      </c>
      <c r="AH10" s="275" cm="1">
        <f t="array" ref="AH10">AH6*AH7*AH8*AH9</f>
        <v>203.84</v>
      </c>
      <c r="AI10" s="275" cm="1">
        <f t="array" ref="AI10">AI6*AI7*AI8*AI9</f>
        <v>241.28</v>
      </c>
      <c r="AJ10" s="275" cm="1">
        <f t="array" ref="AJ10">AJ6*AJ7*AJ8*AJ9</f>
        <v>256.36</v>
      </c>
      <c r="AK10" s="275" cm="1">
        <f t="array" ref="AK10">AK6*AK7*AK8*AK9</f>
        <v>288.405</v>
      </c>
      <c r="AL10" s="275" cm="1">
        <f t="array" ref="AL10">AL6*AL7*AL8*AL9</f>
        <v>322.335</v>
      </c>
      <c r="AM10" s="275" cm="1">
        <f t="array" ref="AM10">AM6*AM7*AM8*AM9</f>
        <v>351</v>
      </c>
      <c r="AN10" s="275" cm="1">
        <f t="array" ref="AN10">AN6*AN7*AN8*AN9</f>
        <v>351</v>
      </c>
      <c r="AO10" s="275" cm="1">
        <f t="array" ref="AO10">AO6*AO7*AO8*AO9</f>
        <v>305.37</v>
      </c>
      <c r="AP10" s="275" cm="1">
        <f t="array" ref="AP10">AP6*AP7*AP8*AP9</f>
        <v>256.36</v>
      </c>
      <c r="AQ10" s="275" cm="1">
        <f t="array" ref="AQ10">AQ6*AQ7*AQ8*AQ9</f>
        <v>211.12</v>
      </c>
      <c r="AR10" s="275" cm="1">
        <f t="array" ref="AR10">AR6*AR7*AR8*AR9</f>
        <v>241.28</v>
      </c>
      <c r="AS10" s="275" cm="1">
        <f t="array" ref="AS10">AS6*AS7*AS8*AS9</f>
        <v>241.28</v>
      </c>
      <c r="AT10" s="278"/>
    </row>
    <row r="11" ht="16" customHeight="1">
      <c r="A11" s="12"/>
      <c r="B11" s="271"/>
      <c r="C11" s="272"/>
      <c r="D11" t="s" s="273">
        <v>780</v>
      </c>
      <c r="E11" s="274"/>
      <c r="F11" s="275"/>
      <c r="G11" s="275"/>
      <c r="H11" s="275"/>
      <c r="I11" s="275" cm="1">
        <f t="array" ref="I11">'Project Eldorado ROI in IDR'!$F$8/1000</f>
        <v>1850</v>
      </c>
      <c r="J11" s="275" cm="1">
        <f t="array" ref="J11">'Project Eldorado ROI in IDR'!$D$8/1000</f>
        <v>1800</v>
      </c>
      <c r="K11" s="275" cm="1">
        <f t="array" ref="K11">'Project Eldorado ROI in IDR'!$D$8/1000</f>
        <v>1800</v>
      </c>
      <c r="L11" s="275" cm="1">
        <f t="array" ref="L11">'Project Eldorado ROI in IDR'!$D$8/1000</f>
        <v>1800</v>
      </c>
      <c r="M11" s="275" cm="1">
        <f t="array" ref="M11">'Project Eldorado ROI in IDR'!$F$8/1000</f>
        <v>1850</v>
      </c>
      <c r="N11" s="275" cm="1">
        <f t="array" ref="N11">'Project Eldorado ROI in IDR'!$F$8/1000</f>
        <v>1850</v>
      </c>
      <c r="O11" s="275" cm="1">
        <f t="array" ref="O11">'Project Eldorado ROI in IDR'!$F$8/1000</f>
        <v>1850</v>
      </c>
      <c r="P11" s="275" cm="1">
        <f t="array" ref="P11">'Project Eldorado ROI in IDR'!$F$8/1000</f>
        <v>1850</v>
      </c>
      <c r="Q11" s="275" cm="1">
        <f t="array" ref="Q11">'Project Eldorado ROI in IDR'!$F$8/1000</f>
        <v>1850</v>
      </c>
      <c r="R11" s="275" cm="1">
        <f t="array" ref="R11">'Project Eldorado ROI in IDR'!$D$8/1000</f>
        <v>1800</v>
      </c>
      <c r="S11" s="275" cm="1">
        <f t="array" ref="S11">'Project Eldorado ROI in IDR'!$D$8/1000</f>
        <v>1800</v>
      </c>
      <c r="T11" s="275" cm="1">
        <f t="array" ref="T11">'Project Eldorado ROI in IDR'!$F$8/1000</f>
        <v>1850</v>
      </c>
      <c r="U11" s="275" cm="1">
        <f t="array" ref="U11">I11</f>
        <v>1850</v>
      </c>
      <c r="V11" s="275" cm="1">
        <f t="array" ref="V11">J11</f>
        <v>1800</v>
      </c>
      <c r="W11" s="275" cm="1">
        <f t="array" ref="W11">K11</f>
        <v>1800</v>
      </c>
      <c r="X11" s="275" cm="1">
        <f t="array" ref="X11">L11</f>
        <v>1800</v>
      </c>
      <c r="Y11" s="275" cm="1">
        <f t="array" ref="Y11">M11</f>
        <v>1850</v>
      </c>
      <c r="Z11" s="275" cm="1">
        <f t="array" ref="Z11">N11</f>
        <v>1850</v>
      </c>
      <c r="AA11" s="275" cm="1">
        <f t="array" ref="AA11">O11</f>
        <v>1850</v>
      </c>
      <c r="AB11" s="275" cm="1">
        <f t="array" ref="AB11">P11</f>
        <v>1850</v>
      </c>
      <c r="AC11" s="275" cm="1">
        <f t="array" ref="AC11">Q11</f>
        <v>1850</v>
      </c>
      <c r="AD11" s="275" cm="1">
        <f t="array" ref="AD11">R11</f>
        <v>1800</v>
      </c>
      <c r="AE11" s="275" cm="1">
        <f t="array" ref="AE11">S11</f>
        <v>1800</v>
      </c>
      <c r="AF11" s="275" cm="1">
        <f t="array" ref="AF11">T11</f>
        <v>1850</v>
      </c>
      <c r="AG11" s="275" cm="1">
        <f t="array" ref="AG11">U11</f>
        <v>1850</v>
      </c>
      <c r="AH11" s="275" cm="1">
        <f t="array" ref="AH11">V11</f>
        <v>1800</v>
      </c>
      <c r="AI11" s="275" cm="1">
        <f t="array" ref="AI11">W11</f>
        <v>1800</v>
      </c>
      <c r="AJ11" s="275" cm="1">
        <f t="array" ref="AJ11">X11</f>
        <v>1800</v>
      </c>
      <c r="AK11" s="275" cm="1">
        <f t="array" ref="AK11">Y11</f>
        <v>1850</v>
      </c>
      <c r="AL11" s="275" cm="1">
        <f t="array" ref="AL11">Z11</f>
        <v>1850</v>
      </c>
      <c r="AM11" s="275" cm="1">
        <f t="array" ref="AM11">AA11</f>
        <v>1850</v>
      </c>
      <c r="AN11" s="275" cm="1">
        <f t="array" ref="AN11">AB11</f>
        <v>1850</v>
      </c>
      <c r="AO11" s="275" cm="1">
        <f t="array" ref="AO11">AC11</f>
        <v>1850</v>
      </c>
      <c r="AP11" s="275" cm="1">
        <f t="array" ref="AP11">AD11</f>
        <v>1800</v>
      </c>
      <c r="AQ11" s="275" cm="1">
        <f t="array" ref="AQ11">AE11</f>
        <v>1800</v>
      </c>
      <c r="AR11" s="275" cm="1">
        <f t="array" ref="AR11">AF11</f>
        <v>1850</v>
      </c>
      <c r="AS11" s="275" cm="1">
        <f t="array" ref="AS11">AG11</f>
        <v>1850</v>
      </c>
      <c r="AT11" s="278"/>
    </row>
    <row r="12" ht="16" customHeight="1">
      <c r="A12" s="12"/>
      <c r="B12" s="271"/>
      <c r="C12" s="272"/>
      <c r="D12" t="s" s="273">
        <v>393</v>
      </c>
      <c r="E12" s="274" cm="1">
        <f t="array" ref="E12">50896.35*16272</f>
        <v>828185407.2</v>
      </c>
      <c r="F12" s="282">
        <v>0</v>
      </c>
      <c r="G12" s="282">
        <v>0</v>
      </c>
      <c r="H12" s="282">
        <v>0</v>
      </c>
      <c r="I12" s="275" cm="1">
        <f t="array" ref="I12">I10*I11</f>
        <v>446368</v>
      </c>
      <c r="J12" s="275" cm="1">
        <f t="array" ref="J12">J10*J11</f>
        <v>366912</v>
      </c>
      <c r="K12" s="275" cm="1">
        <f t="array" ref="K12">K10*K11</f>
        <v>434304</v>
      </c>
      <c r="L12" s="275" cm="1">
        <f t="array" ref="L12">L10*L11</f>
        <v>461448</v>
      </c>
      <c r="M12" s="275" cm="1">
        <f t="array" ref="M12">M10*M11</f>
        <v>533549.25</v>
      </c>
      <c r="N12" s="275" cm="1">
        <f t="array" ref="N12">N10*N11</f>
        <v>596319.75</v>
      </c>
      <c r="O12" s="275" cm="1">
        <f t="array" ref="O12">O10*O11</f>
        <v>649350</v>
      </c>
      <c r="P12" s="275" cm="1">
        <f t="array" ref="P12">P10*P11</f>
        <v>649350</v>
      </c>
      <c r="Q12" s="275" cm="1">
        <f t="array" ref="Q12">Q10*Q11</f>
        <v>564934.5</v>
      </c>
      <c r="R12" s="275" cm="1">
        <f t="array" ref="R12">R10*R11</f>
        <v>461448</v>
      </c>
      <c r="S12" s="275" cm="1">
        <f t="array" ref="S12">S10*S11</f>
        <v>380016</v>
      </c>
      <c r="T12" s="275" cm="1">
        <f t="array" ref="T12">T10*T11</f>
        <v>446368</v>
      </c>
      <c r="U12" s="275" cm="1">
        <f t="array" ref="U12">U10*U11</f>
        <v>446368</v>
      </c>
      <c r="V12" s="275" cm="1">
        <f t="array" ref="V12">V10*V11</f>
        <v>366912</v>
      </c>
      <c r="W12" s="275" cm="1">
        <f t="array" ref="W12">W10*W11</f>
        <v>434304</v>
      </c>
      <c r="X12" s="275" cm="1">
        <f t="array" ref="X12">X10*X11</f>
        <v>461448</v>
      </c>
      <c r="Y12" s="275" cm="1">
        <f t="array" ref="Y12">Y10*Y11</f>
        <v>533549.25</v>
      </c>
      <c r="Z12" s="275" cm="1">
        <f t="array" ref="Z12">Z10*Z11</f>
        <v>596319.75</v>
      </c>
      <c r="AA12" s="275" cm="1">
        <f t="array" ref="AA12">AA10*AA11</f>
        <v>649350</v>
      </c>
      <c r="AB12" s="275" cm="1">
        <f t="array" ref="AB12">AB10*AB11</f>
        <v>649350</v>
      </c>
      <c r="AC12" s="275" cm="1">
        <f t="array" ref="AC12">AC10*AC11</f>
        <v>564934.5</v>
      </c>
      <c r="AD12" s="275" cm="1">
        <f t="array" ref="AD12">AD10*AD11</f>
        <v>461448</v>
      </c>
      <c r="AE12" s="275" cm="1">
        <f t="array" ref="AE12">AE10*AE11</f>
        <v>380016</v>
      </c>
      <c r="AF12" s="275" cm="1">
        <f t="array" ref="AF12">AF10*AF11</f>
        <v>446368</v>
      </c>
      <c r="AG12" s="275" cm="1">
        <f t="array" ref="AG12">AG10*AG11</f>
        <v>446368</v>
      </c>
      <c r="AH12" s="275" cm="1">
        <f t="array" ref="AH12">AH10*AH11</f>
        <v>366912</v>
      </c>
      <c r="AI12" s="275" cm="1">
        <f t="array" ref="AI12">AI10*AI11</f>
        <v>434304</v>
      </c>
      <c r="AJ12" s="275" cm="1">
        <f t="array" ref="AJ12">AJ10*AJ11</f>
        <v>461448</v>
      </c>
      <c r="AK12" s="275" cm="1">
        <f t="array" ref="AK12">AK10*AK11</f>
        <v>533549.25</v>
      </c>
      <c r="AL12" s="275" cm="1">
        <f t="array" ref="AL12">AL10*AL11</f>
        <v>596319.75</v>
      </c>
      <c r="AM12" s="275" cm="1">
        <f t="array" ref="AM12">AM10*AM11</f>
        <v>649350</v>
      </c>
      <c r="AN12" s="275" cm="1">
        <f t="array" ref="AN12">AN10*AN11</f>
        <v>649350</v>
      </c>
      <c r="AO12" s="275" cm="1">
        <f t="array" ref="AO12">AO10*AO11</f>
        <v>564934.5</v>
      </c>
      <c r="AP12" s="275" cm="1">
        <f t="array" ref="AP12">AP10*AP11</f>
        <v>461448</v>
      </c>
      <c r="AQ12" s="275" cm="1">
        <f t="array" ref="AQ12">AQ10*AQ11</f>
        <v>380016</v>
      </c>
      <c r="AR12" s="275" cm="1">
        <f t="array" ref="AR12">AR10*AR11</f>
        <v>446368</v>
      </c>
      <c r="AS12" s="275" cm="1">
        <f t="array" ref="AS12">AS10*AS11</f>
        <v>446368</v>
      </c>
      <c r="AT12" s="276"/>
    </row>
    <row r="13" ht="16" customHeight="1">
      <c r="A13" s="12"/>
      <c r="B13" s="271"/>
      <c r="C13" s="272"/>
      <c r="D13" s="300"/>
      <c r="E13" s="274"/>
      <c r="F13" s="275"/>
      <c r="G13" s="275"/>
      <c r="H13" s="275"/>
      <c r="I13" s="275"/>
      <c r="J13" s="275"/>
      <c r="K13" s="275"/>
      <c r="L13" s="279"/>
      <c r="M13" s="275"/>
      <c r="N13" s="275"/>
      <c r="O13" s="275"/>
      <c r="P13" s="275"/>
      <c r="Q13" s="275"/>
      <c r="R13" s="275"/>
      <c r="S13" s="275"/>
      <c r="T13" s="275"/>
      <c r="U13" s="275"/>
      <c r="V13" s="275"/>
      <c r="W13" s="275"/>
      <c r="X13" s="275"/>
      <c r="Y13" s="275"/>
      <c r="Z13" s="275"/>
      <c r="AA13" s="275"/>
      <c r="AB13" s="275"/>
      <c r="AC13" s="275"/>
      <c r="AD13" s="275"/>
      <c r="AE13" s="275"/>
      <c r="AF13" s="275"/>
      <c r="AG13" s="275"/>
      <c r="AH13" s="275"/>
      <c r="AI13" s="275"/>
      <c r="AJ13" s="275"/>
      <c r="AK13" s="275"/>
      <c r="AL13" s="275"/>
      <c r="AM13" s="275"/>
      <c r="AN13" s="275"/>
      <c r="AO13" s="275"/>
      <c r="AP13" s="275"/>
      <c r="AQ13" s="275"/>
      <c r="AR13" s="275"/>
      <c r="AS13" s="275"/>
      <c r="AT13" s="276"/>
    </row>
    <row r="14" ht="16" customHeight="1">
      <c r="A14" s="12"/>
      <c r="B14" t="s" s="264">
        <v>395</v>
      </c>
      <c r="C14" s="272"/>
      <c r="D14" s="280"/>
      <c r="E14" s="274" cm="1">
        <f t="array" ref="E14">50896.35*16272</f>
        <v>828185407.2</v>
      </c>
      <c r="F14" s="275"/>
      <c r="G14" s="275"/>
      <c r="H14" s="275"/>
      <c r="I14" s="275"/>
      <c r="J14" s="275"/>
      <c r="K14" s="275"/>
      <c r="L14" s="275"/>
      <c r="M14" s="275"/>
      <c r="N14" s="275"/>
      <c r="O14" s="275"/>
      <c r="P14" s="275"/>
      <c r="Q14" s="275"/>
      <c r="R14" s="275"/>
      <c r="S14" s="275"/>
      <c r="T14" s="275"/>
      <c r="U14" s="275"/>
      <c r="V14" s="275"/>
      <c r="W14" s="275"/>
      <c r="X14" s="275"/>
      <c r="Y14" s="275"/>
      <c r="Z14" s="275"/>
      <c r="AA14" s="275"/>
      <c r="AB14" s="275"/>
      <c r="AC14" s="275"/>
      <c r="AD14" s="275"/>
      <c r="AE14" s="275"/>
      <c r="AF14" s="275"/>
      <c r="AG14" s="275"/>
      <c r="AH14" s="275"/>
      <c r="AI14" s="275"/>
      <c r="AJ14" s="275"/>
      <c r="AK14" s="275"/>
      <c r="AL14" s="275"/>
      <c r="AM14" s="275"/>
      <c r="AN14" s="275"/>
      <c r="AO14" s="275"/>
      <c r="AP14" s="275"/>
      <c r="AQ14" s="275"/>
      <c r="AR14" s="275"/>
      <c r="AS14" s="275"/>
      <c r="AT14" s="276"/>
    </row>
    <row r="15" ht="15" customHeight="1">
      <c r="A15" s="12"/>
      <c r="B15" s="283"/>
      <c r="C15" s="272"/>
      <c r="D15" t="str" s="896" cm="1">
        <f t="array" ref="D15">'Project Eldorado ROI in IDR'!B11</f>
        <v>Guides Salary &amp; Tax</v>
      </c>
      <c r="E15" s="274" cm="1">
        <f t="array" ref="E15">50896.35*16272</f>
        <v>828185407.2</v>
      </c>
      <c r="F15" s="282">
        <v>0</v>
      </c>
      <c r="G15" s="282">
        <v>0</v>
      </c>
      <c r="H15" s="282">
        <v>0</v>
      </c>
      <c r="I15" s="282" cm="1">
        <f t="array" ref="I15">-'Shared Boats 2026 Target'!$E$268*I7*I8/1000</f>
        <v>-40623.2</v>
      </c>
      <c r="J15" s="282" cm="1">
        <f t="array" ref="J15">-'Shared Boats 2026 Target'!$E$268*J7*J8/1000</f>
        <v>-34319.6</v>
      </c>
      <c r="K15" s="282" cm="1">
        <f t="array" ref="K15">-'Shared Boats 2026 Target'!$E$268*K7*K8/1000</f>
        <v>-40623.2</v>
      </c>
      <c r="L15" s="282" cm="1">
        <f t="array" ref="L15">-'Shared Boats 2026 Target'!$E$268*L7*L8/1000</f>
        <v>-40623.2</v>
      </c>
      <c r="M15" s="282" cm="1">
        <f t="array" ref="M15">-'Shared Boats 2026 Target'!$E$268*M7*M8/1000</f>
        <v>-43162.15</v>
      </c>
      <c r="N15" s="282" cm="1">
        <f t="array" ref="N15">-'Shared Boats 2026 Target'!$E$268*N7*N8/1000</f>
        <v>-48240.05</v>
      </c>
      <c r="O15" s="282" cm="1">
        <f t="array" ref="O15">-'Shared Boats 2026 Target'!$E$268*O7*O8/1000</f>
        <v>-52530</v>
      </c>
      <c r="P15" s="282" cm="1">
        <f t="array" ref="P15">-'Shared Boats 2026 Target'!$E$268*P7*P8/1000</f>
        <v>-52530</v>
      </c>
      <c r="Q15" s="282" cm="1">
        <f t="array" ref="Q15">-'Shared Boats 2026 Target'!$E$268*Q7*Q8/1000</f>
        <v>-45701.1</v>
      </c>
      <c r="R15" s="282" cm="1">
        <f t="array" ref="R15">-'Shared Boats 2026 Target'!$E$268*R7*R8/1000</f>
        <v>-40623.2</v>
      </c>
      <c r="S15" s="282" cm="1">
        <f t="array" ref="S15">-'Shared Boats 2026 Target'!$E$268*S7*S8/1000</f>
        <v>-35545.3</v>
      </c>
      <c r="T15" s="282" cm="1">
        <f t="array" ref="T15">-'Shared Boats 2026 Target'!$E$268*T7*T8/1000</f>
        <v>-40623.2</v>
      </c>
      <c r="U15" s="282" cm="1">
        <f t="array" ref="U15">-'Shared Boats 2026 Target'!$E$268*U7*U8/1000</f>
        <v>-40623.2</v>
      </c>
      <c r="V15" s="282" cm="1">
        <f t="array" ref="V15">-'Shared Boats 2026 Target'!$E$268*V7*V8/1000</f>
        <v>-34319.6</v>
      </c>
      <c r="W15" s="282" cm="1">
        <f t="array" ref="W15">-'Shared Boats 2026 Target'!$E$268*W7*W8/1000</f>
        <v>-40623.2</v>
      </c>
      <c r="X15" s="282" cm="1">
        <f t="array" ref="X15">-'Shared Boats 2026 Target'!$E$268*X7*X8/1000</f>
        <v>-40623.2</v>
      </c>
      <c r="Y15" s="282" cm="1">
        <f t="array" ref="Y15">-'Shared Boats 2026 Target'!$E$268*Y7*Y8/1000</f>
        <v>-43162.15</v>
      </c>
      <c r="Z15" s="282" cm="1">
        <f t="array" ref="Z15">-'Shared Boats 2026 Target'!$E$268*Z7*Z8/1000</f>
        <v>-48240.05</v>
      </c>
      <c r="AA15" s="282" cm="1">
        <f t="array" ref="AA15">-'Shared Boats 2026 Target'!$E$268*AA7*AA8/1000</f>
        <v>-52530</v>
      </c>
      <c r="AB15" s="282" cm="1">
        <f t="array" ref="AB15">-'Shared Boats 2026 Target'!$E$268*AB7*AB8/1000</f>
        <v>-52530</v>
      </c>
      <c r="AC15" s="282" cm="1">
        <f t="array" ref="AC15">-'Shared Boats 2026 Target'!$E$268*AC7*AC8/1000</f>
        <v>-45701.1</v>
      </c>
      <c r="AD15" s="282" cm="1">
        <f t="array" ref="AD15">-'Shared Boats 2026 Target'!$E$268*AD7*AD8/1000</f>
        <v>-40623.2</v>
      </c>
      <c r="AE15" s="282" cm="1">
        <f t="array" ref="AE15">-'Shared Boats 2026 Target'!$E$268*AE7*AE8/1000</f>
        <v>-35545.3</v>
      </c>
      <c r="AF15" s="282" cm="1">
        <f t="array" ref="AF15">-'Shared Boats 2026 Target'!$E$268*AF7*AF8/1000</f>
        <v>-40623.2</v>
      </c>
      <c r="AG15" s="282" cm="1">
        <f t="array" ref="AG15">-'Shared Boats 2026 Target'!$E$268*AG7*AG8/1000</f>
        <v>-40623.2</v>
      </c>
      <c r="AH15" s="282" cm="1">
        <f t="array" ref="AH15">-'Shared Boats 2026 Target'!$E$268*AH7*AH8/1000</f>
        <v>-34319.6</v>
      </c>
      <c r="AI15" s="282" cm="1">
        <f t="array" ref="AI15">-'Shared Boats 2026 Target'!$E$268*AI7*AI8/1000</f>
        <v>-40623.2</v>
      </c>
      <c r="AJ15" s="282" cm="1">
        <f t="array" ref="AJ15">-'Shared Boats 2026 Target'!$E$268*AJ7*AJ8/1000</f>
        <v>-40623.2</v>
      </c>
      <c r="AK15" s="282" cm="1">
        <f t="array" ref="AK15">-'Shared Boats 2026 Target'!$E$268*AK7*AK8/1000</f>
        <v>-43162.15</v>
      </c>
      <c r="AL15" s="282" cm="1">
        <f t="array" ref="AL15">-'Shared Boats 2026 Target'!$E$268*AL7*AL8/1000</f>
        <v>-48240.05</v>
      </c>
      <c r="AM15" s="282" cm="1">
        <f t="array" ref="AM15">-'Shared Boats 2026 Target'!$E$268*AM7*AM8/1000</f>
        <v>-52530</v>
      </c>
      <c r="AN15" s="282" cm="1">
        <f t="array" ref="AN15">-'Shared Boats 2026 Target'!$E$268*AN7*AN8/1000</f>
        <v>-52530</v>
      </c>
      <c r="AO15" s="282" cm="1">
        <f t="array" ref="AO15">-'Shared Boats 2026 Target'!$E$268*AO7*AO8/1000</f>
        <v>-45701.1</v>
      </c>
      <c r="AP15" s="282" cm="1">
        <f t="array" ref="AP15">-'Shared Boats 2026 Target'!$E$268*AP7*AP8/1000</f>
        <v>-40623.2</v>
      </c>
      <c r="AQ15" s="282" cm="1">
        <f t="array" ref="AQ15">-'Shared Boats 2026 Target'!$E$268*AQ7*AQ8/1000</f>
        <v>-35545.3</v>
      </c>
      <c r="AR15" s="282" cm="1">
        <f t="array" ref="AR15">-'Shared Boats 2026 Target'!$E$268*AR7*AR8/1000</f>
        <v>-40623.2</v>
      </c>
      <c r="AS15" s="282" cm="1">
        <f t="array" ref="AS15">-'Shared Boats 2026 Target'!$E$268*AS7*AS8/1000</f>
        <v>-40623.2</v>
      </c>
      <c r="AT15" s="284"/>
    </row>
    <row r="16" ht="15" customHeight="1">
      <c r="A16" s="12"/>
      <c r="B16" s="283"/>
      <c r="C16" s="272"/>
      <c r="D16" t="str" s="896" cm="1">
        <f t="array" ref="D16">'Project Eldorado ROI in IDR'!B12</f>
        <v>Towels</v>
      </c>
      <c r="E16" s="274"/>
      <c r="F16" s="282">
        <v>0</v>
      </c>
      <c r="G16" s="282">
        <v>0</v>
      </c>
      <c r="H16" s="282">
        <v>0</v>
      </c>
      <c r="I16" s="282" cm="1">
        <f t="array" ref="I16">-'Shared Boats 2026 Target'!$F$268*I7*I8/1000</f>
        <v>-1531.2</v>
      </c>
      <c r="J16" s="282" cm="1">
        <f t="array" ref="J16">-'Shared Boats 2026 Target'!$F$268*J7*J8/1000</f>
        <v>-1293.6</v>
      </c>
      <c r="K16" s="282" cm="1">
        <f t="array" ref="K16">-'Shared Boats 2026 Target'!$F$268*K7*K8/1000</f>
        <v>-1531.2</v>
      </c>
      <c r="L16" s="282" cm="1">
        <f t="array" ref="L16">-'Shared Boats 2026 Target'!$F$268*L7*L8/1000</f>
        <v>-1531.2</v>
      </c>
      <c r="M16" s="282" cm="1">
        <f t="array" ref="M16">-'Shared Boats 2026 Target'!$F$268*M7*M8/1000</f>
        <v>-1626.9</v>
      </c>
      <c r="N16" s="282" cm="1">
        <f t="array" ref="N16">-'Shared Boats 2026 Target'!$F$268*N7*N8/1000</f>
        <v>-1818.3</v>
      </c>
      <c r="O16" s="282" cm="1">
        <f t="array" ref="O16">-'Shared Boats 2026 Target'!$F$268*O7*O8/1000</f>
        <v>-1980</v>
      </c>
      <c r="P16" s="282" cm="1">
        <f t="array" ref="P16">-'Shared Boats 2026 Target'!$F$268*P7*P8/1000</f>
        <v>-1980</v>
      </c>
      <c r="Q16" s="282" cm="1">
        <f t="array" ref="Q16">-'Shared Boats 2026 Target'!$F$268*Q7*Q8/1000</f>
        <v>-1722.6</v>
      </c>
      <c r="R16" s="282" cm="1">
        <f t="array" ref="R16">-'Shared Boats 2026 Target'!$F$268*R7*R8/1000</f>
        <v>-1531.2</v>
      </c>
      <c r="S16" s="282" cm="1">
        <f t="array" ref="S16">-'Shared Boats 2026 Target'!$F$268*S7*S8/1000</f>
        <v>-1339.8</v>
      </c>
      <c r="T16" s="282" cm="1">
        <f t="array" ref="T16">-'Shared Boats 2026 Target'!$F$268*T7*T8/1000</f>
        <v>-1531.2</v>
      </c>
      <c r="U16" s="282" cm="1">
        <f t="array" ref="U16">-'Shared Boats 2026 Target'!$F$268*U7*U8/1000</f>
        <v>-1531.2</v>
      </c>
      <c r="V16" s="282" cm="1">
        <f t="array" ref="V16">-'Shared Boats 2026 Target'!$F$268*V7*V8/1000</f>
        <v>-1293.6</v>
      </c>
      <c r="W16" s="282" cm="1">
        <f t="array" ref="W16">-'Shared Boats 2026 Target'!$F$268*W7*W8/1000</f>
        <v>-1531.2</v>
      </c>
      <c r="X16" s="282" cm="1">
        <f t="array" ref="X16">-'Shared Boats 2026 Target'!$F$268*X7*X8/1000</f>
        <v>-1531.2</v>
      </c>
      <c r="Y16" s="282" cm="1">
        <f t="array" ref="Y16">-'Shared Boats 2026 Target'!$F$268*Y7*Y8/1000</f>
        <v>-1626.9</v>
      </c>
      <c r="Z16" s="282" cm="1">
        <f t="array" ref="Z16">-'Shared Boats 2026 Target'!$F$268*Z7*Z8/1000</f>
        <v>-1818.3</v>
      </c>
      <c r="AA16" s="282" cm="1">
        <f t="array" ref="AA16">-'Shared Boats 2026 Target'!$F$268*AA7*AA8/1000</f>
        <v>-1980</v>
      </c>
      <c r="AB16" s="282" cm="1">
        <f t="array" ref="AB16">-'Shared Boats 2026 Target'!$F$268*AB7*AB8/1000</f>
        <v>-1980</v>
      </c>
      <c r="AC16" s="282" cm="1">
        <f t="array" ref="AC16">-'Shared Boats 2026 Target'!$F$268*AC7*AC8/1000</f>
        <v>-1722.6</v>
      </c>
      <c r="AD16" s="282" cm="1">
        <f t="array" ref="AD16">-'Shared Boats 2026 Target'!$F$268*AD7*AD8/1000</f>
        <v>-1531.2</v>
      </c>
      <c r="AE16" s="282" cm="1">
        <f t="array" ref="AE16">-'Shared Boats 2026 Target'!$F$268*AE7*AE8/1000</f>
        <v>-1339.8</v>
      </c>
      <c r="AF16" s="282" cm="1">
        <f t="array" ref="AF16">-'Shared Boats 2026 Target'!$F$268*AF7*AF8/1000</f>
        <v>-1531.2</v>
      </c>
      <c r="AG16" s="282" cm="1">
        <f t="array" ref="AG16">-'Shared Boats 2026 Target'!$F$268*AG7*AG8/1000</f>
        <v>-1531.2</v>
      </c>
      <c r="AH16" s="282" cm="1">
        <f t="array" ref="AH16">-'Shared Boats 2026 Target'!$F$268*AH7*AH8/1000</f>
        <v>-1293.6</v>
      </c>
      <c r="AI16" s="282" cm="1">
        <f t="array" ref="AI16">-'Shared Boats 2026 Target'!$F$268*AI7*AI8/1000</f>
        <v>-1531.2</v>
      </c>
      <c r="AJ16" s="282" cm="1">
        <f t="array" ref="AJ16">-'Shared Boats 2026 Target'!$F$268*AJ7*AJ8/1000</f>
        <v>-1531.2</v>
      </c>
      <c r="AK16" s="282" cm="1">
        <f t="array" ref="AK16">-'Shared Boats 2026 Target'!$F$268*AK7*AK8/1000</f>
        <v>-1626.9</v>
      </c>
      <c r="AL16" s="282" cm="1">
        <f t="array" ref="AL16">-'Shared Boats 2026 Target'!$F$268*AL7*AL8/1000</f>
        <v>-1818.3</v>
      </c>
      <c r="AM16" s="282" cm="1">
        <f t="array" ref="AM16">-'Shared Boats 2026 Target'!$F$268*AM7*AM8/1000</f>
        <v>-1980</v>
      </c>
      <c r="AN16" s="282" cm="1">
        <f t="array" ref="AN16">-'Shared Boats 2026 Target'!$F$268*AN7*AN8/1000</f>
        <v>-1980</v>
      </c>
      <c r="AO16" s="282" cm="1">
        <f t="array" ref="AO16">-'Shared Boats 2026 Target'!$F$268*AO7*AO8/1000</f>
        <v>-1722.6</v>
      </c>
      <c r="AP16" s="282" cm="1">
        <f t="array" ref="AP16">-'Shared Boats 2026 Target'!$F$268*AP7*AP8/1000</f>
        <v>-1531.2</v>
      </c>
      <c r="AQ16" s="282" cm="1">
        <f t="array" ref="AQ16">-'Shared Boats 2026 Target'!$F$268*AQ7*AQ8/1000</f>
        <v>-1339.8</v>
      </c>
      <c r="AR16" s="282" cm="1">
        <f t="array" ref="AR16">-'Shared Boats 2026 Target'!$F$268*AR7*AR8/1000</f>
        <v>-1531.2</v>
      </c>
      <c r="AS16" s="282" cm="1">
        <f t="array" ref="AS16">-'Shared Boats 2026 Target'!$F$268*AS7*AS8/1000</f>
        <v>-1531.2</v>
      </c>
      <c r="AT16" s="284"/>
    </row>
    <row r="17" ht="15" customHeight="1">
      <c r="A17" s="12"/>
      <c r="B17" s="283"/>
      <c r="C17" s="272"/>
      <c r="D17" t="str" s="896" cm="1">
        <f t="array" ref="D17">'Project Eldorado ROI in IDR'!B13</f>
        <v>Ice &amp; Water</v>
      </c>
      <c r="E17" s="274"/>
      <c r="F17" s="282">
        <v>0</v>
      </c>
      <c r="G17" s="282">
        <v>0</v>
      </c>
      <c r="H17" s="282">
        <v>0</v>
      </c>
      <c r="I17" s="282" cm="1">
        <f t="array" ref="I17">-'Shared Boats 2026 Target'!$G$268*I7*I8/1000</f>
        <v>-2088</v>
      </c>
      <c r="J17" s="282" cm="1">
        <f t="array" ref="J17">-'Shared Boats 2026 Target'!$G$268*J7*J8/1000</f>
        <v>-1764</v>
      </c>
      <c r="K17" s="282" cm="1">
        <f t="array" ref="K17">-'Shared Boats 2026 Target'!$G$268*K7*K8/1000</f>
        <v>-2088</v>
      </c>
      <c r="L17" s="282" cm="1">
        <f t="array" ref="L17">-'Shared Boats 2026 Target'!$G$268*L7*L8/1000</f>
        <v>-2088</v>
      </c>
      <c r="M17" s="282" cm="1">
        <f t="array" ref="M17">-'Shared Boats 2026 Target'!$G$268*M7*M8/1000</f>
        <v>-2218.5</v>
      </c>
      <c r="N17" s="282" cm="1">
        <f t="array" ref="N17">-'Shared Boats 2026 Target'!$G$268*N7*N8/1000</f>
        <v>-2479.5</v>
      </c>
      <c r="O17" s="282" cm="1">
        <f t="array" ref="O17">-'Shared Boats 2026 Target'!$G$268*O7*O8/1000</f>
        <v>-2700</v>
      </c>
      <c r="P17" s="282" cm="1">
        <f t="array" ref="P17">-'Shared Boats 2026 Target'!$G$268*P7*P8/1000</f>
        <v>-2700</v>
      </c>
      <c r="Q17" s="282" cm="1">
        <f t="array" ref="Q17">-'Shared Boats 2026 Target'!$G$268*Q7*Q8/1000</f>
        <v>-2349</v>
      </c>
      <c r="R17" s="282" cm="1">
        <f t="array" ref="R17">-'Shared Boats 2026 Target'!$G$268*R7*R8/1000</f>
        <v>-2088</v>
      </c>
      <c r="S17" s="282" cm="1">
        <f t="array" ref="S17">-'Shared Boats 2026 Target'!$G$268*S7*S8/1000</f>
        <v>-1827</v>
      </c>
      <c r="T17" s="282" cm="1">
        <f t="array" ref="T17">-'Shared Boats 2026 Target'!$G$268*T7*T8/1000</f>
        <v>-2088</v>
      </c>
      <c r="U17" s="282" cm="1">
        <f t="array" ref="U17">-'Shared Boats 2026 Target'!$G$268*U7*U8/1000</f>
        <v>-2088</v>
      </c>
      <c r="V17" s="282" cm="1">
        <f t="array" ref="V17">-'Shared Boats 2026 Target'!$G$268*V7*V8/1000</f>
        <v>-1764</v>
      </c>
      <c r="W17" s="282" cm="1">
        <f t="array" ref="W17">-'Shared Boats 2026 Target'!$G$268*W7*W8/1000</f>
        <v>-2088</v>
      </c>
      <c r="X17" s="282" cm="1">
        <f t="array" ref="X17">-'Shared Boats 2026 Target'!$G$268*X7*X8/1000</f>
        <v>-2088</v>
      </c>
      <c r="Y17" s="282" cm="1">
        <f t="array" ref="Y17">-'Shared Boats 2026 Target'!$G$268*Y7*Y8/1000</f>
        <v>-2218.5</v>
      </c>
      <c r="Z17" s="282" cm="1">
        <f t="array" ref="Z17">-'Shared Boats 2026 Target'!$G$268*Z7*Z8/1000</f>
        <v>-2479.5</v>
      </c>
      <c r="AA17" s="282" cm="1">
        <f t="array" ref="AA17">-'Shared Boats 2026 Target'!$G$268*AA7*AA8/1000</f>
        <v>-2700</v>
      </c>
      <c r="AB17" s="282" cm="1">
        <f t="array" ref="AB17">-'Shared Boats 2026 Target'!$G$268*AB7*AB8/1000</f>
        <v>-2700</v>
      </c>
      <c r="AC17" s="282" cm="1">
        <f t="array" ref="AC17">-'Shared Boats 2026 Target'!$G$268*AC7*AC8/1000</f>
        <v>-2349</v>
      </c>
      <c r="AD17" s="282" cm="1">
        <f t="array" ref="AD17">-'Shared Boats 2026 Target'!$G$268*AD7*AD8/1000</f>
        <v>-2088</v>
      </c>
      <c r="AE17" s="282" cm="1">
        <f t="array" ref="AE17">-'Shared Boats 2026 Target'!$G$268*AE7*AE8/1000</f>
        <v>-1827</v>
      </c>
      <c r="AF17" s="282" cm="1">
        <f t="array" ref="AF17">-'Shared Boats 2026 Target'!$G$268*AF7*AF8/1000</f>
        <v>-2088</v>
      </c>
      <c r="AG17" s="282" cm="1">
        <f t="array" ref="AG17">-'Shared Boats 2026 Target'!$G$268*AG7*AG8/1000</f>
        <v>-2088</v>
      </c>
      <c r="AH17" s="282" cm="1">
        <f t="array" ref="AH17">-'Shared Boats 2026 Target'!$G$268*AH7*AH8/1000</f>
        <v>-1764</v>
      </c>
      <c r="AI17" s="282" cm="1">
        <f t="array" ref="AI17">-'Shared Boats 2026 Target'!$G$268*AI7*AI8/1000</f>
        <v>-2088</v>
      </c>
      <c r="AJ17" s="282" cm="1">
        <f t="array" ref="AJ17">-'Shared Boats 2026 Target'!$G$268*AJ7*AJ8/1000</f>
        <v>-2088</v>
      </c>
      <c r="AK17" s="282" cm="1">
        <f t="array" ref="AK17">-'Shared Boats 2026 Target'!$G$268*AK7*AK8/1000</f>
        <v>-2218.5</v>
      </c>
      <c r="AL17" s="282" cm="1">
        <f t="array" ref="AL17">-'Shared Boats 2026 Target'!$G$268*AL7*AL8/1000</f>
        <v>-2479.5</v>
      </c>
      <c r="AM17" s="282" cm="1">
        <f t="array" ref="AM17">-'Shared Boats 2026 Target'!$G$268*AM7*AM8/1000</f>
        <v>-2700</v>
      </c>
      <c r="AN17" s="282" cm="1">
        <f t="array" ref="AN17">-'Shared Boats 2026 Target'!$G$268*AN7*AN8/1000</f>
        <v>-2700</v>
      </c>
      <c r="AO17" s="282" cm="1">
        <f t="array" ref="AO17">-'Shared Boats 2026 Target'!$G$268*AO7*AO8/1000</f>
        <v>-2349</v>
      </c>
      <c r="AP17" s="282" cm="1">
        <f t="array" ref="AP17">-'Shared Boats 2026 Target'!$G$268*AP7*AP8/1000</f>
        <v>-2088</v>
      </c>
      <c r="AQ17" s="282" cm="1">
        <f t="array" ref="AQ17">-'Shared Boats 2026 Target'!$G$268*AQ7*AQ8/1000</f>
        <v>-1827</v>
      </c>
      <c r="AR17" s="282" cm="1">
        <f t="array" ref="AR17">-'Shared Boats 2026 Target'!$G$268*AR7*AR8/1000</f>
        <v>-2088</v>
      </c>
      <c r="AS17" s="282" cm="1">
        <f t="array" ref="AS17">-'Shared Boats 2026 Target'!$G$268*AS7*AS8/1000</f>
        <v>-2088</v>
      </c>
      <c r="AT17" s="284"/>
    </row>
    <row r="18" ht="15" customHeight="1">
      <c r="A18" s="12"/>
      <c r="B18" s="283"/>
      <c r="C18" s="272"/>
      <c r="D18" t="str" s="896" cm="1">
        <f t="array" ref="D18">'Project Eldorado ROI in IDR'!B14</f>
        <v>Seran Retribution</v>
      </c>
      <c r="E18" s="274"/>
      <c r="F18" s="282">
        <v>0</v>
      </c>
      <c r="G18" s="282">
        <v>0</v>
      </c>
      <c r="H18" s="282">
        <v>0</v>
      </c>
      <c r="I18" s="282" cm="1">
        <f t="array" ref="I18">-'Shared Boats 2026 Target'!$H$268*I7*I8/1000</f>
        <v>-10672</v>
      </c>
      <c r="J18" s="282" cm="1">
        <f t="array" ref="J18">-'Shared Boats 2026 Target'!$H$268*J7*J8/1000</f>
        <v>-9016</v>
      </c>
      <c r="K18" s="282" cm="1">
        <f t="array" ref="K18">-'Shared Boats 2026 Target'!$H$268*K7*K8/1000</f>
        <v>-10672</v>
      </c>
      <c r="L18" s="282" cm="1">
        <f t="array" ref="L18">-'Shared Boats 2026 Target'!$H$268*L7*L8/1000</f>
        <v>-10672</v>
      </c>
      <c r="M18" s="282" cm="1">
        <f t="array" ref="M18">-'Shared Boats 2026 Target'!$H$268*M7*M8/1000</f>
        <v>-11339</v>
      </c>
      <c r="N18" s="282" cm="1">
        <f t="array" ref="N18">-'Shared Boats 2026 Target'!$H$268*N7*N8/1000</f>
        <v>-12673</v>
      </c>
      <c r="O18" s="282" cm="1">
        <f t="array" ref="O18">-'Shared Boats 2026 Target'!$H$268*O7*O8/1000</f>
        <v>-13800</v>
      </c>
      <c r="P18" s="282" cm="1">
        <f t="array" ref="P18">-'Shared Boats 2026 Target'!$H$268*P7*P8/1000</f>
        <v>-13800</v>
      </c>
      <c r="Q18" s="282" cm="1">
        <f t="array" ref="Q18">-'Shared Boats 2026 Target'!$H$268*Q7*Q8/1000</f>
        <v>-12006</v>
      </c>
      <c r="R18" s="282" cm="1">
        <f t="array" ref="R18">-'Shared Boats 2026 Target'!$H$268*R7*R8/1000</f>
        <v>-10672</v>
      </c>
      <c r="S18" s="282" cm="1">
        <f t="array" ref="S18">-'Shared Boats 2026 Target'!$H$268*S7*S8/1000</f>
        <v>-9338</v>
      </c>
      <c r="T18" s="282" cm="1">
        <f t="array" ref="T18">-'Shared Boats 2026 Target'!$H$268*T7*T8/1000</f>
        <v>-10672</v>
      </c>
      <c r="U18" s="282" cm="1">
        <f t="array" ref="U18">-'Shared Boats 2026 Target'!$H$268*U7*U8/1000</f>
        <v>-10672</v>
      </c>
      <c r="V18" s="282" cm="1">
        <f t="array" ref="V18">-'Shared Boats 2026 Target'!$H$268*V7*V8/1000</f>
        <v>-9016</v>
      </c>
      <c r="W18" s="282" cm="1">
        <f t="array" ref="W18">-'Shared Boats 2026 Target'!$H$268*W7*W8/1000</f>
        <v>-10672</v>
      </c>
      <c r="X18" s="282" cm="1">
        <f t="array" ref="X18">-'Shared Boats 2026 Target'!$H$268*X7*X8/1000</f>
        <v>-10672</v>
      </c>
      <c r="Y18" s="282" cm="1">
        <f t="array" ref="Y18">-'Shared Boats 2026 Target'!$H$268*Y7*Y8/1000</f>
        <v>-11339</v>
      </c>
      <c r="Z18" s="282" cm="1">
        <f t="array" ref="Z18">-'Shared Boats 2026 Target'!$H$268*Z7*Z8/1000</f>
        <v>-12673</v>
      </c>
      <c r="AA18" s="282" cm="1">
        <f t="array" ref="AA18">-'Shared Boats 2026 Target'!$H$268*AA7*AA8/1000</f>
        <v>-13800</v>
      </c>
      <c r="AB18" s="282" cm="1">
        <f t="array" ref="AB18">-'Shared Boats 2026 Target'!$H$268*AB7*AB8/1000</f>
        <v>-13800</v>
      </c>
      <c r="AC18" s="282" cm="1">
        <f t="array" ref="AC18">-'Shared Boats 2026 Target'!$H$268*AC7*AC8/1000</f>
        <v>-12006</v>
      </c>
      <c r="AD18" s="282" cm="1">
        <f t="array" ref="AD18">-'Shared Boats 2026 Target'!$H$268*AD7*AD8/1000</f>
        <v>-10672</v>
      </c>
      <c r="AE18" s="282" cm="1">
        <f t="array" ref="AE18">-'Shared Boats 2026 Target'!$H$268*AE7*AE8/1000</f>
        <v>-9338</v>
      </c>
      <c r="AF18" s="282" cm="1">
        <f t="array" ref="AF18">-'Shared Boats 2026 Target'!$H$268*AF7*AF8/1000</f>
        <v>-10672</v>
      </c>
      <c r="AG18" s="282" cm="1">
        <f t="array" ref="AG18">-'Shared Boats 2026 Target'!$H$268*AG7*AG8/1000</f>
        <v>-10672</v>
      </c>
      <c r="AH18" s="282" cm="1">
        <f t="array" ref="AH18">-'Shared Boats 2026 Target'!$H$268*AH7*AH8/1000</f>
        <v>-9016</v>
      </c>
      <c r="AI18" s="282" cm="1">
        <f t="array" ref="AI18">-'Shared Boats 2026 Target'!$H$268*AI7*AI8/1000</f>
        <v>-10672</v>
      </c>
      <c r="AJ18" s="282" cm="1">
        <f t="array" ref="AJ18">-'Shared Boats 2026 Target'!$H$268*AJ7*AJ8/1000</f>
        <v>-10672</v>
      </c>
      <c r="AK18" s="282" cm="1">
        <f t="array" ref="AK18">-'Shared Boats 2026 Target'!$H$268*AK7*AK8/1000</f>
        <v>-11339</v>
      </c>
      <c r="AL18" s="282" cm="1">
        <f t="array" ref="AL18">-'Shared Boats 2026 Target'!$H$268*AL7*AL8/1000</f>
        <v>-12673</v>
      </c>
      <c r="AM18" s="282" cm="1">
        <f t="array" ref="AM18">-'Shared Boats 2026 Target'!$H$268*AM7*AM8/1000</f>
        <v>-13800</v>
      </c>
      <c r="AN18" s="282" cm="1">
        <f t="array" ref="AN18">-'Shared Boats 2026 Target'!$H$268*AN7*AN8/1000</f>
        <v>-13800</v>
      </c>
      <c r="AO18" s="282" cm="1">
        <f t="array" ref="AO18">-'Shared Boats 2026 Target'!$H$268*AO7*AO8/1000</f>
        <v>-12006</v>
      </c>
      <c r="AP18" s="282" cm="1">
        <f t="array" ref="AP18">-'Shared Boats 2026 Target'!$H$268*AP7*AP8/1000</f>
        <v>-10672</v>
      </c>
      <c r="AQ18" s="282" cm="1">
        <f t="array" ref="AQ18">-'Shared Boats 2026 Target'!$H$268*AQ7*AQ8/1000</f>
        <v>-9338</v>
      </c>
      <c r="AR18" s="282" cm="1">
        <f t="array" ref="AR18">-'Shared Boats 2026 Target'!$H$268*AR7*AR8/1000</f>
        <v>-10672</v>
      </c>
      <c r="AS18" s="282" cm="1">
        <f t="array" ref="AS18">-'Shared Boats 2026 Target'!$H$268*AS7*AS8/1000</f>
        <v>-10672</v>
      </c>
      <c r="AT18" s="284"/>
    </row>
    <row r="19" ht="15" customHeight="1">
      <c r="A19" s="12"/>
      <c r="B19" s="283"/>
      <c r="C19" s="272"/>
      <c r="D19" t="str" s="896" cm="1">
        <f t="array" ref="D19">'Project Eldorado ROI in IDR'!B15</f>
        <v>Seran Parking and Mooring</v>
      </c>
      <c r="E19" s="274"/>
      <c r="F19" s="282">
        <v>0</v>
      </c>
      <c r="G19" s="282">
        <v>0</v>
      </c>
      <c r="H19" s="282">
        <v>0</v>
      </c>
      <c r="I19" s="282" cm="1">
        <f t="array" ref="I19">-'Shared Boats 2026 Target'!$I$268*I7*I8/1000</f>
        <v>-2281.333333333330</v>
      </c>
      <c r="J19" s="282" cm="1">
        <f t="array" ref="J19">-'Shared Boats 2026 Target'!$I$268*J7*J8/1000</f>
        <v>-1927.333333333330</v>
      </c>
      <c r="K19" s="282" cm="1">
        <f t="array" ref="K19">-'Shared Boats 2026 Target'!$I$268*K7*K8/1000</f>
        <v>-2281.333333333330</v>
      </c>
      <c r="L19" s="282" cm="1">
        <f t="array" ref="L19">-'Shared Boats 2026 Target'!$I$268*L7*L8/1000</f>
        <v>-2281.333333333330</v>
      </c>
      <c r="M19" s="282" cm="1">
        <f t="array" ref="M19">-'Shared Boats 2026 Target'!$I$268*M7*M8/1000</f>
        <v>-2423.916666666670</v>
      </c>
      <c r="N19" s="282" cm="1">
        <f t="array" ref="N19">-'Shared Boats 2026 Target'!$I$268*N7*N8/1000</f>
        <v>-2709.083333333330</v>
      </c>
      <c r="O19" s="282" cm="1">
        <f t="array" ref="O19">-'Shared Boats 2026 Target'!$I$268*O7*O8/1000</f>
        <v>-2950</v>
      </c>
      <c r="P19" s="282" cm="1">
        <f t="array" ref="P19">-'Shared Boats 2026 Target'!$I$268*P7*P8/1000</f>
        <v>-2950</v>
      </c>
      <c r="Q19" s="282" cm="1">
        <f t="array" ref="Q19">-'Shared Boats 2026 Target'!$I$268*Q7*Q8/1000</f>
        <v>-2566.5</v>
      </c>
      <c r="R19" s="282" cm="1">
        <f t="array" ref="R19">-'Shared Boats 2026 Target'!$I$268*R7*R8/1000</f>
        <v>-2281.333333333330</v>
      </c>
      <c r="S19" s="282" cm="1">
        <f t="array" ref="S19">-'Shared Boats 2026 Target'!$I$268*S7*S8/1000</f>
        <v>-1996.166666666670</v>
      </c>
      <c r="T19" s="282" cm="1">
        <f t="array" ref="T19">-'Shared Boats 2026 Target'!$I$268*T7*T8/1000</f>
        <v>-2281.333333333330</v>
      </c>
      <c r="U19" s="282" cm="1">
        <f t="array" ref="U19">-'Shared Boats 2026 Target'!$I$268*U7*U8/1000</f>
        <v>-2281.333333333330</v>
      </c>
      <c r="V19" s="282" cm="1">
        <f t="array" ref="V19">-'Shared Boats 2026 Target'!$I$268*V7*V8/1000</f>
        <v>-1927.333333333330</v>
      </c>
      <c r="W19" s="282" cm="1">
        <f t="array" ref="W19">-'Shared Boats 2026 Target'!$I$268*W7*W8/1000</f>
        <v>-2281.333333333330</v>
      </c>
      <c r="X19" s="282" cm="1">
        <f t="array" ref="X19">-'Shared Boats 2026 Target'!$I$268*X7*X8/1000</f>
        <v>-2281.333333333330</v>
      </c>
      <c r="Y19" s="282" cm="1">
        <f t="array" ref="Y19">-'Shared Boats 2026 Target'!$I$268*Y7*Y8/1000</f>
        <v>-2423.916666666670</v>
      </c>
      <c r="Z19" s="282" cm="1">
        <f t="array" ref="Z19">-'Shared Boats 2026 Target'!$I$268*Z7*Z8/1000</f>
        <v>-2709.083333333330</v>
      </c>
      <c r="AA19" s="282" cm="1">
        <f t="array" ref="AA19">-'Shared Boats 2026 Target'!$I$268*AA7*AA8/1000</f>
        <v>-2950</v>
      </c>
      <c r="AB19" s="282" cm="1">
        <f t="array" ref="AB19">-'Shared Boats 2026 Target'!$I$268*AB7*AB8/1000</f>
        <v>-2950</v>
      </c>
      <c r="AC19" s="282" cm="1">
        <f t="array" ref="AC19">-'Shared Boats 2026 Target'!$I$268*AC7*AC8/1000</f>
        <v>-2566.5</v>
      </c>
      <c r="AD19" s="282" cm="1">
        <f t="array" ref="AD19">-'Shared Boats 2026 Target'!$I$268*AD7*AD8/1000</f>
        <v>-2281.333333333330</v>
      </c>
      <c r="AE19" s="282" cm="1">
        <f t="array" ref="AE19">-'Shared Boats 2026 Target'!$I$268*AE7*AE8/1000</f>
        <v>-1996.166666666670</v>
      </c>
      <c r="AF19" s="282" cm="1">
        <f t="array" ref="AF19">-'Shared Boats 2026 Target'!$I$268*AF7*AF8/1000</f>
        <v>-2281.333333333330</v>
      </c>
      <c r="AG19" s="282" cm="1">
        <f t="array" ref="AG19">-'Shared Boats 2026 Target'!$I$268*AG7*AG8/1000</f>
        <v>-2281.333333333330</v>
      </c>
      <c r="AH19" s="282" cm="1">
        <f t="array" ref="AH19">-'Shared Boats 2026 Target'!$I$268*AH7*AH8/1000</f>
        <v>-1927.333333333330</v>
      </c>
      <c r="AI19" s="282" cm="1">
        <f t="array" ref="AI19">-'Shared Boats 2026 Target'!$I$268*AI7*AI8/1000</f>
        <v>-2281.333333333330</v>
      </c>
      <c r="AJ19" s="282" cm="1">
        <f t="array" ref="AJ19">-'Shared Boats 2026 Target'!$I$268*AJ7*AJ8/1000</f>
        <v>-2281.333333333330</v>
      </c>
      <c r="AK19" s="282" cm="1">
        <f t="array" ref="AK19">-'Shared Boats 2026 Target'!$I$268*AK7*AK8/1000</f>
        <v>-2423.916666666670</v>
      </c>
      <c r="AL19" s="282" cm="1">
        <f t="array" ref="AL19">-'Shared Boats 2026 Target'!$I$268*AL7*AL8/1000</f>
        <v>-2709.083333333330</v>
      </c>
      <c r="AM19" s="282" cm="1">
        <f t="array" ref="AM19">-'Shared Boats 2026 Target'!$I$268*AM7*AM8/1000</f>
        <v>-2950</v>
      </c>
      <c r="AN19" s="282" cm="1">
        <f t="array" ref="AN19">-'Shared Boats 2026 Target'!$I$268*AN7*AN8/1000</f>
        <v>-2950</v>
      </c>
      <c r="AO19" s="282" cm="1">
        <f t="array" ref="AO19">-'Shared Boats 2026 Target'!$I$268*AO7*AO8/1000</f>
        <v>-2566.5</v>
      </c>
      <c r="AP19" s="282" cm="1">
        <f t="array" ref="AP19">-'Shared Boats 2026 Target'!$I$268*AP7*AP8/1000</f>
        <v>-2281.333333333330</v>
      </c>
      <c r="AQ19" s="282" cm="1">
        <f t="array" ref="AQ19">-'Shared Boats 2026 Target'!$I$268*AQ7*AQ8/1000</f>
        <v>-1996.166666666670</v>
      </c>
      <c r="AR19" s="282" cm="1">
        <f t="array" ref="AR19">-'Shared Boats 2026 Target'!$I$268*AR7*AR8/1000</f>
        <v>-2281.333333333330</v>
      </c>
      <c r="AS19" s="282" cm="1">
        <f t="array" ref="AS19">-'Shared Boats 2026 Target'!$I$268*AS7*AS8/1000</f>
        <v>-2281.333333333330</v>
      </c>
      <c r="AT19" s="284"/>
    </row>
    <row r="20" ht="15" customHeight="1">
      <c r="A20" s="12"/>
      <c r="B20" s="283"/>
      <c r="C20" s="272"/>
      <c r="D20" t="str" s="896" cm="1">
        <f t="array" ref="D20">'Project Eldorado ROI in IDR'!B16</f>
        <v>NP + Serangan Clearance</v>
      </c>
      <c r="E20" s="274"/>
      <c r="F20" s="282">
        <v>0</v>
      </c>
      <c r="G20" s="282">
        <v>0</v>
      </c>
      <c r="H20" s="282">
        <v>0</v>
      </c>
      <c r="I20" s="282" cm="1">
        <f t="array" ref="I20">-'Shared Boats 2026 Target'!$K$268*I7*I8/1000</f>
        <v>-5336</v>
      </c>
      <c r="J20" s="282" cm="1">
        <f t="array" ref="J20">-'Shared Boats 2026 Target'!$K$268*J7*J8/1000</f>
        <v>-4508</v>
      </c>
      <c r="K20" s="282" cm="1">
        <f t="array" ref="K20">-'Shared Boats 2026 Target'!$K$268*K7*K8/1000</f>
        <v>-5336</v>
      </c>
      <c r="L20" s="282" cm="1">
        <f t="array" ref="L20">-'Shared Boats 2026 Target'!$K$268*L7*L8/1000</f>
        <v>-5336</v>
      </c>
      <c r="M20" s="282" cm="1">
        <f t="array" ref="M20">-'Shared Boats 2026 Target'!$K$268*M7*M8/1000</f>
        <v>-5669.5</v>
      </c>
      <c r="N20" s="282" cm="1">
        <f t="array" ref="N20">-'Shared Boats 2026 Target'!$K$268*N7*N8/1000</f>
        <v>-6336.5</v>
      </c>
      <c r="O20" s="282" cm="1">
        <f t="array" ref="O20">-'Shared Boats 2026 Target'!$K$268*O7*O8/1000</f>
        <v>-6900</v>
      </c>
      <c r="P20" s="282" cm="1">
        <f t="array" ref="P20">-'Shared Boats 2026 Target'!$K$268*P7*P8/1000</f>
        <v>-6900</v>
      </c>
      <c r="Q20" s="282" cm="1">
        <f t="array" ref="Q20">-'Shared Boats 2026 Target'!$K$268*Q7*Q8/1000</f>
        <v>-6003</v>
      </c>
      <c r="R20" s="282" cm="1">
        <f t="array" ref="R20">-'Shared Boats 2026 Target'!$K$268*R7*R8/1000</f>
        <v>-5336</v>
      </c>
      <c r="S20" s="282" cm="1">
        <f t="array" ref="S20">-'Shared Boats 2026 Target'!$K$268*S7*S8/1000</f>
        <v>-4669</v>
      </c>
      <c r="T20" s="282" cm="1">
        <f t="array" ref="T20">-'Shared Boats 2026 Target'!$K$268*T7*T8/1000</f>
        <v>-5336</v>
      </c>
      <c r="U20" s="282" cm="1">
        <f t="array" ref="U20">-'Shared Boats 2026 Target'!$K$268*U7*U8/1000</f>
        <v>-5336</v>
      </c>
      <c r="V20" s="282" cm="1">
        <f t="array" ref="V20">-'Shared Boats 2026 Target'!$K$268*V7*V8/1000</f>
        <v>-4508</v>
      </c>
      <c r="W20" s="282" cm="1">
        <f t="array" ref="W20">-'Shared Boats 2026 Target'!$K$268*W7*W8/1000</f>
        <v>-5336</v>
      </c>
      <c r="X20" s="282" cm="1">
        <f t="array" ref="X20">-'Shared Boats 2026 Target'!$K$268*X7*X8/1000</f>
        <v>-5336</v>
      </c>
      <c r="Y20" s="282" cm="1">
        <f t="array" ref="Y20">-'Shared Boats 2026 Target'!$K$268*Y7*Y8/1000</f>
        <v>-5669.5</v>
      </c>
      <c r="Z20" s="282" cm="1">
        <f t="array" ref="Z20">-'Shared Boats 2026 Target'!$K$268*Z7*Z8/1000</f>
        <v>-6336.5</v>
      </c>
      <c r="AA20" s="282" cm="1">
        <f t="array" ref="AA20">-'Shared Boats 2026 Target'!$K$268*AA7*AA8/1000</f>
        <v>-6900</v>
      </c>
      <c r="AB20" s="282" cm="1">
        <f t="array" ref="AB20">-'Shared Boats 2026 Target'!$K$268*AB7*AB8/1000</f>
        <v>-6900</v>
      </c>
      <c r="AC20" s="282" cm="1">
        <f t="array" ref="AC20">-'Shared Boats 2026 Target'!$K$268*AC7*AC8/1000</f>
        <v>-6003</v>
      </c>
      <c r="AD20" s="282" cm="1">
        <f t="array" ref="AD20">-'Shared Boats 2026 Target'!$K$268*AD7*AD8/1000</f>
        <v>-5336</v>
      </c>
      <c r="AE20" s="282" cm="1">
        <f t="array" ref="AE20">-'Shared Boats 2026 Target'!$K$268*AE7*AE8/1000</f>
        <v>-4669</v>
      </c>
      <c r="AF20" s="282" cm="1">
        <f t="array" ref="AF20">-'Shared Boats 2026 Target'!$K$268*AF7*AF8/1000</f>
        <v>-5336</v>
      </c>
      <c r="AG20" s="282" cm="1">
        <f t="array" ref="AG20">-'Shared Boats 2026 Target'!$K$268*AG7*AG8/1000</f>
        <v>-5336</v>
      </c>
      <c r="AH20" s="282" cm="1">
        <f t="array" ref="AH20">-'Shared Boats 2026 Target'!$K$268*AH7*AH8/1000</f>
        <v>-4508</v>
      </c>
      <c r="AI20" s="282" cm="1">
        <f t="array" ref="AI20">-'Shared Boats 2026 Target'!$K$268*AI7*AI8/1000</f>
        <v>-5336</v>
      </c>
      <c r="AJ20" s="282" cm="1">
        <f t="array" ref="AJ20">-'Shared Boats 2026 Target'!$K$268*AJ7*AJ8/1000</f>
        <v>-5336</v>
      </c>
      <c r="AK20" s="282" cm="1">
        <f t="array" ref="AK20">-'Shared Boats 2026 Target'!$K$268*AK7*AK8/1000</f>
        <v>-5669.5</v>
      </c>
      <c r="AL20" s="282" cm="1">
        <f t="array" ref="AL20">-'Shared Boats 2026 Target'!$K$268*AL7*AL8/1000</f>
        <v>-6336.5</v>
      </c>
      <c r="AM20" s="282" cm="1">
        <f t="array" ref="AM20">-'Shared Boats 2026 Target'!$K$268*AM7*AM8/1000</f>
        <v>-6900</v>
      </c>
      <c r="AN20" s="282" cm="1">
        <f t="array" ref="AN20">-'Shared Boats 2026 Target'!$K$268*AN7*AN8/1000</f>
        <v>-6900</v>
      </c>
      <c r="AO20" s="282" cm="1">
        <f t="array" ref="AO20">-'Shared Boats 2026 Target'!$K$268*AO7*AO8/1000</f>
        <v>-6003</v>
      </c>
      <c r="AP20" s="282" cm="1">
        <f t="array" ref="AP20">-'Shared Boats 2026 Target'!$K$268*AP7*AP8/1000</f>
        <v>-5336</v>
      </c>
      <c r="AQ20" s="282" cm="1">
        <f t="array" ref="AQ20">-'Shared Boats 2026 Target'!$K$268*AQ7*AQ8/1000</f>
        <v>-4669</v>
      </c>
      <c r="AR20" s="282" cm="1">
        <f t="array" ref="AR20">-'Shared Boats 2026 Target'!$K$268*AR7*AR8/1000</f>
        <v>-5336</v>
      </c>
      <c r="AS20" s="282" cm="1">
        <f t="array" ref="AS20">-'Shared Boats 2026 Target'!$K$268*AS7*AS8/1000</f>
        <v>-5336</v>
      </c>
      <c r="AT20" s="284"/>
    </row>
    <row r="21" ht="15" customHeight="1">
      <c r="A21" s="12"/>
      <c r="B21" s="283"/>
      <c r="C21" s="272"/>
      <c r="D21" t="str" s="896" cm="1">
        <f t="array" ref="D21">'Project Eldorado ROI in IDR'!B17</f>
        <v>Offering</v>
      </c>
      <c r="E21" s="274"/>
      <c r="F21" s="282">
        <v>0</v>
      </c>
      <c r="G21" s="282">
        <v>0</v>
      </c>
      <c r="H21" s="282">
        <v>0</v>
      </c>
      <c r="I21" s="282" cm="1">
        <f t="array" ref="I21">-'Shared Boats 2026 Target'!$L$268*I7*I8/1000</f>
        <v>-464</v>
      </c>
      <c r="J21" s="282" cm="1">
        <f t="array" ref="J21">-'Shared Boats 2026 Target'!$L$268*J7*J8/1000</f>
        <v>-392</v>
      </c>
      <c r="K21" s="282" cm="1">
        <f t="array" ref="K21">-'Shared Boats 2026 Target'!$L$268*K7*K8/1000</f>
        <v>-464</v>
      </c>
      <c r="L21" s="282" cm="1">
        <f t="array" ref="L21">-'Shared Boats 2026 Target'!$L$268*L7*L8/1000</f>
        <v>-464</v>
      </c>
      <c r="M21" s="282" cm="1">
        <f t="array" ref="M21">-'Shared Boats 2026 Target'!$L$268*M7*M8/1000</f>
        <v>-493</v>
      </c>
      <c r="N21" s="282" cm="1">
        <f t="array" ref="N21">-'Shared Boats 2026 Target'!$L$268*N7*N8/1000</f>
        <v>-551</v>
      </c>
      <c r="O21" s="282" cm="1">
        <f t="array" ref="O21">-'Shared Boats 2026 Target'!$L$268*O7*O8/1000</f>
        <v>-600</v>
      </c>
      <c r="P21" s="282" cm="1">
        <f t="array" ref="P21">-'Shared Boats 2026 Target'!$L$268*P7*P8/1000</f>
        <v>-600</v>
      </c>
      <c r="Q21" s="282" cm="1">
        <f t="array" ref="Q21">-'Shared Boats 2026 Target'!$L$268*Q7*Q8/1000</f>
        <v>-522</v>
      </c>
      <c r="R21" s="282" cm="1">
        <f t="array" ref="R21">-'Shared Boats 2026 Target'!$L$268*R7*R8/1000</f>
        <v>-464</v>
      </c>
      <c r="S21" s="282" cm="1">
        <f t="array" ref="S21">-'Shared Boats 2026 Target'!$L$268*S7*S8/1000</f>
        <v>-406</v>
      </c>
      <c r="T21" s="282" cm="1">
        <f t="array" ref="T21">-'Shared Boats 2026 Target'!$L$268*T7*T8/1000</f>
        <v>-464</v>
      </c>
      <c r="U21" s="282" cm="1">
        <f t="array" ref="U21">-'Shared Boats 2026 Target'!$L$268*U7*U8/1000</f>
        <v>-464</v>
      </c>
      <c r="V21" s="282" cm="1">
        <f t="array" ref="V21">-'Shared Boats 2026 Target'!$L$268*V7*V8/1000</f>
        <v>-392</v>
      </c>
      <c r="W21" s="282" cm="1">
        <f t="array" ref="W21">-'Shared Boats 2026 Target'!$L$268*W7*W8/1000</f>
        <v>-464</v>
      </c>
      <c r="X21" s="282" cm="1">
        <f t="array" ref="X21">-'Shared Boats 2026 Target'!$L$268*X7*X8/1000</f>
        <v>-464</v>
      </c>
      <c r="Y21" s="282" cm="1">
        <f t="array" ref="Y21">-'Shared Boats 2026 Target'!$L$268*Y7*Y8/1000</f>
        <v>-493</v>
      </c>
      <c r="Z21" s="282" cm="1">
        <f t="array" ref="Z21">-'Shared Boats 2026 Target'!$L$268*Z7*Z8/1000</f>
        <v>-551</v>
      </c>
      <c r="AA21" s="282" cm="1">
        <f t="array" ref="AA21">-'Shared Boats 2026 Target'!$L$268*AA7*AA8/1000</f>
        <v>-600</v>
      </c>
      <c r="AB21" s="282" cm="1">
        <f t="array" ref="AB21">-'Shared Boats 2026 Target'!$L$268*AB7*AB8/1000</f>
        <v>-600</v>
      </c>
      <c r="AC21" s="282" cm="1">
        <f t="array" ref="AC21">-'Shared Boats 2026 Target'!$L$268*AC7*AC8/1000</f>
        <v>-522</v>
      </c>
      <c r="AD21" s="282" cm="1">
        <f t="array" ref="AD21">-'Shared Boats 2026 Target'!$L$268*AD7*AD8/1000</f>
        <v>-464</v>
      </c>
      <c r="AE21" s="282" cm="1">
        <f t="array" ref="AE21">-'Shared Boats 2026 Target'!$L$268*AE7*AE8/1000</f>
        <v>-406</v>
      </c>
      <c r="AF21" s="282" cm="1">
        <f t="array" ref="AF21">-'Shared Boats 2026 Target'!$L$268*AF7*AF8/1000</f>
        <v>-464</v>
      </c>
      <c r="AG21" s="282" cm="1">
        <f t="array" ref="AG21">-'Shared Boats 2026 Target'!$L$268*AG7*AG8/1000</f>
        <v>-464</v>
      </c>
      <c r="AH21" s="282" cm="1">
        <f t="array" ref="AH21">-'Shared Boats 2026 Target'!$L$268*AH7*AH8/1000</f>
        <v>-392</v>
      </c>
      <c r="AI21" s="282" cm="1">
        <f t="array" ref="AI21">-'Shared Boats 2026 Target'!$L$268*AI7*AI8/1000</f>
        <v>-464</v>
      </c>
      <c r="AJ21" s="282" cm="1">
        <f t="array" ref="AJ21">-'Shared Boats 2026 Target'!$L$268*AJ7*AJ8/1000</f>
        <v>-464</v>
      </c>
      <c r="AK21" s="282" cm="1">
        <f t="array" ref="AK21">-'Shared Boats 2026 Target'!$L$268*AK7*AK8/1000</f>
        <v>-493</v>
      </c>
      <c r="AL21" s="282" cm="1">
        <f t="array" ref="AL21">-'Shared Boats 2026 Target'!$L$268*AL7*AL8/1000</f>
        <v>-551</v>
      </c>
      <c r="AM21" s="282" cm="1">
        <f t="array" ref="AM21">-'Shared Boats 2026 Target'!$L$268*AM7*AM8/1000</f>
        <v>-600</v>
      </c>
      <c r="AN21" s="282" cm="1">
        <f t="array" ref="AN21">-'Shared Boats 2026 Target'!$L$268*AN7*AN8/1000</f>
        <v>-600</v>
      </c>
      <c r="AO21" s="282" cm="1">
        <f t="array" ref="AO21">-'Shared Boats 2026 Target'!$L$268*AO7*AO8/1000</f>
        <v>-522</v>
      </c>
      <c r="AP21" s="282" cm="1">
        <f t="array" ref="AP21">-'Shared Boats 2026 Target'!$L$268*AP7*AP8/1000</f>
        <v>-464</v>
      </c>
      <c r="AQ21" s="282" cm="1">
        <f t="array" ref="AQ21">-'Shared Boats 2026 Target'!$L$268*AQ7*AQ8/1000</f>
        <v>-406</v>
      </c>
      <c r="AR21" s="282" cm="1">
        <f t="array" ref="AR21">-'Shared Boats 2026 Target'!$L$268*AR7*AR8/1000</f>
        <v>-464</v>
      </c>
      <c r="AS21" s="282" cm="1">
        <f t="array" ref="AS21">-'Shared Boats 2026 Target'!$L$268*AS7*AS8/1000</f>
        <v>-464</v>
      </c>
      <c r="AT21" s="284"/>
    </row>
    <row r="22" ht="15" customHeight="1">
      <c r="A22" s="12"/>
      <c r="B22" s="283"/>
      <c r="C22" s="272"/>
      <c r="D22" t="str" s="896" cm="1">
        <f t="array" ref="D22">'Project Eldorado ROI in IDR'!B18</f>
        <v>Fruits</v>
      </c>
      <c r="E22" s="274"/>
      <c r="F22" s="282">
        <v>0</v>
      </c>
      <c r="G22" s="282">
        <v>0</v>
      </c>
      <c r="H22" s="282">
        <v>0</v>
      </c>
      <c r="I22" s="282" cm="1">
        <f t="array" ref="I22">-'Shared Boats 2026 Target'!$M$268*I7*I8/1000</f>
        <v>-3248</v>
      </c>
      <c r="J22" s="282" cm="1">
        <f t="array" ref="J22">-'Shared Boats 2026 Target'!$M$268*J7*J8/1000</f>
        <v>-2744</v>
      </c>
      <c r="K22" s="282" cm="1">
        <f t="array" ref="K22">-'Shared Boats 2026 Target'!$M$268*K7*K8/1000</f>
        <v>-3248</v>
      </c>
      <c r="L22" s="282" cm="1">
        <f t="array" ref="L22">-'Shared Boats 2026 Target'!$M$268*L7*L8/1000</f>
        <v>-3248</v>
      </c>
      <c r="M22" s="282" cm="1">
        <f t="array" ref="M22">-'Shared Boats 2026 Target'!$M$268*M7*M8/1000</f>
        <v>-3451</v>
      </c>
      <c r="N22" s="282" cm="1">
        <f t="array" ref="N22">-'Shared Boats 2026 Target'!$M$268*N7*N8/1000</f>
        <v>-3857</v>
      </c>
      <c r="O22" s="282" cm="1">
        <f t="array" ref="O22">-'Shared Boats 2026 Target'!$M$268*O7*O8/1000</f>
        <v>-4200</v>
      </c>
      <c r="P22" s="282" cm="1">
        <f t="array" ref="P22">-'Shared Boats 2026 Target'!$M$268*P7*P8/1000</f>
        <v>-4200</v>
      </c>
      <c r="Q22" s="282" cm="1">
        <f t="array" ref="Q22">-'Shared Boats 2026 Target'!$M$268*Q7*Q8/1000</f>
        <v>-3654</v>
      </c>
      <c r="R22" s="282" cm="1">
        <f t="array" ref="R22">-'Shared Boats 2026 Target'!$M$268*R7*R8/1000</f>
        <v>-3248</v>
      </c>
      <c r="S22" s="282" cm="1">
        <f t="array" ref="S22">-'Shared Boats 2026 Target'!$M$268*S7*S8/1000</f>
        <v>-2842</v>
      </c>
      <c r="T22" s="282" cm="1">
        <f t="array" ref="T22">-'Shared Boats 2026 Target'!$M$268*T7*T8/1000</f>
        <v>-3248</v>
      </c>
      <c r="U22" s="282" cm="1">
        <f t="array" ref="U22">-'Shared Boats 2026 Target'!$M$268*U7*U8/1000</f>
        <v>-3248</v>
      </c>
      <c r="V22" s="282" cm="1">
        <f t="array" ref="V22">-'Shared Boats 2026 Target'!$M$268*V7*V8/1000</f>
        <v>-2744</v>
      </c>
      <c r="W22" s="282" cm="1">
        <f t="array" ref="W22">-'Shared Boats 2026 Target'!$M$268*W7*W8/1000</f>
        <v>-3248</v>
      </c>
      <c r="X22" s="282" cm="1">
        <f t="array" ref="X22">-'Shared Boats 2026 Target'!$M$268*X7*X8/1000</f>
        <v>-3248</v>
      </c>
      <c r="Y22" s="282" cm="1">
        <f t="array" ref="Y22">-'Shared Boats 2026 Target'!$M$268*Y7*Y8/1000</f>
        <v>-3451</v>
      </c>
      <c r="Z22" s="282" cm="1">
        <f t="array" ref="Z22">-'Shared Boats 2026 Target'!$M$268*Z7*Z8/1000</f>
        <v>-3857</v>
      </c>
      <c r="AA22" s="282" cm="1">
        <f t="array" ref="AA22">-'Shared Boats 2026 Target'!$M$268*AA7*AA8/1000</f>
        <v>-4200</v>
      </c>
      <c r="AB22" s="282" cm="1">
        <f t="array" ref="AB22">-'Shared Boats 2026 Target'!$M$268*AB7*AB8/1000</f>
        <v>-4200</v>
      </c>
      <c r="AC22" s="282" cm="1">
        <f t="array" ref="AC22">-'Shared Boats 2026 Target'!$M$268*AC7*AC8/1000</f>
        <v>-3654</v>
      </c>
      <c r="AD22" s="282" cm="1">
        <f t="array" ref="AD22">-'Shared Boats 2026 Target'!$M$268*AD7*AD8/1000</f>
        <v>-3248</v>
      </c>
      <c r="AE22" s="282" cm="1">
        <f t="array" ref="AE22">-'Shared Boats 2026 Target'!$M$268*AE7*AE8/1000</f>
        <v>-2842</v>
      </c>
      <c r="AF22" s="282" cm="1">
        <f t="array" ref="AF22">-'Shared Boats 2026 Target'!$M$268*AF7*AF8/1000</f>
        <v>-3248</v>
      </c>
      <c r="AG22" s="282" cm="1">
        <f t="array" ref="AG22">-'Shared Boats 2026 Target'!$M$268*AG7*AG8/1000</f>
        <v>-3248</v>
      </c>
      <c r="AH22" s="282" cm="1">
        <f t="array" ref="AH22">-'Shared Boats 2026 Target'!$M$268*AH7*AH8/1000</f>
        <v>-2744</v>
      </c>
      <c r="AI22" s="282" cm="1">
        <f t="array" ref="AI22">-'Shared Boats 2026 Target'!$M$268*AI7*AI8/1000</f>
        <v>-3248</v>
      </c>
      <c r="AJ22" s="282" cm="1">
        <f t="array" ref="AJ22">-'Shared Boats 2026 Target'!$M$268*AJ7*AJ8/1000</f>
        <v>-3248</v>
      </c>
      <c r="AK22" s="282" cm="1">
        <f t="array" ref="AK22">-'Shared Boats 2026 Target'!$M$268*AK7*AK8/1000</f>
        <v>-3451</v>
      </c>
      <c r="AL22" s="282" cm="1">
        <f t="array" ref="AL22">-'Shared Boats 2026 Target'!$M$268*AL7*AL8/1000</f>
        <v>-3857</v>
      </c>
      <c r="AM22" s="282" cm="1">
        <f t="array" ref="AM22">-'Shared Boats 2026 Target'!$M$268*AM7*AM8/1000</f>
        <v>-4200</v>
      </c>
      <c r="AN22" s="282" cm="1">
        <f t="array" ref="AN22">-'Shared Boats 2026 Target'!$M$268*AN7*AN8/1000</f>
        <v>-4200</v>
      </c>
      <c r="AO22" s="282" cm="1">
        <f t="array" ref="AO22">-'Shared Boats 2026 Target'!$M$268*AO7*AO8/1000</f>
        <v>-3654</v>
      </c>
      <c r="AP22" s="282" cm="1">
        <f t="array" ref="AP22">-'Shared Boats 2026 Target'!$M$268*AP7*AP8/1000</f>
        <v>-3248</v>
      </c>
      <c r="AQ22" s="282" cm="1">
        <f t="array" ref="AQ22">-'Shared Boats 2026 Target'!$M$268*AQ7*AQ8/1000</f>
        <v>-2842</v>
      </c>
      <c r="AR22" s="282" cm="1">
        <f t="array" ref="AR22">-'Shared Boats 2026 Target'!$M$268*AR7*AR8/1000</f>
        <v>-3248</v>
      </c>
      <c r="AS22" s="282" cm="1">
        <f t="array" ref="AS22">-'Shared Boats 2026 Target'!$M$268*AS7*AS8/1000</f>
        <v>-3248</v>
      </c>
      <c r="AT22" s="284"/>
    </row>
    <row r="23" ht="15" customHeight="1">
      <c r="A23" s="12"/>
      <c r="B23" s="283"/>
      <c r="C23" s="272"/>
      <c r="D23" t="str" s="896" cm="1">
        <f t="array" ref="D23">'Project Eldorado ROI in IDR'!B19</f>
        <v>Lunch</v>
      </c>
      <c r="E23" s="274"/>
      <c r="F23" s="282">
        <v>0</v>
      </c>
      <c r="G23" s="282">
        <v>0</v>
      </c>
      <c r="H23" s="282">
        <v>0</v>
      </c>
      <c r="I23" s="282" cm="1">
        <f t="array" ref="I23">-'Direct Costs 2026'!$C$45*I10/1000</f>
        <v>-36192</v>
      </c>
      <c r="J23" s="282" cm="1">
        <f t="array" ref="J23">-'Direct Costs 2026'!$C$45*J10/1000</f>
        <v>-30576</v>
      </c>
      <c r="K23" s="282" cm="1">
        <f t="array" ref="K23">-'Direct Costs 2026'!$C$45*K10/1000</f>
        <v>-36192</v>
      </c>
      <c r="L23" s="282" cm="1">
        <f t="array" ref="L23">-'Direct Costs 2026'!$C$45*L10/1000</f>
        <v>-38454</v>
      </c>
      <c r="M23" s="282" cm="1">
        <f t="array" ref="M23">-'Direct Costs 2026'!$C$45*M10/1000</f>
        <v>-43260.75</v>
      </c>
      <c r="N23" s="282" cm="1">
        <f t="array" ref="N23">-'Direct Costs 2026'!$C$45*N10/1000</f>
        <v>-48350.25</v>
      </c>
      <c r="O23" s="282" cm="1">
        <f t="array" ref="O23">-'Direct Costs 2026'!$C$45*O10/1000</f>
        <v>-52650</v>
      </c>
      <c r="P23" s="282" cm="1">
        <f t="array" ref="P23">-'Direct Costs 2026'!$C$45*P10/1000</f>
        <v>-52650</v>
      </c>
      <c r="Q23" s="282" cm="1">
        <f t="array" ref="Q23">-'Direct Costs 2026'!$C$45*Q10/1000</f>
        <v>-45805.5</v>
      </c>
      <c r="R23" s="282" cm="1">
        <f t="array" ref="R23">-'Direct Costs 2026'!$C$45*R10/1000</f>
        <v>-38454</v>
      </c>
      <c r="S23" s="282" cm="1">
        <f t="array" ref="S23">-'Direct Costs 2026'!$C$45*S10/1000</f>
        <v>-31668</v>
      </c>
      <c r="T23" s="282" cm="1">
        <f t="array" ref="T23">-'Direct Costs 2026'!$C$45*T10/1000</f>
        <v>-36192</v>
      </c>
      <c r="U23" s="282" cm="1">
        <f t="array" ref="U23">-'Direct Costs 2026'!$C$45*U10/1000</f>
        <v>-36192</v>
      </c>
      <c r="V23" s="282" cm="1">
        <f t="array" ref="V23">-'Direct Costs 2026'!$C$45*V10/1000</f>
        <v>-30576</v>
      </c>
      <c r="W23" s="282" cm="1">
        <f t="array" ref="W23">-'Direct Costs 2026'!$C$45*W10/1000</f>
        <v>-36192</v>
      </c>
      <c r="X23" s="282" cm="1">
        <f t="array" ref="X23">-'Direct Costs 2026'!$C$45*X10/1000</f>
        <v>-38454</v>
      </c>
      <c r="Y23" s="282" cm="1">
        <f t="array" ref="Y23">-'Direct Costs 2026'!$C$45*Y10/1000</f>
        <v>-43260.75</v>
      </c>
      <c r="Z23" s="282" cm="1">
        <f t="array" ref="Z23">-'Direct Costs 2026'!$C$45*Z10/1000</f>
        <v>-48350.25</v>
      </c>
      <c r="AA23" s="282" cm="1">
        <f t="array" ref="AA23">-'Direct Costs 2026'!$C$45*AA10/1000</f>
        <v>-52650</v>
      </c>
      <c r="AB23" s="282" cm="1">
        <f t="array" ref="AB23">-'Direct Costs 2026'!$C$45*AB10/1000</f>
        <v>-52650</v>
      </c>
      <c r="AC23" s="282" cm="1">
        <f t="array" ref="AC23">-'Direct Costs 2026'!$C$45*AC10/1000</f>
        <v>-45805.5</v>
      </c>
      <c r="AD23" s="282" cm="1">
        <f t="array" ref="AD23">-'Direct Costs 2026'!$C$45*AD10/1000</f>
        <v>-38454</v>
      </c>
      <c r="AE23" s="282" cm="1">
        <f t="array" ref="AE23">-'Direct Costs 2026'!$C$45*AE10/1000</f>
        <v>-31668</v>
      </c>
      <c r="AF23" s="282" cm="1">
        <f t="array" ref="AF23">-'Direct Costs 2026'!$C$45*AF10/1000</f>
        <v>-36192</v>
      </c>
      <c r="AG23" s="282" cm="1">
        <f t="array" ref="AG23">-'Direct Costs 2026'!$C$45*AG10/1000</f>
        <v>-36192</v>
      </c>
      <c r="AH23" s="282" cm="1">
        <f t="array" ref="AH23">-'Direct Costs 2026'!$C$45*AH10/1000</f>
        <v>-30576</v>
      </c>
      <c r="AI23" s="282" cm="1">
        <f t="array" ref="AI23">-'Direct Costs 2026'!$C$45*AI10/1000</f>
        <v>-36192</v>
      </c>
      <c r="AJ23" s="282" cm="1">
        <f t="array" ref="AJ23">-'Direct Costs 2026'!$C$45*AJ10/1000</f>
        <v>-38454</v>
      </c>
      <c r="AK23" s="282" cm="1">
        <f t="array" ref="AK23">-'Direct Costs 2026'!$C$45*AK10/1000</f>
        <v>-43260.75</v>
      </c>
      <c r="AL23" s="282" cm="1">
        <f t="array" ref="AL23">-'Direct Costs 2026'!$C$45*AL10/1000</f>
        <v>-48350.25</v>
      </c>
      <c r="AM23" s="282" cm="1">
        <f t="array" ref="AM23">-'Direct Costs 2026'!$C$45*AM10/1000</f>
        <v>-52650</v>
      </c>
      <c r="AN23" s="282" cm="1">
        <f t="array" ref="AN23">-'Direct Costs 2026'!$C$45*AN10/1000</f>
        <v>-52650</v>
      </c>
      <c r="AO23" s="282" cm="1">
        <f t="array" ref="AO23">-'Direct Costs 2026'!$C$45*AO10/1000</f>
        <v>-45805.5</v>
      </c>
      <c r="AP23" s="282" cm="1">
        <f t="array" ref="AP23">-'Direct Costs 2026'!$C$45*AP10/1000</f>
        <v>-38454</v>
      </c>
      <c r="AQ23" s="282" cm="1">
        <f t="array" ref="AQ23">-'Direct Costs 2026'!$C$45*AQ10/1000</f>
        <v>-31668</v>
      </c>
      <c r="AR23" s="282" cm="1">
        <f t="array" ref="AR23">-'Direct Costs 2026'!$C$45*AR10/1000</f>
        <v>-36192</v>
      </c>
      <c r="AS23" s="282" cm="1">
        <f t="array" ref="AS23">-'Direct Costs 2026'!$C$45*AS10/1000</f>
        <v>-36192</v>
      </c>
      <c r="AT23" s="284"/>
    </row>
    <row r="24" ht="15" customHeight="1">
      <c r="A24" s="12"/>
      <c r="B24" s="283"/>
      <c r="C24" s="272"/>
      <c r="D24" t="str" s="896" cm="1">
        <f t="array" ref="D24">'Project Eldorado ROI in IDR'!B20</f>
        <v>Fuel (Pertamax)</v>
      </c>
      <c r="E24" s="274"/>
      <c r="F24" s="282">
        <v>0</v>
      </c>
      <c r="G24" s="282">
        <v>0</v>
      </c>
      <c r="H24" s="282">
        <v>0</v>
      </c>
      <c r="I24" s="282" cm="1">
        <f t="array" ref="I24">-'Shared Boats 2026 Target'!$O$268*I7*I8/1000</f>
        <v>-77140</v>
      </c>
      <c r="J24" s="282" cm="1">
        <f t="array" ref="J24">-'Shared Boats 2026 Target'!$O$268*J7*J8/1000</f>
        <v>-65170</v>
      </c>
      <c r="K24" s="282" cm="1">
        <f t="array" ref="K24">-'Shared Boats 2026 Target'!$O$268*K7*K8/1000</f>
        <v>-77140</v>
      </c>
      <c r="L24" s="282" cm="1">
        <f t="array" ref="L24">-'Shared Boats 2026 Target'!$O$268*L7*L8/1000</f>
        <v>-77140</v>
      </c>
      <c r="M24" s="282" cm="1">
        <f t="array" ref="M24">-'Shared Boats 2026 Target'!$O$268*M7*M8/1000</f>
        <v>-81961.25</v>
      </c>
      <c r="N24" s="282" cm="1">
        <f t="array" ref="N24">-'Shared Boats 2026 Target'!$O$268*N7*N8/1000</f>
        <v>-91603.75</v>
      </c>
      <c r="O24" s="282" cm="1">
        <f t="array" ref="O24">-'Shared Boats 2026 Target'!$O$268*O7*O8/1000</f>
        <v>-99750</v>
      </c>
      <c r="P24" s="282" cm="1">
        <f t="array" ref="P24">-'Shared Boats 2026 Target'!$O$268*P7*P8/1000</f>
        <v>-99750</v>
      </c>
      <c r="Q24" s="282" cm="1">
        <f t="array" ref="Q24">-'Shared Boats 2026 Target'!$O$268*Q7*Q8/1000</f>
        <v>-86782.5</v>
      </c>
      <c r="R24" s="282" cm="1">
        <f t="array" ref="R24">-'Shared Boats 2026 Target'!$O$268*R7*R8/1000</f>
        <v>-77140</v>
      </c>
      <c r="S24" s="282" cm="1">
        <f t="array" ref="S24">-'Shared Boats 2026 Target'!$O$268*S7*S8/1000</f>
        <v>-67497.5</v>
      </c>
      <c r="T24" s="282" cm="1">
        <f t="array" ref="T24">-'Shared Boats 2026 Target'!$O$268*T7*T8/1000</f>
        <v>-77140</v>
      </c>
      <c r="U24" s="282" cm="1">
        <f t="array" ref="U24">-'Shared Boats 2026 Target'!$O$268*U7*U8/1000</f>
        <v>-77140</v>
      </c>
      <c r="V24" s="282" cm="1">
        <f t="array" ref="V24">-'Shared Boats 2026 Target'!$O$268*V7*V8/1000</f>
        <v>-65170</v>
      </c>
      <c r="W24" s="282" cm="1">
        <f t="array" ref="W24">-'Shared Boats 2026 Target'!$O$268*W7*W8/1000</f>
        <v>-77140</v>
      </c>
      <c r="X24" s="282" cm="1">
        <f t="array" ref="X24">-'Shared Boats 2026 Target'!$O$268*X7*X8/1000</f>
        <v>-77140</v>
      </c>
      <c r="Y24" s="282" cm="1">
        <f t="array" ref="Y24">-'Shared Boats 2026 Target'!$O$268*Y7*Y8/1000</f>
        <v>-81961.25</v>
      </c>
      <c r="Z24" s="282" cm="1">
        <f t="array" ref="Z24">-'Shared Boats 2026 Target'!$O$268*Z7*Z8/1000</f>
        <v>-91603.75</v>
      </c>
      <c r="AA24" s="282" cm="1">
        <f t="array" ref="AA24">-'Shared Boats 2026 Target'!$O$268*AA7*AA8/1000</f>
        <v>-99750</v>
      </c>
      <c r="AB24" s="282" cm="1">
        <f t="array" ref="AB24">-'Shared Boats 2026 Target'!$O$268*AB7*AB8/1000</f>
        <v>-99750</v>
      </c>
      <c r="AC24" s="282" cm="1">
        <f t="array" ref="AC24">-'Shared Boats 2026 Target'!$O$268*AC7*AC8/1000</f>
        <v>-86782.5</v>
      </c>
      <c r="AD24" s="282" cm="1">
        <f t="array" ref="AD24">-'Shared Boats 2026 Target'!$O$268*AD7*AD8/1000</f>
        <v>-77140</v>
      </c>
      <c r="AE24" s="282" cm="1">
        <f t="array" ref="AE24">-'Shared Boats 2026 Target'!$O$268*AE7*AE8/1000</f>
        <v>-67497.5</v>
      </c>
      <c r="AF24" s="282" cm="1">
        <f t="array" ref="AF24">-'Shared Boats 2026 Target'!$O$268*AF7*AF8/1000</f>
        <v>-77140</v>
      </c>
      <c r="AG24" s="282" cm="1">
        <f t="array" ref="AG24">-'Shared Boats 2026 Target'!$O$268*AG7*AG8/1000</f>
        <v>-77140</v>
      </c>
      <c r="AH24" s="282" cm="1">
        <f t="array" ref="AH24">-'Shared Boats 2026 Target'!$O$268*AH7*AH8/1000</f>
        <v>-65170</v>
      </c>
      <c r="AI24" s="282" cm="1">
        <f t="array" ref="AI24">-'Shared Boats 2026 Target'!$O$268*AI7*AI8/1000</f>
        <v>-77140</v>
      </c>
      <c r="AJ24" s="282" cm="1">
        <f t="array" ref="AJ24">-'Shared Boats 2026 Target'!$O$268*AJ7*AJ8/1000</f>
        <v>-77140</v>
      </c>
      <c r="AK24" s="282" cm="1">
        <f t="array" ref="AK24">-'Shared Boats 2026 Target'!$O$268*AK7*AK8/1000</f>
        <v>-81961.25</v>
      </c>
      <c r="AL24" s="282" cm="1">
        <f t="array" ref="AL24">-'Shared Boats 2026 Target'!$O$268*AL7*AL8/1000</f>
        <v>-91603.75</v>
      </c>
      <c r="AM24" s="282" cm="1">
        <f t="array" ref="AM24">-'Shared Boats 2026 Target'!$O$268*AM7*AM8/1000</f>
        <v>-99750</v>
      </c>
      <c r="AN24" s="282" cm="1">
        <f t="array" ref="AN24">-'Shared Boats 2026 Target'!$O$268*AN7*AN8/1000</f>
        <v>-99750</v>
      </c>
      <c r="AO24" s="282" cm="1">
        <f t="array" ref="AO24">-'Shared Boats 2026 Target'!$O$268*AO7*AO8/1000</f>
        <v>-86782.5</v>
      </c>
      <c r="AP24" s="282" cm="1">
        <f t="array" ref="AP24">-'Shared Boats 2026 Target'!$O$268*AP7*AP8/1000</f>
        <v>-77140</v>
      </c>
      <c r="AQ24" s="282" cm="1">
        <f t="array" ref="AQ24">-'Shared Boats 2026 Target'!$O$268*AQ7*AQ8/1000</f>
        <v>-67497.5</v>
      </c>
      <c r="AR24" s="282" cm="1">
        <f t="array" ref="AR24">-'Shared Boats 2026 Target'!$O$268*AR7*AR8/1000</f>
        <v>-77140</v>
      </c>
      <c r="AS24" s="282" cm="1">
        <f t="array" ref="AS24">-'Shared Boats 2026 Target'!$O$268*AS7*AS8/1000</f>
        <v>-77140</v>
      </c>
      <c r="AT24" s="284"/>
    </row>
    <row r="25" ht="15" customHeight="1">
      <c r="A25" s="12"/>
      <c r="B25" s="283"/>
      <c r="C25" s="272"/>
      <c r="D25" t="str" s="896" cm="1">
        <f t="array" ref="D25">'Project Eldorado ROI in IDR'!B21</f>
        <v>Crew Salary &amp; Tax u</v>
      </c>
      <c r="E25" s="274"/>
      <c r="F25" s="282">
        <v>0</v>
      </c>
      <c r="G25" s="282">
        <v>0</v>
      </c>
      <c r="H25" s="282">
        <v>0</v>
      </c>
      <c r="I25" s="282" cm="1">
        <f t="array" ref="I25">-'Shared Boats 2026 Target'!$P$268*I7*I8/1000</f>
        <v>-25807.68</v>
      </c>
      <c r="J25" s="282" cm="1">
        <f t="array" ref="J25">-'Shared Boats 2026 Target'!$P$268*J7*J8/1000</f>
        <v>-21803.04</v>
      </c>
      <c r="K25" s="282" cm="1">
        <f t="array" ref="K25">-'Shared Boats 2026 Target'!$P$268*K7*K8/1000</f>
        <v>-25807.68</v>
      </c>
      <c r="L25" s="282" cm="1">
        <f t="array" ref="L25">-'Shared Boats 2026 Target'!$P$268*L7*L8/1000</f>
        <v>-25807.68</v>
      </c>
      <c r="M25" s="282" cm="1">
        <f t="array" ref="M25">-'Shared Boats 2026 Target'!$P$268*M7*M8/1000</f>
        <v>-27420.66</v>
      </c>
      <c r="N25" s="282" cm="1">
        <f t="array" ref="N25">-'Shared Boats 2026 Target'!$P$268*N7*N8/1000</f>
        <v>-30646.62</v>
      </c>
      <c r="O25" s="282" cm="1">
        <f t="array" ref="O25">-'Shared Boats 2026 Target'!$P$268*O7*O8/1000</f>
        <v>-33372</v>
      </c>
      <c r="P25" s="282" cm="1">
        <f t="array" ref="P25">-'Shared Boats 2026 Target'!$P$268*P7*P8/1000</f>
        <v>-33372</v>
      </c>
      <c r="Q25" s="282" cm="1">
        <f t="array" ref="Q25">-'Shared Boats 2026 Target'!$P$268*Q7*Q8/1000</f>
        <v>-29033.64</v>
      </c>
      <c r="R25" s="282" cm="1">
        <f t="array" ref="R25">-'Shared Boats 2026 Target'!$P$268*R7*R8/1000</f>
        <v>-25807.68</v>
      </c>
      <c r="S25" s="282" cm="1">
        <f t="array" ref="S25">-'Shared Boats 2026 Target'!$P$268*S7*S8/1000</f>
        <v>-22581.72</v>
      </c>
      <c r="T25" s="282" cm="1">
        <f t="array" ref="T25">-'Shared Boats 2026 Target'!$P$268*T7*T8/1000</f>
        <v>-25807.68</v>
      </c>
      <c r="U25" s="282" cm="1">
        <f t="array" ref="U25">-'Shared Boats 2026 Target'!$P$268*U7*U8/1000</f>
        <v>-25807.68</v>
      </c>
      <c r="V25" s="282" cm="1">
        <f t="array" ref="V25">-'Shared Boats 2026 Target'!$P$268*V7*V8/1000</f>
        <v>-21803.04</v>
      </c>
      <c r="W25" s="282" cm="1">
        <f t="array" ref="W25">-'Shared Boats 2026 Target'!$P$268*W7*W8/1000</f>
        <v>-25807.68</v>
      </c>
      <c r="X25" s="282" cm="1">
        <f t="array" ref="X25">-'Shared Boats 2026 Target'!$P$268*X7*X8/1000</f>
        <v>-25807.68</v>
      </c>
      <c r="Y25" s="282" cm="1">
        <f t="array" ref="Y25">-'Shared Boats 2026 Target'!$P$268*Y7*Y8/1000</f>
        <v>-27420.66</v>
      </c>
      <c r="Z25" s="282" cm="1">
        <f t="array" ref="Z25">-'Shared Boats 2026 Target'!$P$268*Z7*Z8/1000</f>
        <v>-30646.62</v>
      </c>
      <c r="AA25" s="282" cm="1">
        <f t="array" ref="AA25">-'Shared Boats 2026 Target'!$P$268*AA7*AA8/1000</f>
        <v>-33372</v>
      </c>
      <c r="AB25" s="282" cm="1">
        <f t="array" ref="AB25">-'Shared Boats 2026 Target'!$P$268*AB7*AB8/1000</f>
        <v>-33372</v>
      </c>
      <c r="AC25" s="282" cm="1">
        <f t="array" ref="AC25">-'Shared Boats 2026 Target'!$P$268*AC7*AC8/1000</f>
        <v>-29033.64</v>
      </c>
      <c r="AD25" s="282" cm="1">
        <f t="array" ref="AD25">-'Shared Boats 2026 Target'!$P$268*AD7*AD8/1000</f>
        <v>-25807.68</v>
      </c>
      <c r="AE25" s="282" cm="1">
        <f t="array" ref="AE25">-'Shared Boats 2026 Target'!$P$268*AE7*AE8/1000</f>
        <v>-22581.72</v>
      </c>
      <c r="AF25" s="282" cm="1">
        <f t="array" ref="AF25">-'Shared Boats 2026 Target'!$P$268*AF7*AF8/1000</f>
        <v>-25807.68</v>
      </c>
      <c r="AG25" s="282" cm="1">
        <f t="array" ref="AG25">-'Shared Boats 2026 Target'!$P$268*AG7*AG8/1000</f>
        <v>-25807.68</v>
      </c>
      <c r="AH25" s="282" cm="1">
        <f t="array" ref="AH25">-'Shared Boats 2026 Target'!$P$268*AH7*AH8/1000</f>
        <v>-21803.04</v>
      </c>
      <c r="AI25" s="282" cm="1">
        <f t="array" ref="AI25">-'Shared Boats 2026 Target'!$P$268*AI7*AI8/1000</f>
        <v>-25807.68</v>
      </c>
      <c r="AJ25" s="282" cm="1">
        <f t="array" ref="AJ25">-'Shared Boats 2026 Target'!$P$268*AJ7*AJ8/1000</f>
        <v>-25807.68</v>
      </c>
      <c r="AK25" s="282" cm="1">
        <f t="array" ref="AK25">-'Shared Boats 2026 Target'!$P$268*AK7*AK8/1000</f>
        <v>-27420.66</v>
      </c>
      <c r="AL25" s="282" cm="1">
        <f t="array" ref="AL25">-'Shared Boats 2026 Target'!$P$268*AL7*AL8/1000</f>
        <v>-30646.62</v>
      </c>
      <c r="AM25" s="282" cm="1">
        <f t="array" ref="AM25">-'Shared Boats 2026 Target'!$P$268*AM7*AM8/1000</f>
        <v>-33372</v>
      </c>
      <c r="AN25" s="282" cm="1">
        <f t="array" ref="AN25">-'Shared Boats 2026 Target'!$P$268*AN7*AN8/1000</f>
        <v>-33372</v>
      </c>
      <c r="AO25" s="282" cm="1">
        <f t="array" ref="AO25">-'Shared Boats 2026 Target'!$P$268*AO7*AO8/1000</f>
        <v>-29033.64</v>
      </c>
      <c r="AP25" s="282" cm="1">
        <f t="array" ref="AP25">-'Shared Boats 2026 Target'!$P$268*AP7*AP8/1000</f>
        <v>-25807.68</v>
      </c>
      <c r="AQ25" s="282" cm="1">
        <f t="array" ref="AQ25">-'Shared Boats 2026 Target'!$P$268*AQ7*AQ8/1000</f>
        <v>-22581.72</v>
      </c>
      <c r="AR25" s="282" cm="1">
        <f t="array" ref="AR25">-'Shared Boats 2026 Target'!$P$268*AR7*AR8/1000</f>
        <v>-25807.68</v>
      </c>
      <c r="AS25" s="282" cm="1">
        <f t="array" ref="AS25">-'Shared Boats 2026 Target'!$P$268*AS7*AS8/1000</f>
        <v>-25807.68</v>
      </c>
      <c r="AT25" s="284"/>
    </row>
    <row r="26" ht="15" customHeight="1">
      <c r="A26" s="12"/>
      <c r="B26" s="283"/>
      <c r="C26" s="272"/>
      <c r="D26" t="str" s="896" cm="1">
        <f t="array" ref="D26">'Project Eldorado ROI in IDR'!B22</f>
        <v>Land Tours</v>
      </c>
      <c r="E26" s="274"/>
      <c r="F26" s="282">
        <v>0</v>
      </c>
      <c r="G26" s="282">
        <v>0</v>
      </c>
      <c r="H26" s="282">
        <v>0</v>
      </c>
      <c r="I26" s="282" cm="1">
        <f t="array" ref="I26">-'Shared Boats 2026 Target'!$Q$268*I7*I8/1000</f>
        <v>-22717.44</v>
      </c>
      <c r="J26" s="282" cm="1">
        <f t="array" ref="J26">-'Shared Boats 2026 Target'!$Q$268*J7*J8/1000</f>
        <v>-19192.32</v>
      </c>
      <c r="K26" s="282" cm="1">
        <f t="array" ref="K26">-'Shared Boats 2026 Target'!$Q$268*K7*K8/1000</f>
        <v>-22717.44</v>
      </c>
      <c r="L26" s="282" cm="1">
        <f t="array" ref="L26">-'Shared Boats 2026 Target'!$Q$268*L7*L8/1000</f>
        <v>-22717.44</v>
      </c>
      <c r="M26" s="282" cm="1">
        <f t="array" ref="M26">-'Shared Boats 2026 Target'!$Q$268*M7*M8/1000</f>
        <v>-24137.28</v>
      </c>
      <c r="N26" s="282" cm="1">
        <f t="array" ref="N26">-'Shared Boats 2026 Target'!$Q$268*N7*N8/1000</f>
        <v>-26976.96</v>
      </c>
      <c r="O26" s="282" cm="1">
        <f t="array" ref="O26">-'Shared Boats 2026 Target'!$Q$268*O7*O8/1000</f>
        <v>-29376</v>
      </c>
      <c r="P26" s="282" cm="1">
        <f t="array" ref="P26">-'Shared Boats 2026 Target'!$Q$268*P7*P8/1000</f>
        <v>-29376</v>
      </c>
      <c r="Q26" s="282" cm="1">
        <f t="array" ref="Q26">-'Shared Boats 2026 Target'!$Q$268*Q7*Q8/1000</f>
        <v>-25557.12</v>
      </c>
      <c r="R26" s="282" cm="1">
        <f t="array" ref="R26">-'Shared Boats 2026 Target'!$Q$268*R7*R8/1000</f>
        <v>-22717.44</v>
      </c>
      <c r="S26" s="282" cm="1">
        <f t="array" ref="S26">-'Shared Boats 2026 Target'!$Q$268*S7*S8/1000</f>
        <v>-19877.76</v>
      </c>
      <c r="T26" s="282" cm="1">
        <f t="array" ref="T26">-'Shared Boats 2026 Target'!$Q$268*T7*T8/1000</f>
        <v>-22717.44</v>
      </c>
      <c r="U26" s="282" cm="1">
        <f t="array" ref="U26">-'Shared Boats 2026 Target'!$Q$268*U7*U8/1000</f>
        <v>-22717.44</v>
      </c>
      <c r="V26" s="282" cm="1">
        <f t="array" ref="V26">-'Shared Boats 2026 Target'!$Q$268*V7*V8/1000</f>
        <v>-19192.32</v>
      </c>
      <c r="W26" s="282" cm="1">
        <f t="array" ref="W26">-'Shared Boats 2026 Target'!$Q$268*W7*W8/1000</f>
        <v>-22717.44</v>
      </c>
      <c r="X26" s="282" cm="1">
        <f t="array" ref="X26">-'Shared Boats 2026 Target'!$Q$268*X7*X8/1000</f>
        <v>-22717.44</v>
      </c>
      <c r="Y26" s="282" cm="1">
        <f t="array" ref="Y26">-'Shared Boats 2026 Target'!$Q$268*Y7*Y8/1000</f>
        <v>-24137.28</v>
      </c>
      <c r="Z26" s="282" cm="1">
        <f t="array" ref="Z26">-'Shared Boats 2026 Target'!$Q$268*Z7*Z8/1000</f>
        <v>-26976.96</v>
      </c>
      <c r="AA26" s="282" cm="1">
        <f t="array" ref="AA26">-'Shared Boats 2026 Target'!$Q$268*AA7*AA8/1000</f>
        <v>-29376</v>
      </c>
      <c r="AB26" s="282" cm="1">
        <f t="array" ref="AB26">-'Shared Boats 2026 Target'!$Q$268*AB7*AB8/1000</f>
        <v>-29376</v>
      </c>
      <c r="AC26" s="282" cm="1">
        <f t="array" ref="AC26">-'Shared Boats 2026 Target'!$Q$268*AC7*AC8/1000</f>
        <v>-25557.12</v>
      </c>
      <c r="AD26" s="282" cm="1">
        <f t="array" ref="AD26">-'Shared Boats 2026 Target'!$Q$268*AD7*AD8/1000</f>
        <v>-22717.44</v>
      </c>
      <c r="AE26" s="282" cm="1">
        <f t="array" ref="AE26">-'Shared Boats 2026 Target'!$Q$268*AE7*AE8/1000</f>
        <v>-19877.76</v>
      </c>
      <c r="AF26" s="282" cm="1">
        <f t="array" ref="AF26">-'Shared Boats 2026 Target'!$Q$268*AF7*AF8/1000</f>
        <v>-22717.44</v>
      </c>
      <c r="AG26" s="282" cm="1">
        <f t="array" ref="AG26">-'Shared Boats 2026 Target'!$Q$268*AG7*AG8/1000</f>
        <v>-22717.44</v>
      </c>
      <c r="AH26" s="282" cm="1">
        <f t="array" ref="AH26">-'Shared Boats 2026 Target'!$Q$268*AH7*AH8/1000</f>
        <v>-19192.32</v>
      </c>
      <c r="AI26" s="282" cm="1">
        <f t="array" ref="AI26">-'Shared Boats 2026 Target'!$Q$268*AI7*AI8/1000</f>
        <v>-22717.44</v>
      </c>
      <c r="AJ26" s="282" cm="1">
        <f t="array" ref="AJ26">-'Shared Boats 2026 Target'!$Q$268*AJ7*AJ8/1000</f>
        <v>-22717.44</v>
      </c>
      <c r="AK26" s="282" cm="1">
        <f t="array" ref="AK26">-'Shared Boats 2026 Target'!$Q$268*AK7*AK8/1000</f>
        <v>-24137.28</v>
      </c>
      <c r="AL26" s="282" cm="1">
        <f t="array" ref="AL26">-'Shared Boats 2026 Target'!$Q$268*AL7*AL8/1000</f>
        <v>-26976.96</v>
      </c>
      <c r="AM26" s="282" cm="1">
        <f t="array" ref="AM26">-'Shared Boats 2026 Target'!$Q$268*AM7*AM8/1000</f>
        <v>-29376</v>
      </c>
      <c r="AN26" s="282" cm="1">
        <f t="array" ref="AN26">-'Shared Boats 2026 Target'!$Q$268*AN7*AN8/1000</f>
        <v>-29376</v>
      </c>
      <c r="AO26" s="282" cm="1">
        <f t="array" ref="AO26">-'Shared Boats 2026 Target'!$Q$268*AO7*AO8/1000</f>
        <v>-25557.12</v>
      </c>
      <c r="AP26" s="282" cm="1">
        <f t="array" ref="AP26">-'Shared Boats 2026 Target'!$Q$268*AP7*AP8/1000</f>
        <v>-22717.44</v>
      </c>
      <c r="AQ26" s="282" cm="1">
        <f t="array" ref="AQ26">-'Shared Boats 2026 Target'!$Q$268*AQ7*AQ8/1000</f>
        <v>-19877.76</v>
      </c>
      <c r="AR26" s="282" cm="1">
        <f t="array" ref="AR26">-'Shared Boats 2026 Target'!$Q$268*AR7*AR8/1000</f>
        <v>-22717.44</v>
      </c>
      <c r="AS26" s="282" cm="1">
        <f t="array" ref="AS26">-'Shared Boats 2026 Target'!$Q$268*AS7*AS8/1000</f>
        <v>-22717.44</v>
      </c>
      <c r="AT26" s="284"/>
    </row>
    <row r="27" ht="15" customHeight="1">
      <c r="A27" s="12"/>
      <c r="B27" s="283"/>
      <c r="C27" s="272"/>
      <c r="D27" t="str" s="896" cm="1">
        <f t="array" ref="D27">'Project Eldorado ROI in IDR'!B23</f>
        <v>Extra fruits - Premium</v>
      </c>
      <c r="E27" s="274"/>
      <c r="F27" s="282">
        <v>0</v>
      </c>
      <c r="G27" s="282">
        <v>0</v>
      </c>
      <c r="H27" s="282">
        <v>0</v>
      </c>
      <c r="I27" s="282" cm="1">
        <f t="array" ref="I27">-('Premium Shared 2026 Target'!$L$15-'Shared Boats 2026 Target'!$M$268)*I7*I8/2/1000</f>
        <v>-232</v>
      </c>
      <c r="J27" s="282" cm="1">
        <f t="array" ref="J27">-('Premium Shared 2026 Target'!$L$15-'Shared Boats 2026 Target'!$M$268)*J7*J8/2/1000</f>
        <v>-196</v>
      </c>
      <c r="K27" s="282" cm="1">
        <f t="array" ref="K27">-('Premium Shared 2026 Target'!$L$15-'Shared Boats 2026 Target'!$M$268)*K7*K8/2/1000</f>
        <v>-232</v>
      </c>
      <c r="L27" s="282" cm="1">
        <f t="array" ref="L27">-('Premium Shared 2026 Target'!$L$15-'Shared Boats 2026 Target'!$M$268)*L7*L8/2/1000</f>
        <v>-232</v>
      </c>
      <c r="M27" s="282" cm="1">
        <f t="array" ref="M27">-('Premium Shared 2026 Target'!$L$15-'Shared Boats 2026 Target'!$M$268)*M7*M8/2/1000</f>
        <v>-246.5</v>
      </c>
      <c r="N27" s="282" cm="1">
        <f t="array" ref="N27">-('Premium Shared 2026 Target'!$L$15-'Shared Boats 2026 Target'!$M$268)*N7*N8/2/1000</f>
        <v>-275.5</v>
      </c>
      <c r="O27" s="282" cm="1">
        <f t="array" ref="O27">-('Premium Shared 2026 Target'!$L$15-'Shared Boats 2026 Target'!$M$268)*O7*O8/2/1000</f>
        <v>-300</v>
      </c>
      <c r="P27" s="282" cm="1">
        <f t="array" ref="P27">-('Premium Shared 2026 Target'!$L$15-'Shared Boats 2026 Target'!$M$268)*P7*P8/2/1000</f>
        <v>-300</v>
      </c>
      <c r="Q27" s="282" cm="1">
        <f t="array" ref="Q27">-('Premium Shared 2026 Target'!$L$15-'Shared Boats 2026 Target'!$M$268)*Q7*Q8/2/1000</f>
        <v>-261</v>
      </c>
      <c r="R27" s="282" cm="1">
        <f t="array" ref="R27">-('Premium Shared 2026 Target'!$L$15-'Shared Boats 2026 Target'!$M$268)*R7*R8/2/1000</f>
        <v>-232</v>
      </c>
      <c r="S27" s="282" cm="1">
        <f t="array" ref="S27">-('Premium Shared 2026 Target'!$L$15-'Shared Boats 2026 Target'!$M$268)*S7*S8/2/1000</f>
        <v>-203</v>
      </c>
      <c r="T27" s="282" cm="1">
        <f t="array" ref="T27">-('Premium Shared 2026 Target'!$L$15-'Shared Boats 2026 Target'!$M$268)*T7*T8/2/1000</f>
        <v>-232</v>
      </c>
      <c r="U27" s="282" cm="1">
        <f t="array" ref="U27">-('Premium Shared 2026 Target'!$L$15-'Shared Boats 2026 Target'!$M$268)*U7*U8/2/1000</f>
        <v>-232</v>
      </c>
      <c r="V27" s="282" cm="1">
        <f t="array" ref="V27">-('Premium Shared 2026 Target'!$L$15-'Shared Boats 2026 Target'!$M$268)*V7*V8/2/1000</f>
        <v>-196</v>
      </c>
      <c r="W27" s="282" cm="1">
        <f t="array" ref="W27">-('Premium Shared 2026 Target'!$L$15-'Shared Boats 2026 Target'!$M$268)*W7*W8/2/1000</f>
        <v>-232</v>
      </c>
      <c r="X27" s="282" cm="1">
        <f t="array" ref="X27">-('Premium Shared 2026 Target'!$L$15-'Shared Boats 2026 Target'!$M$268)*X7*X8/2/1000</f>
        <v>-232</v>
      </c>
      <c r="Y27" s="282" cm="1">
        <f t="array" ref="Y27">-('Premium Shared 2026 Target'!$L$15-'Shared Boats 2026 Target'!$M$268)*Y7*Y8/2/1000</f>
        <v>-246.5</v>
      </c>
      <c r="Z27" s="282" cm="1">
        <f t="array" ref="Z27">-('Premium Shared 2026 Target'!$L$15-'Shared Boats 2026 Target'!$M$268)*Z7*Z8/2/1000</f>
        <v>-275.5</v>
      </c>
      <c r="AA27" s="282" cm="1">
        <f t="array" ref="AA27">-('Premium Shared 2026 Target'!$L$15-'Shared Boats 2026 Target'!$M$268)*AA7*AA8/2/1000</f>
        <v>-300</v>
      </c>
      <c r="AB27" s="282" cm="1">
        <f t="array" ref="AB27">-('Premium Shared 2026 Target'!$L$15-'Shared Boats 2026 Target'!$M$268)*AB7*AB8/2/1000</f>
        <v>-300</v>
      </c>
      <c r="AC27" s="282" cm="1">
        <f t="array" ref="AC27">-('Premium Shared 2026 Target'!$L$15-'Shared Boats 2026 Target'!$M$268)*AC7*AC8/2/1000</f>
        <v>-261</v>
      </c>
      <c r="AD27" s="282" cm="1">
        <f t="array" ref="AD27">-('Premium Shared 2026 Target'!$L$15-'Shared Boats 2026 Target'!$M$268)*AD7*AD8/2/1000</f>
        <v>-232</v>
      </c>
      <c r="AE27" s="282" cm="1">
        <f t="array" ref="AE27">-('Premium Shared 2026 Target'!$L$15-'Shared Boats 2026 Target'!$M$268)*AE7*AE8/2/1000</f>
        <v>-203</v>
      </c>
      <c r="AF27" s="282" cm="1">
        <f t="array" ref="AF27">-('Premium Shared 2026 Target'!$L$15-'Shared Boats 2026 Target'!$M$268)*AF7*AF8/2/1000</f>
        <v>-232</v>
      </c>
      <c r="AG27" s="282" cm="1">
        <f t="array" ref="AG27">-('Premium Shared 2026 Target'!$L$15-'Shared Boats 2026 Target'!$M$268)*AG7*AG8/2/1000</f>
        <v>-232</v>
      </c>
      <c r="AH27" s="282" cm="1">
        <f t="array" ref="AH27">-('Premium Shared 2026 Target'!$L$15-'Shared Boats 2026 Target'!$M$268)*AH7*AH8/2/1000</f>
        <v>-196</v>
      </c>
      <c r="AI27" s="282" cm="1">
        <f t="array" ref="AI27">-('Premium Shared 2026 Target'!$L$15-'Shared Boats 2026 Target'!$M$268)*AI7*AI8/2/1000</f>
        <v>-232</v>
      </c>
      <c r="AJ27" s="282" cm="1">
        <f t="array" ref="AJ27">-('Premium Shared 2026 Target'!$L$15-'Shared Boats 2026 Target'!$M$268)*AJ7*AJ8/2/1000</f>
        <v>-232</v>
      </c>
      <c r="AK27" s="282" cm="1">
        <f t="array" ref="AK27">-('Premium Shared 2026 Target'!$L$15-'Shared Boats 2026 Target'!$M$268)*AK7*AK8/2/1000</f>
        <v>-246.5</v>
      </c>
      <c r="AL27" s="282" cm="1">
        <f t="array" ref="AL27">-('Premium Shared 2026 Target'!$L$15-'Shared Boats 2026 Target'!$M$268)*AL7*AL8/2/1000</f>
        <v>-275.5</v>
      </c>
      <c r="AM27" s="282" cm="1">
        <f t="array" ref="AM27">-('Premium Shared 2026 Target'!$L$15-'Shared Boats 2026 Target'!$M$268)*AM7*AM8/2/1000</f>
        <v>-300</v>
      </c>
      <c r="AN27" s="282" cm="1">
        <f t="array" ref="AN27">-('Premium Shared 2026 Target'!$L$15-'Shared Boats 2026 Target'!$M$268)*AN7*AN8/2/1000</f>
        <v>-300</v>
      </c>
      <c r="AO27" s="282" cm="1">
        <f t="array" ref="AO27">-('Premium Shared 2026 Target'!$L$15-'Shared Boats 2026 Target'!$M$268)*AO7*AO8/2/1000</f>
        <v>-261</v>
      </c>
      <c r="AP27" s="282" cm="1">
        <f t="array" ref="AP27">-('Premium Shared 2026 Target'!$L$15-'Shared Boats 2026 Target'!$M$268)*AP7*AP8/2/1000</f>
        <v>-232</v>
      </c>
      <c r="AQ27" s="282" cm="1">
        <f t="array" ref="AQ27">-('Premium Shared 2026 Target'!$L$15-'Shared Boats 2026 Target'!$M$268)*AQ7*AQ8/2/1000</f>
        <v>-203</v>
      </c>
      <c r="AR27" s="282" cm="1">
        <f t="array" ref="AR27">-('Premium Shared 2026 Target'!$L$15-'Shared Boats 2026 Target'!$M$268)*AR7*AR8/2/1000</f>
        <v>-232</v>
      </c>
      <c r="AS27" s="282" cm="1">
        <f t="array" ref="AS27">-('Premium Shared 2026 Target'!$L$15-'Shared Boats 2026 Target'!$M$268)*AS7*AS8/2/1000</f>
        <v>-232</v>
      </c>
      <c r="AT27" s="284"/>
    </row>
    <row r="28" ht="15" customHeight="1">
      <c r="A28" s="12"/>
      <c r="B28" s="283"/>
      <c r="C28" s="272"/>
      <c r="D28" t="str" s="896" cm="1">
        <f t="array" ref="D28">'Project Eldorado ROI in IDR'!B24</f>
        <v>Extra photographer - Premium</v>
      </c>
      <c r="E28" s="274"/>
      <c r="F28" s="282">
        <v>0</v>
      </c>
      <c r="G28" s="282">
        <v>0</v>
      </c>
      <c r="H28" s="282">
        <v>0</v>
      </c>
      <c r="I28" s="282" cm="1">
        <f t="array" ref="I28">-('Premium Shared 2026 Target'!$N$15)*I7*I8/2/1000</f>
        <v>-5104</v>
      </c>
      <c r="J28" s="282" cm="1">
        <f t="array" ref="J28">-('Premium Shared 2026 Target'!$N$15)*J7*J8/2/1000</f>
        <v>-4312</v>
      </c>
      <c r="K28" s="282" cm="1">
        <f t="array" ref="K28">-('Premium Shared 2026 Target'!$N$15)*K7*K8/2/1000</f>
        <v>-5104</v>
      </c>
      <c r="L28" s="282" cm="1">
        <f t="array" ref="L28">-('Premium Shared 2026 Target'!$N$15)*L7*L8/2/1000</f>
        <v>-5104</v>
      </c>
      <c r="M28" s="282" cm="1">
        <f t="array" ref="M28">-('Premium Shared 2026 Target'!$N$15)*M7*M8/2/1000</f>
        <v>-5423</v>
      </c>
      <c r="N28" s="282" cm="1">
        <f t="array" ref="N28">-('Premium Shared 2026 Target'!$N$15)*N7*N8/2/1000</f>
        <v>-6061</v>
      </c>
      <c r="O28" s="282" cm="1">
        <f t="array" ref="O28">-('Premium Shared 2026 Target'!$N$15)*O7*O8/2/1000</f>
        <v>-6600</v>
      </c>
      <c r="P28" s="282" cm="1">
        <f t="array" ref="P28">-('Premium Shared 2026 Target'!$N$15)*P7*P8/2/1000</f>
        <v>-6600</v>
      </c>
      <c r="Q28" s="282" cm="1">
        <f t="array" ref="Q28">-('Premium Shared 2026 Target'!$N$15)*Q7*Q8/2/1000</f>
        <v>-5742</v>
      </c>
      <c r="R28" s="282" cm="1">
        <f t="array" ref="R28">-('Premium Shared 2026 Target'!$N$15)*R7*R8/2/1000</f>
        <v>-5104</v>
      </c>
      <c r="S28" s="282" cm="1">
        <f t="array" ref="S28">-('Premium Shared 2026 Target'!$N$15)*S7*S8/2/1000</f>
        <v>-4466</v>
      </c>
      <c r="T28" s="282" cm="1">
        <f t="array" ref="T28">-('Premium Shared 2026 Target'!$N$15)*T7*T8/2/1000</f>
        <v>-5104</v>
      </c>
      <c r="U28" s="282" cm="1">
        <f t="array" ref="U28">-('Premium Shared 2026 Target'!$N$15)*U7*U8/2/1000</f>
        <v>-5104</v>
      </c>
      <c r="V28" s="282" cm="1">
        <f t="array" ref="V28">-('Premium Shared 2026 Target'!$N$15)*V7*V8/2/1000</f>
        <v>-4312</v>
      </c>
      <c r="W28" s="282" cm="1">
        <f t="array" ref="W28">-('Premium Shared 2026 Target'!$N$15)*W7*W8/2/1000</f>
        <v>-5104</v>
      </c>
      <c r="X28" s="282" cm="1">
        <f t="array" ref="X28">-('Premium Shared 2026 Target'!$N$15)*X7*X8/2/1000</f>
        <v>-5104</v>
      </c>
      <c r="Y28" s="282" cm="1">
        <f t="array" ref="Y28">-('Premium Shared 2026 Target'!$N$15)*Y7*Y8/2/1000</f>
        <v>-5423</v>
      </c>
      <c r="Z28" s="282" cm="1">
        <f t="array" ref="Z28">-('Premium Shared 2026 Target'!$N$15)*Z7*Z8/2/1000</f>
        <v>-6061</v>
      </c>
      <c r="AA28" s="282" cm="1">
        <f t="array" ref="AA28">-('Premium Shared 2026 Target'!$N$15)*AA7*AA8/2/1000</f>
        <v>-6600</v>
      </c>
      <c r="AB28" s="282" cm="1">
        <f t="array" ref="AB28">-('Premium Shared 2026 Target'!$N$15)*AB7*AB8/2/1000</f>
        <v>-6600</v>
      </c>
      <c r="AC28" s="282" cm="1">
        <f t="array" ref="AC28">-('Premium Shared 2026 Target'!$N$15)*AC7*AC8/2/1000</f>
        <v>-5742</v>
      </c>
      <c r="AD28" s="282" cm="1">
        <f t="array" ref="AD28">-('Premium Shared 2026 Target'!$N$15)*AD7*AD8/2/1000</f>
        <v>-5104</v>
      </c>
      <c r="AE28" s="282" cm="1">
        <f t="array" ref="AE28">-('Premium Shared 2026 Target'!$N$15)*AE7*AE8/2/1000</f>
        <v>-4466</v>
      </c>
      <c r="AF28" s="282" cm="1">
        <f t="array" ref="AF28">-('Premium Shared 2026 Target'!$N$15)*AF7*AF8/2/1000</f>
        <v>-5104</v>
      </c>
      <c r="AG28" s="282" cm="1">
        <f t="array" ref="AG28">-('Premium Shared 2026 Target'!$N$15)*AG7*AG8/2/1000</f>
        <v>-5104</v>
      </c>
      <c r="AH28" s="282" cm="1">
        <f t="array" ref="AH28">-('Premium Shared 2026 Target'!$N$15)*AH7*AH8/2/1000</f>
        <v>-4312</v>
      </c>
      <c r="AI28" s="282" cm="1">
        <f t="array" ref="AI28">-('Premium Shared 2026 Target'!$N$15)*AI7*AI8/2/1000</f>
        <v>-5104</v>
      </c>
      <c r="AJ28" s="282" cm="1">
        <f t="array" ref="AJ28">-('Premium Shared 2026 Target'!$N$15)*AJ7*AJ8/2/1000</f>
        <v>-5104</v>
      </c>
      <c r="AK28" s="282" cm="1">
        <f t="array" ref="AK28">-('Premium Shared 2026 Target'!$N$15)*AK7*AK8/2/1000</f>
        <v>-5423</v>
      </c>
      <c r="AL28" s="282" cm="1">
        <f t="array" ref="AL28">-('Premium Shared 2026 Target'!$N$15)*AL7*AL8/2/1000</f>
        <v>-6061</v>
      </c>
      <c r="AM28" s="282" cm="1">
        <f t="array" ref="AM28">-('Premium Shared 2026 Target'!$N$15)*AM7*AM8/2/1000</f>
        <v>-6600</v>
      </c>
      <c r="AN28" s="282" cm="1">
        <f t="array" ref="AN28">-('Premium Shared 2026 Target'!$N$15)*AN7*AN8/2/1000</f>
        <v>-6600</v>
      </c>
      <c r="AO28" s="282" cm="1">
        <f t="array" ref="AO28">-('Premium Shared 2026 Target'!$N$15)*AO7*AO8/2/1000</f>
        <v>-5742</v>
      </c>
      <c r="AP28" s="282" cm="1">
        <f t="array" ref="AP28">-('Premium Shared 2026 Target'!$N$15)*AP7*AP8/2/1000</f>
        <v>-5104</v>
      </c>
      <c r="AQ28" s="282" cm="1">
        <f t="array" ref="AQ28">-('Premium Shared 2026 Target'!$N$15)*AQ7*AQ8/2/1000</f>
        <v>-4466</v>
      </c>
      <c r="AR28" s="282" cm="1">
        <f t="array" ref="AR28">-('Premium Shared 2026 Target'!$N$15)*AR7*AR8/2/1000</f>
        <v>-5104</v>
      </c>
      <c r="AS28" s="282" cm="1">
        <f t="array" ref="AS28">-('Premium Shared 2026 Target'!$N$15)*AS7*AS8/2/1000</f>
        <v>-5104</v>
      </c>
      <c r="AT28" s="284"/>
    </row>
    <row r="29" ht="15" customHeight="1">
      <c r="A29" s="12"/>
      <c r="B29" s="283"/>
      <c r="C29" s="272"/>
      <c r="D29" t="str" s="896" cm="1">
        <f t="array" ref="D29">'Project Eldorado ROI in IDR'!B25</f>
        <v>Extra welcome drinks - Premium</v>
      </c>
      <c r="E29" s="274"/>
      <c r="F29" s="282">
        <v>0</v>
      </c>
      <c r="G29" s="282">
        <v>0</v>
      </c>
      <c r="H29" s="282">
        <v>0</v>
      </c>
      <c r="I29" s="282" cm="1">
        <f t="array" ref="I29">-('Premium Shared 2026 Target'!$P$15)*I7*I8/2/1000</f>
        <v>-5231.6</v>
      </c>
      <c r="J29" s="282" cm="1">
        <f t="array" ref="J29">-('Premium Shared 2026 Target'!$P$15)*J7*J8/2/1000</f>
        <v>-4419.8</v>
      </c>
      <c r="K29" s="282" cm="1">
        <f t="array" ref="K29">-('Premium Shared 2026 Target'!$P$15)*K7*K8/2/1000</f>
        <v>-5231.6</v>
      </c>
      <c r="L29" s="282" cm="1">
        <f t="array" ref="L29">-('Premium Shared 2026 Target'!$P$15)*L7*L8/2/1000</f>
        <v>-5231.6</v>
      </c>
      <c r="M29" s="282" cm="1">
        <f t="array" ref="M29">-('Premium Shared 2026 Target'!$P$15)*M7*M8/2/1000</f>
        <v>-5558.575</v>
      </c>
      <c r="N29" s="282" cm="1">
        <f t="array" ref="N29">-('Premium Shared 2026 Target'!$P$15)*N7*N8/2/1000</f>
        <v>-6212.525</v>
      </c>
      <c r="O29" s="282" cm="1">
        <f t="array" ref="O29">-('Premium Shared 2026 Target'!$P$15)*O7*O8/2/1000</f>
        <v>-6765</v>
      </c>
      <c r="P29" s="282" cm="1">
        <f t="array" ref="P29">-('Premium Shared 2026 Target'!$P$15)*P7*P8/2/1000</f>
        <v>-6765</v>
      </c>
      <c r="Q29" s="282" cm="1">
        <f t="array" ref="Q29">-('Premium Shared 2026 Target'!$P$15)*Q7*Q8/2/1000</f>
        <v>-5885.55</v>
      </c>
      <c r="R29" s="282" cm="1">
        <f t="array" ref="R29">-('Premium Shared 2026 Target'!$P$15)*R7*R8/2/1000</f>
        <v>-5231.6</v>
      </c>
      <c r="S29" s="282" cm="1">
        <f t="array" ref="S29">-('Premium Shared 2026 Target'!$P$15)*S7*S8/2/1000</f>
        <v>-4577.65</v>
      </c>
      <c r="T29" s="282" cm="1">
        <f t="array" ref="T29">-('Premium Shared 2026 Target'!$P$15)*T7*T8/2/1000</f>
        <v>-5231.6</v>
      </c>
      <c r="U29" s="282" cm="1">
        <f t="array" ref="U29">-('Premium Shared 2026 Target'!$P$15)*U7*U8/2/1000</f>
        <v>-5231.6</v>
      </c>
      <c r="V29" s="282" cm="1">
        <f t="array" ref="V29">-('Premium Shared 2026 Target'!$P$15)*V7*V8/2/1000</f>
        <v>-4419.8</v>
      </c>
      <c r="W29" s="282" cm="1">
        <f t="array" ref="W29">-('Premium Shared 2026 Target'!$P$15)*W7*W8/2/1000</f>
        <v>-5231.6</v>
      </c>
      <c r="X29" s="282" cm="1">
        <f t="array" ref="X29">-('Premium Shared 2026 Target'!$P$15)*X7*X8/2/1000</f>
        <v>-5231.6</v>
      </c>
      <c r="Y29" s="282" cm="1">
        <f t="array" ref="Y29">-('Premium Shared 2026 Target'!$P$15)*Y7*Y8/2/1000</f>
        <v>-5558.575</v>
      </c>
      <c r="Z29" s="282" cm="1">
        <f t="array" ref="Z29">-('Premium Shared 2026 Target'!$P$15)*Z7*Z8/2/1000</f>
        <v>-6212.525</v>
      </c>
      <c r="AA29" s="282" cm="1">
        <f t="array" ref="AA29">-('Premium Shared 2026 Target'!$P$15)*AA7*AA8/2/1000</f>
        <v>-6765</v>
      </c>
      <c r="AB29" s="282" cm="1">
        <f t="array" ref="AB29">-('Premium Shared 2026 Target'!$P$15)*AB7*AB8/2/1000</f>
        <v>-6765</v>
      </c>
      <c r="AC29" s="282" cm="1">
        <f t="array" ref="AC29">-('Premium Shared 2026 Target'!$P$15)*AC7*AC8/2/1000</f>
        <v>-5885.55</v>
      </c>
      <c r="AD29" s="282" cm="1">
        <f t="array" ref="AD29">-('Premium Shared 2026 Target'!$P$15)*AD7*AD8/2/1000</f>
        <v>-5231.6</v>
      </c>
      <c r="AE29" s="282" cm="1">
        <f t="array" ref="AE29">-('Premium Shared 2026 Target'!$P$15)*AE7*AE8/2/1000</f>
        <v>-4577.65</v>
      </c>
      <c r="AF29" s="282" cm="1">
        <f t="array" ref="AF29">-('Premium Shared 2026 Target'!$P$15)*AF7*AF8/2/1000</f>
        <v>-5231.6</v>
      </c>
      <c r="AG29" s="282" cm="1">
        <f t="array" ref="AG29">-('Premium Shared 2026 Target'!$P$15)*AG7*AG8/2/1000</f>
        <v>-5231.6</v>
      </c>
      <c r="AH29" s="282" cm="1">
        <f t="array" ref="AH29">-('Premium Shared 2026 Target'!$P$15)*AH7*AH8/2/1000</f>
        <v>-4419.8</v>
      </c>
      <c r="AI29" s="282" cm="1">
        <f t="array" ref="AI29">-('Premium Shared 2026 Target'!$P$15)*AI7*AI8/2/1000</f>
        <v>-5231.6</v>
      </c>
      <c r="AJ29" s="282" cm="1">
        <f t="array" ref="AJ29">-('Premium Shared 2026 Target'!$P$15)*AJ7*AJ8/2/1000</f>
        <v>-5231.6</v>
      </c>
      <c r="AK29" s="282" cm="1">
        <f t="array" ref="AK29">-('Premium Shared 2026 Target'!$P$15)*AK7*AK8/2/1000</f>
        <v>-5558.575</v>
      </c>
      <c r="AL29" s="282" cm="1">
        <f t="array" ref="AL29">-('Premium Shared 2026 Target'!$P$15)*AL7*AL8/2/1000</f>
        <v>-6212.525</v>
      </c>
      <c r="AM29" s="282" cm="1">
        <f t="array" ref="AM29">-('Premium Shared 2026 Target'!$P$15)*AM7*AM8/2/1000</f>
        <v>-6765</v>
      </c>
      <c r="AN29" s="282" cm="1">
        <f t="array" ref="AN29">-('Premium Shared 2026 Target'!$P$15)*AN7*AN8/2/1000</f>
        <v>-6765</v>
      </c>
      <c r="AO29" s="282" cm="1">
        <f t="array" ref="AO29">-('Premium Shared 2026 Target'!$P$15)*AO7*AO8/2/1000</f>
        <v>-5885.55</v>
      </c>
      <c r="AP29" s="282" cm="1">
        <f t="array" ref="AP29">-('Premium Shared 2026 Target'!$P$15)*AP7*AP8/2/1000</f>
        <v>-5231.6</v>
      </c>
      <c r="AQ29" s="282" cm="1">
        <f t="array" ref="AQ29">-('Premium Shared 2026 Target'!$P$15)*AQ7*AQ8/2/1000</f>
        <v>-4577.65</v>
      </c>
      <c r="AR29" s="282" cm="1">
        <f t="array" ref="AR29">-('Premium Shared 2026 Target'!$P$15)*AR7*AR8/2/1000</f>
        <v>-5231.6</v>
      </c>
      <c r="AS29" s="282" cm="1">
        <f t="array" ref="AS29">-('Premium Shared 2026 Target'!$P$15)*AS7*AS8/2/1000</f>
        <v>-5231.6</v>
      </c>
      <c r="AT29" s="284"/>
    </row>
    <row r="30" ht="15" customHeight="1">
      <c r="A30" s="12"/>
      <c r="B30" s="283"/>
      <c r="C30" s="272"/>
      <c r="D30" t="str" s="896" cm="1">
        <f t="array" ref="D30">'Project Eldorado ROI in IDR'!B26</f>
        <v>Extra prosecco - Premium</v>
      </c>
      <c r="E30" s="274"/>
      <c r="F30" s="282">
        <v>0</v>
      </c>
      <c r="G30" s="282">
        <v>0</v>
      </c>
      <c r="H30" s="282">
        <v>0</v>
      </c>
      <c r="I30" s="282" cm="1">
        <f t="array" ref="I30">-('Premium Shared 2026 Target'!$O$15)*I7*I8/2/1000</f>
        <v>-10092</v>
      </c>
      <c r="J30" s="282" cm="1">
        <f t="array" ref="J30">-('Premium Shared 2026 Target'!$O$15)*J7*J8/2/1000</f>
        <v>-8526</v>
      </c>
      <c r="K30" s="282" cm="1">
        <f t="array" ref="K30">-('Premium Shared 2026 Target'!$O$15)*K7*K8/2/1000</f>
        <v>-10092</v>
      </c>
      <c r="L30" s="282" cm="1">
        <f t="array" ref="L30">-('Premium Shared 2026 Target'!$O$15)*L7*L8/2/1000</f>
        <v>-10092</v>
      </c>
      <c r="M30" s="282" cm="1">
        <f t="array" ref="M30">-('Premium Shared 2026 Target'!$O$15)*M7*M8/2/1000</f>
        <v>-10722.75</v>
      </c>
      <c r="N30" s="282" cm="1">
        <f t="array" ref="N30">-('Premium Shared 2026 Target'!$O$15)*N7*N8/2/1000</f>
        <v>-11984.25</v>
      </c>
      <c r="O30" s="282" cm="1">
        <f t="array" ref="O30">-('Premium Shared 2026 Target'!$O$15)*O7*O8/2/1000</f>
        <v>-13050</v>
      </c>
      <c r="P30" s="282" cm="1">
        <f t="array" ref="P30">-('Premium Shared 2026 Target'!$O$15)*P7*P8/2/1000</f>
        <v>-13050</v>
      </c>
      <c r="Q30" s="282" cm="1">
        <f t="array" ref="Q30">-('Premium Shared 2026 Target'!$O$15)*Q7*Q8/2/1000</f>
        <v>-11353.5</v>
      </c>
      <c r="R30" s="282" cm="1">
        <f t="array" ref="R30">-('Premium Shared 2026 Target'!$O$15)*R7*R8/2/1000</f>
        <v>-10092</v>
      </c>
      <c r="S30" s="282" cm="1">
        <f t="array" ref="S30">-('Premium Shared 2026 Target'!$O$15)*S7*S8/2/1000</f>
        <v>-8830.5</v>
      </c>
      <c r="T30" s="282" cm="1">
        <f t="array" ref="T30">-('Premium Shared 2026 Target'!$O$15)*T7*T8/2/1000</f>
        <v>-10092</v>
      </c>
      <c r="U30" s="282" cm="1">
        <f t="array" ref="U30">-('Premium Shared 2026 Target'!$O$15)*U7*U8/2/1000</f>
        <v>-10092</v>
      </c>
      <c r="V30" s="282" cm="1">
        <f t="array" ref="V30">-('Premium Shared 2026 Target'!$O$15)*V7*V8/2/1000</f>
        <v>-8526</v>
      </c>
      <c r="W30" s="282" cm="1">
        <f t="array" ref="W30">-('Premium Shared 2026 Target'!$O$15)*W7*W8/2/1000</f>
        <v>-10092</v>
      </c>
      <c r="X30" s="282" cm="1">
        <f t="array" ref="X30">-('Premium Shared 2026 Target'!$O$15)*X7*X8/2/1000</f>
        <v>-10092</v>
      </c>
      <c r="Y30" s="282" cm="1">
        <f t="array" ref="Y30">-('Premium Shared 2026 Target'!$O$15)*Y7*Y8/2/1000</f>
        <v>-10722.75</v>
      </c>
      <c r="Z30" s="282" cm="1">
        <f t="array" ref="Z30">-('Premium Shared 2026 Target'!$O$15)*Z7*Z8/2/1000</f>
        <v>-11984.25</v>
      </c>
      <c r="AA30" s="282" cm="1">
        <f t="array" ref="AA30">-('Premium Shared 2026 Target'!$O$15)*AA7*AA8/2/1000</f>
        <v>-13050</v>
      </c>
      <c r="AB30" s="282" cm="1">
        <f t="array" ref="AB30">-('Premium Shared 2026 Target'!$O$15)*AB7*AB8/2/1000</f>
        <v>-13050</v>
      </c>
      <c r="AC30" s="282" cm="1">
        <f t="array" ref="AC30">-('Premium Shared 2026 Target'!$O$15)*AC7*AC8/2/1000</f>
        <v>-11353.5</v>
      </c>
      <c r="AD30" s="282" cm="1">
        <f t="array" ref="AD30">-('Premium Shared 2026 Target'!$O$15)*AD7*AD8/2/1000</f>
        <v>-10092</v>
      </c>
      <c r="AE30" s="282" cm="1">
        <f t="array" ref="AE30">-('Premium Shared 2026 Target'!$O$15)*AE7*AE8/2/1000</f>
        <v>-8830.5</v>
      </c>
      <c r="AF30" s="282" cm="1">
        <f t="array" ref="AF30">-('Premium Shared 2026 Target'!$O$15)*AF7*AF8/2/1000</f>
        <v>-10092</v>
      </c>
      <c r="AG30" s="282" cm="1">
        <f t="array" ref="AG30">-('Premium Shared 2026 Target'!$O$15)*AG7*AG8/2/1000</f>
        <v>-10092</v>
      </c>
      <c r="AH30" s="282" cm="1">
        <f t="array" ref="AH30">-('Premium Shared 2026 Target'!$O$15)*AH7*AH8/2/1000</f>
        <v>-8526</v>
      </c>
      <c r="AI30" s="282" cm="1">
        <f t="array" ref="AI30">-('Premium Shared 2026 Target'!$O$15)*AI7*AI8/2/1000</f>
        <v>-10092</v>
      </c>
      <c r="AJ30" s="282" cm="1">
        <f t="array" ref="AJ30">-('Premium Shared 2026 Target'!$O$15)*AJ7*AJ8/2/1000</f>
        <v>-10092</v>
      </c>
      <c r="AK30" s="282" cm="1">
        <f t="array" ref="AK30">-('Premium Shared 2026 Target'!$O$15)*AK7*AK8/2/1000</f>
        <v>-10722.75</v>
      </c>
      <c r="AL30" s="282" cm="1">
        <f t="array" ref="AL30">-('Premium Shared 2026 Target'!$O$15)*AL7*AL8/2/1000</f>
        <v>-11984.25</v>
      </c>
      <c r="AM30" s="282" cm="1">
        <f t="array" ref="AM30">-('Premium Shared 2026 Target'!$O$15)*AM7*AM8/2/1000</f>
        <v>-13050</v>
      </c>
      <c r="AN30" s="282" cm="1">
        <f t="array" ref="AN30">-('Premium Shared 2026 Target'!$O$15)*AN7*AN8/2/1000</f>
        <v>-13050</v>
      </c>
      <c r="AO30" s="282" cm="1">
        <f t="array" ref="AO30">-('Premium Shared 2026 Target'!$O$15)*AO7*AO8/2/1000</f>
        <v>-11353.5</v>
      </c>
      <c r="AP30" s="282" cm="1">
        <f t="array" ref="AP30">-('Premium Shared 2026 Target'!$O$15)*AP7*AP8/2/1000</f>
        <v>-10092</v>
      </c>
      <c r="AQ30" s="282" cm="1">
        <f t="array" ref="AQ30">-('Premium Shared 2026 Target'!$O$15)*AQ7*AQ8/2/1000</f>
        <v>-8830.5</v>
      </c>
      <c r="AR30" s="282" cm="1">
        <f t="array" ref="AR30">-('Premium Shared 2026 Target'!$O$15)*AR7*AR8/2/1000</f>
        <v>-10092</v>
      </c>
      <c r="AS30" s="282" cm="1">
        <f t="array" ref="AS30">-('Premium Shared 2026 Target'!$O$15)*AS7*AS8/2/1000</f>
        <v>-10092</v>
      </c>
      <c r="AT30" s="284"/>
    </row>
    <row r="31" ht="15" customHeight="1">
      <c r="A31" s="12"/>
      <c r="B31" s="283"/>
      <c r="C31" s="272"/>
      <c r="D31" t="str" s="896" cm="1">
        <f t="array" ref="D31">'Project Eldorado ROI in IDR'!B31</f>
        <v>100H service + routine maintenance</v>
      </c>
      <c r="E31" s="274"/>
      <c r="F31" s="282">
        <v>0</v>
      </c>
      <c r="G31" s="282">
        <v>0</v>
      </c>
      <c r="H31" s="282">
        <v>0</v>
      </c>
      <c r="I31" s="282" cm="1">
        <f t="array" ref="I31">'Project Eldorado ROI in IDR'!$F$31/12/1000</f>
        <v>-3237.368</v>
      </c>
      <c r="J31" s="282" cm="1">
        <f t="array" ref="J31">'Project Eldorado ROI in IDR'!$F$31/12/1000</f>
        <v>-3237.368</v>
      </c>
      <c r="K31" s="282" cm="1">
        <f t="array" ref="K31">'Project Eldorado ROI in IDR'!$F$31/12/1000</f>
        <v>-3237.368</v>
      </c>
      <c r="L31" s="282" cm="1">
        <f t="array" ref="L31">'Project Eldorado ROI in IDR'!$F$31/12/1000</f>
        <v>-3237.368</v>
      </c>
      <c r="M31" s="282" cm="1">
        <f t="array" ref="M31">'Project Eldorado ROI in IDR'!$F$31/12/1000</f>
        <v>-3237.368</v>
      </c>
      <c r="N31" s="282" cm="1">
        <f t="array" ref="N31">'Project Eldorado ROI in IDR'!$F$31/12/1000</f>
        <v>-3237.368</v>
      </c>
      <c r="O31" s="282" cm="1">
        <f t="array" ref="O31">'Project Eldorado ROI in IDR'!$F$31/12/1000</f>
        <v>-3237.368</v>
      </c>
      <c r="P31" s="282" cm="1">
        <f t="array" ref="P31">'Project Eldorado ROI in IDR'!$F$31/12/1000</f>
        <v>-3237.368</v>
      </c>
      <c r="Q31" s="282" cm="1">
        <f t="array" ref="Q31">'Project Eldorado ROI in IDR'!$F$31/12/1000</f>
        <v>-3237.368</v>
      </c>
      <c r="R31" s="282" cm="1">
        <f t="array" ref="R31">'Project Eldorado ROI in IDR'!$F$31/12/1000</f>
        <v>-3237.368</v>
      </c>
      <c r="S31" s="282" cm="1">
        <f t="array" ref="S31">'Project Eldorado ROI in IDR'!$F$31/12/1000</f>
        <v>-3237.368</v>
      </c>
      <c r="T31" s="282" cm="1">
        <f t="array" ref="T31">'Project Eldorado ROI in IDR'!$F$31/12/1000</f>
        <v>-3237.368</v>
      </c>
      <c r="U31" s="282" cm="1">
        <f t="array" ref="U31">'Project Eldorado ROI in IDR'!$F$31/12/1000</f>
        <v>-3237.368</v>
      </c>
      <c r="V31" s="282" cm="1">
        <f t="array" ref="V31">'Project Eldorado ROI in IDR'!$F$31/12/1000</f>
        <v>-3237.368</v>
      </c>
      <c r="W31" s="282" cm="1">
        <f t="array" ref="W31">'Project Eldorado ROI in IDR'!$F$31/12/1000</f>
        <v>-3237.368</v>
      </c>
      <c r="X31" s="282" cm="1">
        <f t="array" ref="X31">'Project Eldorado ROI in IDR'!$F$31/12/1000</f>
        <v>-3237.368</v>
      </c>
      <c r="Y31" s="282" cm="1">
        <f t="array" ref="Y31">'Project Eldorado ROI in IDR'!$F$31/12/1000</f>
        <v>-3237.368</v>
      </c>
      <c r="Z31" s="282" cm="1">
        <f t="array" ref="Z31">'Project Eldorado ROI in IDR'!$F$31/12/1000</f>
        <v>-3237.368</v>
      </c>
      <c r="AA31" s="282" cm="1">
        <f t="array" ref="AA31">'Project Eldorado ROI in IDR'!$F$31/12/1000</f>
        <v>-3237.368</v>
      </c>
      <c r="AB31" s="282" cm="1">
        <f t="array" ref="AB31">'Project Eldorado ROI in IDR'!$F$31/12/1000</f>
        <v>-3237.368</v>
      </c>
      <c r="AC31" s="282" cm="1">
        <f t="array" ref="AC31">'Project Eldorado ROI in IDR'!$F$31/12/1000</f>
        <v>-3237.368</v>
      </c>
      <c r="AD31" s="282" cm="1">
        <f t="array" ref="AD31">'Project Eldorado ROI in IDR'!$F$31/12/1000</f>
        <v>-3237.368</v>
      </c>
      <c r="AE31" s="282" cm="1">
        <f t="array" ref="AE31">'Project Eldorado ROI in IDR'!$F$31/12/1000</f>
        <v>-3237.368</v>
      </c>
      <c r="AF31" s="282" cm="1">
        <f t="array" ref="AF31">'Project Eldorado ROI in IDR'!$F$31/12/1000</f>
        <v>-3237.368</v>
      </c>
      <c r="AG31" s="282" cm="1">
        <f t="array" ref="AG31">'Project Eldorado ROI in IDR'!$F$31/12/1000</f>
        <v>-3237.368</v>
      </c>
      <c r="AH31" s="282" cm="1">
        <f t="array" ref="AH31">'Project Eldorado ROI in IDR'!$F$31/12/1000</f>
        <v>-3237.368</v>
      </c>
      <c r="AI31" s="282" cm="1">
        <f t="array" ref="AI31">'Project Eldorado ROI in IDR'!$F$31/12/1000</f>
        <v>-3237.368</v>
      </c>
      <c r="AJ31" s="282" cm="1">
        <f t="array" ref="AJ31">'Project Eldorado ROI in IDR'!$F$31/12/1000</f>
        <v>-3237.368</v>
      </c>
      <c r="AK31" s="282" cm="1">
        <f t="array" ref="AK31">'Project Eldorado ROI in IDR'!$F$31/12/1000</f>
        <v>-3237.368</v>
      </c>
      <c r="AL31" s="282" cm="1">
        <f t="array" ref="AL31">'Project Eldorado ROI in IDR'!$F$31/12/1000</f>
        <v>-3237.368</v>
      </c>
      <c r="AM31" s="282" cm="1">
        <f t="array" ref="AM31">'Project Eldorado ROI in IDR'!$F$31/12/1000</f>
        <v>-3237.368</v>
      </c>
      <c r="AN31" s="282" cm="1">
        <f t="array" ref="AN31">'Project Eldorado ROI in IDR'!$F$31/12/1000</f>
        <v>-3237.368</v>
      </c>
      <c r="AO31" s="282" cm="1">
        <f t="array" ref="AO31">'Project Eldorado ROI in IDR'!$F$31/12/1000</f>
        <v>-3237.368</v>
      </c>
      <c r="AP31" s="282" cm="1">
        <f t="array" ref="AP31">'Project Eldorado ROI in IDR'!$F$31/12/1000</f>
        <v>-3237.368</v>
      </c>
      <c r="AQ31" s="282" cm="1">
        <f t="array" ref="AQ31">'Project Eldorado ROI in IDR'!$F$31/12/1000</f>
        <v>-3237.368</v>
      </c>
      <c r="AR31" s="282" cm="1">
        <f t="array" ref="AR31">'Project Eldorado ROI in IDR'!$F$31/12/1000</f>
        <v>-3237.368</v>
      </c>
      <c r="AS31" s="282" cm="1">
        <f t="array" ref="AS31">'Project Eldorado ROI in IDR'!$F$31/12/1000</f>
        <v>-3237.368</v>
      </c>
      <c r="AT31" s="284"/>
    </row>
    <row r="32" ht="15" customHeight="1">
      <c r="A32" s="12"/>
      <c r="B32" s="283"/>
      <c r="C32" s="272"/>
      <c r="D32" t="str" s="896" cm="1">
        <f t="array" ref="D32">'Project Eldorado ROI in IDR'!B32</f>
        <v>Odoo subscription + accounting</v>
      </c>
      <c r="E32" s="274"/>
      <c r="F32" s="282">
        <v>0</v>
      </c>
      <c r="G32" s="282">
        <v>0</v>
      </c>
      <c r="H32" s="282">
        <v>0</v>
      </c>
      <c r="I32" s="282" cm="1">
        <f t="array" ref="I32">'Project Eldorado ROI in IDR'!$F$32/12/1000</f>
        <v>-1175</v>
      </c>
      <c r="J32" s="282" cm="1">
        <f t="array" ref="J32">'Project Eldorado ROI in IDR'!$F$32/12/1000</f>
        <v>-1175</v>
      </c>
      <c r="K32" s="282" cm="1">
        <f t="array" ref="K32">'Project Eldorado ROI in IDR'!$F$32/12/1000</f>
        <v>-1175</v>
      </c>
      <c r="L32" s="282" cm="1">
        <f t="array" ref="L32">'Project Eldorado ROI in IDR'!$F$32/12/1000</f>
        <v>-1175</v>
      </c>
      <c r="M32" s="282" cm="1">
        <f t="array" ref="M32">'Project Eldorado ROI in IDR'!$F$32/12/1000</f>
        <v>-1175</v>
      </c>
      <c r="N32" s="282" cm="1">
        <f t="array" ref="N32">'Project Eldorado ROI in IDR'!$F$32/12/1000</f>
        <v>-1175</v>
      </c>
      <c r="O32" s="282" cm="1">
        <f t="array" ref="O32">'Project Eldorado ROI in IDR'!$F$32/12/1000</f>
        <v>-1175</v>
      </c>
      <c r="P32" s="282" cm="1">
        <f t="array" ref="P32">'Project Eldorado ROI in IDR'!$F$32/12/1000</f>
        <v>-1175</v>
      </c>
      <c r="Q32" s="282" cm="1">
        <f t="array" ref="Q32">'Project Eldorado ROI in IDR'!$F$32/12/1000</f>
        <v>-1175</v>
      </c>
      <c r="R32" s="282" cm="1">
        <f t="array" ref="R32">'Project Eldorado ROI in IDR'!$F$32/12/1000</f>
        <v>-1175</v>
      </c>
      <c r="S32" s="282" cm="1">
        <f t="array" ref="S32">'Project Eldorado ROI in IDR'!$F$32/12/1000</f>
        <v>-1175</v>
      </c>
      <c r="T32" s="282" cm="1">
        <f t="array" ref="T32">'Project Eldorado ROI in IDR'!$F$32/12/1000</f>
        <v>-1175</v>
      </c>
      <c r="U32" s="282" cm="1">
        <f t="array" ref="U32">'Project Eldorado ROI in IDR'!$F$32/12/1000</f>
        <v>-1175</v>
      </c>
      <c r="V32" s="282" cm="1">
        <f t="array" ref="V32">'Project Eldorado ROI in IDR'!$F$32/12/1000</f>
        <v>-1175</v>
      </c>
      <c r="W32" s="282" cm="1">
        <f t="array" ref="W32">'Project Eldorado ROI in IDR'!$F$32/12/1000</f>
        <v>-1175</v>
      </c>
      <c r="X32" s="282" cm="1">
        <f t="array" ref="X32">'Project Eldorado ROI in IDR'!$F$32/12/1000</f>
        <v>-1175</v>
      </c>
      <c r="Y32" s="282" cm="1">
        <f t="array" ref="Y32">'Project Eldorado ROI in IDR'!$F$32/12/1000</f>
        <v>-1175</v>
      </c>
      <c r="Z32" s="282" cm="1">
        <f t="array" ref="Z32">'Project Eldorado ROI in IDR'!$F$32/12/1000</f>
        <v>-1175</v>
      </c>
      <c r="AA32" s="282" cm="1">
        <f t="array" ref="AA32">'Project Eldorado ROI in IDR'!$F$32/12/1000</f>
        <v>-1175</v>
      </c>
      <c r="AB32" s="282" cm="1">
        <f t="array" ref="AB32">'Project Eldorado ROI in IDR'!$F$32/12/1000</f>
        <v>-1175</v>
      </c>
      <c r="AC32" s="282" cm="1">
        <f t="array" ref="AC32">'Project Eldorado ROI in IDR'!$F$32/12/1000</f>
        <v>-1175</v>
      </c>
      <c r="AD32" s="282" cm="1">
        <f t="array" ref="AD32">'Project Eldorado ROI in IDR'!$F$32/12/1000</f>
        <v>-1175</v>
      </c>
      <c r="AE32" s="282" cm="1">
        <f t="array" ref="AE32">'Project Eldorado ROI in IDR'!$F$32/12/1000</f>
        <v>-1175</v>
      </c>
      <c r="AF32" s="282" cm="1">
        <f t="array" ref="AF32">'Project Eldorado ROI in IDR'!$F$32/12/1000</f>
        <v>-1175</v>
      </c>
      <c r="AG32" s="282" cm="1">
        <f t="array" ref="AG32">'Project Eldorado ROI in IDR'!$F$32/12/1000</f>
        <v>-1175</v>
      </c>
      <c r="AH32" s="282" cm="1">
        <f t="array" ref="AH32">'Project Eldorado ROI in IDR'!$F$32/12/1000</f>
        <v>-1175</v>
      </c>
      <c r="AI32" s="282" cm="1">
        <f t="array" ref="AI32">'Project Eldorado ROI in IDR'!$F$32/12/1000</f>
        <v>-1175</v>
      </c>
      <c r="AJ32" s="282" cm="1">
        <f t="array" ref="AJ32">'Project Eldorado ROI in IDR'!$F$32/12/1000</f>
        <v>-1175</v>
      </c>
      <c r="AK32" s="282" cm="1">
        <f t="array" ref="AK32">'Project Eldorado ROI in IDR'!$F$32/12/1000</f>
        <v>-1175</v>
      </c>
      <c r="AL32" s="282" cm="1">
        <f t="array" ref="AL32">'Project Eldorado ROI in IDR'!$F$32/12/1000</f>
        <v>-1175</v>
      </c>
      <c r="AM32" s="282" cm="1">
        <f t="array" ref="AM32">'Project Eldorado ROI in IDR'!$F$32/12/1000</f>
        <v>-1175</v>
      </c>
      <c r="AN32" s="282" cm="1">
        <f t="array" ref="AN32">'Project Eldorado ROI in IDR'!$F$32/12/1000</f>
        <v>-1175</v>
      </c>
      <c r="AO32" s="282" cm="1">
        <f t="array" ref="AO32">'Project Eldorado ROI in IDR'!$F$32/12/1000</f>
        <v>-1175</v>
      </c>
      <c r="AP32" s="282" cm="1">
        <f t="array" ref="AP32">'Project Eldorado ROI in IDR'!$F$32/12/1000</f>
        <v>-1175</v>
      </c>
      <c r="AQ32" s="282" cm="1">
        <f t="array" ref="AQ32">'Project Eldorado ROI in IDR'!$F$32/12/1000</f>
        <v>-1175</v>
      </c>
      <c r="AR32" s="282" cm="1">
        <f t="array" ref="AR32">'Project Eldorado ROI in IDR'!$F$32/12/1000</f>
        <v>-1175</v>
      </c>
      <c r="AS32" s="282" cm="1">
        <f t="array" ref="AS32">'Project Eldorado ROI in IDR'!$F$32/12/1000</f>
        <v>-1175</v>
      </c>
      <c r="AT32" s="284"/>
    </row>
    <row r="33" ht="15" customHeight="1">
      <c r="A33" s="12"/>
      <c r="B33" s="283"/>
      <c r="C33" s="272"/>
      <c r="D33" t="str" s="896" cm="1">
        <f t="array" ref="D33">'Project Eldorado ROI in IDR'!B33</f>
        <v>Income taxes</v>
      </c>
      <c r="E33" s="274"/>
      <c r="F33" s="282">
        <v>0</v>
      </c>
      <c r="G33" s="282">
        <v>0</v>
      </c>
      <c r="H33" s="282">
        <v>0</v>
      </c>
      <c r="I33" s="282" cm="1">
        <f t="array" ref="I33">-I12*0.5%</f>
        <v>-2231.84</v>
      </c>
      <c r="J33" s="282" cm="1">
        <f t="array" ref="J33">-J12*0.5%</f>
        <v>-1834.56</v>
      </c>
      <c r="K33" s="282" cm="1">
        <f t="array" ref="K33">-K12*0.5%</f>
        <v>-2171.52</v>
      </c>
      <c r="L33" s="282" cm="1">
        <f t="array" ref="L33">-L12*0.5%</f>
        <v>-2307.24</v>
      </c>
      <c r="M33" s="282" cm="1">
        <f t="array" ref="M33">-M12*0.5%</f>
        <v>-2667.74625</v>
      </c>
      <c r="N33" s="282" cm="1">
        <f t="array" ref="N33">-N12*0.5%</f>
        <v>-2981.59875</v>
      </c>
      <c r="O33" s="282" cm="1">
        <f t="array" ref="O33">-O12*0.5%</f>
        <v>-3246.75</v>
      </c>
      <c r="P33" s="282" cm="1">
        <f t="array" ref="P33">-P12*0.5%</f>
        <v>-3246.75</v>
      </c>
      <c r="Q33" s="282" cm="1">
        <f t="array" ref="Q33">-Q12*0.5%</f>
        <v>-2824.6725</v>
      </c>
      <c r="R33" s="282" cm="1">
        <f t="array" ref="R33">-R12*0.5%</f>
        <v>-2307.24</v>
      </c>
      <c r="S33" s="282" cm="1">
        <f t="array" ref="S33">-S12*0.5%</f>
        <v>-1900.08</v>
      </c>
      <c r="T33" s="282" cm="1">
        <f t="array" ref="T33">-T12*0.5%</f>
        <v>-2231.84</v>
      </c>
      <c r="U33" s="282" cm="1">
        <f t="array" ref="U33">-U12*0.5%</f>
        <v>-2231.84</v>
      </c>
      <c r="V33" s="282" cm="1">
        <f t="array" ref="V33">-V12*0.5%</f>
        <v>-1834.56</v>
      </c>
      <c r="W33" s="282" cm="1">
        <f t="array" ref="W33">-W12*0.5%</f>
        <v>-2171.52</v>
      </c>
      <c r="X33" s="282" cm="1">
        <f t="array" ref="X33">-X12*0.5%</f>
        <v>-2307.24</v>
      </c>
      <c r="Y33" s="282" cm="1">
        <f t="array" ref="Y33">-Y12*0.5%</f>
        <v>-2667.74625</v>
      </c>
      <c r="Z33" s="282" cm="1">
        <f t="array" ref="Z33">-Z12*0.5%</f>
        <v>-2981.59875</v>
      </c>
      <c r="AA33" s="282" cm="1">
        <f t="array" ref="AA33">-AA12*0.5%</f>
        <v>-3246.75</v>
      </c>
      <c r="AB33" s="282" cm="1">
        <f t="array" ref="AB33">-AB12*0.5%</f>
        <v>-3246.75</v>
      </c>
      <c r="AC33" s="282" cm="1">
        <f t="array" ref="AC33">-AC12*0.5%</f>
        <v>-2824.6725</v>
      </c>
      <c r="AD33" s="282" cm="1">
        <f t="array" ref="AD33">-AD12*0.5%</f>
        <v>-2307.24</v>
      </c>
      <c r="AE33" s="282" cm="1">
        <f t="array" ref="AE33">-AE12*0.5%</f>
        <v>-1900.08</v>
      </c>
      <c r="AF33" s="282" cm="1">
        <f t="array" ref="AF33">-AF12*0.5%</f>
        <v>-2231.84</v>
      </c>
      <c r="AG33" s="282" cm="1">
        <f t="array" ref="AG33">-AG12*0.5%</f>
        <v>-2231.84</v>
      </c>
      <c r="AH33" s="282" cm="1">
        <f t="array" ref="AH33">-AH12*0.5%</f>
        <v>-1834.56</v>
      </c>
      <c r="AI33" s="282" cm="1">
        <f t="array" ref="AI33">-AI12*0.5%</f>
        <v>-2171.52</v>
      </c>
      <c r="AJ33" s="282" cm="1">
        <f t="array" ref="AJ33">-AJ12*0.5%</f>
        <v>-2307.24</v>
      </c>
      <c r="AK33" s="282" cm="1">
        <f t="array" ref="AK33">-AK12*0.5%</f>
        <v>-2667.74625</v>
      </c>
      <c r="AL33" s="282" cm="1">
        <f t="array" ref="AL33">-AL12*0.5%</f>
        <v>-2981.59875</v>
      </c>
      <c r="AM33" s="282" cm="1">
        <f t="array" ref="AM33">-AM12*0.5%</f>
        <v>-3246.75</v>
      </c>
      <c r="AN33" s="282" cm="1">
        <f t="array" ref="AN33">-AN12*0.5%</f>
        <v>-3246.75</v>
      </c>
      <c r="AO33" s="282" cm="1">
        <f t="array" ref="AO33">-AO12*0.5%</f>
        <v>-2824.6725</v>
      </c>
      <c r="AP33" s="282" cm="1">
        <f t="array" ref="AP33">-AP12*0.5%</f>
        <v>-2307.24</v>
      </c>
      <c r="AQ33" s="282" cm="1">
        <f t="array" ref="AQ33">-AQ12*0.5%</f>
        <v>-1900.08</v>
      </c>
      <c r="AR33" s="282" cm="1">
        <f t="array" ref="AR33">-AR12*0.5%</f>
        <v>-2231.84</v>
      </c>
      <c r="AS33" s="282" cm="1">
        <f t="array" ref="AS33">-AS12*0.5%</f>
        <v>-2231.84</v>
      </c>
      <c r="AT33" s="284"/>
    </row>
    <row r="34" ht="15" customHeight="1">
      <c r="A34" s="12"/>
      <c r="B34" s="283"/>
      <c r="C34" s="272"/>
      <c r="D34" s="300"/>
      <c r="E34" s="274"/>
      <c r="F34" s="282"/>
      <c r="G34" s="282"/>
      <c r="H34" s="282"/>
      <c r="I34" s="282"/>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4"/>
    </row>
    <row r="35" ht="15.5" customHeight="1">
      <c r="A35" s="12"/>
      <c r="B35" s="283"/>
      <c r="C35" s="272"/>
      <c r="D35" t="s" s="273">
        <v>800</v>
      </c>
      <c r="E35" s="274"/>
      <c r="F35" s="897" cm="1">
        <f t="array" ref="F35">SUM(F12:F33)</f>
        <v>0</v>
      </c>
      <c r="G35" s="897" cm="1">
        <f t="array" ref="G35">SUM(G12:G33)</f>
        <v>0</v>
      </c>
      <c r="H35" s="897" cm="1">
        <f t="array" ref="H35">SUM(H12:H33)</f>
        <v>0</v>
      </c>
      <c r="I35" s="897" cm="1">
        <f t="array" ref="I35">SUM(I12:I33)</f>
        <v>190963.338666667</v>
      </c>
      <c r="J35" s="897" cm="1">
        <f t="array" ref="J35">SUM(J12:J33)</f>
        <v>150505.378666667</v>
      </c>
      <c r="K35" s="897" cm="1">
        <f t="array" ref="K35">SUM(K12:K33)</f>
        <v>178959.658666667</v>
      </c>
      <c r="L35" s="897" cm="1">
        <f t="array" ref="L35">SUM(L12:L33)</f>
        <v>203705.938666667</v>
      </c>
      <c r="M35" s="897" cm="1">
        <f t="array" ref="M35">SUM(M12:M33)</f>
        <v>257354.404083333</v>
      </c>
      <c r="N35" s="897" cm="1">
        <f t="array" ref="N35">SUM(N12:N33)</f>
        <v>288150.494916667</v>
      </c>
      <c r="O35" s="897" cm="1">
        <f t="array" ref="O35">SUM(O12:O33)</f>
        <v>314167.882</v>
      </c>
      <c r="P35" s="897" cm="1">
        <f t="array" ref="P35">SUM(P12:P33)</f>
        <v>314167.882</v>
      </c>
      <c r="Q35" s="897" cm="1">
        <f t="array" ref="Q35">SUM(Q12:Q33)</f>
        <v>272752.4495</v>
      </c>
      <c r="R35" s="897" cm="1">
        <f t="array" ref="R35">SUM(R12:R33)</f>
        <v>203705.938666667</v>
      </c>
      <c r="S35" s="897" cm="1">
        <f t="array" ref="S35">SUM(S12:S33)</f>
        <v>156038.155333333</v>
      </c>
      <c r="T35" s="897" cm="1">
        <f t="array" ref="T35">SUM(T12:T33)</f>
        <v>190963.338666667</v>
      </c>
      <c r="U35" s="897" cm="1">
        <f t="array" ref="U35">SUM(U12:U33)</f>
        <v>190963.338666667</v>
      </c>
      <c r="V35" s="897" cm="1">
        <f t="array" ref="V35">SUM(V12:V33)</f>
        <v>150505.378666667</v>
      </c>
      <c r="W35" s="897" cm="1">
        <f t="array" ref="W35">SUM(W12:W33)</f>
        <v>178959.658666667</v>
      </c>
      <c r="X35" s="897" cm="1">
        <f t="array" ref="X35">SUM(X12:X33)</f>
        <v>203705.938666667</v>
      </c>
      <c r="Y35" s="897" cm="1">
        <f t="array" ref="Y35">SUM(Y12:Y33)</f>
        <v>257354.404083333</v>
      </c>
      <c r="Z35" s="897" cm="1">
        <f t="array" ref="Z35">SUM(Z12:Z33)</f>
        <v>288150.494916667</v>
      </c>
      <c r="AA35" s="897" cm="1">
        <f t="array" ref="AA35">SUM(AA12:AA33)</f>
        <v>314167.882</v>
      </c>
      <c r="AB35" s="897" cm="1">
        <f t="array" ref="AB35">SUM(AB12:AB33)</f>
        <v>314167.882</v>
      </c>
      <c r="AC35" s="897" cm="1">
        <f t="array" ref="AC35">SUM(AC12:AC33)</f>
        <v>272752.4495</v>
      </c>
      <c r="AD35" s="897" cm="1">
        <f t="array" ref="AD35">SUM(AD12:AD33)</f>
        <v>203705.938666667</v>
      </c>
      <c r="AE35" s="897" cm="1">
        <f t="array" ref="AE35">SUM(AE12:AE33)</f>
        <v>156038.155333333</v>
      </c>
      <c r="AF35" s="897" cm="1">
        <f t="array" ref="AF35">SUM(AF12:AF33)</f>
        <v>190963.338666667</v>
      </c>
      <c r="AG35" s="897" cm="1">
        <f t="array" ref="AG35">SUM(AG12:AG33)</f>
        <v>190963.338666667</v>
      </c>
      <c r="AH35" s="897" cm="1">
        <f t="array" ref="AH35">SUM(AH12:AH33)</f>
        <v>150505.378666667</v>
      </c>
      <c r="AI35" s="897" cm="1">
        <f t="array" ref="AI35">SUM(AI12:AI33)</f>
        <v>178959.658666667</v>
      </c>
      <c r="AJ35" s="897" cm="1">
        <f t="array" ref="AJ35">SUM(AJ12:AJ33)</f>
        <v>203705.938666667</v>
      </c>
      <c r="AK35" s="897" cm="1">
        <f t="array" ref="AK35">SUM(AK12:AK33)</f>
        <v>257354.404083333</v>
      </c>
      <c r="AL35" s="897" cm="1">
        <f t="array" ref="AL35">SUM(AL12:AL33)</f>
        <v>288150.494916667</v>
      </c>
      <c r="AM35" s="897" cm="1">
        <f t="array" ref="AM35">SUM(AM12:AM33)</f>
        <v>314167.882</v>
      </c>
      <c r="AN35" s="897" cm="1">
        <f t="array" ref="AN35">SUM(AN12:AN33)</f>
        <v>314167.882</v>
      </c>
      <c r="AO35" s="897" cm="1">
        <f t="array" ref="AO35">SUM(AO12:AO33)</f>
        <v>272752.4495</v>
      </c>
      <c r="AP35" s="897" cm="1">
        <f t="array" ref="AP35">SUM(AP12:AP33)</f>
        <v>203705.938666667</v>
      </c>
      <c r="AQ35" s="897" cm="1">
        <f t="array" ref="AQ35">SUM(AQ12:AQ33)</f>
        <v>156038.155333333</v>
      </c>
      <c r="AR35" s="897" cm="1">
        <f t="array" ref="AR35">SUM(AR12:AR33)</f>
        <v>190963.338666667</v>
      </c>
      <c r="AS35" s="897" cm="1">
        <f t="array" ref="AS35">SUM(AS12:AS33)</f>
        <v>190963.338666667</v>
      </c>
      <c r="AT35" s="284"/>
    </row>
    <row r="36" ht="15" customHeight="1">
      <c r="A36" s="12"/>
      <c r="B36" s="283"/>
      <c r="C36" s="272"/>
      <c r="D36" s="300"/>
      <c r="E36" s="274"/>
      <c r="F36" s="898"/>
      <c r="G36" s="898"/>
      <c r="H36" s="898"/>
      <c r="I36" s="898"/>
      <c r="J36" s="898"/>
      <c r="K36" s="898"/>
      <c r="L36" s="898"/>
      <c r="M36" s="898"/>
      <c r="N36" s="898"/>
      <c r="O36" s="898"/>
      <c r="P36" s="898"/>
      <c r="Q36" s="898"/>
      <c r="R36" s="898"/>
      <c r="S36" s="898"/>
      <c r="T36" s="898"/>
      <c r="U36" s="898"/>
      <c r="V36" s="898"/>
      <c r="W36" s="898"/>
      <c r="X36" s="898"/>
      <c r="Y36" s="898"/>
      <c r="Z36" s="898"/>
      <c r="AA36" s="898"/>
      <c r="AB36" s="898"/>
      <c r="AC36" s="898"/>
      <c r="AD36" s="898"/>
      <c r="AE36" s="898"/>
      <c r="AF36" s="898"/>
      <c r="AG36" s="898"/>
      <c r="AH36" s="898"/>
      <c r="AI36" s="898"/>
      <c r="AJ36" s="898"/>
      <c r="AK36" s="898"/>
      <c r="AL36" s="898"/>
      <c r="AM36" s="898"/>
      <c r="AN36" s="898"/>
      <c r="AO36" s="898"/>
      <c r="AP36" s="898"/>
      <c r="AQ36" s="898"/>
      <c r="AR36" s="898"/>
      <c r="AS36" s="898"/>
      <c r="AT36" s="284"/>
    </row>
    <row r="37" ht="15" customHeight="1">
      <c r="A37" s="12"/>
      <c r="B37" s="283"/>
      <c r="C37" s="272"/>
      <c r="D37" t="s" s="273">
        <v>818</v>
      </c>
      <c r="E37" s="274"/>
      <c r="F37" s="899" cm="1">
        <f t="array" ref="F37">F35*50%</f>
        <v>0</v>
      </c>
      <c r="G37" s="899" cm="1">
        <f t="array" ref="G37">G35*50%</f>
        <v>0</v>
      </c>
      <c r="H37" s="899" cm="1">
        <f t="array" ref="H37">H35*50%</f>
        <v>0</v>
      </c>
      <c r="I37" s="899" cm="1">
        <f t="array" ref="I37">I35*20%</f>
        <v>38192.6677333334</v>
      </c>
      <c r="J37" s="899" cm="1">
        <f t="array" ref="J37">J35*20%</f>
        <v>30101.0757333334</v>
      </c>
      <c r="K37" s="899" cm="1">
        <f t="array" ref="K37">K35*20%</f>
        <v>35791.9317333334</v>
      </c>
      <c r="L37" s="899" cm="1">
        <f t="array" ref="L37">L35*20%</f>
        <v>40741.1877333334</v>
      </c>
      <c r="M37" s="899" cm="1">
        <f t="array" ref="M37">M35*20%</f>
        <v>51470.8808166666</v>
      </c>
      <c r="N37" s="899" cm="1">
        <f t="array" ref="N37">N35*20%</f>
        <v>57630.0989833334</v>
      </c>
      <c r="O37" s="899" cm="1">
        <f t="array" ref="O37">O35*20%</f>
        <v>62833.5764</v>
      </c>
      <c r="P37" s="899" cm="1">
        <f t="array" ref="P37">P35*20%</f>
        <v>62833.5764</v>
      </c>
      <c r="Q37" s="899" cm="1">
        <f t="array" ref="Q37">Q35*20%</f>
        <v>54550.4899</v>
      </c>
      <c r="R37" s="899" cm="1">
        <f t="array" ref="R37">R35*20%</f>
        <v>40741.1877333334</v>
      </c>
      <c r="S37" s="899" cm="1">
        <f t="array" ref="S37">S35*20%</f>
        <v>31207.6310666666</v>
      </c>
      <c r="T37" s="899" cm="1">
        <f t="array" ref="T37">T35*20%</f>
        <v>38192.6677333334</v>
      </c>
      <c r="U37" s="899" cm="1">
        <f t="array" ref="U37">U35*20%</f>
        <v>38192.6677333334</v>
      </c>
      <c r="V37" s="899" cm="1">
        <f t="array" ref="V37">V35*20%</f>
        <v>30101.0757333334</v>
      </c>
      <c r="W37" s="899" cm="1">
        <f t="array" ref="W37">W35*20%</f>
        <v>35791.9317333334</v>
      </c>
      <c r="X37" s="899" cm="1">
        <f t="array" ref="X37">X35*20%</f>
        <v>40741.1877333334</v>
      </c>
      <c r="Y37" s="899" cm="1">
        <f t="array" ref="Y37">Y35*20%</f>
        <v>51470.8808166666</v>
      </c>
      <c r="Z37" s="899" cm="1">
        <f t="array" ref="Z37">Z35*20%</f>
        <v>57630.0989833334</v>
      </c>
      <c r="AA37" s="899" cm="1">
        <f t="array" ref="AA37">AA35*20%</f>
        <v>62833.5764</v>
      </c>
      <c r="AB37" s="899" cm="1">
        <f t="array" ref="AB37">AB35*20%</f>
        <v>62833.5764</v>
      </c>
      <c r="AC37" s="899" cm="1">
        <f t="array" ref="AC37">AC35*20%</f>
        <v>54550.4899</v>
      </c>
      <c r="AD37" s="899" cm="1">
        <f t="array" ref="AD37">AD35*20%</f>
        <v>40741.1877333334</v>
      </c>
      <c r="AE37" s="899" cm="1">
        <f t="array" ref="AE37">AE35*20%</f>
        <v>31207.6310666666</v>
      </c>
      <c r="AF37" s="899" cm="1">
        <f t="array" ref="AF37">AF35*20%</f>
        <v>38192.6677333334</v>
      </c>
      <c r="AG37" s="899" cm="1">
        <f t="array" ref="AG37">AG35*20%</f>
        <v>38192.6677333334</v>
      </c>
      <c r="AH37" s="899" cm="1">
        <f t="array" ref="AH37">AH35*20%</f>
        <v>30101.0757333334</v>
      </c>
      <c r="AI37" s="899" cm="1">
        <f t="array" ref="AI37">AI35*20%</f>
        <v>35791.9317333334</v>
      </c>
      <c r="AJ37" s="899" cm="1">
        <f t="array" ref="AJ37">AJ35*20%</f>
        <v>40741.1877333334</v>
      </c>
      <c r="AK37" s="899" cm="1">
        <f t="array" ref="AK37">AK35*20%</f>
        <v>51470.8808166666</v>
      </c>
      <c r="AL37" s="899" cm="1">
        <f t="array" ref="AL37">AL35*20%</f>
        <v>57630.0989833334</v>
      </c>
      <c r="AM37" s="899" cm="1">
        <f t="array" ref="AM37">AM35*20%</f>
        <v>62833.5764</v>
      </c>
      <c r="AN37" s="899" cm="1">
        <f t="array" ref="AN37">AN35*20%</f>
        <v>62833.5764</v>
      </c>
      <c r="AO37" s="899" cm="1">
        <f t="array" ref="AO37">AO35*20%</f>
        <v>54550.4899</v>
      </c>
      <c r="AP37" s="899" cm="1">
        <f t="array" ref="AP37">AP35*20%</f>
        <v>40741.1877333334</v>
      </c>
      <c r="AQ37" s="899" cm="1">
        <f t="array" ref="AQ37">AQ35*20%</f>
        <v>31207.6310666666</v>
      </c>
      <c r="AR37" s="899" cm="1">
        <f t="array" ref="AR37">AR35*20%</f>
        <v>38192.6677333334</v>
      </c>
      <c r="AS37" s="899" cm="1">
        <f t="array" ref="AS37">AS35*20%</f>
        <v>38192.6677333334</v>
      </c>
      <c r="AT37" s="284"/>
    </row>
    <row r="38" ht="15" customHeight="1">
      <c r="A38" s="12"/>
      <c r="B38" s="285"/>
      <c r="C38" s="286"/>
      <c r="D38" s="287"/>
      <c r="E38" s="288" cm="1">
        <f t="array" ref="E38">50896.35*16272</f>
        <v>828185407.2</v>
      </c>
      <c r="F38" s="289"/>
      <c r="G38" s="289"/>
      <c r="H38" s="289"/>
      <c r="I38" s="289"/>
      <c r="J38" s="289"/>
      <c r="K38" s="289"/>
      <c r="L38" s="289"/>
      <c r="M38" s="289"/>
      <c r="N38" s="289"/>
      <c r="O38" s="289"/>
      <c r="P38" s="289"/>
      <c r="Q38" s="289"/>
      <c r="R38" s="289"/>
      <c r="S38" s="289"/>
      <c r="T38" s="289"/>
      <c r="U38" s="289"/>
      <c r="V38" s="289"/>
      <c r="W38" s="289"/>
      <c r="X38" s="289"/>
      <c r="Y38" s="289"/>
      <c r="Z38" s="289"/>
      <c r="AA38" s="289"/>
      <c r="AB38" s="289"/>
      <c r="AC38" s="289"/>
      <c r="AD38" s="289"/>
      <c r="AE38" s="289"/>
      <c r="AF38" s="289"/>
      <c r="AG38" s="289"/>
      <c r="AH38" s="289"/>
      <c r="AI38" s="289"/>
      <c r="AJ38" s="289"/>
      <c r="AK38" s="289"/>
      <c r="AL38" s="289"/>
      <c r="AM38" s="289"/>
      <c r="AN38" s="289"/>
      <c r="AO38" s="289"/>
      <c r="AP38" s="289"/>
      <c r="AQ38" s="289"/>
      <c r="AR38" s="289"/>
      <c r="AS38" s="289"/>
      <c r="AT38" s="290"/>
    </row>
    <row r="39" ht="15" customHeight="1">
      <c r="A39" s="12"/>
      <c r="B39" t="s" s="291">
        <v>403</v>
      </c>
      <c r="C39" s="292"/>
      <c r="D39" s="293"/>
      <c r="E39" s="294" cm="1">
        <f t="array" ref="E39">50896.35*16272</f>
        <v>828185407.2</v>
      </c>
      <c r="F39" s="295"/>
      <c r="G39" s="295"/>
      <c r="H39" s="295"/>
      <c r="I39" s="295"/>
      <c r="J39" s="295"/>
      <c r="K39" s="295"/>
      <c r="L39" s="295"/>
      <c r="M39" s="295"/>
      <c r="N39" s="295"/>
      <c r="O39" s="295"/>
      <c r="P39" s="295"/>
      <c r="Q39" s="295"/>
      <c r="R39" s="295"/>
      <c r="S39" s="295"/>
      <c r="T39" s="295"/>
      <c r="U39" s="295"/>
      <c r="V39" s="295"/>
      <c r="W39" s="295"/>
      <c r="X39" s="295"/>
      <c r="Y39" s="295"/>
      <c r="Z39" s="295"/>
      <c r="AA39" s="295"/>
      <c r="AB39" s="295"/>
      <c r="AC39" s="295"/>
      <c r="AD39" s="295"/>
      <c r="AE39" s="295"/>
      <c r="AF39" s="295"/>
      <c r="AG39" s="295"/>
      <c r="AH39" s="295"/>
      <c r="AI39" s="295"/>
      <c r="AJ39" s="295"/>
      <c r="AK39" s="295"/>
      <c r="AL39" s="295"/>
      <c r="AM39" s="295"/>
      <c r="AN39" s="295"/>
      <c r="AO39" s="295"/>
      <c r="AP39" s="295"/>
      <c r="AQ39" s="295"/>
      <c r="AR39" s="295"/>
      <c r="AS39" s="295"/>
      <c r="AT39" s="296"/>
    </row>
    <row r="40" ht="16" customHeight="1">
      <c r="A40" s="12"/>
      <c r="B40" t="s" s="264">
        <v>404</v>
      </c>
      <c r="C40" s="272"/>
      <c r="D40" s="297"/>
      <c r="E40" s="274" cm="1">
        <f t="array" ref="E40">50896.35*16272</f>
        <v>828185407.2</v>
      </c>
      <c r="F40" s="275"/>
      <c r="G40" s="275"/>
      <c r="H40" s="275"/>
      <c r="I40" s="275"/>
      <c r="J40" s="275"/>
      <c r="K40" s="275"/>
      <c r="L40" s="275"/>
      <c r="M40" s="275"/>
      <c r="N40" s="275"/>
      <c r="O40" s="275"/>
      <c r="P40" s="275"/>
      <c r="Q40" s="275"/>
      <c r="R40" s="275"/>
      <c r="S40" s="275"/>
      <c r="T40" s="275"/>
      <c r="U40" s="275"/>
      <c r="V40" s="275"/>
      <c r="W40" s="275"/>
      <c r="X40" s="275"/>
      <c r="Y40" s="275"/>
      <c r="Z40" s="275"/>
      <c r="AA40" s="275"/>
      <c r="AB40" s="275"/>
      <c r="AC40" s="275"/>
      <c r="AD40" s="275"/>
      <c r="AE40" s="275"/>
      <c r="AF40" s="275"/>
      <c r="AG40" s="275"/>
      <c r="AH40" s="275"/>
      <c r="AI40" s="275"/>
      <c r="AJ40" s="275"/>
      <c r="AK40" s="275"/>
      <c r="AL40" s="275"/>
      <c r="AM40" s="275"/>
      <c r="AN40" s="275"/>
      <c r="AO40" s="275"/>
      <c r="AP40" s="275"/>
      <c r="AQ40" s="275"/>
      <c r="AR40" s="275"/>
      <c r="AS40" s="275"/>
      <c r="AT40" s="276"/>
    </row>
    <row r="41" ht="16" customHeight="1">
      <c r="A41" s="12"/>
      <c r="B41" t="s" s="298">
        <v>405</v>
      </c>
      <c r="C41" s="272"/>
      <c r="D41" s="299" cm="1">
        <f t="array" ref="D41">SUM(F42:H45)</f>
        <v>-603000</v>
      </c>
      <c r="E41" s="274"/>
      <c r="F41" s="275"/>
      <c r="G41" s="275"/>
      <c r="H41" s="275"/>
      <c r="I41" s="275"/>
      <c r="J41" s="275"/>
      <c r="K41" s="275"/>
      <c r="L41" s="275"/>
      <c r="M41" s="275"/>
      <c r="N41" s="275"/>
      <c r="O41" s="275"/>
      <c r="P41" s="275"/>
      <c r="Q41" s="275"/>
      <c r="R41" s="275"/>
      <c r="S41" s="275"/>
      <c r="T41" s="275"/>
      <c r="U41" s="275"/>
      <c r="V41" s="275"/>
      <c r="W41" s="275"/>
      <c r="X41" s="275"/>
      <c r="Y41" s="275"/>
      <c r="Z41" s="275"/>
      <c r="AA41" s="275"/>
      <c r="AB41" s="275"/>
      <c r="AC41" s="275"/>
      <c r="AD41" s="275"/>
      <c r="AE41" s="275"/>
      <c r="AF41" s="275"/>
      <c r="AG41" s="275"/>
      <c r="AH41" s="275"/>
      <c r="AI41" s="275"/>
      <c r="AJ41" s="275"/>
      <c r="AK41" s="275"/>
      <c r="AL41" s="275"/>
      <c r="AM41" s="275"/>
      <c r="AN41" s="275"/>
      <c r="AO41" s="275"/>
      <c r="AP41" s="275"/>
      <c r="AQ41" s="275"/>
      <c r="AR41" s="275"/>
      <c r="AS41" s="275"/>
      <c r="AT41" s="276"/>
    </row>
    <row r="42" ht="16" customHeight="1">
      <c r="A42" s="12"/>
      <c r="B42" s="271"/>
      <c r="C42" s="272"/>
      <c r="D42" t="s" s="273">
        <v>695</v>
      </c>
      <c r="E42" s="274" cm="1">
        <f t="array" ref="E42">50896.35*16272</f>
        <v>828185407.2</v>
      </c>
      <c r="F42" s="282">
        <v>0</v>
      </c>
      <c r="G42" s="282">
        <v>0</v>
      </c>
      <c r="H42" s="282">
        <v>0</v>
      </c>
      <c r="I42" s="282">
        <v>0</v>
      </c>
      <c r="J42" s="282">
        <v>0</v>
      </c>
      <c r="K42" s="282">
        <v>0</v>
      </c>
      <c r="L42" s="282">
        <v>0</v>
      </c>
      <c r="M42" s="282">
        <v>0</v>
      </c>
      <c r="N42" s="282">
        <v>0</v>
      </c>
      <c r="O42" s="282">
        <v>0</v>
      </c>
      <c r="P42" s="282">
        <v>0</v>
      </c>
      <c r="Q42" s="282">
        <v>0</v>
      </c>
      <c r="R42" s="282">
        <v>0</v>
      </c>
      <c r="S42" s="282">
        <v>0</v>
      </c>
      <c r="T42" s="282">
        <v>0</v>
      </c>
      <c r="U42" s="282">
        <v>0</v>
      </c>
      <c r="V42" s="282">
        <v>0</v>
      </c>
      <c r="W42" s="282">
        <v>0</v>
      </c>
      <c r="X42" s="282">
        <v>0</v>
      </c>
      <c r="Y42" s="282">
        <v>0</v>
      </c>
      <c r="Z42" s="282">
        <v>0</v>
      </c>
      <c r="AA42" s="282">
        <v>0</v>
      </c>
      <c r="AB42" s="282">
        <v>0</v>
      </c>
      <c r="AC42" s="282">
        <v>0</v>
      </c>
      <c r="AD42" s="282">
        <v>0</v>
      </c>
      <c r="AE42" s="282">
        <v>0</v>
      </c>
      <c r="AF42" s="282">
        <v>0</v>
      </c>
      <c r="AG42" s="282">
        <v>0</v>
      </c>
      <c r="AH42" s="282">
        <v>0</v>
      </c>
      <c r="AI42" s="282">
        <v>0</v>
      </c>
      <c r="AJ42" s="282">
        <v>0</v>
      </c>
      <c r="AK42" s="282">
        <v>0</v>
      </c>
      <c r="AL42" s="282">
        <v>0</v>
      </c>
      <c r="AM42" s="282">
        <v>0</v>
      </c>
      <c r="AN42" s="282">
        <v>0</v>
      </c>
      <c r="AO42" s="282">
        <v>0</v>
      </c>
      <c r="AP42" s="282">
        <v>0</v>
      </c>
      <c r="AQ42" s="282">
        <v>0</v>
      </c>
      <c r="AR42" s="282">
        <v>0</v>
      </c>
      <c r="AS42" s="282">
        <v>0</v>
      </c>
      <c r="AT42" s="284"/>
    </row>
    <row r="43" ht="16" customHeight="1">
      <c r="A43" s="12"/>
      <c r="B43" s="271"/>
      <c r="C43" s="272"/>
      <c r="D43" t="s" s="273">
        <v>696</v>
      </c>
      <c r="E43" s="274" cm="1">
        <f t="array" ref="E43">50896.35*16272</f>
        <v>828185407.2</v>
      </c>
      <c r="F43" s="282">
        <v>0</v>
      </c>
      <c r="G43" s="282">
        <v>0</v>
      </c>
      <c r="H43" s="282" cm="1">
        <f t="array" ref="H43">-'Project Eldorado ROI in IDR'!$D$45/1000</f>
        <v>-603000</v>
      </c>
      <c r="I43" s="282">
        <v>0</v>
      </c>
      <c r="J43" s="282">
        <v>0</v>
      </c>
      <c r="K43" s="282">
        <v>0</v>
      </c>
      <c r="L43" s="282">
        <v>0</v>
      </c>
      <c r="M43" s="282">
        <v>0</v>
      </c>
      <c r="N43" s="282">
        <v>0</v>
      </c>
      <c r="O43" s="282">
        <v>0</v>
      </c>
      <c r="P43" s="282">
        <v>0</v>
      </c>
      <c r="Q43" s="282">
        <v>0</v>
      </c>
      <c r="R43" s="282">
        <v>0</v>
      </c>
      <c r="S43" s="282">
        <v>0</v>
      </c>
      <c r="T43" s="282">
        <v>0</v>
      </c>
      <c r="U43" s="282">
        <v>0</v>
      </c>
      <c r="V43" s="282">
        <v>0</v>
      </c>
      <c r="W43" s="282">
        <v>0</v>
      </c>
      <c r="X43" s="282">
        <v>0</v>
      </c>
      <c r="Y43" s="282">
        <v>0</v>
      </c>
      <c r="Z43" s="282">
        <v>0</v>
      </c>
      <c r="AA43" s="282">
        <v>0</v>
      </c>
      <c r="AB43" s="282">
        <v>0</v>
      </c>
      <c r="AC43" s="282">
        <v>0</v>
      </c>
      <c r="AD43" s="282">
        <v>0</v>
      </c>
      <c r="AE43" s="282">
        <v>0</v>
      </c>
      <c r="AF43" s="282">
        <v>0</v>
      </c>
      <c r="AG43" s="282">
        <v>0</v>
      </c>
      <c r="AH43" s="282">
        <v>0</v>
      </c>
      <c r="AI43" s="282">
        <v>0</v>
      </c>
      <c r="AJ43" s="282">
        <v>0</v>
      </c>
      <c r="AK43" s="282">
        <v>0</v>
      </c>
      <c r="AL43" s="282">
        <v>0</v>
      </c>
      <c r="AM43" s="282">
        <v>0</v>
      </c>
      <c r="AN43" s="282">
        <v>0</v>
      </c>
      <c r="AO43" s="282">
        <v>0</v>
      </c>
      <c r="AP43" s="282">
        <v>0</v>
      </c>
      <c r="AQ43" s="282">
        <v>0</v>
      </c>
      <c r="AR43" s="282">
        <v>0</v>
      </c>
      <c r="AS43" s="282">
        <v>0</v>
      </c>
      <c r="AT43" s="284"/>
    </row>
    <row r="44" ht="16" customHeight="1">
      <c r="A44" s="12"/>
      <c r="B44" s="271"/>
      <c r="C44" s="272"/>
      <c r="D44" t="s" s="273">
        <v>699</v>
      </c>
      <c r="E44" s="274" cm="1">
        <f t="array" ref="E44">50896.35*16272</f>
        <v>828185407.2</v>
      </c>
      <c r="F44" s="282">
        <v>0</v>
      </c>
      <c r="G44" s="282">
        <v>0</v>
      </c>
      <c r="H44" s="282">
        <v>0</v>
      </c>
      <c r="I44" s="282">
        <v>0</v>
      </c>
      <c r="J44" s="282">
        <v>0</v>
      </c>
      <c r="K44" s="282">
        <v>0</v>
      </c>
      <c r="L44" s="282">
        <v>0</v>
      </c>
      <c r="M44" s="282">
        <v>0</v>
      </c>
      <c r="N44" s="282">
        <v>0</v>
      </c>
      <c r="O44" s="282">
        <v>0</v>
      </c>
      <c r="P44" s="282">
        <v>0</v>
      </c>
      <c r="Q44" s="282">
        <v>0</v>
      </c>
      <c r="R44" s="282">
        <v>0</v>
      </c>
      <c r="S44" s="282">
        <v>0</v>
      </c>
      <c r="T44" s="282">
        <v>0</v>
      </c>
      <c r="U44" s="282">
        <v>0</v>
      </c>
      <c r="V44" s="282">
        <v>0</v>
      </c>
      <c r="W44" s="282">
        <v>0</v>
      </c>
      <c r="X44" s="282">
        <v>0</v>
      </c>
      <c r="Y44" s="282">
        <v>0</v>
      </c>
      <c r="Z44" s="282">
        <v>0</v>
      </c>
      <c r="AA44" s="282">
        <v>0</v>
      </c>
      <c r="AB44" s="282">
        <v>0</v>
      </c>
      <c r="AC44" s="282">
        <v>0</v>
      </c>
      <c r="AD44" s="282">
        <v>0</v>
      </c>
      <c r="AE44" s="282">
        <v>0</v>
      </c>
      <c r="AF44" s="282">
        <v>0</v>
      </c>
      <c r="AG44" s="282">
        <v>0</v>
      </c>
      <c r="AH44" s="282">
        <v>0</v>
      </c>
      <c r="AI44" s="282">
        <v>0</v>
      </c>
      <c r="AJ44" s="282">
        <v>0</v>
      </c>
      <c r="AK44" s="282">
        <v>0</v>
      </c>
      <c r="AL44" s="282">
        <v>0</v>
      </c>
      <c r="AM44" s="282">
        <v>0</v>
      </c>
      <c r="AN44" s="282">
        <v>0</v>
      </c>
      <c r="AO44" s="282">
        <v>0</v>
      </c>
      <c r="AP44" s="282">
        <v>0</v>
      </c>
      <c r="AQ44" s="282">
        <v>0</v>
      </c>
      <c r="AR44" s="282">
        <v>0</v>
      </c>
      <c r="AS44" s="282">
        <v>0</v>
      </c>
      <c r="AT44" s="284"/>
    </row>
    <row r="45" ht="16" customHeight="1">
      <c r="A45" s="12"/>
      <c r="B45" s="271"/>
      <c r="C45" s="272"/>
      <c r="D45" t="s" s="273">
        <v>802</v>
      </c>
      <c r="E45" s="274"/>
      <c r="F45" s="282" cm="1">
        <f t="array" ref="F45">SUM(F42:F44)*-40%</f>
        <v>0</v>
      </c>
      <c r="G45" s="282" cm="1">
        <f t="array" ref="G45">SUM(G42:G44)*-40%</f>
        <v>0</v>
      </c>
      <c r="H45" s="282">
        <v>0</v>
      </c>
      <c r="I45" s="282">
        <v>0</v>
      </c>
      <c r="J45" s="282">
        <v>0</v>
      </c>
      <c r="K45" s="282">
        <v>0</v>
      </c>
      <c r="L45" s="282">
        <v>0</v>
      </c>
      <c r="M45" s="282">
        <v>0</v>
      </c>
      <c r="N45" s="282">
        <v>0</v>
      </c>
      <c r="O45" s="282">
        <v>0</v>
      </c>
      <c r="P45" s="282">
        <v>0</v>
      </c>
      <c r="Q45" s="282">
        <v>0</v>
      </c>
      <c r="R45" s="282">
        <v>0</v>
      </c>
      <c r="S45" s="282">
        <v>0</v>
      </c>
      <c r="T45" s="282">
        <v>0</v>
      </c>
      <c r="U45" s="282">
        <v>0</v>
      </c>
      <c r="V45" s="282">
        <v>0</v>
      </c>
      <c r="W45" s="282">
        <v>0</v>
      </c>
      <c r="X45" s="282">
        <v>0</v>
      </c>
      <c r="Y45" s="282">
        <v>0</v>
      </c>
      <c r="Z45" s="282">
        <v>0</v>
      </c>
      <c r="AA45" s="282">
        <v>0</v>
      </c>
      <c r="AB45" s="282">
        <v>0</v>
      </c>
      <c r="AC45" s="282">
        <v>0</v>
      </c>
      <c r="AD45" s="282">
        <v>0</v>
      </c>
      <c r="AE45" s="282">
        <v>0</v>
      </c>
      <c r="AF45" s="282">
        <v>0</v>
      </c>
      <c r="AG45" s="282">
        <v>0</v>
      </c>
      <c r="AH45" s="282">
        <v>0</v>
      </c>
      <c r="AI45" s="282">
        <v>0</v>
      </c>
      <c r="AJ45" s="282">
        <v>0</v>
      </c>
      <c r="AK45" s="282">
        <v>0</v>
      </c>
      <c r="AL45" s="282">
        <v>0</v>
      </c>
      <c r="AM45" s="282">
        <v>0</v>
      </c>
      <c r="AN45" s="282">
        <v>0</v>
      </c>
      <c r="AO45" s="282">
        <v>0</v>
      </c>
      <c r="AP45" s="282">
        <v>0</v>
      </c>
      <c r="AQ45" s="282">
        <v>0</v>
      </c>
      <c r="AR45" s="282">
        <v>0</v>
      </c>
      <c r="AS45" s="282">
        <v>0</v>
      </c>
      <c r="AT45" s="284"/>
    </row>
    <row r="46" ht="16" customHeight="1">
      <c r="A46" s="12"/>
      <c r="B46" s="271"/>
      <c r="C46" s="272"/>
      <c r="D46" s="300"/>
      <c r="E46" s="274"/>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4"/>
    </row>
    <row r="47" ht="16" customHeight="1">
      <c r="A47" s="12"/>
      <c r="B47" s="271"/>
      <c r="C47" s="272"/>
      <c r="D47" t="s" s="273">
        <v>803</v>
      </c>
      <c r="E47" s="274"/>
      <c r="F47" s="282">
        <v>0</v>
      </c>
      <c r="G47" s="282">
        <v>0</v>
      </c>
      <c r="H47" s="282">
        <v>0</v>
      </c>
      <c r="I47" s="282">
        <v>0</v>
      </c>
      <c r="J47" s="282">
        <v>0</v>
      </c>
      <c r="K47" s="282">
        <v>0</v>
      </c>
      <c r="L47" s="282">
        <v>0</v>
      </c>
      <c r="M47" s="282">
        <v>0</v>
      </c>
      <c r="N47" s="282">
        <v>0</v>
      </c>
      <c r="O47" s="282">
        <v>0</v>
      </c>
      <c r="P47" s="282">
        <v>0</v>
      </c>
      <c r="Q47" s="282">
        <v>0</v>
      </c>
      <c r="R47" s="282">
        <v>0</v>
      </c>
      <c r="S47" s="282">
        <v>0</v>
      </c>
      <c r="T47" s="282">
        <v>0</v>
      </c>
      <c r="U47" s="282">
        <v>0</v>
      </c>
      <c r="V47" s="282">
        <v>0</v>
      </c>
      <c r="W47" s="282">
        <v>0</v>
      </c>
      <c r="X47" s="282">
        <v>0</v>
      </c>
      <c r="Y47" s="282">
        <v>0</v>
      </c>
      <c r="Z47" s="282">
        <v>0</v>
      </c>
      <c r="AA47" s="282">
        <v>0</v>
      </c>
      <c r="AB47" s="282">
        <v>0</v>
      </c>
      <c r="AC47" s="282">
        <v>0</v>
      </c>
      <c r="AD47" s="282">
        <v>0</v>
      </c>
      <c r="AE47" s="282">
        <v>0</v>
      </c>
      <c r="AF47" s="282">
        <v>0</v>
      </c>
      <c r="AG47" s="282">
        <v>0</v>
      </c>
      <c r="AH47" s="282">
        <v>0</v>
      </c>
      <c r="AI47" s="282">
        <v>0</v>
      </c>
      <c r="AJ47" s="282">
        <v>0</v>
      </c>
      <c r="AK47" s="282">
        <v>0</v>
      </c>
      <c r="AL47" s="282">
        <v>0</v>
      </c>
      <c r="AM47" s="282">
        <v>0</v>
      </c>
      <c r="AN47" s="282">
        <v>0</v>
      </c>
      <c r="AO47" s="282">
        <v>0</v>
      </c>
      <c r="AP47" s="282">
        <v>0</v>
      </c>
      <c r="AQ47" s="282">
        <v>0</v>
      </c>
      <c r="AR47" s="282">
        <v>0</v>
      </c>
      <c r="AS47" s="282">
        <v>0</v>
      </c>
      <c r="AT47" s="284"/>
    </row>
    <row r="48" ht="15" customHeight="1">
      <c r="A48" s="12"/>
      <c r="B48" s="285"/>
      <c r="C48" s="272"/>
      <c r="D48" s="300"/>
      <c r="E48" s="274" cm="1">
        <f t="array" ref="E48">50896.35*16272</f>
        <v>828185407.2</v>
      </c>
      <c r="F48" s="275"/>
      <c r="G48" s="275"/>
      <c r="H48" s="275"/>
      <c r="I48" s="275"/>
      <c r="J48" s="275"/>
      <c r="K48" s="275"/>
      <c r="L48" s="275"/>
      <c r="M48" s="275"/>
      <c r="N48" s="275"/>
      <c r="O48" s="275"/>
      <c r="P48" s="275"/>
      <c r="Q48" s="275"/>
      <c r="R48" s="275"/>
      <c r="S48" s="275"/>
      <c r="T48" s="275"/>
      <c r="U48" s="275"/>
      <c r="V48" s="275"/>
      <c r="W48" s="275"/>
      <c r="X48" s="275"/>
      <c r="Y48" s="275"/>
      <c r="Z48" s="275"/>
      <c r="AA48" s="275"/>
      <c r="AB48" s="275"/>
      <c r="AC48" s="275"/>
      <c r="AD48" s="275"/>
      <c r="AE48" s="275"/>
      <c r="AF48" s="275"/>
      <c r="AG48" s="275"/>
      <c r="AH48" s="275"/>
      <c r="AI48" s="275"/>
      <c r="AJ48" s="275"/>
      <c r="AK48" s="275"/>
      <c r="AL48" s="275"/>
      <c r="AM48" s="275"/>
      <c r="AN48" s="275"/>
      <c r="AO48" s="275"/>
      <c r="AP48" s="275"/>
      <c r="AQ48" s="275"/>
      <c r="AR48" s="275"/>
      <c r="AS48" s="275"/>
      <c r="AT48" s="276"/>
    </row>
    <row r="49" ht="15" customHeight="1">
      <c r="A49" s="12"/>
      <c r="B49" t="s" s="291">
        <v>450</v>
      </c>
      <c r="C49" s="272"/>
      <c r="D49" s="300"/>
      <c r="E49" s="274"/>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4"/>
    </row>
    <row r="50" ht="9" customHeight="1" hidden="1">
      <c r="A50" s="12"/>
      <c r="B50" s="271"/>
      <c r="C50" s="272"/>
      <c r="D50" t="s" s="273">
        <v>804</v>
      </c>
      <c r="E50" s="274"/>
      <c r="F50" s="282">
        <v>0</v>
      </c>
      <c r="G50" s="282">
        <v>0</v>
      </c>
      <c r="H50" s="282">
        <v>0</v>
      </c>
      <c r="I50" s="282">
        <v>0</v>
      </c>
      <c r="J50" s="282">
        <v>0</v>
      </c>
      <c r="K50" s="282">
        <v>0</v>
      </c>
      <c r="L50" s="282">
        <v>0</v>
      </c>
      <c r="M50" s="282">
        <v>0</v>
      </c>
      <c r="N50" s="282">
        <v>0</v>
      </c>
      <c r="O50" s="282">
        <v>0</v>
      </c>
      <c r="P50" s="282">
        <v>0</v>
      </c>
      <c r="Q50" s="282">
        <v>0</v>
      </c>
      <c r="R50" s="282">
        <v>0</v>
      </c>
      <c r="S50" s="282">
        <v>0</v>
      </c>
      <c r="T50" s="282">
        <v>0</v>
      </c>
      <c r="U50" s="282">
        <v>0</v>
      </c>
      <c r="V50" s="282">
        <v>0</v>
      </c>
      <c r="W50" s="282">
        <v>0</v>
      </c>
      <c r="X50" s="282">
        <v>0</v>
      </c>
      <c r="Y50" s="282">
        <v>0</v>
      </c>
      <c r="Z50" s="282">
        <v>0</v>
      </c>
      <c r="AA50" s="282">
        <v>0</v>
      </c>
      <c r="AB50" s="282">
        <v>0</v>
      </c>
      <c r="AC50" s="282">
        <v>0</v>
      </c>
      <c r="AD50" s="282">
        <v>0</v>
      </c>
      <c r="AE50" s="282">
        <v>0</v>
      </c>
      <c r="AF50" s="282">
        <v>0</v>
      </c>
      <c r="AG50" s="282">
        <v>0</v>
      </c>
      <c r="AH50" s="282">
        <v>0</v>
      </c>
      <c r="AI50" s="282">
        <v>0</v>
      </c>
      <c r="AJ50" s="282">
        <v>0</v>
      </c>
      <c r="AK50" s="282">
        <v>0</v>
      </c>
      <c r="AL50" s="282">
        <v>0</v>
      </c>
      <c r="AM50" s="282">
        <v>0</v>
      </c>
      <c r="AN50" s="282">
        <v>0</v>
      </c>
      <c r="AO50" s="282">
        <v>0</v>
      </c>
      <c r="AP50" s="282">
        <v>0</v>
      </c>
      <c r="AQ50" s="282">
        <v>0</v>
      </c>
      <c r="AR50" s="282">
        <v>0</v>
      </c>
      <c r="AS50" s="282">
        <v>0</v>
      </c>
      <c r="AT50" s="284"/>
    </row>
    <row r="51" ht="9" customHeight="1" hidden="1">
      <c r="A51" s="12"/>
      <c r="B51" s="271"/>
      <c r="C51" s="272"/>
      <c r="D51" t="s" s="273">
        <v>805</v>
      </c>
      <c r="E51" s="274"/>
      <c r="F51" s="282">
        <v>0</v>
      </c>
      <c r="G51" s="282">
        <v>0</v>
      </c>
      <c r="H51" s="282">
        <v>0</v>
      </c>
      <c r="I51" s="282">
        <v>0</v>
      </c>
      <c r="J51" s="282">
        <v>0</v>
      </c>
      <c r="K51" s="282">
        <v>0</v>
      </c>
      <c r="L51" s="282">
        <v>0</v>
      </c>
      <c r="M51" s="282">
        <v>0</v>
      </c>
      <c r="N51" s="282">
        <v>0</v>
      </c>
      <c r="O51" s="282">
        <v>0</v>
      </c>
      <c r="P51" s="282">
        <v>0</v>
      </c>
      <c r="Q51" s="282">
        <v>0</v>
      </c>
      <c r="R51" s="282">
        <v>0</v>
      </c>
      <c r="S51" s="282">
        <v>0</v>
      </c>
      <c r="T51" s="282">
        <v>0</v>
      </c>
      <c r="U51" s="282">
        <v>0</v>
      </c>
      <c r="V51" s="282">
        <v>0</v>
      </c>
      <c r="W51" s="282">
        <v>0</v>
      </c>
      <c r="X51" s="282">
        <v>0</v>
      </c>
      <c r="Y51" s="282">
        <v>0</v>
      </c>
      <c r="Z51" s="282">
        <v>0</v>
      </c>
      <c r="AA51" s="282">
        <v>0</v>
      </c>
      <c r="AB51" s="282">
        <v>0</v>
      </c>
      <c r="AC51" s="282">
        <v>0</v>
      </c>
      <c r="AD51" s="282">
        <v>0</v>
      </c>
      <c r="AE51" s="282">
        <v>0</v>
      </c>
      <c r="AF51" s="282">
        <v>0</v>
      </c>
      <c r="AG51" s="282">
        <v>0</v>
      </c>
      <c r="AH51" s="282">
        <v>0</v>
      </c>
      <c r="AI51" s="282">
        <v>0</v>
      </c>
      <c r="AJ51" s="282">
        <v>0</v>
      </c>
      <c r="AK51" s="282">
        <v>0</v>
      </c>
      <c r="AL51" s="282">
        <v>0</v>
      </c>
      <c r="AM51" s="282">
        <v>0</v>
      </c>
      <c r="AN51" s="282">
        <v>0</v>
      </c>
      <c r="AO51" s="282">
        <v>0</v>
      </c>
      <c r="AP51" s="282">
        <v>0</v>
      </c>
      <c r="AQ51" s="282">
        <v>0</v>
      </c>
      <c r="AR51" s="282">
        <v>0</v>
      </c>
      <c r="AS51" s="282">
        <v>0</v>
      </c>
      <c r="AT51" s="284"/>
    </row>
    <row r="52" ht="9" customHeight="1" hidden="1">
      <c r="A52" s="12"/>
      <c r="B52" s="271"/>
      <c r="C52" s="272"/>
      <c r="D52" t="s" s="273">
        <v>806</v>
      </c>
      <c r="E52" s="274"/>
      <c r="F52" s="282">
        <v>0</v>
      </c>
      <c r="G52" s="282">
        <v>0</v>
      </c>
      <c r="H52" s="282">
        <v>0</v>
      </c>
      <c r="I52" s="282">
        <v>0</v>
      </c>
      <c r="J52" s="282">
        <v>0</v>
      </c>
      <c r="K52" s="282">
        <v>0</v>
      </c>
      <c r="L52" s="282">
        <v>0</v>
      </c>
      <c r="M52" s="282">
        <v>0</v>
      </c>
      <c r="N52" s="282">
        <v>0</v>
      </c>
      <c r="O52" s="282">
        <v>0</v>
      </c>
      <c r="P52" s="282">
        <v>0</v>
      </c>
      <c r="Q52" s="282">
        <v>0</v>
      </c>
      <c r="R52" s="282">
        <v>0</v>
      </c>
      <c r="S52" s="282">
        <v>0</v>
      </c>
      <c r="T52" s="282">
        <v>0</v>
      </c>
      <c r="U52" s="282">
        <v>0</v>
      </c>
      <c r="V52" s="282">
        <v>0</v>
      </c>
      <c r="W52" s="282">
        <v>0</v>
      </c>
      <c r="X52" s="282">
        <v>0</v>
      </c>
      <c r="Y52" s="282">
        <v>0</v>
      </c>
      <c r="Z52" s="282">
        <v>0</v>
      </c>
      <c r="AA52" s="282">
        <v>0</v>
      </c>
      <c r="AB52" s="282">
        <v>0</v>
      </c>
      <c r="AC52" s="282">
        <v>0</v>
      </c>
      <c r="AD52" s="282">
        <v>0</v>
      </c>
      <c r="AE52" s="282">
        <v>0</v>
      </c>
      <c r="AF52" s="282">
        <v>0</v>
      </c>
      <c r="AG52" s="282">
        <v>0</v>
      </c>
      <c r="AH52" s="282">
        <v>0</v>
      </c>
      <c r="AI52" s="282">
        <v>0</v>
      </c>
      <c r="AJ52" s="282">
        <v>0</v>
      </c>
      <c r="AK52" s="282">
        <v>0</v>
      </c>
      <c r="AL52" s="282">
        <v>0</v>
      </c>
      <c r="AM52" s="282">
        <v>0</v>
      </c>
      <c r="AN52" s="282">
        <v>0</v>
      </c>
      <c r="AO52" s="282">
        <v>0</v>
      </c>
      <c r="AP52" s="282">
        <v>0</v>
      </c>
      <c r="AQ52" s="282">
        <v>0</v>
      </c>
      <c r="AR52" s="282">
        <v>0</v>
      </c>
      <c r="AS52" s="282">
        <v>0</v>
      </c>
      <c r="AT52" s="284"/>
    </row>
    <row r="53" ht="15" customHeight="1">
      <c r="A53" s="12"/>
      <c r="B53" s="285"/>
      <c r="C53" s="272"/>
      <c r="D53" s="300"/>
      <c r="E53" s="274" cm="1">
        <f t="array" ref="E53">50896.35*16272</f>
        <v>828185407.2</v>
      </c>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c r="AF53" s="275"/>
      <c r="AG53" s="275"/>
      <c r="AH53" s="275"/>
      <c r="AI53" s="275"/>
      <c r="AJ53" s="275"/>
      <c r="AK53" s="275"/>
      <c r="AL53" s="275"/>
      <c r="AM53" s="275"/>
      <c r="AN53" s="275"/>
      <c r="AO53" s="275"/>
      <c r="AP53" s="275"/>
      <c r="AQ53" s="275"/>
      <c r="AR53" s="275"/>
      <c r="AS53" s="275"/>
      <c r="AT53" s="276"/>
    </row>
    <row r="54" ht="15" customHeight="1">
      <c r="A54" s="12"/>
      <c r="B54" t="s" s="291">
        <v>807</v>
      </c>
      <c r="C54" s="272"/>
      <c r="D54" s="300"/>
      <c r="E54" s="274"/>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4"/>
    </row>
    <row r="55" ht="16" customHeight="1">
      <c r="A55" s="12"/>
      <c r="B55" s="271"/>
      <c r="C55" s="272"/>
      <c r="D55" t="s" s="273">
        <v>808</v>
      </c>
      <c r="E55" s="274"/>
      <c r="F55" s="282" cm="1">
        <f t="array" ref="F55">SUM(F37)</f>
        <v>0</v>
      </c>
      <c r="G55" s="282" cm="1">
        <f t="array" ref="G55">SUM(G37)</f>
        <v>0</v>
      </c>
      <c r="H55" s="282" cm="1">
        <f t="array" ref="H55">SUM(H37)</f>
        <v>0</v>
      </c>
      <c r="I55" s="282" cm="1">
        <f t="array" ref="I55">SUM(I37)</f>
        <v>38192.6677333334</v>
      </c>
      <c r="J55" s="282" cm="1">
        <f t="array" ref="J55">SUM(J37)</f>
        <v>30101.0757333334</v>
      </c>
      <c r="K55" s="282" cm="1">
        <f t="array" ref="K55">SUM(K37)</f>
        <v>35791.9317333334</v>
      </c>
      <c r="L55" s="282" cm="1">
        <f t="array" ref="L55">SUM(L37)</f>
        <v>40741.1877333334</v>
      </c>
      <c r="M55" s="282" cm="1">
        <f t="array" ref="M55">SUM(M37)</f>
        <v>51470.8808166666</v>
      </c>
      <c r="N55" s="282" cm="1">
        <f t="array" ref="N55">SUM(N37)</f>
        <v>57630.0989833334</v>
      </c>
      <c r="O55" s="282" cm="1">
        <f t="array" ref="O55">SUM(O37)</f>
        <v>62833.5764</v>
      </c>
      <c r="P55" s="282" cm="1">
        <f t="array" ref="P55">SUM(P37)</f>
        <v>62833.5764</v>
      </c>
      <c r="Q55" s="282" cm="1">
        <f t="array" ref="Q55">SUM(Q37)</f>
        <v>54550.4899</v>
      </c>
      <c r="R55" s="282" cm="1">
        <f t="array" ref="R55">SUM(R37)</f>
        <v>40741.1877333334</v>
      </c>
      <c r="S55" s="282" cm="1">
        <f t="array" ref="S55">SUM(S37)</f>
        <v>31207.6310666666</v>
      </c>
      <c r="T55" s="282" cm="1">
        <f t="array" ref="T55">SUM(T37)</f>
        <v>38192.6677333334</v>
      </c>
      <c r="U55" s="282" cm="1">
        <f t="array" ref="U55">SUM(U37)</f>
        <v>38192.6677333334</v>
      </c>
      <c r="V55" s="282" cm="1">
        <f t="array" ref="V55">SUM(V37)</f>
        <v>30101.0757333334</v>
      </c>
      <c r="W55" s="282" cm="1">
        <f t="array" ref="W55">SUM(W37)</f>
        <v>35791.9317333334</v>
      </c>
      <c r="X55" s="282" cm="1">
        <f t="array" ref="X55">SUM(X37)</f>
        <v>40741.1877333334</v>
      </c>
      <c r="Y55" s="282" cm="1">
        <f t="array" ref="Y55">SUM(Y37)</f>
        <v>51470.8808166666</v>
      </c>
      <c r="Z55" s="282" cm="1">
        <f t="array" ref="Z55">SUM(Z37)</f>
        <v>57630.0989833334</v>
      </c>
      <c r="AA55" s="282" cm="1">
        <f t="array" ref="AA55">SUM(AA37)</f>
        <v>62833.5764</v>
      </c>
      <c r="AB55" s="282" cm="1">
        <f t="array" ref="AB55">SUM(AB37)</f>
        <v>62833.5764</v>
      </c>
      <c r="AC55" s="282" cm="1">
        <f t="array" ref="AC55">SUM(AC37)</f>
        <v>54550.4899</v>
      </c>
      <c r="AD55" s="282" cm="1">
        <f t="array" ref="AD55">SUM(AD37)</f>
        <v>40741.1877333334</v>
      </c>
      <c r="AE55" s="282" cm="1">
        <f t="array" ref="AE55">SUM(AE37)</f>
        <v>31207.6310666666</v>
      </c>
      <c r="AF55" s="282" cm="1">
        <f t="array" ref="AF55">SUM(AF37)</f>
        <v>38192.6677333334</v>
      </c>
      <c r="AG55" s="282" cm="1">
        <f t="array" ref="AG55">SUM(AG37)</f>
        <v>38192.6677333334</v>
      </c>
      <c r="AH55" s="282" cm="1">
        <f t="array" ref="AH55">SUM(AH37)</f>
        <v>30101.0757333334</v>
      </c>
      <c r="AI55" s="282" cm="1">
        <f t="array" ref="AI55">SUM(AI37)</f>
        <v>35791.9317333334</v>
      </c>
      <c r="AJ55" s="282" cm="1">
        <f t="array" ref="AJ55">SUM(AJ37)</f>
        <v>40741.1877333334</v>
      </c>
      <c r="AK55" s="282" cm="1">
        <f t="array" ref="AK55">SUM(AK37)</f>
        <v>51470.8808166666</v>
      </c>
      <c r="AL55" s="282" cm="1">
        <f t="array" ref="AL55">SUM(AL37)</f>
        <v>57630.0989833334</v>
      </c>
      <c r="AM55" s="282" cm="1">
        <f t="array" ref="AM55">SUM(AM37)</f>
        <v>62833.5764</v>
      </c>
      <c r="AN55" s="282" cm="1">
        <f t="array" ref="AN55">SUM(AN37)</f>
        <v>62833.5764</v>
      </c>
      <c r="AO55" s="282" cm="1">
        <f t="array" ref="AO55">SUM(AO37)</f>
        <v>54550.4899</v>
      </c>
      <c r="AP55" s="282" cm="1">
        <f t="array" ref="AP55">SUM(AP37)</f>
        <v>40741.1877333334</v>
      </c>
      <c r="AQ55" s="282" cm="1">
        <f t="array" ref="AQ55">SUM(AQ37)</f>
        <v>31207.6310666666</v>
      </c>
      <c r="AR55" s="282" cm="1">
        <f t="array" ref="AR55">SUM(AR37)</f>
        <v>38192.6677333334</v>
      </c>
      <c r="AS55" s="282" cm="1">
        <f t="array" ref="AS55">SUM(AS37)</f>
        <v>38192.6677333334</v>
      </c>
      <c r="AT55" s="284"/>
    </row>
    <row r="56" ht="16" customHeight="1">
      <c r="A56" s="12"/>
      <c r="B56" s="271"/>
      <c r="C56" s="272"/>
      <c r="D56" t="s" s="273">
        <v>809</v>
      </c>
      <c r="E56" s="274"/>
      <c r="F56" s="282" cm="1">
        <f t="array" ref="F56">SUM(F42:F47)</f>
        <v>0</v>
      </c>
      <c r="G56" s="282" cm="1">
        <f t="array" ref="G56">SUM(G42:G47)</f>
        <v>0</v>
      </c>
      <c r="H56" s="282" cm="1">
        <f t="array" ref="H56">SUM(H42:H47)</f>
        <v>-603000</v>
      </c>
      <c r="I56" s="282" cm="1">
        <f t="array" ref="I56">SUM(I42:I47)</f>
        <v>0</v>
      </c>
      <c r="J56" s="282" cm="1">
        <f t="array" ref="J56">SUM(J42:J47)</f>
        <v>0</v>
      </c>
      <c r="K56" s="282" cm="1">
        <f t="array" ref="K56">SUM(K42:K47)</f>
        <v>0</v>
      </c>
      <c r="L56" s="282" cm="1">
        <f t="array" ref="L56">SUM(L42:L47)</f>
        <v>0</v>
      </c>
      <c r="M56" s="282" cm="1">
        <f t="array" ref="M56">SUM(M42:M47)</f>
        <v>0</v>
      </c>
      <c r="N56" s="282" cm="1">
        <f t="array" ref="N56">SUM(N42:N47)</f>
        <v>0</v>
      </c>
      <c r="O56" s="282" cm="1">
        <f t="array" ref="O56">SUM(O42:O47)</f>
        <v>0</v>
      </c>
      <c r="P56" s="282" cm="1">
        <f t="array" ref="P56">SUM(P42:P47)</f>
        <v>0</v>
      </c>
      <c r="Q56" s="282" cm="1">
        <f t="array" ref="Q56">SUM(Q42:Q47)</f>
        <v>0</v>
      </c>
      <c r="R56" s="282" cm="1">
        <f t="array" ref="R56">SUM(R42:R47)</f>
        <v>0</v>
      </c>
      <c r="S56" s="282" cm="1">
        <f t="array" ref="S56">SUM(S42:S47)</f>
        <v>0</v>
      </c>
      <c r="T56" s="282" cm="1">
        <f t="array" ref="T56">SUM(T42:T47)</f>
        <v>0</v>
      </c>
      <c r="U56" s="282" cm="1">
        <f t="array" ref="U56">SUM(U42:U47)</f>
        <v>0</v>
      </c>
      <c r="V56" s="282" cm="1">
        <f t="array" ref="V56">SUM(V42:V47)</f>
        <v>0</v>
      </c>
      <c r="W56" s="282" cm="1">
        <f t="array" ref="W56">SUM(W42:W47)</f>
        <v>0</v>
      </c>
      <c r="X56" s="282" cm="1">
        <f t="array" ref="X56">SUM(X42:X47)</f>
        <v>0</v>
      </c>
      <c r="Y56" s="282" cm="1">
        <f t="array" ref="Y56">SUM(Y42:Y47)</f>
        <v>0</v>
      </c>
      <c r="Z56" s="282" cm="1">
        <f t="array" ref="Z56">SUM(Z42:Z47)</f>
        <v>0</v>
      </c>
      <c r="AA56" s="282" cm="1">
        <f t="array" ref="AA56">SUM(AA42:AA47)</f>
        <v>0</v>
      </c>
      <c r="AB56" s="282" cm="1">
        <f t="array" ref="AB56">SUM(AB42:AB47)</f>
        <v>0</v>
      </c>
      <c r="AC56" s="282" cm="1">
        <f t="array" ref="AC56">SUM(AC42:AC47)</f>
        <v>0</v>
      </c>
      <c r="AD56" s="282" cm="1">
        <f t="array" ref="AD56">SUM(AD42:AD47)</f>
        <v>0</v>
      </c>
      <c r="AE56" s="282" cm="1">
        <f t="array" ref="AE56">SUM(AE42:AE47)</f>
        <v>0</v>
      </c>
      <c r="AF56" s="282" cm="1">
        <f t="array" ref="AF56">SUM(AF42:AF47)</f>
        <v>0</v>
      </c>
      <c r="AG56" s="282" cm="1">
        <f t="array" ref="AG56">SUM(AG42:AG47)</f>
        <v>0</v>
      </c>
      <c r="AH56" s="282" cm="1">
        <f t="array" ref="AH56">SUM(AH42:AH47)</f>
        <v>0</v>
      </c>
      <c r="AI56" s="282" cm="1">
        <f t="array" ref="AI56">SUM(AI42:AI47)</f>
        <v>0</v>
      </c>
      <c r="AJ56" s="282" cm="1">
        <f t="array" ref="AJ56">SUM(AJ42:AJ47)</f>
        <v>0</v>
      </c>
      <c r="AK56" s="282" cm="1">
        <f t="array" ref="AK56">SUM(AK42:AK47)</f>
        <v>0</v>
      </c>
      <c r="AL56" s="282" cm="1">
        <f t="array" ref="AL56">SUM(AL42:AL47)</f>
        <v>0</v>
      </c>
      <c r="AM56" s="282" cm="1">
        <f t="array" ref="AM56">SUM(AM42:AM47)</f>
        <v>0</v>
      </c>
      <c r="AN56" s="282" cm="1">
        <f t="array" ref="AN56">SUM(AN42:AN47)</f>
        <v>0</v>
      </c>
      <c r="AO56" s="282" cm="1">
        <f t="array" ref="AO56">SUM(AO42:AO47)</f>
        <v>0</v>
      </c>
      <c r="AP56" s="282" cm="1">
        <f t="array" ref="AP56">SUM(AP42:AP47)</f>
        <v>0</v>
      </c>
      <c r="AQ56" s="282" cm="1">
        <f t="array" ref="AQ56">SUM(AQ42:AQ47)</f>
        <v>0</v>
      </c>
      <c r="AR56" s="282" cm="1">
        <f t="array" ref="AR56">SUM(AR42:AR47)</f>
        <v>0</v>
      </c>
      <c r="AS56" s="282" cm="1">
        <f t="array" ref="AS56">SUM(AS42:AS47)</f>
        <v>0</v>
      </c>
      <c r="AT56" s="284"/>
    </row>
    <row r="57" ht="16" customHeight="1">
      <c r="A57" s="12"/>
      <c r="B57" s="271"/>
      <c r="C57" s="272"/>
      <c r="D57" t="s" s="273">
        <v>810</v>
      </c>
      <c r="E57" s="274"/>
      <c r="F57" s="282" cm="1">
        <f t="array" ref="F57">SUM(F49:F53)</f>
        <v>0</v>
      </c>
      <c r="G57" s="282" cm="1">
        <f t="array" ref="G57">SUM(G49:G53)</f>
        <v>0</v>
      </c>
      <c r="H57" s="282" cm="1">
        <f t="array" ref="H57">SUM(H49:H53)</f>
        <v>0</v>
      </c>
      <c r="I57" s="282" cm="1">
        <f t="array" ref="I57">SUM(I49:I53)</f>
        <v>0</v>
      </c>
      <c r="J57" s="282" cm="1">
        <f t="array" ref="J57">SUM(J49:J53)</f>
        <v>0</v>
      </c>
      <c r="K57" s="282" cm="1">
        <f t="array" ref="K57">SUM(K49:K53)</f>
        <v>0</v>
      </c>
      <c r="L57" s="282" cm="1">
        <f t="array" ref="L57">SUM(L49:L53)</f>
        <v>0</v>
      </c>
      <c r="M57" s="282" cm="1">
        <f t="array" ref="M57">SUM(M49:M53)</f>
        <v>0</v>
      </c>
      <c r="N57" s="282" cm="1">
        <f t="array" ref="N57">SUM(N49:N53)</f>
        <v>0</v>
      </c>
      <c r="O57" s="282" cm="1">
        <f t="array" ref="O57">SUM(O49:O53)</f>
        <v>0</v>
      </c>
      <c r="P57" s="282" cm="1">
        <f t="array" ref="P57">SUM(P49:P53)</f>
        <v>0</v>
      </c>
      <c r="Q57" s="282" cm="1">
        <f t="array" ref="Q57">SUM(Q49:Q53)</f>
        <v>0</v>
      </c>
      <c r="R57" s="282" cm="1">
        <f t="array" ref="R57">SUM(R49:R53)</f>
        <v>0</v>
      </c>
      <c r="S57" s="282" cm="1">
        <f t="array" ref="S57">SUM(S49:S53)</f>
        <v>0</v>
      </c>
      <c r="T57" s="282" cm="1">
        <f t="array" ref="T57">SUM(T49:T53)</f>
        <v>0</v>
      </c>
      <c r="U57" s="282" cm="1">
        <f t="array" ref="U57">SUM(U49:U53)</f>
        <v>0</v>
      </c>
      <c r="V57" s="282" cm="1">
        <f t="array" ref="V57">SUM(V49:V53)</f>
        <v>0</v>
      </c>
      <c r="W57" s="282" cm="1">
        <f t="array" ref="W57">SUM(W49:W53)</f>
        <v>0</v>
      </c>
      <c r="X57" s="282" cm="1">
        <f t="array" ref="X57">SUM(X49:X53)</f>
        <v>0</v>
      </c>
      <c r="Y57" s="282" cm="1">
        <f t="array" ref="Y57">SUM(Y49:Y53)</f>
        <v>0</v>
      </c>
      <c r="Z57" s="282" cm="1">
        <f t="array" ref="Z57">SUM(Z49:Z53)</f>
        <v>0</v>
      </c>
      <c r="AA57" s="282" cm="1">
        <f t="array" ref="AA57">SUM(AA49:AA53)</f>
        <v>0</v>
      </c>
      <c r="AB57" s="282" cm="1">
        <f t="array" ref="AB57">SUM(AB49:AB53)</f>
        <v>0</v>
      </c>
      <c r="AC57" s="282" cm="1">
        <f t="array" ref="AC57">SUM(AC49:AC53)</f>
        <v>0</v>
      </c>
      <c r="AD57" s="282" cm="1">
        <f t="array" ref="AD57">SUM(AD49:AD53)</f>
        <v>0</v>
      </c>
      <c r="AE57" s="282" cm="1">
        <f t="array" ref="AE57">SUM(AE49:AE53)</f>
        <v>0</v>
      </c>
      <c r="AF57" s="282" cm="1">
        <f t="array" ref="AF57">SUM(AF49:AF53)</f>
        <v>0</v>
      </c>
      <c r="AG57" s="282" cm="1">
        <f t="array" ref="AG57">SUM(AG49:AG53)</f>
        <v>0</v>
      </c>
      <c r="AH57" s="282" cm="1">
        <f t="array" ref="AH57">SUM(AH49:AH53)</f>
        <v>0</v>
      </c>
      <c r="AI57" s="282" cm="1">
        <f t="array" ref="AI57">SUM(AI49:AI53)</f>
        <v>0</v>
      </c>
      <c r="AJ57" s="282" cm="1">
        <f t="array" ref="AJ57">SUM(AJ49:AJ53)</f>
        <v>0</v>
      </c>
      <c r="AK57" s="282" cm="1">
        <f t="array" ref="AK57">SUM(AK49:AK53)</f>
        <v>0</v>
      </c>
      <c r="AL57" s="282" cm="1">
        <f t="array" ref="AL57">SUM(AL49:AL53)</f>
        <v>0</v>
      </c>
      <c r="AM57" s="282" cm="1">
        <f t="array" ref="AM57">SUM(AM49:AM53)</f>
        <v>0</v>
      </c>
      <c r="AN57" s="282" cm="1">
        <f t="array" ref="AN57">SUM(AN49:AN53)</f>
        <v>0</v>
      </c>
      <c r="AO57" s="282" cm="1">
        <f t="array" ref="AO57">SUM(AO49:AO53)</f>
        <v>0</v>
      </c>
      <c r="AP57" s="282" cm="1">
        <f t="array" ref="AP57">SUM(AP49:AP53)</f>
        <v>0</v>
      </c>
      <c r="AQ57" s="282" cm="1">
        <f t="array" ref="AQ57">SUM(AQ49:AQ53)</f>
        <v>0</v>
      </c>
      <c r="AR57" s="282" cm="1">
        <f t="array" ref="AR57">SUM(AR49:AR53)</f>
        <v>0</v>
      </c>
      <c r="AS57" s="282" cm="1">
        <f t="array" ref="AS57">SUM(AS49:AS53)</f>
        <v>0</v>
      </c>
      <c r="AT57" s="284"/>
    </row>
    <row r="58" ht="15" customHeight="1">
      <c r="A58" s="12"/>
      <c r="B58" s="285"/>
      <c r="C58" s="272"/>
      <c r="D58" s="300"/>
      <c r="E58" s="274" cm="1">
        <f t="array" ref="E58">50896.35*16272</f>
        <v>828185407.2</v>
      </c>
      <c r="F58" s="275"/>
      <c r="G58" s="275"/>
      <c r="H58" s="275"/>
      <c r="I58" s="275"/>
      <c r="J58" s="275"/>
      <c r="K58" s="275"/>
      <c r="L58" s="275"/>
      <c r="M58" s="275"/>
      <c r="N58" s="275"/>
      <c r="O58" s="275"/>
      <c r="P58" s="275"/>
      <c r="Q58" s="275"/>
      <c r="R58" s="275"/>
      <c r="S58" s="275"/>
      <c r="T58" s="275"/>
      <c r="U58" s="275"/>
      <c r="V58" s="275"/>
      <c r="W58" s="275"/>
      <c r="X58" s="275"/>
      <c r="Y58" s="275"/>
      <c r="Z58" s="275"/>
      <c r="AA58" s="275"/>
      <c r="AB58" s="275"/>
      <c r="AC58" s="275"/>
      <c r="AD58" s="275"/>
      <c r="AE58" s="275"/>
      <c r="AF58" s="275"/>
      <c r="AG58" s="275"/>
      <c r="AH58" s="275"/>
      <c r="AI58" s="275"/>
      <c r="AJ58" s="275"/>
      <c r="AK58" s="275"/>
      <c r="AL58" s="275"/>
      <c r="AM58" s="275"/>
      <c r="AN58" s="275"/>
      <c r="AO58" s="275"/>
      <c r="AP58" s="275"/>
      <c r="AQ58" s="275"/>
      <c r="AR58" s="275"/>
      <c r="AS58" s="275"/>
      <c r="AT58" s="276"/>
    </row>
    <row r="59" ht="15.5" customHeight="1">
      <c r="A59" s="12"/>
      <c r="B59" s="900"/>
      <c r="C59" s="272"/>
      <c r="D59" s="300"/>
      <c r="E59" s="274"/>
      <c r="F59" s="304"/>
      <c r="G59" s="304"/>
      <c r="H59" s="304"/>
      <c r="I59" s="304"/>
      <c r="J59" s="304"/>
      <c r="K59" s="304"/>
      <c r="L59" s="304"/>
      <c r="M59" s="304"/>
      <c r="N59" s="304"/>
      <c r="O59" s="304"/>
      <c r="P59" s="304"/>
      <c r="Q59" s="304"/>
      <c r="R59" s="304"/>
      <c r="S59" s="304"/>
      <c r="T59" s="304"/>
      <c r="U59" s="304"/>
      <c r="V59" s="304"/>
      <c r="W59" s="304"/>
      <c r="X59" s="304"/>
      <c r="Y59" s="304"/>
      <c r="Z59" s="304"/>
      <c r="AA59" s="304"/>
      <c r="AB59" s="304"/>
      <c r="AC59" s="304"/>
      <c r="AD59" s="304"/>
      <c r="AE59" s="304"/>
      <c r="AF59" s="304"/>
      <c r="AG59" s="304"/>
      <c r="AH59" s="304"/>
      <c r="AI59" s="304"/>
      <c r="AJ59" s="304"/>
      <c r="AK59" s="304"/>
      <c r="AL59" s="304"/>
      <c r="AM59" s="304"/>
      <c r="AN59" s="304"/>
      <c r="AO59" s="304"/>
      <c r="AP59" s="304"/>
      <c r="AQ59" s="304"/>
      <c r="AR59" s="304"/>
      <c r="AS59" s="304"/>
      <c r="AT59" s="284"/>
    </row>
    <row r="60" ht="15.5" customHeight="1">
      <c r="A60" s="12"/>
      <c r="B60" s="271"/>
      <c r="C60" s="272"/>
      <c r="D60" t="s" s="305">
        <v>811</v>
      </c>
      <c r="E60" s="274"/>
      <c r="F60" s="306" cm="1">
        <f t="array" ref="F60">SUM(F55:F57)</f>
        <v>0</v>
      </c>
      <c r="G60" s="306" cm="1">
        <f t="array" ref="G60">SUM(G55:G57)</f>
        <v>0</v>
      </c>
      <c r="H60" s="306" cm="1">
        <f t="array" ref="H60">SUM(H55:H57)</f>
        <v>-603000</v>
      </c>
      <c r="I60" s="306" cm="1">
        <f t="array" ref="I60">SUM(I55:I57)</f>
        <v>38192.6677333334</v>
      </c>
      <c r="J60" s="306" cm="1">
        <f t="array" ref="J60">SUM(J55:J57)</f>
        <v>30101.0757333334</v>
      </c>
      <c r="K60" s="306" cm="1">
        <f t="array" ref="K60">SUM(K55:K57)</f>
        <v>35791.9317333334</v>
      </c>
      <c r="L60" s="306" cm="1">
        <f t="array" ref="L60">SUM(L55:L57)</f>
        <v>40741.1877333334</v>
      </c>
      <c r="M60" s="306" cm="1">
        <f t="array" ref="M60">SUM(M55:M57)</f>
        <v>51470.8808166666</v>
      </c>
      <c r="N60" s="306" cm="1">
        <f t="array" ref="N60">SUM(N55:N57)</f>
        <v>57630.0989833334</v>
      </c>
      <c r="O60" s="306" cm="1">
        <f t="array" ref="O60">SUM(O55:O57)</f>
        <v>62833.5764</v>
      </c>
      <c r="P60" s="306" cm="1">
        <f t="array" ref="P60">SUM(P55:P57)</f>
        <v>62833.5764</v>
      </c>
      <c r="Q60" s="306" cm="1">
        <f t="array" ref="Q60">SUM(Q55:Q57)</f>
        <v>54550.4899</v>
      </c>
      <c r="R60" s="306" cm="1">
        <f t="array" ref="R60">SUM(R55:R57)</f>
        <v>40741.1877333334</v>
      </c>
      <c r="S60" s="306" cm="1">
        <f t="array" ref="S60">SUM(S55:S57)</f>
        <v>31207.6310666666</v>
      </c>
      <c r="T60" s="306" cm="1">
        <f t="array" ref="T60">SUM(T55:T57)</f>
        <v>38192.6677333334</v>
      </c>
      <c r="U60" s="306" cm="1">
        <f t="array" ref="U60">SUM(U55:U57)</f>
        <v>38192.6677333334</v>
      </c>
      <c r="V60" s="306" cm="1">
        <f t="array" ref="V60">SUM(V55:V57)</f>
        <v>30101.0757333334</v>
      </c>
      <c r="W60" s="306" cm="1">
        <f t="array" ref="W60">SUM(W55:W57)</f>
        <v>35791.9317333334</v>
      </c>
      <c r="X60" s="306" cm="1">
        <f t="array" ref="X60">SUM(X55:X57)</f>
        <v>40741.1877333334</v>
      </c>
      <c r="Y60" s="306" cm="1">
        <f t="array" ref="Y60">SUM(Y55:Y57)</f>
        <v>51470.8808166666</v>
      </c>
      <c r="Z60" s="306" cm="1">
        <f t="array" ref="Z60">SUM(Z55:Z57)</f>
        <v>57630.0989833334</v>
      </c>
      <c r="AA60" s="306" cm="1">
        <f t="array" ref="AA60">SUM(AA55:AA57)</f>
        <v>62833.5764</v>
      </c>
      <c r="AB60" s="306" cm="1">
        <f t="array" ref="AB60">SUM(AB55:AB57)</f>
        <v>62833.5764</v>
      </c>
      <c r="AC60" s="306" cm="1">
        <f t="array" ref="AC60">SUM(AC55:AC57)</f>
        <v>54550.4899</v>
      </c>
      <c r="AD60" s="306" cm="1">
        <f t="array" ref="AD60">SUM(AD55:AD57)</f>
        <v>40741.1877333334</v>
      </c>
      <c r="AE60" s="306" cm="1">
        <f t="array" ref="AE60">SUM(AE55:AE57)</f>
        <v>31207.6310666666</v>
      </c>
      <c r="AF60" s="306" cm="1">
        <f t="array" ref="AF60">SUM(AF55:AF57)</f>
        <v>38192.6677333334</v>
      </c>
      <c r="AG60" s="306" cm="1">
        <f t="array" ref="AG60">SUM(AG55:AG57)</f>
        <v>38192.6677333334</v>
      </c>
      <c r="AH60" s="306" cm="1">
        <f t="array" ref="AH60">SUM(AH55:AH57)</f>
        <v>30101.0757333334</v>
      </c>
      <c r="AI60" s="306" cm="1">
        <f t="array" ref="AI60">SUM(AI55:AI57)</f>
        <v>35791.9317333334</v>
      </c>
      <c r="AJ60" s="306" cm="1">
        <f t="array" ref="AJ60">SUM(AJ55:AJ57)</f>
        <v>40741.1877333334</v>
      </c>
      <c r="AK60" s="306" cm="1">
        <f t="array" ref="AK60">SUM(AK55:AK57)</f>
        <v>51470.8808166666</v>
      </c>
      <c r="AL60" s="306" cm="1">
        <f t="array" ref="AL60">SUM(AL55:AL57)</f>
        <v>57630.0989833334</v>
      </c>
      <c r="AM60" s="306" cm="1">
        <f t="array" ref="AM60">SUM(AM55:AM57)</f>
        <v>62833.5764</v>
      </c>
      <c r="AN60" s="306" cm="1">
        <f t="array" ref="AN60">SUM(AN55:AN57)</f>
        <v>62833.5764</v>
      </c>
      <c r="AO60" s="306" cm="1">
        <f t="array" ref="AO60">SUM(AO55:AO57)</f>
        <v>54550.4899</v>
      </c>
      <c r="AP60" s="306" cm="1">
        <f t="array" ref="AP60">SUM(AP55:AP57)</f>
        <v>40741.1877333334</v>
      </c>
      <c r="AQ60" s="306" cm="1">
        <f t="array" ref="AQ60">SUM(AQ55:AQ57)</f>
        <v>31207.6310666666</v>
      </c>
      <c r="AR60" s="306" cm="1">
        <f t="array" ref="AR60">SUM(AR55:AR57)</f>
        <v>38192.6677333334</v>
      </c>
      <c r="AS60" s="306" cm="1">
        <f t="array" ref="AS60">SUM(AS55:AS57)</f>
        <v>38192.6677333334</v>
      </c>
      <c r="AT60" s="284"/>
    </row>
    <row r="61" ht="15.5" customHeight="1">
      <c r="A61" s="12"/>
      <c r="B61" s="307"/>
      <c r="C61" s="308"/>
      <c r="D61" s="309"/>
      <c r="E61" s="310" cm="1">
        <f t="array" ref="E61">50896.35*16272</f>
        <v>828185407.2</v>
      </c>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2"/>
    </row>
    <row r="62" ht="15.5" customHeight="1">
      <c r="A62" s="32"/>
      <c r="B62" s="33"/>
      <c r="C62" s="33"/>
      <c r="D62" s="33"/>
      <c r="E62" s="33"/>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313"/>
    </row>
    <row r="63" ht="19.75" customHeight="1">
      <c r="A63" s="12"/>
      <c r="B63" t="s" s="901">
        <v>812</v>
      </c>
      <c r="C63" s="902"/>
      <c r="D63" s="902"/>
      <c r="E63" s="903"/>
      <c r="F63" s="16"/>
      <c r="G63" s="17"/>
      <c r="H63" s="17"/>
      <c r="I63" s="17"/>
      <c r="J63" s="904"/>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8"/>
    </row>
    <row r="64" ht="15" customHeight="1">
      <c r="A64" s="12"/>
      <c r="B64" s="905"/>
      <c r="C64" s="906"/>
      <c r="D64" s="907"/>
      <c r="E64" s="908"/>
      <c r="F64" s="16"/>
      <c r="G64" s="17"/>
      <c r="H64" s="17"/>
      <c r="I64" s="17"/>
      <c r="J64" s="904"/>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8"/>
    </row>
    <row r="65" ht="15" customHeight="1">
      <c r="A65" s="12"/>
      <c r="B65" t="s" s="909">
        <v>703</v>
      </c>
      <c r="C65" s="906"/>
      <c r="D65" t="s" s="910">
        <v>819</v>
      </c>
      <c r="E65" s="911"/>
      <c r="F65" s="16"/>
      <c r="G65" s="17"/>
      <c r="H65" s="17"/>
      <c r="I65" s="17"/>
      <c r="J65" s="904"/>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8"/>
    </row>
    <row r="66" ht="9" customHeight="1">
      <c r="A66" s="12"/>
      <c r="B66" s="905"/>
      <c r="C66" s="906"/>
      <c r="D66" s="912"/>
      <c r="E66" s="911"/>
      <c r="F66" s="16"/>
      <c r="G66" s="17"/>
      <c r="H66" s="17"/>
      <c r="I66" s="17"/>
      <c r="J66" s="904"/>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8"/>
    </row>
    <row r="67" ht="27" customHeight="1">
      <c r="A67" s="12"/>
      <c r="B67" t="s" s="913">
        <v>814</v>
      </c>
      <c r="C67" s="906"/>
      <c r="D67" s="914" cm="1">
        <f t="array" ref="D67">XIRR(H60:AS60,H3:AS3,0)</f>
        <v>1.19219823452587</v>
      </c>
      <c r="E67" s="911"/>
      <c r="F67" s="16"/>
      <c r="G67" s="17"/>
      <c r="H67" s="17"/>
      <c r="I67" s="17"/>
      <c r="J67" s="904"/>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8"/>
    </row>
    <row r="68" ht="9" customHeight="1">
      <c r="A68" s="12"/>
      <c r="B68" s="915"/>
      <c r="C68" s="906"/>
      <c r="D68" s="907"/>
      <c r="E68" s="908"/>
      <c r="F68" s="16"/>
      <c r="G68" s="17"/>
      <c r="H68" s="17"/>
      <c r="I68" s="17"/>
      <c r="J68" s="904"/>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8"/>
    </row>
    <row r="69" ht="28.25" customHeight="1">
      <c r="A69" s="12"/>
      <c r="B69" t="s" s="913">
        <v>815</v>
      </c>
      <c r="C69" s="906"/>
      <c r="D69" s="916" cm="1">
        <f t="array" ref="D69">XNPV(30%,H60:AS60,H3:AS3)</f>
        <v>528234.979615976</v>
      </c>
      <c r="E69" s="908"/>
      <c r="F69" s="16"/>
      <c r="G69" s="17"/>
      <c r="H69" s="17"/>
      <c r="I69" s="17"/>
      <c r="J69" s="904"/>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8"/>
    </row>
    <row r="70" ht="15" customHeight="1">
      <c r="A70" s="12"/>
      <c r="B70" t="s" s="917">
        <v>816</v>
      </c>
      <c r="C70" s="906"/>
      <c r="D70" s="907"/>
      <c r="E70" s="908"/>
      <c r="F70" s="16"/>
      <c r="G70" s="17"/>
      <c r="H70" s="17"/>
      <c r="I70" s="17"/>
      <c r="J70" s="904"/>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8"/>
    </row>
    <row r="71" ht="15" customHeight="1">
      <c r="A71" s="570"/>
      <c r="B71" s="918"/>
      <c r="C71" s="919"/>
      <c r="D71" s="920"/>
      <c r="E71" s="921"/>
      <c r="F71" s="860"/>
      <c r="G71" s="193"/>
      <c r="H71" s="193"/>
      <c r="I71" s="193"/>
      <c r="J71" s="922"/>
      <c r="K71" s="193"/>
      <c r="L71" s="193"/>
      <c r="M71" s="193"/>
      <c r="N71" s="193"/>
      <c r="O71" s="193"/>
      <c r="P71" s="193"/>
      <c r="Q71" s="193"/>
      <c r="R71" s="193"/>
      <c r="S71" s="193"/>
      <c r="T71" s="193"/>
      <c r="U71" s="193"/>
      <c r="V71" s="193"/>
      <c r="W71" s="193"/>
      <c r="X71" s="193"/>
      <c r="Y71" s="193"/>
      <c r="Z71" s="193"/>
      <c r="AA71" s="193"/>
      <c r="AB71" s="193"/>
      <c r="AC71" s="193"/>
      <c r="AD71" s="193"/>
      <c r="AE71" s="193"/>
      <c r="AF71" s="193"/>
      <c r="AG71" s="193"/>
      <c r="AH71" s="193"/>
      <c r="AI71" s="193"/>
      <c r="AJ71" s="193"/>
      <c r="AK71" s="193"/>
      <c r="AL71" s="193"/>
      <c r="AM71" s="193"/>
      <c r="AN71" s="193"/>
      <c r="AO71" s="193"/>
      <c r="AP71" s="193"/>
      <c r="AQ71" s="193"/>
      <c r="AR71" s="193"/>
      <c r="AS71" s="193"/>
      <c r="AT71" s="195"/>
    </row>
  </sheetData>
  <mergeCells count="2">
    <mergeCell ref="F6:H9"/>
    <mergeCell ref="B63:E6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E68"/>
  <sheetViews>
    <sheetView workbookViewId="0" showGridLines="0" defaultGridColor="1"/>
  </sheetViews>
  <sheetFormatPr defaultColWidth="8.83333" defaultRowHeight="14.5" customHeight="1" outlineLevelRow="0" outlineLevelCol="0"/>
  <cols>
    <col min="1" max="1" width="4.17188" style="924" customWidth="1"/>
    <col min="2" max="2" width="41.8516" style="924" customWidth="1"/>
    <col min="3" max="4" width="16.5" style="924" customWidth="1"/>
    <col min="5" max="5" width="8.85156" style="924" customWidth="1"/>
    <col min="6" max="16384" width="8.85156" style="924" customWidth="1"/>
  </cols>
  <sheetData>
    <row r="1" ht="15" customHeight="1">
      <c r="A1" s="7"/>
      <c r="B1" s="925"/>
      <c r="C1" s="925"/>
      <c r="D1" s="925"/>
      <c r="E1" s="11"/>
    </row>
    <row r="2" ht="18" customHeight="1">
      <c r="A2" s="362"/>
      <c r="B2" t="s" s="926">
        <v>821</v>
      </c>
      <c r="C2" t="s" s="927">
        <v>822</v>
      </c>
      <c r="D2" t="s" s="928">
        <v>823</v>
      </c>
      <c r="E2" s="929"/>
    </row>
    <row r="3" ht="15" customHeight="1">
      <c r="A3" s="362"/>
      <c r="B3" t="s" s="930">
        <v>824</v>
      </c>
      <c r="C3" t="s" s="931">
        <v>825</v>
      </c>
      <c r="D3" t="s" s="932">
        <v>825</v>
      </c>
      <c r="E3" s="929"/>
    </row>
    <row r="4" ht="15" customHeight="1">
      <c r="A4" s="362"/>
      <c r="B4" t="s" s="933">
        <v>826</v>
      </c>
      <c r="C4" s="934">
        <v>850000</v>
      </c>
      <c r="D4" s="935" cm="1">
        <f t="array" ref="D4">C4/16000</f>
        <v>53.125</v>
      </c>
      <c r="E4" s="929"/>
    </row>
    <row r="5" ht="15" customHeight="1">
      <c r="A5" s="362"/>
      <c r="B5" t="s" s="936">
        <v>827</v>
      </c>
      <c r="C5" s="937" cm="1">
        <f t="array" ref="C5">C4*3%</f>
        <v>25500</v>
      </c>
      <c r="D5" s="938" cm="1">
        <f t="array" ref="D5">C5/16000</f>
        <v>1.59375</v>
      </c>
      <c r="E5" s="929"/>
    </row>
    <row r="6" ht="15" customHeight="1">
      <c r="A6" s="362"/>
      <c r="B6" t="s" s="936">
        <v>828</v>
      </c>
      <c r="C6" s="937">
        <v>100000</v>
      </c>
      <c r="D6" s="938" cm="1">
        <f t="array" ref="D6">C6/16000</f>
        <v>6.25</v>
      </c>
      <c r="E6" s="929"/>
    </row>
    <row r="7" ht="15" customHeight="1">
      <c r="A7" s="362"/>
      <c r="B7" t="s" s="936">
        <v>829</v>
      </c>
      <c r="C7" s="937">
        <v>1000000</v>
      </c>
      <c r="D7" s="938" cm="1">
        <f t="array" ref="D7">C7/16000</f>
        <v>62.5</v>
      </c>
      <c r="E7" s="929"/>
    </row>
    <row r="8" ht="15" customHeight="1">
      <c r="A8" s="362"/>
      <c r="B8" t="s" s="936">
        <v>830</v>
      </c>
      <c r="C8" s="937" cm="1">
        <f t="array" ref="C8">C7*3%</f>
        <v>30000</v>
      </c>
      <c r="D8" s="938" cm="1">
        <f t="array" ref="D8">C8/16000</f>
        <v>1.875</v>
      </c>
      <c r="E8" s="929"/>
    </row>
    <row r="9" ht="15" customHeight="1">
      <c r="A9" s="362"/>
      <c r="B9" t="s" s="936">
        <v>625</v>
      </c>
      <c r="C9" s="937">
        <v>350000</v>
      </c>
      <c r="D9" s="938" cm="1">
        <f t="array" ref="D9">C9/16000</f>
        <v>21.875</v>
      </c>
      <c r="E9" s="929"/>
    </row>
    <row r="10" ht="15" customHeight="1">
      <c r="A10" s="362"/>
      <c r="B10" t="s" s="936">
        <v>831</v>
      </c>
      <c r="C10" s="937">
        <v>950000</v>
      </c>
      <c r="D10" s="938" cm="1">
        <f t="array" ref="D10">C10/16000</f>
        <v>59.375</v>
      </c>
      <c r="E10" s="929"/>
    </row>
    <row r="11" ht="15" customHeight="1">
      <c r="A11" s="362"/>
      <c r="B11" t="s" s="936">
        <v>830</v>
      </c>
      <c r="C11" s="937" cm="1">
        <f t="array" ref="C11">C10*3%</f>
        <v>28500</v>
      </c>
      <c r="D11" s="938" cm="1">
        <f t="array" ref="D11">C11/16000</f>
        <v>1.78125</v>
      </c>
      <c r="E11" s="929"/>
    </row>
    <row r="12" ht="15" customHeight="1">
      <c r="A12" s="362"/>
      <c r="B12" t="s" s="936">
        <v>644</v>
      </c>
      <c r="C12" s="937">
        <v>100000</v>
      </c>
      <c r="D12" s="938" cm="1">
        <f t="array" ref="D12">C12/16000</f>
        <v>6.25</v>
      </c>
      <c r="E12" s="929"/>
    </row>
    <row r="13" ht="15" customHeight="1">
      <c r="A13" s="362"/>
      <c r="B13" t="s" s="936">
        <v>832</v>
      </c>
      <c r="C13" s="937">
        <v>2000000</v>
      </c>
      <c r="D13" s="938" cm="1">
        <f t="array" ref="D13">C13/16000</f>
        <v>125</v>
      </c>
      <c r="E13" s="929"/>
    </row>
    <row r="14" ht="15" customHeight="1">
      <c r="A14" s="362"/>
      <c r="B14" t="s" s="936">
        <v>833</v>
      </c>
      <c r="C14" s="937" cm="1">
        <f t="array" ref="C14">15000*4</f>
        <v>60000</v>
      </c>
      <c r="D14" s="938" cm="1">
        <f t="array" ref="D14">C14/16000</f>
        <v>3.75</v>
      </c>
      <c r="E14" s="929"/>
    </row>
    <row r="15" ht="14.4" customHeight="1">
      <c r="A15" s="362"/>
      <c r="B15" t="s" s="936">
        <v>834</v>
      </c>
      <c r="C15" s="937" cm="1">
        <f t="array" ref="C15">110000+60000</f>
        <v>170000</v>
      </c>
      <c r="D15" s="938" cm="1">
        <f t="array" ref="D15">C15/16000</f>
        <v>10.625</v>
      </c>
      <c r="E15" s="929"/>
    </row>
    <row r="16" ht="15" customHeight="1">
      <c r="A16" s="362"/>
      <c r="B16" t="s" s="936">
        <v>835</v>
      </c>
      <c r="C16" s="937" cm="1">
        <f t="array" ref="C16">275000+60000</f>
        <v>335000</v>
      </c>
      <c r="D16" s="938" cm="1">
        <f t="array" ref="D16">C16/16000</f>
        <v>20.9375</v>
      </c>
      <c r="E16" s="929"/>
    </row>
    <row r="17" ht="15" customHeight="1">
      <c r="A17" s="362"/>
      <c r="B17" t="s" s="936">
        <v>836</v>
      </c>
      <c r="C17" s="937">
        <v>350000</v>
      </c>
      <c r="D17" s="938" cm="1">
        <f t="array" ref="D17">C17/16000</f>
        <v>21.875</v>
      </c>
      <c r="E17" s="929"/>
    </row>
    <row r="18" ht="15" customHeight="1">
      <c r="A18" s="362"/>
      <c r="B18" t="s" s="936">
        <v>837</v>
      </c>
      <c r="C18" s="937" cm="1">
        <f t="array" ref="C18">10000+25000</f>
        <v>35000</v>
      </c>
      <c r="D18" s="938" cm="1">
        <f t="array" ref="D18">C18/16000</f>
        <v>2.1875</v>
      </c>
      <c r="E18" s="929"/>
    </row>
    <row r="19" ht="15" customHeight="1">
      <c r="A19" s="362"/>
      <c r="B19" t="s" s="936">
        <v>838</v>
      </c>
      <c r="C19" s="937">
        <v>75000</v>
      </c>
      <c r="D19" s="938" cm="1">
        <f t="array" ref="D19">C19/16000</f>
        <v>4.6875</v>
      </c>
      <c r="E19" s="929"/>
    </row>
    <row r="20" ht="15" customHeight="1">
      <c r="A20" s="362"/>
      <c r="B20" t="s" s="936">
        <v>839</v>
      </c>
      <c r="C20" s="937" cm="1">
        <f t="array" ref="C20">2500000/30</f>
        <v>83333.3333333333</v>
      </c>
      <c r="D20" s="938" cm="1">
        <f t="array" ref="D20">C20/16000</f>
        <v>5.20833333333333</v>
      </c>
      <c r="E20" s="929"/>
    </row>
    <row r="21" ht="15" customHeight="1">
      <c r="A21" s="362"/>
      <c r="B21" t="s" s="936">
        <v>840</v>
      </c>
      <c r="C21" s="937" cm="1">
        <f t="array" ref="C21">450000/30</f>
        <v>15000</v>
      </c>
      <c r="D21" s="938" cm="1">
        <f t="array" ref="D21">C21/16000</f>
        <v>0.9375</v>
      </c>
      <c r="E21" s="929"/>
    </row>
    <row r="22" ht="15" customHeight="1">
      <c r="A22" s="362"/>
      <c r="B22" t="s" s="936">
        <v>841</v>
      </c>
      <c r="C22" s="937">
        <v>200000</v>
      </c>
      <c r="D22" s="938" cm="1">
        <f t="array" ref="D22">C22/16000</f>
        <v>12.5</v>
      </c>
      <c r="E22" s="929"/>
    </row>
    <row r="23" ht="15" customHeight="1">
      <c r="A23" s="362"/>
      <c r="B23" t="s" s="936">
        <v>527</v>
      </c>
      <c r="C23" s="937">
        <v>140000</v>
      </c>
      <c r="D23" s="938" cm="1">
        <f t="array" ref="D23">C23/16000</f>
        <v>8.75</v>
      </c>
      <c r="E23" s="929"/>
    </row>
    <row r="24" ht="15" customHeight="1">
      <c r="A24" s="362"/>
      <c r="B24" t="s" s="936">
        <v>842</v>
      </c>
      <c r="C24" s="937">
        <v>20000</v>
      </c>
      <c r="D24" s="938" cm="1">
        <f t="array" ref="D24">C24/16000</f>
        <v>1.25</v>
      </c>
      <c r="E24" s="929"/>
    </row>
    <row r="25" ht="15" customHeight="1">
      <c r="A25" s="362"/>
      <c r="B25" t="s" s="936">
        <v>843</v>
      </c>
      <c r="C25" s="937">
        <v>90000</v>
      </c>
      <c r="D25" s="938" cm="1">
        <f t="array" ref="D25">C25/16000</f>
        <v>5.625</v>
      </c>
      <c r="E25" s="929"/>
    </row>
    <row r="26" ht="15" customHeight="1">
      <c r="A26" s="362"/>
      <c r="B26" t="s" s="936">
        <v>844</v>
      </c>
      <c r="C26" s="937">
        <v>20000</v>
      </c>
      <c r="D26" s="938" cm="1">
        <f t="array" ref="D26">C26/16000</f>
        <v>1.25</v>
      </c>
      <c r="E26" s="929"/>
    </row>
    <row r="27" ht="15" customHeight="1">
      <c r="A27" s="362"/>
      <c r="B27" t="s" s="936">
        <v>845</v>
      </c>
      <c r="C27" s="939">
        <v>0.02</v>
      </c>
      <c r="D27" s="940"/>
      <c r="E27" s="929"/>
    </row>
    <row r="28" ht="15" customHeight="1">
      <c r="A28" s="362"/>
      <c r="B28" t="s" s="936">
        <v>846</v>
      </c>
      <c r="C28" s="937">
        <v>1200000</v>
      </c>
      <c r="D28" s="938" cm="1">
        <f t="array" ref="D28">C28/16000</f>
        <v>75</v>
      </c>
      <c r="E28" s="929"/>
    </row>
    <row r="29" ht="15" customHeight="1">
      <c r="A29" s="362"/>
      <c r="B29" t="s" s="936">
        <v>847</v>
      </c>
      <c r="C29" s="937">
        <v>1500000</v>
      </c>
      <c r="D29" s="938" cm="1">
        <f t="array" ref="D29">C29/16000</f>
        <v>93.75</v>
      </c>
      <c r="E29" s="929"/>
    </row>
    <row r="30" ht="15" customHeight="1">
      <c r="A30" s="362"/>
      <c r="B30" t="s" s="936">
        <v>848</v>
      </c>
      <c r="C30" s="937" cm="1">
        <f t="array" ref="C30">200000+6000000/25</f>
        <v>440000</v>
      </c>
      <c r="D30" s="938" cm="1">
        <f t="array" ref="D30">C30/16000</f>
        <v>27.5</v>
      </c>
      <c r="E30" s="929"/>
    </row>
    <row r="31" ht="15" customHeight="1">
      <c r="A31" s="362"/>
      <c r="B31" t="s" s="936">
        <v>849</v>
      </c>
      <c r="C31" s="937" cm="1">
        <f t="array" ref="C31">290000*3</f>
        <v>870000</v>
      </c>
      <c r="D31" s="938" cm="1">
        <f t="array" ref="D31">C31/16000</f>
        <v>54.375</v>
      </c>
      <c r="E31" s="929"/>
    </row>
    <row r="32" ht="15" customHeight="1">
      <c r="A32" s="362"/>
      <c r="B32" t="s" s="936">
        <v>850</v>
      </c>
      <c r="C32" s="937">
        <v>1400000</v>
      </c>
      <c r="D32" s="938" cm="1">
        <f t="array" ref="D32">C32/16000</f>
        <v>87.5</v>
      </c>
      <c r="E32" s="929"/>
    </row>
    <row r="33" ht="15" customHeight="1">
      <c r="A33" s="362"/>
      <c r="B33" t="s" s="936">
        <v>851</v>
      </c>
      <c r="C33" s="937">
        <v>800000</v>
      </c>
      <c r="D33" s="938" cm="1">
        <f t="array" ref="D33">C33/16000</f>
        <v>50</v>
      </c>
      <c r="E33" s="929"/>
    </row>
    <row r="34" ht="15" customHeight="1">
      <c r="A34" s="362"/>
      <c r="B34" t="s" s="936">
        <v>852</v>
      </c>
      <c r="C34" s="937" cm="1">
        <f t="array" ref="C34">200000+350000</f>
        <v>550000</v>
      </c>
      <c r="D34" s="938" cm="1">
        <f t="array" ref="D34">C34/16000</f>
        <v>34.375</v>
      </c>
      <c r="E34" s="929"/>
    </row>
    <row r="35" ht="15" customHeight="1">
      <c r="A35" s="362"/>
      <c r="B35" t="s" s="941">
        <v>853</v>
      </c>
      <c r="C35" s="939"/>
      <c r="D35" s="940"/>
      <c r="E35" s="929"/>
    </row>
    <row r="36" ht="15" customHeight="1">
      <c r="A36" s="362"/>
      <c r="B36" t="s" s="936">
        <v>854</v>
      </c>
      <c r="C36" s="937">
        <v>13300</v>
      </c>
      <c r="D36" s="938" cm="1">
        <f t="array" ref="D36">C36/16000</f>
        <v>0.83125</v>
      </c>
      <c r="E36" s="929"/>
    </row>
    <row r="37" ht="15" customHeight="1">
      <c r="A37" s="362"/>
      <c r="B37" t="s" s="936">
        <v>855</v>
      </c>
      <c r="C37" s="937" cm="1">
        <f t="array" ref="C37">750000+300000+30000</f>
        <v>1080000</v>
      </c>
      <c r="D37" s="938" cm="1">
        <f t="array" ref="D37">C37/16000</f>
        <v>67.5</v>
      </c>
      <c r="E37" s="929"/>
    </row>
    <row r="38" ht="15" customHeight="1">
      <c r="A38" s="362"/>
      <c r="B38" t="s" s="936">
        <v>856</v>
      </c>
      <c r="C38" s="937">
        <v>120000</v>
      </c>
      <c r="D38" s="938" cm="1">
        <f t="array" ref="D38">C38/16000</f>
        <v>7.5</v>
      </c>
      <c r="E38" s="929"/>
    </row>
    <row r="39" ht="15" customHeight="1">
      <c r="A39" s="362"/>
      <c r="B39" t="s" s="942">
        <v>857</v>
      </c>
      <c r="C39" s="943" cm="1">
        <f t="array" ref="C39">C37*3%</f>
        <v>32400</v>
      </c>
      <c r="D39" s="944" cm="1">
        <f t="array" ref="D39">C39/16000</f>
        <v>2.025</v>
      </c>
      <c r="E39" s="929"/>
    </row>
    <row r="40" ht="15" customHeight="1">
      <c r="A40" s="32"/>
      <c r="B40" s="945"/>
      <c r="C40" s="945"/>
      <c r="D40" s="945"/>
      <c r="E40" s="18"/>
    </row>
    <row r="41" ht="15" customHeight="1">
      <c r="A41" s="362"/>
      <c r="B41" t="s" s="926">
        <v>858</v>
      </c>
      <c r="C41" t="s" s="927">
        <v>822</v>
      </c>
      <c r="D41" t="s" s="928">
        <v>823</v>
      </c>
      <c r="E41" s="929"/>
    </row>
    <row r="42" ht="15" customHeight="1">
      <c r="A42" s="362"/>
      <c r="B42" t="s" s="930">
        <v>824</v>
      </c>
      <c r="C42" t="s" s="931">
        <v>825</v>
      </c>
      <c r="D42" t="s" s="932">
        <v>825</v>
      </c>
      <c r="E42" s="929"/>
    </row>
    <row r="43" ht="15" customHeight="1">
      <c r="A43" s="362"/>
      <c r="B43" t="s" s="933">
        <v>521</v>
      </c>
      <c r="C43" s="934">
        <v>6000</v>
      </c>
      <c r="D43" s="935" cm="1">
        <f t="array" ref="D43">C43/16000</f>
        <v>0.375</v>
      </c>
      <c r="E43" s="929"/>
    </row>
    <row r="44" ht="15" customHeight="1">
      <c r="A44" s="362"/>
      <c r="B44" t="s" s="936">
        <v>859</v>
      </c>
      <c r="C44" s="937" cm="1">
        <f t="array" ref="C44">110000</f>
        <v>110000</v>
      </c>
      <c r="D44" s="938" cm="1">
        <f t="array" ref="D44">C44/16000</f>
        <v>6.875</v>
      </c>
      <c r="E44" s="929"/>
    </row>
    <row r="45" ht="15" customHeight="1">
      <c r="A45" s="362"/>
      <c r="B45" t="s" s="936">
        <v>860</v>
      </c>
      <c r="C45" s="937" cm="1">
        <f t="array" ref="C45">110000+40000</f>
        <v>150000</v>
      </c>
      <c r="D45" s="938" cm="1">
        <f t="array" ref="D45">C45/16000</f>
        <v>9.375</v>
      </c>
      <c r="E45" s="929"/>
    </row>
    <row r="46" ht="15" customHeight="1">
      <c r="A46" s="362"/>
      <c r="B46" t="s" s="936">
        <v>861</v>
      </c>
      <c r="C46" s="937" cm="1">
        <f t="array" ref="C46">160000+20000</f>
        <v>180000</v>
      </c>
      <c r="D46" s="938" cm="1">
        <f t="array" ref="D46">C46/16000</f>
        <v>11.25</v>
      </c>
      <c r="E46" s="929"/>
    </row>
    <row r="47" ht="15" customHeight="1">
      <c r="A47" s="362"/>
      <c r="B47" t="s" s="936">
        <v>862</v>
      </c>
      <c r="C47" s="937" cm="1">
        <f t="array" ref="C47">160000+20000</f>
        <v>180000</v>
      </c>
      <c r="D47" s="938" cm="1">
        <f t="array" ref="D47">C47/16000</f>
        <v>11.25</v>
      </c>
      <c r="E47" s="929"/>
    </row>
    <row r="48" ht="15" customHeight="1">
      <c r="A48" s="362"/>
      <c r="B48" t="s" s="936">
        <v>863</v>
      </c>
      <c r="C48" s="937" cm="1">
        <f t="array" ref="C48">150000+20000</f>
        <v>170000</v>
      </c>
      <c r="D48" s="938" cm="1">
        <f t="array" ref="D48">C48/16000</f>
        <v>10.625</v>
      </c>
      <c r="E48" s="929"/>
    </row>
    <row r="49" ht="15" customHeight="1">
      <c r="A49" s="362"/>
      <c r="B49" t="s" s="936">
        <v>864</v>
      </c>
      <c r="C49" s="937" cm="1">
        <f t="array" ref="C49">180000+20000</f>
        <v>200000</v>
      </c>
      <c r="D49" s="938" cm="1">
        <f t="array" ref="D49">C49/16000</f>
        <v>12.5</v>
      </c>
      <c r="E49" s="929"/>
    </row>
    <row r="50" ht="15" customHeight="1">
      <c r="A50" s="362"/>
      <c r="B50" t="s" s="936">
        <v>865</v>
      </c>
      <c r="C50" s="937" cm="1">
        <f t="array" ref="C50">10000+25000</f>
        <v>35000</v>
      </c>
      <c r="D50" s="938" cm="1">
        <f t="array" ref="D50">C50/16000</f>
        <v>2.1875</v>
      </c>
      <c r="E50" s="929"/>
    </row>
    <row r="51" ht="15" customHeight="1">
      <c r="A51" s="362"/>
      <c r="B51" t="s" s="936">
        <v>866</v>
      </c>
      <c r="C51" s="937">
        <v>150000</v>
      </c>
      <c r="D51" s="938" cm="1">
        <f t="array" ref="D51">C51/16000</f>
        <v>9.375</v>
      </c>
      <c r="E51" s="929"/>
    </row>
    <row r="52" ht="15" customHeight="1">
      <c r="A52" s="362"/>
      <c r="B52" t="s" s="936">
        <v>867</v>
      </c>
      <c r="C52" s="937">
        <v>350000</v>
      </c>
      <c r="D52" s="938" cm="1">
        <f t="array" ref="D52">C52/16000</f>
        <v>21.875</v>
      </c>
      <c r="E52" s="929"/>
    </row>
    <row r="53" ht="15" customHeight="1">
      <c r="A53" s="362"/>
      <c r="B53" t="s" s="936">
        <v>868</v>
      </c>
      <c r="C53" s="937">
        <v>2800000</v>
      </c>
      <c r="D53" s="938" cm="1">
        <f t="array" ref="D53">C53/16000</f>
        <v>175</v>
      </c>
      <c r="E53" s="929"/>
    </row>
    <row r="54" ht="15" customHeight="1">
      <c r="A54" s="362"/>
      <c r="B54" t="s" s="936">
        <v>632</v>
      </c>
      <c r="C54" s="937" cm="1">
        <f t="array" ref="C54">150000+250000</f>
        <v>400000</v>
      </c>
      <c r="D54" s="938" cm="1">
        <f t="array" ref="D54">C54/16000</f>
        <v>25</v>
      </c>
      <c r="E54" s="929"/>
    </row>
    <row r="55" ht="15" customHeight="1">
      <c r="A55" s="362"/>
      <c r="B55" t="s" s="936">
        <v>869</v>
      </c>
      <c r="C55" s="937" cm="1">
        <f t="array" ref="C55">(103776260+30000000)/6/(350*30%)</f>
        <v>212343.26984127</v>
      </c>
      <c r="D55" s="938" cm="1">
        <f t="array" ref="D55">C55/16000</f>
        <v>13.2714543650794</v>
      </c>
      <c r="E55" s="929"/>
    </row>
    <row r="56" ht="15" customHeight="1">
      <c r="A56" s="362"/>
      <c r="B56" t="s" s="936">
        <v>870</v>
      </c>
      <c r="C56" s="937" cm="1">
        <f t="array" ref="C56">(25000000)/6/(350*20%)</f>
        <v>59523.8095238095</v>
      </c>
      <c r="D56" s="938" cm="1">
        <f t="array" ref="D56">C56/16000</f>
        <v>3.72023809523809</v>
      </c>
      <c r="E56" s="929"/>
    </row>
    <row r="57" ht="15" customHeight="1">
      <c r="A57" s="362"/>
      <c r="B57" t="s" s="936">
        <v>871</v>
      </c>
      <c r="C57" s="937">
        <v>350000</v>
      </c>
      <c r="D57" s="938" cm="1">
        <f t="array" ref="D57">C57/16000</f>
        <v>21.875</v>
      </c>
      <c r="E57" s="929"/>
    </row>
    <row r="58" ht="15" customHeight="1">
      <c r="A58" s="362"/>
      <c r="B58" t="s" s="936">
        <v>872</v>
      </c>
      <c r="C58" s="937">
        <v>250000</v>
      </c>
      <c r="D58" s="938" cm="1">
        <f t="array" ref="D58">C58/16000</f>
        <v>15.625</v>
      </c>
      <c r="E58" s="929"/>
    </row>
    <row r="59" ht="15" customHeight="1">
      <c r="A59" s="362"/>
      <c r="B59" t="s" s="936">
        <v>873</v>
      </c>
      <c r="C59" s="937" cm="1">
        <f t="array" ref="C59">17000+24000</f>
        <v>41000</v>
      </c>
      <c r="D59" s="938" cm="1">
        <f t="array" ref="D59">C59/16000</f>
        <v>2.5625</v>
      </c>
      <c r="E59" s="929"/>
    </row>
    <row r="60" ht="15" customHeight="1">
      <c r="A60" s="362"/>
      <c r="B60" s="946"/>
      <c r="C60" s="943"/>
      <c r="D60" s="947"/>
      <c r="E60" s="929"/>
    </row>
    <row r="61" ht="15" customHeight="1">
      <c r="A61" s="32"/>
      <c r="B61" s="945"/>
      <c r="C61" s="945"/>
      <c r="D61" s="945"/>
      <c r="E61" s="18"/>
    </row>
    <row r="62" ht="15" customHeight="1">
      <c r="A62" s="362"/>
      <c r="B62" t="s" s="926">
        <v>874</v>
      </c>
      <c r="C62" t="s" s="927">
        <v>822</v>
      </c>
      <c r="D62" t="s" s="928">
        <v>823</v>
      </c>
      <c r="E62" s="929"/>
    </row>
    <row r="63" ht="15" customHeight="1">
      <c r="A63" s="362"/>
      <c r="B63" t="s" s="948">
        <v>824</v>
      </c>
      <c r="C63" t="s" s="949">
        <v>825</v>
      </c>
      <c r="D63" t="s" s="950">
        <v>825</v>
      </c>
      <c r="E63" s="929"/>
    </row>
    <row r="64" ht="15" customHeight="1">
      <c r="A64" s="362"/>
      <c r="B64" t="s" s="936">
        <v>875</v>
      </c>
      <c r="C64" s="937">
        <v>200000</v>
      </c>
      <c r="D64" s="938" cm="1">
        <f t="array" ref="D64">C64/16000</f>
        <v>12.5</v>
      </c>
      <c r="E64" s="929"/>
    </row>
    <row r="65" ht="15" customHeight="1">
      <c r="A65" s="362"/>
      <c r="B65" t="s" s="936">
        <v>876</v>
      </c>
      <c r="C65" s="937">
        <v>400000</v>
      </c>
      <c r="D65" s="938" cm="1">
        <f t="array" ref="D65">C65/16000</f>
        <v>25</v>
      </c>
      <c r="E65" s="929"/>
    </row>
    <row r="66" ht="15" customHeight="1">
      <c r="A66" s="362"/>
      <c r="B66" t="s" s="936">
        <v>877</v>
      </c>
      <c r="C66" s="937">
        <v>10000</v>
      </c>
      <c r="D66" s="938" cm="1">
        <f t="array" ref="D66">C66/16000</f>
        <v>0.625</v>
      </c>
      <c r="E66" s="929"/>
    </row>
    <row r="67" ht="15" customHeight="1">
      <c r="A67" s="362"/>
      <c r="B67" t="s" s="936">
        <v>878</v>
      </c>
      <c r="C67" s="937">
        <v>480000</v>
      </c>
      <c r="D67" s="938" cm="1">
        <f t="array" ref="D67">C67/16000</f>
        <v>30</v>
      </c>
      <c r="E67" s="929"/>
    </row>
    <row r="68" ht="15" customHeight="1">
      <c r="A68" s="951"/>
      <c r="B68" t="s" s="942">
        <v>879</v>
      </c>
      <c r="C68" s="943" cm="1">
        <f t="array" ref="C68">C67*2%</f>
        <v>9600</v>
      </c>
      <c r="D68" s="944" cm="1">
        <f t="array" ref="D68">C68/16000</f>
        <v>0.6</v>
      </c>
      <c r="E68" s="95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K121"/>
  <sheetViews>
    <sheetView workbookViewId="0" showGridLines="0" defaultGridColor="1"/>
  </sheetViews>
  <sheetFormatPr defaultColWidth="8.83333" defaultRowHeight="14.5" customHeight="1" outlineLevelRow="0" outlineLevelCol="0"/>
  <cols>
    <col min="1" max="1" width="3.85156" style="953" customWidth="1"/>
    <col min="2" max="2" width="42.8516" style="953" customWidth="1"/>
    <col min="3" max="3" width="14.1719" style="953" customWidth="1"/>
    <col min="4" max="4" width="1.85156" style="953" customWidth="1"/>
    <col min="5" max="5" width="16.5" style="953" customWidth="1"/>
    <col min="6" max="6" width="1.67188" style="953" customWidth="1"/>
    <col min="7" max="7" width="17.1719" style="953" customWidth="1"/>
    <col min="8" max="8" width="1.85156" style="953" customWidth="1"/>
    <col min="9" max="9" width="20.8516" style="953" customWidth="1"/>
    <col min="10" max="10" width="2" style="953" customWidth="1"/>
    <col min="11" max="11" width="14.8516" style="953" customWidth="1"/>
    <col min="12" max="16384" width="8.85156" style="953" customWidth="1"/>
  </cols>
  <sheetData>
    <row r="1" ht="15" customHeight="1">
      <c r="A1" s="7"/>
      <c r="B1" s="8"/>
      <c r="C1" s="8"/>
      <c r="D1" s="8"/>
      <c r="E1" s="8"/>
      <c r="F1" s="8"/>
      <c r="G1" s="8"/>
      <c r="H1" s="8"/>
      <c r="I1" s="8"/>
      <c r="J1" s="8"/>
      <c r="K1" s="11"/>
    </row>
    <row r="2" ht="15.5" customHeight="1">
      <c r="A2" s="12"/>
      <c r="B2" t="s" s="954">
        <v>881</v>
      </c>
      <c r="C2" s="955"/>
      <c r="D2" s="955"/>
      <c r="E2" s="955"/>
      <c r="F2" s="955"/>
      <c r="G2" s="955"/>
      <c r="H2" s="955"/>
      <c r="I2" s="955"/>
      <c r="J2" s="956"/>
      <c r="K2" s="578"/>
    </row>
    <row r="3" ht="30" customHeight="1">
      <c r="A3" s="12"/>
      <c r="B3" t="s" s="957">
        <v>882</v>
      </c>
      <c r="C3" t="s" s="958">
        <v>883</v>
      </c>
      <c r="D3" s="959"/>
      <c r="E3" t="s" s="958">
        <v>884</v>
      </c>
      <c r="F3" s="959"/>
      <c r="G3" t="s" s="958">
        <v>885</v>
      </c>
      <c r="H3" s="959"/>
      <c r="I3" t="s" s="958">
        <v>886</v>
      </c>
      <c r="J3" s="960"/>
      <c r="K3" s="578"/>
    </row>
    <row r="4" ht="16" customHeight="1">
      <c r="A4" s="12"/>
      <c r="B4" t="s" s="961">
        <v>242</v>
      </c>
      <c r="C4" s="962">
        <v>600000</v>
      </c>
      <c r="D4" s="963"/>
      <c r="E4" s="964" cm="1">
        <f t="array" ref="E4">ROUNDDOWN($E$11*'Actual Sales 2025'!E50,0)</f>
        <v>7668</v>
      </c>
      <c r="F4" s="963"/>
      <c r="G4" s="962" cm="1">
        <f t="array" ref="G4">C4*E4</f>
        <v>4600800000</v>
      </c>
      <c r="H4" s="963"/>
      <c r="I4" s="963"/>
      <c r="J4" s="965"/>
      <c r="K4" s="578"/>
    </row>
    <row r="5" ht="16" customHeight="1">
      <c r="A5" s="12"/>
      <c r="B5" t="s" s="961">
        <v>243</v>
      </c>
      <c r="C5" s="962">
        <v>300000</v>
      </c>
      <c r="D5" s="963"/>
      <c r="E5" s="964" cm="1">
        <f t="array" ref="E5">ROUNDDOWN($E$11*'Actual Sales 2025'!E51,0)</f>
        <v>202</v>
      </c>
      <c r="F5" s="963"/>
      <c r="G5" s="962" cm="1">
        <f t="array" ref="G5">C5*E5</f>
        <v>60600000</v>
      </c>
      <c r="H5" s="963"/>
      <c r="I5" s="963"/>
      <c r="J5" s="965"/>
      <c r="K5" s="578"/>
    </row>
    <row r="6" ht="16" customHeight="1">
      <c r="A6" s="12"/>
      <c r="B6" t="s" s="961">
        <v>244</v>
      </c>
      <c r="C6" s="962">
        <v>0</v>
      </c>
      <c r="D6" s="963"/>
      <c r="E6" s="964" cm="1">
        <f t="array" ref="E6">ROUNDDOWN($E$11*'Actual Sales 2025'!E52,0)</f>
        <v>4477</v>
      </c>
      <c r="F6" s="963"/>
      <c r="G6" s="962" cm="1">
        <f t="array" ref="G6">C6*E6</f>
        <v>0</v>
      </c>
      <c r="H6" s="963"/>
      <c r="I6" s="963"/>
      <c r="J6" s="965"/>
      <c r="K6" s="578"/>
    </row>
    <row r="7" ht="16" customHeight="1">
      <c r="A7" s="12"/>
      <c r="B7" t="s" s="961">
        <v>245</v>
      </c>
      <c r="C7" s="962">
        <v>300000</v>
      </c>
      <c r="D7" s="963"/>
      <c r="E7" s="964" cm="1">
        <f t="array" ref="E7">ROUNDDOWN($E$11*'Actual Sales 2025'!E53,0)</f>
        <v>458</v>
      </c>
      <c r="F7" s="963"/>
      <c r="G7" s="962" cm="1">
        <f t="array" ref="G7">C7*E7</f>
        <v>137400000</v>
      </c>
      <c r="H7" s="963"/>
      <c r="I7" s="963"/>
      <c r="J7" s="965"/>
      <c r="K7" s="578"/>
    </row>
    <row r="8" ht="14.4" customHeight="1">
      <c r="A8" s="12"/>
      <c r="B8" t="s" s="961">
        <v>887</v>
      </c>
      <c r="C8" s="962">
        <v>700000</v>
      </c>
      <c r="D8" s="963"/>
      <c r="E8" s="964" cm="1">
        <f t="array" ref="E8">ROUNDDOWN($E$11*'Actual Sales 2025'!E57,0)</f>
        <v>27</v>
      </c>
      <c r="F8" s="963"/>
      <c r="G8" s="962" cm="1">
        <f t="array" ref="G8">C8*E8</f>
        <v>18900000</v>
      </c>
      <c r="H8" s="963"/>
      <c r="I8" s="963"/>
      <c r="J8" s="965"/>
      <c r="K8" s="578"/>
    </row>
    <row r="9" ht="16" customHeight="1">
      <c r="A9" s="12"/>
      <c r="B9" t="s" s="961">
        <v>888</v>
      </c>
      <c r="C9" s="962">
        <v>350000</v>
      </c>
      <c r="D9" s="963"/>
      <c r="E9" s="964" cm="1">
        <f t="array" ref="E9">ROUNDDOWN($E$11*'Actual Sales 2025'!E58,0)</f>
        <v>27</v>
      </c>
      <c r="F9" s="963"/>
      <c r="G9" s="962" cm="1">
        <f t="array" ref="G9">C9*E9</f>
        <v>9450000</v>
      </c>
      <c r="H9" s="963"/>
      <c r="I9" s="963"/>
      <c r="J9" s="965"/>
      <c r="K9" s="578"/>
    </row>
    <row r="10" ht="16" customHeight="1">
      <c r="A10" s="12"/>
      <c r="B10" t="s" s="961">
        <v>889</v>
      </c>
      <c r="C10" s="962">
        <v>350000</v>
      </c>
      <c r="D10" s="963"/>
      <c r="E10" s="966" cm="1">
        <f t="array" ref="E10">ROUNDDOWN($E$11*'Actual Sales 2025'!E59,0)</f>
        <v>544</v>
      </c>
      <c r="F10" s="963"/>
      <c r="G10" s="967" cm="1">
        <f t="array" ref="G10">C10*E10</f>
        <v>190400000</v>
      </c>
      <c r="H10" s="963"/>
      <c r="I10" s="963"/>
      <c r="J10" s="965"/>
      <c r="K10" s="578"/>
    </row>
    <row r="11" ht="15.5" customHeight="1">
      <c r="A11" s="12"/>
      <c r="B11" t="s" s="968">
        <v>890</v>
      </c>
      <c r="C11" s="969"/>
      <c r="D11" s="963"/>
      <c r="E11" s="970" cm="1">
        <f t="array" ref="E11">'Actual Sales 2025'!F49*('Allocation OH and Target 2026'!M24+'Allocation OH and Target 2026'!K92*7)/35000</f>
        <v>13971.17825</v>
      </c>
      <c r="F11" s="963"/>
      <c r="G11" s="971" cm="1">
        <f t="array" ref="G11">SUM(G4:G10)</f>
        <v>5017550000</v>
      </c>
      <c r="H11" s="963"/>
      <c r="I11" s="963"/>
      <c r="J11" s="965"/>
      <c r="K11" s="578"/>
    </row>
    <row r="12" ht="15" customHeight="1">
      <c r="A12" s="12"/>
      <c r="B12" s="972"/>
      <c r="C12" s="963"/>
      <c r="D12" s="963"/>
      <c r="E12" s="973"/>
      <c r="F12" s="963"/>
      <c r="G12" s="962"/>
      <c r="H12" s="963"/>
      <c r="I12" s="963"/>
      <c r="J12" s="965"/>
      <c r="K12" s="578"/>
    </row>
    <row r="13" ht="15" customHeight="1">
      <c r="A13" s="12"/>
      <c r="B13" t="s" s="974">
        <v>891</v>
      </c>
      <c r="C13" t="s" s="975">
        <v>892</v>
      </c>
      <c r="D13" s="963"/>
      <c r="E13" s="963"/>
      <c r="F13" s="963"/>
      <c r="G13" s="962"/>
      <c r="H13" s="963"/>
      <c r="I13" s="976"/>
      <c r="J13" s="965"/>
      <c r="K13" s="578"/>
    </row>
    <row r="14" ht="16" customHeight="1">
      <c r="A14" s="12"/>
      <c r="B14" t="s" s="961">
        <v>242</v>
      </c>
      <c r="C14" s="962" cm="1">
        <f t="array" ref="C14">'Direct Costs 2026'!C65</f>
        <v>400000</v>
      </c>
      <c r="D14" s="963"/>
      <c r="E14" s="964" cm="1">
        <f t="array" ref="E14">E4</f>
        <v>7668</v>
      </c>
      <c r="F14" s="963"/>
      <c r="G14" s="962" cm="1">
        <f t="array" ref="G14">-(C14+$C$21)*E14</f>
        <v>-3143880000</v>
      </c>
      <c r="H14" s="963"/>
      <c r="I14" s="963"/>
      <c r="J14" s="965"/>
      <c r="K14" s="578"/>
    </row>
    <row r="15" ht="16" customHeight="1">
      <c r="A15" s="12"/>
      <c r="B15" t="s" s="961">
        <v>243</v>
      </c>
      <c r="C15" s="962" cm="1">
        <f t="array" ref="C15">'Direct Costs 2026'!C64</f>
        <v>200000</v>
      </c>
      <c r="D15" s="963"/>
      <c r="E15" s="964" cm="1">
        <f t="array" ref="E15">E5</f>
        <v>202</v>
      </c>
      <c r="F15" s="963"/>
      <c r="G15" s="962" cm="1">
        <f t="array" ref="G15">-(C15+$C$21)*E15</f>
        <v>-42420000</v>
      </c>
      <c r="H15" s="963"/>
      <c r="I15" s="963"/>
      <c r="J15" s="965"/>
      <c r="K15" s="578"/>
    </row>
    <row r="16" ht="16" customHeight="1">
      <c r="A16" s="12"/>
      <c r="B16" t="s" s="961">
        <v>244</v>
      </c>
      <c r="C16" s="962">
        <v>0</v>
      </c>
      <c r="D16" s="963"/>
      <c r="E16" s="964" cm="1">
        <f t="array" ref="E16">E6</f>
        <v>4477</v>
      </c>
      <c r="F16" s="963"/>
      <c r="G16" s="962">
        <v>0</v>
      </c>
      <c r="H16" s="963"/>
      <c r="I16" s="963"/>
      <c r="J16" s="965"/>
      <c r="K16" s="578"/>
    </row>
    <row r="17" ht="16" customHeight="1">
      <c r="A17" s="12"/>
      <c r="B17" t="s" s="961">
        <v>245</v>
      </c>
      <c r="C17" s="962" cm="1">
        <f t="array" ref="C17">'Direct Costs 2026'!C64</f>
        <v>200000</v>
      </c>
      <c r="D17" s="963"/>
      <c r="E17" s="964" cm="1">
        <f t="array" ref="E17">E7</f>
        <v>458</v>
      </c>
      <c r="F17" s="963"/>
      <c r="G17" s="962" cm="1">
        <f t="array" ref="G17">-(C17+$C$21)*E17</f>
        <v>-96180000</v>
      </c>
      <c r="H17" s="963"/>
      <c r="I17" s="963"/>
      <c r="J17" s="965"/>
      <c r="K17" s="578"/>
    </row>
    <row r="18" ht="16" customHeight="1">
      <c r="A18" s="12"/>
      <c r="B18" t="s" s="961">
        <v>246</v>
      </c>
      <c r="C18" s="962">
        <v>600000</v>
      </c>
      <c r="D18" s="963"/>
      <c r="E18" s="964" cm="1">
        <f t="array" ref="E18">E8</f>
        <v>27</v>
      </c>
      <c r="F18" s="963"/>
      <c r="G18" s="962" cm="1">
        <f t="array" ref="G18">-(C18+$C$21)*E18</f>
        <v>-16470000</v>
      </c>
      <c r="H18" s="963"/>
      <c r="I18" s="962"/>
      <c r="J18" s="965"/>
      <c r="K18" s="578"/>
    </row>
    <row r="19" ht="16" customHeight="1">
      <c r="A19" s="12"/>
      <c r="B19" t="s" s="961">
        <v>247</v>
      </c>
      <c r="C19" s="962">
        <v>300000</v>
      </c>
      <c r="D19" s="963"/>
      <c r="E19" s="964" cm="1">
        <f t="array" ref="E19">E9</f>
        <v>27</v>
      </c>
      <c r="F19" s="963"/>
      <c r="G19" s="962" cm="1">
        <f t="array" ref="G19">-(C19+$C$21)*E19</f>
        <v>-8370000</v>
      </c>
      <c r="H19" s="963"/>
      <c r="I19" s="963"/>
      <c r="J19" s="965"/>
      <c r="K19" s="578"/>
    </row>
    <row r="20" ht="16" customHeight="1">
      <c r="A20" s="12"/>
      <c r="B20" t="s" s="961">
        <v>248</v>
      </c>
      <c r="C20" s="962">
        <v>300000</v>
      </c>
      <c r="D20" s="963"/>
      <c r="E20" s="966" cm="1">
        <f t="array" ref="E20">E10</f>
        <v>544</v>
      </c>
      <c r="F20" s="963"/>
      <c r="G20" s="962" cm="1">
        <f t="array" ref="G20">-(C20+$C$21)*E20</f>
        <v>-168640000</v>
      </c>
      <c r="H20" s="963"/>
      <c r="I20" s="963"/>
      <c r="J20" s="965"/>
      <c r="K20" s="578"/>
    </row>
    <row r="21" ht="15" customHeight="1">
      <c r="A21" s="12"/>
      <c r="B21" t="s" s="961">
        <v>301</v>
      </c>
      <c r="C21" s="962" cm="1">
        <f t="array" ref="C21">'Direct Costs 2026'!C66</f>
        <v>10000</v>
      </c>
      <c r="D21" s="963"/>
      <c r="E21" s="977" cm="1">
        <f t="array" ref="E21">E11</f>
        <v>13971.17825</v>
      </c>
      <c r="F21" s="963"/>
      <c r="G21" s="967" cm="1">
        <f t="array" ref="G21">-1300000*4*12</f>
        <v>-62400000</v>
      </c>
      <c r="H21" s="963"/>
      <c r="I21" s="963"/>
      <c r="J21" s="965"/>
      <c r="K21" s="578"/>
    </row>
    <row r="22" ht="15.5" customHeight="1">
      <c r="A22" s="12"/>
      <c r="B22" s="972"/>
      <c r="C22" s="962"/>
      <c r="D22" s="963"/>
      <c r="E22" s="963"/>
      <c r="F22" s="963"/>
      <c r="G22" s="978" cm="1">
        <f t="array" ref="G22">SUM(G14:G21)</f>
        <v>-3538360000</v>
      </c>
      <c r="H22" s="963"/>
      <c r="I22" s="963"/>
      <c r="J22" s="965"/>
      <c r="K22" s="578"/>
    </row>
    <row r="23" ht="15" customHeight="1">
      <c r="A23" s="12"/>
      <c r="B23" s="972"/>
      <c r="C23" s="962"/>
      <c r="D23" s="963"/>
      <c r="E23" s="963"/>
      <c r="F23" s="963"/>
      <c r="G23" s="971"/>
      <c r="H23" s="963"/>
      <c r="I23" s="963"/>
      <c r="J23" s="965"/>
      <c r="K23" s="578"/>
    </row>
    <row r="24" ht="16" customHeight="1">
      <c r="A24" s="12"/>
      <c r="B24" t="s" s="974">
        <v>893</v>
      </c>
      <c r="C24" s="962"/>
      <c r="D24" s="963"/>
      <c r="E24" s="963"/>
      <c r="F24" s="963"/>
      <c r="G24" s="962"/>
      <c r="H24" s="963"/>
      <c r="I24" s="963"/>
      <c r="J24" s="965"/>
      <c r="K24" s="578"/>
    </row>
    <row r="25" ht="16" customHeight="1">
      <c r="A25" s="12"/>
      <c r="B25" t="s" s="961">
        <v>242</v>
      </c>
      <c r="C25" s="979" cm="1">
        <f t="array" ref="C25">(C4-C14-$C$21)/(C14+$C$21)</f>
        <v>0.463414634146341</v>
      </c>
      <c r="D25" s="963"/>
      <c r="E25" s="963"/>
      <c r="F25" s="963"/>
      <c r="G25" s="962" cm="1">
        <f t="array" ref="G25">G4+G14</f>
        <v>1456920000</v>
      </c>
      <c r="H25" s="963"/>
      <c r="I25" s="963"/>
      <c r="J25" s="965"/>
      <c r="K25" s="578"/>
    </row>
    <row r="26" ht="16" customHeight="1">
      <c r="A26" s="12"/>
      <c r="B26" t="s" s="961">
        <v>243</v>
      </c>
      <c r="C26" s="979" cm="1">
        <f t="array" ref="C26">(C5-C15-$C$21)/(C15+$C$21)</f>
        <v>0.428571428571429</v>
      </c>
      <c r="D26" s="963"/>
      <c r="E26" s="963"/>
      <c r="F26" s="963"/>
      <c r="G26" s="962" cm="1">
        <f t="array" ref="G26">G5+G15</f>
        <v>18180000</v>
      </c>
      <c r="H26" s="963"/>
      <c r="I26" s="963"/>
      <c r="J26" s="965"/>
      <c r="K26" s="578"/>
    </row>
    <row r="27" ht="16" customHeight="1">
      <c r="A27" s="12"/>
      <c r="B27" t="s" s="961">
        <v>244</v>
      </c>
      <c r="C27" t="s" s="980">
        <v>14</v>
      </c>
      <c r="D27" s="963"/>
      <c r="E27" s="963"/>
      <c r="F27" s="963"/>
      <c r="G27" s="962" cm="1">
        <f t="array" ref="G27">G6+G16</f>
        <v>0</v>
      </c>
      <c r="H27" s="963"/>
      <c r="I27" s="963"/>
      <c r="J27" s="965"/>
      <c r="K27" s="578"/>
    </row>
    <row r="28" ht="16" customHeight="1">
      <c r="A28" s="12"/>
      <c r="B28" t="s" s="961">
        <v>245</v>
      </c>
      <c r="C28" s="979" cm="1">
        <f t="array" ref="C28">(C7-C17-$C$21)/(C17+$C$21)</f>
        <v>0.428571428571429</v>
      </c>
      <c r="D28" s="963"/>
      <c r="E28" s="963"/>
      <c r="F28" s="963"/>
      <c r="G28" s="962" cm="1">
        <f t="array" ref="G28">G7+G17</f>
        <v>41220000</v>
      </c>
      <c r="H28" s="963"/>
      <c r="I28" s="963"/>
      <c r="J28" s="965"/>
      <c r="K28" s="578"/>
    </row>
    <row r="29" ht="16" customHeight="1">
      <c r="A29" s="12"/>
      <c r="B29" t="s" s="961">
        <v>246</v>
      </c>
      <c r="C29" s="979" cm="1">
        <f t="array" ref="C29">(C8-C18-$C$21)/(C18+$C$21)</f>
        <v>0.147540983606557</v>
      </c>
      <c r="D29" s="963"/>
      <c r="E29" s="963"/>
      <c r="F29" s="963"/>
      <c r="G29" s="962" cm="1">
        <f t="array" ref="G29">G8+G18</f>
        <v>2430000</v>
      </c>
      <c r="H29" s="963"/>
      <c r="I29" s="963"/>
      <c r="J29" s="965"/>
      <c r="K29" s="578"/>
    </row>
    <row r="30" ht="16" customHeight="1">
      <c r="A30" s="12"/>
      <c r="B30" t="s" s="961">
        <v>247</v>
      </c>
      <c r="C30" s="979" cm="1">
        <f t="array" ref="C30">(C9-C19-$C$21)/(C19+$C$21)</f>
        <v>0.129032258064516</v>
      </c>
      <c r="D30" s="963"/>
      <c r="E30" s="963"/>
      <c r="F30" s="963"/>
      <c r="G30" s="962" cm="1">
        <f t="array" ref="G30">G9+G19</f>
        <v>1080000</v>
      </c>
      <c r="H30" s="963"/>
      <c r="I30" s="963"/>
      <c r="J30" s="965"/>
      <c r="K30" s="578"/>
    </row>
    <row r="31" ht="16" customHeight="1">
      <c r="A31" s="12"/>
      <c r="B31" t="s" s="961">
        <v>248</v>
      </c>
      <c r="C31" s="979" cm="1">
        <f t="array" ref="C31">(C10-C20-$C$21)/(C20+$C$21)</f>
        <v>0.129032258064516</v>
      </c>
      <c r="D31" s="963"/>
      <c r="E31" s="963"/>
      <c r="F31" s="963"/>
      <c r="G31" s="967" cm="1">
        <f t="array" ref="G31">G10+G20</f>
        <v>21760000</v>
      </c>
      <c r="H31" s="963"/>
      <c r="I31" s="963"/>
      <c r="J31" s="965"/>
      <c r="K31" s="578"/>
    </row>
    <row r="32" ht="15.5" customHeight="1">
      <c r="A32" s="12"/>
      <c r="B32" s="972"/>
      <c r="C32" s="981"/>
      <c r="D32" s="963"/>
      <c r="E32" t="s" s="982">
        <v>894</v>
      </c>
      <c r="F32" s="963"/>
      <c r="G32" s="971" cm="1">
        <f t="array" ref="G32">SUM(G25:G31)</f>
        <v>1541590000</v>
      </c>
      <c r="H32" s="963"/>
      <c r="I32" s="963"/>
      <c r="J32" s="965"/>
      <c r="K32" s="578"/>
    </row>
    <row r="33" ht="15.5" customHeight="1">
      <c r="A33" s="12"/>
      <c r="B33" s="983"/>
      <c r="C33" s="984"/>
      <c r="D33" s="985"/>
      <c r="E33" s="985"/>
      <c r="F33" s="985"/>
      <c r="G33" s="985"/>
      <c r="H33" s="985"/>
      <c r="I33" s="985"/>
      <c r="J33" s="986"/>
      <c r="K33" s="578"/>
    </row>
    <row r="34" ht="15.5" customHeight="1">
      <c r="A34" s="32"/>
      <c r="B34" s="33"/>
      <c r="C34" s="150"/>
      <c r="D34" s="33"/>
      <c r="E34" s="33"/>
      <c r="F34" s="33"/>
      <c r="G34" s="33"/>
      <c r="H34" s="33"/>
      <c r="I34" s="33"/>
      <c r="J34" s="33"/>
      <c r="K34" s="18"/>
    </row>
    <row r="35" ht="15.5" customHeight="1">
      <c r="A35" s="12"/>
      <c r="B35" t="s" s="987">
        <v>895</v>
      </c>
      <c r="C35" s="988"/>
      <c r="D35" s="988"/>
      <c r="E35" s="988"/>
      <c r="F35" s="988"/>
      <c r="G35" s="988"/>
      <c r="H35" s="988"/>
      <c r="I35" s="988"/>
      <c r="J35" s="989"/>
      <c r="K35" s="578"/>
    </row>
    <row r="36" ht="30" customHeight="1">
      <c r="A36" s="12"/>
      <c r="B36" t="s" s="990">
        <v>896</v>
      </c>
      <c r="C36" t="s" s="991">
        <v>883</v>
      </c>
      <c r="D36" s="992"/>
      <c r="E36" t="s" s="991">
        <v>897</v>
      </c>
      <c r="F36" s="992"/>
      <c r="G36" t="s" s="991">
        <v>898</v>
      </c>
      <c r="H36" s="992"/>
      <c r="I36" t="s" s="991">
        <v>886</v>
      </c>
      <c r="J36" s="993"/>
      <c r="K36" s="578"/>
    </row>
    <row r="37" ht="16" customHeight="1">
      <c r="A37" s="12"/>
      <c r="B37" t="s" s="994">
        <v>253</v>
      </c>
      <c r="C37" s="995">
        <v>500000</v>
      </c>
      <c r="D37" s="996"/>
      <c r="E37" s="997" cm="1">
        <f t="array" ref="E37">'Actual Sales 2025'!F112*120%</f>
        <v>12</v>
      </c>
      <c r="F37" s="996"/>
      <c r="G37" s="995" cm="1">
        <f t="array" ref="G37">C37*E37</f>
        <v>6000000</v>
      </c>
      <c r="H37" s="996"/>
      <c r="I37" s="996"/>
      <c r="J37" s="998"/>
      <c r="K37" s="578"/>
    </row>
    <row r="38" ht="16" customHeight="1">
      <c r="A38" s="12"/>
      <c r="B38" t="s" s="994">
        <v>254</v>
      </c>
      <c r="C38" s="995">
        <v>0</v>
      </c>
      <c r="D38" s="996"/>
      <c r="E38" s="999" cm="1">
        <f t="array" ref="E38">'Actual Sales 2025'!F113*120%</f>
        <v>8.4</v>
      </c>
      <c r="F38" s="996"/>
      <c r="G38" s="995" cm="1">
        <f t="array" ref="G38">C38*E38</f>
        <v>0</v>
      </c>
      <c r="H38" s="996"/>
      <c r="I38" s="996"/>
      <c r="J38" s="998"/>
      <c r="K38" s="578"/>
    </row>
    <row r="39" ht="16" customHeight="1">
      <c r="A39" s="12"/>
      <c r="B39" t="s" s="994">
        <v>255</v>
      </c>
      <c r="C39" s="995">
        <v>0</v>
      </c>
      <c r="D39" s="996"/>
      <c r="E39" s="999" cm="1">
        <f t="array" ref="E39">'Actual Sales 2025'!F114*120%</f>
        <v>13.2</v>
      </c>
      <c r="F39" s="996"/>
      <c r="G39" s="995" cm="1">
        <f t="array" ref="G39">C39*E39</f>
        <v>0</v>
      </c>
      <c r="H39" s="996"/>
      <c r="I39" s="996"/>
      <c r="J39" s="998"/>
      <c r="K39" s="578"/>
    </row>
    <row r="40" ht="16" customHeight="1">
      <c r="A40" s="12"/>
      <c r="B40" t="s" s="994">
        <v>256</v>
      </c>
      <c r="C40" s="995">
        <v>0</v>
      </c>
      <c r="D40" s="996"/>
      <c r="E40" s="999" cm="1">
        <f t="array" ref="E40">'Actual Sales 2025'!F115*120%</f>
        <v>440.4</v>
      </c>
      <c r="F40" s="996"/>
      <c r="G40" s="995" cm="1">
        <f t="array" ref="G40">C40*E40</f>
        <v>0</v>
      </c>
      <c r="H40" s="996"/>
      <c r="I40" s="996"/>
      <c r="J40" s="998"/>
      <c r="K40" s="578"/>
    </row>
    <row r="41" ht="16" customHeight="1">
      <c r="A41" s="12"/>
      <c r="B41" t="s" s="994">
        <v>257</v>
      </c>
      <c r="C41" s="995">
        <v>0</v>
      </c>
      <c r="D41" s="996"/>
      <c r="E41" s="999" cm="1">
        <f t="array" ref="E41">'Actual Sales 2025'!F116*120%</f>
        <v>192</v>
      </c>
      <c r="F41" s="996"/>
      <c r="G41" s="995" cm="1">
        <f t="array" ref="G41">C41*E41</f>
        <v>0</v>
      </c>
      <c r="H41" s="996"/>
      <c r="I41" s="996"/>
      <c r="J41" s="998"/>
      <c r="K41" s="578"/>
    </row>
    <row r="42" ht="16" customHeight="1">
      <c r="A42" s="12"/>
      <c r="B42" t="s" s="994">
        <v>258</v>
      </c>
      <c r="C42" s="995">
        <v>0</v>
      </c>
      <c r="D42" s="996"/>
      <c r="E42" s="999" cm="1">
        <f t="array" ref="E42">'Actual Sales 2025'!F117*120%</f>
        <v>324</v>
      </c>
      <c r="F42" s="996"/>
      <c r="G42" s="995" cm="1">
        <f t="array" ref="G42">C42*E42</f>
        <v>0</v>
      </c>
      <c r="H42" s="996"/>
      <c r="I42" s="996"/>
      <c r="J42" s="998"/>
      <c r="K42" s="578"/>
    </row>
    <row r="43" ht="16" customHeight="1">
      <c r="A43" s="12"/>
      <c r="B43" t="s" s="994">
        <v>259</v>
      </c>
      <c r="C43" s="995">
        <v>1500000</v>
      </c>
      <c r="D43" s="996"/>
      <c r="E43" s="999" cm="1">
        <f t="array" ref="E43">'Actual Sales 2025'!F118*120%</f>
        <v>8.4</v>
      </c>
      <c r="F43" s="996"/>
      <c r="G43" s="995" cm="1">
        <f t="array" ref="G43">C43*E43</f>
        <v>12600000</v>
      </c>
      <c r="H43" s="996"/>
      <c r="I43" s="996"/>
      <c r="J43" s="998"/>
      <c r="K43" s="578"/>
    </row>
    <row r="44" ht="16" customHeight="1">
      <c r="A44" s="12"/>
      <c r="B44" t="s" s="994">
        <v>260</v>
      </c>
      <c r="C44" s="995">
        <v>4000000</v>
      </c>
      <c r="D44" s="996"/>
      <c r="E44" s="999" cm="1">
        <f t="array" ref="E44">'Actual Sales 2025'!F119*120%</f>
        <v>24</v>
      </c>
      <c r="F44" s="996"/>
      <c r="G44" s="995" cm="1">
        <f t="array" ref="G44">C44*E44</f>
        <v>96000000</v>
      </c>
      <c r="H44" s="996"/>
      <c r="I44" s="996"/>
      <c r="J44" s="998"/>
      <c r="K44" s="578"/>
    </row>
    <row r="45" ht="16" customHeight="1">
      <c r="A45" s="12"/>
      <c r="B45" t="s" s="994">
        <v>261</v>
      </c>
      <c r="C45" s="995">
        <v>2200000</v>
      </c>
      <c r="D45" s="996"/>
      <c r="E45" s="999" cm="1">
        <f t="array" ref="E45">'Actual Sales 2025'!F120*120%</f>
        <v>34.8</v>
      </c>
      <c r="F45" s="996"/>
      <c r="G45" s="995" cm="1">
        <f t="array" ref="G45">C45*E45</f>
        <v>76560000</v>
      </c>
      <c r="H45" s="996"/>
      <c r="I45" s="996"/>
      <c r="J45" s="998"/>
      <c r="K45" s="578"/>
    </row>
    <row r="46" ht="16" customHeight="1">
      <c r="A46" s="12"/>
      <c r="B46" t="s" s="994">
        <v>262</v>
      </c>
      <c r="C46" s="995">
        <v>2500000</v>
      </c>
      <c r="D46" s="996"/>
      <c r="E46" s="999" cm="1">
        <f t="array" ref="E46">'Actual Sales 2025'!F121*120%</f>
        <v>24</v>
      </c>
      <c r="F46" s="996"/>
      <c r="G46" s="995" cm="1">
        <f t="array" ref="G46">C46*E46</f>
        <v>60000000</v>
      </c>
      <c r="H46" s="996"/>
      <c r="I46" s="996"/>
      <c r="J46" s="998"/>
      <c r="K46" s="578"/>
    </row>
    <row r="47" ht="16" customHeight="1">
      <c r="A47" s="12"/>
      <c r="B47" t="s" s="994">
        <v>263</v>
      </c>
      <c r="C47" s="995">
        <v>300000</v>
      </c>
      <c r="D47" s="996"/>
      <c r="E47" s="999" cm="1">
        <f t="array" ref="E47">'Actual Sales 2025'!F122*120%</f>
        <v>38.4</v>
      </c>
      <c r="F47" s="996"/>
      <c r="G47" s="995" cm="1">
        <f t="array" ref="G47">C47*E47</f>
        <v>11520000</v>
      </c>
      <c r="H47" s="996"/>
      <c r="I47" s="996"/>
      <c r="J47" s="998"/>
      <c r="K47" s="578"/>
    </row>
    <row r="48" ht="16" customHeight="1">
      <c r="A48" s="12"/>
      <c r="B48" t="s" s="994">
        <v>264</v>
      </c>
      <c r="C48" s="995">
        <v>2300000</v>
      </c>
      <c r="D48" s="996"/>
      <c r="E48" s="999" cm="1">
        <f t="array" ref="E48">'Actual Sales 2025'!F123*120%</f>
        <v>30</v>
      </c>
      <c r="F48" s="996"/>
      <c r="G48" s="995" cm="1">
        <f t="array" ref="G48">C48*E48</f>
        <v>69000000</v>
      </c>
      <c r="H48" s="996"/>
      <c r="I48" s="996"/>
      <c r="J48" s="998"/>
      <c r="K48" s="578"/>
    </row>
    <row r="49" ht="16" customHeight="1">
      <c r="A49" s="12"/>
      <c r="B49" t="s" s="994">
        <v>265</v>
      </c>
      <c r="C49" s="995">
        <v>2420000</v>
      </c>
      <c r="D49" s="996"/>
      <c r="E49" s="999" cm="1">
        <f t="array" ref="E49">'Actual Sales 2025'!F124*120%</f>
        <v>31.2</v>
      </c>
      <c r="F49" s="996"/>
      <c r="G49" s="995" cm="1">
        <f t="array" ref="G49">C49*E49</f>
        <v>75504000</v>
      </c>
      <c r="H49" s="996"/>
      <c r="I49" s="996"/>
      <c r="J49" s="998"/>
      <c r="K49" s="578"/>
    </row>
    <row r="50" ht="16" customHeight="1">
      <c r="A50" s="12"/>
      <c r="B50" t="s" s="994">
        <v>266</v>
      </c>
      <c r="C50" s="995">
        <v>1400000</v>
      </c>
      <c r="D50" s="996"/>
      <c r="E50" s="999" cm="1">
        <f t="array" ref="E50">'Actual Sales 2025'!F125*120%</f>
        <v>87.59999999999999</v>
      </c>
      <c r="F50" s="996"/>
      <c r="G50" s="995" cm="1">
        <f t="array" ref="G50">C50*E50</f>
        <v>122640000</v>
      </c>
      <c r="H50" s="996"/>
      <c r="I50" s="996"/>
      <c r="J50" s="998"/>
      <c r="K50" s="578"/>
    </row>
    <row r="51" ht="16" customHeight="1">
      <c r="A51" s="12"/>
      <c r="B51" t="s" s="994">
        <v>267</v>
      </c>
      <c r="C51" s="995">
        <v>300000</v>
      </c>
      <c r="D51" s="996"/>
      <c r="E51" s="999" cm="1">
        <f t="array" ref="E51">'Actual Sales 2025'!F126*120%</f>
        <v>291.6</v>
      </c>
      <c r="F51" s="996"/>
      <c r="G51" s="995" cm="1">
        <f t="array" ref="G51">C51*E51</f>
        <v>87480000</v>
      </c>
      <c r="H51" s="996"/>
      <c r="I51" s="996"/>
      <c r="J51" s="998"/>
      <c r="K51" s="578"/>
    </row>
    <row r="52" ht="16" customHeight="1">
      <c r="A52" s="12"/>
      <c r="B52" t="s" s="994">
        <v>268</v>
      </c>
      <c r="C52" s="995">
        <v>1100000</v>
      </c>
      <c r="D52" s="996"/>
      <c r="E52" s="999" cm="1">
        <f t="array" ref="E52">'Actual Sales 2025'!F127*120%</f>
        <v>9.6</v>
      </c>
      <c r="F52" s="996"/>
      <c r="G52" s="995" cm="1">
        <f t="array" ref="G52">C52*E52</f>
        <v>10560000</v>
      </c>
      <c r="H52" s="996"/>
      <c r="I52" s="996"/>
      <c r="J52" s="998"/>
      <c r="K52" s="578"/>
    </row>
    <row r="53" ht="16" customHeight="1">
      <c r="A53" s="12"/>
      <c r="B53" t="s" s="994">
        <v>269</v>
      </c>
      <c r="C53" s="995">
        <v>1000000</v>
      </c>
      <c r="D53" s="996"/>
      <c r="E53" s="999" cm="1">
        <f t="array" ref="E53">'Actual Sales 2025'!F128*120%</f>
        <v>24</v>
      </c>
      <c r="F53" s="996"/>
      <c r="G53" s="995" cm="1">
        <f t="array" ref="G53">C53*E53</f>
        <v>24000000</v>
      </c>
      <c r="H53" s="996"/>
      <c r="I53" s="996"/>
      <c r="J53" s="998"/>
      <c r="K53" s="578"/>
    </row>
    <row r="54" ht="16" customHeight="1">
      <c r="A54" s="12"/>
      <c r="B54" t="s" s="994">
        <v>270</v>
      </c>
      <c r="C54" s="995">
        <v>1000000</v>
      </c>
      <c r="D54" s="996"/>
      <c r="E54" s="999" cm="1">
        <f t="array" ref="E54">'Actual Sales 2025'!F129*120%</f>
        <v>2.4</v>
      </c>
      <c r="F54" s="996"/>
      <c r="G54" s="995" cm="1">
        <f t="array" ref="G54">C54*E54</f>
        <v>2400000</v>
      </c>
      <c r="H54" s="996"/>
      <c r="I54" s="996"/>
      <c r="J54" s="998"/>
      <c r="K54" s="578"/>
    </row>
    <row r="55" ht="16" customHeight="1">
      <c r="A55" s="12"/>
      <c r="B55" t="s" s="994">
        <v>271</v>
      </c>
      <c r="C55" s="995">
        <v>2300000</v>
      </c>
      <c r="D55" s="996"/>
      <c r="E55" s="999" cm="1">
        <f t="array" ref="E55">'Actual Sales 2025'!F133*120%</f>
        <v>10.8</v>
      </c>
      <c r="F55" s="996"/>
      <c r="G55" s="995" cm="1">
        <f t="array" ref="G55">C55*E55</f>
        <v>24840000</v>
      </c>
      <c r="H55" s="996"/>
      <c r="I55" s="996"/>
      <c r="J55" s="998"/>
      <c r="K55" s="578"/>
    </row>
    <row r="56" ht="16" customHeight="1">
      <c r="A56" s="12"/>
      <c r="B56" t="s" s="994">
        <v>272</v>
      </c>
      <c r="C56" s="995">
        <v>2420000</v>
      </c>
      <c r="D56" s="996"/>
      <c r="E56" s="999" cm="1">
        <f t="array" ref="E56">'Actual Sales 2025'!F135*120%</f>
        <v>12</v>
      </c>
      <c r="F56" s="996"/>
      <c r="G56" s="995" cm="1">
        <f t="array" ref="G56">C56*E56</f>
        <v>29040000</v>
      </c>
      <c r="H56" s="996"/>
      <c r="I56" s="996"/>
      <c r="J56" s="998"/>
      <c r="K56" s="578"/>
    </row>
    <row r="57" ht="16" customHeight="1">
      <c r="A57" s="12"/>
      <c r="B57" t="s" s="994">
        <v>273</v>
      </c>
      <c r="C57" s="995">
        <v>300000</v>
      </c>
      <c r="D57" s="996"/>
      <c r="E57" s="1000" cm="1">
        <f t="array" ref="E57">'Actual Sales 2025'!F130*120%</f>
        <v>2.4</v>
      </c>
      <c r="F57" s="996"/>
      <c r="G57" s="1001" cm="1">
        <f t="array" ref="G57">C57*E57</f>
        <v>720000</v>
      </c>
      <c r="H57" s="996"/>
      <c r="I57" s="996"/>
      <c r="J57" s="998"/>
      <c r="K57" s="578"/>
    </row>
    <row r="58" ht="15.5" customHeight="1">
      <c r="A58" s="12"/>
      <c r="B58" t="s" s="1002">
        <v>890</v>
      </c>
      <c r="C58" s="1003"/>
      <c r="D58" s="996"/>
      <c r="E58" s="1004" cm="1">
        <f t="array" ref="E58">ROUNDUP(('Allocation OH and Target 2025'!M24+'Allocation OH and Target 2025'!K88)*'NEW Actual Sales Jan-Nov 2024'!F97/('NEW Actual Sales Jan-Nov 2024'!F6+'NEW Actual Sales Jan-Nov 2024'!F19+'NEW Actual Sales Jan-Nov 2024'!F33),0)</f>
        <v>1485</v>
      </c>
      <c r="F58" s="996"/>
      <c r="G58" s="1005" cm="1">
        <f t="array" ref="G58">SUM(G37:G57)</f>
        <v>708864000</v>
      </c>
      <c r="H58" s="996"/>
      <c r="I58" s="996"/>
      <c r="J58" s="998"/>
      <c r="K58" s="578"/>
    </row>
    <row r="59" ht="15" customHeight="1">
      <c r="A59" s="12"/>
      <c r="B59" s="1006"/>
      <c r="C59" s="996"/>
      <c r="D59" s="996"/>
      <c r="E59" s="1007"/>
      <c r="F59" s="996"/>
      <c r="G59" s="995"/>
      <c r="H59" s="996"/>
      <c r="I59" s="996"/>
      <c r="J59" s="998"/>
      <c r="K59" s="578"/>
    </row>
    <row r="60" ht="15" customHeight="1">
      <c r="A60" s="12"/>
      <c r="B60" t="s" s="1008">
        <v>899</v>
      </c>
      <c r="C60" t="s" s="1009">
        <v>892</v>
      </c>
      <c r="D60" s="996"/>
      <c r="E60" s="996"/>
      <c r="F60" s="996"/>
      <c r="G60" s="995"/>
      <c r="H60" s="996"/>
      <c r="I60" s="996"/>
      <c r="J60" s="998"/>
      <c r="K60" s="578"/>
    </row>
    <row r="61" ht="16" customHeight="1">
      <c r="A61" s="12"/>
      <c r="B61" t="str" s="1010" cm="1">
        <f t="array" ref="B61">B37</f>
        <v>Extra Services (GoPro10)</v>
      </c>
      <c r="C61" s="995">
        <v>200000</v>
      </c>
      <c r="D61" s="996"/>
      <c r="E61" s="997" cm="1">
        <f t="array" ref="E61">E37</f>
        <v>12</v>
      </c>
      <c r="F61" s="996"/>
      <c r="G61" s="995" cm="1">
        <f t="array" ref="G61">-(C61)*E61</f>
        <v>-2400000</v>
      </c>
      <c r="H61" s="996"/>
      <c r="I61" s="996"/>
      <c r="J61" s="998"/>
      <c r="K61" s="578"/>
    </row>
    <row r="62" ht="16" customHeight="1">
      <c r="A62" s="12"/>
      <c r="B62" t="str" s="1010" cm="1">
        <f t="array" ref="B62">B38</f>
        <v>Extra Services (Full Face Snorkel Mask)</v>
      </c>
      <c r="C62" s="995">
        <v>0</v>
      </c>
      <c r="D62" s="996"/>
      <c r="E62" s="997" cm="1">
        <f t="array" ref="E62">E38</f>
        <v>8.4</v>
      </c>
      <c r="F62" s="996"/>
      <c r="G62" s="995" cm="1">
        <f t="array" ref="G62">-(C62)*E62</f>
        <v>0</v>
      </c>
      <c r="H62" s="996"/>
      <c r="I62" s="996"/>
      <c r="J62" s="998"/>
      <c r="K62" s="578"/>
    </row>
    <row r="63" ht="16" customHeight="1">
      <c r="A63" s="12"/>
      <c r="B63" t="str" s="1010" cm="1">
        <f t="array" ref="B63">B39</f>
        <v>Extra Services (Fishing Rods)</v>
      </c>
      <c r="C63" s="995">
        <v>0</v>
      </c>
      <c r="D63" s="996"/>
      <c r="E63" s="997" cm="1">
        <f t="array" ref="E63">E39</f>
        <v>13.2</v>
      </c>
      <c r="F63" s="996"/>
      <c r="G63" s="995" cm="1">
        <f t="array" ref="G63">-(C63)*E63</f>
        <v>0</v>
      </c>
      <c r="H63" s="996"/>
      <c r="I63" s="996"/>
      <c r="J63" s="998"/>
      <c r="K63" s="578"/>
    </row>
    <row r="64" ht="16" customHeight="1">
      <c r="A64" s="12"/>
      <c r="B64" t="str" s="1010" cm="1">
        <f t="array" ref="B64">B40</f>
        <v>Extra Services (Kids Full Face Snorkel Mask)</v>
      </c>
      <c r="C64" s="995">
        <v>0</v>
      </c>
      <c r="D64" s="996"/>
      <c r="E64" s="997" cm="1">
        <f t="array" ref="E64">E40</f>
        <v>440.4</v>
      </c>
      <c r="F64" s="996"/>
      <c r="G64" s="995" cm="1">
        <f t="array" ref="G64">-(C64)*E64</f>
        <v>0</v>
      </c>
      <c r="H64" s="996"/>
      <c r="I64" s="996"/>
      <c r="J64" s="998"/>
      <c r="K64" s="578"/>
    </row>
    <row r="65" ht="16" customHeight="1">
      <c r="A65" s="12"/>
      <c r="B65" t="str" s="1010" cm="1">
        <f t="array" ref="B65">B41</f>
        <v>Extra Services (Kids Life Jacket (15-20 kg))</v>
      </c>
      <c r="C65" s="995">
        <v>0</v>
      </c>
      <c r="D65" s="996"/>
      <c r="E65" s="997" cm="1">
        <f t="array" ref="E65">E41</f>
        <v>192</v>
      </c>
      <c r="F65" s="996"/>
      <c r="G65" s="995" cm="1">
        <f t="array" ref="G65">-(C65)*E65</f>
        <v>0</v>
      </c>
      <c r="H65" s="996"/>
      <c r="I65" s="996"/>
      <c r="J65" s="998"/>
      <c r="K65" s="578"/>
    </row>
    <row r="66" ht="16" customHeight="1">
      <c r="A66" s="12"/>
      <c r="B66" t="str" s="1010" cm="1">
        <f t="array" ref="B66">B42</f>
        <v>Extra Services (Kid Life Jacket (20-40 kg))</v>
      </c>
      <c r="C66" s="995">
        <v>0</v>
      </c>
      <c r="D66" s="996"/>
      <c r="E66" s="997" cm="1">
        <f t="array" ref="E66">E42</f>
        <v>324</v>
      </c>
      <c r="F66" s="996"/>
      <c r="G66" s="995" cm="1">
        <f t="array" ref="G66">-(C66)*E66</f>
        <v>0</v>
      </c>
      <c r="H66" s="996"/>
      <c r="I66" s="996"/>
      <c r="J66" s="998"/>
      <c r="K66" s="578"/>
    </row>
    <row r="67" ht="16" customHeight="1">
      <c r="A67" s="12"/>
      <c r="B67" t="str" s="1010" cm="1">
        <f t="array" ref="B67">B43</f>
        <v>Extra Services (Party Decoration)</v>
      </c>
      <c r="C67" s="995">
        <v>900000</v>
      </c>
      <c r="D67" s="996"/>
      <c r="E67" s="997" cm="1">
        <f t="array" ref="E67">E43</f>
        <v>8.4</v>
      </c>
      <c r="F67" s="996"/>
      <c r="G67" s="995" cm="1">
        <f t="array" ref="G67">-(C67)*E67</f>
        <v>-7560000</v>
      </c>
      <c r="H67" s="996"/>
      <c r="I67" s="996"/>
      <c r="J67" s="998"/>
      <c r="K67" s="578"/>
    </row>
    <row r="68" ht="16" customHeight="1">
      <c r="A68" s="12"/>
      <c r="B68" t="str" s="1010" cm="1">
        <f t="array" ref="B68">B44</f>
        <v>Extra Services (Pro Photographer + Drone Pilot)</v>
      </c>
      <c r="C68" s="995" cm="1">
        <f t="array" ref="C68">1200000+1400000</f>
        <v>2600000</v>
      </c>
      <c r="D68" s="996"/>
      <c r="E68" s="997" cm="1">
        <f t="array" ref="E68">E44</f>
        <v>24</v>
      </c>
      <c r="F68" s="996"/>
      <c r="G68" s="995" cm="1">
        <f t="array" ref="G68">-(C68)*E68</f>
        <v>-62400000</v>
      </c>
      <c r="H68" s="996"/>
      <c r="I68" s="996"/>
      <c r="J68" s="998"/>
      <c r="K68" s="578"/>
    </row>
    <row r="69" ht="16" customHeight="1">
      <c r="A69" s="12"/>
      <c r="B69" t="str" s="1010" cm="1">
        <f t="array" ref="B69">B45</f>
        <v>Extra Services (Pro Photographer)</v>
      </c>
      <c r="C69" s="995" cm="1">
        <f t="array" ref="C69">1200000</f>
        <v>1200000</v>
      </c>
      <c r="D69" s="996"/>
      <c r="E69" s="997" cm="1">
        <f t="array" ref="E69">E45</f>
        <v>34.8</v>
      </c>
      <c r="F69" s="996"/>
      <c r="G69" s="995" cm="1">
        <f t="array" ref="G69">-(C69)*E69</f>
        <v>-41760000</v>
      </c>
      <c r="H69" s="996"/>
      <c r="I69" s="996"/>
      <c r="J69" s="998"/>
      <c r="K69" s="578"/>
    </row>
    <row r="70" ht="16" customHeight="1">
      <c r="A70" s="12"/>
      <c r="B70" t="str" s="1010" cm="1">
        <f t="array" ref="B70">B46</f>
        <v>Extra Services (Drone Pilot)</v>
      </c>
      <c r="C70" s="995">
        <v>1400000</v>
      </c>
      <c r="D70" s="996"/>
      <c r="E70" s="997" cm="1">
        <f t="array" ref="E70">E46</f>
        <v>24</v>
      </c>
      <c r="F70" s="996"/>
      <c r="G70" s="995" cm="1">
        <f t="array" ref="G70">-(C70)*E70</f>
        <v>-33600000</v>
      </c>
      <c r="H70" s="996"/>
      <c r="I70" s="996"/>
      <c r="J70" s="998"/>
      <c r="K70" s="578"/>
    </row>
    <row r="71" ht="16" customHeight="1">
      <c r="A71" s="12"/>
      <c r="B71" t="str" s="1010" cm="1">
        <f t="array" ref="B71">B47</f>
        <v>Extra Services (Wetsuit)</v>
      </c>
      <c r="C71" s="995">
        <v>100000</v>
      </c>
      <c r="D71" s="996"/>
      <c r="E71" s="997" cm="1">
        <f t="array" ref="E71">E47</f>
        <v>38.4</v>
      </c>
      <c r="F71" s="996"/>
      <c r="G71" s="995" cm="1">
        <f t="array" ref="G71">-(C71)*E71</f>
        <v>-3840000</v>
      </c>
      <c r="H71" s="996"/>
      <c r="I71" s="996"/>
      <c r="J71" s="998"/>
      <c r="K71" s="578"/>
    </row>
    <row r="72" ht="16" customHeight="1">
      <c r="A72" s="12"/>
      <c r="B72" t="str" s="1010" cm="1">
        <f t="array" ref="B72">B48</f>
        <v>Extra Services (Advanced Divers)</v>
      </c>
      <c r="C72" s="995" cm="1">
        <f t="array" ref="C72">1700000</f>
        <v>1700000</v>
      </c>
      <c r="D72" s="996"/>
      <c r="E72" s="997" cm="1">
        <f t="array" ref="E72">E48</f>
        <v>30</v>
      </c>
      <c r="F72" s="996"/>
      <c r="G72" s="995" cm="1">
        <f t="array" ref="G72">-(C72)*E72</f>
        <v>-51000000</v>
      </c>
      <c r="H72" s="996"/>
      <c r="I72" s="996"/>
      <c r="J72" s="998"/>
      <c r="K72" s="578"/>
    </row>
    <row r="73" ht="16" customHeight="1">
      <c r="A73" s="12"/>
      <c r="B73" t="str" s="1010" cm="1">
        <f t="array" ref="B73">B49</f>
        <v>Extra Services (Beginner Divers)</v>
      </c>
      <c r="C73" s="995">
        <v>1700000</v>
      </c>
      <c r="D73" s="996"/>
      <c r="E73" s="997" cm="1">
        <f t="array" ref="E73">E49</f>
        <v>31.2</v>
      </c>
      <c r="F73" s="996"/>
      <c r="G73" s="995" cm="1">
        <f t="array" ref="G73">-(C73)*E73</f>
        <v>-53040000</v>
      </c>
      <c r="H73" s="996"/>
      <c r="I73" s="996"/>
      <c r="J73" s="998"/>
      <c r="K73" s="578"/>
    </row>
    <row r="74" ht="16" customHeight="1">
      <c r="A74" s="12"/>
      <c r="B74" t="str" s="1010" cm="1">
        <f t="array" ref="B74">B50</f>
        <v>Extra Services (Extended Tour)</v>
      </c>
      <c r="C74" s="995">
        <v>600000</v>
      </c>
      <c r="D74" s="996"/>
      <c r="E74" s="997" cm="1">
        <f t="array" ref="E74">E50</f>
        <v>87.59999999999999</v>
      </c>
      <c r="F74" s="996"/>
      <c r="G74" s="995" cm="1">
        <f t="array" ref="G74">-(C74)*E74</f>
        <v>-52560000</v>
      </c>
      <c r="H74" s="996"/>
      <c r="I74" s="996"/>
      <c r="J74" s="998"/>
      <c r="K74" s="578"/>
    </row>
    <row r="75" ht="16" customHeight="1">
      <c r="A75" s="12"/>
      <c r="B75" t="str" s="1010" cm="1">
        <f t="array" ref="B75">B51</f>
        <v>Extra Services (Fully Flexible Ticket)</v>
      </c>
      <c r="C75" s="995">
        <v>100000</v>
      </c>
      <c r="D75" s="996"/>
      <c r="E75" s="997" cm="1">
        <f t="array" ref="E75">E51</f>
        <v>291.6</v>
      </c>
      <c r="F75" s="996"/>
      <c r="G75" s="995" cm="1">
        <f t="array" ref="G75">-(C75)*E75</f>
        <v>-29160000</v>
      </c>
      <c r="H75" s="996"/>
      <c r="I75" s="996"/>
      <c r="J75" s="998"/>
      <c r="K75" s="578"/>
    </row>
    <row r="76" ht="16" customHeight="1">
      <c r="A76" s="12"/>
      <c r="B76" t="str" s="1010" cm="1">
        <f t="array" ref="B76">B52</f>
        <v>Extra Services (Party Decoration (Size M))</v>
      </c>
      <c r="C76" s="995">
        <v>700000</v>
      </c>
      <c r="D76" s="996"/>
      <c r="E76" s="997" cm="1">
        <f t="array" ref="E76">E52</f>
        <v>9.6</v>
      </c>
      <c r="F76" s="996"/>
      <c r="G76" s="995" cm="1">
        <f t="array" ref="G76">-(C76)*E76</f>
        <v>-6720000</v>
      </c>
      <c r="H76" s="996"/>
      <c r="I76" s="996"/>
      <c r="J76" s="998"/>
      <c r="K76" s="578"/>
    </row>
    <row r="77" ht="16" customHeight="1">
      <c r="A77" s="12"/>
      <c r="B77" t="str" s="1010" cm="1">
        <f t="array" ref="B77">B53</f>
        <v>Extra Services (Fully Flexible Private Booking)</v>
      </c>
      <c r="C77" s="995">
        <v>500000</v>
      </c>
      <c r="D77" s="996"/>
      <c r="E77" s="997" cm="1">
        <f t="array" ref="E77">E53</f>
        <v>24</v>
      </c>
      <c r="F77" s="996"/>
      <c r="G77" s="995" cm="1">
        <f t="array" ref="G77">-(C77)*E77</f>
        <v>-12000000</v>
      </c>
      <c r="H77" s="996"/>
      <c r="I77" s="996"/>
      <c r="J77" s="998"/>
      <c r="K77" s="578"/>
    </row>
    <row r="78" ht="16" customHeight="1">
      <c r="A78" s="12"/>
      <c r="B78" t="str" s="1010" cm="1">
        <f t="array" ref="B78">B54</f>
        <v>Extra Services (90 min Sports &amp; Stretch Massage)</v>
      </c>
      <c r="C78" s="995">
        <v>600000</v>
      </c>
      <c r="D78" s="996"/>
      <c r="E78" s="997" cm="1">
        <f t="array" ref="E78">E54</f>
        <v>2.4</v>
      </c>
      <c r="F78" s="996"/>
      <c r="G78" s="995" cm="1">
        <f t="array" ref="G78">-(C78)*E78</f>
        <v>-1440000</v>
      </c>
      <c r="H78" s="996"/>
      <c r="I78" s="996"/>
      <c r="J78" s="998"/>
      <c r="K78" s="578"/>
    </row>
    <row r="79" ht="16" customHeight="1">
      <c r="A79" s="12"/>
      <c r="B79" t="str" s="1010" cm="1">
        <f t="array" ref="B79">B55</f>
        <v>Advanced Divers (Advanced 1-Pax Pack)</v>
      </c>
      <c r="C79" s="995" cm="1">
        <f t="array" ref="C79">1700000</f>
        <v>1700000</v>
      </c>
      <c r="D79" s="996"/>
      <c r="E79" s="997" cm="1">
        <f t="array" ref="E79">E55</f>
        <v>10.8</v>
      </c>
      <c r="F79" s="996"/>
      <c r="G79" s="995" cm="1">
        <f t="array" ref="G79">-(C79)*E79</f>
        <v>-18360000</v>
      </c>
      <c r="H79" s="996"/>
      <c r="I79" s="996"/>
      <c r="J79" s="998"/>
      <c r="K79" s="578"/>
    </row>
    <row r="80" ht="16" customHeight="1">
      <c r="A80" s="12"/>
      <c r="B80" t="str" s="1010" cm="1">
        <f t="array" ref="B80">B56</f>
        <v>Beginner Divers (Beginner 1-Pax Pack)</v>
      </c>
      <c r="C80" s="995">
        <v>1700000</v>
      </c>
      <c r="D80" s="996"/>
      <c r="E80" s="997" cm="1">
        <f t="array" ref="E80">E56</f>
        <v>12</v>
      </c>
      <c r="F80" s="996"/>
      <c r="G80" s="995" cm="1">
        <f t="array" ref="G80">-(C80)*E80</f>
        <v>-20400000</v>
      </c>
      <c r="H80" s="996"/>
      <c r="I80" s="996"/>
      <c r="J80" s="998"/>
      <c r="K80" s="578"/>
    </row>
    <row r="81" ht="16" customHeight="1">
      <c r="A81" s="12"/>
      <c r="B81" t="str" s="1010" cm="1">
        <f t="array" ref="B81">B57</f>
        <v>Extra Services (Massage Table)</v>
      </c>
      <c r="C81" s="995">
        <v>100000</v>
      </c>
      <c r="D81" s="996"/>
      <c r="E81" s="1011" cm="1">
        <f t="array" ref="E81">E57</f>
        <v>2.4</v>
      </c>
      <c r="F81" s="996"/>
      <c r="G81" s="1001" cm="1">
        <f t="array" ref="G81">-(C81)*E81</f>
        <v>-240000</v>
      </c>
      <c r="H81" s="996"/>
      <c r="I81" s="996"/>
      <c r="J81" s="998"/>
      <c r="K81" s="578"/>
    </row>
    <row r="82" ht="15" customHeight="1">
      <c r="A82" s="12"/>
      <c r="B82" s="1006"/>
      <c r="C82" s="995"/>
      <c r="D82" s="996"/>
      <c r="E82" s="1012" cm="1">
        <f t="array" ref="E82">E58</f>
        <v>1485</v>
      </c>
      <c r="F82" s="996"/>
      <c r="G82" s="1013" cm="1">
        <f t="array" ref="G82">SUM(G61:G81)</f>
        <v>-396480000</v>
      </c>
      <c r="H82" s="996"/>
      <c r="I82" s="996"/>
      <c r="J82" s="998"/>
      <c r="K82" s="578"/>
    </row>
    <row r="83" ht="15" customHeight="1">
      <c r="A83" s="12"/>
      <c r="B83" s="1006"/>
      <c r="C83" s="995"/>
      <c r="D83" s="996"/>
      <c r="E83" s="996"/>
      <c r="F83" s="996"/>
      <c r="G83" s="1005"/>
      <c r="H83" s="996"/>
      <c r="I83" s="996"/>
      <c r="J83" s="998"/>
      <c r="K83" s="578"/>
    </row>
    <row r="84" ht="16" customHeight="1">
      <c r="A84" s="12"/>
      <c r="B84" t="s" s="1008">
        <v>893</v>
      </c>
      <c r="C84" s="995"/>
      <c r="D84" s="996"/>
      <c r="E84" s="996"/>
      <c r="F84" s="996"/>
      <c r="G84" s="995"/>
      <c r="H84" s="996"/>
      <c r="I84" s="996"/>
      <c r="J84" s="998"/>
      <c r="K84" s="578"/>
    </row>
    <row r="85" ht="16" customHeight="1">
      <c r="A85" s="12"/>
      <c r="B85" t="str" s="1010" cm="1">
        <f t="array" ref="B85">B61</f>
        <v>Extra Services (GoPro10)</v>
      </c>
      <c r="C85" s="1014" cm="1">
        <f t="array" ref="C85">(C37-C61)/C61</f>
        <v>1.5</v>
      </c>
      <c r="D85" s="996"/>
      <c r="E85" s="996"/>
      <c r="F85" s="996"/>
      <c r="G85" s="995" cm="1">
        <f t="array" ref="G85">G37+G61</f>
        <v>3600000</v>
      </c>
      <c r="H85" s="996"/>
      <c r="I85" s="996"/>
      <c r="J85" s="998"/>
      <c r="K85" s="578"/>
    </row>
    <row r="86" ht="16" customHeight="1">
      <c r="A86" s="12"/>
      <c r="B86" t="str" s="1010" cm="1">
        <f t="array" ref="B86">B62</f>
        <v>Extra Services (Full Face Snorkel Mask)</v>
      </c>
      <c r="C86" s="1014" cm="1">
        <f t="array" ref="C86">(C38-C62)/C62</f>
      </c>
      <c r="D86" s="996"/>
      <c r="E86" s="996"/>
      <c r="F86" s="996"/>
      <c r="G86" s="995" cm="1">
        <f t="array" ref="G86">G38+G62</f>
        <v>0</v>
      </c>
      <c r="H86" s="996"/>
      <c r="I86" s="996"/>
      <c r="J86" s="998"/>
      <c r="K86" s="578"/>
    </row>
    <row r="87" ht="16" customHeight="1">
      <c r="A87" s="12"/>
      <c r="B87" t="str" s="1010" cm="1">
        <f t="array" ref="B87">B63</f>
        <v>Extra Services (Fishing Rods)</v>
      </c>
      <c r="C87" s="1014" cm="1">
        <f t="array" ref="C87">(C39-C63)/C63</f>
      </c>
      <c r="D87" s="996"/>
      <c r="E87" s="996"/>
      <c r="F87" s="996"/>
      <c r="G87" s="995" cm="1">
        <f t="array" ref="G87">G39+G63</f>
        <v>0</v>
      </c>
      <c r="H87" s="996"/>
      <c r="I87" s="996"/>
      <c r="J87" s="998"/>
      <c r="K87" s="578"/>
    </row>
    <row r="88" ht="16" customHeight="1">
      <c r="A88" s="12"/>
      <c r="B88" t="str" s="1010" cm="1">
        <f t="array" ref="B88">B64</f>
        <v>Extra Services (Kids Full Face Snorkel Mask)</v>
      </c>
      <c r="C88" s="1014" cm="1">
        <f t="array" ref="C88">(C40-C64)/C64</f>
      </c>
      <c r="D88" s="996"/>
      <c r="E88" s="996"/>
      <c r="F88" s="996"/>
      <c r="G88" s="995" cm="1">
        <f t="array" ref="G88">G40+G64</f>
        <v>0</v>
      </c>
      <c r="H88" s="996"/>
      <c r="I88" s="996"/>
      <c r="J88" s="998"/>
      <c r="K88" s="578"/>
    </row>
    <row r="89" ht="16" customHeight="1">
      <c r="A89" s="12"/>
      <c r="B89" t="str" s="1010" cm="1">
        <f t="array" ref="B89">B65</f>
        <v>Extra Services (Kids Life Jacket (15-20 kg))</v>
      </c>
      <c r="C89" s="1014" cm="1">
        <f t="array" ref="C89">(C41-C65)/C65</f>
      </c>
      <c r="D89" s="996"/>
      <c r="E89" s="996"/>
      <c r="F89" s="996"/>
      <c r="G89" s="995" cm="1">
        <f t="array" ref="G89">G41+G65</f>
        <v>0</v>
      </c>
      <c r="H89" s="996"/>
      <c r="I89" s="996"/>
      <c r="J89" s="998"/>
      <c r="K89" s="578"/>
    </row>
    <row r="90" ht="16" customHeight="1">
      <c r="A90" s="12"/>
      <c r="B90" t="str" s="1010" cm="1">
        <f t="array" ref="B90">B66</f>
        <v>Extra Services (Kid Life Jacket (20-40 kg))</v>
      </c>
      <c r="C90" s="1014" cm="1">
        <f t="array" ref="C90">(C42-C66)/C66</f>
      </c>
      <c r="D90" s="996"/>
      <c r="E90" s="996"/>
      <c r="F90" s="996"/>
      <c r="G90" s="995" cm="1">
        <f t="array" ref="G90">G42+G66</f>
        <v>0</v>
      </c>
      <c r="H90" s="996"/>
      <c r="I90" s="996"/>
      <c r="J90" s="998"/>
      <c r="K90" s="578"/>
    </row>
    <row r="91" ht="16" customHeight="1">
      <c r="A91" s="12"/>
      <c r="B91" t="str" s="1010" cm="1">
        <f t="array" ref="B91">B67</f>
        <v>Extra Services (Party Decoration)</v>
      </c>
      <c r="C91" s="1014" cm="1">
        <f t="array" ref="C91">(C43-C67)/C67</f>
        <v>0.666666666666667</v>
      </c>
      <c r="D91" s="996"/>
      <c r="E91" s="996"/>
      <c r="F91" s="996"/>
      <c r="G91" s="995" cm="1">
        <f t="array" ref="G91">G43+G67</f>
        <v>5040000</v>
      </c>
      <c r="H91" s="996"/>
      <c r="I91" s="996"/>
      <c r="J91" s="998"/>
      <c r="K91" s="578"/>
    </row>
    <row r="92" ht="16" customHeight="1">
      <c r="A92" s="12"/>
      <c r="B92" t="str" s="1010" cm="1">
        <f t="array" ref="B92">B68</f>
        <v>Extra Services (Pro Photographer + Drone Pilot)</v>
      </c>
      <c r="C92" s="1014" cm="1">
        <f t="array" ref="C92">(C44-C68)/C68</f>
        <v>0.538461538461538</v>
      </c>
      <c r="D92" s="996"/>
      <c r="E92" s="996"/>
      <c r="F92" s="996"/>
      <c r="G92" s="995" cm="1">
        <f t="array" ref="G92">G44+G68</f>
        <v>33600000</v>
      </c>
      <c r="H92" s="996"/>
      <c r="I92" s="996"/>
      <c r="J92" s="998"/>
      <c r="K92" s="578"/>
    </row>
    <row r="93" ht="16" customHeight="1">
      <c r="A93" s="12"/>
      <c r="B93" t="str" s="1010" cm="1">
        <f t="array" ref="B93">B69</f>
        <v>Extra Services (Pro Photographer)</v>
      </c>
      <c r="C93" s="1014" cm="1">
        <f t="array" ref="C93">(C45-C69)/C69</f>
        <v>0.833333333333333</v>
      </c>
      <c r="D93" s="996"/>
      <c r="E93" s="996"/>
      <c r="F93" s="996"/>
      <c r="G93" s="995" cm="1">
        <f t="array" ref="G93">G45+G69</f>
        <v>34800000</v>
      </c>
      <c r="H93" s="996"/>
      <c r="I93" s="996"/>
      <c r="J93" s="998"/>
      <c r="K93" s="578"/>
    </row>
    <row r="94" ht="16" customHeight="1">
      <c r="A94" s="12"/>
      <c r="B94" t="str" s="1010" cm="1">
        <f t="array" ref="B94">B70</f>
        <v>Extra Services (Drone Pilot)</v>
      </c>
      <c r="C94" s="1014" cm="1">
        <f t="array" ref="C94">(C46-C70)/C70</f>
        <v>0.785714285714286</v>
      </c>
      <c r="D94" s="996"/>
      <c r="E94" s="996"/>
      <c r="F94" s="996"/>
      <c r="G94" s="995" cm="1">
        <f t="array" ref="G94">G46+G70</f>
        <v>26400000</v>
      </c>
      <c r="H94" s="996"/>
      <c r="I94" s="996"/>
      <c r="J94" s="998"/>
      <c r="K94" s="578"/>
    </row>
    <row r="95" ht="16" customHeight="1">
      <c r="A95" s="12"/>
      <c r="B95" t="str" s="1010" cm="1">
        <f t="array" ref="B95">B71</f>
        <v>Extra Services (Wetsuit)</v>
      </c>
      <c r="C95" s="1014" cm="1">
        <f t="array" ref="C95">(C47-C71)/C71</f>
        <v>2</v>
      </c>
      <c r="D95" s="996"/>
      <c r="E95" s="996"/>
      <c r="F95" s="996"/>
      <c r="G95" s="995" cm="1">
        <f t="array" ref="G95">G47+G71</f>
        <v>7680000</v>
      </c>
      <c r="H95" s="996"/>
      <c r="I95" s="996"/>
      <c r="J95" s="998"/>
      <c r="K95" s="578"/>
    </row>
    <row r="96" ht="16" customHeight="1">
      <c r="A96" s="12"/>
      <c r="B96" t="str" s="1010" cm="1">
        <f t="array" ref="B96">B72</f>
        <v>Extra Services (Advanced Divers)</v>
      </c>
      <c r="C96" s="1014" cm="1">
        <f t="array" ref="C96">(C48-C72)/C72</f>
        <v>0.352941176470588</v>
      </c>
      <c r="D96" s="996"/>
      <c r="E96" s="996"/>
      <c r="F96" s="996"/>
      <c r="G96" s="995" cm="1">
        <f t="array" ref="G96">G48+G72</f>
        <v>18000000</v>
      </c>
      <c r="H96" s="996"/>
      <c r="I96" s="996"/>
      <c r="J96" s="998"/>
      <c r="K96" s="578"/>
    </row>
    <row r="97" ht="16" customHeight="1">
      <c r="A97" s="12"/>
      <c r="B97" t="str" s="1010" cm="1">
        <f t="array" ref="B97">B73</f>
        <v>Extra Services (Beginner Divers)</v>
      </c>
      <c r="C97" s="1014" cm="1">
        <f t="array" ref="C97">(C49-C73)/C73</f>
        <v>0.423529411764706</v>
      </c>
      <c r="D97" s="996"/>
      <c r="E97" s="996"/>
      <c r="F97" s="996"/>
      <c r="G97" s="995" cm="1">
        <f t="array" ref="G97">G49+G73</f>
        <v>22464000</v>
      </c>
      <c r="H97" s="996"/>
      <c r="I97" s="996"/>
      <c r="J97" s="998"/>
      <c r="K97" s="578"/>
    </row>
    <row r="98" ht="16" customHeight="1">
      <c r="A98" s="12"/>
      <c r="B98" t="str" s="1010" cm="1">
        <f t="array" ref="B98">B74</f>
        <v>Extra Services (Extended Tour)</v>
      </c>
      <c r="C98" s="1014" cm="1">
        <f t="array" ref="C98">(C50-C74)/C74</f>
        <v>1.33333333333333</v>
      </c>
      <c r="D98" s="996"/>
      <c r="E98" s="996"/>
      <c r="F98" s="996"/>
      <c r="G98" s="995" cm="1">
        <f t="array" ref="G98">G50+G74</f>
        <v>70080000</v>
      </c>
      <c r="H98" s="996"/>
      <c r="I98" s="996"/>
      <c r="J98" s="998"/>
      <c r="K98" s="578"/>
    </row>
    <row r="99" ht="16" customHeight="1">
      <c r="A99" s="12"/>
      <c r="B99" t="str" s="1010" cm="1">
        <f t="array" ref="B99">B75</f>
        <v>Extra Services (Fully Flexible Ticket)</v>
      </c>
      <c r="C99" s="1014" cm="1">
        <f t="array" ref="C99">(C51-C75)/C75</f>
        <v>2</v>
      </c>
      <c r="D99" s="996"/>
      <c r="E99" s="996"/>
      <c r="F99" s="996"/>
      <c r="G99" s="995" cm="1">
        <f t="array" ref="G99">G51+G75</f>
        <v>58320000</v>
      </c>
      <c r="H99" s="996"/>
      <c r="I99" s="996"/>
      <c r="J99" s="998"/>
      <c r="K99" s="578"/>
    </row>
    <row r="100" ht="16" customHeight="1">
      <c r="A100" s="12"/>
      <c r="B100" t="str" s="1010" cm="1">
        <f t="array" ref="B100">B76</f>
        <v>Extra Services (Party Decoration (Size M))</v>
      </c>
      <c r="C100" s="1014" cm="1">
        <f t="array" ref="C100">(C52-C76)/C76</f>
        <v>0.571428571428571</v>
      </c>
      <c r="D100" s="996"/>
      <c r="E100" s="996"/>
      <c r="F100" s="996"/>
      <c r="G100" s="995" cm="1">
        <f t="array" ref="G100">G52+G76</f>
        <v>3840000</v>
      </c>
      <c r="H100" s="996"/>
      <c r="I100" s="996"/>
      <c r="J100" s="998"/>
      <c r="K100" s="578"/>
    </row>
    <row r="101" ht="16" customHeight="1">
      <c r="A101" s="12"/>
      <c r="B101" t="str" s="1010" cm="1">
        <f t="array" ref="B101">B77</f>
        <v>Extra Services (Fully Flexible Private Booking)</v>
      </c>
      <c r="C101" s="1014" cm="1">
        <f t="array" ref="C101">(C53-C77)/C77</f>
        <v>1</v>
      </c>
      <c r="D101" s="996"/>
      <c r="E101" s="996"/>
      <c r="F101" s="996"/>
      <c r="G101" s="995" cm="1">
        <f t="array" ref="G101">G53+G77</f>
        <v>12000000</v>
      </c>
      <c r="H101" s="996"/>
      <c r="I101" s="996"/>
      <c r="J101" s="998"/>
      <c r="K101" s="578"/>
    </row>
    <row r="102" ht="16" customHeight="1">
      <c r="A102" s="12"/>
      <c r="B102" t="str" s="1010" cm="1">
        <f t="array" ref="B102">B78</f>
        <v>Extra Services (90 min Sports &amp; Stretch Massage)</v>
      </c>
      <c r="C102" s="1014" cm="1">
        <f t="array" ref="C102">(C54-C78)/C78</f>
        <v>0.666666666666667</v>
      </c>
      <c r="D102" s="996"/>
      <c r="E102" s="996"/>
      <c r="F102" s="996"/>
      <c r="G102" s="995" cm="1">
        <f t="array" ref="G102">G54+G78</f>
        <v>960000</v>
      </c>
      <c r="H102" s="996"/>
      <c r="I102" s="996"/>
      <c r="J102" s="998"/>
      <c r="K102" s="578"/>
    </row>
    <row r="103" ht="16" customHeight="1">
      <c r="A103" s="12"/>
      <c r="B103" t="str" s="1010" cm="1">
        <f t="array" ref="B103">B79</f>
        <v>Advanced Divers (Advanced 1-Pax Pack)</v>
      </c>
      <c r="C103" s="1014" cm="1">
        <f t="array" ref="C103">(C55-C79)/C79</f>
        <v>0.352941176470588</v>
      </c>
      <c r="D103" s="996"/>
      <c r="E103" s="996"/>
      <c r="F103" s="996"/>
      <c r="G103" s="995" cm="1">
        <f t="array" ref="G103">G55+G79</f>
        <v>6480000</v>
      </c>
      <c r="H103" s="996"/>
      <c r="I103" s="996"/>
      <c r="J103" s="998"/>
      <c r="K103" s="578"/>
    </row>
    <row r="104" ht="16" customHeight="1">
      <c r="A104" s="12"/>
      <c r="B104" t="str" s="1010" cm="1">
        <f t="array" ref="B104">B80</f>
        <v>Beginner Divers (Beginner 1-Pax Pack)</v>
      </c>
      <c r="C104" s="1014" cm="1">
        <f t="array" ref="C104">(C56-C80)/C80</f>
        <v>0.423529411764706</v>
      </c>
      <c r="D104" s="996"/>
      <c r="E104" s="996"/>
      <c r="F104" s="996"/>
      <c r="G104" s="995" cm="1">
        <f t="array" ref="G104">G56+G80</f>
        <v>8640000</v>
      </c>
      <c r="H104" s="996"/>
      <c r="I104" s="996"/>
      <c r="J104" s="998"/>
      <c r="K104" s="578"/>
    </row>
    <row r="105" ht="16" customHeight="1">
      <c r="A105" s="12"/>
      <c r="B105" t="str" s="1010" cm="1">
        <f t="array" ref="B105">B81</f>
        <v>Extra Services (Massage Table)</v>
      </c>
      <c r="C105" s="1014" cm="1">
        <f t="array" ref="C105">(C57-C81)/C81</f>
        <v>2</v>
      </c>
      <c r="D105" s="996"/>
      <c r="E105" s="996"/>
      <c r="F105" s="996"/>
      <c r="G105" s="1001" cm="1">
        <f t="array" ref="G105">G57+G81</f>
        <v>480000</v>
      </c>
      <c r="H105" s="996"/>
      <c r="I105" s="996"/>
      <c r="J105" s="998"/>
      <c r="K105" s="578"/>
    </row>
    <row r="106" ht="15.5" customHeight="1">
      <c r="A106" s="12"/>
      <c r="B106" s="1006"/>
      <c r="C106" s="1015"/>
      <c r="D106" s="996"/>
      <c r="E106" t="s" s="1016">
        <v>894</v>
      </c>
      <c r="F106" s="996"/>
      <c r="G106" s="1005" cm="1">
        <f t="array" ref="G106">SUM(G85:G105)</f>
        <v>312384000</v>
      </c>
      <c r="H106" s="996"/>
      <c r="I106" s="996"/>
      <c r="J106" s="998"/>
      <c r="K106" s="578"/>
    </row>
    <row r="107" ht="15.5" customHeight="1">
      <c r="A107" s="12"/>
      <c r="B107" s="1017"/>
      <c r="C107" s="1018"/>
      <c r="D107" s="1019"/>
      <c r="E107" s="1019"/>
      <c r="F107" s="1019"/>
      <c r="G107" s="1019"/>
      <c r="H107" s="1019"/>
      <c r="I107" s="1019"/>
      <c r="J107" s="1020"/>
      <c r="K107" s="578"/>
    </row>
    <row r="108" ht="15.5" customHeight="1">
      <c r="A108" s="32"/>
      <c r="B108" s="33"/>
      <c r="C108" s="33"/>
      <c r="D108" s="33"/>
      <c r="E108" s="33"/>
      <c r="F108" s="33"/>
      <c r="G108" s="33"/>
      <c r="H108" s="33"/>
      <c r="I108" s="33"/>
      <c r="J108" s="33"/>
      <c r="K108" s="18"/>
    </row>
    <row r="109" ht="15.5" customHeight="1">
      <c r="A109" s="12"/>
      <c r="B109" t="s" s="1021">
        <v>251</v>
      </c>
      <c r="C109" s="1022"/>
      <c r="D109" s="1022"/>
      <c r="E109" s="1022"/>
      <c r="F109" s="1022"/>
      <c r="G109" s="1022"/>
      <c r="H109" s="1022"/>
      <c r="I109" s="1022"/>
      <c r="J109" s="1023"/>
      <c r="K109" s="578"/>
    </row>
    <row r="110" ht="30" customHeight="1">
      <c r="A110" s="12"/>
      <c r="B110" s="1024"/>
      <c r="C110" t="s" s="1025">
        <v>921</v>
      </c>
      <c r="D110" s="1026"/>
      <c r="E110" t="s" s="1025">
        <v>922</v>
      </c>
      <c r="F110" s="1026"/>
      <c r="G110" t="s" s="1025">
        <v>923</v>
      </c>
      <c r="H110" s="1026"/>
      <c r="I110" t="s" s="1025">
        <v>886</v>
      </c>
      <c r="J110" s="1027"/>
      <c r="K110" s="578"/>
    </row>
    <row r="111" ht="16" customHeight="1">
      <c r="A111" s="12"/>
      <c r="B111" t="s" s="1028">
        <v>924</v>
      </c>
      <c r="C111" s="1029"/>
      <c r="D111" s="1030"/>
      <c r="E111" s="1029" cm="1">
        <f t="array" ref="E111">'Actual Sales 2025'!C72+'Actual Sales 2025'!C220+SUM('Actual Sales 2025'!C212:C219)</f>
        <v>1184617500</v>
      </c>
      <c r="F111" s="1030"/>
      <c r="G111" s="1029" cm="1">
        <f t="array" ref="G111">'Actual Sales 2025'!C72*120%+80000000*12</f>
        <v>1537440000</v>
      </c>
      <c r="H111" s="1030"/>
      <c r="I111" s="1030"/>
      <c r="J111" s="1031"/>
      <c r="K111" s="1032"/>
    </row>
    <row r="112" ht="16" customHeight="1">
      <c r="A112" s="12"/>
      <c r="B112" t="s" s="1028">
        <v>925</v>
      </c>
      <c r="C112" s="1033" cm="1">
        <f t="array" ref="C112">1+E112/E111</f>
        <v>0.26667955986637</v>
      </c>
      <c r="D112" s="1030"/>
      <c r="E112" s="1034" cm="1">
        <f t="array" ref="E112">-SUM('PnL 2025'!C63:L63)-SUM('PnL 2025'!C90:L92)</f>
        <v>-868704226.49</v>
      </c>
      <c r="F112" s="1030"/>
      <c r="G112" s="1034" cm="1">
        <f t="array" ref="G112">-(G111*(1-C112))</f>
        <v>-1127436177.47905</v>
      </c>
      <c r="H112" s="1030"/>
      <c r="I112" s="1030"/>
      <c r="J112" s="1031"/>
      <c r="K112" s="578"/>
    </row>
    <row r="113" ht="15" customHeight="1">
      <c r="A113" s="12"/>
      <c r="B113" s="1035"/>
      <c r="C113" s="1036"/>
      <c r="D113" s="1030"/>
      <c r="E113" s="1037" cm="1">
        <f t="array" ref="E113">E111+E112</f>
        <v>315913273.51</v>
      </c>
      <c r="F113" s="1030"/>
      <c r="G113" s="1037" cm="1">
        <f t="array" ref="G113">SUM(G111:G112)</f>
        <v>410003822.52095</v>
      </c>
      <c r="H113" s="1030"/>
      <c r="I113" s="1030"/>
      <c r="J113" s="1031"/>
      <c r="K113" s="578"/>
    </row>
    <row r="114" ht="15.5" customHeight="1">
      <c r="A114" s="12"/>
      <c r="B114" s="1038"/>
      <c r="C114" s="1039"/>
      <c r="D114" s="1040"/>
      <c r="E114" s="1040"/>
      <c r="F114" s="1040"/>
      <c r="G114" s="1040"/>
      <c r="H114" s="1040"/>
      <c r="I114" s="1040"/>
      <c r="J114" s="1041"/>
      <c r="K114" s="578"/>
    </row>
    <row r="115" ht="15.5" customHeight="1">
      <c r="A115" s="32"/>
      <c r="B115" s="33"/>
      <c r="C115" s="33"/>
      <c r="D115" s="33"/>
      <c r="E115" s="33"/>
      <c r="F115" s="33"/>
      <c r="G115" s="33"/>
      <c r="H115" s="33"/>
      <c r="I115" s="33"/>
      <c r="J115" s="33"/>
      <c r="K115" s="18"/>
    </row>
    <row r="116" ht="15.5" customHeight="1">
      <c r="A116" s="12"/>
      <c r="B116" t="s" s="1042">
        <v>926</v>
      </c>
      <c r="C116" s="398"/>
      <c r="D116" s="398"/>
      <c r="E116" s="398"/>
      <c r="F116" s="398"/>
      <c r="G116" s="398"/>
      <c r="H116" s="398"/>
      <c r="I116" s="398"/>
      <c r="J116" s="1043"/>
      <c r="K116" s="578"/>
    </row>
    <row r="117" ht="30" customHeight="1">
      <c r="A117" s="12"/>
      <c r="B117" s="1044"/>
      <c r="C117" t="s" s="159">
        <v>883</v>
      </c>
      <c r="D117" s="1045"/>
      <c r="E117" t="s" s="159">
        <v>884</v>
      </c>
      <c r="F117" s="1045"/>
      <c r="G117" t="s" s="159">
        <v>927</v>
      </c>
      <c r="H117" s="1045"/>
      <c r="I117" t="s" s="159">
        <v>886</v>
      </c>
      <c r="J117" s="1046"/>
      <c r="K117" s="578"/>
    </row>
    <row r="118" ht="16" customHeight="1">
      <c r="A118" s="12"/>
      <c r="B118" t="s" s="1047">
        <v>928</v>
      </c>
      <c r="C118" s="1048">
        <v>900000</v>
      </c>
      <c r="D118" s="511"/>
      <c r="E118" s="1049" cm="1">
        <f t="array" ref="E118">ROUNDDOWN(('Allocation OH and Target 2026'!K92)*('Actual Sales 2025'!F65/'Actual Sales 2025'!F6),0)</f>
        <v>2615</v>
      </c>
      <c r="F118" s="511"/>
      <c r="G118" s="1048" cm="1">
        <f t="array" ref="G118">C118*E118</f>
        <v>2353500000</v>
      </c>
      <c r="H118" s="511"/>
      <c r="I118" s="511"/>
      <c r="J118" s="1050"/>
      <c r="K118" s="578"/>
    </row>
    <row r="119" ht="16" customHeight="1">
      <c r="A119" s="12"/>
      <c r="B119" t="s" s="1047">
        <v>929</v>
      </c>
      <c r="C119" s="1048" cm="1">
        <f t="array" ref="C119">SUM('Direct Costs 2026'!C67:C68)</f>
        <v>489600</v>
      </c>
      <c r="D119" s="511"/>
      <c r="E119" s="1049" cm="1">
        <f t="array" ref="E119">E118</f>
        <v>2615</v>
      </c>
      <c r="F119" s="511"/>
      <c r="G119" s="1051" cm="1">
        <f t="array" ref="G119">-C119*E119</f>
        <v>-1280304000</v>
      </c>
      <c r="H119" s="511"/>
      <c r="I119" s="511"/>
      <c r="J119" s="1050"/>
      <c r="K119" s="578"/>
    </row>
    <row r="120" ht="15" customHeight="1">
      <c r="A120" s="12"/>
      <c r="B120" t="s" s="1052">
        <v>32</v>
      </c>
      <c r="C120" s="1053" cm="1">
        <f t="array" ref="C120">(C118-C119)/C119</f>
        <v>0.838235294117647</v>
      </c>
      <c r="D120" s="511"/>
      <c r="E120" s="1053"/>
      <c r="F120" s="511"/>
      <c r="G120" s="1054" cm="1">
        <f t="array" ref="G120">SUM(G118:G119)</f>
        <v>1073196000</v>
      </c>
      <c r="H120" s="511"/>
      <c r="I120" s="511"/>
      <c r="J120" s="1050"/>
      <c r="K120" s="578"/>
    </row>
    <row r="121" ht="15.5" customHeight="1">
      <c r="A121" s="570"/>
      <c r="B121" s="1055"/>
      <c r="C121" s="1056"/>
      <c r="D121" s="1057"/>
      <c r="E121" s="1057"/>
      <c r="F121" s="1057"/>
      <c r="G121" s="1057"/>
      <c r="H121" s="1057"/>
      <c r="I121" s="1057"/>
      <c r="J121" s="1058"/>
      <c r="K121" s="105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AT1035"/>
  <sheetViews>
    <sheetView workbookViewId="0" showGridLines="0" defaultGridColor="1"/>
  </sheetViews>
  <sheetFormatPr defaultColWidth="14.5" defaultRowHeight="15" customHeight="1" outlineLevelRow="0" outlineLevelCol="0"/>
  <cols>
    <col min="1" max="1" width="4.5" style="1060" customWidth="1"/>
    <col min="2" max="2" width="5.35156" style="1060" customWidth="1"/>
    <col min="3" max="3" width="23.1719" style="1060" customWidth="1"/>
    <col min="4" max="4" width="17.1719" style="1060" customWidth="1"/>
    <col min="5" max="5" width="15.5" style="1060" customWidth="1"/>
    <col min="6" max="6" width="14.3516" style="1060" customWidth="1"/>
    <col min="7" max="7" width="13.8516" style="1060" customWidth="1"/>
    <col min="8" max="8" width="14" style="1060" customWidth="1"/>
    <col min="9" max="9" width="17.5" style="1060" customWidth="1"/>
    <col min="10" max="10" width="19.1719" style="1060" customWidth="1"/>
    <col min="11" max="11" width="25.8516" style="1060" customWidth="1"/>
    <col min="12" max="12" width="57.6719" style="1060" customWidth="1"/>
    <col min="13" max="13" width="14.8516" style="1060" customWidth="1"/>
    <col min="14" max="14" width="9.85156" style="1060" customWidth="1"/>
    <col min="15" max="19" width="8.85156" style="1060" customWidth="1"/>
    <col min="20" max="20" width="11.1719" style="1060" customWidth="1"/>
    <col min="21" max="32" width="8.85156" style="1060" customWidth="1"/>
    <col min="33" max="46" width="8.67188" style="1060" customWidth="1"/>
    <col min="47" max="16384" width="14.5" style="1060" customWidth="1"/>
  </cols>
  <sheetData>
    <row r="1" ht="14.25" customHeight="1">
      <c r="A1" s="1061"/>
      <c r="B1" s="1062"/>
      <c r="C1" s="1063"/>
      <c r="D1" s="1063"/>
      <c r="E1" s="1063"/>
      <c r="F1" s="1063"/>
      <c r="G1" s="1063"/>
      <c r="H1" s="1063"/>
      <c r="I1" s="1063"/>
      <c r="J1" s="1063"/>
      <c r="K1" s="1064"/>
      <c r="L1" s="1064"/>
      <c r="M1" s="1065"/>
      <c r="N1" s="1065"/>
      <c r="O1" s="1065"/>
      <c r="P1" s="1065"/>
      <c r="Q1" s="1065"/>
      <c r="R1" s="1065"/>
      <c r="S1" s="1065"/>
      <c r="T1" s="1065"/>
      <c r="U1" s="1065"/>
      <c r="V1" s="1065"/>
      <c r="W1" s="1065"/>
      <c r="X1" s="1065"/>
      <c r="Y1" s="1065"/>
      <c r="Z1" s="1065"/>
      <c r="AA1" s="1065"/>
      <c r="AB1" s="1065"/>
      <c r="AC1" s="1065"/>
      <c r="AD1" s="1065"/>
      <c r="AE1" s="1065"/>
      <c r="AF1" s="1065"/>
      <c r="AG1" s="1065"/>
      <c r="AH1" s="1065"/>
      <c r="AI1" s="1065"/>
      <c r="AJ1" s="1065"/>
      <c r="AK1" s="1065"/>
      <c r="AL1" s="1065"/>
      <c r="AM1" s="1065"/>
      <c r="AN1" s="1065"/>
      <c r="AO1" s="1065"/>
      <c r="AP1" s="1065"/>
      <c r="AQ1" s="1065"/>
      <c r="AR1" s="1065"/>
      <c r="AS1" s="1065"/>
      <c r="AT1" s="1066"/>
    </row>
    <row r="2" ht="30.65" customHeight="1">
      <c r="A2" s="1067"/>
      <c r="B2" s="1068"/>
      <c r="C2" t="s" s="1069">
        <v>931</v>
      </c>
      <c r="D2" t="s" s="1069">
        <v>7</v>
      </c>
      <c r="E2" t="s" s="1070">
        <v>932</v>
      </c>
      <c r="F2" t="s" s="1069">
        <v>933</v>
      </c>
      <c r="G2" t="s" s="1069">
        <v>934</v>
      </c>
      <c r="H2" t="s" s="1070">
        <v>935</v>
      </c>
      <c r="I2" t="s" s="1070">
        <v>936</v>
      </c>
      <c r="J2" t="s" s="1070">
        <v>937</v>
      </c>
      <c r="K2" t="s" s="1071">
        <v>938</v>
      </c>
      <c r="L2" t="s" s="1072">
        <v>939</v>
      </c>
      <c r="M2" s="1073"/>
      <c r="N2" s="1074"/>
      <c r="O2" s="1074"/>
      <c r="P2" s="1074"/>
      <c r="Q2" s="1074"/>
      <c r="R2" s="1074"/>
      <c r="S2" s="1074"/>
      <c r="T2" s="1074"/>
      <c r="U2" s="1074"/>
      <c r="V2" s="1074"/>
      <c r="W2" s="1074"/>
      <c r="X2" s="1074"/>
      <c r="Y2" s="1074"/>
      <c r="Z2" s="1074"/>
      <c r="AA2" s="1074"/>
      <c r="AB2" s="1074"/>
      <c r="AC2" s="1074"/>
      <c r="AD2" s="1074"/>
      <c r="AE2" s="1074"/>
      <c r="AF2" s="1074"/>
      <c r="AG2" s="1074"/>
      <c r="AH2" s="1074"/>
      <c r="AI2" s="1074"/>
      <c r="AJ2" s="1074"/>
      <c r="AK2" s="1074"/>
      <c r="AL2" s="1074"/>
      <c r="AM2" s="1074"/>
      <c r="AN2" s="1074"/>
      <c r="AO2" s="1074"/>
      <c r="AP2" s="1074"/>
      <c r="AQ2" s="1074"/>
      <c r="AR2" s="1074"/>
      <c r="AS2" s="1074"/>
      <c r="AT2" s="1075"/>
    </row>
    <row r="3" ht="16.25" customHeight="1">
      <c r="A3" s="1067"/>
      <c r="B3" s="1076">
        <v>1</v>
      </c>
      <c r="C3" t="s" s="1077">
        <v>183</v>
      </c>
      <c r="D3" t="s" s="1078">
        <v>940</v>
      </c>
      <c r="E3" s="1079">
        <v>0.9</v>
      </c>
      <c r="F3" t="s" s="1078">
        <v>941</v>
      </c>
      <c r="G3" t="s" s="1078">
        <v>12</v>
      </c>
      <c r="H3" s="1080">
        <v>14</v>
      </c>
      <c r="I3" s="1080">
        <v>250</v>
      </c>
      <c r="J3" t="s" s="1078">
        <v>14</v>
      </c>
      <c r="K3" t="s" s="1081">
        <v>942</v>
      </c>
      <c r="L3" s="1082"/>
      <c r="M3" s="1073"/>
      <c r="N3" s="1074"/>
      <c r="O3" s="1074"/>
      <c r="P3" s="1074"/>
      <c r="Q3" s="1074"/>
      <c r="R3" s="1074"/>
      <c r="S3" s="1074"/>
      <c r="T3" s="1074"/>
      <c r="U3" s="1074"/>
      <c r="V3" s="1074"/>
      <c r="W3" s="1074"/>
      <c r="X3" s="1074"/>
      <c r="Y3" s="1074"/>
      <c r="Z3" s="1074"/>
      <c r="AA3" s="1074"/>
      <c r="AB3" s="1074"/>
      <c r="AC3" s="1074"/>
      <c r="AD3" s="1074"/>
      <c r="AE3" s="1074"/>
      <c r="AF3" s="1074"/>
      <c r="AG3" s="1074"/>
      <c r="AH3" s="1074"/>
      <c r="AI3" s="1074"/>
      <c r="AJ3" s="1074"/>
      <c r="AK3" s="1074"/>
      <c r="AL3" s="1074"/>
      <c r="AM3" s="1074"/>
      <c r="AN3" s="1074"/>
      <c r="AO3" s="1074"/>
      <c r="AP3" s="1074"/>
      <c r="AQ3" s="1074"/>
      <c r="AR3" s="1074"/>
      <c r="AS3" s="1074"/>
      <c r="AT3" s="1075"/>
    </row>
    <row r="4" ht="16.25" customHeight="1">
      <c r="A4" s="1067"/>
      <c r="B4" s="1083" cm="1">
        <f t="array" ref="B4">B3+1</f>
        <v>2</v>
      </c>
      <c r="C4" t="s" s="1084">
        <v>184</v>
      </c>
      <c r="D4" t="s" s="1085">
        <v>940</v>
      </c>
      <c r="E4" s="1086">
        <v>0.8</v>
      </c>
      <c r="F4" t="s" s="1085">
        <v>941</v>
      </c>
      <c r="G4" t="s" s="1085">
        <v>12</v>
      </c>
      <c r="H4" s="1087">
        <v>14</v>
      </c>
      <c r="I4" s="1087">
        <v>275</v>
      </c>
      <c r="J4" t="s" s="1085">
        <v>14</v>
      </c>
      <c r="K4" t="s" s="1088">
        <v>943</v>
      </c>
      <c r="L4" s="1089"/>
      <c r="M4" s="1073"/>
      <c r="N4" s="1074"/>
      <c r="O4" s="1074"/>
      <c r="P4" s="1074"/>
      <c r="Q4" s="1074"/>
      <c r="R4" s="1074"/>
      <c r="S4" s="1074"/>
      <c r="T4" s="1074"/>
      <c r="U4" s="1074"/>
      <c r="V4" s="1074"/>
      <c r="W4" s="1074"/>
      <c r="X4" s="1074"/>
      <c r="Y4" s="1074"/>
      <c r="Z4" s="1074"/>
      <c r="AA4" s="1074"/>
      <c r="AB4" s="1074"/>
      <c r="AC4" s="1074"/>
      <c r="AD4" s="1074"/>
      <c r="AE4" s="1074"/>
      <c r="AF4" s="1074"/>
      <c r="AG4" s="1074"/>
      <c r="AH4" s="1074"/>
      <c r="AI4" s="1074"/>
      <c r="AJ4" s="1074"/>
      <c r="AK4" s="1074"/>
      <c r="AL4" s="1074"/>
      <c r="AM4" s="1074"/>
      <c r="AN4" s="1074"/>
      <c r="AO4" s="1074"/>
      <c r="AP4" s="1074"/>
      <c r="AQ4" s="1074"/>
      <c r="AR4" s="1074"/>
      <c r="AS4" s="1074"/>
      <c r="AT4" s="1090"/>
    </row>
    <row r="5" ht="16.25" customHeight="1">
      <c r="A5" s="1067"/>
      <c r="B5" s="1083" cm="1">
        <f t="array" ref="B5">B4+1</f>
        <v>3</v>
      </c>
      <c r="C5" t="s" s="1084">
        <v>50</v>
      </c>
      <c r="D5" t="s" s="1085">
        <v>940</v>
      </c>
      <c r="E5" s="1086">
        <v>0.8</v>
      </c>
      <c r="F5" t="s" s="1085">
        <v>941</v>
      </c>
      <c r="G5" t="s" s="1085">
        <v>12</v>
      </c>
      <c r="H5" s="1087">
        <v>13</v>
      </c>
      <c r="I5" s="1087">
        <v>250</v>
      </c>
      <c r="J5" t="s" s="1085">
        <v>14</v>
      </c>
      <c r="K5" t="s" s="1088">
        <v>944</v>
      </c>
      <c r="L5" t="s" s="1091">
        <v>945</v>
      </c>
      <c r="M5" s="1073"/>
      <c r="N5" s="1074"/>
      <c r="O5" s="1074"/>
      <c r="P5" s="1074"/>
      <c r="Q5" s="1074"/>
      <c r="R5" s="1074"/>
      <c r="S5" s="1074"/>
      <c r="T5" s="1074"/>
      <c r="U5" s="1074"/>
      <c r="V5" s="1074"/>
      <c r="W5" s="1074"/>
      <c r="X5" s="1074"/>
      <c r="Y5" s="1074"/>
      <c r="Z5" s="1074"/>
      <c r="AA5" s="1074"/>
      <c r="AB5" s="1074"/>
      <c r="AC5" s="1074"/>
      <c r="AD5" s="1074"/>
      <c r="AE5" s="1074"/>
      <c r="AF5" s="1074"/>
      <c r="AG5" s="1074"/>
      <c r="AH5" s="1074"/>
      <c r="AI5" s="1074"/>
      <c r="AJ5" s="1074"/>
      <c r="AK5" s="1074"/>
      <c r="AL5" s="1074"/>
      <c r="AM5" s="1074"/>
      <c r="AN5" s="1074"/>
      <c r="AO5" s="1074"/>
      <c r="AP5" s="1074"/>
      <c r="AQ5" s="1074"/>
      <c r="AR5" s="1074"/>
      <c r="AS5" s="1074"/>
      <c r="AT5" s="1090"/>
    </row>
    <row r="6" ht="16.25" customHeight="1">
      <c r="A6" s="1067"/>
      <c r="B6" s="1083" cm="1">
        <f t="array" ref="B6">B5+1</f>
        <v>4</v>
      </c>
      <c r="C6" t="s" s="1084">
        <v>51</v>
      </c>
      <c r="D6" t="s" s="1085">
        <v>940</v>
      </c>
      <c r="E6" s="1086">
        <v>0.8</v>
      </c>
      <c r="F6" t="s" s="1085">
        <v>941</v>
      </c>
      <c r="G6" t="s" s="1085">
        <v>12</v>
      </c>
      <c r="H6" s="1087">
        <v>13</v>
      </c>
      <c r="I6" s="1087">
        <v>250</v>
      </c>
      <c r="J6" t="s" s="1085">
        <v>14</v>
      </c>
      <c r="K6" t="s" s="1088">
        <v>946</v>
      </c>
      <c r="L6" t="s" s="1091">
        <v>947</v>
      </c>
      <c r="M6" s="1073"/>
      <c r="N6" s="1074"/>
      <c r="O6" s="1074"/>
      <c r="P6" s="1074"/>
      <c r="Q6" s="1074"/>
      <c r="R6" s="1074"/>
      <c r="S6" s="1074"/>
      <c r="T6" s="1074"/>
      <c r="U6" s="1074"/>
      <c r="V6" s="1074"/>
      <c r="W6" s="1074"/>
      <c r="X6" s="1074"/>
      <c r="Y6" s="1074"/>
      <c r="Z6" s="1074"/>
      <c r="AA6" s="1074"/>
      <c r="AB6" s="1074"/>
      <c r="AC6" s="1074"/>
      <c r="AD6" s="1074"/>
      <c r="AE6" s="1074"/>
      <c r="AF6" s="1074"/>
      <c r="AG6" s="1074"/>
      <c r="AH6" s="1074"/>
      <c r="AI6" s="1074"/>
      <c r="AJ6" s="1074"/>
      <c r="AK6" s="1074"/>
      <c r="AL6" s="1074"/>
      <c r="AM6" s="1074"/>
      <c r="AN6" s="1074"/>
      <c r="AO6" s="1074"/>
      <c r="AP6" s="1074"/>
      <c r="AQ6" s="1074"/>
      <c r="AR6" s="1074"/>
      <c r="AS6" s="1074"/>
      <c r="AT6" s="1090"/>
    </row>
    <row r="7" ht="16.25" customHeight="1">
      <c r="A7" s="1067"/>
      <c r="B7" s="1083" cm="1">
        <f t="array" ref="B7">B6+1</f>
        <v>5</v>
      </c>
      <c r="C7" t="s" s="1084">
        <v>52</v>
      </c>
      <c r="D7" t="s" s="1085">
        <v>940</v>
      </c>
      <c r="E7" s="1086">
        <v>0.8</v>
      </c>
      <c r="F7" t="s" s="1085">
        <v>941</v>
      </c>
      <c r="G7" t="s" s="1085">
        <v>12</v>
      </c>
      <c r="H7" s="1087">
        <v>13</v>
      </c>
      <c r="I7" s="1087">
        <v>250</v>
      </c>
      <c r="J7" t="s" s="1085">
        <v>14</v>
      </c>
      <c r="K7" t="s" s="1088">
        <v>948</v>
      </c>
      <c r="L7" s="1089"/>
      <c r="M7" s="1073"/>
      <c r="N7" s="1074"/>
      <c r="O7" s="1074"/>
      <c r="P7" s="1074"/>
      <c r="Q7" s="1074"/>
      <c r="R7" s="1074"/>
      <c r="S7" s="1074"/>
      <c r="T7" s="1074"/>
      <c r="U7" s="1074"/>
      <c r="V7" s="1074"/>
      <c r="W7" s="1074"/>
      <c r="X7" s="1074"/>
      <c r="Y7" s="1074"/>
      <c r="Z7" s="1074"/>
      <c r="AA7" s="1074"/>
      <c r="AB7" s="1074"/>
      <c r="AC7" s="1074"/>
      <c r="AD7" s="1074"/>
      <c r="AE7" s="1074"/>
      <c r="AF7" s="1074"/>
      <c r="AG7" s="1074"/>
      <c r="AH7" s="1074"/>
      <c r="AI7" s="1074"/>
      <c r="AJ7" s="1074"/>
      <c r="AK7" s="1074"/>
      <c r="AL7" s="1074"/>
      <c r="AM7" s="1074"/>
      <c r="AN7" s="1074"/>
      <c r="AO7" s="1074"/>
      <c r="AP7" s="1074"/>
      <c r="AQ7" s="1074"/>
      <c r="AR7" s="1074"/>
      <c r="AS7" s="1074"/>
      <c r="AT7" s="1090"/>
    </row>
    <row r="8" ht="16.25" customHeight="1">
      <c r="A8" s="1067"/>
      <c r="B8" s="1083" cm="1">
        <f t="array" ref="B8">B7+1</f>
        <v>6</v>
      </c>
      <c r="C8" t="s" s="1084">
        <v>53</v>
      </c>
      <c r="D8" t="s" s="1085">
        <v>940</v>
      </c>
      <c r="E8" s="1086">
        <v>0.7</v>
      </c>
      <c r="F8" t="s" s="1085">
        <v>949</v>
      </c>
      <c r="G8" t="s" s="1085">
        <v>12</v>
      </c>
      <c r="H8" s="1087">
        <v>13</v>
      </c>
      <c r="I8" s="1087">
        <v>250</v>
      </c>
      <c r="J8" t="s" s="1085">
        <v>14</v>
      </c>
      <c r="K8" t="s" s="1088">
        <v>950</v>
      </c>
      <c r="L8" t="s" s="1091">
        <v>951</v>
      </c>
      <c r="M8" s="1073"/>
      <c r="N8" s="1074"/>
      <c r="O8" s="1074"/>
      <c r="P8" s="1074"/>
      <c r="Q8" s="1074"/>
      <c r="R8" s="1074"/>
      <c r="S8" s="1074"/>
      <c r="T8" s="1074"/>
      <c r="U8" s="1074"/>
      <c r="V8" s="1074"/>
      <c r="W8" s="1074"/>
      <c r="X8" s="1074"/>
      <c r="Y8" s="1074"/>
      <c r="Z8" s="1074"/>
      <c r="AA8" s="1074"/>
      <c r="AB8" s="1074"/>
      <c r="AC8" s="1074"/>
      <c r="AD8" s="1074"/>
      <c r="AE8" s="1074"/>
      <c r="AF8" s="1074"/>
      <c r="AG8" s="1074"/>
      <c r="AH8" s="1074"/>
      <c r="AI8" s="1074"/>
      <c r="AJ8" s="1074"/>
      <c r="AK8" s="1074"/>
      <c r="AL8" s="1074"/>
      <c r="AM8" s="1074"/>
      <c r="AN8" s="1074"/>
      <c r="AO8" s="1074"/>
      <c r="AP8" s="1074"/>
      <c r="AQ8" s="1074"/>
      <c r="AR8" s="1074"/>
      <c r="AS8" s="1074"/>
      <c r="AT8" s="1090"/>
    </row>
    <row r="9" ht="16.25" customHeight="1">
      <c r="A9" s="1067"/>
      <c r="B9" s="1083" cm="1">
        <f t="array" ref="B9">B8+1</f>
        <v>7</v>
      </c>
      <c r="C9" t="s" s="1084">
        <v>54</v>
      </c>
      <c r="D9" t="s" s="1085">
        <v>940</v>
      </c>
      <c r="E9" s="1086">
        <v>0.7</v>
      </c>
      <c r="F9" t="s" s="1085">
        <v>949</v>
      </c>
      <c r="G9" t="s" s="1085">
        <v>12</v>
      </c>
      <c r="H9" s="1087">
        <v>13</v>
      </c>
      <c r="I9" s="1087">
        <v>250</v>
      </c>
      <c r="J9" t="s" s="1085">
        <v>14</v>
      </c>
      <c r="K9" t="s" s="1088">
        <v>952</v>
      </c>
      <c r="L9" t="s" s="1091">
        <v>951</v>
      </c>
      <c r="M9" s="1073"/>
      <c r="N9" s="1074"/>
      <c r="O9" s="1074"/>
      <c r="P9" s="1074"/>
      <c r="Q9" s="1074"/>
      <c r="R9" s="1074"/>
      <c r="S9" s="1074"/>
      <c r="T9" s="1074"/>
      <c r="U9" s="1074"/>
      <c r="V9" s="1074"/>
      <c r="W9" s="1074"/>
      <c r="X9" s="1074"/>
      <c r="Y9" s="1074"/>
      <c r="Z9" s="1074"/>
      <c r="AA9" s="1074"/>
      <c r="AB9" s="1074"/>
      <c r="AC9" s="1074"/>
      <c r="AD9" s="1074"/>
      <c r="AE9" s="1074"/>
      <c r="AF9" s="1074"/>
      <c r="AG9" s="1074"/>
      <c r="AH9" s="1074"/>
      <c r="AI9" s="1074"/>
      <c r="AJ9" s="1074"/>
      <c r="AK9" s="1074"/>
      <c r="AL9" s="1074"/>
      <c r="AM9" s="1074"/>
      <c r="AN9" s="1074"/>
      <c r="AO9" s="1074"/>
      <c r="AP9" s="1074"/>
      <c r="AQ9" s="1074"/>
      <c r="AR9" s="1074"/>
      <c r="AS9" s="1074"/>
      <c r="AT9" s="1090"/>
    </row>
    <row r="10" ht="16.25" customHeight="1">
      <c r="A10" s="1067"/>
      <c r="B10" s="1083" cm="1">
        <f t="array" ref="B10">B9+1</f>
        <v>8</v>
      </c>
      <c r="C10" t="s" s="1084">
        <v>55</v>
      </c>
      <c r="D10" t="s" s="1085">
        <v>940</v>
      </c>
      <c r="E10" s="1086">
        <v>0.7</v>
      </c>
      <c r="F10" t="s" s="1085">
        <v>949</v>
      </c>
      <c r="G10" t="s" s="1085">
        <v>12</v>
      </c>
      <c r="H10" s="1087">
        <v>13</v>
      </c>
      <c r="I10" s="1087">
        <v>250</v>
      </c>
      <c r="J10" t="s" s="1085">
        <v>14</v>
      </c>
      <c r="K10" t="s" s="1088">
        <v>953</v>
      </c>
      <c r="L10" t="s" s="1091">
        <v>951</v>
      </c>
      <c r="M10" s="1073"/>
      <c r="N10" s="1074"/>
      <c r="O10" s="1074"/>
      <c r="P10" s="1074"/>
      <c r="Q10" s="1074"/>
      <c r="R10" s="1074"/>
      <c r="S10" s="1074"/>
      <c r="T10" s="1074"/>
      <c r="U10" s="1074"/>
      <c r="V10" s="1074"/>
      <c r="W10" s="1074"/>
      <c r="X10" s="1074"/>
      <c r="Y10" s="1074"/>
      <c r="Z10" s="1074"/>
      <c r="AA10" s="1074"/>
      <c r="AB10" s="1074"/>
      <c r="AC10" s="1074"/>
      <c r="AD10" s="1074"/>
      <c r="AE10" s="1074"/>
      <c r="AF10" s="1074"/>
      <c r="AG10" s="1074"/>
      <c r="AH10" s="1074"/>
      <c r="AI10" s="1074"/>
      <c r="AJ10" s="1074"/>
      <c r="AK10" s="1074"/>
      <c r="AL10" s="1074"/>
      <c r="AM10" s="1074"/>
      <c r="AN10" s="1074"/>
      <c r="AO10" s="1074"/>
      <c r="AP10" s="1074"/>
      <c r="AQ10" s="1074"/>
      <c r="AR10" s="1074"/>
      <c r="AS10" s="1074"/>
      <c r="AT10" s="1090"/>
    </row>
    <row r="11" ht="16.25" customHeight="1">
      <c r="A11" s="1067"/>
      <c r="B11" s="1083" cm="1">
        <f t="array" ref="B11">B10+1</f>
        <v>9</v>
      </c>
      <c r="C11" t="s" s="1084">
        <v>56</v>
      </c>
      <c r="D11" t="s" s="1085">
        <v>940</v>
      </c>
      <c r="E11" s="1086">
        <v>0.6</v>
      </c>
      <c r="F11" t="s" s="1085">
        <v>954</v>
      </c>
      <c r="G11" t="s" s="1085">
        <v>12</v>
      </c>
      <c r="H11" s="1087">
        <v>13</v>
      </c>
      <c r="I11" t="s" s="1085">
        <v>14</v>
      </c>
      <c r="J11" s="1092">
        <v>8000000</v>
      </c>
      <c r="K11" t="s" s="1088">
        <v>955</v>
      </c>
      <c r="L11" s="1089"/>
      <c r="M11" s="1073"/>
      <c r="N11" s="1074"/>
      <c r="O11" s="1074"/>
      <c r="P11" s="1074"/>
      <c r="Q11" s="1074"/>
      <c r="R11" s="1074"/>
      <c r="S11" s="1074"/>
      <c r="T11" s="1074"/>
      <c r="U11" s="1074"/>
      <c r="V11" s="1074"/>
      <c r="W11" s="1074"/>
      <c r="X11" s="1074"/>
      <c r="Y11" s="1074"/>
      <c r="Z11" s="1074"/>
      <c r="AA11" s="1074"/>
      <c r="AB11" s="1074"/>
      <c r="AC11" s="1074"/>
      <c r="AD11" s="1074"/>
      <c r="AE11" s="1074"/>
      <c r="AF11" s="1074"/>
      <c r="AG11" s="1074"/>
      <c r="AH11" s="1074"/>
      <c r="AI11" s="1074"/>
      <c r="AJ11" s="1074"/>
      <c r="AK11" s="1074"/>
      <c r="AL11" s="1074"/>
      <c r="AM11" s="1074"/>
      <c r="AN11" s="1074"/>
      <c r="AO11" s="1074"/>
      <c r="AP11" s="1074"/>
      <c r="AQ11" s="1074"/>
      <c r="AR11" s="1074"/>
      <c r="AS11" s="1074"/>
      <c r="AT11" s="1090"/>
    </row>
    <row r="12" ht="16.25" customHeight="1">
      <c r="A12" s="1067"/>
      <c r="B12" s="1083" cm="1">
        <f t="array" ref="B12">B11+1</f>
        <v>10</v>
      </c>
      <c r="C12" t="s" s="1084">
        <v>57</v>
      </c>
      <c r="D12" t="s" s="1085">
        <v>940</v>
      </c>
      <c r="E12" s="1086">
        <v>0.6</v>
      </c>
      <c r="F12" t="s" s="1085">
        <v>954</v>
      </c>
      <c r="G12" t="s" s="1085">
        <v>12</v>
      </c>
      <c r="H12" s="1087">
        <v>13</v>
      </c>
      <c r="I12" t="s" s="1085">
        <v>14</v>
      </c>
      <c r="J12" s="1092">
        <v>8000000</v>
      </c>
      <c r="K12" t="s" s="1088">
        <v>956</v>
      </c>
      <c r="L12" s="1089"/>
      <c r="M12" s="1073"/>
      <c r="N12" s="1074"/>
      <c r="O12" s="1074"/>
      <c r="P12" s="1074"/>
      <c r="Q12" s="1074"/>
      <c r="R12" s="1074"/>
      <c r="S12" s="1074"/>
      <c r="T12" s="1074"/>
      <c r="U12" s="1074"/>
      <c r="V12" s="1074"/>
      <c r="W12" s="1074"/>
      <c r="X12" s="1074"/>
      <c r="Y12" s="1074"/>
      <c r="Z12" s="1074"/>
      <c r="AA12" s="1074"/>
      <c r="AB12" s="1074"/>
      <c r="AC12" s="1074"/>
      <c r="AD12" s="1074"/>
      <c r="AE12" s="1074"/>
      <c r="AF12" s="1074"/>
      <c r="AG12" s="1074"/>
      <c r="AH12" s="1074"/>
      <c r="AI12" s="1074"/>
      <c r="AJ12" s="1074"/>
      <c r="AK12" s="1074"/>
      <c r="AL12" s="1074"/>
      <c r="AM12" s="1074"/>
      <c r="AN12" s="1074"/>
      <c r="AO12" s="1074"/>
      <c r="AP12" s="1074"/>
      <c r="AQ12" s="1074"/>
      <c r="AR12" s="1074"/>
      <c r="AS12" s="1074"/>
      <c r="AT12" s="1090"/>
    </row>
    <row r="13" ht="16.25" customHeight="1">
      <c r="A13" s="1067"/>
      <c r="B13" s="1083" cm="1">
        <f t="array" ref="B13">B12+1</f>
        <v>11</v>
      </c>
      <c r="C13" t="s" s="1084">
        <v>957</v>
      </c>
      <c r="D13" t="s" s="1085">
        <v>11</v>
      </c>
      <c r="E13" s="1086">
        <v>1</v>
      </c>
      <c r="F13" t="s" s="1085">
        <v>941</v>
      </c>
      <c r="G13" t="s" s="1085">
        <v>12</v>
      </c>
      <c r="H13" s="1087">
        <v>14</v>
      </c>
      <c r="I13" t="s" s="1085">
        <v>958</v>
      </c>
      <c r="J13" t="s" s="1085">
        <v>14</v>
      </c>
      <c r="K13" t="s" s="1088">
        <v>959</v>
      </c>
      <c r="L13" t="s" s="1091">
        <v>960</v>
      </c>
      <c r="M13" s="1073"/>
      <c r="N13" s="1074"/>
      <c r="O13" s="1074"/>
      <c r="P13" s="1074"/>
      <c r="Q13" s="1074"/>
      <c r="R13" s="1074"/>
      <c r="S13" s="1074"/>
      <c r="T13" s="1074"/>
      <c r="U13" s="1074"/>
      <c r="V13" s="1074"/>
      <c r="W13" s="1074"/>
      <c r="X13" s="1074"/>
      <c r="Y13" s="1074"/>
      <c r="Z13" s="1074"/>
      <c r="AA13" s="1074"/>
      <c r="AB13" s="1074"/>
      <c r="AC13" s="1074"/>
      <c r="AD13" s="1074"/>
      <c r="AE13" s="1074"/>
      <c r="AF13" s="1074"/>
      <c r="AG13" s="1074"/>
      <c r="AH13" s="1074"/>
      <c r="AI13" s="1074"/>
      <c r="AJ13" s="1074"/>
      <c r="AK13" s="1074"/>
      <c r="AL13" s="1074"/>
      <c r="AM13" s="1074"/>
      <c r="AN13" s="1074"/>
      <c r="AO13" s="1074"/>
      <c r="AP13" s="1074"/>
      <c r="AQ13" s="1074"/>
      <c r="AR13" s="1074"/>
      <c r="AS13" s="1074"/>
      <c r="AT13" s="1090"/>
    </row>
    <row r="14" ht="16.25" customHeight="1">
      <c r="A14" s="1067"/>
      <c r="B14" s="1083" cm="1">
        <f t="array" ref="B14">B13+1</f>
        <v>12</v>
      </c>
      <c r="C14" t="s" s="1084">
        <v>58</v>
      </c>
      <c r="D14" t="s" s="1085">
        <v>940</v>
      </c>
      <c r="E14" s="1086">
        <v>0.5</v>
      </c>
      <c r="F14" t="s" s="1085">
        <v>949</v>
      </c>
      <c r="G14" t="s" s="1085">
        <v>12</v>
      </c>
      <c r="H14" s="1087">
        <v>13</v>
      </c>
      <c r="I14" s="1087">
        <v>250</v>
      </c>
      <c r="J14" t="s" s="1085">
        <v>14</v>
      </c>
      <c r="K14" t="s" s="1088">
        <v>961</v>
      </c>
      <c r="L14" t="s" s="1091">
        <v>951</v>
      </c>
      <c r="M14" s="1073"/>
      <c r="N14" s="1074"/>
      <c r="O14" s="1074"/>
      <c r="P14" s="1074"/>
      <c r="Q14" s="1074"/>
      <c r="R14" s="1074"/>
      <c r="S14" s="1074"/>
      <c r="T14" s="1074"/>
      <c r="U14" s="1074"/>
      <c r="V14" s="1074"/>
      <c r="W14" s="1074"/>
      <c r="X14" s="1074"/>
      <c r="Y14" s="1074"/>
      <c r="Z14" s="1074"/>
      <c r="AA14" s="1074"/>
      <c r="AB14" s="1074"/>
      <c r="AC14" s="1074"/>
      <c r="AD14" s="1074"/>
      <c r="AE14" s="1074"/>
      <c r="AF14" s="1074"/>
      <c r="AG14" s="1074"/>
      <c r="AH14" s="1074"/>
      <c r="AI14" s="1074"/>
      <c r="AJ14" s="1074"/>
      <c r="AK14" s="1074"/>
      <c r="AL14" s="1074"/>
      <c r="AM14" s="1074"/>
      <c r="AN14" s="1074"/>
      <c r="AO14" s="1074"/>
      <c r="AP14" s="1074"/>
      <c r="AQ14" s="1074"/>
      <c r="AR14" s="1074"/>
      <c r="AS14" s="1074"/>
      <c r="AT14" s="1090"/>
    </row>
    <row r="15" ht="16.25" customHeight="1">
      <c r="A15" s="1067"/>
      <c r="B15" s="1083" cm="1">
        <f t="array" ref="B15">B14+1</f>
        <v>13</v>
      </c>
      <c r="C15" t="s" s="1084">
        <v>111</v>
      </c>
      <c r="D15" t="s" s="1085">
        <v>940</v>
      </c>
      <c r="E15" s="1086">
        <v>0.1</v>
      </c>
      <c r="F15" t="s" s="1085">
        <v>954</v>
      </c>
      <c r="G15" t="s" s="1085">
        <v>12</v>
      </c>
      <c r="H15" s="1087">
        <v>13</v>
      </c>
      <c r="I15" t="s" s="1085">
        <v>14</v>
      </c>
      <c r="J15" s="1092">
        <v>8500000</v>
      </c>
      <c r="K15" t="s" s="1088">
        <v>962</v>
      </c>
      <c r="L15" s="1089"/>
      <c r="M15" s="1073"/>
      <c r="N15" s="1074"/>
      <c r="O15" s="1074"/>
      <c r="P15" s="1074"/>
      <c r="Q15" s="1074"/>
      <c r="R15" s="1074"/>
      <c r="S15" s="1074"/>
      <c r="T15" s="1074"/>
      <c r="U15" s="1074"/>
      <c r="V15" s="1074"/>
      <c r="W15" s="1074"/>
      <c r="X15" s="1074"/>
      <c r="Y15" s="1074"/>
      <c r="Z15" s="1074"/>
      <c r="AA15" s="1074"/>
      <c r="AB15" s="1074"/>
      <c r="AC15" s="1074"/>
      <c r="AD15" s="1074"/>
      <c r="AE15" s="1074"/>
      <c r="AF15" s="1074"/>
      <c r="AG15" s="1074"/>
      <c r="AH15" s="1074"/>
      <c r="AI15" s="1074"/>
      <c r="AJ15" s="1074"/>
      <c r="AK15" s="1074"/>
      <c r="AL15" s="1074"/>
      <c r="AM15" s="1074"/>
      <c r="AN15" s="1074"/>
      <c r="AO15" s="1074"/>
      <c r="AP15" s="1074"/>
      <c r="AQ15" s="1074"/>
      <c r="AR15" s="1074"/>
      <c r="AS15" s="1074"/>
      <c r="AT15" s="1090"/>
    </row>
    <row r="16" ht="16.25" customHeight="1">
      <c r="A16" s="1067"/>
      <c r="B16" s="1083" cm="1">
        <f t="array" ref="B16">B15+1</f>
        <v>14</v>
      </c>
      <c r="C16" t="s" s="1084">
        <v>185</v>
      </c>
      <c r="D16" t="s" s="1085">
        <v>940</v>
      </c>
      <c r="E16" s="1086">
        <v>0.6</v>
      </c>
      <c r="F16" t="s" s="1085">
        <v>954</v>
      </c>
      <c r="G16" t="s" s="1085">
        <v>12</v>
      </c>
      <c r="H16" s="1087">
        <v>13</v>
      </c>
      <c r="I16" t="s" s="1085">
        <v>14</v>
      </c>
      <c r="J16" s="1092">
        <v>5675000</v>
      </c>
      <c r="K16" t="s" s="1088">
        <v>185</v>
      </c>
      <c r="L16" s="1089"/>
      <c r="M16" s="1073"/>
      <c r="N16" s="1074"/>
      <c r="O16" s="1074"/>
      <c r="P16" s="1074"/>
      <c r="Q16" s="1074"/>
      <c r="R16" s="1074"/>
      <c r="S16" s="1074"/>
      <c r="T16" s="1074"/>
      <c r="U16" s="1074"/>
      <c r="V16" s="1074"/>
      <c r="W16" s="1074"/>
      <c r="X16" s="1074"/>
      <c r="Y16" s="1074"/>
      <c r="Z16" s="1074"/>
      <c r="AA16" s="1074"/>
      <c r="AB16" s="1074"/>
      <c r="AC16" s="1074"/>
      <c r="AD16" s="1074"/>
      <c r="AE16" s="1074"/>
      <c r="AF16" s="1074"/>
      <c r="AG16" s="1074"/>
      <c r="AH16" s="1074"/>
      <c r="AI16" s="1074"/>
      <c r="AJ16" s="1074"/>
      <c r="AK16" s="1074"/>
      <c r="AL16" s="1074"/>
      <c r="AM16" s="1074"/>
      <c r="AN16" s="1074"/>
      <c r="AO16" s="1074"/>
      <c r="AP16" s="1074"/>
      <c r="AQ16" s="1074"/>
      <c r="AR16" s="1074"/>
      <c r="AS16" s="1074"/>
      <c r="AT16" s="1090"/>
    </row>
    <row r="17" ht="16.25" customHeight="1">
      <c r="A17" s="1067"/>
      <c r="B17" s="1083" cm="1">
        <f t="array" ref="B17">B16+1</f>
        <v>15</v>
      </c>
      <c r="C17" t="s" s="1084">
        <v>186</v>
      </c>
      <c r="D17" t="s" s="1085">
        <v>940</v>
      </c>
      <c r="E17" s="1086">
        <v>0.3</v>
      </c>
      <c r="F17" t="s" s="1085">
        <v>963</v>
      </c>
      <c r="G17" t="s" s="1085">
        <v>12</v>
      </c>
      <c r="H17" s="1087">
        <v>14</v>
      </c>
      <c r="I17" t="s" s="1085">
        <v>14</v>
      </c>
      <c r="J17" s="1092">
        <v>6675000</v>
      </c>
      <c r="K17" t="s" s="1088">
        <v>186</v>
      </c>
      <c r="L17" s="1089"/>
      <c r="M17" s="1073"/>
      <c r="N17" s="1074"/>
      <c r="O17" s="1074"/>
      <c r="P17" s="1074"/>
      <c r="Q17" s="1074"/>
      <c r="R17" s="1074"/>
      <c r="S17" s="1074"/>
      <c r="T17" s="1074"/>
      <c r="U17" s="1074"/>
      <c r="V17" s="1074"/>
      <c r="W17" s="1074"/>
      <c r="X17" s="1074"/>
      <c r="Y17" s="1074"/>
      <c r="Z17" s="1074"/>
      <c r="AA17" s="1074"/>
      <c r="AB17" s="1074"/>
      <c r="AC17" s="1074"/>
      <c r="AD17" s="1074"/>
      <c r="AE17" s="1074"/>
      <c r="AF17" s="1074"/>
      <c r="AG17" s="1074"/>
      <c r="AH17" s="1074"/>
      <c r="AI17" s="1074"/>
      <c r="AJ17" s="1074"/>
      <c r="AK17" s="1074"/>
      <c r="AL17" s="1074"/>
      <c r="AM17" s="1074"/>
      <c r="AN17" s="1074"/>
      <c r="AO17" s="1074"/>
      <c r="AP17" s="1074"/>
      <c r="AQ17" s="1074"/>
      <c r="AR17" s="1074"/>
      <c r="AS17" s="1074"/>
      <c r="AT17" s="1090"/>
    </row>
    <row r="18" ht="16.25" customHeight="1">
      <c r="A18" s="1067"/>
      <c r="B18" s="1083" cm="1">
        <f t="array" ref="B18">B17+1</f>
        <v>16</v>
      </c>
      <c r="C18" t="s" s="1084">
        <v>187</v>
      </c>
      <c r="D18" t="s" s="1085">
        <v>940</v>
      </c>
      <c r="E18" s="1086">
        <v>0.6</v>
      </c>
      <c r="F18" t="s" s="1085">
        <v>954</v>
      </c>
      <c r="G18" t="s" s="1085">
        <v>12</v>
      </c>
      <c r="H18" s="1087">
        <v>13</v>
      </c>
      <c r="I18" t="s" s="1085">
        <v>14</v>
      </c>
      <c r="J18" s="1092">
        <v>5675000</v>
      </c>
      <c r="K18" t="s" s="1088">
        <v>185</v>
      </c>
      <c r="L18" s="1089"/>
      <c r="M18" s="1073"/>
      <c r="N18" s="1074"/>
      <c r="O18" s="1074"/>
      <c r="P18" s="1074"/>
      <c r="Q18" s="1074"/>
      <c r="R18" s="1074"/>
      <c r="S18" s="1074"/>
      <c r="T18" s="1074"/>
      <c r="U18" s="1074"/>
      <c r="V18" s="1074"/>
      <c r="W18" s="1074"/>
      <c r="X18" s="1074"/>
      <c r="Y18" s="1074"/>
      <c r="Z18" s="1074"/>
      <c r="AA18" s="1074"/>
      <c r="AB18" s="1074"/>
      <c r="AC18" s="1074"/>
      <c r="AD18" s="1074"/>
      <c r="AE18" s="1074"/>
      <c r="AF18" s="1074"/>
      <c r="AG18" s="1074"/>
      <c r="AH18" s="1074"/>
      <c r="AI18" s="1074"/>
      <c r="AJ18" s="1074"/>
      <c r="AK18" s="1074"/>
      <c r="AL18" s="1074"/>
      <c r="AM18" s="1074"/>
      <c r="AN18" s="1074"/>
      <c r="AO18" s="1074"/>
      <c r="AP18" s="1074"/>
      <c r="AQ18" s="1074"/>
      <c r="AR18" s="1074"/>
      <c r="AS18" s="1074"/>
      <c r="AT18" s="1090"/>
    </row>
    <row r="19" ht="16.25" customHeight="1">
      <c r="A19" s="1067"/>
      <c r="B19" s="1083" cm="1">
        <f t="array" ref="B19">B18+1</f>
        <v>17</v>
      </c>
      <c r="C19" t="s" s="1084">
        <v>48</v>
      </c>
      <c r="D19" t="s" s="1085">
        <v>940</v>
      </c>
      <c r="E19" s="1086">
        <v>0.5</v>
      </c>
      <c r="F19" t="s" s="1085">
        <v>954</v>
      </c>
      <c r="G19" t="s" s="1085">
        <v>12</v>
      </c>
      <c r="H19" s="1087">
        <v>13</v>
      </c>
      <c r="I19" t="s" s="1085">
        <v>14</v>
      </c>
      <c r="J19" s="1092">
        <v>7500000</v>
      </c>
      <c r="K19" t="s" s="1088">
        <v>185</v>
      </c>
      <c r="L19" s="1089"/>
      <c r="M19" s="1073"/>
      <c r="N19" s="1074"/>
      <c r="O19" s="1074"/>
      <c r="P19" s="1074"/>
      <c r="Q19" s="1074"/>
      <c r="R19" s="1074"/>
      <c r="S19" s="1074"/>
      <c r="T19" s="1074"/>
      <c r="U19" s="1074"/>
      <c r="V19" s="1074"/>
      <c r="W19" s="1074"/>
      <c r="X19" s="1074"/>
      <c r="Y19" s="1074"/>
      <c r="Z19" s="1074"/>
      <c r="AA19" s="1074"/>
      <c r="AB19" s="1074"/>
      <c r="AC19" s="1074"/>
      <c r="AD19" s="1074"/>
      <c r="AE19" s="1074"/>
      <c r="AF19" s="1074"/>
      <c r="AG19" s="1074"/>
      <c r="AH19" s="1074"/>
      <c r="AI19" s="1074"/>
      <c r="AJ19" s="1074"/>
      <c r="AK19" s="1074"/>
      <c r="AL19" s="1074"/>
      <c r="AM19" s="1074"/>
      <c r="AN19" s="1074"/>
      <c r="AO19" s="1074"/>
      <c r="AP19" s="1074"/>
      <c r="AQ19" s="1074"/>
      <c r="AR19" s="1074"/>
      <c r="AS19" s="1074"/>
      <c r="AT19" s="1090"/>
    </row>
    <row r="20" ht="16.25" customHeight="1">
      <c r="A20" s="1067"/>
      <c r="B20" s="1083" cm="1">
        <f t="array" ref="B20">B19+1</f>
        <v>18</v>
      </c>
      <c r="C20" t="s" s="1084">
        <v>49</v>
      </c>
      <c r="D20" t="s" s="1085">
        <v>940</v>
      </c>
      <c r="E20" s="1086">
        <v>0.6</v>
      </c>
      <c r="F20" t="s" s="1085">
        <v>954</v>
      </c>
      <c r="G20" t="s" s="1085">
        <v>12</v>
      </c>
      <c r="H20" s="1087">
        <v>13</v>
      </c>
      <c r="I20" t="s" s="1085">
        <v>14</v>
      </c>
      <c r="J20" s="1092">
        <v>7500000</v>
      </c>
      <c r="K20" t="s" s="1088">
        <v>185</v>
      </c>
      <c r="L20" s="1089"/>
      <c r="M20" s="1073"/>
      <c r="N20" s="1074"/>
      <c r="O20" s="1074"/>
      <c r="P20" s="1074"/>
      <c r="Q20" s="1074"/>
      <c r="R20" s="1074"/>
      <c r="S20" s="1074"/>
      <c r="T20" s="1074"/>
      <c r="U20" s="1074"/>
      <c r="V20" s="1074"/>
      <c r="W20" s="1074"/>
      <c r="X20" s="1074"/>
      <c r="Y20" s="1074"/>
      <c r="Z20" s="1074"/>
      <c r="AA20" s="1074"/>
      <c r="AB20" s="1074"/>
      <c r="AC20" s="1074"/>
      <c r="AD20" s="1074"/>
      <c r="AE20" s="1074"/>
      <c r="AF20" s="1074"/>
      <c r="AG20" s="1074"/>
      <c r="AH20" s="1074"/>
      <c r="AI20" s="1074"/>
      <c r="AJ20" s="1074"/>
      <c r="AK20" s="1074"/>
      <c r="AL20" s="1074"/>
      <c r="AM20" s="1074"/>
      <c r="AN20" s="1074"/>
      <c r="AO20" s="1074"/>
      <c r="AP20" s="1074"/>
      <c r="AQ20" s="1074"/>
      <c r="AR20" s="1074"/>
      <c r="AS20" s="1074"/>
      <c r="AT20" s="1090"/>
    </row>
    <row r="21" ht="16.25" customHeight="1">
      <c r="A21" s="1067"/>
      <c r="B21" s="1083" cm="1">
        <f t="array" ref="B21">B20+1</f>
        <v>19</v>
      </c>
      <c r="C21" t="s" s="1084">
        <v>103</v>
      </c>
      <c r="D21" t="s" s="1085">
        <v>13</v>
      </c>
      <c r="E21" s="1086">
        <v>0</v>
      </c>
      <c r="F21" t="s" s="1085">
        <v>949</v>
      </c>
      <c r="G21" t="s" s="1085">
        <v>12</v>
      </c>
      <c r="H21" s="1087">
        <v>10</v>
      </c>
      <c r="I21" t="s" s="1085">
        <v>958</v>
      </c>
      <c r="J21" t="s" s="1085">
        <v>14</v>
      </c>
      <c r="K21" t="s" s="1088">
        <v>964</v>
      </c>
      <c r="L21" t="s" s="1091">
        <v>965</v>
      </c>
      <c r="M21" s="1073"/>
      <c r="N21" s="1074"/>
      <c r="O21" s="1074"/>
      <c r="P21" s="1074"/>
      <c r="Q21" s="1074"/>
      <c r="R21" s="1074"/>
      <c r="S21" s="1074"/>
      <c r="T21" s="1074"/>
      <c r="U21" s="1074"/>
      <c r="V21" s="1074"/>
      <c r="W21" s="1074"/>
      <c r="X21" s="1074"/>
      <c r="Y21" s="1074"/>
      <c r="Z21" s="1074"/>
      <c r="AA21" s="1074"/>
      <c r="AB21" s="1074"/>
      <c r="AC21" s="1074"/>
      <c r="AD21" s="1074"/>
      <c r="AE21" s="1074"/>
      <c r="AF21" s="1074"/>
      <c r="AG21" s="1074"/>
      <c r="AH21" s="1074"/>
      <c r="AI21" s="1074"/>
      <c r="AJ21" s="1074"/>
      <c r="AK21" s="1074"/>
      <c r="AL21" s="1074"/>
      <c r="AM21" s="1074"/>
      <c r="AN21" s="1074"/>
      <c r="AO21" s="1074"/>
      <c r="AP21" s="1074"/>
      <c r="AQ21" s="1074"/>
      <c r="AR21" s="1074"/>
      <c r="AS21" s="1074"/>
      <c r="AT21" s="1090"/>
    </row>
    <row r="22" ht="16.25" customHeight="1">
      <c r="A22" s="1067"/>
      <c r="B22" s="1083" cm="1">
        <f t="array" ref="B22">B21+1</f>
        <v>20</v>
      </c>
      <c r="C22" t="s" s="1084">
        <v>104</v>
      </c>
      <c r="D22" t="s" s="1085">
        <v>13</v>
      </c>
      <c r="E22" s="1086">
        <v>0</v>
      </c>
      <c r="F22" t="s" s="1085">
        <v>949</v>
      </c>
      <c r="G22" t="s" s="1085">
        <v>12</v>
      </c>
      <c r="H22" s="1087">
        <v>13</v>
      </c>
      <c r="I22" t="s" s="1085">
        <v>966</v>
      </c>
      <c r="J22" t="s" s="1085">
        <v>14</v>
      </c>
      <c r="K22" t="s" s="1088">
        <v>964</v>
      </c>
      <c r="L22" t="s" s="1091">
        <v>965</v>
      </c>
      <c r="M22" s="1073"/>
      <c r="N22" s="1074"/>
      <c r="O22" s="1074"/>
      <c r="P22" s="1074"/>
      <c r="Q22" s="1074"/>
      <c r="R22" s="1074"/>
      <c r="S22" s="1074"/>
      <c r="T22" s="1074"/>
      <c r="U22" s="1074"/>
      <c r="V22" s="1074"/>
      <c r="W22" s="1074"/>
      <c r="X22" s="1074"/>
      <c r="Y22" s="1074"/>
      <c r="Z22" s="1074"/>
      <c r="AA22" s="1074"/>
      <c r="AB22" s="1074"/>
      <c r="AC22" s="1074"/>
      <c r="AD22" s="1074"/>
      <c r="AE22" s="1074"/>
      <c r="AF22" s="1074"/>
      <c r="AG22" s="1074"/>
      <c r="AH22" s="1074"/>
      <c r="AI22" s="1074"/>
      <c r="AJ22" s="1074"/>
      <c r="AK22" s="1074"/>
      <c r="AL22" s="1074"/>
      <c r="AM22" s="1074"/>
      <c r="AN22" s="1074"/>
      <c r="AO22" s="1074"/>
      <c r="AP22" s="1074"/>
      <c r="AQ22" s="1074"/>
      <c r="AR22" s="1074"/>
      <c r="AS22" s="1074"/>
      <c r="AT22" s="1090"/>
    </row>
    <row r="23" ht="16.25" customHeight="1">
      <c r="A23" s="1067"/>
      <c r="B23" s="1083" cm="1">
        <f t="array" ref="B23">B22+1</f>
        <v>21</v>
      </c>
      <c r="C23" t="s" s="1084">
        <v>188</v>
      </c>
      <c r="D23" t="s" s="1085">
        <v>11</v>
      </c>
      <c r="E23" s="1086">
        <v>1</v>
      </c>
      <c r="F23" t="s" s="1085">
        <v>954</v>
      </c>
      <c r="G23" t="s" s="1085">
        <v>12</v>
      </c>
      <c r="H23" s="1087">
        <v>14</v>
      </c>
      <c r="I23" t="s" s="1085">
        <v>14</v>
      </c>
      <c r="J23" s="1092">
        <v>5675000</v>
      </c>
      <c r="K23" t="s" s="1088">
        <v>962</v>
      </c>
      <c r="L23" s="1089"/>
      <c r="M23" s="1073"/>
      <c r="N23" s="1074"/>
      <c r="O23" s="1074"/>
      <c r="P23" s="1074"/>
      <c r="Q23" s="1074"/>
      <c r="R23" s="1074"/>
      <c r="S23" s="1074"/>
      <c r="T23" s="1074"/>
      <c r="U23" s="1074"/>
      <c r="V23" s="1074"/>
      <c r="W23" s="1074"/>
      <c r="X23" s="1074"/>
      <c r="Y23" s="1074"/>
      <c r="Z23" s="1074"/>
      <c r="AA23" s="1074"/>
      <c r="AB23" s="1074"/>
      <c r="AC23" s="1074"/>
      <c r="AD23" s="1074"/>
      <c r="AE23" s="1074"/>
      <c r="AF23" s="1074"/>
      <c r="AG23" s="1074"/>
      <c r="AH23" s="1074"/>
      <c r="AI23" s="1074"/>
      <c r="AJ23" s="1074"/>
      <c r="AK23" s="1074"/>
      <c r="AL23" s="1074"/>
      <c r="AM23" s="1074"/>
      <c r="AN23" s="1074"/>
      <c r="AO23" s="1074"/>
      <c r="AP23" s="1074"/>
      <c r="AQ23" s="1074"/>
      <c r="AR23" s="1074"/>
      <c r="AS23" s="1074"/>
      <c r="AT23" s="1090"/>
    </row>
    <row r="24" ht="16.25" customHeight="1">
      <c r="A24" s="1067"/>
      <c r="B24" s="1093" cm="1">
        <f t="array" ref="B24">B23+1</f>
        <v>22</v>
      </c>
      <c r="C24" t="s" s="1094">
        <v>189</v>
      </c>
      <c r="D24" t="s" s="1095">
        <v>13</v>
      </c>
      <c r="E24" s="1096">
        <v>0</v>
      </c>
      <c r="F24" t="s" s="1095">
        <v>61</v>
      </c>
      <c r="G24" t="s" s="1095">
        <v>12</v>
      </c>
      <c r="H24" s="1097">
        <v>20</v>
      </c>
      <c r="I24" t="s" s="1095">
        <v>967</v>
      </c>
      <c r="J24" t="s" s="1095">
        <v>14</v>
      </c>
      <c r="K24" t="s" s="1098">
        <v>189</v>
      </c>
      <c r="L24" t="s" s="1099">
        <v>968</v>
      </c>
      <c r="M24" s="1073"/>
      <c r="N24" s="1100"/>
      <c r="O24" s="1074"/>
      <c r="P24" s="1074"/>
      <c r="Q24" s="1074"/>
      <c r="R24" s="1074"/>
      <c r="S24" s="1074"/>
      <c r="T24" s="1074"/>
      <c r="U24" s="1074"/>
      <c r="V24" s="1074"/>
      <c r="W24" s="1074"/>
      <c r="X24" s="1074"/>
      <c r="Y24" s="1074"/>
      <c r="Z24" s="1074"/>
      <c r="AA24" s="1074"/>
      <c r="AB24" s="1074"/>
      <c r="AC24" s="1074"/>
      <c r="AD24" s="1074"/>
      <c r="AE24" s="1074"/>
      <c r="AF24" s="1074"/>
      <c r="AG24" s="1074"/>
      <c r="AH24" s="1074"/>
      <c r="AI24" s="1074"/>
      <c r="AJ24" s="1074"/>
      <c r="AK24" s="1074"/>
      <c r="AL24" s="1074"/>
      <c r="AM24" s="1074"/>
      <c r="AN24" s="1074"/>
      <c r="AO24" s="1074"/>
      <c r="AP24" s="1074"/>
      <c r="AQ24" s="1074"/>
      <c r="AR24" s="1074"/>
      <c r="AS24" s="1074"/>
      <c r="AT24" s="1090"/>
    </row>
    <row r="25" ht="16.25" customHeight="1">
      <c r="A25" s="1067"/>
      <c r="B25" s="1093" cm="1">
        <f t="array" ref="B25">B24+1</f>
        <v>23</v>
      </c>
      <c r="C25" t="s" s="1094">
        <v>190</v>
      </c>
      <c r="D25" t="s" s="1095">
        <v>13</v>
      </c>
      <c r="E25" s="1096">
        <v>0</v>
      </c>
      <c r="F25" t="s" s="1095">
        <v>61</v>
      </c>
      <c r="G25" t="s" s="1095">
        <v>12</v>
      </c>
      <c r="H25" s="1097">
        <v>12</v>
      </c>
      <c r="I25" t="s" s="1095">
        <v>14</v>
      </c>
      <c r="J25" s="1101">
        <v>9000000</v>
      </c>
      <c r="K25" t="s" s="1098">
        <v>959</v>
      </c>
      <c r="L25" s="1102"/>
      <c r="M25" s="1073"/>
      <c r="N25" s="1074"/>
      <c r="O25" s="1074"/>
      <c r="P25" s="1074"/>
      <c r="Q25" s="1074"/>
      <c r="R25" s="1074"/>
      <c r="S25" s="1074"/>
      <c r="T25" s="1074"/>
      <c r="U25" s="1074"/>
      <c r="V25" s="1074"/>
      <c r="W25" s="1074"/>
      <c r="X25" s="1074"/>
      <c r="Y25" s="1074"/>
      <c r="Z25" s="1074"/>
      <c r="AA25" s="1074"/>
      <c r="AB25" s="1074"/>
      <c r="AC25" s="1074"/>
      <c r="AD25" s="1074"/>
      <c r="AE25" s="1074"/>
      <c r="AF25" s="1074"/>
      <c r="AG25" s="1074"/>
      <c r="AH25" s="1074"/>
      <c r="AI25" s="1074"/>
      <c r="AJ25" s="1074"/>
      <c r="AK25" s="1074"/>
      <c r="AL25" s="1074"/>
      <c r="AM25" s="1074"/>
      <c r="AN25" s="1074"/>
      <c r="AO25" s="1074"/>
      <c r="AP25" s="1074"/>
      <c r="AQ25" s="1074"/>
      <c r="AR25" s="1074"/>
      <c r="AS25" s="1074"/>
      <c r="AT25" s="1090"/>
    </row>
    <row r="26" ht="16.25" customHeight="1">
      <c r="A26" s="1067"/>
      <c r="B26" s="1083" cm="1">
        <f t="array" ref="B26">B25+1</f>
        <v>24</v>
      </c>
      <c r="C26" t="s" s="1084">
        <v>191</v>
      </c>
      <c r="D26" t="s" s="1085">
        <v>13</v>
      </c>
      <c r="E26" s="1086">
        <v>0</v>
      </c>
      <c r="F26" t="s" s="1085">
        <v>954</v>
      </c>
      <c r="G26" t="s" s="1085">
        <v>12</v>
      </c>
      <c r="H26" s="1087">
        <v>8</v>
      </c>
      <c r="I26" t="s" s="1085">
        <v>14</v>
      </c>
      <c r="J26" s="1092">
        <v>5200000</v>
      </c>
      <c r="K26" t="s" s="1088">
        <v>969</v>
      </c>
      <c r="L26" s="1103"/>
      <c r="M26" s="1073"/>
      <c r="N26" s="1074"/>
      <c r="O26" s="1074"/>
      <c r="P26" s="1074"/>
      <c r="Q26" s="1074"/>
      <c r="R26" s="1074"/>
      <c r="S26" s="1074"/>
      <c r="T26" s="1074"/>
      <c r="U26" s="1074"/>
      <c r="V26" s="1074"/>
      <c r="W26" s="1074"/>
      <c r="X26" s="1074"/>
      <c r="Y26" s="1074"/>
      <c r="Z26" s="1074"/>
      <c r="AA26" s="1074"/>
      <c r="AB26" s="1074"/>
      <c r="AC26" s="1074"/>
      <c r="AD26" s="1074"/>
      <c r="AE26" s="1074"/>
      <c r="AF26" s="1074"/>
      <c r="AG26" s="1074"/>
      <c r="AH26" s="1074"/>
      <c r="AI26" s="1074"/>
      <c r="AJ26" s="1074"/>
      <c r="AK26" s="1074"/>
      <c r="AL26" s="1074"/>
      <c r="AM26" s="1074"/>
      <c r="AN26" s="1074"/>
      <c r="AO26" s="1074"/>
      <c r="AP26" s="1074"/>
      <c r="AQ26" s="1074"/>
      <c r="AR26" s="1074"/>
      <c r="AS26" s="1074"/>
      <c r="AT26" s="1090"/>
    </row>
    <row r="27" ht="16.25" customHeight="1">
      <c r="A27" s="1067"/>
      <c r="B27" s="1083" cm="1">
        <f t="array" ref="B27">B26+1</f>
        <v>25</v>
      </c>
      <c r="C27" t="s" s="1084">
        <v>192</v>
      </c>
      <c r="D27" t="s" s="1085">
        <v>13</v>
      </c>
      <c r="E27" s="1086">
        <v>0</v>
      </c>
      <c r="F27" t="s" s="1085">
        <v>963</v>
      </c>
      <c r="G27" t="s" s="1085">
        <v>12</v>
      </c>
      <c r="H27" s="1087">
        <v>10</v>
      </c>
      <c r="I27" t="s" s="1085">
        <v>14</v>
      </c>
      <c r="J27" s="1092">
        <v>6500000</v>
      </c>
      <c r="K27" t="s" s="1088">
        <v>959</v>
      </c>
      <c r="L27" s="1089"/>
      <c r="M27" s="1073"/>
      <c r="N27" s="1074"/>
      <c r="O27" s="1074"/>
      <c r="P27" s="1074"/>
      <c r="Q27" s="1074"/>
      <c r="R27" s="1074"/>
      <c r="S27" s="1074"/>
      <c r="T27" s="1074"/>
      <c r="U27" s="1074"/>
      <c r="V27" s="1074"/>
      <c r="W27" s="1074"/>
      <c r="X27" s="1074"/>
      <c r="Y27" s="1074"/>
      <c r="Z27" s="1074"/>
      <c r="AA27" s="1074"/>
      <c r="AB27" s="1074"/>
      <c r="AC27" s="1074"/>
      <c r="AD27" s="1074"/>
      <c r="AE27" s="1074"/>
      <c r="AF27" s="1074"/>
      <c r="AG27" s="1074"/>
      <c r="AH27" s="1074"/>
      <c r="AI27" s="1074"/>
      <c r="AJ27" s="1074"/>
      <c r="AK27" s="1074"/>
      <c r="AL27" s="1074"/>
      <c r="AM27" s="1074"/>
      <c r="AN27" s="1074"/>
      <c r="AO27" s="1074"/>
      <c r="AP27" s="1074"/>
      <c r="AQ27" s="1074"/>
      <c r="AR27" s="1074"/>
      <c r="AS27" s="1074"/>
      <c r="AT27" s="1090"/>
    </row>
    <row r="28" ht="16.25" customHeight="1">
      <c r="A28" s="1067"/>
      <c r="B28" s="1083" cm="1">
        <f t="array" ref="B28">B27+1</f>
        <v>26</v>
      </c>
      <c r="C28" t="s" s="1084">
        <v>193</v>
      </c>
      <c r="D28" t="s" s="1085">
        <v>13</v>
      </c>
      <c r="E28" s="1086">
        <v>0</v>
      </c>
      <c r="F28" t="s" s="1085">
        <v>954</v>
      </c>
      <c r="G28" t="s" s="1085">
        <v>12</v>
      </c>
      <c r="H28" s="1087">
        <v>8</v>
      </c>
      <c r="I28" t="s" s="1085">
        <v>14</v>
      </c>
      <c r="J28" s="1092">
        <v>4900000</v>
      </c>
      <c r="K28" t="s" s="1088">
        <v>962</v>
      </c>
      <c r="L28" s="1089"/>
      <c r="M28" s="1073"/>
      <c r="N28" s="1074"/>
      <c r="O28" s="1074"/>
      <c r="P28" s="1074"/>
      <c r="Q28" s="1074"/>
      <c r="R28" s="1074"/>
      <c r="S28" s="1074"/>
      <c r="T28" s="1074"/>
      <c r="U28" s="1074"/>
      <c r="V28" s="1074"/>
      <c r="W28" s="1074"/>
      <c r="X28" s="1074"/>
      <c r="Y28" s="1074"/>
      <c r="Z28" s="1074"/>
      <c r="AA28" s="1074"/>
      <c r="AB28" s="1074"/>
      <c r="AC28" s="1074"/>
      <c r="AD28" s="1074"/>
      <c r="AE28" s="1074"/>
      <c r="AF28" s="1074"/>
      <c r="AG28" s="1074"/>
      <c r="AH28" s="1074"/>
      <c r="AI28" s="1074"/>
      <c r="AJ28" s="1074"/>
      <c r="AK28" s="1074"/>
      <c r="AL28" s="1074"/>
      <c r="AM28" s="1074"/>
      <c r="AN28" s="1074"/>
      <c r="AO28" s="1074"/>
      <c r="AP28" s="1074"/>
      <c r="AQ28" s="1074"/>
      <c r="AR28" s="1074"/>
      <c r="AS28" s="1074"/>
      <c r="AT28" s="1090"/>
    </row>
    <row r="29" ht="16.25" customHeight="1">
      <c r="A29" s="1067"/>
      <c r="B29" s="1093" cm="1">
        <f t="array" ref="B29">B28+1</f>
        <v>27</v>
      </c>
      <c r="C29" t="s" s="1094">
        <v>970</v>
      </c>
      <c r="D29" t="s" s="1095">
        <v>11</v>
      </c>
      <c r="E29" s="1096">
        <v>1</v>
      </c>
      <c r="F29" t="s" s="1095">
        <v>61</v>
      </c>
      <c r="G29" t="s" s="1095">
        <v>12</v>
      </c>
      <c r="H29" s="1097">
        <v>15</v>
      </c>
      <c r="I29" t="s" s="1095">
        <v>971</v>
      </c>
      <c r="J29" t="s" s="1095">
        <v>14</v>
      </c>
      <c r="K29" t="s" s="1098">
        <v>959</v>
      </c>
      <c r="L29" t="s" s="1099">
        <v>972</v>
      </c>
      <c r="M29" s="1073"/>
      <c r="N29" s="1074"/>
      <c r="O29" s="1074"/>
      <c r="P29" s="1074"/>
      <c r="Q29" s="1074"/>
      <c r="R29" s="1074"/>
      <c r="S29" s="1074"/>
      <c r="T29" s="1074"/>
      <c r="U29" s="1074"/>
      <c r="V29" s="1074"/>
      <c r="W29" s="1074"/>
      <c r="X29" s="1074"/>
      <c r="Y29" s="1074"/>
      <c r="Z29" s="1074"/>
      <c r="AA29" s="1074"/>
      <c r="AB29" s="1074"/>
      <c r="AC29" s="1074"/>
      <c r="AD29" s="1074"/>
      <c r="AE29" s="1074"/>
      <c r="AF29" s="1074"/>
      <c r="AG29" s="1074"/>
      <c r="AH29" s="1074"/>
      <c r="AI29" s="1074"/>
      <c r="AJ29" s="1074"/>
      <c r="AK29" s="1074"/>
      <c r="AL29" s="1074"/>
      <c r="AM29" s="1074"/>
      <c r="AN29" s="1074"/>
      <c r="AO29" s="1074"/>
      <c r="AP29" s="1074"/>
      <c r="AQ29" s="1074"/>
      <c r="AR29" s="1074"/>
      <c r="AS29" s="1074"/>
      <c r="AT29" s="1090"/>
    </row>
    <row r="30" ht="16.25" customHeight="1">
      <c r="A30" s="1067"/>
      <c r="B30" s="1093" cm="1">
        <f t="array" ref="B30">B29+1</f>
        <v>28</v>
      </c>
      <c r="C30" t="s" s="1094">
        <v>194</v>
      </c>
      <c r="D30" t="s" s="1095">
        <v>13</v>
      </c>
      <c r="E30" s="1096">
        <v>0</v>
      </c>
      <c r="F30" t="s" s="1095">
        <v>61</v>
      </c>
      <c r="G30" t="s" s="1095">
        <v>12</v>
      </c>
      <c r="H30" s="1097">
        <v>15</v>
      </c>
      <c r="I30" t="s" s="1095">
        <v>973</v>
      </c>
      <c r="J30" t="s" s="1095">
        <v>14</v>
      </c>
      <c r="K30" t="s" s="1098">
        <v>974</v>
      </c>
      <c r="L30" t="s" s="1099">
        <v>965</v>
      </c>
      <c r="M30" s="1073"/>
      <c r="N30" s="1074"/>
      <c r="O30" s="1074"/>
      <c r="P30" s="1074"/>
      <c r="Q30" s="1074"/>
      <c r="R30" s="1074"/>
      <c r="S30" s="1074"/>
      <c r="T30" s="1074"/>
      <c r="U30" s="1074"/>
      <c r="V30" s="1074"/>
      <c r="W30" s="1074"/>
      <c r="X30" s="1074"/>
      <c r="Y30" s="1074"/>
      <c r="Z30" s="1074"/>
      <c r="AA30" s="1074"/>
      <c r="AB30" s="1074"/>
      <c r="AC30" s="1074"/>
      <c r="AD30" s="1074"/>
      <c r="AE30" s="1074"/>
      <c r="AF30" s="1074"/>
      <c r="AG30" s="1074"/>
      <c r="AH30" s="1074"/>
      <c r="AI30" s="1074"/>
      <c r="AJ30" s="1074"/>
      <c r="AK30" s="1074"/>
      <c r="AL30" s="1074"/>
      <c r="AM30" s="1074"/>
      <c r="AN30" s="1074"/>
      <c r="AO30" s="1074"/>
      <c r="AP30" s="1074"/>
      <c r="AQ30" s="1074"/>
      <c r="AR30" s="1074"/>
      <c r="AS30" s="1074"/>
      <c r="AT30" s="1090"/>
    </row>
    <row r="31" ht="16.25" customHeight="1">
      <c r="A31" s="1067"/>
      <c r="B31" s="1083" cm="1">
        <f t="array" ref="B31">B30+1</f>
        <v>29</v>
      </c>
      <c r="C31" t="s" s="1084">
        <v>195</v>
      </c>
      <c r="D31" t="s" s="1085">
        <v>13</v>
      </c>
      <c r="E31" s="1086">
        <v>0</v>
      </c>
      <c r="F31" t="s" s="1085">
        <v>963</v>
      </c>
      <c r="G31" t="s" s="1085">
        <v>12</v>
      </c>
      <c r="H31" s="1087">
        <v>13</v>
      </c>
      <c r="I31" t="s" s="1085">
        <v>14</v>
      </c>
      <c r="J31" s="1092">
        <v>14500000</v>
      </c>
      <c r="K31" t="s" s="1088">
        <v>959</v>
      </c>
      <c r="L31" s="1089"/>
      <c r="M31" s="1073"/>
      <c r="N31" s="1074"/>
      <c r="O31" s="1074"/>
      <c r="P31" s="1074"/>
      <c r="Q31" s="1074"/>
      <c r="R31" s="1074"/>
      <c r="S31" s="1074"/>
      <c r="T31" s="1074"/>
      <c r="U31" s="1074"/>
      <c r="V31" s="1074"/>
      <c r="W31" s="1074"/>
      <c r="X31" s="1074"/>
      <c r="Y31" s="1074"/>
      <c r="Z31" s="1074"/>
      <c r="AA31" s="1074"/>
      <c r="AB31" s="1074"/>
      <c r="AC31" s="1074"/>
      <c r="AD31" s="1074"/>
      <c r="AE31" s="1074"/>
      <c r="AF31" s="1074"/>
      <c r="AG31" s="1074"/>
      <c r="AH31" s="1074"/>
      <c r="AI31" s="1074"/>
      <c r="AJ31" s="1074"/>
      <c r="AK31" s="1074"/>
      <c r="AL31" s="1074"/>
      <c r="AM31" s="1074"/>
      <c r="AN31" s="1074"/>
      <c r="AO31" s="1074"/>
      <c r="AP31" s="1074"/>
      <c r="AQ31" s="1074"/>
      <c r="AR31" s="1074"/>
      <c r="AS31" s="1074"/>
      <c r="AT31" s="1090"/>
    </row>
    <row r="32" ht="16.25" customHeight="1">
      <c r="A32" s="1067"/>
      <c r="B32" s="1083" cm="1">
        <f t="array" ref="B32">B31+1</f>
        <v>30</v>
      </c>
      <c r="C32" t="s" s="1084">
        <v>196</v>
      </c>
      <c r="D32" t="s" s="1085">
        <v>13</v>
      </c>
      <c r="E32" s="1086">
        <v>0</v>
      </c>
      <c r="F32" t="s" s="1085">
        <v>954</v>
      </c>
      <c r="G32" t="s" s="1085">
        <v>12</v>
      </c>
      <c r="H32" s="1087">
        <v>10</v>
      </c>
      <c r="I32" t="s" s="1085">
        <v>14</v>
      </c>
      <c r="J32" s="1092">
        <v>5675000</v>
      </c>
      <c r="K32" t="s" s="1088">
        <v>196</v>
      </c>
      <c r="L32" s="1103"/>
      <c r="M32" s="1073"/>
      <c r="N32" s="1074"/>
      <c r="O32" s="1074"/>
      <c r="P32" s="1074"/>
      <c r="Q32" s="1074"/>
      <c r="R32" s="1074"/>
      <c r="S32" s="1074"/>
      <c r="T32" s="1074"/>
      <c r="U32" s="1074"/>
      <c r="V32" s="1074"/>
      <c r="W32" s="1074"/>
      <c r="X32" s="1074"/>
      <c r="Y32" s="1074"/>
      <c r="Z32" s="1074"/>
      <c r="AA32" s="1074"/>
      <c r="AB32" s="1074"/>
      <c r="AC32" s="1074"/>
      <c r="AD32" s="1074"/>
      <c r="AE32" s="1074"/>
      <c r="AF32" s="1074"/>
      <c r="AG32" s="1074"/>
      <c r="AH32" s="1074"/>
      <c r="AI32" s="1074"/>
      <c r="AJ32" s="1074"/>
      <c r="AK32" s="1074"/>
      <c r="AL32" s="1074"/>
      <c r="AM32" s="1074"/>
      <c r="AN32" s="1074"/>
      <c r="AO32" s="1074"/>
      <c r="AP32" s="1074"/>
      <c r="AQ32" s="1074"/>
      <c r="AR32" s="1074"/>
      <c r="AS32" s="1074"/>
      <c r="AT32" s="1090"/>
    </row>
    <row r="33" ht="16.25" customHeight="1">
      <c r="A33" s="1067"/>
      <c r="B33" s="1083" cm="1">
        <f t="array" ref="B33">B32+1</f>
        <v>31</v>
      </c>
      <c r="C33" t="s" s="1084">
        <v>197</v>
      </c>
      <c r="D33" t="s" s="1085">
        <v>13</v>
      </c>
      <c r="E33" s="1086">
        <v>0</v>
      </c>
      <c r="F33" t="s" s="1085">
        <v>963</v>
      </c>
      <c r="G33" t="s" s="1085">
        <v>15</v>
      </c>
      <c r="H33" s="1087">
        <v>14</v>
      </c>
      <c r="I33" t="s" s="1085">
        <v>14</v>
      </c>
      <c r="J33" s="1092">
        <v>8000000</v>
      </c>
      <c r="K33" t="s" s="1088">
        <v>959</v>
      </c>
      <c r="L33" s="1089"/>
      <c r="M33" s="1073"/>
      <c r="N33" s="1074"/>
      <c r="O33" s="1074"/>
      <c r="P33" s="1074"/>
      <c r="Q33" s="1074"/>
      <c r="R33" s="1074"/>
      <c r="S33" s="1074"/>
      <c r="T33" s="1074"/>
      <c r="U33" s="1074"/>
      <c r="V33" s="1074"/>
      <c r="W33" s="1074"/>
      <c r="X33" s="1074"/>
      <c r="Y33" s="1074"/>
      <c r="Z33" s="1074"/>
      <c r="AA33" s="1074"/>
      <c r="AB33" s="1074"/>
      <c r="AC33" s="1074"/>
      <c r="AD33" s="1074"/>
      <c r="AE33" s="1074"/>
      <c r="AF33" s="1074"/>
      <c r="AG33" s="1074"/>
      <c r="AH33" s="1074"/>
      <c r="AI33" s="1074"/>
      <c r="AJ33" s="1074"/>
      <c r="AK33" s="1074"/>
      <c r="AL33" s="1074"/>
      <c r="AM33" s="1074"/>
      <c r="AN33" s="1074"/>
      <c r="AO33" s="1074"/>
      <c r="AP33" s="1074"/>
      <c r="AQ33" s="1074"/>
      <c r="AR33" s="1074"/>
      <c r="AS33" s="1074"/>
      <c r="AT33" s="1090"/>
    </row>
    <row r="34" ht="16.25" customHeight="1">
      <c r="A34" s="1067"/>
      <c r="B34" s="1093" cm="1">
        <f t="array" ref="B34">B33+1</f>
        <v>32</v>
      </c>
      <c r="C34" t="s" s="1094">
        <v>198</v>
      </c>
      <c r="D34" t="s" s="1095">
        <v>13</v>
      </c>
      <c r="E34" s="1096">
        <v>0</v>
      </c>
      <c r="F34" t="s" s="1095">
        <v>61</v>
      </c>
      <c r="G34" t="s" s="1095">
        <v>15</v>
      </c>
      <c r="H34" s="1097">
        <v>12</v>
      </c>
      <c r="I34" t="s" s="1095">
        <v>14</v>
      </c>
      <c r="J34" s="1101">
        <v>2500000</v>
      </c>
      <c r="K34" t="s" s="1098">
        <v>959</v>
      </c>
      <c r="L34" s="1102"/>
      <c r="M34" s="1073"/>
      <c r="N34" s="1074"/>
      <c r="O34" s="1074"/>
      <c r="P34" s="1074"/>
      <c r="Q34" s="1074"/>
      <c r="R34" s="1074"/>
      <c r="S34" s="1074"/>
      <c r="T34" s="1074"/>
      <c r="U34" s="1074"/>
      <c r="V34" s="1074"/>
      <c r="W34" s="1074"/>
      <c r="X34" s="1074"/>
      <c r="Y34" s="1074"/>
      <c r="Z34" s="1074"/>
      <c r="AA34" s="1074"/>
      <c r="AB34" s="1074"/>
      <c r="AC34" s="1074"/>
      <c r="AD34" s="1074"/>
      <c r="AE34" s="1074"/>
      <c r="AF34" s="1074"/>
      <c r="AG34" s="1074"/>
      <c r="AH34" s="1074"/>
      <c r="AI34" s="1074"/>
      <c r="AJ34" s="1074"/>
      <c r="AK34" s="1074"/>
      <c r="AL34" s="1074"/>
      <c r="AM34" s="1074"/>
      <c r="AN34" s="1074"/>
      <c r="AO34" s="1074"/>
      <c r="AP34" s="1074"/>
      <c r="AQ34" s="1074"/>
      <c r="AR34" s="1074"/>
      <c r="AS34" s="1074"/>
      <c r="AT34" s="1090"/>
    </row>
    <row r="35" ht="16.25" customHeight="1">
      <c r="A35" s="1067"/>
      <c r="B35" s="1083" cm="1">
        <f t="array" ref="B35">B34+1</f>
        <v>33</v>
      </c>
      <c r="C35" t="s" s="1084">
        <v>199</v>
      </c>
      <c r="D35" t="s" s="1085">
        <v>13</v>
      </c>
      <c r="E35" s="1086">
        <v>0</v>
      </c>
      <c r="F35" t="s" s="1085">
        <v>963</v>
      </c>
      <c r="G35" t="s" s="1085">
        <v>15</v>
      </c>
      <c r="H35" s="1087">
        <v>12</v>
      </c>
      <c r="I35" t="s" s="1085">
        <v>14</v>
      </c>
      <c r="J35" s="1092">
        <v>7700000</v>
      </c>
      <c r="K35" t="s" s="1088">
        <v>959</v>
      </c>
      <c r="L35" s="1089"/>
      <c r="M35" s="1073"/>
      <c r="N35" s="1074"/>
      <c r="O35" s="1074"/>
      <c r="P35" s="1074"/>
      <c r="Q35" s="1074"/>
      <c r="R35" s="1074"/>
      <c r="S35" s="1074"/>
      <c r="T35" s="1074"/>
      <c r="U35" s="1074"/>
      <c r="V35" s="1074"/>
      <c r="W35" s="1074"/>
      <c r="X35" s="1074"/>
      <c r="Y35" s="1074"/>
      <c r="Z35" s="1074"/>
      <c r="AA35" s="1074"/>
      <c r="AB35" s="1074"/>
      <c r="AC35" s="1074"/>
      <c r="AD35" s="1074"/>
      <c r="AE35" s="1074"/>
      <c r="AF35" s="1074"/>
      <c r="AG35" s="1074"/>
      <c r="AH35" s="1074"/>
      <c r="AI35" s="1074"/>
      <c r="AJ35" s="1074"/>
      <c r="AK35" s="1074"/>
      <c r="AL35" s="1074"/>
      <c r="AM35" s="1074"/>
      <c r="AN35" s="1074"/>
      <c r="AO35" s="1074"/>
      <c r="AP35" s="1074"/>
      <c r="AQ35" s="1074"/>
      <c r="AR35" s="1074"/>
      <c r="AS35" s="1074"/>
      <c r="AT35" s="1090"/>
    </row>
    <row r="36" ht="16.25" customHeight="1">
      <c r="A36" s="1067"/>
      <c r="B36" s="1083" cm="1">
        <f t="array" ref="B36">B35+1</f>
        <v>34</v>
      </c>
      <c r="C36" t="s" s="1084">
        <v>200</v>
      </c>
      <c r="D36" t="s" s="1085">
        <v>13</v>
      </c>
      <c r="E36" s="1086">
        <v>0</v>
      </c>
      <c r="F36" t="s" s="1085">
        <v>963</v>
      </c>
      <c r="G36" t="s" s="1085">
        <v>15</v>
      </c>
      <c r="H36" s="1087">
        <v>10</v>
      </c>
      <c r="I36" t="s" s="1085">
        <v>14</v>
      </c>
      <c r="J36" s="1092">
        <v>18000000</v>
      </c>
      <c r="K36" t="s" s="1088">
        <v>959</v>
      </c>
      <c r="L36" s="1089"/>
      <c r="M36" s="1104"/>
      <c r="N36" s="1074"/>
      <c r="O36" s="1074"/>
      <c r="P36" s="1074"/>
      <c r="Q36" s="1074"/>
      <c r="R36" s="1074"/>
      <c r="S36" s="1074"/>
      <c r="T36" s="1074"/>
      <c r="U36" s="1074"/>
      <c r="V36" s="1074"/>
      <c r="W36" s="1074"/>
      <c r="X36" s="1074"/>
      <c r="Y36" s="1074"/>
      <c r="Z36" s="1074"/>
      <c r="AA36" s="1074"/>
      <c r="AB36" s="1074"/>
      <c r="AC36" s="1074"/>
      <c r="AD36" s="1074"/>
      <c r="AE36" s="1074"/>
      <c r="AF36" s="1074"/>
      <c r="AG36" s="1074"/>
      <c r="AH36" s="1074"/>
      <c r="AI36" s="1074"/>
      <c r="AJ36" s="1074"/>
      <c r="AK36" s="1074"/>
      <c r="AL36" s="1074"/>
      <c r="AM36" s="1074"/>
      <c r="AN36" s="1074"/>
      <c r="AO36" s="1074"/>
      <c r="AP36" s="1074"/>
      <c r="AQ36" s="1074"/>
      <c r="AR36" s="1074"/>
      <c r="AS36" s="1074"/>
      <c r="AT36" s="1075"/>
    </row>
    <row r="37" ht="16.25" customHeight="1">
      <c r="A37" s="1067"/>
      <c r="B37" s="1083" cm="1">
        <f t="array" ref="B37">B36+1</f>
        <v>35</v>
      </c>
      <c r="C37" t="s" s="1084">
        <v>201</v>
      </c>
      <c r="D37" t="s" s="1085">
        <v>13</v>
      </c>
      <c r="E37" s="1086">
        <v>0</v>
      </c>
      <c r="F37" t="s" s="1085">
        <v>963</v>
      </c>
      <c r="G37" t="s" s="1085">
        <v>15</v>
      </c>
      <c r="H37" s="1087">
        <v>10</v>
      </c>
      <c r="I37" t="s" s="1085">
        <v>14</v>
      </c>
      <c r="J37" s="1092">
        <v>26000000</v>
      </c>
      <c r="K37" t="s" s="1088">
        <v>959</v>
      </c>
      <c r="L37" s="1089"/>
      <c r="M37" s="1104"/>
      <c r="N37" s="1074"/>
      <c r="O37" s="1074"/>
      <c r="P37" s="1074"/>
      <c r="Q37" s="1074"/>
      <c r="R37" s="1074"/>
      <c r="S37" s="1074"/>
      <c r="T37" s="1074"/>
      <c r="U37" s="1074"/>
      <c r="V37" s="1074"/>
      <c r="W37" s="1074"/>
      <c r="X37" s="1074"/>
      <c r="Y37" s="1074"/>
      <c r="Z37" s="1074"/>
      <c r="AA37" s="1074"/>
      <c r="AB37" s="1074"/>
      <c r="AC37" s="1074"/>
      <c r="AD37" s="1074"/>
      <c r="AE37" s="1074"/>
      <c r="AF37" s="1074"/>
      <c r="AG37" s="1074"/>
      <c r="AH37" s="1074"/>
      <c r="AI37" s="1074"/>
      <c r="AJ37" s="1074"/>
      <c r="AK37" s="1074"/>
      <c r="AL37" s="1074"/>
      <c r="AM37" s="1074"/>
      <c r="AN37" s="1074"/>
      <c r="AO37" s="1074"/>
      <c r="AP37" s="1074"/>
      <c r="AQ37" s="1074"/>
      <c r="AR37" s="1074"/>
      <c r="AS37" s="1074"/>
      <c r="AT37" s="1075"/>
    </row>
    <row r="38" ht="16.25" customHeight="1">
      <c r="A38" s="1067"/>
      <c r="B38" s="1093" cm="1">
        <f t="array" ref="B38">B37+1</f>
        <v>36</v>
      </c>
      <c r="C38" t="s" s="1094">
        <v>202</v>
      </c>
      <c r="D38" t="s" s="1095">
        <v>13</v>
      </c>
      <c r="E38" s="1096">
        <v>0</v>
      </c>
      <c r="F38" t="s" s="1095">
        <v>61</v>
      </c>
      <c r="G38" t="s" s="1095">
        <v>15</v>
      </c>
      <c r="H38" s="1097">
        <v>12</v>
      </c>
      <c r="I38" t="s" s="1095">
        <v>14</v>
      </c>
      <c r="J38" s="1101" cm="1">
        <f t="array" ref="J38">7500000+300000*5+2000000</f>
        <v>11000000</v>
      </c>
      <c r="K38" t="s" s="1098">
        <v>959</v>
      </c>
      <c r="L38" t="s" s="1099">
        <v>975</v>
      </c>
      <c r="M38" s="1073"/>
      <c r="N38" s="1074"/>
      <c r="O38" s="1074"/>
      <c r="P38" s="1074"/>
      <c r="Q38" s="1074"/>
      <c r="R38" s="1074"/>
      <c r="S38" s="1074"/>
      <c r="T38" s="1074"/>
      <c r="U38" s="1074"/>
      <c r="V38" s="1074"/>
      <c r="W38" s="1074"/>
      <c r="X38" s="1074"/>
      <c r="Y38" s="1074"/>
      <c r="Z38" s="1074"/>
      <c r="AA38" s="1074"/>
      <c r="AB38" s="1074"/>
      <c r="AC38" s="1074"/>
      <c r="AD38" s="1074"/>
      <c r="AE38" s="1074"/>
      <c r="AF38" s="1074"/>
      <c r="AG38" s="1074"/>
      <c r="AH38" s="1074"/>
      <c r="AI38" s="1074"/>
      <c r="AJ38" s="1074"/>
      <c r="AK38" s="1074"/>
      <c r="AL38" s="1074"/>
      <c r="AM38" s="1074"/>
      <c r="AN38" s="1074"/>
      <c r="AO38" s="1074"/>
      <c r="AP38" s="1074"/>
      <c r="AQ38" s="1074"/>
      <c r="AR38" s="1074"/>
      <c r="AS38" s="1074"/>
      <c r="AT38" s="1075"/>
    </row>
    <row r="39" ht="16.25" customHeight="1">
      <c r="A39" s="1067"/>
      <c r="B39" s="1093" cm="1">
        <f t="array" ref="B39">B38+1</f>
        <v>37</v>
      </c>
      <c r="C39" t="s" s="1094">
        <v>203</v>
      </c>
      <c r="D39" t="s" s="1095">
        <v>13</v>
      </c>
      <c r="E39" s="1096">
        <v>0</v>
      </c>
      <c r="F39" t="s" s="1095">
        <v>61</v>
      </c>
      <c r="G39" t="s" s="1095">
        <v>15</v>
      </c>
      <c r="H39" s="1097">
        <v>12</v>
      </c>
      <c r="I39" t="s" s="1095">
        <v>14</v>
      </c>
      <c r="J39" s="1101">
        <v>8000000</v>
      </c>
      <c r="K39" t="s" s="1098">
        <v>959</v>
      </c>
      <c r="L39" s="1102"/>
      <c r="M39" s="1073"/>
      <c r="N39" s="1074"/>
      <c r="O39" s="1074"/>
      <c r="P39" s="1074"/>
      <c r="Q39" s="1074"/>
      <c r="R39" s="1074"/>
      <c r="S39" s="1074"/>
      <c r="T39" s="1074"/>
      <c r="U39" s="1074"/>
      <c r="V39" s="1074"/>
      <c r="W39" s="1074"/>
      <c r="X39" s="1074"/>
      <c r="Y39" s="1074"/>
      <c r="Z39" s="1074"/>
      <c r="AA39" s="1074"/>
      <c r="AB39" s="1074"/>
      <c r="AC39" s="1074"/>
      <c r="AD39" s="1074"/>
      <c r="AE39" s="1074"/>
      <c r="AF39" s="1074"/>
      <c r="AG39" s="1074"/>
      <c r="AH39" s="1074"/>
      <c r="AI39" s="1074"/>
      <c r="AJ39" s="1074"/>
      <c r="AK39" s="1074"/>
      <c r="AL39" s="1074"/>
      <c r="AM39" s="1074"/>
      <c r="AN39" s="1074"/>
      <c r="AO39" s="1074"/>
      <c r="AP39" s="1074"/>
      <c r="AQ39" s="1074"/>
      <c r="AR39" s="1074"/>
      <c r="AS39" s="1074"/>
      <c r="AT39" s="1075"/>
    </row>
    <row r="40" ht="16.25" customHeight="1">
      <c r="A40" s="1067"/>
      <c r="B40" s="1083" cm="1">
        <f t="array" ref="B40">B39+1</f>
        <v>38</v>
      </c>
      <c r="C40" t="s" s="1084">
        <v>204</v>
      </c>
      <c r="D40" t="s" s="1085">
        <v>13</v>
      </c>
      <c r="E40" s="1086">
        <v>0</v>
      </c>
      <c r="F40" t="s" s="1085">
        <v>963</v>
      </c>
      <c r="G40" t="s" s="1085">
        <v>15</v>
      </c>
      <c r="H40" s="1087">
        <v>13</v>
      </c>
      <c r="I40" t="s" s="1085">
        <v>14</v>
      </c>
      <c r="J40" s="1092">
        <v>18500000</v>
      </c>
      <c r="K40" t="s" s="1088">
        <v>959</v>
      </c>
      <c r="L40" t="s" s="1091">
        <v>976</v>
      </c>
      <c r="M40" s="1073"/>
      <c r="N40" s="1074"/>
      <c r="O40" s="1074"/>
      <c r="P40" s="1074"/>
      <c r="Q40" s="1074"/>
      <c r="R40" s="1074"/>
      <c r="S40" s="1074"/>
      <c r="T40" s="1074"/>
      <c r="U40" s="1074"/>
      <c r="V40" s="1074"/>
      <c r="W40" s="1074"/>
      <c r="X40" s="1074"/>
      <c r="Y40" s="1074"/>
      <c r="Z40" s="1074"/>
      <c r="AA40" s="1074"/>
      <c r="AB40" s="1074"/>
      <c r="AC40" s="1074"/>
      <c r="AD40" s="1074"/>
      <c r="AE40" s="1074"/>
      <c r="AF40" s="1074"/>
      <c r="AG40" s="1074"/>
      <c r="AH40" s="1074"/>
      <c r="AI40" s="1074"/>
      <c r="AJ40" s="1074"/>
      <c r="AK40" s="1074"/>
      <c r="AL40" s="1074"/>
      <c r="AM40" s="1074"/>
      <c r="AN40" s="1074"/>
      <c r="AO40" s="1074"/>
      <c r="AP40" s="1074"/>
      <c r="AQ40" s="1074"/>
      <c r="AR40" s="1074"/>
      <c r="AS40" s="1074"/>
      <c r="AT40" s="1075"/>
    </row>
    <row r="41" ht="16.25" customHeight="1">
      <c r="A41" s="1067"/>
      <c r="B41" s="1083" cm="1">
        <f t="array" ref="B41">B40+1</f>
        <v>39</v>
      </c>
      <c r="C41" t="s" s="1084">
        <v>206</v>
      </c>
      <c r="D41" t="s" s="1085">
        <v>13</v>
      </c>
      <c r="E41" s="1086">
        <v>0</v>
      </c>
      <c r="F41" t="s" s="1085">
        <v>963</v>
      </c>
      <c r="G41" t="s" s="1085">
        <v>15</v>
      </c>
      <c r="H41" s="1087">
        <v>12</v>
      </c>
      <c r="I41" t="s" s="1085">
        <v>14</v>
      </c>
      <c r="J41" s="1092">
        <v>15500000</v>
      </c>
      <c r="K41" t="s" s="1088">
        <v>959</v>
      </c>
      <c r="L41" s="1089"/>
      <c r="M41" s="1073"/>
      <c r="N41" s="1074"/>
      <c r="O41" s="1074"/>
      <c r="P41" s="1074"/>
      <c r="Q41" s="1074"/>
      <c r="R41" s="1074"/>
      <c r="S41" s="1074"/>
      <c r="T41" s="1074"/>
      <c r="U41" s="1074"/>
      <c r="V41" s="1074"/>
      <c r="W41" s="1074"/>
      <c r="X41" s="1074"/>
      <c r="Y41" s="1074"/>
      <c r="Z41" s="1074"/>
      <c r="AA41" s="1074"/>
      <c r="AB41" s="1074"/>
      <c r="AC41" s="1074"/>
      <c r="AD41" s="1074"/>
      <c r="AE41" s="1074"/>
      <c r="AF41" s="1074"/>
      <c r="AG41" s="1074"/>
      <c r="AH41" s="1074"/>
      <c r="AI41" s="1074"/>
      <c r="AJ41" s="1074"/>
      <c r="AK41" s="1074"/>
      <c r="AL41" s="1074"/>
      <c r="AM41" s="1074"/>
      <c r="AN41" s="1074"/>
      <c r="AO41" s="1074"/>
      <c r="AP41" s="1074"/>
      <c r="AQ41" s="1074"/>
      <c r="AR41" s="1074"/>
      <c r="AS41" s="1074"/>
      <c r="AT41" s="1075"/>
    </row>
    <row r="42" ht="16.25" customHeight="1">
      <c r="A42" s="1067"/>
      <c r="B42" s="1083" cm="1">
        <f t="array" ref="B42">B41+1</f>
        <v>40</v>
      </c>
      <c r="C42" t="s" s="1084">
        <v>207</v>
      </c>
      <c r="D42" t="s" s="1085">
        <v>13</v>
      </c>
      <c r="E42" s="1086">
        <v>0</v>
      </c>
      <c r="F42" t="s" s="1085">
        <v>963</v>
      </c>
      <c r="G42" t="s" s="1085">
        <v>15</v>
      </c>
      <c r="H42" s="1087">
        <v>12</v>
      </c>
      <c r="I42" t="s" s="1085">
        <v>14</v>
      </c>
      <c r="J42" s="1092">
        <v>7200000</v>
      </c>
      <c r="K42" t="s" s="1088">
        <v>959</v>
      </c>
      <c r="L42" s="1089"/>
      <c r="M42" s="1073"/>
      <c r="N42" s="1074"/>
      <c r="O42" s="1074"/>
      <c r="P42" s="1074"/>
      <c r="Q42" s="1074"/>
      <c r="R42" s="1074"/>
      <c r="S42" s="1074"/>
      <c r="T42" s="1074"/>
      <c r="U42" s="1074"/>
      <c r="V42" s="1074"/>
      <c r="W42" s="1074"/>
      <c r="X42" s="1074"/>
      <c r="Y42" s="1074"/>
      <c r="Z42" s="1074"/>
      <c r="AA42" s="1074"/>
      <c r="AB42" s="1074"/>
      <c r="AC42" s="1074"/>
      <c r="AD42" s="1074"/>
      <c r="AE42" s="1074"/>
      <c r="AF42" s="1074"/>
      <c r="AG42" s="1074"/>
      <c r="AH42" s="1074"/>
      <c r="AI42" s="1074"/>
      <c r="AJ42" s="1074"/>
      <c r="AK42" s="1074"/>
      <c r="AL42" s="1074"/>
      <c r="AM42" s="1074"/>
      <c r="AN42" s="1074"/>
      <c r="AO42" s="1074"/>
      <c r="AP42" s="1074"/>
      <c r="AQ42" s="1074"/>
      <c r="AR42" s="1074"/>
      <c r="AS42" s="1074"/>
      <c r="AT42" s="1075"/>
    </row>
    <row r="43" ht="16.25" customHeight="1">
      <c r="A43" s="1067"/>
      <c r="B43" s="1083" cm="1">
        <f t="array" ref="B43">B42+1</f>
        <v>41</v>
      </c>
      <c r="C43" t="s" s="1084">
        <v>208</v>
      </c>
      <c r="D43" t="s" s="1085">
        <v>13</v>
      </c>
      <c r="E43" s="1086">
        <v>0</v>
      </c>
      <c r="F43" t="s" s="1085">
        <v>977</v>
      </c>
      <c r="G43" t="s" s="1085">
        <v>15</v>
      </c>
      <c r="H43" s="1087">
        <v>18</v>
      </c>
      <c r="I43" t="s" s="1085">
        <v>14</v>
      </c>
      <c r="J43" s="1092">
        <v>39600000</v>
      </c>
      <c r="K43" t="s" s="1088">
        <v>959</v>
      </c>
      <c r="L43" t="s" s="1091">
        <v>978</v>
      </c>
      <c r="M43" s="1073"/>
      <c r="N43" s="1074"/>
      <c r="O43" s="1074"/>
      <c r="P43" s="1074"/>
      <c r="Q43" s="1074"/>
      <c r="R43" s="1074"/>
      <c r="S43" s="1074"/>
      <c r="T43" s="1074"/>
      <c r="U43" s="1074"/>
      <c r="V43" s="1074"/>
      <c r="W43" s="1074"/>
      <c r="X43" s="1074"/>
      <c r="Y43" s="1074"/>
      <c r="Z43" s="1074"/>
      <c r="AA43" s="1074"/>
      <c r="AB43" s="1074"/>
      <c r="AC43" s="1074"/>
      <c r="AD43" s="1074"/>
      <c r="AE43" s="1074"/>
      <c r="AF43" s="1074"/>
      <c r="AG43" s="1074"/>
      <c r="AH43" s="1074"/>
      <c r="AI43" s="1074"/>
      <c r="AJ43" s="1074"/>
      <c r="AK43" s="1074"/>
      <c r="AL43" s="1074"/>
      <c r="AM43" s="1074"/>
      <c r="AN43" s="1074"/>
      <c r="AO43" s="1074"/>
      <c r="AP43" s="1074"/>
      <c r="AQ43" s="1074"/>
      <c r="AR43" s="1074"/>
      <c r="AS43" s="1074"/>
      <c r="AT43" s="1075"/>
    </row>
    <row r="44" ht="16.25" customHeight="1">
      <c r="A44" s="1067"/>
      <c r="B44" s="1083" cm="1">
        <f t="array" ref="B44">B43+1</f>
        <v>42</v>
      </c>
      <c r="C44" t="s" s="1084">
        <v>209</v>
      </c>
      <c r="D44" t="s" s="1085">
        <v>13</v>
      </c>
      <c r="E44" s="1086">
        <v>0</v>
      </c>
      <c r="F44" t="s" s="1085">
        <v>977</v>
      </c>
      <c r="G44" t="s" s="1085">
        <v>15</v>
      </c>
      <c r="H44" s="1087">
        <v>10</v>
      </c>
      <c r="I44" t="s" s="1085">
        <v>14</v>
      </c>
      <c r="J44" s="1092">
        <v>23500000</v>
      </c>
      <c r="K44" t="s" s="1088">
        <v>959</v>
      </c>
      <c r="L44" t="s" s="1091">
        <v>978</v>
      </c>
      <c r="M44" s="1073"/>
      <c r="N44" s="1105"/>
      <c r="O44" s="1074"/>
      <c r="P44" s="1074"/>
      <c r="Q44" s="1074"/>
      <c r="R44" s="1074"/>
      <c r="S44" s="1074"/>
      <c r="T44" s="1074"/>
      <c r="U44" s="1074"/>
      <c r="V44" s="1074"/>
      <c r="W44" s="1074"/>
      <c r="X44" s="1074"/>
      <c r="Y44" s="1074"/>
      <c r="Z44" s="1074"/>
      <c r="AA44" s="1074"/>
      <c r="AB44" s="1074"/>
      <c r="AC44" s="1074"/>
      <c r="AD44" s="1074"/>
      <c r="AE44" s="1074"/>
      <c r="AF44" s="1074"/>
      <c r="AG44" s="1074"/>
      <c r="AH44" s="1074"/>
      <c r="AI44" s="1074"/>
      <c r="AJ44" s="1074"/>
      <c r="AK44" s="1074"/>
      <c r="AL44" s="1074"/>
      <c r="AM44" s="1074"/>
      <c r="AN44" s="1074"/>
      <c r="AO44" s="1074"/>
      <c r="AP44" s="1074"/>
      <c r="AQ44" s="1074"/>
      <c r="AR44" s="1074"/>
      <c r="AS44" s="1074"/>
      <c r="AT44" s="1075"/>
    </row>
    <row r="45" ht="16.25" customHeight="1">
      <c r="A45" s="1067"/>
      <c r="B45" s="1083" cm="1">
        <f t="array" ref="B45">B44+1</f>
        <v>43</v>
      </c>
      <c r="C45" t="s" s="1084">
        <v>205</v>
      </c>
      <c r="D45" t="s" s="1085">
        <v>13</v>
      </c>
      <c r="E45" s="1086">
        <v>0</v>
      </c>
      <c r="F45" t="s" s="1085">
        <v>977</v>
      </c>
      <c r="G45" t="s" s="1085">
        <v>15</v>
      </c>
      <c r="H45" s="1087">
        <v>12</v>
      </c>
      <c r="I45" t="s" s="1085">
        <v>14</v>
      </c>
      <c r="J45" s="1092">
        <v>30000000</v>
      </c>
      <c r="K45" t="s" s="1088">
        <v>959</v>
      </c>
      <c r="L45" t="s" s="1091">
        <v>978</v>
      </c>
      <c r="M45" s="1106"/>
      <c r="N45" s="1074"/>
      <c r="O45" s="1074"/>
      <c r="P45" s="1074"/>
      <c r="Q45" s="1074"/>
      <c r="R45" s="1074"/>
      <c r="S45" s="1074"/>
      <c r="T45" s="1074"/>
      <c r="U45" s="1074"/>
      <c r="V45" s="1074"/>
      <c r="W45" s="1074"/>
      <c r="X45" s="1074"/>
      <c r="Y45" s="1074"/>
      <c r="Z45" s="1074"/>
      <c r="AA45" s="1074"/>
      <c r="AB45" s="1074"/>
      <c r="AC45" s="1074"/>
      <c r="AD45" s="1074"/>
      <c r="AE45" s="1074"/>
      <c r="AF45" s="1074"/>
      <c r="AG45" s="1074"/>
      <c r="AH45" s="1074"/>
      <c r="AI45" s="1074"/>
      <c r="AJ45" s="1074"/>
      <c r="AK45" s="1074"/>
      <c r="AL45" s="1074"/>
      <c r="AM45" s="1074"/>
      <c r="AN45" s="1074"/>
      <c r="AO45" s="1074"/>
      <c r="AP45" s="1074"/>
      <c r="AQ45" s="1074"/>
      <c r="AR45" s="1074"/>
      <c r="AS45" s="1074"/>
      <c r="AT45" s="1075"/>
    </row>
    <row r="46" ht="16.25" customHeight="1">
      <c r="A46" s="1067"/>
      <c r="B46" s="1083" cm="1">
        <f t="array" ref="B46">B45+1</f>
        <v>44</v>
      </c>
      <c r="C46" t="s" s="1084">
        <v>212</v>
      </c>
      <c r="D46" t="s" s="1085">
        <v>13</v>
      </c>
      <c r="E46" s="1086">
        <v>0</v>
      </c>
      <c r="F46" t="s" s="1085">
        <v>977</v>
      </c>
      <c r="G46" t="s" s="1085">
        <v>15</v>
      </c>
      <c r="H46" s="1087">
        <v>13</v>
      </c>
      <c r="I46" t="s" s="1085">
        <v>14</v>
      </c>
      <c r="J46" s="1092">
        <v>28000000</v>
      </c>
      <c r="K46" t="s" s="1088">
        <v>959</v>
      </c>
      <c r="L46" t="s" s="1091">
        <v>978</v>
      </c>
      <c r="M46" s="1073"/>
      <c r="N46" s="1074"/>
      <c r="O46" s="1074"/>
      <c r="P46" s="1074"/>
      <c r="Q46" s="1074"/>
      <c r="R46" s="1074"/>
      <c r="S46" s="1074"/>
      <c r="T46" s="1074"/>
      <c r="U46" s="1074"/>
      <c r="V46" s="1074"/>
      <c r="W46" s="1074"/>
      <c r="X46" s="1074"/>
      <c r="Y46" s="1074"/>
      <c r="Z46" s="1074"/>
      <c r="AA46" s="1074"/>
      <c r="AB46" s="1074"/>
      <c r="AC46" s="1074"/>
      <c r="AD46" s="1074"/>
      <c r="AE46" s="1074"/>
      <c r="AF46" s="1074"/>
      <c r="AG46" s="1074"/>
      <c r="AH46" s="1074"/>
      <c r="AI46" s="1074"/>
      <c r="AJ46" s="1074"/>
      <c r="AK46" s="1074"/>
      <c r="AL46" s="1074"/>
      <c r="AM46" s="1074"/>
      <c r="AN46" s="1074"/>
      <c r="AO46" s="1074"/>
      <c r="AP46" s="1074"/>
      <c r="AQ46" s="1074"/>
      <c r="AR46" s="1074"/>
      <c r="AS46" s="1074"/>
      <c r="AT46" s="1075"/>
    </row>
    <row r="47" ht="16.25" customHeight="1">
      <c r="A47" s="1067"/>
      <c r="B47" s="1093" cm="1">
        <f t="array" ref="B47">B46+1</f>
        <v>45</v>
      </c>
      <c r="C47" t="s" s="1094">
        <v>210</v>
      </c>
      <c r="D47" t="s" s="1095">
        <v>13</v>
      </c>
      <c r="E47" s="1096">
        <v>0</v>
      </c>
      <c r="F47" t="s" s="1095">
        <v>61</v>
      </c>
      <c r="G47" t="s" s="1095">
        <v>15</v>
      </c>
      <c r="H47" s="1097">
        <v>12</v>
      </c>
      <c r="I47" t="s" s="1095">
        <v>14</v>
      </c>
      <c r="J47" s="1101">
        <v>13850000</v>
      </c>
      <c r="K47" t="s" s="1098">
        <v>959</v>
      </c>
      <c r="L47" s="1102"/>
      <c r="M47" s="1073"/>
      <c r="N47" s="1074"/>
      <c r="O47" s="1074"/>
      <c r="P47" s="1074"/>
      <c r="Q47" s="1074"/>
      <c r="R47" s="1074"/>
      <c r="S47" s="1074"/>
      <c r="T47" s="1074"/>
      <c r="U47" s="1074"/>
      <c r="V47" s="1074"/>
      <c r="W47" s="1074"/>
      <c r="X47" s="1074"/>
      <c r="Y47" s="1074"/>
      <c r="Z47" s="1074"/>
      <c r="AA47" s="1074"/>
      <c r="AB47" s="1074"/>
      <c r="AC47" s="1074"/>
      <c r="AD47" s="1074"/>
      <c r="AE47" s="1074"/>
      <c r="AF47" s="1074"/>
      <c r="AG47" s="1074"/>
      <c r="AH47" s="1074"/>
      <c r="AI47" s="1074"/>
      <c r="AJ47" s="1074"/>
      <c r="AK47" s="1074"/>
      <c r="AL47" s="1074"/>
      <c r="AM47" s="1074"/>
      <c r="AN47" s="1074"/>
      <c r="AO47" s="1074"/>
      <c r="AP47" s="1074"/>
      <c r="AQ47" s="1074"/>
      <c r="AR47" s="1074"/>
      <c r="AS47" s="1074"/>
      <c r="AT47" s="1075"/>
    </row>
    <row r="48" ht="16.25" customHeight="1">
      <c r="A48" s="1067"/>
      <c r="B48" s="1093" cm="1">
        <f t="array" ref="B48">B47+1</f>
        <v>46</v>
      </c>
      <c r="C48" t="s" s="1094">
        <v>99</v>
      </c>
      <c r="D48" t="s" s="1095">
        <v>13</v>
      </c>
      <c r="E48" s="1096">
        <v>0</v>
      </c>
      <c r="F48" t="s" s="1095">
        <v>61</v>
      </c>
      <c r="G48" t="s" s="1095">
        <v>15</v>
      </c>
      <c r="H48" s="1097">
        <v>15</v>
      </c>
      <c r="I48" t="s" s="1095">
        <v>14</v>
      </c>
      <c r="J48" s="1101">
        <v>22000000</v>
      </c>
      <c r="K48" t="s" s="1098">
        <v>959</v>
      </c>
      <c r="L48" t="s" s="1099">
        <v>978</v>
      </c>
      <c r="M48" s="1073"/>
      <c r="N48" s="1074"/>
      <c r="O48" s="1074"/>
      <c r="P48" s="1074"/>
      <c r="Q48" s="1074"/>
      <c r="R48" s="1074"/>
      <c r="S48" s="1074"/>
      <c r="T48" s="1074"/>
      <c r="U48" s="1074"/>
      <c r="V48" s="1074"/>
      <c r="W48" s="1074"/>
      <c r="X48" s="1074"/>
      <c r="Y48" s="1074"/>
      <c r="Z48" s="1074"/>
      <c r="AA48" s="1074"/>
      <c r="AB48" s="1074"/>
      <c r="AC48" s="1074"/>
      <c r="AD48" s="1074"/>
      <c r="AE48" s="1074"/>
      <c r="AF48" s="1074"/>
      <c r="AG48" s="1074"/>
      <c r="AH48" s="1074"/>
      <c r="AI48" s="1074"/>
      <c r="AJ48" s="1074"/>
      <c r="AK48" s="1074"/>
      <c r="AL48" s="1074"/>
      <c r="AM48" s="1074"/>
      <c r="AN48" s="1074"/>
      <c r="AO48" s="1074"/>
      <c r="AP48" s="1074"/>
      <c r="AQ48" s="1074"/>
      <c r="AR48" s="1074"/>
      <c r="AS48" s="1074"/>
      <c r="AT48" s="1075"/>
    </row>
    <row r="49" ht="16.25" customHeight="1">
      <c r="A49" s="1067"/>
      <c r="B49" s="1093" cm="1">
        <f t="array" ref="B49">B48+1</f>
        <v>47</v>
      </c>
      <c r="C49" t="s" s="1094">
        <v>211</v>
      </c>
      <c r="D49" t="s" s="1095">
        <v>13</v>
      </c>
      <c r="E49" s="1096">
        <v>0</v>
      </c>
      <c r="F49" t="s" s="1095">
        <v>61</v>
      </c>
      <c r="G49" t="s" s="1095">
        <v>15</v>
      </c>
      <c r="H49" s="1097">
        <v>20</v>
      </c>
      <c r="I49" t="s" s="1095">
        <v>14</v>
      </c>
      <c r="J49" s="1101">
        <v>20000000</v>
      </c>
      <c r="K49" t="s" s="1098">
        <v>959</v>
      </c>
      <c r="L49" s="1102"/>
      <c r="M49" s="1073"/>
      <c r="N49" s="1074"/>
      <c r="O49" s="1074"/>
      <c r="P49" s="1074"/>
      <c r="Q49" s="1074"/>
      <c r="R49" s="1074"/>
      <c r="S49" s="1074"/>
      <c r="T49" s="1074"/>
      <c r="U49" s="1074"/>
      <c r="V49" s="1074"/>
      <c r="W49" s="1074"/>
      <c r="X49" s="1074"/>
      <c r="Y49" s="1074"/>
      <c r="Z49" s="1074"/>
      <c r="AA49" s="1074"/>
      <c r="AB49" s="1074"/>
      <c r="AC49" s="1074"/>
      <c r="AD49" s="1074"/>
      <c r="AE49" s="1074"/>
      <c r="AF49" s="1074"/>
      <c r="AG49" s="1074"/>
      <c r="AH49" s="1074"/>
      <c r="AI49" s="1074"/>
      <c r="AJ49" s="1074"/>
      <c r="AK49" s="1074"/>
      <c r="AL49" s="1074"/>
      <c r="AM49" s="1074"/>
      <c r="AN49" s="1074"/>
      <c r="AO49" s="1074"/>
      <c r="AP49" s="1074"/>
      <c r="AQ49" s="1074"/>
      <c r="AR49" s="1074"/>
      <c r="AS49" s="1074"/>
      <c r="AT49" s="1075"/>
    </row>
    <row r="50" ht="16.25" customHeight="1">
      <c r="A50" s="1067"/>
      <c r="B50" s="1093" cm="1">
        <f t="array" ref="B50">B49+1</f>
        <v>48</v>
      </c>
      <c r="C50" t="s" s="1094">
        <v>102</v>
      </c>
      <c r="D50" t="s" s="1095">
        <v>13</v>
      </c>
      <c r="E50" s="1096">
        <v>0</v>
      </c>
      <c r="F50" t="s" s="1095">
        <v>61</v>
      </c>
      <c r="G50" t="s" s="1095">
        <v>15</v>
      </c>
      <c r="H50" s="1097">
        <v>16</v>
      </c>
      <c r="I50" t="s" s="1095">
        <v>14</v>
      </c>
      <c r="J50" s="1101">
        <v>18700000</v>
      </c>
      <c r="K50" t="s" s="1098">
        <v>959</v>
      </c>
      <c r="L50" s="1107"/>
      <c r="M50" s="1073"/>
      <c r="N50" s="1074"/>
      <c r="O50" s="1074"/>
      <c r="P50" s="1074"/>
      <c r="Q50" s="1074"/>
      <c r="R50" s="1074"/>
      <c r="S50" s="1074"/>
      <c r="T50" s="1074"/>
      <c r="U50" s="1074"/>
      <c r="V50" s="1074"/>
      <c r="W50" s="1074"/>
      <c r="X50" s="1074"/>
      <c r="Y50" s="1074"/>
      <c r="Z50" s="1074"/>
      <c r="AA50" s="1074"/>
      <c r="AB50" s="1074"/>
      <c r="AC50" s="1074"/>
      <c r="AD50" s="1074"/>
      <c r="AE50" s="1074"/>
      <c r="AF50" s="1074"/>
      <c r="AG50" s="1074"/>
      <c r="AH50" s="1074"/>
      <c r="AI50" s="1074"/>
      <c r="AJ50" s="1074"/>
      <c r="AK50" s="1074"/>
      <c r="AL50" s="1074"/>
      <c r="AM50" s="1074"/>
      <c r="AN50" s="1074"/>
      <c r="AO50" s="1074"/>
      <c r="AP50" s="1074"/>
      <c r="AQ50" s="1074"/>
      <c r="AR50" s="1074"/>
      <c r="AS50" s="1074"/>
      <c r="AT50" s="1075"/>
    </row>
    <row r="51" ht="16.25" customHeight="1">
      <c r="A51" s="1067"/>
      <c r="B51" s="1083" cm="1">
        <f t="array" ref="B51">B50+1</f>
        <v>49</v>
      </c>
      <c r="C51" t="s" s="1084">
        <v>101</v>
      </c>
      <c r="D51" t="s" s="1085">
        <v>13</v>
      </c>
      <c r="E51" s="1086">
        <v>0</v>
      </c>
      <c r="F51" t="s" s="1085">
        <v>979</v>
      </c>
      <c r="G51" t="s" s="1085">
        <v>15</v>
      </c>
      <c r="H51" s="1087">
        <v>45</v>
      </c>
      <c r="I51" t="s" s="1085">
        <v>14</v>
      </c>
      <c r="J51" s="1092">
        <v>34000000</v>
      </c>
      <c r="K51" t="s" s="1088">
        <v>959</v>
      </c>
      <c r="L51" t="s" s="1091">
        <v>980</v>
      </c>
      <c r="M51" s="1073"/>
      <c r="N51" s="1074"/>
      <c r="O51" s="1074"/>
      <c r="P51" s="1074"/>
      <c r="Q51" s="1074"/>
      <c r="R51" s="1074"/>
      <c r="S51" s="1074"/>
      <c r="T51" s="1074"/>
      <c r="U51" s="1074"/>
      <c r="V51" s="1074"/>
      <c r="W51" s="1074"/>
      <c r="X51" s="1074"/>
      <c r="Y51" s="1074"/>
      <c r="Z51" s="1074"/>
      <c r="AA51" s="1074"/>
      <c r="AB51" s="1074"/>
      <c r="AC51" s="1074"/>
      <c r="AD51" s="1074"/>
      <c r="AE51" s="1074"/>
      <c r="AF51" s="1074"/>
      <c r="AG51" s="1074"/>
      <c r="AH51" s="1074"/>
      <c r="AI51" s="1074"/>
      <c r="AJ51" s="1074"/>
      <c r="AK51" s="1074"/>
      <c r="AL51" s="1074"/>
      <c r="AM51" s="1074"/>
      <c r="AN51" s="1074"/>
      <c r="AO51" s="1074"/>
      <c r="AP51" s="1074"/>
      <c r="AQ51" s="1074"/>
      <c r="AR51" s="1074"/>
      <c r="AS51" s="1074"/>
      <c r="AT51" s="1075"/>
    </row>
    <row r="52" ht="16.25" customHeight="1">
      <c r="A52" s="1067"/>
      <c r="B52" s="1083" cm="1">
        <f t="array" ref="B52">B51+1</f>
        <v>50</v>
      </c>
      <c r="C52" t="s" s="1084">
        <v>105</v>
      </c>
      <c r="D52" t="s" s="1085">
        <v>13</v>
      </c>
      <c r="E52" s="1086">
        <v>0</v>
      </c>
      <c r="F52" t="s" s="1085">
        <v>979</v>
      </c>
      <c r="G52" t="s" s="1085">
        <v>15</v>
      </c>
      <c r="H52" s="1087">
        <v>35</v>
      </c>
      <c r="I52" t="s" s="1085">
        <v>14</v>
      </c>
      <c r="J52" s="1092">
        <v>32000000</v>
      </c>
      <c r="K52" t="s" s="1088">
        <v>959</v>
      </c>
      <c r="L52" t="s" s="1091">
        <v>981</v>
      </c>
      <c r="M52" s="1073"/>
      <c r="N52" s="1074"/>
      <c r="O52" s="1074"/>
      <c r="P52" s="1074"/>
      <c r="Q52" s="1074"/>
      <c r="R52" s="1074"/>
      <c r="S52" s="1074"/>
      <c r="T52" s="1074"/>
      <c r="U52" s="1074"/>
      <c r="V52" s="1074"/>
      <c r="W52" s="1074"/>
      <c r="X52" s="1074"/>
      <c r="Y52" s="1074"/>
      <c r="Z52" s="1074"/>
      <c r="AA52" s="1074"/>
      <c r="AB52" s="1074"/>
      <c r="AC52" s="1074"/>
      <c r="AD52" s="1074"/>
      <c r="AE52" s="1074"/>
      <c r="AF52" s="1074"/>
      <c r="AG52" s="1074"/>
      <c r="AH52" s="1074"/>
      <c r="AI52" s="1074"/>
      <c r="AJ52" s="1074"/>
      <c r="AK52" s="1074"/>
      <c r="AL52" s="1074"/>
      <c r="AM52" s="1074"/>
      <c r="AN52" s="1074"/>
      <c r="AO52" s="1074"/>
      <c r="AP52" s="1074"/>
      <c r="AQ52" s="1074"/>
      <c r="AR52" s="1074"/>
      <c r="AS52" s="1074"/>
      <c r="AT52" s="1075"/>
    </row>
    <row r="53" ht="16.25" customHeight="1">
      <c r="A53" s="1067"/>
      <c r="B53" s="1083" cm="1">
        <f t="array" ref="B53">B52+1</f>
        <v>51</v>
      </c>
      <c r="C53" t="s" s="1084">
        <v>106</v>
      </c>
      <c r="D53" t="s" s="1085">
        <v>13</v>
      </c>
      <c r="E53" s="1086">
        <v>0</v>
      </c>
      <c r="F53" t="s" s="1085">
        <v>979</v>
      </c>
      <c r="G53" t="s" s="1085">
        <v>15</v>
      </c>
      <c r="H53" s="1087">
        <v>18</v>
      </c>
      <c r="I53" t="s" s="1085">
        <v>14</v>
      </c>
      <c r="J53" s="1092">
        <v>34000000</v>
      </c>
      <c r="K53" t="s" s="1088">
        <v>959</v>
      </c>
      <c r="L53" t="s" s="1091">
        <v>982</v>
      </c>
      <c r="M53" s="1073"/>
      <c r="N53" s="1074"/>
      <c r="O53" s="1074"/>
      <c r="P53" s="1074"/>
      <c r="Q53" s="1074"/>
      <c r="R53" s="1074"/>
      <c r="S53" s="1074"/>
      <c r="T53" s="1074"/>
      <c r="U53" s="1074"/>
      <c r="V53" s="1074"/>
      <c r="W53" s="1074"/>
      <c r="X53" s="1074"/>
      <c r="Y53" s="1074"/>
      <c r="Z53" s="1074"/>
      <c r="AA53" s="1074"/>
      <c r="AB53" s="1074"/>
      <c r="AC53" s="1074"/>
      <c r="AD53" s="1074"/>
      <c r="AE53" s="1074"/>
      <c r="AF53" s="1074"/>
      <c r="AG53" s="1074"/>
      <c r="AH53" s="1074"/>
      <c r="AI53" s="1074"/>
      <c r="AJ53" s="1074"/>
      <c r="AK53" s="1074"/>
      <c r="AL53" s="1074"/>
      <c r="AM53" s="1074"/>
      <c r="AN53" s="1074"/>
      <c r="AO53" s="1074"/>
      <c r="AP53" s="1074"/>
      <c r="AQ53" s="1074"/>
      <c r="AR53" s="1074"/>
      <c r="AS53" s="1074"/>
      <c r="AT53" s="1075"/>
    </row>
    <row r="54" ht="16.25" customHeight="1">
      <c r="A54" s="1067"/>
      <c r="B54" s="1083" cm="1">
        <f t="array" ref="B54">B53+1</f>
        <v>52</v>
      </c>
      <c r="C54" t="s" s="1084">
        <v>109</v>
      </c>
      <c r="D54" t="s" s="1085">
        <v>13</v>
      </c>
      <c r="E54" s="1086">
        <v>0</v>
      </c>
      <c r="F54" t="s" s="1085">
        <v>979</v>
      </c>
      <c r="G54" t="s" s="1085">
        <v>15</v>
      </c>
      <c r="H54" s="1087">
        <v>13</v>
      </c>
      <c r="I54" t="s" s="1085">
        <v>14</v>
      </c>
      <c r="J54" s="1092">
        <v>29700000</v>
      </c>
      <c r="K54" t="s" s="1088">
        <v>959</v>
      </c>
      <c r="L54" t="s" s="1091">
        <v>983</v>
      </c>
      <c r="M54" s="1073"/>
      <c r="N54" s="1074"/>
      <c r="O54" s="1074"/>
      <c r="P54" s="1074"/>
      <c r="Q54" s="1074"/>
      <c r="R54" s="1074"/>
      <c r="S54" s="1074"/>
      <c r="T54" s="1074"/>
      <c r="U54" s="1074"/>
      <c r="V54" s="1074"/>
      <c r="W54" s="1074"/>
      <c r="X54" s="1074"/>
      <c r="Y54" s="1074"/>
      <c r="Z54" s="1074"/>
      <c r="AA54" s="1074"/>
      <c r="AB54" s="1074"/>
      <c r="AC54" s="1074"/>
      <c r="AD54" s="1074"/>
      <c r="AE54" s="1074"/>
      <c r="AF54" s="1074"/>
      <c r="AG54" s="1074"/>
      <c r="AH54" s="1074"/>
      <c r="AI54" s="1074"/>
      <c r="AJ54" s="1074"/>
      <c r="AK54" s="1074"/>
      <c r="AL54" s="1074"/>
      <c r="AM54" s="1074"/>
      <c r="AN54" s="1074"/>
      <c r="AO54" s="1074"/>
      <c r="AP54" s="1074"/>
      <c r="AQ54" s="1074"/>
      <c r="AR54" s="1074"/>
      <c r="AS54" s="1074"/>
      <c r="AT54" s="1075"/>
    </row>
    <row r="55" ht="16.25" customHeight="1">
      <c r="A55" s="1067"/>
      <c r="B55" s="1083" cm="1">
        <f t="array" ref="B55">B54+1</f>
        <v>53</v>
      </c>
      <c r="C55" t="s" s="1084">
        <v>107</v>
      </c>
      <c r="D55" t="s" s="1085">
        <v>13</v>
      </c>
      <c r="E55" s="1086">
        <v>0</v>
      </c>
      <c r="F55" t="s" s="1085">
        <v>979</v>
      </c>
      <c r="G55" t="s" s="1085">
        <v>15</v>
      </c>
      <c r="H55" s="1087">
        <v>10</v>
      </c>
      <c r="I55" t="s" s="1085">
        <v>14</v>
      </c>
      <c r="J55" s="1092">
        <v>12000000</v>
      </c>
      <c r="K55" t="s" s="1088">
        <v>959</v>
      </c>
      <c r="L55" s="1089"/>
      <c r="M55" s="1073"/>
      <c r="N55" s="1074"/>
      <c r="O55" s="1074"/>
      <c r="P55" s="1074"/>
      <c r="Q55" s="1074"/>
      <c r="R55" s="1074"/>
      <c r="S55" s="1074"/>
      <c r="T55" s="1074"/>
      <c r="U55" s="1074"/>
      <c r="V55" s="1074"/>
      <c r="W55" s="1074"/>
      <c r="X55" s="1074"/>
      <c r="Y55" s="1074"/>
      <c r="Z55" s="1074"/>
      <c r="AA55" s="1074"/>
      <c r="AB55" s="1074"/>
      <c r="AC55" s="1074"/>
      <c r="AD55" s="1074"/>
      <c r="AE55" s="1074"/>
      <c r="AF55" s="1074"/>
      <c r="AG55" s="1074"/>
      <c r="AH55" s="1074"/>
      <c r="AI55" s="1074"/>
      <c r="AJ55" s="1074"/>
      <c r="AK55" s="1074"/>
      <c r="AL55" s="1074"/>
      <c r="AM55" s="1074"/>
      <c r="AN55" s="1074"/>
      <c r="AO55" s="1074"/>
      <c r="AP55" s="1074"/>
      <c r="AQ55" s="1074"/>
      <c r="AR55" s="1074"/>
      <c r="AS55" s="1074"/>
      <c r="AT55" s="1075"/>
    </row>
    <row r="56" ht="16.25" customHeight="1">
      <c r="A56" s="1067"/>
      <c r="B56" s="1093" cm="1">
        <f t="array" ref="B56">B55+1</f>
        <v>54</v>
      </c>
      <c r="C56" t="s" s="1094">
        <v>108</v>
      </c>
      <c r="D56" t="s" s="1095">
        <v>13</v>
      </c>
      <c r="E56" s="1096">
        <v>0</v>
      </c>
      <c r="F56" t="s" s="1095">
        <v>979</v>
      </c>
      <c r="G56" t="s" s="1095">
        <v>15</v>
      </c>
      <c r="H56" s="1097">
        <v>10</v>
      </c>
      <c r="I56" t="s" s="1095">
        <v>14</v>
      </c>
      <c r="J56" s="1101" cm="1">
        <f t="array" ref="J56">8600000+500000</f>
        <v>9100000</v>
      </c>
      <c r="K56" t="s" s="1098">
        <v>959</v>
      </c>
      <c r="L56" t="s" s="1099">
        <v>984</v>
      </c>
      <c r="M56" s="1073"/>
      <c r="N56" s="1074"/>
      <c r="O56" s="1074"/>
      <c r="P56" s="1074"/>
      <c r="Q56" s="1074"/>
      <c r="R56" s="1074"/>
      <c r="S56" s="1074"/>
      <c r="T56" s="1074"/>
      <c r="U56" s="1074"/>
      <c r="V56" s="1074"/>
      <c r="W56" s="1074"/>
      <c r="X56" s="1074"/>
      <c r="Y56" s="1074"/>
      <c r="Z56" s="1074"/>
      <c r="AA56" s="1074"/>
      <c r="AB56" s="1074"/>
      <c r="AC56" s="1074"/>
      <c r="AD56" s="1074"/>
      <c r="AE56" s="1074"/>
      <c r="AF56" s="1074"/>
      <c r="AG56" s="1074"/>
      <c r="AH56" s="1074"/>
      <c r="AI56" s="1074"/>
      <c r="AJ56" s="1074"/>
      <c r="AK56" s="1074"/>
      <c r="AL56" s="1074"/>
      <c r="AM56" s="1074"/>
      <c r="AN56" s="1074"/>
      <c r="AO56" s="1074"/>
      <c r="AP56" s="1074"/>
      <c r="AQ56" s="1074"/>
      <c r="AR56" s="1074"/>
      <c r="AS56" s="1074"/>
      <c r="AT56" s="1075"/>
    </row>
    <row r="57" ht="16.25" customHeight="1">
      <c r="A57" s="1067"/>
      <c r="B57" s="1083" cm="1">
        <f t="array" ref="B57">B56+1</f>
        <v>55</v>
      </c>
      <c r="C57" t="s" s="1084">
        <v>213</v>
      </c>
      <c r="D57" t="s" s="1085">
        <v>13</v>
      </c>
      <c r="E57" s="1086">
        <v>0</v>
      </c>
      <c r="F57" t="s" s="1085">
        <v>963</v>
      </c>
      <c r="G57" t="s" s="1085">
        <v>15</v>
      </c>
      <c r="H57" s="1087">
        <v>25</v>
      </c>
      <c r="I57" t="s" s="1085">
        <v>14</v>
      </c>
      <c r="J57" s="1092">
        <v>29000000</v>
      </c>
      <c r="K57" t="s" s="1088">
        <v>959</v>
      </c>
      <c r="L57" s="1089"/>
      <c r="M57" s="1073"/>
      <c r="N57" s="1074"/>
      <c r="O57" s="1074"/>
      <c r="P57" s="1074"/>
      <c r="Q57" s="1074"/>
      <c r="R57" s="1074"/>
      <c r="S57" s="1074"/>
      <c r="T57" s="1074"/>
      <c r="U57" s="1074"/>
      <c r="V57" s="1074"/>
      <c r="W57" s="1074"/>
      <c r="X57" s="1074"/>
      <c r="Y57" s="1074"/>
      <c r="Z57" s="1074"/>
      <c r="AA57" s="1074"/>
      <c r="AB57" s="1074"/>
      <c r="AC57" s="1074"/>
      <c r="AD57" s="1074"/>
      <c r="AE57" s="1074"/>
      <c r="AF57" s="1074"/>
      <c r="AG57" s="1074"/>
      <c r="AH57" s="1074"/>
      <c r="AI57" s="1074"/>
      <c r="AJ57" s="1074"/>
      <c r="AK57" s="1074"/>
      <c r="AL57" s="1074"/>
      <c r="AM57" s="1074"/>
      <c r="AN57" s="1074"/>
      <c r="AO57" s="1074"/>
      <c r="AP57" s="1074"/>
      <c r="AQ57" s="1074"/>
      <c r="AR57" s="1074"/>
      <c r="AS57" s="1074"/>
      <c r="AT57" s="1075"/>
    </row>
    <row r="58" ht="16.25" customHeight="1">
      <c r="A58" s="1067"/>
      <c r="B58" s="1083" cm="1">
        <f t="array" ref="B58">B57+1</f>
        <v>56</v>
      </c>
      <c r="C58" t="s" s="1084">
        <v>112</v>
      </c>
      <c r="D58" t="s" s="1085">
        <v>13</v>
      </c>
      <c r="E58" s="1086">
        <v>0</v>
      </c>
      <c r="F58" t="s" s="1085">
        <v>963</v>
      </c>
      <c r="G58" t="s" s="1085">
        <v>15</v>
      </c>
      <c r="H58" s="1087">
        <v>12</v>
      </c>
      <c r="I58" t="s" s="1085">
        <v>14</v>
      </c>
      <c r="J58" s="1092">
        <v>13000000</v>
      </c>
      <c r="K58" t="s" s="1088">
        <v>959</v>
      </c>
      <c r="L58" s="1089"/>
      <c r="M58" s="1073"/>
      <c r="N58" s="1074"/>
      <c r="O58" s="1074"/>
      <c r="P58" s="1074"/>
      <c r="Q58" s="1074"/>
      <c r="R58" s="1074"/>
      <c r="S58" s="1074"/>
      <c r="T58" s="1074"/>
      <c r="U58" s="1074"/>
      <c r="V58" s="1074"/>
      <c r="W58" s="1074"/>
      <c r="X58" s="1074"/>
      <c r="Y58" s="1074"/>
      <c r="Z58" s="1074"/>
      <c r="AA58" s="1074"/>
      <c r="AB58" s="1074"/>
      <c r="AC58" s="1074"/>
      <c r="AD58" s="1074"/>
      <c r="AE58" s="1074"/>
      <c r="AF58" s="1074"/>
      <c r="AG58" s="1074"/>
      <c r="AH58" s="1074"/>
      <c r="AI58" s="1074"/>
      <c r="AJ58" s="1074"/>
      <c r="AK58" s="1074"/>
      <c r="AL58" s="1074"/>
      <c r="AM58" s="1074"/>
      <c r="AN58" s="1074"/>
      <c r="AO58" s="1074"/>
      <c r="AP58" s="1074"/>
      <c r="AQ58" s="1074"/>
      <c r="AR58" s="1074"/>
      <c r="AS58" s="1074"/>
      <c r="AT58" s="1075"/>
    </row>
    <row r="59" ht="16.25" customHeight="1">
      <c r="A59" s="1067"/>
      <c r="B59" s="1083" cm="1">
        <f t="array" ref="B59">B58+1</f>
        <v>57</v>
      </c>
      <c r="C59" t="s" s="1084">
        <v>110</v>
      </c>
      <c r="D59" t="s" s="1085">
        <v>13</v>
      </c>
      <c r="E59" s="1086">
        <v>0</v>
      </c>
      <c r="F59" t="s" s="1085">
        <v>963</v>
      </c>
      <c r="G59" t="s" s="1085">
        <v>15</v>
      </c>
      <c r="H59" s="1087">
        <v>19</v>
      </c>
      <c r="I59" t="s" s="1085">
        <v>14</v>
      </c>
      <c r="J59" s="1092">
        <v>24000000</v>
      </c>
      <c r="K59" t="s" s="1088">
        <v>959</v>
      </c>
      <c r="L59" s="1089"/>
      <c r="M59" s="1073"/>
      <c r="N59" s="1074"/>
      <c r="O59" s="1074"/>
      <c r="P59" s="1074"/>
      <c r="Q59" s="1074"/>
      <c r="R59" s="1074"/>
      <c r="S59" s="1074"/>
      <c r="T59" s="1074"/>
      <c r="U59" s="1074"/>
      <c r="V59" s="1074"/>
      <c r="W59" s="1074"/>
      <c r="X59" s="1074"/>
      <c r="Y59" s="1074"/>
      <c r="Z59" s="1074"/>
      <c r="AA59" s="1074"/>
      <c r="AB59" s="1074"/>
      <c r="AC59" s="1074"/>
      <c r="AD59" s="1074"/>
      <c r="AE59" s="1074"/>
      <c r="AF59" s="1074"/>
      <c r="AG59" s="1074"/>
      <c r="AH59" s="1074"/>
      <c r="AI59" s="1074"/>
      <c r="AJ59" s="1074"/>
      <c r="AK59" s="1074"/>
      <c r="AL59" s="1074"/>
      <c r="AM59" s="1074"/>
      <c r="AN59" s="1074"/>
      <c r="AO59" s="1074"/>
      <c r="AP59" s="1074"/>
      <c r="AQ59" s="1074"/>
      <c r="AR59" s="1074"/>
      <c r="AS59" s="1074"/>
      <c r="AT59" s="1075"/>
    </row>
    <row r="60" ht="16.25" customHeight="1">
      <c r="A60" s="1067"/>
      <c r="B60" s="1108" cm="1">
        <f t="array" ref="B60">B59+1</f>
        <v>58</v>
      </c>
      <c r="C60" t="s" s="1109">
        <v>214</v>
      </c>
      <c r="D60" t="s" s="1110">
        <v>13</v>
      </c>
      <c r="E60" s="1111">
        <v>0</v>
      </c>
      <c r="F60" t="s" s="1110">
        <v>61</v>
      </c>
      <c r="G60" t="s" s="1110">
        <v>15</v>
      </c>
      <c r="H60" s="1112">
        <v>12</v>
      </c>
      <c r="I60" t="s" s="1110">
        <v>14</v>
      </c>
      <c r="J60" s="1113">
        <v>8000000</v>
      </c>
      <c r="K60" t="s" s="1114">
        <v>959</v>
      </c>
      <c r="L60" s="1115"/>
      <c r="M60" s="1073"/>
      <c r="N60" s="1074"/>
      <c r="O60" s="1074"/>
      <c r="P60" s="1074"/>
      <c r="Q60" s="1074"/>
      <c r="R60" s="1074"/>
      <c r="S60" s="1074"/>
      <c r="T60" s="1074"/>
      <c r="U60" s="1074"/>
      <c r="V60" s="1074"/>
      <c r="W60" s="1074"/>
      <c r="X60" s="1074"/>
      <c r="Y60" s="1074"/>
      <c r="Z60" s="1074"/>
      <c r="AA60" s="1074"/>
      <c r="AB60" s="1074"/>
      <c r="AC60" s="1074"/>
      <c r="AD60" s="1074"/>
      <c r="AE60" s="1074"/>
      <c r="AF60" s="1074"/>
      <c r="AG60" s="1074"/>
      <c r="AH60" s="1074"/>
      <c r="AI60" s="1074"/>
      <c r="AJ60" s="1074"/>
      <c r="AK60" s="1074"/>
      <c r="AL60" s="1074"/>
      <c r="AM60" s="1074"/>
      <c r="AN60" s="1074"/>
      <c r="AO60" s="1074"/>
      <c r="AP60" s="1074"/>
      <c r="AQ60" s="1074"/>
      <c r="AR60" s="1074"/>
      <c r="AS60" s="1074"/>
      <c r="AT60" s="1075"/>
    </row>
    <row r="61" ht="14.25" customHeight="1">
      <c r="A61" s="1116"/>
      <c r="B61" s="1117"/>
      <c r="C61" s="1118"/>
      <c r="D61" s="1118"/>
      <c r="E61" s="1118"/>
      <c r="F61" s="1118"/>
      <c r="G61" s="1118"/>
      <c r="H61" s="1118"/>
      <c r="I61" s="1118"/>
      <c r="J61" s="1118"/>
      <c r="K61" s="1119"/>
      <c r="L61" s="1119"/>
      <c r="M61" s="1074"/>
      <c r="N61" s="1074"/>
      <c r="O61" s="1074"/>
      <c r="P61" s="1074"/>
      <c r="Q61" s="1074"/>
      <c r="R61" s="1074"/>
      <c r="S61" s="1074"/>
      <c r="T61" s="1074"/>
      <c r="U61" s="1074"/>
      <c r="V61" s="1074"/>
      <c r="W61" s="1074"/>
      <c r="X61" s="1074"/>
      <c r="Y61" s="1074"/>
      <c r="Z61" s="1074"/>
      <c r="AA61" s="1074"/>
      <c r="AB61" s="1074"/>
      <c r="AC61" s="1074"/>
      <c r="AD61" s="1074"/>
      <c r="AE61" s="1074"/>
      <c r="AF61" s="1074"/>
      <c r="AG61" s="1074"/>
      <c r="AH61" s="1074"/>
      <c r="AI61" s="1074"/>
      <c r="AJ61" s="1074"/>
      <c r="AK61" s="1074"/>
      <c r="AL61" s="1074"/>
      <c r="AM61" s="1074"/>
      <c r="AN61" s="1074"/>
      <c r="AO61" s="1074"/>
      <c r="AP61" s="1074"/>
      <c r="AQ61" s="1074"/>
      <c r="AR61" s="1074"/>
      <c r="AS61" s="1074"/>
      <c r="AT61" s="1075"/>
    </row>
    <row r="62" ht="14.25" customHeight="1">
      <c r="A62" s="1116"/>
      <c r="B62" s="1120"/>
      <c r="C62" t="s" s="1100">
        <v>985</v>
      </c>
      <c r="D62" s="1100"/>
      <c r="E62" s="1100"/>
      <c r="F62" s="1100"/>
      <c r="G62" s="1100"/>
      <c r="H62" s="1100"/>
      <c r="I62" s="1100"/>
      <c r="J62" s="1100"/>
      <c r="K62" s="1074"/>
      <c r="L62" s="1074"/>
      <c r="M62" s="1074"/>
      <c r="N62" s="1074"/>
      <c r="O62" s="1074"/>
      <c r="P62" s="1074"/>
      <c r="Q62" s="1074"/>
      <c r="R62" s="1074"/>
      <c r="S62" s="1074"/>
      <c r="T62" s="1074"/>
      <c r="U62" s="1074"/>
      <c r="V62" s="1074"/>
      <c r="W62" s="1074"/>
      <c r="X62" s="1074"/>
      <c r="Y62" s="1074"/>
      <c r="Z62" s="1074"/>
      <c r="AA62" s="1074"/>
      <c r="AB62" s="1074"/>
      <c r="AC62" s="1074"/>
      <c r="AD62" s="1074"/>
      <c r="AE62" s="1074"/>
      <c r="AF62" s="1074"/>
      <c r="AG62" s="1074"/>
      <c r="AH62" s="1074"/>
      <c r="AI62" s="1074"/>
      <c r="AJ62" s="1074"/>
      <c r="AK62" s="1074"/>
      <c r="AL62" s="1074"/>
      <c r="AM62" s="1074"/>
      <c r="AN62" s="1074"/>
      <c r="AO62" s="1074"/>
      <c r="AP62" s="1074"/>
      <c r="AQ62" s="1074"/>
      <c r="AR62" s="1074"/>
      <c r="AS62" s="1074"/>
      <c r="AT62" s="1075"/>
    </row>
    <row r="63" ht="14.25" customHeight="1">
      <c r="A63" s="1116"/>
      <c r="B63" s="1120"/>
      <c r="C63" s="1100"/>
      <c r="D63" s="1100"/>
      <c r="E63" s="1100"/>
      <c r="F63" s="1100"/>
      <c r="G63" s="1100"/>
      <c r="H63" s="1100"/>
      <c r="I63" s="1100"/>
      <c r="J63" s="1100"/>
      <c r="K63" s="1074"/>
      <c r="L63" s="1074"/>
      <c r="M63" s="1074"/>
      <c r="N63" s="1074"/>
      <c r="O63" s="1074"/>
      <c r="P63" s="1074"/>
      <c r="Q63" s="1074"/>
      <c r="R63" s="1074"/>
      <c r="S63" s="1074"/>
      <c r="T63" s="1074"/>
      <c r="U63" s="1074"/>
      <c r="V63" s="1074"/>
      <c r="W63" s="1074"/>
      <c r="X63" s="1074"/>
      <c r="Y63" s="1074"/>
      <c r="Z63" s="1074"/>
      <c r="AA63" s="1074"/>
      <c r="AB63" s="1074"/>
      <c r="AC63" s="1074"/>
      <c r="AD63" s="1074"/>
      <c r="AE63" s="1074"/>
      <c r="AF63" s="1074"/>
      <c r="AG63" s="1074"/>
      <c r="AH63" s="1074"/>
      <c r="AI63" s="1074"/>
      <c r="AJ63" s="1074"/>
      <c r="AK63" s="1074"/>
      <c r="AL63" s="1074"/>
      <c r="AM63" s="1074"/>
      <c r="AN63" s="1074"/>
      <c r="AO63" s="1074"/>
      <c r="AP63" s="1074"/>
      <c r="AQ63" s="1074"/>
      <c r="AR63" s="1074"/>
      <c r="AS63" s="1074"/>
      <c r="AT63" s="1075"/>
    </row>
    <row r="64" ht="14.25" customHeight="1">
      <c r="A64" s="1116"/>
      <c r="B64" s="1120"/>
      <c r="C64" s="1100"/>
      <c r="D64" s="1100"/>
      <c r="E64" s="1100"/>
      <c r="F64" s="1100"/>
      <c r="G64" s="1100"/>
      <c r="H64" s="1100"/>
      <c r="I64" s="1100"/>
      <c r="J64" s="1100"/>
      <c r="K64" s="1074"/>
      <c r="L64" s="1074"/>
      <c r="M64" s="1074"/>
      <c r="N64" s="1074"/>
      <c r="O64" s="1074"/>
      <c r="P64" s="1074"/>
      <c r="Q64" s="1074"/>
      <c r="R64" s="1074"/>
      <c r="S64" s="1074"/>
      <c r="T64" s="1074"/>
      <c r="U64" s="1074"/>
      <c r="V64" s="1074"/>
      <c r="W64" s="1074"/>
      <c r="X64" s="1074"/>
      <c r="Y64" s="1074"/>
      <c r="Z64" s="1074"/>
      <c r="AA64" s="1074"/>
      <c r="AB64" s="1074"/>
      <c r="AC64" s="1074"/>
      <c r="AD64" s="1074"/>
      <c r="AE64" s="1074"/>
      <c r="AF64" s="1074"/>
      <c r="AG64" s="1074"/>
      <c r="AH64" s="1074"/>
      <c r="AI64" s="1074"/>
      <c r="AJ64" s="1074"/>
      <c r="AK64" s="1074"/>
      <c r="AL64" s="1074"/>
      <c r="AM64" s="1074"/>
      <c r="AN64" s="1074"/>
      <c r="AO64" s="1074"/>
      <c r="AP64" s="1074"/>
      <c r="AQ64" s="1074"/>
      <c r="AR64" s="1074"/>
      <c r="AS64" s="1074"/>
      <c r="AT64" s="1075"/>
    </row>
    <row r="65" ht="14.25" customHeight="1">
      <c r="A65" s="1116"/>
      <c r="B65" s="1120"/>
      <c r="C65" s="1121"/>
      <c r="D65" s="1100"/>
      <c r="E65" s="1100"/>
      <c r="F65" s="1100"/>
      <c r="G65" s="1100"/>
      <c r="H65" s="1100"/>
      <c r="I65" s="1100"/>
      <c r="J65" s="1100"/>
      <c r="K65" s="1074"/>
      <c r="L65" s="1074"/>
      <c r="M65" s="1074"/>
      <c r="N65" s="1074"/>
      <c r="O65" s="1074"/>
      <c r="P65" s="1074"/>
      <c r="Q65" s="1074"/>
      <c r="R65" s="1074"/>
      <c r="S65" s="1074"/>
      <c r="T65" s="1074"/>
      <c r="U65" s="1074"/>
      <c r="V65" s="1074"/>
      <c r="W65" s="1074"/>
      <c r="X65" s="1074"/>
      <c r="Y65" s="1074"/>
      <c r="Z65" s="1074"/>
      <c r="AA65" s="1074"/>
      <c r="AB65" s="1074"/>
      <c r="AC65" s="1074"/>
      <c r="AD65" s="1074"/>
      <c r="AE65" s="1074"/>
      <c r="AF65" s="1074"/>
      <c r="AG65" s="1074"/>
      <c r="AH65" s="1074"/>
      <c r="AI65" s="1074"/>
      <c r="AJ65" s="1074"/>
      <c r="AK65" s="1074"/>
      <c r="AL65" s="1074"/>
      <c r="AM65" s="1074"/>
      <c r="AN65" s="1074"/>
      <c r="AO65" s="1074"/>
      <c r="AP65" s="1074"/>
      <c r="AQ65" s="1074"/>
      <c r="AR65" s="1074"/>
      <c r="AS65" s="1074"/>
      <c r="AT65" s="1075"/>
    </row>
    <row r="66" ht="14.25" customHeight="1">
      <c r="A66" s="1116"/>
      <c r="B66" s="1120"/>
      <c r="C66" s="1100"/>
      <c r="D66" s="1100"/>
      <c r="E66" s="1100"/>
      <c r="F66" s="1100"/>
      <c r="G66" s="1100"/>
      <c r="H66" s="1100"/>
      <c r="I66" s="1100"/>
      <c r="J66" s="1100"/>
      <c r="K66" s="1074"/>
      <c r="L66" s="1074"/>
      <c r="M66" s="1074"/>
      <c r="N66" s="1074"/>
      <c r="O66" s="1074"/>
      <c r="P66" s="1074"/>
      <c r="Q66" s="1074"/>
      <c r="R66" s="1074"/>
      <c r="S66" s="1074"/>
      <c r="T66" s="1074"/>
      <c r="U66" s="1074"/>
      <c r="V66" s="1074"/>
      <c r="W66" s="1074"/>
      <c r="X66" s="1074"/>
      <c r="Y66" s="1074"/>
      <c r="Z66" s="1074"/>
      <c r="AA66" s="1074"/>
      <c r="AB66" s="1074"/>
      <c r="AC66" s="1074"/>
      <c r="AD66" s="1074"/>
      <c r="AE66" s="1074"/>
      <c r="AF66" s="1074"/>
      <c r="AG66" s="1074"/>
      <c r="AH66" s="1074"/>
      <c r="AI66" s="1074"/>
      <c r="AJ66" s="1074"/>
      <c r="AK66" s="1074"/>
      <c r="AL66" s="1074"/>
      <c r="AM66" s="1074"/>
      <c r="AN66" s="1074"/>
      <c r="AO66" s="1074"/>
      <c r="AP66" s="1074"/>
      <c r="AQ66" s="1074"/>
      <c r="AR66" s="1074"/>
      <c r="AS66" s="1074"/>
      <c r="AT66" s="1075"/>
    </row>
    <row r="67" ht="14.25" customHeight="1">
      <c r="A67" s="1116"/>
      <c r="B67" s="1120"/>
      <c r="C67" s="1100"/>
      <c r="D67" s="1100"/>
      <c r="E67" s="1100"/>
      <c r="F67" s="1100"/>
      <c r="G67" s="1100"/>
      <c r="H67" s="1100"/>
      <c r="I67" s="1100"/>
      <c r="J67" s="1100"/>
      <c r="K67" s="1074"/>
      <c r="L67" s="1074"/>
      <c r="M67" s="1074"/>
      <c r="N67" s="1074"/>
      <c r="O67" s="1074"/>
      <c r="P67" s="1074"/>
      <c r="Q67" s="1074"/>
      <c r="R67" s="1074"/>
      <c r="S67" s="1074"/>
      <c r="T67" s="1074"/>
      <c r="U67" s="1074"/>
      <c r="V67" s="1074"/>
      <c r="W67" s="1074"/>
      <c r="X67" s="1074"/>
      <c r="Y67" s="1074"/>
      <c r="Z67" s="1074"/>
      <c r="AA67" s="1074"/>
      <c r="AB67" s="1074"/>
      <c r="AC67" s="1074"/>
      <c r="AD67" s="1074"/>
      <c r="AE67" s="1074"/>
      <c r="AF67" s="1074"/>
      <c r="AG67" s="1074"/>
      <c r="AH67" s="1074"/>
      <c r="AI67" s="1074"/>
      <c r="AJ67" s="1074"/>
      <c r="AK67" s="1074"/>
      <c r="AL67" s="1074"/>
      <c r="AM67" s="1074"/>
      <c r="AN67" s="1074"/>
      <c r="AO67" s="1074"/>
      <c r="AP67" s="1074"/>
      <c r="AQ67" s="1074"/>
      <c r="AR67" s="1074"/>
      <c r="AS67" s="1074"/>
      <c r="AT67" s="1075"/>
    </row>
    <row r="68" ht="14.25" customHeight="1">
      <c r="A68" s="1116"/>
      <c r="B68" s="1120"/>
      <c r="C68" s="1100"/>
      <c r="D68" s="1100"/>
      <c r="E68" s="1100"/>
      <c r="F68" s="1100"/>
      <c r="G68" s="1100"/>
      <c r="H68" s="1100"/>
      <c r="I68" s="1100"/>
      <c r="J68" s="1100"/>
      <c r="K68" s="1074"/>
      <c r="L68" s="1074"/>
      <c r="M68" s="1074"/>
      <c r="N68" s="1074"/>
      <c r="O68" s="1074"/>
      <c r="P68" s="1074"/>
      <c r="Q68" s="1074"/>
      <c r="R68" s="1074"/>
      <c r="S68" s="1074"/>
      <c r="T68" s="1074"/>
      <c r="U68" s="1074"/>
      <c r="V68" s="1074"/>
      <c r="W68" s="1074"/>
      <c r="X68" s="1074"/>
      <c r="Y68" s="1074"/>
      <c r="Z68" s="1074"/>
      <c r="AA68" s="1074"/>
      <c r="AB68" s="1074"/>
      <c r="AC68" s="1074"/>
      <c r="AD68" s="1074"/>
      <c r="AE68" s="1074"/>
      <c r="AF68" s="1074"/>
      <c r="AG68" s="1074"/>
      <c r="AH68" s="1074"/>
      <c r="AI68" s="1074"/>
      <c r="AJ68" s="1074"/>
      <c r="AK68" s="1074"/>
      <c r="AL68" s="1074"/>
      <c r="AM68" s="1074"/>
      <c r="AN68" s="1074"/>
      <c r="AO68" s="1074"/>
      <c r="AP68" s="1074"/>
      <c r="AQ68" s="1074"/>
      <c r="AR68" s="1074"/>
      <c r="AS68" s="1074"/>
      <c r="AT68" s="1075"/>
    </row>
    <row r="69" ht="14.25" customHeight="1">
      <c r="A69" s="1116"/>
      <c r="B69" s="1120"/>
      <c r="C69" s="1100"/>
      <c r="D69" s="1100"/>
      <c r="E69" s="1100"/>
      <c r="F69" s="1100"/>
      <c r="G69" s="1100"/>
      <c r="H69" s="1100"/>
      <c r="I69" s="1100"/>
      <c r="J69" s="1100"/>
      <c r="K69" s="1074"/>
      <c r="L69" s="1074"/>
      <c r="M69" s="1074"/>
      <c r="N69" s="1074"/>
      <c r="O69" s="1074"/>
      <c r="P69" s="1074"/>
      <c r="Q69" s="1074"/>
      <c r="R69" s="1074"/>
      <c r="S69" s="1074"/>
      <c r="T69" s="1074"/>
      <c r="U69" s="1074"/>
      <c r="V69" s="1074"/>
      <c r="W69" s="1074"/>
      <c r="X69" s="1074"/>
      <c r="Y69" s="1074"/>
      <c r="Z69" s="1074"/>
      <c r="AA69" s="1074"/>
      <c r="AB69" s="1074"/>
      <c r="AC69" s="1074"/>
      <c r="AD69" s="1074"/>
      <c r="AE69" s="1074"/>
      <c r="AF69" s="1074"/>
      <c r="AG69" s="1074"/>
      <c r="AH69" s="1074"/>
      <c r="AI69" s="1074"/>
      <c r="AJ69" s="1074"/>
      <c r="AK69" s="1074"/>
      <c r="AL69" s="1074"/>
      <c r="AM69" s="1074"/>
      <c r="AN69" s="1074"/>
      <c r="AO69" s="1074"/>
      <c r="AP69" s="1074"/>
      <c r="AQ69" s="1074"/>
      <c r="AR69" s="1074"/>
      <c r="AS69" s="1074"/>
      <c r="AT69" s="1075"/>
    </row>
    <row r="70" ht="14.25" customHeight="1">
      <c r="A70" s="1116"/>
      <c r="B70" s="1120"/>
      <c r="C70" s="1100"/>
      <c r="D70" s="1100"/>
      <c r="E70" s="1100"/>
      <c r="F70" s="1100"/>
      <c r="G70" s="1100"/>
      <c r="H70" s="1100"/>
      <c r="I70" s="1100"/>
      <c r="J70" s="1100"/>
      <c r="K70" s="1074"/>
      <c r="L70" s="1074"/>
      <c r="M70" s="1074"/>
      <c r="N70" s="1074"/>
      <c r="O70" s="1074"/>
      <c r="P70" s="1074"/>
      <c r="Q70" s="1074"/>
      <c r="R70" s="1074"/>
      <c r="S70" s="1074"/>
      <c r="T70" s="1074"/>
      <c r="U70" s="1074"/>
      <c r="V70" s="1074"/>
      <c r="W70" s="1074"/>
      <c r="X70" s="1074"/>
      <c r="Y70" s="1074"/>
      <c r="Z70" s="1074"/>
      <c r="AA70" s="1074"/>
      <c r="AB70" s="1074"/>
      <c r="AC70" s="1074"/>
      <c r="AD70" s="1074"/>
      <c r="AE70" s="1074"/>
      <c r="AF70" s="1074"/>
      <c r="AG70" s="1074"/>
      <c r="AH70" s="1074"/>
      <c r="AI70" s="1074"/>
      <c r="AJ70" s="1074"/>
      <c r="AK70" s="1074"/>
      <c r="AL70" s="1074"/>
      <c r="AM70" s="1074"/>
      <c r="AN70" s="1074"/>
      <c r="AO70" s="1074"/>
      <c r="AP70" s="1074"/>
      <c r="AQ70" s="1074"/>
      <c r="AR70" s="1074"/>
      <c r="AS70" s="1074"/>
      <c r="AT70" s="1075"/>
    </row>
    <row r="71" ht="14.25" customHeight="1">
      <c r="A71" s="1116"/>
      <c r="B71" s="1120"/>
      <c r="C71" s="1100"/>
      <c r="D71" s="1100"/>
      <c r="E71" s="1100"/>
      <c r="F71" s="1100"/>
      <c r="G71" s="1100"/>
      <c r="H71" s="1100"/>
      <c r="I71" s="1100"/>
      <c r="J71" s="1100"/>
      <c r="K71" s="1074"/>
      <c r="L71" s="1074"/>
      <c r="M71" s="1074"/>
      <c r="N71" s="1074"/>
      <c r="O71" s="1074"/>
      <c r="P71" s="1074"/>
      <c r="Q71" s="1074"/>
      <c r="R71" s="1074"/>
      <c r="S71" s="1074"/>
      <c r="T71" s="1074"/>
      <c r="U71" s="1074"/>
      <c r="V71" s="1074"/>
      <c r="W71" s="1074"/>
      <c r="X71" s="1074"/>
      <c r="Y71" s="1074"/>
      <c r="Z71" s="1074"/>
      <c r="AA71" s="1074"/>
      <c r="AB71" s="1074"/>
      <c r="AC71" s="1074"/>
      <c r="AD71" s="1074"/>
      <c r="AE71" s="1074"/>
      <c r="AF71" s="1074"/>
      <c r="AG71" s="1074"/>
      <c r="AH71" s="1074"/>
      <c r="AI71" s="1074"/>
      <c r="AJ71" s="1074"/>
      <c r="AK71" s="1074"/>
      <c r="AL71" s="1074"/>
      <c r="AM71" s="1074"/>
      <c r="AN71" s="1074"/>
      <c r="AO71" s="1074"/>
      <c r="AP71" s="1074"/>
      <c r="AQ71" s="1074"/>
      <c r="AR71" s="1074"/>
      <c r="AS71" s="1074"/>
      <c r="AT71" s="1075"/>
    </row>
    <row r="72" ht="14.25" customHeight="1">
      <c r="A72" s="1116"/>
      <c r="B72" s="1120"/>
      <c r="C72" s="1100"/>
      <c r="D72" s="1100"/>
      <c r="E72" s="1100"/>
      <c r="F72" s="1100"/>
      <c r="G72" s="1100"/>
      <c r="H72" s="1100"/>
      <c r="I72" s="1100"/>
      <c r="J72" s="1100"/>
      <c r="K72" s="1074"/>
      <c r="L72" s="1074"/>
      <c r="M72" s="1074"/>
      <c r="N72" s="1074"/>
      <c r="O72" s="1074"/>
      <c r="P72" s="1074"/>
      <c r="Q72" s="1074"/>
      <c r="R72" s="1074"/>
      <c r="S72" s="1074"/>
      <c r="T72" s="1074"/>
      <c r="U72" s="1074"/>
      <c r="V72" s="1074"/>
      <c r="W72" s="1074"/>
      <c r="X72" s="1074"/>
      <c r="Y72" s="1074"/>
      <c r="Z72" s="1074"/>
      <c r="AA72" s="1074"/>
      <c r="AB72" s="1074"/>
      <c r="AC72" s="1074"/>
      <c r="AD72" s="1074"/>
      <c r="AE72" s="1074"/>
      <c r="AF72" s="1074"/>
      <c r="AG72" s="1074"/>
      <c r="AH72" s="1074"/>
      <c r="AI72" s="1074"/>
      <c r="AJ72" s="1074"/>
      <c r="AK72" s="1074"/>
      <c r="AL72" s="1074"/>
      <c r="AM72" s="1074"/>
      <c r="AN72" s="1074"/>
      <c r="AO72" s="1074"/>
      <c r="AP72" s="1074"/>
      <c r="AQ72" s="1074"/>
      <c r="AR72" s="1074"/>
      <c r="AS72" s="1074"/>
      <c r="AT72" s="1075"/>
    </row>
    <row r="73" ht="14.25" customHeight="1">
      <c r="A73" s="1116"/>
      <c r="B73" s="1120"/>
      <c r="C73" s="1100"/>
      <c r="D73" s="1100"/>
      <c r="E73" s="1100"/>
      <c r="F73" s="1100"/>
      <c r="G73" s="1100"/>
      <c r="H73" s="1100"/>
      <c r="I73" s="1100"/>
      <c r="J73" s="1100"/>
      <c r="K73" s="1074"/>
      <c r="L73" s="1074"/>
      <c r="M73" s="1074"/>
      <c r="N73" s="1074"/>
      <c r="O73" s="1074"/>
      <c r="P73" s="1074"/>
      <c r="Q73" s="1074"/>
      <c r="R73" s="1074"/>
      <c r="S73" s="1074"/>
      <c r="T73" s="1074"/>
      <c r="U73" s="1074"/>
      <c r="V73" s="1074"/>
      <c r="W73" s="1074"/>
      <c r="X73" s="1074"/>
      <c r="Y73" s="1074"/>
      <c r="Z73" s="1074"/>
      <c r="AA73" s="1074"/>
      <c r="AB73" s="1074"/>
      <c r="AC73" s="1074"/>
      <c r="AD73" s="1074"/>
      <c r="AE73" s="1074"/>
      <c r="AF73" s="1074"/>
      <c r="AG73" s="1074"/>
      <c r="AH73" s="1074"/>
      <c r="AI73" s="1074"/>
      <c r="AJ73" s="1074"/>
      <c r="AK73" s="1074"/>
      <c r="AL73" s="1074"/>
      <c r="AM73" s="1074"/>
      <c r="AN73" s="1074"/>
      <c r="AO73" s="1074"/>
      <c r="AP73" s="1074"/>
      <c r="AQ73" s="1074"/>
      <c r="AR73" s="1074"/>
      <c r="AS73" s="1074"/>
      <c r="AT73" s="1075"/>
    </row>
    <row r="74" ht="14.25" customHeight="1">
      <c r="A74" s="1116"/>
      <c r="B74" s="1120"/>
      <c r="C74" s="1100"/>
      <c r="D74" s="1100"/>
      <c r="E74" s="1100"/>
      <c r="F74" s="1100"/>
      <c r="G74" s="1100"/>
      <c r="H74" s="1100"/>
      <c r="I74" s="1100"/>
      <c r="J74" s="1100"/>
      <c r="K74" s="1074"/>
      <c r="L74" s="1074"/>
      <c r="M74" s="1074"/>
      <c r="N74" s="1074"/>
      <c r="O74" s="1074"/>
      <c r="P74" s="1074"/>
      <c r="Q74" s="1074"/>
      <c r="R74" s="1074"/>
      <c r="S74" s="1074"/>
      <c r="T74" s="1074"/>
      <c r="U74" s="1074"/>
      <c r="V74" s="1074"/>
      <c r="W74" s="1074"/>
      <c r="X74" s="1074"/>
      <c r="Y74" s="1074"/>
      <c r="Z74" s="1074"/>
      <c r="AA74" s="1074"/>
      <c r="AB74" s="1074"/>
      <c r="AC74" s="1074"/>
      <c r="AD74" s="1074"/>
      <c r="AE74" s="1074"/>
      <c r="AF74" s="1074"/>
      <c r="AG74" s="1074"/>
      <c r="AH74" s="1074"/>
      <c r="AI74" s="1074"/>
      <c r="AJ74" s="1074"/>
      <c r="AK74" s="1074"/>
      <c r="AL74" s="1074"/>
      <c r="AM74" s="1074"/>
      <c r="AN74" s="1074"/>
      <c r="AO74" s="1074"/>
      <c r="AP74" s="1074"/>
      <c r="AQ74" s="1074"/>
      <c r="AR74" s="1074"/>
      <c r="AS74" s="1074"/>
      <c r="AT74" s="1075"/>
    </row>
    <row r="75" ht="14.25" customHeight="1">
      <c r="A75" s="1116"/>
      <c r="B75" s="1120"/>
      <c r="C75" s="1100"/>
      <c r="D75" s="1100"/>
      <c r="E75" s="1100"/>
      <c r="F75" s="1100"/>
      <c r="G75" s="1100"/>
      <c r="H75" s="1100"/>
      <c r="I75" s="1100"/>
      <c r="J75" s="1100"/>
      <c r="K75" s="1074"/>
      <c r="L75" s="1074"/>
      <c r="M75" s="1074"/>
      <c r="N75" s="1074"/>
      <c r="O75" s="1074"/>
      <c r="P75" s="1074"/>
      <c r="Q75" s="1074"/>
      <c r="R75" s="1074"/>
      <c r="S75" s="1074"/>
      <c r="T75" s="1074"/>
      <c r="U75" s="1074"/>
      <c r="V75" s="1074"/>
      <c r="W75" s="1074"/>
      <c r="X75" s="1074"/>
      <c r="Y75" s="1074"/>
      <c r="Z75" s="1074"/>
      <c r="AA75" s="1074"/>
      <c r="AB75" s="1074"/>
      <c r="AC75" s="1074"/>
      <c r="AD75" s="1074"/>
      <c r="AE75" s="1074"/>
      <c r="AF75" s="1074"/>
      <c r="AG75" s="1074"/>
      <c r="AH75" s="1074"/>
      <c r="AI75" s="1074"/>
      <c r="AJ75" s="1074"/>
      <c r="AK75" s="1074"/>
      <c r="AL75" s="1074"/>
      <c r="AM75" s="1074"/>
      <c r="AN75" s="1074"/>
      <c r="AO75" s="1074"/>
      <c r="AP75" s="1074"/>
      <c r="AQ75" s="1074"/>
      <c r="AR75" s="1074"/>
      <c r="AS75" s="1074"/>
      <c r="AT75" s="1075"/>
    </row>
    <row r="76" ht="14.25" customHeight="1">
      <c r="A76" s="1116"/>
      <c r="B76" s="1120"/>
      <c r="C76" s="1100"/>
      <c r="D76" s="1100"/>
      <c r="E76" s="1100"/>
      <c r="F76" s="1100"/>
      <c r="G76" s="1100"/>
      <c r="H76" s="1100"/>
      <c r="I76" s="1100"/>
      <c r="J76" s="1100"/>
      <c r="K76" s="1074"/>
      <c r="L76" s="1074"/>
      <c r="M76" s="1074"/>
      <c r="N76" s="1074"/>
      <c r="O76" s="1074"/>
      <c r="P76" s="1074"/>
      <c r="Q76" s="1074"/>
      <c r="R76" s="1074"/>
      <c r="S76" s="1074"/>
      <c r="T76" s="1074"/>
      <c r="U76" s="1074"/>
      <c r="V76" s="1074"/>
      <c r="W76" s="1074"/>
      <c r="X76" s="1074"/>
      <c r="Y76" s="1074"/>
      <c r="Z76" s="1074"/>
      <c r="AA76" s="1074"/>
      <c r="AB76" s="1074"/>
      <c r="AC76" s="1074"/>
      <c r="AD76" s="1074"/>
      <c r="AE76" s="1074"/>
      <c r="AF76" s="1074"/>
      <c r="AG76" s="1074"/>
      <c r="AH76" s="1074"/>
      <c r="AI76" s="1074"/>
      <c r="AJ76" s="1074"/>
      <c r="AK76" s="1074"/>
      <c r="AL76" s="1074"/>
      <c r="AM76" s="1074"/>
      <c r="AN76" s="1074"/>
      <c r="AO76" s="1074"/>
      <c r="AP76" s="1074"/>
      <c r="AQ76" s="1074"/>
      <c r="AR76" s="1074"/>
      <c r="AS76" s="1074"/>
      <c r="AT76" s="1075"/>
    </row>
    <row r="77" ht="14.25" customHeight="1">
      <c r="A77" s="1116"/>
      <c r="B77" s="1120"/>
      <c r="C77" s="1100"/>
      <c r="D77" s="1100"/>
      <c r="E77" s="1100"/>
      <c r="F77" s="1100"/>
      <c r="G77" s="1100"/>
      <c r="H77" s="1100"/>
      <c r="I77" s="1100"/>
      <c r="J77" s="1100"/>
      <c r="K77" s="1074"/>
      <c r="L77" s="1074"/>
      <c r="M77" s="1074"/>
      <c r="N77" s="1074"/>
      <c r="O77" s="1074"/>
      <c r="P77" s="1074"/>
      <c r="Q77" s="1074"/>
      <c r="R77" s="1074"/>
      <c r="S77" s="1074"/>
      <c r="T77" s="1074"/>
      <c r="U77" s="1074"/>
      <c r="V77" s="1074"/>
      <c r="W77" s="1074"/>
      <c r="X77" s="1074"/>
      <c r="Y77" s="1074"/>
      <c r="Z77" s="1074"/>
      <c r="AA77" s="1074"/>
      <c r="AB77" s="1074"/>
      <c r="AC77" s="1074"/>
      <c r="AD77" s="1074"/>
      <c r="AE77" s="1074"/>
      <c r="AF77" s="1074"/>
      <c r="AG77" s="1074"/>
      <c r="AH77" s="1074"/>
      <c r="AI77" s="1074"/>
      <c r="AJ77" s="1074"/>
      <c r="AK77" s="1074"/>
      <c r="AL77" s="1074"/>
      <c r="AM77" s="1074"/>
      <c r="AN77" s="1074"/>
      <c r="AO77" s="1074"/>
      <c r="AP77" s="1074"/>
      <c r="AQ77" s="1074"/>
      <c r="AR77" s="1074"/>
      <c r="AS77" s="1074"/>
      <c r="AT77" s="1075"/>
    </row>
    <row r="78" ht="14.25" customHeight="1">
      <c r="A78" s="1116"/>
      <c r="B78" s="1120"/>
      <c r="C78" s="1100"/>
      <c r="D78" s="1100"/>
      <c r="E78" s="1100"/>
      <c r="F78" s="1100"/>
      <c r="G78" s="1100"/>
      <c r="H78" s="1100"/>
      <c r="I78" s="1100"/>
      <c r="J78" s="1100"/>
      <c r="K78" s="1074"/>
      <c r="L78" s="1074"/>
      <c r="M78" s="1074"/>
      <c r="N78" s="1074"/>
      <c r="O78" s="1074"/>
      <c r="P78" s="1074"/>
      <c r="Q78" s="1074"/>
      <c r="R78" s="1074"/>
      <c r="S78" s="1074"/>
      <c r="T78" s="1074"/>
      <c r="U78" s="1074"/>
      <c r="V78" s="1074"/>
      <c r="W78" s="1074"/>
      <c r="X78" s="1074"/>
      <c r="Y78" s="1074"/>
      <c r="Z78" s="1074"/>
      <c r="AA78" s="1074"/>
      <c r="AB78" s="1074"/>
      <c r="AC78" s="1074"/>
      <c r="AD78" s="1074"/>
      <c r="AE78" s="1074"/>
      <c r="AF78" s="1074"/>
      <c r="AG78" s="1074"/>
      <c r="AH78" s="1074"/>
      <c r="AI78" s="1074"/>
      <c r="AJ78" s="1074"/>
      <c r="AK78" s="1074"/>
      <c r="AL78" s="1074"/>
      <c r="AM78" s="1074"/>
      <c r="AN78" s="1074"/>
      <c r="AO78" s="1074"/>
      <c r="AP78" s="1074"/>
      <c r="AQ78" s="1074"/>
      <c r="AR78" s="1074"/>
      <c r="AS78" s="1074"/>
      <c r="AT78" s="1075"/>
    </row>
    <row r="79" ht="14.25" customHeight="1">
      <c r="A79" s="1116"/>
      <c r="B79" s="1120"/>
      <c r="C79" s="1100"/>
      <c r="D79" s="1100"/>
      <c r="E79" s="1100"/>
      <c r="F79" s="1100"/>
      <c r="G79" s="1100"/>
      <c r="H79" s="1100"/>
      <c r="I79" s="1100"/>
      <c r="J79" s="1100"/>
      <c r="K79" s="1074"/>
      <c r="L79" s="1074"/>
      <c r="M79" s="1074"/>
      <c r="N79" s="1074"/>
      <c r="O79" s="1074"/>
      <c r="P79" s="1074"/>
      <c r="Q79" s="1074"/>
      <c r="R79" s="1074"/>
      <c r="S79" s="1074"/>
      <c r="T79" s="1074"/>
      <c r="U79" s="1074"/>
      <c r="V79" s="1074"/>
      <c r="W79" s="1074"/>
      <c r="X79" s="1074"/>
      <c r="Y79" s="1074"/>
      <c r="Z79" s="1074"/>
      <c r="AA79" s="1074"/>
      <c r="AB79" s="1074"/>
      <c r="AC79" s="1074"/>
      <c r="AD79" s="1074"/>
      <c r="AE79" s="1074"/>
      <c r="AF79" s="1074"/>
      <c r="AG79" s="1074"/>
      <c r="AH79" s="1074"/>
      <c r="AI79" s="1074"/>
      <c r="AJ79" s="1074"/>
      <c r="AK79" s="1074"/>
      <c r="AL79" s="1074"/>
      <c r="AM79" s="1074"/>
      <c r="AN79" s="1074"/>
      <c r="AO79" s="1074"/>
      <c r="AP79" s="1074"/>
      <c r="AQ79" s="1074"/>
      <c r="AR79" s="1074"/>
      <c r="AS79" s="1074"/>
      <c r="AT79" s="1075"/>
    </row>
    <row r="80" ht="14.25" customHeight="1">
      <c r="A80" s="1116"/>
      <c r="B80" s="1120"/>
      <c r="C80" s="1100"/>
      <c r="D80" s="1100"/>
      <c r="E80" s="1100"/>
      <c r="F80" s="1100"/>
      <c r="G80" s="1100"/>
      <c r="H80" s="1100"/>
      <c r="I80" s="1100"/>
      <c r="J80" s="1100"/>
      <c r="K80" s="1074"/>
      <c r="L80" s="1074"/>
      <c r="M80" s="1074"/>
      <c r="N80" s="1074"/>
      <c r="O80" s="1074"/>
      <c r="P80" s="1074"/>
      <c r="Q80" s="1074"/>
      <c r="R80" s="1074"/>
      <c r="S80" s="1074"/>
      <c r="T80" s="1074"/>
      <c r="U80" s="1074"/>
      <c r="V80" s="1074"/>
      <c r="W80" s="1074"/>
      <c r="X80" s="1074"/>
      <c r="Y80" s="1074"/>
      <c r="Z80" s="1074"/>
      <c r="AA80" s="1074"/>
      <c r="AB80" s="1074"/>
      <c r="AC80" s="1074"/>
      <c r="AD80" s="1074"/>
      <c r="AE80" s="1074"/>
      <c r="AF80" s="1074"/>
      <c r="AG80" s="1074"/>
      <c r="AH80" s="1074"/>
      <c r="AI80" s="1074"/>
      <c r="AJ80" s="1074"/>
      <c r="AK80" s="1074"/>
      <c r="AL80" s="1074"/>
      <c r="AM80" s="1074"/>
      <c r="AN80" s="1074"/>
      <c r="AO80" s="1074"/>
      <c r="AP80" s="1074"/>
      <c r="AQ80" s="1074"/>
      <c r="AR80" s="1074"/>
      <c r="AS80" s="1074"/>
      <c r="AT80" s="1075"/>
    </row>
    <row r="81" ht="14.25" customHeight="1">
      <c r="A81" s="1116"/>
      <c r="B81" s="1120"/>
      <c r="C81" s="1100"/>
      <c r="D81" s="1100"/>
      <c r="E81" s="1100"/>
      <c r="F81" s="1100"/>
      <c r="G81" s="1100"/>
      <c r="H81" s="1100"/>
      <c r="I81" s="1100"/>
      <c r="J81" s="1100"/>
      <c r="K81" s="1074"/>
      <c r="L81" s="1074"/>
      <c r="M81" s="1074"/>
      <c r="N81" s="1074"/>
      <c r="O81" s="1074"/>
      <c r="P81" s="1074"/>
      <c r="Q81" s="1074"/>
      <c r="R81" s="1074"/>
      <c r="S81" s="1074"/>
      <c r="T81" s="1074"/>
      <c r="U81" s="1074"/>
      <c r="V81" s="1074"/>
      <c r="W81" s="1074"/>
      <c r="X81" s="1074"/>
      <c r="Y81" s="1074"/>
      <c r="Z81" s="1074"/>
      <c r="AA81" s="1074"/>
      <c r="AB81" s="1074"/>
      <c r="AC81" s="1074"/>
      <c r="AD81" s="1074"/>
      <c r="AE81" s="1074"/>
      <c r="AF81" s="1074"/>
      <c r="AG81" s="1074"/>
      <c r="AH81" s="1074"/>
      <c r="AI81" s="1074"/>
      <c r="AJ81" s="1074"/>
      <c r="AK81" s="1074"/>
      <c r="AL81" s="1074"/>
      <c r="AM81" s="1074"/>
      <c r="AN81" s="1074"/>
      <c r="AO81" s="1074"/>
      <c r="AP81" s="1074"/>
      <c r="AQ81" s="1074"/>
      <c r="AR81" s="1074"/>
      <c r="AS81" s="1074"/>
      <c r="AT81" s="1075"/>
    </row>
    <row r="82" ht="14.25" customHeight="1">
      <c r="A82" s="1116"/>
      <c r="B82" s="1120"/>
      <c r="C82" s="1100"/>
      <c r="D82" s="1100"/>
      <c r="E82" s="1100"/>
      <c r="F82" s="1100"/>
      <c r="G82" s="1100"/>
      <c r="H82" s="1100"/>
      <c r="I82" s="1100"/>
      <c r="J82" s="1100"/>
      <c r="K82" s="1074"/>
      <c r="L82" s="1074"/>
      <c r="M82" s="1074"/>
      <c r="N82" s="1074"/>
      <c r="O82" s="1074"/>
      <c r="P82" s="1074"/>
      <c r="Q82" s="1074"/>
      <c r="R82" s="1074"/>
      <c r="S82" s="1074"/>
      <c r="T82" s="1074"/>
      <c r="U82" s="1074"/>
      <c r="V82" s="1074"/>
      <c r="W82" s="1074"/>
      <c r="X82" s="1074"/>
      <c r="Y82" s="1074"/>
      <c r="Z82" s="1074"/>
      <c r="AA82" s="1074"/>
      <c r="AB82" s="1074"/>
      <c r="AC82" s="1074"/>
      <c r="AD82" s="1074"/>
      <c r="AE82" s="1074"/>
      <c r="AF82" s="1074"/>
      <c r="AG82" s="1074"/>
      <c r="AH82" s="1074"/>
      <c r="AI82" s="1074"/>
      <c r="AJ82" s="1074"/>
      <c r="AK82" s="1074"/>
      <c r="AL82" s="1074"/>
      <c r="AM82" s="1074"/>
      <c r="AN82" s="1074"/>
      <c r="AO82" s="1074"/>
      <c r="AP82" s="1074"/>
      <c r="AQ82" s="1074"/>
      <c r="AR82" s="1074"/>
      <c r="AS82" s="1074"/>
      <c r="AT82" s="1075"/>
    </row>
    <row r="83" ht="14.25" customHeight="1">
      <c r="A83" s="1116"/>
      <c r="B83" s="1120"/>
      <c r="C83" s="1100"/>
      <c r="D83" s="1100"/>
      <c r="E83" s="1100"/>
      <c r="F83" s="1100"/>
      <c r="G83" s="1100"/>
      <c r="H83" s="1100"/>
      <c r="I83" s="1100"/>
      <c r="J83" s="1100"/>
      <c r="K83" s="1074"/>
      <c r="L83" s="1074"/>
      <c r="M83" s="1074"/>
      <c r="N83" s="1074"/>
      <c r="O83" s="1074"/>
      <c r="P83" s="1074"/>
      <c r="Q83" s="1074"/>
      <c r="R83" s="1074"/>
      <c r="S83" s="1074"/>
      <c r="T83" s="1074"/>
      <c r="U83" s="1074"/>
      <c r="V83" s="1074"/>
      <c r="W83" s="1074"/>
      <c r="X83" s="1074"/>
      <c r="Y83" s="1074"/>
      <c r="Z83" s="1074"/>
      <c r="AA83" s="1074"/>
      <c r="AB83" s="1074"/>
      <c r="AC83" s="1074"/>
      <c r="AD83" s="1074"/>
      <c r="AE83" s="1074"/>
      <c r="AF83" s="1074"/>
      <c r="AG83" s="1074"/>
      <c r="AH83" s="1074"/>
      <c r="AI83" s="1074"/>
      <c r="AJ83" s="1074"/>
      <c r="AK83" s="1074"/>
      <c r="AL83" s="1074"/>
      <c r="AM83" s="1074"/>
      <c r="AN83" s="1074"/>
      <c r="AO83" s="1074"/>
      <c r="AP83" s="1074"/>
      <c r="AQ83" s="1074"/>
      <c r="AR83" s="1074"/>
      <c r="AS83" s="1074"/>
      <c r="AT83" s="1075"/>
    </row>
    <row r="84" ht="14.25" customHeight="1">
      <c r="A84" s="1116"/>
      <c r="B84" s="1120"/>
      <c r="C84" s="1100"/>
      <c r="D84" s="1100"/>
      <c r="E84" s="1100"/>
      <c r="F84" s="1100"/>
      <c r="G84" s="1100"/>
      <c r="H84" s="1100"/>
      <c r="I84" s="1100"/>
      <c r="J84" s="1100"/>
      <c r="K84" s="1074"/>
      <c r="L84" s="1074"/>
      <c r="M84" s="1074"/>
      <c r="N84" s="1074"/>
      <c r="O84" s="1074"/>
      <c r="P84" s="1074"/>
      <c r="Q84" s="1074"/>
      <c r="R84" s="1074"/>
      <c r="S84" s="1074"/>
      <c r="T84" s="1074"/>
      <c r="U84" s="1074"/>
      <c r="V84" s="1074"/>
      <c r="W84" s="1074"/>
      <c r="X84" s="1074"/>
      <c r="Y84" s="1074"/>
      <c r="Z84" s="1074"/>
      <c r="AA84" s="1074"/>
      <c r="AB84" s="1074"/>
      <c r="AC84" s="1074"/>
      <c r="AD84" s="1074"/>
      <c r="AE84" s="1074"/>
      <c r="AF84" s="1074"/>
      <c r="AG84" s="1074"/>
      <c r="AH84" s="1074"/>
      <c r="AI84" s="1074"/>
      <c r="AJ84" s="1074"/>
      <c r="AK84" s="1074"/>
      <c r="AL84" s="1074"/>
      <c r="AM84" s="1074"/>
      <c r="AN84" s="1074"/>
      <c r="AO84" s="1074"/>
      <c r="AP84" s="1074"/>
      <c r="AQ84" s="1074"/>
      <c r="AR84" s="1074"/>
      <c r="AS84" s="1074"/>
      <c r="AT84" s="1075"/>
    </row>
    <row r="85" ht="14.25" customHeight="1">
      <c r="A85" s="1116"/>
      <c r="B85" s="1120"/>
      <c r="C85" s="1100"/>
      <c r="D85" s="1100"/>
      <c r="E85" s="1100"/>
      <c r="F85" s="1100"/>
      <c r="G85" s="1100"/>
      <c r="H85" s="1100"/>
      <c r="I85" s="1100"/>
      <c r="J85" s="1100"/>
      <c r="K85" s="1074"/>
      <c r="L85" s="1074"/>
      <c r="M85" s="1074"/>
      <c r="N85" s="1074"/>
      <c r="O85" s="1074"/>
      <c r="P85" s="1074"/>
      <c r="Q85" s="1074"/>
      <c r="R85" s="1074"/>
      <c r="S85" s="1074"/>
      <c r="T85" s="1074"/>
      <c r="U85" s="1074"/>
      <c r="V85" s="1074"/>
      <c r="W85" s="1074"/>
      <c r="X85" s="1074"/>
      <c r="Y85" s="1074"/>
      <c r="Z85" s="1074"/>
      <c r="AA85" s="1074"/>
      <c r="AB85" s="1074"/>
      <c r="AC85" s="1074"/>
      <c r="AD85" s="1074"/>
      <c r="AE85" s="1074"/>
      <c r="AF85" s="1074"/>
      <c r="AG85" s="1074"/>
      <c r="AH85" s="1074"/>
      <c r="AI85" s="1074"/>
      <c r="AJ85" s="1074"/>
      <c r="AK85" s="1074"/>
      <c r="AL85" s="1074"/>
      <c r="AM85" s="1074"/>
      <c r="AN85" s="1074"/>
      <c r="AO85" s="1074"/>
      <c r="AP85" s="1074"/>
      <c r="AQ85" s="1074"/>
      <c r="AR85" s="1074"/>
      <c r="AS85" s="1074"/>
      <c r="AT85" s="1075"/>
    </row>
    <row r="86" ht="14.25" customHeight="1">
      <c r="A86" s="1116"/>
      <c r="B86" s="1120"/>
      <c r="C86" s="1100"/>
      <c r="D86" s="1100"/>
      <c r="E86" s="1100"/>
      <c r="F86" s="1100"/>
      <c r="G86" s="1100"/>
      <c r="H86" s="1100"/>
      <c r="I86" s="1100"/>
      <c r="J86" s="1100"/>
      <c r="K86" s="1074"/>
      <c r="L86" s="1074"/>
      <c r="M86" s="1074"/>
      <c r="N86" s="1074"/>
      <c r="O86" s="1074"/>
      <c r="P86" s="1074"/>
      <c r="Q86" s="1074"/>
      <c r="R86" s="1074"/>
      <c r="S86" s="1074"/>
      <c r="T86" s="1074"/>
      <c r="U86" s="1074"/>
      <c r="V86" s="1074"/>
      <c r="W86" s="1074"/>
      <c r="X86" s="1074"/>
      <c r="Y86" s="1074"/>
      <c r="Z86" s="1074"/>
      <c r="AA86" s="1074"/>
      <c r="AB86" s="1074"/>
      <c r="AC86" s="1074"/>
      <c r="AD86" s="1074"/>
      <c r="AE86" s="1074"/>
      <c r="AF86" s="1074"/>
      <c r="AG86" s="1074"/>
      <c r="AH86" s="1074"/>
      <c r="AI86" s="1074"/>
      <c r="AJ86" s="1074"/>
      <c r="AK86" s="1074"/>
      <c r="AL86" s="1074"/>
      <c r="AM86" s="1074"/>
      <c r="AN86" s="1074"/>
      <c r="AO86" s="1074"/>
      <c r="AP86" s="1074"/>
      <c r="AQ86" s="1074"/>
      <c r="AR86" s="1074"/>
      <c r="AS86" s="1074"/>
      <c r="AT86" s="1075"/>
    </row>
    <row r="87" ht="14.25" customHeight="1">
      <c r="A87" s="1116"/>
      <c r="B87" s="1120"/>
      <c r="C87" s="1100"/>
      <c r="D87" s="1100"/>
      <c r="E87" s="1100"/>
      <c r="F87" s="1100"/>
      <c r="G87" s="1100"/>
      <c r="H87" s="1100"/>
      <c r="I87" s="1100"/>
      <c r="J87" s="1100"/>
      <c r="K87" s="1074"/>
      <c r="L87" s="1074"/>
      <c r="M87" s="1074"/>
      <c r="N87" s="1074"/>
      <c r="O87" s="1074"/>
      <c r="P87" s="1074"/>
      <c r="Q87" s="1074"/>
      <c r="R87" s="1074"/>
      <c r="S87" s="1074"/>
      <c r="T87" s="1074"/>
      <c r="U87" s="1074"/>
      <c r="V87" s="1074"/>
      <c r="W87" s="1074"/>
      <c r="X87" s="1074"/>
      <c r="Y87" s="1074"/>
      <c r="Z87" s="1074"/>
      <c r="AA87" s="1074"/>
      <c r="AB87" s="1074"/>
      <c r="AC87" s="1074"/>
      <c r="AD87" s="1074"/>
      <c r="AE87" s="1074"/>
      <c r="AF87" s="1074"/>
      <c r="AG87" s="1074"/>
      <c r="AH87" s="1074"/>
      <c r="AI87" s="1074"/>
      <c r="AJ87" s="1074"/>
      <c r="AK87" s="1074"/>
      <c r="AL87" s="1074"/>
      <c r="AM87" s="1074"/>
      <c r="AN87" s="1074"/>
      <c r="AO87" s="1074"/>
      <c r="AP87" s="1074"/>
      <c r="AQ87" s="1074"/>
      <c r="AR87" s="1074"/>
      <c r="AS87" s="1074"/>
      <c r="AT87" s="1075"/>
    </row>
    <row r="88" ht="14.25" customHeight="1">
      <c r="A88" s="1116"/>
      <c r="B88" s="1120"/>
      <c r="C88" s="1100"/>
      <c r="D88" s="1100"/>
      <c r="E88" s="1100"/>
      <c r="F88" s="1100"/>
      <c r="G88" s="1100"/>
      <c r="H88" s="1100"/>
      <c r="I88" s="1100"/>
      <c r="J88" s="1100"/>
      <c r="K88" s="1074"/>
      <c r="L88" s="1074"/>
      <c r="M88" s="1074"/>
      <c r="N88" s="1074"/>
      <c r="O88" s="1074"/>
      <c r="P88" s="1074"/>
      <c r="Q88" s="1074"/>
      <c r="R88" s="1074"/>
      <c r="S88" s="1074"/>
      <c r="T88" s="1074"/>
      <c r="U88" s="1074"/>
      <c r="V88" s="1074"/>
      <c r="W88" s="1074"/>
      <c r="X88" s="1074"/>
      <c r="Y88" s="1074"/>
      <c r="Z88" s="1074"/>
      <c r="AA88" s="1074"/>
      <c r="AB88" s="1074"/>
      <c r="AC88" s="1074"/>
      <c r="AD88" s="1074"/>
      <c r="AE88" s="1074"/>
      <c r="AF88" s="1074"/>
      <c r="AG88" s="1074"/>
      <c r="AH88" s="1074"/>
      <c r="AI88" s="1074"/>
      <c r="AJ88" s="1074"/>
      <c r="AK88" s="1074"/>
      <c r="AL88" s="1074"/>
      <c r="AM88" s="1074"/>
      <c r="AN88" s="1074"/>
      <c r="AO88" s="1074"/>
      <c r="AP88" s="1074"/>
      <c r="AQ88" s="1074"/>
      <c r="AR88" s="1074"/>
      <c r="AS88" s="1074"/>
      <c r="AT88" s="1075"/>
    </row>
    <row r="89" ht="14.25" customHeight="1">
      <c r="A89" s="1116"/>
      <c r="B89" s="1120"/>
      <c r="C89" s="1100"/>
      <c r="D89" s="1100"/>
      <c r="E89" s="1100"/>
      <c r="F89" s="1100"/>
      <c r="G89" s="1100"/>
      <c r="H89" s="1100"/>
      <c r="I89" s="1100"/>
      <c r="J89" s="1100"/>
      <c r="K89" s="1074"/>
      <c r="L89" s="1074"/>
      <c r="M89" s="1074"/>
      <c r="N89" s="1074"/>
      <c r="O89" s="1074"/>
      <c r="P89" s="1074"/>
      <c r="Q89" s="1074"/>
      <c r="R89" s="1074"/>
      <c r="S89" s="1074"/>
      <c r="T89" s="1074"/>
      <c r="U89" s="1074"/>
      <c r="V89" s="1074"/>
      <c r="W89" s="1074"/>
      <c r="X89" s="1074"/>
      <c r="Y89" s="1074"/>
      <c r="Z89" s="1074"/>
      <c r="AA89" s="1074"/>
      <c r="AB89" s="1074"/>
      <c r="AC89" s="1074"/>
      <c r="AD89" s="1074"/>
      <c r="AE89" s="1074"/>
      <c r="AF89" s="1074"/>
      <c r="AG89" s="1074"/>
      <c r="AH89" s="1074"/>
      <c r="AI89" s="1074"/>
      <c r="AJ89" s="1074"/>
      <c r="AK89" s="1074"/>
      <c r="AL89" s="1074"/>
      <c r="AM89" s="1074"/>
      <c r="AN89" s="1074"/>
      <c r="AO89" s="1074"/>
      <c r="AP89" s="1074"/>
      <c r="AQ89" s="1074"/>
      <c r="AR89" s="1074"/>
      <c r="AS89" s="1074"/>
      <c r="AT89" s="1075"/>
    </row>
    <row r="90" ht="14.25" customHeight="1">
      <c r="A90" s="1116"/>
      <c r="B90" s="1120"/>
      <c r="C90" s="1100"/>
      <c r="D90" s="1100"/>
      <c r="E90" s="1100"/>
      <c r="F90" s="1100"/>
      <c r="G90" s="1100"/>
      <c r="H90" s="1100"/>
      <c r="I90" s="1100"/>
      <c r="J90" s="1100"/>
      <c r="K90" s="1074"/>
      <c r="L90" s="1074"/>
      <c r="M90" s="1074"/>
      <c r="N90" s="1074"/>
      <c r="O90" s="1074"/>
      <c r="P90" s="1074"/>
      <c r="Q90" s="1074"/>
      <c r="R90" s="1074"/>
      <c r="S90" s="1074"/>
      <c r="T90" s="1074"/>
      <c r="U90" s="1074"/>
      <c r="V90" s="1074"/>
      <c r="W90" s="1074"/>
      <c r="X90" s="1074"/>
      <c r="Y90" s="1074"/>
      <c r="Z90" s="1074"/>
      <c r="AA90" s="1074"/>
      <c r="AB90" s="1074"/>
      <c r="AC90" s="1074"/>
      <c r="AD90" s="1074"/>
      <c r="AE90" s="1074"/>
      <c r="AF90" s="1074"/>
      <c r="AG90" s="1074"/>
      <c r="AH90" s="1074"/>
      <c r="AI90" s="1074"/>
      <c r="AJ90" s="1074"/>
      <c r="AK90" s="1074"/>
      <c r="AL90" s="1074"/>
      <c r="AM90" s="1074"/>
      <c r="AN90" s="1074"/>
      <c r="AO90" s="1074"/>
      <c r="AP90" s="1074"/>
      <c r="AQ90" s="1074"/>
      <c r="AR90" s="1074"/>
      <c r="AS90" s="1074"/>
      <c r="AT90" s="1075"/>
    </row>
    <row r="91" ht="14.25" customHeight="1">
      <c r="A91" s="1116"/>
      <c r="B91" s="1120"/>
      <c r="C91" s="1100"/>
      <c r="D91" s="1100"/>
      <c r="E91" s="1100"/>
      <c r="F91" s="1100"/>
      <c r="G91" s="1100"/>
      <c r="H91" s="1100"/>
      <c r="I91" s="1100"/>
      <c r="J91" s="1100"/>
      <c r="K91" s="1074"/>
      <c r="L91" s="1074"/>
      <c r="M91" s="1074"/>
      <c r="N91" s="1074"/>
      <c r="O91" s="1074"/>
      <c r="P91" s="1074"/>
      <c r="Q91" s="1074"/>
      <c r="R91" s="1074"/>
      <c r="S91" s="1074"/>
      <c r="T91" s="1074"/>
      <c r="U91" s="1074"/>
      <c r="V91" s="1074"/>
      <c r="W91" s="1074"/>
      <c r="X91" s="1074"/>
      <c r="Y91" s="1074"/>
      <c r="Z91" s="1074"/>
      <c r="AA91" s="1074"/>
      <c r="AB91" s="1074"/>
      <c r="AC91" s="1074"/>
      <c r="AD91" s="1074"/>
      <c r="AE91" s="1074"/>
      <c r="AF91" s="1074"/>
      <c r="AG91" s="1074"/>
      <c r="AH91" s="1074"/>
      <c r="AI91" s="1074"/>
      <c r="AJ91" s="1074"/>
      <c r="AK91" s="1074"/>
      <c r="AL91" s="1074"/>
      <c r="AM91" s="1074"/>
      <c r="AN91" s="1074"/>
      <c r="AO91" s="1074"/>
      <c r="AP91" s="1074"/>
      <c r="AQ91" s="1074"/>
      <c r="AR91" s="1074"/>
      <c r="AS91" s="1074"/>
      <c r="AT91" s="1075"/>
    </row>
    <row r="92" ht="14.25" customHeight="1">
      <c r="A92" s="1116"/>
      <c r="B92" s="1120"/>
      <c r="C92" s="1100"/>
      <c r="D92" s="1100"/>
      <c r="E92" s="1100"/>
      <c r="F92" s="1100"/>
      <c r="G92" s="1100"/>
      <c r="H92" s="1100"/>
      <c r="I92" s="1100"/>
      <c r="J92" s="1100"/>
      <c r="K92" s="1074"/>
      <c r="L92" s="1074"/>
      <c r="M92" s="1074"/>
      <c r="N92" s="1074"/>
      <c r="O92" s="1074"/>
      <c r="P92" s="1074"/>
      <c r="Q92" s="1074"/>
      <c r="R92" s="1074"/>
      <c r="S92" s="1074"/>
      <c r="T92" s="1074"/>
      <c r="U92" s="1074"/>
      <c r="V92" s="1074"/>
      <c r="W92" s="1074"/>
      <c r="X92" s="1074"/>
      <c r="Y92" s="1074"/>
      <c r="Z92" s="1074"/>
      <c r="AA92" s="1074"/>
      <c r="AB92" s="1074"/>
      <c r="AC92" s="1074"/>
      <c r="AD92" s="1074"/>
      <c r="AE92" s="1074"/>
      <c r="AF92" s="1074"/>
      <c r="AG92" s="1074"/>
      <c r="AH92" s="1074"/>
      <c r="AI92" s="1074"/>
      <c r="AJ92" s="1074"/>
      <c r="AK92" s="1074"/>
      <c r="AL92" s="1074"/>
      <c r="AM92" s="1074"/>
      <c r="AN92" s="1074"/>
      <c r="AO92" s="1074"/>
      <c r="AP92" s="1074"/>
      <c r="AQ92" s="1074"/>
      <c r="AR92" s="1074"/>
      <c r="AS92" s="1074"/>
      <c r="AT92" s="1075"/>
    </row>
    <row r="93" ht="14.25" customHeight="1">
      <c r="A93" s="1116"/>
      <c r="B93" s="1120"/>
      <c r="C93" s="1100"/>
      <c r="D93" s="1100"/>
      <c r="E93" s="1100"/>
      <c r="F93" s="1100"/>
      <c r="G93" s="1100"/>
      <c r="H93" s="1100"/>
      <c r="I93" s="1100"/>
      <c r="J93" s="1100"/>
      <c r="K93" s="1074"/>
      <c r="L93" s="1074"/>
      <c r="M93" s="1074"/>
      <c r="N93" s="1074"/>
      <c r="O93" s="1074"/>
      <c r="P93" s="1074"/>
      <c r="Q93" s="1074"/>
      <c r="R93" s="1074"/>
      <c r="S93" s="1074"/>
      <c r="T93" s="1074"/>
      <c r="U93" s="1074"/>
      <c r="V93" s="1074"/>
      <c r="W93" s="1074"/>
      <c r="X93" s="1074"/>
      <c r="Y93" s="1074"/>
      <c r="Z93" s="1074"/>
      <c r="AA93" s="1074"/>
      <c r="AB93" s="1074"/>
      <c r="AC93" s="1074"/>
      <c r="AD93" s="1074"/>
      <c r="AE93" s="1074"/>
      <c r="AF93" s="1074"/>
      <c r="AG93" s="1074"/>
      <c r="AH93" s="1074"/>
      <c r="AI93" s="1074"/>
      <c r="AJ93" s="1074"/>
      <c r="AK93" s="1074"/>
      <c r="AL93" s="1074"/>
      <c r="AM93" s="1074"/>
      <c r="AN93" s="1074"/>
      <c r="AO93" s="1074"/>
      <c r="AP93" s="1074"/>
      <c r="AQ93" s="1074"/>
      <c r="AR93" s="1074"/>
      <c r="AS93" s="1074"/>
      <c r="AT93" s="1075"/>
    </row>
    <row r="94" ht="14.25" customHeight="1">
      <c r="A94" s="1116"/>
      <c r="B94" s="1120"/>
      <c r="C94" s="1100"/>
      <c r="D94" s="1100"/>
      <c r="E94" s="1100"/>
      <c r="F94" s="1100"/>
      <c r="G94" s="1100"/>
      <c r="H94" s="1100"/>
      <c r="I94" s="1100"/>
      <c r="J94" s="1100"/>
      <c r="K94" s="1074"/>
      <c r="L94" s="1074"/>
      <c r="M94" s="1074"/>
      <c r="N94" s="1074"/>
      <c r="O94" s="1074"/>
      <c r="P94" s="1074"/>
      <c r="Q94" s="1074"/>
      <c r="R94" s="1074"/>
      <c r="S94" s="1074"/>
      <c r="T94" s="1074"/>
      <c r="U94" s="1074"/>
      <c r="V94" s="1074"/>
      <c r="W94" s="1074"/>
      <c r="X94" s="1074"/>
      <c r="Y94" s="1074"/>
      <c r="Z94" s="1074"/>
      <c r="AA94" s="1074"/>
      <c r="AB94" s="1074"/>
      <c r="AC94" s="1074"/>
      <c r="AD94" s="1074"/>
      <c r="AE94" s="1074"/>
      <c r="AF94" s="1074"/>
      <c r="AG94" s="1074"/>
      <c r="AH94" s="1074"/>
      <c r="AI94" s="1074"/>
      <c r="AJ94" s="1074"/>
      <c r="AK94" s="1074"/>
      <c r="AL94" s="1074"/>
      <c r="AM94" s="1074"/>
      <c r="AN94" s="1074"/>
      <c r="AO94" s="1074"/>
      <c r="AP94" s="1074"/>
      <c r="AQ94" s="1074"/>
      <c r="AR94" s="1074"/>
      <c r="AS94" s="1074"/>
      <c r="AT94" s="1075"/>
    </row>
    <row r="95" ht="14.25" customHeight="1">
      <c r="A95" s="1116"/>
      <c r="B95" s="1120"/>
      <c r="C95" s="1100"/>
      <c r="D95" s="1100"/>
      <c r="E95" s="1100"/>
      <c r="F95" s="1100"/>
      <c r="G95" s="1100"/>
      <c r="H95" s="1100"/>
      <c r="I95" s="1100"/>
      <c r="J95" s="1100"/>
      <c r="K95" s="1074"/>
      <c r="L95" s="1074"/>
      <c r="M95" s="1074"/>
      <c r="N95" s="1074"/>
      <c r="O95" s="1074"/>
      <c r="P95" s="1074"/>
      <c r="Q95" s="1074"/>
      <c r="R95" s="1074"/>
      <c r="S95" s="1074"/>
      <c r="T95" s="1074"/>
      <c r="U95" s="1074"/>
      <c r="V95" s="1074"/>
      <c r="W95" s="1074"/>
      <c r="X95" s="1074"/>
      <c r="Y95" s="1074"/>
      <c r="Z95" s="1074"/>
      <c r="AA95" s="1074"/>
      <c r="AB95" s="1074"/>
      <c r="AC95" s="1074"/>
      <c r="AD95" s="1074"/>
      <c r="AE95" s="1074"/>
      <c r="AF95" s="1074"/>
      <c r="AG95" s="1074"/>
      <c r="AH95" s="1074"/>
      <c r="AI95" s="1074"/>
      <c r="AJ95" s="1074"/>
      <c r="AK95" s="1074"/>
      <c r="AL95" s="1074"/>
      <c r="AM95" s="1074"/>
      <c r="AN95" s="1074"/>
      <c r="AO95" s="1074"/>
      <c r="AP95" s="1074"/>
      <c r="AQ95" s="1074"/>
      <c r="AR95" s="1074"/>
      <c r="AS95" s="1074"/>
      <c r="AT95" s="1075"/>
    </row>
    <row r="96" ht="14.25" customHeight="1">
      <c r="A96" s="1116"/>
      <c r="B96" s="1120"/>
      <c r="C96" s="1100"/>
      <c r="D96" s="1100"/>
      <c r="E96" s="1100"/>
      <c r="F96" s="1100"/>
      <c r="G96" s="1100"/>
      <c r="H96" s="1100"/>
      <c r="I96" s="1100"/>
      <c r="J96" s="1100"/>
      <c r="K96" s="1074"/>
      <c r="L96" s="1074"/>
      <c r="M96" s="1074"/>
      <c r="N96" s="1074"/>
      <c r="O96" s="1074"/>
      <c r="P96" s="1074"/>
      <c r="Q96" s="1074"/>
      <c r="R96" s="1074"/>
      <c r="S96" s="1074"/>
      <c r="T96" s="1074"/>
      <c r="U96" s="1074"/>
      <c r="V96" s="1074"/>
      <c r="W96" s="1074"/>
      <c r="X96" s="1074"/>
      <c r="Y96" s="1074"/>
      <c r="Z96" s="1074"/>
      <c r="AA96" s="1074"/>
      <c r="AB96" s="1074"/>
      <c r="AC96" s="1074"/>
      <c r="AD96" s="1074"/>
      <c r="AE96" s="1074"/>
      <c r="AF96" s="1074"/>
      <c r="AG96" s="1074"/>
      <c r="AH96" s="1074"/>
      <c r="AI96" s="1074"/>
      <c r="AJ96" s="1074"/>
      <c r="AK96" s="1074"/>
      <c r="AL96" s="1074"/>
      <c r="AM96" s="1074"/>
      <c r="AN96" s="1074"/>
      <c r="AO96" s="1074"/>
      <c r="AP96" s="1074"/>
      <c r="AQ96" s="1074"/>
      <c r="AR96" s="1074"/>
      <c r="AS96" s="1074"/>
      <c r="AT96" s="1075"/>
    </row>
    <row r="97" ht="14.25" customHeight="1">
      <c r="A97" s="1116"/>
      <c r="B97" s="1120"/>
      <c r="C97" s="1100"/>
      <c r="D97" s="1100"/>
      <c r="E97" s="1100"/>
      <c r="F97" s="1100"/>
      <c r="G97" s="1100"/>
      <c r="H97" s="1100"/>
      <c r="I97" s="1100"/>
      <c r="J97" s="1100"/>
      <c r="K97" s="1074"/>
      <c r="L97" s="1074"/>
      <c r="M97" s="1074"/>
      <c r="N97" s="1074"/>
      <c r="O97" s="1074"/>
      <c r="P97" s="1074"/>
      <c r="Q97" s="1074"/>
      <c r="R97" s="1074"/>
      <c r="S97" s="1074"/>
      <c r="T97" s="1074"/>
      <c r="U97" s="1074"/>
      <c r="V97" s="1074"/>
      <c r="W97" s="1074"/>
      <c r="X97" s="1074"/>
      <c r="Y97" s="1074"/>
      <c r="Z97" s="1074"/>
      <c r="AA97" s="1074"/>
      <c r="AB97" s="1074"/>
      <c r="AC97" s="1074"/>
      <c r="AD97" s="1074"/>
      <c r="AE97" s="1074"/>
      <c r="AF97" s="1074"/>
      <c r="AG97" s="1074"/>
      <c r="AH97" s="1074"/>
      <c r="AI97" s="1074"/>
      <c r="AJ97" s="1074"/>
      <c r="AK97" s="1074"/>
      <c r="AL97" s="1074"/>
      <c r="AM97" s="1074"/>
      <c r="AN97" s="1074"/>
      <c r="AO97" s="1074"/>
      <c r="AP97" s="1074"/>
      <c r="AQ97" s="1074"/>
      <c r="AR97" s="1074"/>
      <c r="AS97" s="1074"/>
      <c r="AT97" s="1075"/>
    </row>
    <row r="98" ht="14.25" customHeight="1">
      <c r="A98" s="1116"/>
      <c r="B98" s="1120"/>
      <c r="C98" s="1100"/>
      <c r="D98" s="1100"/>
      <c r="E98" s="1100"/>
      <c r="F98" s="1100"/>
      <c r="G98" s="1100"/>
      <c r="H98" s="1100"/>
      <c r="I98" s="1100"/>
      <c r="J98" s="1100"/>
      <c r="K98" s="1074"/>
      <c r="L98" s="1074"/>
      <c r="M98" s="1074"/>
      <c r="N98" s="1074"/>
      <c r="O98" s="1074"/>
      <c r="P98" s="1074"/>
      <c r="Q98" s="1074"/>
      <c r="R98" s="1074"/>
      <c r="S98" s="1074"/>
      <c r="T98" s="1074"/>
      <c r="U98" s="1074"/>
      <c r="V98" s="1074"/>
      <c r="W98" s="1074"/>
      <c r="X98" s="1074"/>
      <c r="Y98" s="1074"/>
      <c r="Z98" s="1074"/>
      <c r="AA98" s="1074"/>
      <c r="AB98" s="1074"/>
      <c r="AC98" s="1074"/>
      <c r="AD98" s="1074"/>
      <c r="AE98" s="1074"/>
      <c r="AF98" s="1074"/>
      <c r="AG98" s="1074"/>
      <c r="AH98" s="1074"/>
      <c r="AI98" s="1074"/>
      <c r="AJ98" s="1074"/>
      <c r="AK98" s="1074"/>
      <c r="AL98" s="1074"/>
      <c r="AM98" s="1074"/>
      <c r="AN98" s="1074"/>
      <c r="AO98" s="1074"/>
      <c r="AP98" s="1074"/>
      <c r="AQ98" s="1074"/>
      <c r="AR98" s="1074"/>
      <c r="AS98" s="1074"/>
      <c r="AT98" s="1075"/>
    </row>
    <row r="99" ht="14.25" customHeight="1">
      <c r="A99" s="1116"/>
      <c r="B99" s="1120"/>
      <c r="C99" s="1100"/>
      <c r="D99" s="1100"/>
      <c r="E99" s="1100"/>
      <c r="F99" s="1100"/>
      <c r="G99" s="1100"/>
      <c r="H99" s="1100"/>
      <c r="I99" s="1100"/>
      <c r="J99" s="1100"/>
      <c r="K99" s="1074"/>
      <c r="L99" s="1074"/>
      <c r="M99" s="1074"/>
      <c r="N99" s="1074"/>
      <c r="O99" s="1074"/>
      <c r="P99" s="1074"/>
      <c r="Q99" s="1074"/>
      <c r="R99" s="1074"/>
      <c r="S99" s="1074"/>
      <c r="T99" s="1074"/>
      <c r="U99" s="1074"/>
      <c r="V99" s="1074"/>
      <c r="W99" s="1074"/>
      <c r="X99" s="1074"/>
      <c r="Y99" s="1074"/>
      <c r="Z99" s="1074"/>
      <c r="AA99" s="1074"/>
      <c r="AB99" s="1074"/>
      <c r="AC99" s="1074"/>
      <c r="AD99" s="1074"/>
      <c r="AE99" s="1074"/>
      <c r="AF99" s="1074"/>
      <c r="AG99" s="1074"/>
      <c r="AH99" s="1074"/>
      <c r="AI99" s="1074"/>
      <c r="AJ99" s="1074"/>
      <c r="AK99" s="1074"/>
      <c r="AL99" s="1074"/>
      <c r="AM99" s="1074"/>
      <c r="AN99" s="1074"/>
      <c r="AO99" s="1074"/>
      <c r="AP99" s="1074"/>
      <c r="AQ99" s="1074"/>
      <c r="AR99" s="1074"/>
      <c r="AS99" s="1074"/>
      <c r="AT99" s="1075"/>
    </row>
    <row r="100" ht="14.25" customHeight="1">
      <c r="A100" s="1116"/>
      <c r="B100" s="1120"/>
      <c r="C100" s="1100"/>
      <c r="D100" s="1100"/>
      <c r="E100" s="1100"/>
      <c r="F100" s="1100"/>
      <c r="G100" s="1100"/>
      <c r="H100" s="1100"/>
      <c r="I100" s="1100"/>
      <c r="J100" s="1100"/>
      <c r="K100" s="1074"/>
      <c r="L100" s="1074"/>
      <c r="M100" s="1074"/>
      <c r="N100" s="1074"/>
      <c r="O100" s="1074"/>
      <c r="P100" s="1074"/>
      <c r="Q100" s="1074"/>
      <c r="R100" s="1074"/>
      <c r="S100" s="1074"/>
      <c r="T100" s="1074"/>
      <c r="U100" s="1074"/>
      <c r="V100" s="1074"/>
      <c r="W100" s="1074"/>
      <c r="X100" s="1074"/>
      <c r="Y100" s="1074"/>
      <c r="Z100" s="1074"/>
      <c r="AA100" s="1074"/>
      <c r="AB100" s="1074"/>
      <c r="AC100" s="1074"/>
      <c r="AD100" s="1074"/>
      <c r="AE100" s="1074"/>
      <c r="AF100" s="1074"/>
      <c r="AG100" s="1074"/>
      <c r="AH100" s="1074"/>
      <c r="AI100" s="1074"/>
      <c r="AJ100" s="1074"/>
      <c r="AK100" s="1074"/>
      <c r="AL100" s="1074"/>
      <c r="AM100" s="1074"/>
      <c r="AN100" s="1074"/>
      <c r="AO100" s="1074"/>
      <c r="AP100" s="1074"/>
      <c r="AQ100" s="1074"/>
      <c r="AR100" s="1074"/>
      <c r="AS100" s="1074"/>
      <c r="AT100" s="1075"/>
    </row>
    <row r="101" ht="14.25" customHeight="1">
      <c r="A101" s="1116"/>
      <c r="B101" s="1120"/>
      <c r="C101" s="1100"/>
      <c r="D101" s="1100"/>
      <c r="E101" s="1100"/>
      <c r="F101" s="1100"/>
      <c r="G101" s="1100"/>
      <c r="H101" s="1100"/>
      <c r="I101" s="1100"/>
      <c r="J101" s="1100"/>
      <c r="K101" s="1074"/>
      <c r="L101" s="1074"/>
      <c r="M101" s="1074"/>
      <c r="N101" s="1074"/>
      <c r="O101" s="1074"/>
      <c r="P101" s="1074"/>
      <c r="Q101" s="1074"/>
      <c r="R101" s="1074"/>
      <c r="S101" s="1074"/>
      <c r="T101" s="1074"/>
      <c r="U101" s="1074"/>
      <c r="V101" s="1074"/>
      <c r="W101" s="1074"/>
      <c r="X101" s="1074"/>
      <c r="Y101" s="1074"/>
      <c r="Z101" s="1074"/>
      <c r="AA101" s="1074"/>
      <c r="AB101" s="1074"/>
      <c r="AC101" s="1074"/>
      <c r="AD101" s="1074"/>
      <c r="AE101" s="1074"/>
      <c r="AF101" s="1074"/>
      <c r="AG101" s="1074"/>
      <c r="AH101" s="1074"/>
      <c r="AI101" s="1074"/>
      <c r="AJ101" s="1074"/>
      <c r="AK101" s="1074"/>
      <c r="AL101" s="1074"/>
      <c r="AM101" s="1074"/>
      <c r="AN101" s="1074"/>
      <c r="AO101" s="1074"/>
      <c r="AP101" s="1074"/>
      <c r="AQ101" s="1074"/>
      <c r="AR101" s="1074"/>
      <c r="AS101" s="1074"/>
      <c r="AT101" s="1075"/>
    </row>
    <row r="102" ht="14.25" customHeight="1">
      <c r="A102" s="1116"/>
      <c r="B102" s="1120"/>
      <c r="C102" s="1100"/>
      <c r="D102" s="1100"/>
      <c r="E102" s="1100"/>
      <c r="F102" s="1100"/>
      <c r="G102" s="1100"/>
      <c r="H102" s="1100"/>
      <c r="I102" s="1100"/>
      <c r="J102" s="1100"/>
      <c r="K102" s="1074"/>
      <c r="L102" s="1074"/>
      <c r="M102" s="1074"/>
      <c r="N102" s="1074"/>
      <c r="O102" s="1074"/>
      <c r="P102" s="1074"/>
      <c r="Q102" s="1074"/>
      <c r="R102" s="1074"/>
      <c r="S102" s="1074"/>
      <c r="T102" s="1074"/>
      <c r="U102" s="1074"/>
      <c r="V102" s="1074"/>
      <c r="W102" s="1074"/>
      <c r="X102" s="1074"/>
      <c r="Y102" s="1074"/>
      <c r="Z102" s="1074"/>
      <c r="AA102" s="1074"/>
      <c r="AB102" s="1074"/>
      <c r="AC102" s="1074"/>
      <c r="AD102" s="1074"/>
      <c r="AE102" s="1074"/>
      <c r="AF102" s="1074"/>
      <c r="AG102" s="1074"/>
      <c r="AH102" s="1074"/>
      <c r="AI102" s="1074"/>
      <c r="AJ102" s="1074"/>
      <c r="AK102" s="1074"/>
      <c r="AL102" s="1074"/>
      <c r="AM102" s="1074"/>
      <c r="AN102" s="1074"/>
      <c r="AO102" s="1074"/>
      <c r="AP102" s="1074"/>
      <c r="AQ102" s="1074"/>
      <c r="AR102" s="1074"/>
      <c r="AS102" s="1074"/>
      <c r="AT102" s="1075"/>
    </row>
    <row r="103" ht="14.25" customHeight="1">
      <c r="A103" s="1116"/>
      <c r="B103" s="1120"/>
      <c r="C103" s="1100"/>
      <c r="D103" s="1100"/>
      <c r="E103" s="1100"/>
      <c r="F103" s="1100"/>
      <c r="G103" s="1100"/>
      <c r="H103" s="1100"/>
      <c r="I103" s="1100"/>
      <c r="J103" s="1100"/>
      <c r="K103" s="1074"/>
      <c r="L103" s="1074"/>
      <c r="M103" s="1074"/>
      <c r="N103" s="1074"/>
      <c r="O103" s="1074"/>
      <c r="P103" s="1074"/>
      <c r="Q103" s="1074"/>
      <c r="R103" s="1074"/>
      <c r="S103" s="1074"/>
      <c r="T103" s="1074"/>
      <c r="U103" s="1074"/>
      <c r="V103" s="1074"/>
      <c r="W103" s="1074"/>
      <c r="X103" s="1074"/>
      <c r="Y103" s="1074"/>
      <c r="Z103" s="1074"/>
      <c r="AA103" s="1074"/>
      <c r="AB103" s="1074"/>
      <c r="AC103" s="1074"/>
      <c r="AD103" s="1074"/>
      <c r="AE103" s="1074"/>
      <c r="AF103" s="1074"/>
      <c r="AG103" s="1074"/>
      <c r="AH103" s="1074"/>
      <c r="AI103" s="1074"/>
      <c r="AJ103" s="1074"/>
      <c r="AK103" s="1074"/>
      <c r="AL103" s="1074"/>
      <c r="AM103" s="1074"/>
      <c r="AN103" s="1074"/>
      <c r="AO103" s="1074"/>
      <c r="AP103" s="1074"/>
      <c r="AQ103" s="1074"/>
      <c r="AR103" s="1074"/>
      <c r="AS103" s="1074"/>
      <c r="AT103" s="1075"/>
    </row>
    <row r="104" ht="14.25" customHeight="1">
      <c r="A104" s="1116"/>
      <c r="B104" s="1120"/>
      <c r="C104" s="1100"/>
      <c r="D104" s="1100"/>
      <c r="E104" s="1100"/>
      <c r="F104" s="1100"/>
      <c r="G104" s="1100"/>
      <c r="H104" s="1100"/>
      <c r="I104" s="1100"/>
      <c r="J104" s="1100"/>
      <c r="K104" s="1074"/>
      <c r="L104" s="1074"/>
      <c r="M104" s="1074"/>
      <c r="N104" s="1074"/>
      <c r="O104" s="1074"/>
      <c r="P104" s="1074"/>
      <c r="Q104" s="1074"/>
      <c r="R104" s="1074"/>
      <c r="S104" s="1074"/>
      <c r="T104" s="1074"/>
      <c r="U104" s="1074"/>
      <c r="V104" s="1074"/>
      <c r="W104" s="1074"/>
      <c r="X104" s="1074"/>
      <c r="Y104" s="1074"/>
      <c r="Z104" s="1074"/>
      <c r="AA104" s="1074"/>
      <c r="AB104" s="1074"/>
      <c r="AC104" s="1074"/>
      <c r="AD104" s="1074"/>
      <c r="AE104" s="1074"/>
      <c r="AF104" s="1074"/>
      <c r="AG104" s="1074"/>
      <c r="AH104" s="1074"/>
      <c r="AI104" s="1074"/>
      <c r="AJ104" s="1074"/>
      <c r="AK104" s="1074"/>
      <c r="AL104" s="1074"/>
      <c r="AM104" s="1074"/>
      <c r="AN104" s="1074"/>
      <c r="AO104" s="1074"/>
      <c r="AP104" s="1074"/>
      <c r="AQ104" s="1074"/>
      <c r="AR104" s="1074"/>
      <c r="AS104" s="1074"/>
      <c r="AT104" s="1075"/>
    </row>
    <row r="105" ht="14.25" customHeight="1">
      <c r="A105" s="1116"/>
      <c r="B105" s="1120"/>
      <c r="C105" s="1100"/>
      <c r="D105" s="1100"/>
      <c r="E105" s="1100"/>
      <c r="F105" s="1100"/>
      <c r="G105" s="1100"/>
      <c r="H105" s="1100"/>
      <c r="I105" s="1100"/>
      <c r="J105" s="1100"/>
      <c r="K105" s="1074"/>
      <c r="L105" s="1074"/>
      <c r="M105" s="1074"/>
      <c r="N105" s="1074"/>
      <c r="O105" s="1074"/>
      <c r="P105" s="1074"/>
      <c r="Q105" s="1074"/>
      <c r="R105" s="1074"/>
      <c r="S105" s="1074"/>
      <c r="T105" s="1074"/>
      <c r="U105" s="1074"/>
      <c r="V105" s="1074"/>
      <c r="W105" s="1074"/>
      <c r="X105" s="1074"/>
      <c r="Y105" s="1074"/>
      <c r="Z105" s="1074"/>
      <c r="AA105" s="1074"/>
      <c r="AB105" s="1074"/>
      <c r="AC105" s="1074"/>
      <c r="AD105" s="1074"/>
      <c r="AE105" s="1074"/>
      <c r="AF105" s="1074"/>
      <c r="AG105" s="1074"/>
      <c r="AH105" s="1074"/>
      <c r="AI105" s="1074"/>
      <c r="AJ105" s="1074"/>
      <c r="AK105" s="1074"/>
      <c r="AL105" s="1074"/>
      <c r="AM105" s="1074"/>
      <c r="AN105" s="1074"/>
      <c r="AO105" s="1074"/>
      <c r="AP105" s="1074"/>
      <c r="AQ105" s="1074"/>
      <c r="AR105" s="1074"/>
      <c r="AS105" s="1074"/>
      <c r="AT105" s="1075"/>
    </row>
    <row r="106" ht="14.25" customHeight="1">
      <c r="A106" s="1116"/>
      <c r="B106" s="1120"/>
      <c r="C106" s="1100"/>
      <c r="D106" s="1100"/>
      <c r="E106" s="1100"/>
      <c r="F106" s="1100"/>
      <c r="G106" s="1100"/>
      <c r="H106" s="1100"/>
      <c r="I106" s="1100"/>
      <c r="J106" s="1100"/>
      <c r="K106" s="1074"/>
      <c r="L106" s="1074"/>
      <c r="M106" s="1074"/>
      <c r="N106" s="1074"/>
      <c r="O106" s="1074"/>
      <c r="P106" s="1074"/>
      <c r="Q106" s="1074"/>
      <c r="R106" s="1074"/>
      <c r="S106" s="1074"/>
      <c r="T106" s="1074"/>
      <c r="U106" s="1074"/>
      <c r="V106" s="1074"/>
      <c r="W106" s="1074"/>
      <c r="X106" s="1074"/>
      <c r="Y106" s="1074"/>
      <c r="Z106" s="1074"/>
      <c r="AA106" s="1074"/>
      <c r="AB106" s="1074"/>
      <c r="AC106" s="1074"/>
      <c r="AD106" s="1074"/>
      <c r="AE106" s="1074"/>
      <c r="AF106" s="1074"/>
      <c r="AG106" s="1074"/>
      <c r="AH106" s="1074"/>
      <c r="AI106" s="1074"/>
      <c r="AJ106" s="1074"/>
      <c r="AK106" s="1074"/>
      <c r="AL106" s="1074"/>
      <c r="AM106" s="1074"/>
      <c r="AN106" s="1074"/>
      <c r="AO106" s="1074"/>
      <c r="AP106" s="1074"/>
      <c r="AQ106" s="1074"/>
      <c r="AR106" s="1074"/>
      <c r="AS106" s="1074"/>
      <c r="AT106" s="1075"/>
    </row>
    <row r="107" ht="14.25" customHeight="1">
      <c r="A107" s="1116"/>
      <c r="B107" s="1120"/>
      <c r="C107" s="1100"/>
      <c r="D107" s="1100"/>
      <c r="E107" s="1100"/>
      <c r="F107" s="1100"/>
      <c r="G107" s="1100"/>
      <c r="H107" s="1100"/>
      <c r="I107" s="1100"/>
      <c r="J107" s="1100"/>
      <c r="K107" s="1074"/>
      <c r="L107" s="1074"/>
      <c r="M107" s="1074"/>
      <c r="N107" s="1074"/>
      <c r="O107" s="1074"/>
      <c r="P107" s="1074"/>
      <c r="Q107" s="1074"/>
      <c r="R107" s="1074"/>
      <c r="S107" s="1074"/>
      <c r="T107" s="1074"/>
      <c r="U107" s="1074"/>
      <c r="V107" s="1074"/>
      <c r="W107" s="1074"/>
      <c r="X107" s="1074"/>
      <c r="Y107" s="1074"/>
      <c r="Z107" s="1074"/>
      <c r="AA107" s="1074"/>
      <c r="AB107" s="1074"/>
      <c r="AC107" s="1074"/>
      <c r="AD107" s="1074"/>
      <c r="AE107" s="1074"/>
      <c r="AF107" s="1074"/>
      <c r="AG107" s="1074"/>
      <c r="AH107" s="1074"/>
      <c r="AI107" s="1074"/>
      <c r="AJ107" s="1074"/>
      <c r="AK107" s="1074"/>
      <c r="AL107" s="1074"/>
      <c r="AM107" s="1074"/>
      <c r="AN107" s="1074"/>
      <c r="AO107" s="1074"/>
      <c r="AP107" s="1074"/>
      <c r="AQ107" s="1074"/>
      <c r="AR107" s="1074"/>
      <c r="AS107" s="1074"/>
      <c r="AT107" s="1075"/>
    </row>
    <row r="108" ht="14.25" customHeight="1">
      <c r="A108" s="1116"/>
      <c r="B108" s="1120"/>
      <c r="C108" s="1100"/>
      <c r="D108" s="1100"/>
      <c r="E108" s="1100"/>
      <c r="F108" s="1100"/>
      <c r="G108" s="1100"/>
      <c r="H108" s="1100"/>
      <c r="I108" s="1100"/>
      <c r="J108" s="1100"/>
      <c r="K108" s="1074"/>
      <c r="L108" s="1074"/>
      <c r="M108" s="1074"/>
      <c r="N108" s="1074"/>
      <c r="O108" s="1074"/>
      <c r="P108" s="1074"/>
      <c r="Q108" s="1074"/>
      <c r="R108" s="1074"/>
      <c r="S108" s="1074"/>
      <c r="T108" s="1074"/>
      <c r="U108" s="1074"/>
      <c r="V108" s="1074"/>
      <c r="W108" s="1074"/>
      <c r="X108" s="1074"/>
      <c r="Y108" s="1074"/>
      <c r="Z108" s="1074"/>
      <c r="AA108" s="1074"/>
      <c r="AB108" s="1074"/>
      <c r="AC108" s="1074"/>
      <c r="AD108" s="1074"/>
      <c r="AE108" s="1074"/>
      <c r="AF108" s="1074"/>
      <c r="AG108" s="1074"/>
      <c r="AH108" s="1074"/>
      <c r="AI108" s="1074"/>
      <c r="AJ108" s="1074"/>
      <c r="AK108" s="1074"/>
      <c r="AL108" s="1074"/>
      <c r="AM108" s="1074"/>
      <c r="AN108" s="1074"/>
      <c r="AO108" s="1074"/>
      <c r="AP108" s="1074"/>
      <c r="AQ108" s="1074"/>
      <c r="AR108" s="1074"/>
      <c r="AS108" s="1074"/>
      <c r="AT108" s="1075"/>
    </row>
    <row r="109" ht="14.25" customHeight="1">
      <c r="A109" s="1116"/>
      <c r="B109" s="1120"/>
      <c r="C109" s="1100"/>
      <c r="D109" s="1100"/>
      <c r="E109" s="1100"/>
      <c r="F109" s="1100"/>
      <c r="G109" s="1100"/>
      <c r="H109" s="1100"/>
      <c r="I109" s="1100"/>
      <c r="J109" s="1100"/>
      <c r="K109" s="1074"/>
      <c r="L109" s="1074"/>
      <c r="M109" s="1074"/>
      <c r="N109" s="1074"/>
      <c r="O109" s="1074"/>
      <c r="P109" s="1074"/>
      <c r="Q109" s="1074"/>
      <c r="R109" s="1074"/>
      <c r="S109" s="1074"/>
      <c r="T109" s="1074"/>
      <c r="U109" s="1074"/>
      <c r="V109" s="1074"/>
      <c r="W109" s="1074"/>
      <c r="X109" s="1074"/>
      <c r="Y109" s="1074"/>
      <c r="Z109" s="1074"/>
      <c r="AA109" s="1074"/>
      <c r="AB109" s="1074"/>
      <c r="AC109" s="1074"/>
      <c r="AD109" s="1074"/>
      <c r="AE109" s="1074"/>
      <c r="AF109" s="1074"/>
      <c r="AG109" s="1074"/>
      <c r="AH109" s="1074"/>
      <c r="AI109" s="1074"/>
      <c r="AJ109" s="1074"/>
      <c r="AK109" s="1074"/>
      <c r="AL109" s="1074"/>
      <c r="AM109" s="1074"/>
      <c r="AN109" s="1074"/>
      <c r="AO109" s="1074"/>
      <c r="AP109" s="1074"/>
      <c r="AQ109" s="1074"/>
      <c r="AR109" s="1074"/>
      <c r="AS109" s="1074"/>
      <c r="AT109" s="1075"/>
    </row>
    <row r="110" ht="14.25" customHeight="1">
      <c r="A110" s="1116"/>
      <c r="B110" s="1120"/>
      <c r="C110" s="1100"/>
      <c r="D110" s="1100"/>
      <c r="E110" s="1100"/>
      <c r="F110" s="1100"/>
      <c r="G110" s="1100"/>
      <c r="H110" s="1100"/>
      <c r="I110" s="1100"/>
      <c r="J110" s="1100"/>
      <c r="K110" s="1074"/>
      <c r="L110" s="1074"/>
      <c r="M110" s="1074"/>
      <c r="N110" s="1074"/>
      <c r="O110" s="1074"/>
      <c r="P110" s="1074"/>
      <c r="Q110" s="1074"/>
      <c r="R110" s="1074"/>
      <c r="S110" s="1074"/>
      <c r="T110" s="1074"/>
      <c r="U110" s="1074"/>
      <c r="V110" s="1074"/>
      <c r="W110" s="1074"/>
      <c r="X110" s="1074"/>
      <c r="Y110" s="1074"/>
      <c r="Z110" s="1074"/>
      <c r="AA110" s="1074"/>
      <c r="AB110" s="1074"/>
      <c r="AC110" s="1074"/>
      <c r="AD110" s="1074"/>
      <c r="AE110" s="1074"/>
      <c r="AF110" s="1074"/>
      <c r="AG110" s="1074"/>
      <c r="AH110" s="1074"/>
      <c r="AI110" s="1074"/>
      <c r="AJ110" s="1074"/>
      <c r="AK110" s="1074"/>
      <c r="AL110" s="1074"/>
      <c r="AM110" s="1074"/>
      <c r="AN110" s="1074"/>
      <c r="AO110" s="1074"/>
      <c r="AP110" s="1074"/>
      <c r="AQ110" s="1074"/>
      <c r="AR110" s="1074"/>
      <c r="AS110" s="1074"/>
      <c r="AT110" s="1075"/>
    </row>
    <row r="111" ht="14.25" customHeight="1">
      <c r="A111" s="1116"/>
      <c r="B111" s="1120"/>
      <c r="C111" s="1100"/>
      <c r="D111" s="1100"/>
      <c r="E111" s="1100"/>
      <c r="F111" s="1100"/>
      <c r="G111" s="1100"/>
      <c r="H111" s="1100"/>
      <c r="I111" s="1100"/>
      <c r="J111" s="1100"/>
      <c r="K111" s="1074"/>
      <c r="L111" s="1074"/>
      <c r="M111" s="1074"/>
      <c r="N111" s="1074"/>
      <c r="O111" s="1074"/>
      <c r="P111" s="1074"/>
      <c r="Q111" s="1074"/>
      <c r="R111" s="1074"/>
      <c r="S111" s="1074"/>
      <c r="T111" s="1074"/>
      <c r="U111" s="1074"/>
      <c r="V111" s="1074"/>
      <c r="W111" s="1074"/>
      <c r="X111" s="1074"/>
      <c r="Y111" s="1074"/>
      <c r="Z111" s="1074"/>
      <c r="AA111" s="1074"/>
      <c r="AB111" s="1074"/>
      <c r="AC111" s="1074"/>
      <c r="AD111" s="1074"/>
      <c r="AE111" s="1074"/>
      <c r="AF111" s="1074"/>
      <c r="AG111" s="1074"/>
      <c r="AH111" s="1074"/>
      <c r="AI111" s="1074"/>
      <c r="AJ111" s="1074"/>
      <c r="AK111" s="1074"/>
      <c r="AL111" s="1074"/>
      <c r="AM111" s="1074"/>
      <c r="AN111" s="1074"/>
      <c r="AO111" s="1074"/>
      <c r="AP111" s="1074"/>
      <c r="AQ111" s="1074"/>
      <c r="AR111" s="1074"/>
      <c r="AS111" s="1074"/>
      <c r="AT111" s="1075"/>
    </row>
    <row r="112" ht="14.25" customHeight="1">
      <c r="A112" s="1116"/>
      <c r="B112" s="1120"/>
      <c r="C112" s="1100"/>
      <c r="D112" s="1100"/>
      <c r="E112" s="1100"/>
      <c r="F112" s="1100"/>
      <c r="G112" s="1100"/>
      <c r="H112" s="1100"/>
      <c r="I112" s="1100"/>
      <c r="J112" s="1100"/>
      <c r="K112" s="1074"/>
      <c r="L112" s="1074"/>
      <c r="M112" s="1074"/>
      <c r="N112" s="1074"/>
      <c r="O112" s="1074"/>
      <c r="P112" s="1074"/>
      <c r="Q112" s="1074"/>
      <c r="R112" s="1074"/>
      <c r="S112" s="1074"/>
      <c r="T112" s="1074"/>
      <c r="U112" s="1074"/>
      <c r="V112" s="1074"/>
      <c r="W112" s="1074"/>
      <c r="X112" s="1074"/>
      <c r="Y112" s="1074"/>
      <c r="Z112" s="1074"/>
      <c r="AA112" s="1074"/>
      <c r="AB112" s="1074"/>
      <c r="AC112" s="1074"/>
      <c r="AD112" s="1074"/>
      <c r="AE112" s="1074"/>
      <c r="AF112" s="1074"/>
      <c r="AG112" s="1074"/>
      <c r="AH112" s="1074"/>
      <c r="AI112" s="1074"/>
      <c r="AJ112" s="1074"/>
      <c r="AK112" s="1074"/>
      <c r="AL112" s="1074"/>
      <c r="AM112" s="1074"/>
      <c r="AN112" s="1074"/>
      <c r="AO112" s="1074"/>
      <c r="AP112" s="1074"/>
      <c r="AQ112" s="1074"/>
      <c r="AR112" s="1074"/>
      <c r="AS112" s="1074"/>
      <c r="AT112" s="1075"/>
    </row>
    <row r="113" ht="14.25" customHeight="1">
      <c r="A113" s="1116"/>
      <c r="B113" s="1120"/>
      <c r="C113" s="1100"/>
      <c r="D113" s="1100"/>
      <c r="E113" s="1100"/>
      <c r="F113" s="1100"/>
      <c r="G113" s="1100"/>
      <c r="H113" s="1100"/>
      <c r="I113" s="1100"/>
      <c r="J113" s="1100"/>
      <c r="K113" s="1074"/>
      <c r="L113" s="1074"/>
      <c r="M113" s="1074"/>
      <c r="N113" s="1074"/>
      <c r="O113" s="1074"/>
      <c r="P113" s="1074"/>
      <c r="Q113" s="1074"/>
      <c r="R113" s="1074"/>
      <c r="S113" s="1074"/>
      <c r="T113" s="1074"/>
      <c r="U113" s="1074"/>
      <c r="V113" s="1074"/>
      <c r="W113" s="1074"/>
      <c r="X113" s="1074"/>
      <c r="Y113" s="1074"/>
      <c r="Z113" s="1074"/>
      <c r="AA113" s="1074"/>
      <c r="AB113" s="1074"/>
      <c r="AC113" s="1074"/>
      <c r="AD113" s="1074"/>
      <c r="AE113" s="1074"/>
      <c r="AF113" s="1074"/>
      <c r="AG113" s="1074"/>
      <c r="AH113" s="1074"/>
      <c r="AI113" s="1074"/>
      <c r="AJ113" s="1074"/>
      <c r="AK113" s="1074"/>
      <c r="AL113" s="1074"/>
      <c r="AM113" s="1074"/>
      <c r="AN113" s="1074"/>
      <c r="AO113" s="1074"/>
      <c r="AP113" s="1074"/>
      <c r="AQ113" s="1074"/>
      <c r="AR113" s="1074"/>
      <c r="AS113" s="1074"/>
      <c r="AT113" s="1075"/>
    </row>
    <row r="114" ht="14.25" customHeight="1">
      <c r="A114" s="1116"/>
      <c r="B114" s="1120"/>
      <c r="C114" s="1100"/>
      <c r="D114" s="1100"/>
      <c r="E114" s="1100"/>
      <c r="F114" s="1100"/>
      <c r="G114" s="1100"/>
      <c r="H114" s="1100"/>
      <c r="I114" s="1100"/>
      <c r="J114" s="1100"/>
      <c r="K114" s="1074"/>
      <c r="L114" s="1074"/>
      <c r="M114" s="1074"/>
      <c r="N114" s="1074"/>
      <c r="O114" s="1074"/>
      <c r="P114" s="1074"/>
      <c r="Q114" s="1074"/>
      <c r="R114" s="1074"/>
      <c r="S114" s="1074"/>
      <c r="T114" s="1074"/>
      <c r="U114" s="1074"/>
      <c r="V114" s="1074"/>
      <c r="W114" s="1074"/>
      <c r="X114" s="1074"/>
      <c r="Y114" s="1074"/>
      <c r="Z114" s="1074"/>
      <c r="AA114" s="1074"/>
      <c r="AB114" s="1074"/>
      <c r="AC114" s="1074"/>
      <c r="AD114" s="1074"/>
      <c r="AE114" s="1074"/>
      <c r="AF114" s="1074"/>
      <c r="AG114" s="1074"/>
      <c r="AH114" s="1074"/>
      <c r="AI114" s="1074"/>
      <c r="AJ114" s="1074"/>
      <c r="AK114" s="1074"/>
      <c r="AL114" s="1074"/>
      <c r="AM114" s="1074"/>
      <c r="AN114" s="1074"/>
      <c r="AO114" s="1074"/>
      <c r="AP114" s="1074"/>
      <c r="AQ114" s="1074"/>
      <c r="AR114" s="1074"/>
      <c r="AS114" s="1074"/>
      <c r="AT114" s="1075"/>
    </row>
    <row r="115" ht="14.25" customHeight="1">
      <c r="A115" s="1116"/>
      <c r="B115" s="1120"/>
      <c r="C115" s="1100"/>
      <c r="D115" s="1100"/>
      <c r="E115" s="1100"/>
      <c r="F115" s="1100"/>
      <c r="G115" s="1100"/>
      <c r="H115" s="1100"/>
      <c r="I115" s="1100"/>
      <c r="J115" s="1100"/>
      <c r="K115" s="1074"/>
      <c r="L115" s="1074"/>
      <c r="M115" s="1074"/>
      <c r="N115" s="1074"/>
      <c r="O115" s="1074"/>
      <c r="P115" s="1074"/>
      <c r="Q115" s="1074"/>
      <c r="R115" s="1074"/>
      <c r="S115" s="1074"/>
      <c r="T115" s="1074"/>
      <c r="U115" s="1074"/>
      <c r="V115" s="1074"/>
      <c r="W115" s="1074"/>
      <c r="X115" s="1074"/>
      <c r="Y115" s="1074"/>
      <c r="Z115" s="1074"/>
      <c r="AA115" s="1074"/>
      <c r="AB115" s="1074"/>
      <c r="AC115" s="1074"/>
      <c r="AD115" s="1074"/>
      <c r="AE115" s="1074"/>
      <c r="AF115" s="1074"/>
      <c r="AG115" s="1074"/>
      <c r="AH115" s="1074"/>
      <c r="AI115" s="1074"/>
      <c r="AJ115" s="1074"/>
      <c r="AK115" s="1074"/>
      <c r="AL115" s="1074"/>
      <c r="AM115" s="1074"/>
      <c r="AN115" s="1074"/>
      <c r="AO115" s="1074"/>
      <c r="AP115" s="1074"/>
      <c r="AQ115" s="1074"/>
      <c r="AR115" s="1074"/>
      <c r="AS115" s="1074"/>
      <c r="AT115" s="1075"/>
    </row>
    <row r="116" ht="14.25" customHeight="1">
      <c r="A116" s="1116"/>
      <c r="B116" s="1120"/>
      <c r="C116" s="1100"/>
      <c r="D116" s="1100"/>
      <c r="E116" s="1100"/>
      <c r="F116" s="1100"/>
      <c r="G116" s="1100"/>
      <c r="H116" s="1100"/>
      <c r="I116" s="1100"/>
      <c r="J116" s="1100"/>
      <c r="K116" s="1074"/>
      <c r="L116" s="1074"/>
      <c r="M116" s="1074"/>
      <c r="N116" s="1074"/>
      <c r="O116" s="1074"/>
      <c r="P116" s="1074"/>
      <c r="Q116" s="1074"/>
      <c r="R116" s="1074"/>
      <c r="S116" s="1074"/>
      <c r="T116" s="1074"/>
      <c r="U116" s="1074"/>
      <c r="V116" s="1074"/>
      <c r="W116" s="1074"/>
      <c r="X116" s="1074"/>
      <c r="Y116" s="1074"/>
      <c r="Z116" s="1074"/>
      <c r="AA116" s="1074"/>
      <c r="AB116" s="1074"/>
      <c r="AC116" s="1074"/>
      <c r="AD116" s="1074"/>
      <c r="AE116" s="1074"/>
      <c r="AF116" s="1074"/>
      <c r="AG116" s="1074"/>
      <c r="AH116" s="1074"/>
      <c r="AI116" s="1074"/>
      <c r="AJ116" s="1074"/>
      <c r="AK116" s="1074"/>
      <c r="AL116" s="1074"/>
      <c r="AM116" s="1074"/>
      <c r="AN116" s="1074"/>
      <c r="AO116" s="1074"/>
      <c r="AP116" s="1074"/>
      <c r="AQ116" s="1074"/>
      <c r="AR116" s="1074"/>
      <c r="AS116" s="1074"/>
      <c r="AT116" s="1075"/>
    </row>
    <row r="117" ht="14.25" customHeight="1">
      <c r="A117" s="1116"/>
      <c r="B117" s="1120"/>
      <c r="C117" s="1100"/>
      <c r="D117" s="1100"/>
      <c r="E117" s="1100"/>
      <c r="F117" s="1100"/>
      <c r="G117" s="1100"/>
      <c r="H117" s="1100"/>
      <c r="I117" s="1100"/>
      <c r="J117" s="1100"/>
      <c r="K117" s="1074"/>
      <c r="L117" s="1074"/>
      <c r="M117" s="1074"/>
      <c r="N117" s="1074"/>
      <c r="O117" s="1074"/>
      <c r="P117" s="1074"/>
      <c r="Q117" s="1074"/>
      <c r="R117" s="1074"/>
      <c r="S117" s="1074"/>
      <c r="T117" s="1074"/>
      <c r="U117" s="1074"/>
      <c r="V117" s="1074"/>
      <c r="W117" s="1074"/>
      <c r="X117" s="1074"/>
      <c r="Y117" s="1074"/>
      <c r="Z117" s="1074"/>
      <c r="AA117" s="1074"/>
      <c r="AB117" s="1074"/>
      <c r="AC117" s="1074"/>
      <c r="AD117" s="1074"/>
      <c r="AE117" s="1074"/>
      <c r="AF117" s="1074"/>
      <c r="AG117" s="1074"/>
      <c r="AH117" s="1074"/>
      <c r="AI117" s="1074"/>
      <c r="AJ117" s="1074"/>
      <c r="AK117" s="1074"/>
      <c r="AL117" s="1074"/>
      <c r="AM117" s="1074"/>
      <c r="AN117" s="1074"/>
      <c r="AO117" s="1074"/>
      <c r="AP117" s="1074"/>
      <c r="AQ117" s="1074"/>
      <c r="AR117" s="1074"/>
      <c r="AS117" s="1074"/>
      <c r="AT117" s="1075"/>
    </row>
    <row r="118" ht="14.25" customHeight="1">
      <c r="A118" s="1116"/>
      <c r="B118" s="1120"/>
      <c r="C118" s="1100"/>
      <c r="D118" s="1100"/>
      <c r="E118" s="1100"/>
      <c r="F118" s="1100"/>
      <c r="G118" s="1100"/>
      <c r="H118" s="1100"/>
      <c r="I118" s="1100"/>
      <c r="J118" s="1100"/>
      <c r="K118" s="1074"/>
      <c r="L118" s="1074"/>
      <c r="M118" s="1074"/>
      <c r="N118" s="1074"/>
      <c r="O118" s="1074"/>
      <c r="P118" s="1074"/>
      <c r="Q118" s="1074"/>
      <c r="R118" s="1074"/>
      <c r="S118" s="1074"/>
      <c r="T118" s="1074"/>
      <c r="U118" s="1074"/>
      <c r="V118" s="1074"/>
      <c r="W118" s="1074"/>
      <c r="X118" s="1074"/>
      <c r="Y118" s="1074"/>
      <c r="Z118" s="1074"/>
      <c r="AA118" s="1074"/>
      <c r="AB118" s="1074"/>
      <c r="AC118" s="1074"/>
      <c r="AD118" s="1074"/>
      <c r="AE118" s="1074"/>
      <c r="AF118" s="1074"/>
      <c r="AG118" s="1074"/>
      <c r="AH118" s="1074"/>
      <c r="AI118" s="1074"/>
      <c r="AJ118" s="1074"/>
      <c r="AK118" s="1074"/>
      <c r="AL118" s="1074"/>
      <c r="AM118" s="1074"/>
      <c r="AN118" s="1074"/>
      <c r="AO118" s="1074"/>
      <c r="AP118" s="1074"/>
      <c r="AQ118" s="1074"/>
      <c r="AR118" s="1074"/>
      <c r="AS118" s="1074"/>
      <c r="AT118" s="1075"/>
    </row>
    <row r="119" ht="14.25" customHeight="1">
      <c r="A119" s="1116"/>
      <c r="B119" s="1120"/>
      <c r="C119" s="1100"/>
      <c r="D119" s="1100"/>
      <c r="E119" s="1100"/>
      <c r="F119" s="1100"/>
      <c r="G119" s="1100"/>
      <c r="H119" s="1100"/>
      <c r="I119" s="1100"/>
      <c r="J119" s="1100"/>
      <c r="K119" s="1074"/>
      <c r="L119" s="1074"/>
      <c r="M119" s="1074"/>
      <c r="N119" s="1074"/>
      <c r="O119" s="1074"/>
      <c r="P119" s="1074"/>
      <c r="Q119" s="1074"/>
      <c r="R119" s="1074"/>
      <c r="S119" s="1074"/>
      <c r="T119" s="1074"/>
      <c r="U119" s="1074"/>
      <c r="V119" s="1074"/>
      <c r="W119" s="1074"/>
      <c r="X119" s="1074"/>
      <c r="Y119" s="1074"/>
      <c r="Z119" s="1074"/>
      <c r="AA119" s="1074"/>
      <c r="AB119" s="1074"/>
      <c r="AC119" s="1074"/>
      <c r="AD119" s="1074"/>
      <c r="AE119" s="1074"/>
      <c r="AF119" s="1074"/>
      <c r="AG119" s="1074"/>
      <c r="AH119" s="1074"/>
      <c r="AI119" s="1074"/>
      <c r="AJ119" s="1074"/>
      <c r="AK119" s="1074"/>
      <c r="AL119" s="1074"/>
      <c r="AM119" s="1074"/>
      <c r="AN119" s="1074"/>
      <c r="AO119" s="1074"/>
      <c r="AP119" s="1074"/>
      <c r="AQ119" s="1074"/>
      <c r="AR119" s="1074"/>
      <c r="AS119" s="1074"/>
      <c r="AT119" s="1075"/>
    </row>
    <row r="120" ht="14.25" customHeight="1">
      <c r="A120" s="1116"/>
      <c r="B120" s="1120"/>
      <c r="C120" s="1100"/>
      <c r="D120" s="1100"/>
      <c r="E120" s="1100"/>
      <c r="F120" s="1100"/>
      <c r="G120" s="1100"/>
      <c r="H120" s="1100"/>
      <c r="I120" s="1100"/>
      <c r="J120" s="1100"/>
      <c r="K120" s="1074"/>
      <c r="L120" s="1074"/>
      <c r="M120" s="1074"/>
      <c r="N120" s="1074"/>
      <c r="O120" s="1074"/>
      <c r="P120" s="1074"/>
      <c r="Q120" s="1074"/>
      <c r="R120" s="1074"/>
      <c r="S120" s="1074"/>
      <c r="T120" s="1074"/>
      <c r="U120" s="1074"/>
      <c r="V120" s="1074"/>
      <c r="W120" s="1074"/>
      <c r="X120" s="1074"/>
      <c r="Y120" s="1074"/>
      <c r="Z120" s="1074"/>
      <c r="AA120" s="1074"/>
      <c r="AB120" s="1074"/>
      <c r="AC120" s="1074"/>
      <c r="AD120" s="1074"/>
      <c r="AE120" s="1074"/>
      <c r="AF120" s="1074"/>
      <c r="AG120" s="1074"/>
      <c r="AH120" s="1074"/>
      <c r="AI120" s="1074"/>
      <c r="AJ120" s="1074"/>
      <c r="AK120" s="1074"/>
      <c r="AL120" s="1074"/>
      <c r="AM120" s="1074"/>
      <c r="AN120" s="1074"/>
      <c r="AO120" s="1074"/>
      <c r="AP120" s="1074"/>
      <c r="AQ120" s="1074"/>
      <c r="AR120" s="1074"/>
      <c r="AS120" s="1074"/>
      <c r="AT120" s="1075"/>
    </row>
    <row r="121" ht="14.25" customHeight="1">
      <c r="A121" s="1116"/>
      <c r="B121" s="1120"/>
      <c r="C121" s="1100"/>
      <c r="D121" s="1100"/>
      <c r="E121" s="1100"/>
      <c r="F121" s="1100"/>
      <c r="G121" s="1100"/>
      <c r="H121" s="1100"/>
      <c r="I121" s="1100"/>
      <c r="J121" s="1100"/>
      <c r="K121" s="1074"/>
      <c r="L121" s="1074"/>
      <c r="M121" s="1074"/>
      <c r="N121" s="1074"/>
      <c r="O121" s="1074"/>
      <c r="P121" s="1074"/>
      <c r="Q121" s="1074"/>
      <c r="R121" s="1074"/>
      <c r="S121" s="1074"/>
      <c r="T121" s="1074"/>
      <c r="U121" s="1074"/>
      <c r="V121" s="1074"/>
      <c r="W121" s="1074"/>
      <c r="X121" s="1074"/>
      <c r="Y121" s="1074"/>
      <c r="Z121" s="1074"/>
      <c r="AA121" s="1074"/>
      <c r="AB121" s="1074"/>
      <c r="AC121" s="1074"/>
      <c r="AD121" s="1074"/>
      <c r="AE121" s="1074"/>
      <c r="AF121" s="1074"/>
      <c r="AG121" s="1074"/>
      <c r="AH121" s="1074"/>
      <c r="AI121" s="1074"/>
      <c r="AJ121" s="1074"/>
      <c r="AK121" s="1074"/>
      <c r="AL121" s="1074"/>
      <c r="AM121" s="1074"/>
      <c r="AN121" s="1074"/>
      <c r="AO121" s="1074"/>
      <c r="AP121" s="1074"/>
      <c r="AQ121" s="1074"/>
      <c r="AR121" s="1074"/>
      <c r="AS121" s="1074"/>
      <c r="AT121" s="1075"/>
    </row>
    <row r="122" ht="14.25" customHeight="1">
      <c r="A122" s="1116"/>
      <c r="B122" s="1120"/>
      <c r="C122" s="1100"/>
      <c r="D122" s="1100"/>
      <c r="E122" s="1100"/>
      <c r="F122" s="1100"/>
      <c r="G122" s="1100"/>
      <c r="H122" s="1100"/>
      <c r="I122" s="1100"/>
      <c r="J122" s="1100"/>
      <c r="K122" s="1074"/>
      <c r="L122" s="1074"/>
      <c r="M122" s="1074"/>
      <c r="N122" s="1074"/>
      <c r="O122" s="1074"/>
      <c r="P122" s="1074"/>
      <c r="Q122" s="1074"/>
      <c r="R122" s="1074"/>
      <c r="S122" s="1074"/>
      <c r="T122" s="1074"/>
      <c r="U122" s="1074"/>
      <c r="V122" s="1074"/>
      <c r="W122" s="1074"/>
      <c r="X122" s="1074"/>
      <c r="Y122" s="1074"/>
      <c r="Z122" s="1074"/>
      <c r="AA122" s="1074"/>
      <c r="AB122" s="1074"/>
      <c r="AC122" s="1074"/>
      <c r="AD122" s="1074"/>
      <c r="AE122" s="1074"/>
      <c r="AF122" s="1074"/>
      <c r="AG122" s="1074"/>
      <c r="AH122" s="1074"/>
      <c r="AI122" s="1074"/>
      <c r="AJ122" s="1074"/>
      <c r="AK122" s="1074"/>
      <c r="AL122" s="1074"/>
      <c r="AM122" s="1074"/>
      <c r="AN122" s="1074"/>
      <c r="AO122" s="1074"/>
      <c r="AP122" s="1074"/>
      <c r="AQ122" s="1074"/>
      <c r="AR122" s="1074"/>
      <c r="AS122" s="1074"/>
      <c r="AT122" s="1075"/>
    </row>
    <row r="123" ht="14.25" customHeight="1">
      <c r="A123" s="1116"/>
      <c r="B123" s="1120"/>
      <c r="C123" s="1100"/>
      <c r="D123" s="1100"/>
      <c r="E123" s="1100"/>
      <c r="F123" s="1100"/>
      <c r="G123" s="1100"/>
      <c r="H123" s="1100"/>
      <c r="I123" s="1100"/>
      <c r="J123" s="1100"/>
      <c r="K123" s="1074"/>
      <c r="L123" s="1074"/>
      <c r="M123" s="1074"/>
      <c r="N123" s="1074"/>
      <c r="O123" s="1074"/>
      <c r="P123" s="1074"/>
      <c r="Q123" s="1074"/>
      <c r="R123" s="1074"/>
      <c r="S123" s="1074"/>
      <c r="T123" s="1074"/>
      <c r="U123" s="1074"/>
      <c r="V123" s="1074"/>
      <c r="W123" s="1074"/>
      <c r="X123" s="1074"/>
      <c r="Y123" s="1074"/>
      <c r="Z123" s="1074"/>
      <c r="AA123" s="1074"/>
      <c r="AB123" s="1074"/>
      <c r="AC123" s="1074"/>
      <c r="AD123" s="1074"/>
      <c r="AE123" s="1074"/>
      <c r="AF123" s="1074"/>
      <c r="AG123" s="1074"/>
      <c r="AH123" s="1074"/>
      <c r="AI123" s="1074"/>
      <c r="AJ123" s="1074"/>
      <c r="AK123" s="1074"/>
      <c r="AL123" s="1074"/>
      <c r="AM123" s="1074"/>
      <c r="AN123" s="1074"/>
      <c r="AO123" s="1074"/>
      <c r="AP123" s="1074"/>
      <c r="AQ123" s="1074"/>
      <c r="AR123" s="1074"/>
      <c r="AS123" s="1074"/>
      <c r="AT123" s="1075"/>
    </row>
    <row r="124" ht="14.25" customHeight="1">
      <c r="A124" s="1116"/>
      <c r="B124" s="1120"/>
      <c r="C124" s="1100"/>
      <c r="D124" s="1100"/>
      <c r="E124" s="1100"/>
      <c r="F124" s="1100"/>
      <c r="G124" s="1100"/>
      <c r="H124" s="1100"/>
      <c r="I124" s="1100"/>
      <c r="J124" s="1100"/>
      <c r="K124" s="1074"/>
      <c r="L124" s="1074"/>
      <c r="M124" s="1074"/>
      <c r="N124" s="1074"/>
      <c r="O124" s="1074"/>
      <c r="P124" s="1074"/>
      <c r="Q124" s="1074"/>
      <c r="R124" s="1074"/>
      <c r="S124" s="1074"/>
      <c r="T124" s="1074"/>
      <c r="U124" s="1074"/>
      <c r="V124" s="1074"/>
      <c r="W124" s="1074"/>
      <c r="X124" s="1074"/>
      <c r="Y124" s="1074"/>
      <c r="Z124" s="1074"/>
      <c r="AA124" s="1074"/>
      <c r="AB124" s="1074"/>
      <c r="AC124" s="1074"/>
      <c r="AD124" s="1074"/>
      <c r="AE124" s="1074"/>
      <c r="AF124" s="1074"/>
      <c r="AG124" s="1074"/>
      <c r="AH124" s="1074"/>
      <c r="AI124" s="1074"/>
      <c r="AJ124" s="1074"/>
      <c r="AK124" s="1074"/>
      <c r="AL124" s="1074"/>
      <c r="AM124" s="1074"/>
      <c r="AN124" s="1074"/>
      <c r="AO124" s="1074"/>
      <c r="AP124" s="1074"/>
      <c r="AQ124" s="1074"/>
      <c r="AR124" s="1074"/>
      <c r="AS124" s="1074"/>
      <c r="AT124" s="1075"/>
    </row>
    <row r="125" ht="14.25" customHeight="1">
      <c r="A125" s="1116"/>
      <c r="B125" s="1120"/>
      <c r="C125" s="1100"/>
      <c r="D125" s="1100"/>
      <c r="E125" s="1100"/>
      <c r="F125" s="1100"/>
      <c r="G125" s="1100"/>
      <c r="H125" s="1100"/>
      <c r="I125" s="1100"/>
      <c r="J125" s="1100"/>
      <c r="K125" s="1074"/>
      <c r="L125" s="1074"/>
      <c r="M125" s="1074"/>
      <c r="N125" s="1074"/>
      <c r="O125" s="1074"/>
      <c r="P125" s="1074"/>
      <c r="Q125" s="1074"/>
      <c r="R125" s="1074"/>
      <c r="S125" s="1074"/>
      <c r="T125" s="1074"/>
      <c r="U125" s="1074"/>
      <c r="V125" s="1074"/>
      <c r="W125" s="1074"/>
      <c r="X125" s="1074"/>
      <c r="Y125" s="1074"/>
      <c r="Z125" s="1074"/>
      <c r="AA125" s="1074"/>
      <c r="AB125" s="1074"/>
      <c r="AC125" s="1074"/>
      <c r="AD125" s="1074"/>
      <c r="AE125" s="1074"/>
      <c r="AF125" s="1074"/>
      <c r="AG125" s="1074"/>
      <c r="AH125" s="1074"/>
      <c r="AI125" s="1074"/>
      <c r="AJ125" s="1074"/>
      <c r="AK125" s="1074"/>
      <c r="AL125" s="1074"/>
      <c r="AM125" s="1074"/>
      <c r="AN125" s="1074"/>
      <c r="AO125" s="1074"/>
      <c r="AP125" s="1074"/>
      <c r="AQ125" s="1074"/>
      <c r="AR125" s="1074"/>
      <c r="AS125" s="1074"/>
      <c r="AT125" s="1075"/>
    </row>
    <row r="126" ht="14.25" customHeight="1">
      <c r="A126" s="1116"/>
      <c r="B126" s="1120"/>
      <c r="C126" s="1100"/>
      <c r="D126" s="1100"/>
      <c r="E126" s="1100"/>
      <c r="F126" s="1100"/>
      <c r="G126" s="1100"/>
      <c r="H126" s="1100"/>
      <c r="I126" s="1100"/>
      <c r="J126" s="1100"/>
      <c r="K126" s="1074"/>
      <c r="L126" s="1074"/>
      <c r="M126" s="1074"/>
      <c r="N126" s="1074"/>
      <c r="O126" s="1074"/>
      <c r="P126" s="1074"/>
      <c r="Q126" s="1074"/>
      <c r="R126" s="1074"/>
      <c r="S126" s="1074"/>
      <c r="T126" s="1074"/>
      <c r="U126" s="1074"/>
      <c r="V126" s="1074"/>
      <c r="W126" s="1074"/>
      <c r="X126" s="1074"/>
      <c r="Y126" s="1074"/>
      <c r="Z126" s="1074"/>
      <c r="AA126" s="1074"/>
      <c r="AB126" s="1074"/>
      <c r="AC126" s="1074"/>
      <c r="AD126" s="1074"/>
      <c r="AE126" s="1074"/>
      <c r="AF126" s="1074"/>
      <c r="AG126" s="1074"/>
      <c r="AH126" s="1074"/>
      <c r="AI126" s="1074"/>
      <c r="AJ126" s="1074"/>
      <c r="AK126" s="1074"/>
      <c r="AL126" s="1074"/>
      <c r="AM126" s="1074"/>
      <c r="AN126" s="1074"/>
      <c r="AO126" s="1074"/>
      <c r="AP126" s="1074"/>
      <c r="AQ126" s="1074"/>
      <c r="AR126" s="1074"/>
      <c r="AS126" s="1074"/>
      <c r="AT126" s="1075"/>
    </row>
    <row r="127" ht="14.25" customHeight="1">
      <c r="A127" s="1116"/>
      <c r="B127" s="1120"/>
      <c r="C127" s="1100"/>
      <c r="D127" s="1100"/>
      <c r="E127" s="1100"/>
      <c r="F127" s="1100"/>
      <c r="G127" s="1100"/>
      <c r="H127" s="1100"/>
      <c r="I127" s="1100"/>
      <c r="J127" s="1100"/>
      <c r="K127" s="1074"/>
      <c r="L127" s="1074"/>
      <c r="M127" s="1074"/>
      <c r="N127" s="1074"/>
      <c r="O127" s="1074"/>
      <c r="P127" s="1074"/>
      <c r="Q127" s="1074"/>
      <c r="R127" s="1074"/>
      <c r="S127" s="1074"/>
      <c r="T127" s="1074"/>
      <c r="U127" s="1074"/>
      <c r="V127" s="1074"/>
      <c r="W127" s="1074"/>
      <c r="X127" s="1074"/>
      <c r="Y127" s="1074"/>
      <c r="Z127" s="1074"/>
      <c r="AA127" s="1074"/>
      <c r="AB127" s="1074"/>
      <c r="AC127" s="1074"/>
      <c r="AD127" s="1074"/>
      <c r="AE127" s="1074"/>
      <c r="AF127" s="1074"/>
      <c r="AG127" s="1074"/>
      <c r="AH127" s="1074"/>
      <c r="AI127" s="1074"/>
      <c r="AJ127" s="1074"/>
      <c r="AK127" s="1074"/>
      <c r="AL127" s="1074"/>
      <c r="AM127" s="1074"/>
      <c r="AN127" s="1074"/>
      <c r="AO127" s="1074"/>
      <c r="AP127" s="1074"/>
      <c r="AQ127" s="1074"/>
      <c r="AR127" s="1074"/>
      <c r="AS127" s="1074"/>
      <c r="AT127" s="1075"/>
    </row>
    <row r="128" ht="14.25" customHeight="1">
      <c r="A128" s="1116"/>
      <c r="B128" s="1120"/>
      <c r="C128" s="1100"/>
      <c r="D128" s="1100"/>
      <c r="E128" s="1100"/>
      <c r="F128" s="1100"/>
      <c r="G128" s="1100"/>
      <c r="H128" s="1100"/>
      <c r="I128" s="1100"/>
      <c r="J128" s="1100"/>
      <c r="K128" s="1074"/>
      <c r="L128" s="1074"/>
      <c r="M128" s="1074"/>
      <c r="N128" s="1074"/>
      <c r="O128" s="1074"/>
      <c r="P128" s="1074"/>
      <c r="Q128" s="1074"/>
      <c r="R128" s="1074"/>
      <c r="S128" s="1074"/>
      <c r="T128" s="1074"/>
      <c r="U128" s="1074"/>
      <c r="V128" s="1074"/>
      <c r="W128" s="1074"/>
      <c r="X128" s="1074"/>
      <c r="Y128" s="1074"/>
      <c r="Z128" s="1074"/>
      <c r="AA128" s="1074"/>
      <c r="AB128" s="1074"/>
      <c r="AC128" s="1074"/>
      <c r="AD128" s="1074"/>
      <c r="AE128" s="1074"/>
      <c r="AF128" s="1074"/>
      <c r="AG128" s="1074"/>
      <c r="AH128" s="1074"/>
      <c r="AI128" s="1074"/>
      <c r="AJ128" s="1074"/>
      <c r="AK128" s="1074"/>
      <c r="AL128" s="1074"/>
      <c r="AM128" s="1074"/>
      <c r="AN128" s="1074"/>
      <c r="AO128" s="1074"/>
      <c r="AP128" s="1074"/>
      <c r="AQ128" s="1074"/>
      <c r="AR128" s="1074"/>
      <c r="AS128" s="1074"/>
      <c r="AT128" s="1075"/>
    </row>
    <row r="129" ht="14.25" customHeight="1">
      <c r="A129" s="1116"/>
      <c r="B129" s="1120"/>
      <c r="C129" s="1100"/>
      <c r="D129" s="1100"/>
      <c r="E129" s="1100"/>
      <c r="F129" s="1100"/>
      <c r="G129" s="1100"/>
      <c r="H129" s="1100"/>
      <c r="I129" s="1100"/>
      <c r="J129" s="1100"/>
      <c r="K129" s="1074"/>
      <c r="L129" s="1074"/>
      <c r="M129" s="1074"/>
      <c r="N129" s="1074"/>
      <c r="O129" s="1074"/>
      <c r="P129" s="1074"/>
      <c r="Q129" s="1074"/>
      <c r="R129" s="1074"/>
      <c r="S129" s="1074"/>
      <c r="T129" s="1074"/>
      <c r="U129" s="1074"/>
      <c r="V129" s="1074"/>
      <c r="W129" s="1074"/>
      <c r="X129" s="1074"/>
      <c r="Y129" s="1074"/>
      <c r="Z129" s="1074"/>
      <c r="AA129" s="1074"/>
      <c r="AB129" s="1074"/>
      <c r="AC129" s="1074"/>
      <c r="AD129" s="1074"/>
      <c r="AE129" s="1074"/>
      <c r="AF129" s="1074"/>
      <c r="AG129" s="1074"/>
      <c r="AH129" s="1074"/>
      <c r="AI129" s="1074"/>
      <c r="AJ129" s="1074"/>
      <c r="AK129" s="1074"/>
      <c r="AL129" s="1074"/>
      <c r="AM129" s="1074"/>
      <c r="AN129" s="1074"/>
      <c r="AO129" s="1074"/>
      <c r="AP129" s="1074"/>
      <c r="AQ129" s="1074"/>
      <c r="AR129" s="1074"/>
      <c r="AS129" s="1074"/>
      <c r="AT129" s="1075"/>
    </row>
    <row r="130" ht="14.25" customHeight="1">
      <c r="A130" s="1116"/>
      <c r="B130" s="1120"/>
      <c r="C130" s="1100"/>
      <c r="D130" s="1100"/>
      <c r="E130" s="1100"/>
      <c r="F130" s="1100"/>
      <c r="G130" s="1100"/>
      <c r="H130" s="1100"/>
      <c r="I130" s="1100"/>
      <c r="J130" s="1100"/>
      <c r="K130" s="1074"/>
      <c r="L130" s="1074"/>
      <c r="M130" s="1074"/>
      <c r="N130" s="1074"/>
      <c r="O130" s="1074"/>
      <c r="P130" s="1074"/>
      <c r="Q130" s="1074"/>
      <c r="R130" s="1074"/>
      <c r="S130" s="1074"/>
      <c r="T130" s="1074"/>
      <c r="U130" s="1074"/>
      <c r="V130" s="1074"/>
      <c r="W130" s="1074"/>
      <c r="X130" s="1074"/>
      <c r="Y130" s="1074"/>
      <c r="Z130" s="1074"/>
      <c r="AA130" s="1074"/>
      <c r="AB130" s="1074"/>
      <c r="AC130" s="1074"/>
      <c r="AD130" s="1074"/>
      <c r="AE130" s="1074"/>
      <c r="AF130" s="1074"/>
      <c r="AG130" s="1074"/>
      <c r="AH130" s="1074"/>
      <c r="AI130" s="1074"/>
      <c r="AJ130" s="1074"/>
      <c r="AK130" s="1074"/>
      <c r="AL130" s="1074"/>
      <c r="AM130" s="1074"/>
      <c r="AN130" s="1074"/>
      <c r="AO130" s="1074"/>
      <c r="AP130" s="1074"/>
      <c r="AQ130" s="1074"/>
      <c r="AR130" s="1074"/>
      <c r="AS130" s="1074"/>
      <c r="AT130" s="1075"/>
    </row>
    <row r="131" ht="14.25" customHeight="1">
      <c r="A131" s="1116"/>
      <c r="B131" s="1120"/>
      <c r="C131" s="1100"/>
      <c r="D131" s="1100"/>
      <c r="E131" s="1100"/>
      <c r="F131" s="1100"/>
      <c r="G131" s="1100"/>
      <c r="H131" s="1100"/>
      <c r="I131" s="1100"/>
      <c r="J131" s="1100"/>
      <c r="K131" s="1074"/>
      <c r="L131" s="1074"/>
      <c r="M131" s="1074"/>
      <c r="N131" s="1074"/>
      <c r="O131" s="1074"/>
      <c r="P131" s="1074"/>
      <c r="Q131" s="1074"/>
      <c r="R131" s="1074"/>
      <c r="S131" s="1074"/>
      <c r="T131" s="1074"/>
      <c r="U131" s="1074"/>
      <c r="V131" s="1074"/>
      <c r="W131" s="1074"/>
      <c r="X131" s="1074"/>
      <c r="Y131" s="1074"/>
      <c r="Z131" s="1074"/>
      <c r="AA131" s="1074"/>
      <c r="AB131" s="1074"/>
      <c r="AC131" s="1074"/>
      <c r="AD131" s="1074"/>
      <c r="AE131" s="1074"/>
      <c r="AF131" s="1074"/>
      <c r="AG131" s="1074"/>
      <c r="AH131" s="1074"/>
      <c r="AI131" s="1074"/>
      <c r="AJ131" s="1074"/>
      <c r="AK131" s="1074"/>
      <c r="AL131" s="1074"/>
      <c r="AM131" s="1074"/>
      <c r="AN131" s="1074"/>
      <c r="AO131" s="1074"/>
      <c r="AP131" s="1074"/>
      <c r="AQ131" s="1074"/>
      <c r="AR131" s="1074"/>
      <c r="AS131" s="1074"/>
      <c r="AT131" s="1075"/>
    </row>
    <row r="132" ht="14.25" customHeight="1">
      <c r="A132" s="1116"/>
      <c r="B132" s="1120"/>
      <c r="C132" s="1100"/>
      <c r="D132" s="1100"/>
      <c r="E132" s="1100"/>
      <c r="F132" s="1100"/>
      <c r="G132" s="1100"/>
      <c r="H132" s="1100"/>
      <c r="I132" s="1100"/>
      <c r="J132" s="1100"/>
      <c r="K132" s="1074"/>
      <c r="L132" s="1074"/>
      <c r="M132" s="1074"/>
      <c r="N132" s="1074"/>
      <c r="O132" s="1074"/>
      <c r="P132" s="1074"/>
      <c r="Q132" s="1074"/>
      <c r="R132" s="1074"/>
      <c r="S132" s="1074"/>
      <c r="T132" s="1074"/>
      <c r="U132" s="1074"/>
      <c r="V132" s="1074"/>
      <c r="W132" s="1074"/>
      <c r="X132" s="1074"/>
      <c r="Y132" s="1074"/>
      <c r="Z132" s="1074"/>
      <c r="AA132" s="1074"/>
      <c r="AB132" s="1074"/>
      <c r="AC132" s="1074"/>
      <c r="AD132" s="1074"/>
      <c r="AE132" s="1074"/>
      <c r="AF132" s="1074"/>
      <c r="AG132" s="1074"/>
      <c r="AH132" s="1074"/>
      <c r="AI132" s="1074"/>
      <c r="AJ132" s="1074"/>
      <c r="AK132" s="1074"/>
      <c r="AL132" s="1074"/>
      <c r="AM132" s="1074"/>
      <c r="AN132" s="1074"/>
      <c r="AO132" s="1074"/>
      <c r="AP132" s="1074"/>
      <c r="AQ132" s="1074"/>
      <c r="AR132" s="1074"/>
      <c r="AS132" s="1074"/>
      <c r="AT132" s="1075"/>
    </row>
    <row r="133" ht="14.25" customHeight="1">
      <c r="A133" s="1116"/>
      <c r="B133" s="1120"/>
      <c r="C133" s="1100"/>
      <c r="D133" s="1100"/>
      <c r="E133" s="1100"/>
      <c r="F133" s="1100"/>
      <c r="G133" s="1100"/>
      <c r="H133" s="1100"/>
      <c r="I133" s="1100"/>
      <c r="J133" s="1100"/>
      <c r="K133" s="1074"/>
      <c r="L133" s="1074"/>
      <c r="M133" s="1074"/>
      <c r="N133" s="1074"/>
      <c r="O133" s="1074"/>
      <c r="P133" s="1074"/>
      <c r="Q133" s="1074"/>
      <c r="R133" s="1074"/>
      <c r="S133" s="1074"/>
      <c r="T133" s="1074"/>
      <c r="U133" s="1074"/>
      <c r="V133" s="1074"/>
      <c r="W133" s="1074"/>
      <c r="X133" s="1074"/>
      <c r="Y133" s="1074"/>
      <c r="Z133" s="1074"/>
      <c r="AA133" s="1074"/>
      <c r="AB133" s="1074"/>
      <c r="AC133" s="1074"/>
      <c r="AD133" s="1074"/>
      <c r="AE133" s="1074"/>
      <c r="AF133" s="1074"/>
      <c r="AG133" s="1074"/>
      <c r="AH133" s="1074"/>
      <c r="AI133" s="1074"/>
      <c r="AJ133" s="1074"/>
      <c r="AK133" s="1074"/>
      <c r="AL133" s="1074"/>
      <c r="AM133" s="1074"/>
      <c r="AN133" s="1074"/>
      <c r="AO133" s="1074"/>
      <c r="AP133" s="1074"/>
      <c r="AQ133" s="1074"/>
      <c r="AR133" s="1074"/>
      <c r="AS133" s="1074"/>
      <c r="AT133" s="1075"/>
    </row>
    <row r="134" ht="14.25" customHeight="1">
      <c r="A134" s="1116"/>
      <c r="B134" s="1120"/>
      <c r="C134" s="1100"/>
      <c r="D134" s="1100"/>
      <c r="E134" s="1100"/>
      <c r="F134" s="1100"/>
      <c r="G134" s="1100"/>
      <c r="H134" s="1100"/>
      <c r="I134" s="1100"/>
      <c r="J134" s="1100"/>
      <c r="K134" s="1074"/>
      <c r="L134" s="1074"/>
      <c r="M134" s="1074"/>
      <c r="N134" s="1074"/>
      <c r="O134" s="1074"/>
      <c r="P134" s="1074"/>
      <c r="Q134" s="1074"/>
      <c r="R134" s="1074"/>
      <c r="S134" s="1074"/>
      <c r="T134" s="1074"/>
      <c r="U134" s="1074"/>
      <c r="V134" s="1074"/>
      <c r="W134" s="1074"/>
      <c r="X134" s="1074"/>
      <c r="Y134" s="1074"/>
      <c r="Z134" s="1074"/>
      <c r="AA134" s="1074"/>
      <c r="AB134" s="1074"/>
      <c r="AC134" s="1074"/>
      <c r="AD134" s="1074"/>
      <c r="AE134" s="1074"/>
      <c r="AF134" s="1074"/>
      <c r="AG134" s="1074"/>
      <c r="AH134" s="1074"/>
      <c r="AI134" s="1074"/>
      <c r="AJ134" s="1074"/>
      <c r="AK134" s="1074"/>
      <c r="AL134" s="1074"/>
      <c r="AM134" s="1074"/>
      <c r="AN134" s="1074"/>
      <c r="AO134" s="1074"/>
      <c r="AP134" s="1074"/>
      <c r="AQ134" s="1074"/>
      <c r="AR134" s="1074"/>
      <c r="AS134" s="1074"/>
      <c r="AT134" s="1075"/>
    </row>
    <row r="135" ht="14.25" customHeight="1">
      <c r="A135" s="1116"/>
      <c r="B135" s="1120"/>
      <c r="C135" s="1100"/>
      <c r="D135" s="1100"/>
      <c r="E135" s="1100"/>
      <c r="F135" s="1100"/>
      <c r="G135" s="1100"/>
      <c r="H135" s="1100"/>
      <c r="I135" s="1100"/>
      <c r="J135" s="1100"/>
      <c r="K135" s="1074"/>
      <c r="L135" s="1074"/>
      <c r="M135" s="1074"/>
      <c r="N135" s="1074"/>
      <c r="O135" s="1074"/>
      <c r="P135" s="1074"/>
      <c r="Q135" s="1074"/>
      <c r="R135" s="1074"/>
      <c r="S135" s="1074"/>
      <c r="T135" s="1074"/>
      <c r="U135" s="1074"/>
      <c r="V135" s="1074"/>
      <c r="W135" s="1074"/>
      <c r="X135" s="1074"/>
      <c r="Y135" s="1074"/>
      <c r="Z135" s="1074"/>
      <c r="AA135" s="1074"/>
      <c r="AB135" s="1074"/>
      <c r="AC135" s="1074"/>
      <c r="AD135" s="1074"/>
      <c r="AE135" s="1074"/>
      <c r="AF135" s="1074"/>
      <c r="AG135" s="1074"/>
      <c r="AH135" s="1074"/>
      <c r="AI135" s="1074"/>
      <c r="AJ135" s="1074"/>
      <c r="AK135" s="1074"/>
      <c r="AL135" s="1074"/>
      <c r="AM135" s="1074"/>
      <c r="AN135" s="1074"/>
      <c r="AO135" s="1074"/>
      <c r="AP135" s="1074"/>
      <c r="AQ135" s="1074"/>
      <c r="AR135" s="1074"/>
      <c r="AS135" s="1074"/>
      <c r="AT135" s="1075"/>
    </row>
    <row r="136" ht="14.25" customHeight="1">
      <c r="A136" s="1116"/>
      <c r="B136" s="1120"/>
      <c r="C136" s="1100"/>
      <c r="D136" s="1100"/>
      <c r="E136" s="1100"/>
      <c r="F136" s="1100"/>
      <c r="G136" s="1100"/>
      <c r="H136" s="1100"/>
      <c r="I136" s="1100"/>
      <c r="J136" s="1100"/>
      <c r="K136" s="1074"/>
      <c r="L136" s="1074"/>
      <c r="M136" s="1074"/>
      <c r="N136" s="1074"/>
      <c r="O136" s="1074"/>
      <c r="P136" s="1074"/>
      <c r="Q136" s="1074"/>
      <c r="R136" s="1074"/>
      <c r="S136" s="1074"/>
      <c r="T136" s="1074"/>
      <c r="U136" s="1074"/>
      <c r="V136" s="1074"/>
      <c r="W136" s="1074"/>
      <c r="X136" s="1074"/>
      <c r="Y136" s="1074"/>
      <c r="Z136" s="1074"/>
      <c r="AA136" s="1074"/>
      <c r="AB136" s="1074"/>
      <c r="AC136" s="1074"/>
      <c r="AD136" s="1074"/>
      <c r="AE136" s="1074"/>
      <c r="AF136" s="1074"/>
      <c r="AG136" s="1074"/>
      <c r="AH136" s="1074"/>
      <c r="AI136" s="1074"/>
      <c r="AJ136" s="1074"/>
      <c r="AK136" s="1074"/>
      <c r="AL136" s="1074"/>
      <c r="AM136" s="1074"/>
      <c r="AN136" s="1074"/>
      <c r="AO136" s="1074"/>
      <c r="AP136" s="1074"/>
      <c r="AQ136" s="1074"/>
      <c r="AR136" s="1074"/>
      <c r="AS136" s="1074"/>
      <c r="AT136" s="1075"/>
    </row>
    <row r="137" ht="14.25" customHeight="1">
      <c r="A137" s="1116"/>
      <c r="B137" s="1120"/>
      <c r="C137" s="1100"/>
      <c r="D137" s="1100"/>
      <c r="E137" s="1100"/>
      <c r="F137" s="1100"/>
      <c r="G137" s="1100"/>
      <c r="H137" s="1100"/>
      <c r="I137" s="1100"/>
      <c r="J137" s="1100"/>
      <c r="K137" s="1074"/>
      <c r="L137" s="1074"/>
      <c r="M137" s="1074"/>
      <c r="N137" s="1074"/>
      <c r="O137" s="1074"/>
      <c r="P137" s="1074"/>
      <c r="Q137" s="1074"/>
      <c r="R137" s="1074"/>
      <c r="S137" s="1074"/>
      <c r="T137" s="1074"/>
      <c r="U137" s="1074"/>
      <c r="V137" s="1074"/>
      <c r="W137" s="1074"/>
      <c r="X137" s="1074"/>
      <c r="Y137" s="1074"/>
      <c r="Z137" s="1074"/>
      <c r="AA137" s="1074"/>
      <c r="AB137" s="1074"/>
      <c r="AC137" s="1074"/>
      <c r="AD137" s="1074"/>
      <c r="AE137" s="1074"/>
      <c r="AF137" s="1074"/>
      <c r="AG137" s="1074"/>
      <c r="AH137" s="1074"/>
      <c r="AI137" s="1074"/>
      <c r="AJ137" s="1074"/>
      <c r="AK137" s="1074"/>
      <c r="AL137" s="1074"/>
      <c r="AM137" s="1074"/>
      <c r="AN137" s="1074"/>
      <c r="AO137" s="1074"/>
      <c r="AP137" s="1074"/>
      <c r="AQ137" s="1074"/>
      <c r="AR137" s="1074"/>
      <c r="AS137" s="1074"/>
      <c r="AT137" s="1075"/>
    </row>
    <row r="138" ht="14.25" customHeight="1">
      <c r="A138" s="1116"/>
      <c r="B138" s="1120"/>
      <c r="C138" s="1100"/>
      <c r="D138" s="1100"/>
      <c r="E138" s="1100"/>
      <c r="F138" s="1100"/>
      <c r="G138" s="1100"/>
      <c r="H138" s="1100"/>
      <c r="I138" s="1100"/>
      <c r="J138" s="1100"/>
      <c r="K138" s="1074"/>
      <c r="L138" s="1074"/>
      <c r="M138" s="1074"/>
      <c r="N138" s="1074"/>
      <c r="O138" s="1074"/>
      <c r="P138" s="1074"/>
      <c r="Q138" s="1074"/>
      <c r="R138" s="1074"/>
      <c r="S138" s="1074"/>
      <c r="T138" s="1074"/>
      <c r="U138" s="1074"/>
      <c r="V138" s="1074"/>
      <c r="W138" s="1074"/>
      <c r="X138" s="1074"/>
      <c r="Y138" s="1074"/>
      <c r="Z138" s="1074"/>
      <c r="AA138" s="1074"/>
      <c r="AB138" s="1074"/>
      <c r="AC138" s="1074"/>
      <c r="AD138" s="1074"/>
      <c r="AE138" s="1074"/>
      <c r="AF138" s="1074"/>
      <c r="AG138" s="1074"/>
      <c r="AH138" s="1074"/>
      <c r="AI138" s="1074"/>
      <c r="AJ138" s="1074"/>
      <c r="AK138" s="1074"/>
      <c r="AL138" s="1074"/>
      <c r="AM138" s="1074"/>
      <c r="AN138" s="1074"/>
      <c r="AO138" s="1074"/>
      <c r="AP138" s="1074"/>
      <c r="AQ138" s="1074"/>
      <c r="AR138" s="1074"/>
      <c r="AS138" s="1074"/>
      <c r="AT138" s="1075"/>
    </row>
    <row r="139" ht="14.25" customHeight="1">
      <c r="A139" s="1116"/>
      <c r="B139" s="1120"/>
      <c r="C139" s="1100"/>
      <c r="D139" s="1100"/>
      <c r="E139" s="1100"/>
      <c r="F139" s="1100"/>
      <c r="G139" s="1100"/>
      <c r="H139" s="1100"/>
      <c r="I139" s="1100"/>
      <c r="J139" s="1100"/>
      <c r="K139" s="1074"/>
      <c r="L139" s="1074"/>
      <c r="M139" s="1074"/>
      <c r="N139" s="1074"/>
      <c r="O139" s="1074"/>
      <c r="P139" s="1074"/>
      <c r="Q139" s="1074"/>
      <c r="R139" s="1074"/>
      <c r="S139" s="1074"/>
      <c r="T139" s="1074"/>
      <c r="U139" s="1074"/>
      <c r="V139" s="1074"/>
      <c r="W139" s="1074"/>
      <c r="X139" s="1074"/>
      <c r="Y139" s="1074"/>
      <c r="Z139" s="1074"/>
      <c r="AA139" s="1074"/>
      <c r="AB139" s="1074"/>
      <c r="AC139" s="1074"/>
      <c r="AD139" s="1074"/>
      <c r="AE139" s="1074"/>
      <c r="AF139" s="1074"/>
      <c r="AG139" s="1074"/>
      <c r="AH139" s="1074"/>
      <c r="AI139" s="1074"/>
      <c r="AJ139" s="1074"/>
      <c r="AK139" s="1074"/>
      <c r="AL139" s="1074"/>
      <c r="AM139" s="1074"/>
      <c r="AN139" s="1074"/>
      <c r="AO139" s="1074"/>
      <c r="AP139" s="1074"/>
      <c r="AQ139" s="1074"/>
      <c r="AR139" s="1074"/>
      <c r="AS139" s="1074"/>
      <c r="AT139" s="1075"/>
    </row>
    <row r="140" ht="14.25" customHeight="1">
      <c r="A140" s="1116"/>
      <c r="B140" s="1120"/>
      <c r="C140" s="1100"/>
      <c r="D140" s="1100"/>
      <c r="E140" s="1100"/>
      <c r="F140" s="1100"/>
      <c r="G140" s="1100"/>
      <c r="H140" s="1100"/>
      <c r="I140" s="1100"/>
      <c r="J140" s="1100"/>
      <c r="K140" s="1074"/>
      <c r="L140" s="1074"/>
      <c r="M140" s="1074"/>
      <c r="N140" s="1074"/>
      <c r="O140" s="1074"/>
      <c r="P140" s="1074"/>
      <c r="Q140" s="1074"/>
      <c r="R140" s="1074"/>
      <c r="S140" s="1074"/>
      <c r="T140" s="1074"/>
      <c r="U140" s="1074"/>
      <c r="V140" s="1074"/>
      <c r="W140" s="1074"/>
      <c r="X140" s="1074"/>
      <c r="Y140" s="1074"/>
      <c r="Z140" s="1074"/>
      <c r="AA140" s="1074"/>
      <c r="AB140" s="1074"/>
      <c r="AC140" s="1074"/>
      <c r="AD140" s="1074"/>
      <c r="AE140" s="1074"/>
      <c r="AF140" s="1074"/>
      <c r="AG140" s="1074"/>
      <c r="AH140" s="1074"/>
      <c r="AI140" s="1074"/>
      <c r="AJ140" s="1074"/>
      <c r="AK140" s="1074"/>
      <c r="AL140" s="1074"/>
      <c r="AM140" s="1074"/>
      <c r="AN140" s="1074"/>
      <c r="AO140" s="1074"/>
      <c r="AP140" s="1074"/>
      <c r="AQ140" s="1074"/>
      <c r="AR140" s="1074"/>
      <c r="AS140" s="1074"/>
      <c r="AT140" s="1075"/>
    </row>
    <row r="141" ht="14.25" customHeight="1">
      <c r="A141" s="1116"/>
      <c r="B141" s="1120"/>
      <c r="C141" s="1100"/>
      <c r="D141" s="1100"/>
      <c r="E141" s="1100"/>
      <c r="F141" s="1100"/>
      <c r="G141" s="1100"/>
      <c r="H141" s="1100"/>
      <c r="I141" s="1100"/>
      <c r="J141" s="1100"/>
      <c r="K141" s="1074"/>
      <c r="L141" s="1074"/>
      <c r="M141" s="1074"/>
      <c r="N141" s="1074"/>
      <c r="O141" s="1074"/>
      <c r="P141" s="1074"/>
      <c r="Q141" s="1074"/>
      <c r="R141" s="1074"/>
      <c r="S141" s="1074"/>
      <c r="T141" s="1074"/>
      <c r="U141" s="1074"/>
      <c r="V141" s="1074"/>
      <c r="W141" s="1074"/>
      <c r="X141" s="1074"/>
      <c r="Y141" s="1074"/>
      <c r="Z141" s="1074"/>
      <c r="AA141" s="1074"/>
      <c r="AB141" s="1074"/>
      <c r="AC141" s="1074"/>
      <c r="AD141" s="1074"/>
      <c r="AE141" s="1074"/>
      <c r="AF141" s="1074"/>
      <c r="AG141" s="1074"/>
      <c r="AH141" s="1074"/>
      <c r="AI141" s="1074"/>
      <c r="AJ141" s="1074"/>
      <c r="AK141" s="1074"/>
      <c r="AL141" s="1074"/>
      <c r="AM141" s="1074"/>
      <c r="AN141" s="1074"/>
      <c r="AO141" s="1074"/>
      <c r="AP141" s="1074"/>
      <c r="AQ141" s="1074"/>
      <c r="AR141" s="1074"/>
      <c r="AS141" s="1074"/>
      <c r="AT141" s="1075"/>
    </row>
    <row r="142" ht="14.25" customHeight="1">
      <c r="A142" s="1116"/>
      <c r="B142" s="1120"/>
      <c r="C142" s="1100"/>
      <c r="D142" s="1100"/>
      <c r="E142" s="1100"/>
      <c r="F142" s="1100"/>
      <c r="G142" s="1100"/>
      <c r="H142" s="1100"/>
      <c r="I142" s="1100"/>
      <c r="J142" s="1100"/>
      <c r="K142" s="1074"/>
      <c r="L142" s="1074"/>
      <c r="M142" s="1074"/>
      <c r="N142" s="1074"/>
      <c r="O142" s="1074"/>
      <c r="P142" s="1074"/>
      <c r="Q142" s="1074"/>
      <c r="R142" s="1074"/>
      <c r="S142" s="1074"/>
      <c r="T142" s="1074"/>
      <c r="U142" s="1074"/>
      <c r="V142" s="1074"/>
      <c r="W142" s="1074"/>
      <c r="X142" s="1074"/>
      <c r="Y142" s="1074"/>
      <c r="Z142" s="1074"/>
      <c r="AA142" s="1074"/>
      <c r="AB142" s="1074"/>
      <c r="AC142" s="1074"/>
      <c r="AD142" s="1074"/>
      <c r="AE142" s="1074"/>
      <c r="AF142" s="1074"/>
      <c r="AG142" s="1074"/>
      <c r="AH142" s="1074"/>
      <c r="AI142" s="1074"/>
      <c r="AJ142" s="1074"/>
      <c r="AK142" s="1074"/>
      <c r="AL142" s="1074"/>
      <c r="AM142" s="1074"/>
      <c r="AN142" s="1074"/>
      <c r="AO142" s="1074"/>
      <c r="AP142" s="1074"/>
      <c r="AQ142" s="1074"/>
      <c r="AR142" s="1074"/>
      <c r="AS142" s="1074"/>
      <c r="AT142" s="1075"/>
    </row>
    <row r="143" ht="14.25" customHeight="1">
      <c r="A143" s="1116"/>
      <c r="B143" s="1120"/>
      <c r="C143" s="1100"/>
      <c r="D143" s="1100"/>
      <c r="E143" s="1100"/>
      <c r="F143" s="1100"/>
      <c r="G143" s="1100"/>
      <c r="H143" s="1100"/>
      <c r="I143" s="1100"/>
      <c r="J143" s="1100"/>
      <c r="K143" s="1074"/>
      <c r="L143" s="1074"/>
      <c r="M143" s="1074"/>
      <c r="N143" s="1074"/>
      <c r="O143" s="1074"/>
      <c r="P143" s="1074"/>
      <c r="Q143" s="1074"/>
      <c r="R143" s="1074"/>
      <c r="S143" s="1074"/>
      <c r="T143" s="1074"/>
      <c r="U143" s="1074"/>
      <c r="V143" s="1074"/>
      <c r="W143" s="1074"/>
      <c r="X143" s="1074"/>
      <c r="Y143" s="1074"/>
      <c r="Z143" s="1074"/>
      <c r="AA143" s="1074"/>
      <c r="AB143" s="1074"/>
      <c r="AC143" s="1074"/>
      <c r="AD143" s="1074"/>
      <c r="AE143" s="1074"/>
      <c r="AF143" s="1074"/>
      <c r="AG143" s="1074"/>
      <c r="AH143" s="1074"/>
      <c r="AI143" s="1074"/>
      <c r="AJ143" s="1074"/>
      <c r="AK143" s="1074"/>
      <c r="AL143" s="1074"/>
      <c r="AM143" s="1074"/>
      <c r="AN143" s="1074"/>
      <c r="AO143" s="1074"/>
      <c r="AP143" s="1074"/>
      <c r="AQ143" s="1074"/>
      <c r="AR143" s="1074"/>
      <c r="AS143" s="1074"/>
      <c r="AT143" s="1075"/>
    </row>
    <row r="144" ht="14.25" customHeight="1">
      <c r="A144" s="1116"/>
      <c r="B144" s="1120"/>
      <c r="C144" s="1100"/>
      <c r="D144" s="1100"/>
      <c r="E144" s="1100"/>
      <c r="F144" s="1100"/>
      <c r="G144" s="1100"/>
      <c r="H144" s="1100"/>
      <c r="I144" s="1100"/>
      <c r="J144" s="1100"/>
      <c r="K144" s="1074"/>
      <c r="L144" s="1074"/>
      <c r="M144" s="1074"/>
      <c r="N144" s="1074"/>
      <c r="O144" s="1074"/>
      <c r="P144" s="1074"/>
      <c r="Q144" s="1074"/>
      <c r="R144" s="1074"/>
      <c r="S144" s="1074"/>
      <c r="T144" s="1074"/>
      <c r="U144" s="1074"/>
      <c r="V144" s="1074"/>
      <c r="W144" s="1074"/>
      <c r="X144" s="1074"/>
      <c r="Y144" s="1074"/>
      <c r="Z144" s="1074"/>
      <c r="AA144" s="1074"/>
      <c r="AB144" s="1074"/>
      <c r="AC144" s="1074"/>
      <c r="AD144" s="1074"/>
      <c r="AE144" s="1074"/>
      <c r="AF144" s="1074"/>
      <c r="AG144" s="1074"/>
      <c r="AH144" s="1074"/>
      <c r="AI144" s="1074"/>
      <c r="AJ144" s="1074"/>
      <c r="AK144" s="1074"/>
      <c r="AL144" s="1074"/>
      <c r="AM144" s="1074"/>
      <c r="AN144" s="1074"/>
      <c r="AO144" s="1074"/>
      <c r="AP144" s="1074"/>
      <c r="AQ144" s="1074"/>
      <c r="AR144" s="1074"/>
      <c r="AS144" s="1074"/>
      <c r="AT144" s="1075"/>
    </row>
    <row r="145" ht="14.25" customHeight="1">
      <c r="A145" s="1116"/>
      <c r="B145" s="1120"/>
      <c r="C145" s="1100"/>
      <c r="D145" s="1100"/>
      <c r="E145" s="1100"/>
      <c r="F145" s="1100"/>
      <c r="G145" s="1100"/>
      <c r="H145" s="1100"/>
      <c r="I145" s="1100"/>
      <c r="J145" s="1100"/>
      <c r="K145" s="1074"/>
      <c r="L145" s="1074"/>
      <c r="M145" s="1074"/>
      <c r="N145" s="1074"/>
      <c r="O145" s="1074"/>
      <c r="P145" s="1074"/>
      <c r="Q145" s="1074"/>
      <c r="R145" s="1074"/>
      <c r="S145" s="1074"/>
      <c r="T145" s="1074"/>
      <c r="U145" s="1074"/>
      <c r="V145" s="1074"/>
      <c r="W145" s="1074"/>
      <c r="X145" s="1074"/>
      <c r="Y145" s="1074"/>
      <c r="Z145" s="1074"/>
      <c r="AA145" s="1074"/>
      <c r="AB145" s="1074"/>
      <c r="AC145" s="1074"/>
      <c r="AD145" s="1074"/>
      <c r="AE145" s="1074"/>
      <c r="AF145" s="1074"/>
      <c r="AG145" s="1074"/>
      <c r="AH145" s="1074"/>
      <c r="AI145" s="1074"/>
      <c r="AJ145" s="1074"/>
      <c r="AK145" s="1074"/>
      <c r="AL145" s="1074"/>
      <c r="AM145" s="1074"/>
      <c r="AN145" s="1074"/>
      <c r="AO145" s="1074"/>
      <c r="AP145" s="1074"/>
      <c r="AQ145" s="1074"/>
      <c r="AR145" s="1074"/>
      <c r="AS145" s="1074"/>
      <c r="AT145" s="1075"/>
    </row>
    <row r="146" ht="14.25" customHeight="1">
      <c r="A146" s="1116"/>
      <c r="B146" s="1120"/>
      <c r="C146" s="1100"/>
      <c r="D146" s="1100"/>
      <c r="E146" s="1100"/>
      <c r="F146" s="1100"/>
      <c r="G146" s="1100"/>
      <c r="H146" s="1100"/>
      <c r="I146" s="1100"/>
      <c r="J146" s="1100"/>
      <c r="K146" s="1074"/>
      <c r="L146" s="1074"/>
      <c r="M146" s="1074"/>
      <c r="N146" s="1074"/>
      <c r="O146" s="1074"/>
      <c r="P146" s="1074"/>
      <c r="Q146" s="1074"/>
      <c r="R146" s="1074"/>
      <c r="S146" s="1074"/>
      <c r="T146" s="1074"/>
      <c r="U146" s="1074"/>
      <c r="V146" s="1074"/>
      <c r="W146" s="1074"/>
      <c r="X146" s="1074"/>
      <c r="Y146" s="1074"/>
      <c r="Z146" s="1074"/>
      <c r="AA146" s="1074"/>
      <c r="AB146" s="1074"/>
      <c r="AC146" s="1074"/>
      <c r="AD146" s="1074"/>
      <c r="AE146" s="1074"/>
      <c r="AF146" s="1074"/>
      <c r="AG146" s="1074"/>
      <c r="AH146" s="1074"/>
      <c r="AI146" s="1074"/>
      <c r="AJ146" s="1074"/>
      <c r="AK146" s="1074"/>
      <c r="AL146" s="1074"/>
      <c r="AM146" s="1074"/>
      <c r="AN146" s="1074"/>
      <c r="AO146" s="1074"/>
      <c r="AP146" s="1074"/>
      <c r="AQ146" s="1074"/>
      <c r="AR146" s="1074"/>
      <c r="AS146" s="1074"/>
      <c r="AT146" s="1075"/>
    </row>
    <row r="147" ht="14.25" customHeight="1">
      <c r="A147" s="1116"/>
      <c r="B147" s="1120"/>
      <c r="C147" s="1100"/>
      <c r="D147" s="1100"/>
      <c r="E147" s="1100"/>
      <c r="F147" s="1100"/>
      <c r="G147" s="1100"/>
      <c r="H147" s="1100"/>
      <c r="I147" s="1100"/>
      <c r="J147" s="1100"/>
      <c r="K147" s="1074"/>
      <c r="L147" s="1074"/>
      <c r="M147" s="1074"/>
      <c r="N147" s="1074"/>
      <c r="O147" s="1074"/>
      <c r="P147" s="1074"/>
      <c r="Q147" s="1074"/>
      <c r="R147" s="1074"/>
      <c r="S147" s="1074"/>
      <c r="T147" s="1074"/>
      <c r="U147" s="1074"/>
      <c r="V147" s="1074"/>
      <c r="W147" s="1074"/>
      <c r="X147" s="1074"/>
      <c r="Y147" s="1074"/>
      <c r="Z147" s="1074"/>
      <c r="AA147" s="1074"/>
      <c r="AB147" s="1074"/>
      <c r="AC147" s="1074"/>
      <c r="AD147" s="1074"/>
      <c r="AE147" s="1074"/>
      <c r="AF147" s="1074"/>
      <c r="AG147" s="1074"/>
      <c r="AH147" s="1074"/>
      <c r="AI147" s="1074"/>
      <c r="AJ147" s="1074"/>
      <c r="AK147" s="1074"/>
      <c r="AL147" s="1074"/>
      <c r="AM147" s="1074"/>
      <c r="AN147" s="1074"/>
      <c r="AO147" s="1074"/>
      <c r="AP147" s="1074"/>
      <c r="AQ147" s="1074"/>
      <c r="AR147" s="1074"/>
      <c r="AS147" s="1074"/>
      <c r="AT147" s="1075"/>
    </row>
    <row r="148" ht="14.25" customHeight="1">
      <c r="A148" s="1116"/>
      <c r="B148" s="1120"/>
      <c r="C148" s="1100"/>
      <c r="D148" s="1100"/>
      <c r="E148" s="1100"/>
      <c r="F148" s="1100"/>
      <c r="G148" s="1100"/>
      <c r="H148" s="1100"/>
      <c r="I148" s="1100"/>
      <c r="J148" s="1100"/>
      <c r="K148" s="1074"/>
      <c r="L148" s="1074"/>
      <c r="M148" s="1074"/>
      <c r="N148" s="1074"/>
      <c r="O148" s="1074"/>
      <c r="P148" s="1074"/>
      <c r="Q148" s="1074"/>
      <c r="R148" s="1074"/>
      <c r="S148" s="1074"/>
      <c r="T148" s="1074"/>
      <c r="U148" s="1074"/>
      <c r="V148" s="1074"/>
      <c r="W148" s="1074"/>
      <c r="X148" s="1074"/>
      <c r="Y148" s="1074"/>
      <c r="Z148" s="1074"/>
      <c r="AA148" s="1074"/>
      <c r="AB148" s="1074"/>
      <c r="AC148" s="1074"/>
      <c r="AD148" s="1074"/>
      <c r="AE148" s="1074"/>
      <c r="AF148" s="1074"/>
      <c r="AG148" s="1074"/>
      <c r="AH148" s="1074"/>
      <c r="AI148" s="1074"/>
      <c r="AJ148" s="1074"/>
      <c r="AK148" s="1074"/>
      <c r="AL148" s="1074"/>
      <c r="AM148" s="1074"/>
      <c r="AN148" s="1074"/>
      <c r="AO148" s="1074"/>
      <c r="AP148" s="1074"/>
      <c r="AQ148" s="1074"/>
      <c r="AR148" s="1074"/>
      <c r="AS148" s="1074"/>
      <c r="AT148" s="1075"/>
    </row>
    <row r="149" ht="14.25" customHeight="1">
      <c r="A149" s="1116"/>
      <c r="B149" s="1120"/>
      <c r="C149" s="1100"/>
      <c r="D149" s="1100"/>
      <c r="E149" s="1100"/>
      <c r="F149" s="1100"/>
      <c r="G149" s="1100"/>
      <c r="H149" s="1100"/>
      <c r="I149" s="1100"/>
      <c r="J149" s="1100"/>
      <c r="K149" s="1074"/>
      <c r="L149" s="1074"/>
      <c r="M149" s="1074"/>
      <c r="N149" s="1074"/>
      <c r="O149" s="1074"/>
      <c r="P149" s="1074"/>
      <c r="Q149" s="1074"/>
      <c r="R149" s="1074"/>
      <c r="S149" s="1074"/>
      <c r="T149" s="1074"/>
      <c r="U149" s="1074"/>
      <c r="V149" s="1074"/>
      <c r="W149" s="1074"/>
      <c r="X149" s="1074"/>
      <c r="Y149" s="1074"/>
      <c r="Z149" s="1074"/>
      <c r="AA149" s="1074"/>
      <c r="AB149" s="1074"/>
      <c r="AC149" s="1074"/>
      <c r="AD149" s="1074"/>
      <c r="AE149" s="1074"/>
      <c r="AF149" s="1074"/>
      <c r="AG149" s="1074"/>
      <c r="AH149" s="1074"/>
      <c r="AI149" s="1074"/>
      <c r="AJ149" s="1074"/>
      <c r="AK149" s="1074"/>
      <c r="AL149" s="1074"/>
      <c r="AM149" s="1074"/>
      <c r="AN149" s="1074"/>
      <c r="AO149" s="1074"/>
      <c r="AP149" s="1074"/>
      <c r="AQ149" s="1074"/>
      <c r="AR149" s="1074"/>
      <c r="AS149" s="1074"/>
      <c r="AT149" s="1075"/>
    </row>
    <row r="150" ht="14.25" customHeight="1">
      <c r="A150" s="1116"/>
      <c r="B150" s="1120"/>
      <c r="C150" s="1100"/>
      <c r="D150" s="1100"/>
      <c r="E150" s="1100"/>
      <c r="F150" s="1100"/>
      <c r="G150" s="1100"/>
      <c r="H150" s="1100"/>
      <c r="I150" s="1100"/>
      <c r="J150" s="1100"/>
      <c r="K150" s="1074"/>
      <c r="L150" s="1074"/>
      <c r="M150" s="1074"/>
      <c r="N150" s="1074"/>
      <c r="O150" s="1074"/>
      <c r="P150" s="1074"/>
      <c r="Q150" s="1074"/>
      <c r="R150" s="1074"/>
      <c r="S150" s="1074"/>
      <c r="T150" s="1074"/>
      <c r="U150" s="1074"/>
      <c r="V150" s="1074"/>
      <c r="W150" s="1074"/>
      <c r="X150" s="1074"/>
      <c r="Y150" s="1074"/>
      <c r="Z150" s="1074"/>
      <c r="AA150" s="1074"/>
      <c r="AB150" s="1074"/>
      <c r="AC150" s="1074"/>
      <c r="AD150" s="1074"/>
      <c r="AE150" s="1074"/>
      <c r="AF150" s="1074"/>
      <c r="AG150" s="1074"/>
      <c r="AH150" s="1074"/>
      <c r="AI150" s="1074"/>
      <c r="AJ150" s="1074"/>
      <c r="AK150" s="1074"/>
      <c r="AL150" s="1074"/>
      <c r="AM150" s="1074"/>
      <c r="AN150" s="1074"/>
      <c r="AO150" s="1074"/>
      <c r="AP150" s="1074"/>
      <c r="AQ150" s="1074"/>
      <c r="AR150" s="1074"/>
      <c r="AS150" s="1074"/>
      <c r="AT150" s="1075"/>
    </row>
    <row r="151" ht="14.25" customHeight="1">
      <c r="A151" s="1116"/>
      <c r="B151" s="1120"/>
      <c r="C151" s="1100"/>
      <c r="D151" s="1100"/>
      <c r="E151" s="1100"/>
      <c r="F151" s="1100"/>
      <c r="G151" s="1100"/>
      <c r="H151" s="1100"/>
      <c r="I151" s="1100"/>
      <c r="J151" s="1100"/>
      <c r="K151" s="1074"/>
      <c r="L151" s="1074"/>
      <c r="M151" s="1074"/>
      <c r="N151" s="1074"/>
      <c r="O151" s="1074"/>
      <c r="P151" s="1074"/>
      <c r="Q151" s="1074"/>
      <c r="R151" s="1074"/>
      <c r="S151" s="1074"/>
      <c r="T151" s="1074"/>
      <c r="U151" s="1074"/>
      <c r="V151" s="1074"/>
      <c r="W151" s="1074"/>
      <c r="X151" s="1074"/>
      <c r="Y151" s="1074"/>
      <c r="Z151" s="1074"/>
      <c r="AA151" s="1074"/>
      <c r="AB151" s="1074"/>
      <c r="AC151" s="1074"/>
      <c r="AD151" s="1074"/>
      <c r="AE151" s="1074"/>
      <c r="AF151" s="1074"/>
      <c r="AG151" s="1074"/>
      <c r="AH151" s="1074"/>
      <c r="AI151" s="1074"/>
      <c r="AJ151" s="1074"/>
      <c r="AK151" s="1074"/>
      <c r="AL151" s="1074"/>
      <c r="AM151" s="1074"/>
      <c r="AN151" s="1074"/>
      <c r="AO151" s="1074"/>
      <c r="AP151" s="1074"/>
      <c r="AQ151" s="1074"/>
      <c r="AR151" s="1074"/>
      <c r="AS151" s="1074"/>
      <c r="AT151" s="1075"/>
    </row>
    <row r="152" ht="14.25" customHeight="1">
      <c r="A152" s="1116"/>
      <c r="B152" s="1120"/>
      <c r="C152" s="1100"/>
      <c r="D152" s="1100"/>
      <c r="E152" s="1100"/>
      <c r="F152" s="1100"/>
      <c r="G152" s="1100"/>
      <c r="H152" s="1100"/>
      <c r="I152" s="1100"/>
      <c r="J152" s="1100"/>
      <c r="K152" s="1074"/>
      <c r="L152" s="1074"/>
      <c r="M152" s="1074"/>
      <c r="N152" s="1074"/>
      <c r="O152" s="1074"/>
      <c r="P152" s="1074"/>
      <c r="Q152" s="1074"/>
      <c r="R152" s="1074"/>
      <c r="S152" s="1074"/>
      <c r="T152" s="1074"/>
      <c r="U152" s="1074"/>
      <c r="V152" s="1074"/>
      <c r="W152" s="1074"/>
      <c r="X152" s="1074"/>
      <c r="Y152" s="1074"/>
      <c r="Z152" s="1074"/>
      <c r="AA152" s="1074"/>
      <c r="AB152" s="1074"/>
      <c r="AC152" s="1074"/>
      <c r="AD152" s="1074"/>
      <c r="AE152" s="1074"/>
      <c r="AF152" s="1074"/>
      <c r="AG152" s="1074"/>
      <c r="AH152" s="1074"/>
      <c r="AI152" s="1074"/>
      <c r="AJ152" s="1074"/>
      <c r="AK152" s="1074"/>
      <c r="AL152" s="1074"/>
      <c r="AM152" s="1074"/>
      <c r="AN152" s="1074"/>
      <c r="AO152" s="1074"/>
      <c r="AP152" s="1074"/>
      <c r="AQ152" s="1074"/>
      <c r="AR152" s="1074"/>
      <c r="AS152" s="1074"/>
      <c r="AT152" s="1075"/>
    </row>
    <row r="153" ht="14.25" customHeight="1">
      <c r="A153" s="1116"/>
      <c r="B153" s="1120"/>
      <c r="C153" s="1100"/>
      <c r="D153" s="1100"/>
      <c r="E153" s="1100"/>
      <c r="F153" s="1100"/>
      <c r="G153" s="1100"/>
      <c r="H153" s="1100"/>
      <c r="I153" s="1100"/>
      <c r="J153" s="1100"/>
      <c r="K153" s="1074"/>
      <c r="L153" s="1074"/>
      <c r="M153" s="1074"/>
      <c r="N153" s="1074"/>
      <c r="O153" s="1074"/>
      <c r="P153" s="1074"/>
      <c r="Q153" s="1074"/>
      <c r="R153" s="1074"/>
      <c r="S153" s="1074"/>
      <c r="T153" s="1074"/>
      <c r="U153" s="1074"/>
      <c r="V153" s="1074"/>
      <c r="W153" s="1074"/>
      <c r="X153" s="1074"/>
      <c r="Y153" s="1074"/>
      <c r="Z153" s="1074"/>
      <c r="AA153" s="1074"/>
      <c r="AB153" s="1074"/>
      <c r="AC153" s="1074"/>
      <c r="AD153" s="1074"/>
      <c r="AE153" s="1074"/>
      <c r="AF153" s="1074"/>
      <c r="AG153" s="1074"/>
      <c r="AH153" s="1074"/>
      <c r="AI153" s="1074"/>
      <c r="AJ153" s="1074"/>
      <c r="AK153" s="1074"/>
      <c r="AL153" s="1074"/>
      <c r="AM153" s="1074"/>
      <c r="AN153" s="1074"/>
      <c r="AO153" s="1074"/>
      <c r="AP153" s="1074"/>
      <c r="AQ153" s="1074"/>
      <c r="AR153" s="1074"/>
      <c r="AS153" s="1074"/>
      <c r="AT153" s="1075"/>
    </row>
    <row r="154" ht="14.25" customHeight="1">
      <c r="A154" s="1116"/>
      <c r="B154" s="1120"/>
      <c r="C154" s="1100"/>
      <c r="D154" s="1100"/>
      <c r="E154" s="1100"/>
      <c r="F154" s="1100"/>
      <c r="G154" s="1100"/>
      <c r="H154" s="1100"/>
      <c r="I154" s="1100"/>
      <c r="J154" s="1100"/>
      <c r="K154" s="1074"/>
      <c r="L154" s="1074"/>
      <c r="M154" s="1074"/>
      <c r="N154" s="1074"/>
      <c r="O154" s="1074"/>
      <c r="P154" s="1074"/>
      <c r="Q154" s="1074"/>
      <c r="R154" s="1074"/>
      <c r="S154" s="1074"/>
      <c r="T154" s="1074"/>
      <c r="U154" s="1074"/>
      <c r="V154" s="1074"/>
      <c r="W154" s="1074"/>
      <c r="X154" s="1074"/>
      <c r="Y154" s="1074"/>
      <c r="Z154" s="1074"/>
      <c r="AA154" s="1074"/>
      <c r="AB154" s="1074"/>
      <c r="AC154" s="1074"/>
      <c r="AD154" s="1074"/>
      <c r="AE154" s="1074"/>
      <c r="AF154" s="1074"/>
      <c r="AG154" s="1074"/>
      <c r="AH154" s="1074"/>
      <c r="AI154" s="1074"/>
      <c r="AJ154" s="1074"/>
      <c r="AK154" s="1074"/>
      <c r="AL154" s="1074"/>
      <c r="AM154" s="1074"/>
      <c r="AN154" s="1074"/>
      <c r="AO154" s="1074"/>
      <c r="AP154" s="1074"/>
      <c r="AQ154" s="1074"/>
      <c r="AR154" s="1074"/>
      <c r="AS154" s="1074"/>
      <c r="AT154" s="1075"/>
    </row>
    <row r="155" ht="14.25" customHeight="1">
      <c r="A155" s="1116"/>
      <c r="B155" s="1120"/>
      <c r="C155" s="1100"/>
      <c r="D155" s="1100"/>
      <c r="E155" s="1100"/>
      <c r="F155" s="1100"/>
      <c r="G155" s="1100"/>
      <c r="H155" s="1100"/>
      <c r="I155" s="1100"/>
      <c r="J155" s="1100"/>
      <c r="K155" s="1074"/>
      <c r="L155" s="1074"/>
      <c r="M155" s="1074"/>
      <c r="N155" s="1074"/>
      <c r="O155" s="1074"/>
      <c r="P155" s="1074"/>
      <c r="Q155" s="1074"/>
      <c r="R155" s="1074"/>
      <c r="S155" s="1074"/>
      <c r="T155" s="1074"/>
      <c r="U155" s="1074"/>
      <c r="V155" s="1074"/>
      <c r="W155" s="1074"/>
      <c r="X155" s="1074"/>
      <c r="Y155" s="1074"/>
      <c r="Z155" s="1074"/>
      <c r="AA155" s="1074"/>
      <c r="AB155" s="1074"/>
      <c r="AC155" s="1074"/>
      <c r="AD155" s="1074"/>
      <c r="AE155" s="1074"/>
      <c r="AF155" s="1074"/>
      <c r="AG155" s="1074"/>
      <c r="AH155" s="1074"/>
      <c r="AI155" s="1074"/>
      <c r="AJ155" s="1074"/>
      <c r="AK155" s="1074"/>
      <c r="AL155" s="1074"/>
      <c r="AM155" s="1074"/>
      <c r="AN155" s="1074"/>
      <c r="AO155" s="1074"/>
      <c r="AP155" s="1074"/>
      <c r="AQ155" s="1074"/>
      <c r="AR155" s="1074"/>
      <c r="AS155" s="1074"/>
      <c r="AT155" s="1075"/>
    </row>
    <row r="156" ht="14.25" customHeight="1">
      <c r="A156" s="1116"/>
      <c r="B156" s="1120"/>
      <c r="C156" s="1100"/>
      <c r="D156" s="1100"/>
      <c r="E156" s="1100"/>
      <c r="F156" s="1100"/>
      <c r="G156" s="1100"/>
      <c r="H156" s="1100"/>
      <c r="I156" s="1100"/>
      <c r="J156" s="1100"/>
      <c r="K156" s="1074"/>
      <c r="L156" s="1074"/>
      <c r="M156" s="1074"/>
      <c r="N156" s="1074"/>
      <c r="O156" s="1074"/>
      <c r="P156" s="1074"/>
      <c r="Q156" s="1074"/>
      <c r="R156" s="1074"/>
      <c r="S156" s="1074"/>
      <c r="T156" s="1074"/>
      <c r="U156" s="1074"/>
      <c r="V156" s="1074"/>
      <c r="W156" s="1074"/>
      <c r="X156" s="1074"/>
      <c r="Y156" s="1074"/>
      <c r="Z156" s="1074"/>
      <c r="AA156" s="1074"/>
      <c r="AB156" s="1074"/>
      <c r="AC156" s="1074"/>
      <c r="AD156" s="1074"/>
      <c r="AE156" s="1074"/>
      <c r="AF156" s="1074"/>
      <c r="AG156" s="1074"/>
      <c r="AH156" s="1074"/>
      <c r="AI156" s="1074"/>
      <c r="AJ156" s="1074"/>
      <c r="AK156" s="1074"/>
      <c r="AL156" s="1074"/>
      <c r="AM156" s="1074"/>
      <c r="AN156" s="1074"/>
      <c r="AO156" s="1074"/>
      <c r="AP156" s="1074"/>
      <c r="AQ156" s="1074"/>
      <c r="AR156" s="1074"/>
      <c r="AS156" s="1074"/>
      <c r="AT156" s="1075"/>
    </row>
    <row r="157" ht="14.25" customHeight="1">
      <c r="A157" s="1116"/>
      <c r="B157" s="1120"/>
      <c r="C157" s="1100"/>
      <c r="D157" s="1100"/>
      <c r="E157" s="1100"/>
      <c r="F157" s="1100"/>
      <c r="G157" s="1100"/>
      <c r="H157" s="1100"/>
      <c r="I157" s="1100"/>
      <c r="J157" s="1100"/>
      <c r="K157" s="1074"/>
      <c r="L157" s="1074"/>
      <c r="M157" s="1074"/>
      <c r="N157" s="1074"/>
      <c r="O157" s="1074"/>
      <c r="P157" s="1074"/>
      <c r="Q157" s="1074"/>
      <c r="R157" s="1074"/>
      <c r="S157" s="1074"/>
      <c r="T157" s="1074"/>
      <c r="U157" s="1074"/>
      <c r="V157" s="1074"/>
      <c r="W157" s="1074"/>
      <c r="X157" s="1074"/>
      <c r="Y157" s="1074"/>
      <c r="Z157" s="1074"/>
      <c r="AA157" s="1074"/>
      <c r="AB157" s="1074"/>
      <c r="AC157" s="1074"/>
      <c r="AD157" s="1074"/>
      <c r="AE157" s="1074"/>
      <c r="AF157" s="1074"/>
      <c r="AG157" s="1074"/>
      <c r="AH157" s="1074"/>
      <c r="AI157" s="1074"/>
      <c r="AJ157" s="1074"/>
      <c r="AK157" s="1074"/>
      <c r="AL157" s="1074"/>
      <c r="AM157" s="1074"/>
      <c r="AN157" s="1074"/>
      <c r="AO157" s="1074"/>
      <c r="AP157" s="1074"/>
      <c r="AQ157" s="1074"/>
      <c r="AR157" s="1074"/>
      <c r="AS157" s="1074"/>
      <c r="AT157" s="1075"/>
    </row>
    <row r="158" ht="14.25" customHeight="1">
      <c r="A158" s="1116"/>
      <c r="B158" s="1120"/>
      <c r="C158" s="1100"/>
      <c r="D158" s="1100"/>
      <c r="E158" s="1100"/>
      <c r="F158" s="1100"/>
      <c r="G158" s="1100"/>
      <c r="H158" s="1100"/>
      <c r="I158" s="1100"/>
      <c r="J158" s="1100"/>
      <c r="K158" s="1074"/>
      <c r="L158" s="1074"/>
      <c r="M158" s="1074"/>
      <c r="N158" s="1074"/>
      <c r="O158" s="1074"/>
      <c r="P158" s="1074"/>
      <c r="Q158" s="1074"/>
      <c r="R158" s="1074"/>
      <c r="S158" s="1074"/>
      <c r="T158" s="1074"/>
      <c r="U158" s="1074"/>
      <c r="V158" s="1074"/>
      <c r="W158" s="1074"/>
      <c r="X158" s="1074"/>
      <c r="Y158" s="1074"/>
      <c r="Z158" s="1074"/>
      <c r="AA158" s="1074"/>
      <c r="AB158" s="1074"/>
      <c r="AC158" s="1074"/>
      <c r="AD158" s="1074"/>
      <c r="AE158" s="1074"/>
      <c r="AF158" s="1074"/>
      <c r="AG158" s="1074"/>
      <c r="AH158" s="1074"/>
      <c r="AI158" s="1074"/>
      <c r="AJ158" s="1074"/>
      <c r="AK158" s="1074"/>
      <c r="AL158" s="1074"/>
      <c r="AM158" s="1074"/>
      <c r="AN158" s="1074"/>
      <c r="AO158" s="1074"/>
      <c r="AP158" s="1074"/>
      <c r="AQ158" s="1074"/>
      <c r="AR158" s="1074"/>
      <c r="AS158" s="1074"/>
      <c r="AT158" s="1075"/>
    </row>
    <row r="159" ht="14.25" customHeight="1">
      <c r="A159" s="1116"/>
      <c r="B159" s="1120"/>
      <c r="C159" s="1100"/>
      <c r="D159" s="1100"/>
      <c r="E159" s="1100"/>
      <c r="F159" s="1100"/>
      <c r="G159" s="1100"/>
      <c r="H159" s="1100"/>
      <c r="I159" s="1100"/>
      <c r="J159" s="1100"/>
      <c r="K159" s="1074"/>
      <c r="L159" s="1074"/>
      <c r="M159" s="1074"/>
      <c r="N159" s="1074"/>
      <c r="O159" s="1074"/>
      <c r="P159" s="1074"/>
      <c r="Q159" s="1074"/>
      <c r="R159" s="1074"/>
      <c r="S159" s="1074"/>
      <c r="T159" s="1074"/>
      <c r="U159" s="1074"/>
      <c r="V159" s="1074"/>
      <c r="W159" s="1074"/>
      <c r="X159" s="1074"/>
      <c r="Y159" s="1074"/>
      <c r="Z159" s="1074"/>
      <c r="AA159" s="1074"/>
      <c r="AB159" s="1074"/>
      <c r="AC159" s="1074"/>
      <c r="AD159" s="1074"/>
      <c r="AE159" s="1074"/>
      <c r="AF159" s="1074"/>
      <c r="AG159" s="1074"/>
      <c r="AH159" s="1074"/>
      <c r="AI159" s="1074"/>
      <c r="AJ159" s="1074"/>
      <c r="AK159" s="1074"/>
      <c r="AL159" s="1074"/>
      <c r="AM159" s="1074"/>
      <c r="AN159" s="1074"/>
      <c r="AO159" s="1074"/>
      <c r="AP159" s="1074"/>
      <c r="AQ159" s="1074"/>
      <c r="AR159" s="1074"/>
      <c r="AS159" s="1074"/>
      <c r="AT159" s="1075"/>
    </row>
    <row r="160" ht="14.25" customHeight="1">
      <c r="A160" s="1116"/>
      <c r="B160" s="1120"/>
      <c r="C160" s="1100"/>
      <c r="D160" s="1100"/>
      <c r="E160" s="1100"/>
      <c r="F160" s="1100"/>
      <c r="G160" s="1100"/>
      <c r="H160" s="1100"/>
      <c r="I160" s="1100"/>
      <c r="J160" s="1100"/>
      <c r="K160" s="1074"/>
      <c r="L160" s="1074"/>
      <c r="M160" s="1074"/>
      <c r="N160" s="1074"/>
      <c r="O160" s="1074"/>
      <c r="P160" s="1074"/>
      <c r="Q160" s="1074"/>
      <c r="R160" s="1074"/>
      <c r="S160" s="1074"/>
      <c r="T160" s="1074"/>
      <c r="U160" s="1074"/>
      <c r="V160" s="1074"/>
      <c r="W160" s="1074"/>
      <c r="X160" s="1074"/>
      <c r="Y160" s="1074"/>
      <c r="Z160" s="1074"/>
      <c r="AA160" s="1074"/>
      <c r="AB160" s="1074"/>
      <c r="AC160" s="1074"/>
      <c r="AD160" s="1074"/>
      <c r="AE160" s="1074"/>
      <c r="AF160" s="1074"/>
      <c r="AG160" s="1074"/>
      <c r="AH160" s="1074"/>
      <c r="AI160" s="1074"/>
      <c r="AJ160" s="1074"/>
      <c r="AK160" s="1074"/>
      <c r="AL160" s="1074"/>
      <c r="AM160" s="1074"/>
      <c r="AN160" s="1074"/>
      <c r="AO160" s="1074"/>
      <c r="AP160" s="1074"/>
      <c r="AQ160" s="1074"/>
      <c r="AR160" s="1074"/>
      <c r="AS160" s="1074"/>
      <c r="AT160" s="1075"/>
    </row>
    <row r="161" ht="14.25" customHeight="1">
      <c r="A161" s="1116"/>
      <c r="B161" s="1120"/>
      <c r="C161" s="1100"/>
      <c r="D161" s="1100"/>
      <c r="E161" s="1100"/>
      <c r="F161" s="1100"/>
      <c r="G161" s="1100"/>
      <c r="H161" s="1100"/>
      <c r="I161" s="1100"/>
      <c r="J161" s="1100"/>
      <c r="K161" s="1074"/>
      <c r="L161" s="1074"/>
      <c r="M161" s="1074"/>
      <c r="N161" s="1074"/>
      <c r="O161" s="1074"/>
      <c r="P161" s="1074"/>
      <c r="Q161" s="1074"/>
      <c r="R161" s="1074"/>
      <c r="S161" s="1074"/>
      <c r="T161" s="1074"/>
      <c r="U161" s="1074"/>
      <c r="V161" s="1074"/>
      <c r="W161" s="1074"/>
      <c r="X161" s="1074"/>
      <c r="Y161" s="1074"/>
      <c r="Z161" s="1074"/>
      <c r="AA161" s="1074"/>
      <c r="AB161" s="1074"/>
      <c r="AC161" s="1074"/>
      <c r="AD161" s="1074"/>
      <c r="AE161" s="1074"/>
      <c r="AF161" s="1074"/>
      <c r="AG161" s="1074"/>
      <c r="AH161" s="1074"/>
      <c r="AI161" s="1074"/>
      <c r="AJ161" s="1074"/>
      <c r="AK161" s="1074"/>
      <c r="AL161" s="1074"/>
      <c r="AM161" s="1074"/>
      <c r="AN161" s="1074"/>
      <c r="AO161" s="1074"/>
      <c r="AP161" s="1074"/>
      <c r="AQ161" s="1074"/>
      <c r="AR161" s="1074"/>
      <c r="AS161" s="1074"/>
      <c r="AT161" s="1075"/>
    </row>
    <row r="162" ht="14.25" customHeight="1">
      <c r="A162" s="1116"/>
      <c r="B162" s="1120"/>
      <c r="C162" s="1100"/>
      <c r="D162" s="1100"/>
      <c r="E162" s="1100"/>
      <c r="F162" s="1100"/>
      <c r="G162" s="1100"/>
      <c r="H162" s="1100"/>
      <c r="I162" s="1100"/>
      <c r="J162" s="1100"/>
      <c r="K162" s="1074"/>
      <c r="L162" s="1074"/>
      <c r="M162" s="1074"/>
      <c r="N162" s="1074"/>
      <c r="O162" s="1074"/>
      <c r="P162" s="1074"/>
      <c r="Q162" s="1074"/>
      <c r="R162" s="1074"/>
      <c r="S162" s="1074"/>
      <c r="T162" s="1074"/>
      <c r="U162" s="1074"/>
      <c r="V162" s="1074"/>
      <c r="W162" s="1074"/>
      <c r="X162" s="1074"/>
      <c r="Y162" s="1074"/>
      <c r="Z162" s="1074"/>
      <c r="AA162" s="1074"/>
      <c r="AB162" s="1074"/>
      <c r="AC162" s="1074"/>
      <c r="AD162" s="1074"/>
      <c r="AE162" s="1074"/>
      <c r="AF162" s="1074"/>
      <c r="AG162" s="1074"/>
      <c r="AH162" s="1074"/>
      <c r="AI162" s="1074"/>
      <c r="AJ162" s="1074"/>
      <c r="AK162" s="1074"/>
      <c r="AL162" s="1074"/>
      <c r="AM162" s="1074"/>
      <c r="AN162" s="1074"/>
      <c r="AO162" s="1074"/>
      <c r="AP162" s="1074"/>
      <c r="AQ162" s="1074"/>
      <c r="AR162" s="1074"/>
      <c r="AS162" s="1074"/>
      <c r="AT162" s="1075"/>
    </row>
    <row r="163" ht="14.25" customHeight="1">
      <c r="A163" s="1116"/>
      <c r="B163" s="1120"/>
      <c r="C163" s="1100"/>
      <c r="D163" s="1100"/>
      <c r="E163" s="1100"/>
      <c r="F163" s="1100"/>
      <c r="G163" s="1100"/>
      <c r="H163" s="1100"/>
      <c r="I163" s="1100"/>
      <c r="J163" s="1100"/>
      <c r="K163" s="1074"/>
      <c r="L163" s="1074"/>
      <c r="M163" s="1074"/>
      <c r="N163" s="1074"/>
      <c r="O163" s="1074"/>
      <c r="P163" s="1074"/>
      <c r="Q163" s="1074"/>
      <c r="R163" s="1074"/>
      <c r="S163" s="1074"/>
      <c r="T163" s="1074"/>
      <c r="U163" s="1074"/>
      <c r="V163" s="1074"/>
      <c r="W163" s="1074"/>
      <c r="X163" s="1074"/>
      <c r="Y163" s="1074"/>
      <c r="Z163" s="1074"/>
      <c r="AA163" s="1074"/>
      <c r="AB163" s="1074"/>
      <c r="AC163" s="1074"/>
      <c r="AD163" s="1074"/>
      <c r="AE163" s="1074"/>
      <c r="AF163" s="1074"/>
      <c r="AG163" s="1074"/>
      <c r="AH163" s="1074"/>
      <c r="AI163" s="1074"/>
      <c r="AJ163" s="1074"/>
      <c r="AK163" s="1074"/>
      <c r="AL163" s="1074"/>
      <c r="AM163" s="1074"/>
      <c r="AN163" s="1074"/>
      <c r="AO163" s="1074"/>
      <c r="AP163" s="1074"/>
      <c r="AQ163" s="1074"/>
      <c r="AR163" s="1074"/>
      <c r="AS163" s="1074"/>
      <c r="AT163" s="1075"/>
    </row>
    <row r="164" ht="14.25" customHeight="1">
      <c r="A164" s="1116"/>
      <c r="B164" s="1120"/>
      <c r="C164" s="1100"/>
      <c r="D164" s="1100"/>
      <c r="E164" s="1100"/>
      <c r="F164" s="1100"/>
      <c r="G164" s="1100"/>
      <c r="H164" s="1100"/>
      <c r="I164" s="1100"/>
      <c r="J164" s="1100"/>
      <c r="K164" s="1074"/>
      <c r="L164" s="1074"/>
      <c r="M164" s="1074"/>
      <c r="N164" s="1074"/>
      <c r="O164" s="1074"/>
      <c r="P164" s="1074"/>
      <c r="Q164" s="1074"/>
      <c r="R164" s="1074"/>
      <c r="S164" s="1074"/>
      <c r="T164" s="1074"/>
      <c r="U164" s="1074"/>
      <c r="V164" s="1074"/>
      <c r="W164" s="1074"/>
      <c r="X164" s="1074"/>
      <c r="Y164" s="1074"/>
      <c r="Z164" s="1074"/>
      <c r="AA164" s="1074"/>
      <c r="AB164" s="1074"/>
      <c r="AC164" s="1074"/>
      <c r="AD164" s="1074"/>
      <c r="AE164" s="1074"/>
      <c r="AF164" s="1074"/>
      <c r="AG164" s="1074"/>
      <c r="AH164" s="1074"/>
      <c r="AI164" s="1074"/>
      <c r="AJ164" s="1074"/>
      <c r="AK164" s="1074"/>
      <c r="AL164" s="1074"/>
      <c r="AM164" s="1074"/>
      <c r="AN164" s="1074"/>
      <c r="AO164" s="1074"/>
      <c r="AP164" s="1074"/>
      <c r="AQ164" s="1074"/>
      <c r="AR164" s="1074"/>
      <c r="AS164" s="1074"/>
      <c r="AT164" s="1075"/>
    </row>
    <row r="165" ht="14.25" customHeight="1">
      <c r="A165" s="1116"/>
      <c r="B165" s="1120"/>
      <c r="C165" s="1100"/>
      <c r="D165" s="1100"/>
      <c r="E165" s="1100"/>
      <c r="F165" s="1100"/>
      <c r="G165" s="1100"/>
      <c r="H165" s="1100"/>
      <c r="I165" s="1100"/>
      <c r="J165" s="1100"/>
      <c r="K165" s="1074"/>
      <c r="L165" s="1074"/>
      <c r="M165" s="1074"/>
      <c r="N165" s="1074"/>
      <c r="O165" s="1074"/>
      <c r="P165" s="1074"/>
      <c r="Q165" s="1074"/>
      <c r="R165" s="1074"/>
      <c r="S165" s="1074"/>
      <c r="T165" s="1074"/>
      <c r="U165" s="1074"/>
      <c r="V165" s="1074"/>
      <c r="W165" s="1074"/>
      <c r="X165" s="1074"/>
      <c r="Y165" s="1074"/>
      <c r="Z165" s="1074"/>
      <c r="AA165" s="1074"/>
      <c r="AB165" s="1074"/>
      <c r="AC165" s="1074"/>
      <c r="AD165" s="1074"/>
      <c r="AE165" s="1074"/>
      <c r="AF165" s="1074"/>
      <c r="AG165" s="1074"/>
      <c r="AH165" s="1074"/>
      <c r="AI165" s="1074"/>
      <c r="AJ165" s="1074"/>
      <c r="AK165" s="1074"/>
      <c r="AL165" s="1074"/>
      <c r="AM165" s="1074"/>
      <c r="AN165" s="1074"/>
      <c r="AO165" s="1074"/>
      <c r="AP165" s="1074"/>
      <c r="AQ165" s="1074"/>
      <c r="AR165" s="1074"/>
      <c r="AS165" s="1074"/>
      <c r="AT165" s="1075"/>
    </row>
    <row r="166" ht="14.25" customHeight="1">
      <c r="A166" s="1116"/>
      <c r="B166" s="1120"/>
      <c r="C166" s="1100"/>
      <c r="D166" s="1100"/>
      <c r="E166" s="1100"/>
      <c r="F166" s="1100"/>
      <c r="G166" s="1100"/>
      <c r="H166" s="1100"/>
      <c r="I166" s="1100"/>
      <c r="J166" s="1100"/>
      <c r="K166" s="1074"/>
      <c r="L166" s="1074"/>
      <c r="M166" s="1074"/>
      <c r="N166" s="1074"/>
      <c r="O166" s="1074"/>
      <c r="P166" s="1074"/>
      <c r="Q166" s="1074"/>
      <c r="R166" s="1074"/>
      <c r="S166" s="1074"/>
      <c r="T166" s="1074"/>
      <c r="U166" s="1074"/>
      <c r="V166" s="1074"/>
      <c r="W166" s="1074"/>
      <c r="X166" s="1074"/>
      <c r="Y166" s="1074"/>
      <c r="Z166" s="1074"/>
      <c r="AA166" s="1074"/>
      <c r="AB166" s="1074"/>
      <c r="AC166" s="1074"/>
      <c r="AD166" s="1074"/>
      <c r="AE166" s="1074"/>
      <c r="AF166" s="1074"/>
      <c r="AG166" s="1074"/>
      <c r="AH166" s="1074"/>
      <c r="AI166" s="1074"/>
      <c r="AJ166" s="1074"/>
      <c r="AK166" s="1074"/>
      <c r="AL166" s="1074"/>
      <c r="AM166" s="1074"/>
      <c r="AN166" s="1074"/>
      <c r="AO166" s="1074"/>
      <c r="AP166" s="1074"/>
      <c r="AQ166" s="1074"/>
      <c r="AR166" s="1074"/>
      <c r="AS166" s="1074"/>
      <c r="AT166" s="1075"/>
    </row>
    <row r="167" ht="14.25" customHeight="1">
      <c r="A167" s="1116"/>
      <c r="B167" s="1120"/>
      <c r="C167" s="1100"/>
      <c r="D167" s="1100"/>
      <c r="E167" s="1100"/>
      <c r="F167" s="1100"/>
      <c r="G167" s="1100"/>
      <c r="H167" s="1100"/>
      <c r="I167" s="1100"/>
      <c r="J167" s="1100"/>
      <c r="K167" s="1074"/>
      <c r="L167" s="1074"/>
      <c r="M167" s="1074"/>
      <c r="N167" s="1074"/>
      <c r="O167" s="1074"/>
      <c r="P167" s="1074"/>
      <c r="Q167" s="1074"/>
      <c r="R167" s="1074"/>
      <c r="S167" s="1074"/>
      <c r="T167" s="1074"/>
      <c r="U167" s="1074"/>
      <c r="V167" s="1074"/>
      <c r="W167" s="1074"/>
      <c r="X167" s="1074"/>
      <c r="Y167" s="1074"/>
      <c r="Z167" s="1074"/>
      <c r="AA167" s="1074"/>
      <c r="AB167" s="1074"/>
      <c r="AC167" s="1074"/>
      <c r="AD167" s="1074"/>
      <c r="AE167" s="1074"/>
      <c r="AF167" s="1074"/>
      <c r="AG167" s="1074"/>
      <c r="AH167" s="1074"/>
      <c r="AI167" s="1074"/>
      <c r="AJ167" s="1074"/>
      <c r="AK167" s="1074"/>
      <c r="AL167" s="1074"/>
      <c r="AM167" s="1074"/>
      <c r="AN167" s="1074"/>
      <c r="AO167" s="1074"/>
      <c r="AP167" s="1074"/>
      <c r="AQ167" s="1074"/>
      <c r="AR167" s="1074"/>
      <c r="AS167" s="1074"/>
      <c r="AT167" s="1075"/>
    </row>
    <row r="168" ht="14.25" customHeight="1">
      <c r="A168" s="1116"/>
      <c r="B168" s="1120"/>
      <c r="C168" s="1100"/>
      <c r="D168" s="1100"/>
      <c r="E168" s="1100"/>
      <c r="F168" s="1100"/>
      <c r="G168" s="1100"/>
      <c r="H168" s="1100"/>
      <c r="I168" s="1100"/>
      <c r="J168" s="1100"/>
      <c r="K168" s="1074"/>
      <c r="L168" s="1074"/>
      <c r="M168" s="1074"/>
      <c r="N168" s="1074"/>
      <c r="O168" s="1074"/>
      <c r="P168" s="1074"/>
      <c r="Q168" s="1074"/>
      <c r="R168" s="1074"/>
      <c r="S168" s="1074"/>
      <c r="T168" s="1074"/>
      <c r="U168" s="1074"/>
      <c r="V168" s="1074"/>
      <c r="W168" s="1074"/>
      <c r="X168" s="1074"/>
      <c r="Y168" s="1074"/>
      <c r="Z168" s="1074"/>
      <c r="AA168" s="1074"/>
      <c r="AB168" s="1074"/>
      <c r="AC168" s="1074"/>
      <c r="AD168" s="1074"/>
      <c r="AE168" s="1074"/>
      <c r="AF168" s="1074"/>
      <c r="AG168" s="1074"/>
      <c r="AH168" s="1074"/>
      <c r="AI168" s="1074"/>
      <c r="AJ168" s="1074"/>
      <c r="AK168" s="1074"/>
      <c r="AL168" s="1074"/>
      <c r="AM168" s="1074"/>
      <c r="AN168" s="1074"/>
      <c r="AO168" s="1074"/>
      <c r="AP168" s="1074"/>
      <c r="AQ168" s="1074"/>
      <c r="AR168" s="1074"/>
      <c r="AS168" s="1074"/>
      <c r="AT168" s="1075"/>
    </row>
    <row r="169" ht="14.25" customHeight="1">
      <c r="A169" s="1116"/>
      <c r="B169" s="1120"/>
      <c r="C169" s="1100"/>
      <c r="D169" s="1100"/>
      <c r="E169" s="1100"/>
      <c r="F169" s="1100"/>
      <c r="G169" s="1100"/>
      <c r="H169" s="1100"/>
      <c r="I169" s="1100"/>
      <c r="J169" s="1100"/>
      <c r="K169" s="1074"/>
      <c r="L169" s="1074"/>
      <c r="M169" s="1074"/>
      <c r="N169" s="1074"/>
      <c r="O169" s="1074"/>
      <c r="P169" s="1074"/>
      <c r="Q169" s="1074"/>
      <c r="R169" s="1074"/>
      <c r="S169" s="1074"/>
      <c r="T169" s="1074"/>
      <c r="U169" s="1074"/>
      <c r="V169" s="1074"/>
      <c r="W169" s="1074"/>
      <c r="X169" s="1074"/>
      <c r="Y169" s="1074"/>
      <c r="Z169" s="1074"/>
      <c r="AA169" s="1074"/>
      <c r="AB169" s="1074"/>
      <c r="AC169" s="1074"/>
      <c r="AD169" s="1074"/>
      <c r="AE169" s="1074"/>
      <c r="AF169" s="1074"/>
      <c r="AG169" s="1074"/>
      <c r="AH169" s="1074"/>
      <c r="AI169" s="1074"/>
      <c r="AJ169" s="1074"/>
      <c r="AK169" s="1074"/>
      <c r="AL169" s="1074"/>
      <c r="AM169" s="1074"/>
      <c r="AN169" s="1074"/>
      <c r="AO169" s="1074"/>
      <c r="AP169" s="1074"/>
      <c r="AQ169" s="1074"/>
      <c r="AR169" s="1074"/>
      <c r="AS169" s="1074"/>
      <c r="AT169" s="1075"/>
    </row>
    <row r="170" ht="14.25" customHeight="1">
      <c r="A170" s="1116"/>
      <c r="B170" s="1120"/>
      <c r="C170" s="1100"/>
      <c r="D170" s="1100"/>
      <c r="E170" s="1100"/>
      <c r="F170" s="1100"/>
      <c r="G170" s="1100"/>
      <c r="H170" s="1100"/>
      <c r="I170" s="1100"/>
      <c r="J170" s="1100"/>
      <c r="K170" s="1074"/>
      <c r="L170" s="1074"/>
      <c r="M170" s="1074"/>
      <c r="N170" s="1074"/>
      <c r="O170" s="1074"/>
      <c r="P170" s="1074"/>
      <c r="Q170" s="1074"/>
      <c r="R170" s="1074"/>
      <c r="S170" s="1074"/>
      <c r="T170" s="1074"/>
      <c r="U170" s="1074"/>
      <c r="V170" s="1074"/>
      <c r="W170" s="1074"/>
      <c r="X170" s="1074"/>
      <c r="Y170" s="1074"/>
      <c r="Z170" s="1074"/>
      <c r="AA170" s="1074"/>
      <c r="AB170" s="1074"/>
      <c r="AC170" s="1074"/>
      <c r="AD170" s="1074"/>
      <c r="AE170" s="1074"/>
      <c r="AF170" s="1074"/>
      <c r="AG170" s="1074"/>
      <c r="AH170" s="1074"/>
      <c r="AI170" s="1074"/>
      <c r="AJ170" s="1074"/>
      <c r="AK170" s="1074"/>
      <c r="AL170" s="1074"/>
      <c r="AM170" s="1074"/>
      <c r="AN170" s="1074"/>
      <c r="AO170" s="1074"/>
      <c r="AP170" s="1074"/>
      <c r="AQ170" s="1074"/>
      <c r="AR170" s="1074"/>
      <c r="AS170" s="1074"/>
      <c r="AT170" s="1075"/>
    </row>
    <row r="171" ht="14.25" customHeight="1">
      <c r="A171" s="1116"/>
      <c r="B171" s="1120"/>
      <c r="C171" s="1100"/>
      <c r="D171" s="1100"/>
      <c r="E171" s="1100"/>
      <c r="F171" s="1100"/>
      <c r="G171" s="1100"/>
      <c r="H171" s="1100"/>
      <c r="I171" s="1100"/>
      <c r="J171" s="1100"/>
      <c r="K171" s="1074"/>
      <c r="L171" s="1074"/>
      <c r="M171" s="1074"/>
      <c r="N171" s="1074"/>
      <c r="O171" s="1074"/>
      <c r="P171" s="1074"/>
      <c r="Q171" s="1074"/>
      <c r="R171" s="1074"/>
      <c r="S171" s="1074"/>
      <c r="T171" s="1074"/>
      <c r="U171" s="1074"/>
      <c r="V171" s="1074"/>
      <c r="W171" s="1074"/>
      <c r="X171" s="1074"/>
      <c r="Y171" s="1074"/>
      <c r="Z171" s="1074"/>
      <c r="AA171" s="1074"/>
      <c r="AB171" s="1074"/>
      <c r="AC171" s="1074"/>
      <c r="AD171" s="1074"/>
      <c r="AE171" s="1074"/>
      <c r="AF171" s="1074"/>
      <c r="AG171" s="1074"/>
      <c r="AH171" s="1074"/>
      <c r="AI171" s="1074"/>
      <c r="AJ171" s="1074"/>
      <c r="AK171" s="1074"/>
      <c r="AL171" s="1074"/>
      <c r="AM171" s="1074"/>
      <c r="AN171" s="1074"/>
      <c r="AO171" s="1074"/>
      <c r="AP171" s="1074"/>
      <c r="AQ171" s="1074"/>
      <c r="AR171" s="1074"/>
      <c r="AS171" s="1074"/>
      <c r="AT171" s="1075"/>
    </row>
    <row r="172" ht="14.25" customHeight="1">
      <c r="A172" s="1116"/>
      <c r="B172" s="1120"/>
      <c r="C172" s="1100"/>
      <c r="D172" s="1100"/>
      <c r="E172" s="1100"/>
      <c r="F172" s="1100"/>
      <c r="G172" s="1100"/>
      <c r="H172" s="1100"/>
      <c r="I172" s="1100"/>
      <c r="J172" s="1100"/>
      <c r="K172" s="1074"/>
      <c r="L172" s="1074"/>
      <c r="M172" s="1074"/>
      <c r="N172" s="1074"/>
      <c r="O172" s="1074"/>
      <c r="P172" s="1074"/>
      <c r="Q172" s="1074"/>
      <c r="R172" s="1074"/>
      <c r="S172" s="1074"/>
      <c r="T172" s="1074"/>
      <c r="U172" s="1074"/>
      <c r="V172" s="1074"/>
      <c r="W172" s="1074"/>
      <c r="X172" s="1074"/>
      <c r="Y172" s="1074"/>
      <c r="Z172" s="1074"/>
      <c r="AA172" s="1074"/>
      <c r="AB172" s="1074"/>
      <c r="AC172" s="1074"/>
      <c r="AD172" s="1074"/>
      <c r="AE172" s="1074"/>
      <c r="AF172" s="1074"/>
      <c r="AG172" s="1074"/>
      <c r="AH172" s="1074"/>
      <c r="AI172" s="1074"/>
      <c r="AJ172" s="1074"/>
      <c r="AK172" s="1074"/>
      <c r="AL172" s="1074"/>
      <c r="AM172" s="1074"/>
      <c r="AN172" s="1074"/>
      <c r="AO172" s="1074"/>
      <c r="AP172" s="1074"/>
      <c r="AQ172" s="1074"/>
      <c r="AR172" s="1074"/>
      <c r="AS172" s="1074"/>
      <c r="AT172" s="1075"/>
    </row>
    <row r="173" ht="14.25" customHeight="1">
      <c r="A173" s="1116"/>
      <c r="B173" s="1120"/>
      <c r="C173" s="1100"/>
      <c r="D173" s="1100"/>
      <c r="E173" s="1100"/>
      <c r="F173" s="1100"/>
      <c r="G173" s="1100"/>
      <c r="H173" s="1100"/>
      <c r="I173" s="1100"/>
      <c r="J173" s="1100"/>
      <c r="K173" s="1074"/>
      <c r="L173" s="1074"/>
      <c r="M173" s="1074"/>
      <c r="N173" s="1074"/>
      <c r="O173" s="1074"/>
      <c r="P173" s="1074"/>
      <c r="Q173" s="1074"/>
      <c r="R173" s="1074"/>
      <c r="S173" s="1074"/>
      <c r="T173" s="1074"/>
      <c r="U173" s="1074"/>
      <c r="V173" s="1074"/>
      <c r="W173" s="1074"/>
      <c r="X173" s="1074"/>
      <c r="Y173" s="1074"/>
      <c r="Z173" s="1074"/>
      <c r="AA173" s="1074"/>
      <c r="AB173" s="1074"/>
      <c r="AC173" s="1074"/>
      <c r="AD173" s="1074"/>
      <c r="AE173" s="1074"/>
      <c r="AF173" s="1074"/>
      <c r="AG173" s="1074"/>
      <c r="AH173" s="1074"/>
      <c r="AI173" s="1074"/>
      <c r="AJ173" s="1074"/>
      <c r="AK173" s="1074"/>
      <c r="AL173" s="1074"/>
      <c r="AM173" s="1074"/>
      <c r="AN173" s="1074"/>
      <c r="AO173" s="1074"/>
      <c r="AP173" s="1074"/>
      <c r="AQ173" s="1074"/>
      <c r="AR173" s="1074"/>
      <c r="AS173" s="1074"/>
      <c r="AT173" s="1075"/>
    </row>
    <row r="174" ht="14.25" customHeight="1">
      <c r="A174" s="1116"/>
      <c r="B174" s="1120"/>
      <c r="C174" s="1100"/>
      <c r="D174" s="1100"/>
      <c r="E174" s="1100"/>
      <c r="F174" s="1100"/>
      <c r="G174" s="1100"/>
      <c r="H174" s="1100"/>
      <c r="I174" s="1100"/>
      <c r="J174" s="1100"/>
      <c r="K174" s="1074"/>
      <c r="L174" s="1074"/>
      <c r="M174" s="1074"/>
      <c r="N174" s="1074"/>
      <c r="O174" s="1074"/>
      <c r="P174" s="1074"/>
      <c r="Q174" s="1074"/>
      <c r="R174" s="1074"/>
      <c r="S174" s="1074"/>
      <c r="T174" s="1074"/>
      <c r="U174" s="1074"/>
      <c r="V174" s="1074"/>
      <c r="W174" s="1074"/>
      <c r="X174" s="1074"/>
      <c r="Y174" s="1074"/>
      <c r="Z174" s="1074"/>
      <c r="AA174" s="1074"/>
      <c r="AB174" s="1074"/>
      <c r="AC174" s="1074"/>
      <c r="AD174" s="1074"/>
      <c r="AE174" s="1074"/>
      <c r="AF174" s="1074"/>
      <c r="AG174" s="1074"/>
      <c r="AH174" s="1074"/>
      <c r="AI174" s="1074"/>
      <c r="AJ174" s="1074"/>
      <c r="AK174" s="1074"/>
      <c r="AL174" s="1074"/>
      <c r="AM174" s="1074"/>
      <c r="AN174" s="1074"/>
      <c r="AO174" s="1074"/>
      <c r="AP174" s="1074"/>
      <c r="AQ174" s="1074"/>
      <c r="AR174" s="1074"/>
      <c r="AS174" s="1074"/>
      <c r="AT174" s="1075"/>
    </row>
    <row r="175" ht="14.25" customHeight="1">
      <c r="A175" s="1116"/>
      <c r="B175" s="1120"/>
      <c r="C175" s="1100"/>
      <c r="D175" s="1100"/>
      <c r="E175" s="1100"/>
      <c r="F175" s="1100"/>
      <c r="G175" s="1100"/>
      <c r="H175" s="1100"/>
      <c r="I175" s="1100"/>
      <c r="J175" s="1100"/>
      <c r="K175" s="1074"/>
      <c r="L175" s="1074"/>
      <c r="M175" s="1074"/>
      <c r="N175" s="1074"/>
      <c r="O175" s="1074"/>
      <c r="P175" s="1074"/>
      <c r="Q175" s="1074"/>
      <c r="R175" s="1074"/>
      <c r="S175" s="1074"/>
      <c r="T175" s="1074"/>
      <c r="U175" s="1074"/>
      <c r="V175" s="1074"/>
      <c r="W175" s="1074"/>
      <c r="X175" s="1074"/>
      <c r="Y175" s="1074"/>
      <c r="Z175" s="1074"/>
      <c r="AA175" s="1074"/>
      <c r="AB175" s="1074"/>
      <c r="AC175" s="1074"/>
      <c r="AD175" s="1074"/>
      <c r="AE175" s="1074"/>
      <c r="AF175" s="1074"/>
      <c r="AG175" s="1074"/>
      <c r="AH175" s="1074"/>
      <c r="AI175" s="1074"/>
      <c r="AJ175" s="1074"/>
      <c r="AK175" s="1074"/>
      <c r="AL175" s="1074"/>
      <c r="AM175" s="1074"/>
      <c r="AN175" s="1074"/>
      <c r="AO175" s="1074"/>
      <c r="AP175" s="1074"/>
      <c r="AQ175" s="1074"/>
      <c r="AR175" s="1074"/>
      <c r="AS175" s="1074"/>
      <c r="AT175" s="1075"/>
    </row>
    <row r="176" ht="14.25" customHeight="1">
      <c r="A176" s="1116"/>
      <c r="B176" s="1120"/>
      <c r="C176" s="1100"/>
      <c r="D176" s="1100"/>
      <c r="E176" s="1100"/>
      <c r="F176" s="1100"/>
      <c r="G176" s="1100"/>
      <c r="H176" s="1100"/>
      <c r="I176" s="1100"/>
      <c r="J176" s="1100"/>
      <c r="K176" s="1074"/>
      <c r="L176" s="1074"/>
      <c r="M176" s="1074"/>
      <c r="N176" s="1074"/>
      <c r="O176" s="1074"/>
      <c r="P176" s="1074"/>
      <c r="Q176" s="1074"/>
      <c r="R176" s="1074"/>
      <c r="S176" s="1074"/>
      <c r="T176" s="1074"/>
      <c r="U176" s="1074"/>
      <c r="V176" s="1074"/>
      <c r="W176" s="1074"/>
      <c r="X176" s="1074"/>
      <c r="Y176" s="1074"/>
      <c r="Z176" s="1074"/>
      <c r="AA176" s="1074"/>
      <c r="AB176" s="1074"/>
      <c r="AC176" s="1074"/>
      <c r="AD176" s="1074"/>
      <c r="AE176" s="1074"/>
      <c r="AF176" s="1074"/>
      <c r="AG176" s="1074"/>
      <c r="AH176" s="1074"/>
      <c r="AI176" s="1074"/>
      <c r="AJ176" s="1074"/>
      <c r="AK176" s="1074"/>
      <c r="AL176" s="1074"/>
      <c r="AM176" s="1074"/>
      <c r="AN176" s="1074"/>
      <c r="AO176" s="1074"/>
      <c r="AP176" s="1074"/>
      <c r="AQ176" s="1074"/>
      <c r="AR176" s="1074"/>
      <c r="AS176" s="1074"/>
      <c r="AT176" s="1075"/>
    </row>
    <row r="177" ht="14.25" customHeight="1">
      <c r="A177" s="1116"/>
      <c r="B177" s="1120"/>
      <c r="C177" s="1100"/>
      <c r="D177" s="1100"/>
      <c r="E177" s="1100"/>
      <c r="F177" s="1100"/>
      <c r="G177" s="1100"/>
      <c r="H177" s="1100"/>
      <c r="I177" s="1100"/>
      <c r="J177" s="1100"/>
      <c r="K177" s="1074"/>
      <c r="L177" s="1074"/>
      <c r="M177" s="1074"/>
      <c r="N177" s="1074"/>
      <c r="O177" s="1074"/>
      <c r="P177" s="1074"/>
      <c r="Q177" s="1074"/>
      <c r="R177" s="1074"/>
      <c r="S177" s="1074"/>
      <c r="T177" s="1074"/>
      <c r="U177" s="1074"/>
      <c r="V177" s="1074"/>
      <c r="W177" s="1074"/>
      <c r="X177" s="1074"/>
      <c r="Y177" s="1074"/>
      <c r="Z177" s="1074"/>
      <c r="AA177" s="1074"/>
      <c r="AB177" s="1074"/>
      <c r="AC177" s="1074"/>
      <c r="AD177" s="1074"/>
      <c r="AE177" s="1074"/>
      <c r="AF177" s="1074"/>
      <c r="AG177" s="1074"/>
      <c r="AH177" s="1074"/>
      <c r="AI177" s="1074"/>
      <c r="AJ177" s="1074"/>
      <c r="AK177" s="1074"/>
      <c r="AL177" s="1074"/>
      <c r="AM177" s="1074"/>
      <c r="AN177" s="1074"/>
      <c r="AO177" s="1074"/>
      <c r="AP177" s="1074"/>
      <c r="AQ177" s="1074"/>
      <c r="AR177" s="1074"/>
      <c r="AS177" s="1074"/>
      <c r="AT177" s="1075"/>
    </row>
    <row r="178" ht="14.25" customHeight="1">
      <c r="A178" s="1116"/>
      <c r="B178" s="1120"/>
      <c r="C178" s="1100"/>
      <c r="D178" s="1100"/>
      <c r="E178" s="1100"/>
      <c r="F178" s="1100"/>
      <c r="G178" s="1100"/>
      <c r="H178" s="1100"/>
      <c r="I178" s="1100"/>
      <c r="J178" s="1100"/>
      <c r="K178" s="1074"/>
      <c r="L178" s="1074"/>
      <c r="M178" s="1074"/>
      <c r="N178" s="1074"/>
      <c r="O178" s="1074"/>
      <c r="P178" s="1074"/>
      <c r="Q178" s="1074"/>
      <c r="R178" s="1074"/>
      <c r="S178" s="1074"/>
      <c r="T178" s="1074"/>
      <c r="U178" s="1074"/>
      <c r="V178" s="1074"/>
      <c r="W178" s="1074"/>
      <c r="X178" s="1074"/>
      <c r="Y178" s="1074"/>
      <c r="Z178" s="1074"/>
      <c r="AA178" s="1074"/>
      <c r="AB178" s="1074"/>
      <c r="AC178" s="1074"/>
      <c r="AD178" s="1074"/>
      <c r="AE178" s="1074"/>
      <c r="AF178" s="1074"/>
      <c r="AG178" s="1074"/>
      <c r="AH178" s="1074"/>
      <c r="AI178" s="1074"/>
      <c r="AJ178" s="1074"/>
      <c r="AK178" s="1074"/>
      <c r="AL178" s="1074"/>
      <c r="AM178" s="1074"/>
      <c r="AN178" s="1074"/>
      <c r="AO178" s="1074"/>
      <c r="AP178" s="1074"/>
      <c r="AQ178" s="1074"/>
      <c r="AR178" s="1074"/>
      <c r="AS178" s="1074"/>
      <c r="AT178" s="1075"/>
    </row>
    <row r="179" ht="14.25" customHeight="1">
      <c r="A179" s="1116"/>
      <c r="B179" s="1120"/>
      <c r="C179" s="1100"/>
      <c r="D179" s="1100"/>
      <c r="E179" s="1100"/>
      <c r="F179" s="1100"/>
      <c r="G179" s="1100"/>
      <c r="H179" s="1100"/>
      <c r="I179" s="1100"/>
      <c r="J179" s="1100"/>
      <c r="K179" s="1074"/>
      <c r="L179" s="1074"/>
      <c r="M179" s="1074"/>
      <c r="N179" s="1074"/>
      <c r="O179" s="1074"/>
      <c r="P179" s="1074"/>
      <c r="Q179" s="1074"/>
      <c r="R179" s="1074"/>
      <c r="S179" s="1074"/>
      <c r="T179" s="1074"/>
      <c r="U179" s="1074"/>
      <c r="V179" s="1074"/>
      <c r="W179" s="1074"/>
      <c r="X179" s="1074"/>
      <c r="Y179" s="1074"/>
      <c r="Z179" s="1074"/>
      <c r="AA179" s="1074"/>
      <c r="AB179" s="1074"/>
      <c r="AC179" s="1074"/>
      <c r="AD179" s="1074"/>
      <c r="AE179" s="1074"/>
      <c r="AF179" s="1074"/>
      <c r="AG179" s="1074"/>
      <c r="AH179" s="1074"/>
      <c r="AI179" s="1074"/>
      <c r="AJ179" s="1074"/>
      <c r="AK179" s="1074"/>
      <c r="AL179" s="1074"/>
      <c r="AM179" s="1074"/>
      <c r="AN179" s="1074"/>
      <c r="AO179" s="1074"/>
      <c r="AP179" s="1074"/>
      <c r="AQ179" s="1074"/>
      <c r="AR179" s="1074"/>
      <c r="AS179" s="1074"/>
      <c r="AT179" s="1075"/>
    </row>
    <row r="180" ht="14.25" customHeight="1">
      <c r="A180" s="1116"/>
      <c r="B180" s="1120"/>
      <c r="C180" s="1100"/>
      <c r="D180" s="1100"/>
      <c r="E180" s="1100"/>
      <c r="F180" s="1100"/>
      <c r="G180" s="1100"/>
      <c r="H180" s="1100"/>
      <c r="I180" s="1100"/>
      <c r="J180" s="1100"/>
      <c r="K180" s="1074"/>
      <c r="L180" s="1074"/>
      <c r="M180" s="1074"/>
      <c r="N180" s="1074"/>
      <c r="O180" s="1074"/>
      <c r="P180" s="1074"/>
      <c r="Q180" s="1074"/>
      <c r="R180" s="1074"/>
      <c r="S180" s="1074"/>
      <c r="T180" s="1074"/>
      <c r="U180" s="1074"/>
      <c r="V180" s="1074"/>
      <c r="W180" s="1074"/>
      <c r="X180" s="1074"/>
      <c r="Y180" s="1074"/>
      <c r="Z180" s="1074"/>
      <c r="AA180" s="1074"/>
      <c r="AB180" s="1074"/>
      <c r="AC180" s="1074"/>
      <c r="AD180" s="1074"/>
      <c r="AE180" s="1074"/>
      <c r="AF180" s="1074"/>
      <c r="AG180" s="1074"/>
      <c r="AH180" s="1074"/>
      <c r="AI180" s="1074"/>
      <c r="AJ180" s="1074"/>
      <c r="AK180" s="1074"/>
      <c r="AL180" s="1074"/>
      <c r="AM180" s="1074"/>
      <c r="AN180" s="1074"/>
      <c r="AO180" s="1074"/>
      <c r="AP180" s="1074"/>
      <c r="AQ180" s="1074"/>
      <c r="AR180" s="1074"/>
      <c r="AS180" s="1074"/>
      <c r="AT180" s="1075"/>
    </row>
    <row r="181" ht="14.25" customHeight="1">
      <c r="A181" s="1116"/>
      <c r="B181" s="1120"/>
      <c r="C181" s="1100"/>
      <c r="D181" s="1100"/>
      <c r="E181" s="1100"/>
      <c r="F181" s="1100"/>
      <c r="G181" s="1100"/>
      <c r="H181" s="1100"/>
      <c r="I181" s="1100"/>
      <c r="J181" s="1100"/>
      <c r="K181" s="1074"/>
      <c r="L181" s="1074"/>
      <c r="M181" s="1074"/>
      <c r="N181" s="1074"/>
      <c r="O181" s="1074"/>
      <c r="P181" s="1074"/>
      <c r="Q181" s="1074"/>
      <c r="R181" s="1074"/>
      <c r="S181" s="1074"/>
      <c r="T181" s="1074"/>
      <c r="U181" s="1074"/>
      <c r="V181" s="1074"/>
      <c r="W181" s="1074"/>
      <c r="X181" s="1074"/>
      <c r="Y181" s="1074"/>
      <c r="Z181" s="1074"/>
      <c r="AA181" s="1074"/>
      <c r="AB181" s="1074"/>
      <c r="AC181" s="1074"/>
      <c r="AD181" s="1074"/>
      <c r="AE181" s="1074"/>
      <c r="AF181" s="1074"/>
      <c r="AG181" s="1074"/>
      <c r="AH181" s="1074"/>
      <c r="AI181" s="1074"/>
      <c r="AJ181" s="1074"/>
      <c r="AK181" s="1074"/>
      <c r="AL181" s="1074"/>
      <c r="AM181" s="1074"/>
      <c r="AN181" s="1074"/>
      <c r="AO181" s="1074"/>
      <c r="AP181" s="1074"/>
      <c r="AQ181" s="1074"/>
      <c r="AR181" s="1074"/>
      <c r="AS181" s="1074"/>
      <c r="AT181" s="1075"/>
    </row>
    <row r="182" ht="14.25" customHeight="1">
      <c r="A182" s="1116"/>
      <c r="B182" s="1120"/>
      <c r="C182" s="1100"/>
      <c r="D182" s="1100"/>
      <c r="E182" s="1100"/>
      <c r="F182" s="1100"/>
      <c r="G182" s="1100"/>
      <c r="H182" s="1100"/>
      <c r="I182" s="1100"/>
      <c r="J182" s="1100"/>
      <c r="K182" s="1074"/>
      <c r="L182" s="1074"/>
      <c r="M182" s="1074"/>
      <c r="N182" s="1074"/>
      <c r="O182" s="1074"/>
      <c r="P182" s="1074"/>
      <c r="Q182" s="1074"/>
      <c r="R182" s="1074"/>
      <c r="S182" s="1074"/>
      <c r="T182" s="1074"/>
      <c r="U182" s="1074"/>
      <c r="V182" s="1074"/>
      <c r="W182" s="1074"/>
      <c r="X182" s="1074"/>
      <c r="Y182" s="1074"/>
      <c r="Z182" s="1074"/>
      <c r="AA182" s="1074"/>
      <c r="AB182" s="1074"/>
      <c r="AC182" s="1074"/>
      <c r="AD182" s="1074"/>
      <c r="AE182" s="1074"/>
      <c r="AF182" s="1074"/>
      <c r="AG182" s="1074"/>
      <c r="AH182" s="1074"/>
      <c r="AI182" s="1074"/>
      <c r="AJ182" s="1074"/>
      <c r="AK182" s="1074"/>
      <c r="AL182" s="1074"/>
      <c r="AM182" s="1074"/>
      <c r="AN182" s="1074"/>
      <c r="AO182" s="1074"/>
      <c r="AP182" s="1074"/>
      <c r="AQ182" s="1074"/>
      <c r="AR182" s="1074"/>
      <c r="AS182" s="1074"/>
      <c r="AT182" s="1075"/>
    </row>
    <row r="183" ht="14.25" customHeight="1">
      <c r="A183" s="1116"/>
      <c r="B183" s="1120"/>
      <c r="C183" s="1100"/>
      <c r="D183" s="1100"/>
      <c r="E183" s="1100"/>
      <c r="F183" s="1100"/>
      <c r="G183" s="1100"/>
      <c r="H183" s="1100"/>
      <c r="I183" s="1100"/>
      <c r="J183" s="1100"/>
      <c r="K183" s="1074"/>
      <c r="L183" s="1074"/>
      <c r="M183" s="1074"/>
      <c r="N183" s="1074"/>
      <c r="O183" s="1074"/>
      <c r="P183" s="1074"/>
      <c r="Q183" s="1074"/>
      <c r="R183" s="1074"/>
      <c r="S183" s="1074"/>
      <c r="T183" s="1074"/>
      <c r="U183" s="1074"/>
      <c r="V183" s="1074"/>
      <c r="W183" s="1074"/>
      <c r="X183" s="1074"/>
      <c r="Y183" s="1074"/>
      <c r="Z183" s="1074"/>
      <c r="AA183" s="1074"/>
      <c r="AB183" s="1074"/>
      <c r="AC183" s="1074"/>
      <c r="AD183" s="1074"/>
      <c r="AE183" s="1074"/>
      <c r="AF183" s="1074"/>
      <c r="AG183" s="1074"/>
      <c r="AH183" s="1074"/>
      <c r="AI183" s="1074"/>
      <c r="AJ183" s="1074"/>
      <c r="AK183" s="1074"/>
      <c r="AL183" s="1074"/>
      <c r="AM183" s="1074"/>
      <c r="AN183" s="1074"/>
      <c r="AO183" s="1074"/>
      <c r="AP183" s="1074"/>
      <c r="AQ183" s="1074"/>
      <c r="AR183" s="1074"/>
      <c r="AS183" s="1074"/>
      <c r="AT183" s="1075"/>
    </row>
    <row r="184" ht="14.25" customHeight="1">
      <c r="A184" s="1116"/>
      <c r="B184" s="1120"/>
      <c r="C184" s="1100"/>
      <c r="D184" s="1100"/>
      <c r="E184" s="1100"/>
      <c r="F184" s="1100"/>
      <c r="G184" s="1100"/>
      <c r="H184" s="1100"/>
      <c r="I184" s="1100"/>
      <c r="J184" s="1100"/>
      <c r="K184" s="1074"/>
      <c r="L184" s="1074"/>
      <c r="M184" s="1074"/>
      <c r="N184" s="1074"/>
      <c r="O184" s="1074"/>
      <c r="P184" s="1074"/>
      <c r="Q184" s="1074"/>
      <c r="R184" s="1074"/>
      <c r="S184" s="1074"/>
      <c r="T184" s="1074"/>
      <c r="U184" s="1074"/>
      <c r="V184" s="1074"/>
      <c r="W184" s="1074"/>
      <c r="X184" s="1074"/>
      <c r="Y184" s="1074"/>
      <c r="Z184" s="1074"/>
      <c r="AA184" s="1074"/>
      <c r="AB184" s="1074"/>
      <c r="AC184" s="1074"/>
      <c r="AD184" s="1074"/>
      <c r="AE184" s="1074"/>
      <c r="AF184" s="1074"/>
      <c r="AG184" s="1074"/>
      <c r="AH184" s="1074"/>
      <c r="AI184" s="1074"/>
      <c r="AJ184" s="1074"/>
      <c r="AK184" s="1074"/>
      <c r="AL184" s="1074"/>
      <c r="AM184" s="1074"/>
      <c r="AN184" s="1074"/>
      <c r="AO184" s="1074"/>
      <c r="AP184" s="1074"/>
      <c r="AQ184" s="1074"/>
      <c r="AR184" s="1074"/>
      <c r="AS184" s="1074"/>
      <c r="AT184" s="1075"/>
    </row>
    <row r="185" ht="14.25" customHeight="1">
      <c r="A185" s="1116"/>
      <c r="B185" s="1120"/>
      <c r="C185" s="1100"/>
      <c r="D185" s="1100"/>
      <c r="E185" s="1100"/>
      <c r="F185" s="1100"/>
      <c r="G185" s="1100"/>
      <c r="H185" s="1100"/>
      <c r="I185" s="1100"/>
      <c r="J185" s="1100"/>
      <c r="K185" s="1074"/>
      <c r="L185" s="1074"/>
      <c r="M185" s="1074"/>
      <c r="N185" s="1074"/>
      <c r="O185" s="1074"/>
      <c r="P185" s="1074"/>
      <c r="Q185" s="1074"/>
      <c r="R185" s="1074"/>
      <c r="S185" s="1074"/>
      <c r="T185" s="1074"/>
      <c r="U185" s="1074"/>
      <c r="V185" s="1074"/>
      <c r="W185" s="1074"/>
      <c r="X185" s="1074"/>
      <c r="Y185" s="1074"/>
      <c r="Z185" s="1074"/>
      <c r="AA185" s="1074"/>
      <c r="AB185" s="1074"/>
      <c r="AC185" s="1074"/>
      <c r="AD185" s="1074"/>
      <c r="AE185" s="1074"/>
      <c r="AF185" s="1074"/>
      <c r="AG185" s="1074"/>
      <c r="AH185" s="1074"/>
      <c r="AI185" s="1074"/>
      <c r="AJ185" s="1074"/>
      <c r="AK185" s="1074"/>
      <c r="AL185" s="1074"/>
      <c r="AM185" s="1074"/>
      <c r="AN185" s="1074"/>
      <c r="AO185" s="1074"/>
      <c r="AP185" s="1074"/>
      <c r="AQ185" s="1074"/>
      <c r="AR185" s="1074"/>
      <c r="AS185" s="1074"/>
      <c r="AT185" s="1075"/>
    </row>
    <row r="186" ht="14.25" customHeight="1">
      <c r="A186" s="1116"/>
      <c r="B186" s="1120"/>
      <c r="C186" s="1100"/>
      <c r="D186" s="1100"/>
      <c r="E186" s="1100"/>
      <c r="F186" s="1100"/>
      <c r="G186" s="1100"/>
      <c r="H186" s="1100"/>
      <c r="I186" s="1100"/>
      <c r="J186" s="1100"/>
      <c r="K186" s="1074"/>
      <c r="L186" s="1074"/>
      <c r="M186" s="1074"/>
      <c r="N186" s="1074"/>
      <c r="O186" s="1074"/>
      <c r="P186" s="1074"/>
      <c r="Q186" s="1074"/>
      <c r="R186" s="1074"/>
      <c r="S186" s="1074"/>
      <c r="T186" s="1074"/>
      <c r="U186" s="1074"/>
      <c r="V186" s="1074"/>
      <c r="W186" s="1074"/>
      <c r="X186" s="1074"/>
      <c r="Y186" s="1074"/>
      <c r="Z186" s="1074"/>
      <c r="AA186" s="1074"/>
      <c r="AB186" s="1074"/>
      <c r="AC186" s="1074"/>
      <c r="AD186" s="1074"/>
      <c r="AE186" s="1074"/>
      <c r="AF186" s="1074"/>
      <c r="AG186" s="1074"/>
      <c r="AH186" s="1074"/>
      <c r="AI186" s="1074"/>
      <c r="AJ186" s="1074"/>
      <c r="AK186" s="1074"/>
      <c r="AL186" s="1074"/>
      <c r="AM186" s="1074"/>
      <c r="AN186" s="1074"/>
      <c r="AO186" s="1074"/>
      <c r="AP186" s="1074"/>
      <c r="AQ186" s="1074"/>
      <c r="AR186" s="1074"/>
      <c r="AS186" s="1074"/>
      <c r="AT186" s="1075"/>
    </row>
    <row r="187" ht="14.25" customHeight="1">
      <c r="A187" s="1116"/>
      <c r="B187" s="1120"/>
      <c r="C187" s="1100"/>
      <c r="D187" s="1100"/>
      <c r="E187" s="1100"/>
      <c r="F187" s="1100"/>
      <c r="G187" s="1100"/>
      <c r="H187" s="1100"/>
      <c r="I187" s="1100"/>
      <c r="J187" s="1100"/>
      <c r="K187" s="1074"/>
      <c r="L187" s="1074"/>
      <c r="M187" s="1074"/>
      <c r="N187" s="1074"/>
      <c r="O187" s="1074"/>
      <c r="P187" s="1074"/>
      <c r="Q187" s="1074"/>
      <c r="R187" s="1074"/>
      <c r="S187" s="1074"/>
      <c r="T187" s="1074"/>
      <c r="U187" s="1074"/>
      <c r="V187" s="1074"/>
      <c r="W187" s="1074"/>
      <c r="X187" s="1074"/>
      <c r="Y187" s="1074"/>
      <c r="Z187" s="1074"/>
      <c r="AA187" s="1074"/>
      <c r="AB187" s="1074"/>
      <c r="AC187" s="1074"/>
      <c r="AD187" s="1074"/>
      <c r="AE187" s="1074"/>
      <c r="AF187" s="1074"/>
      <c r="AG187" s="1074"/>
      <c r="AH187" s="1074"/>
      <c r="AI187" s="1074"/>
      <c r="AJ187" s="1074"/>
      <c r="AK187" s="1074"/>
      <c r="AL187" s="1074"/>
      <c r="AM187" s="1074"/>
      <c r="AN187" s="1074"/>
      <c r="AO187" s="1074"/>
      <c r="AP187" s="1074"/>
      <c r="AQ187" s="1074"/>
      <c r="AR187" s="1074"/>
      <c r="AS187" s="1074"/>
      <c r="AT187" s="1075"/>
    </row>
    <row r="188" ht="14.25" customHeight="1">
      <c r="A188" s="1116"/>
      <c r="B188" s="1120"/>
      <c r="C188" s="1100"/>
      <c r="D188" s="1100"/>
      <c r="E188" s="1100"/>
      <c r="F188" s="1100"/>
      <c r="G188" s="1100"/>
      <c r="H188" s="1100"/>
      <c r="I188" s="1100"/>
      <c r="J188" s="1100"/>
      <c r="K188" s="1074"/>
      <c r="L188" s="1074"/>
      <c r="M188" s="1074"/>
      <c r="N188" s="1074"/>
      <c r="O188" s="1074"/>
      <c r="P188" s="1074"/>
      <c r="Q188" s="1074"/>
      <c r="R188" s="1074"/>
      <c r="S188" s="1074"/>
      <c r="T188" s="1074"/>
      <c r="U188" s="1074"/>
      <c r="V188" s="1074"/>
      <c r="W188" s="1074"/>
      <c r="X188" s="1074"/>
      <c r="Y188" s="1074"/>
      <c r="Z188" s="1074"/>
      <c r="AA188" s="1074"/>
      <c r="AB188" s="1074"/>
      <c r="AC188" s="1074"/>
      <c r="AD188" s="1074"/>
      <c r="AE188" s="1074"/>
      <c r="AF188" s="1074"/>
      <c r="AG188" s="1074"/>
      <c r="AH188" s="1074"/>
      <c r="AI188" s="1074"/>
      <c r="AJ188" s="1074"/>
      <c r="AK188" s="1074"/>
      <c r="AL188" s="1074"/>
      <c r="AM188" s="1074"/>
      <c r="AN188" s="1074"/>
      <c r="AO188" s="1074"/>
      <c r="AP188" s="1074"/>
      <c r="AQ188" s="1074"/>
      <c r="AR188" s="1074"/>
      <c r="AS188" s="1074"/>
      <c r="AT188" s="1075"/>
    </row>
    <row r="189" ht="14.25" customHeight="1">
      <c r="A189" s="1116"/>
      <c r="B189" s="1120"/>
      <c r="C189" s="1100"/>
      <c r="D189" s="1100"/>
      <c r="E189" s="1100"/>
      <c r="F189" s="1100"/>
      <c r="G189" s="1100"/>
      <c r="H189" s="1100"/>
      <c r="I189" s="1100"/>
      <c r="J189" s="1100"/>
      <c r="K189" s="1074"/>
      <c r="L189" s="1074"/>
      <c r="M189" s="1074"/>
      <c r="N189" s="1074"/>
      <c r="O189" s="1074"/>
      <c r="P189" s="1074"/>
      <c r="Q189" s="1074"/>
      <c r="R189" s="1074"/>
      <c r="S189" s="1074"/>
      <c r="T189" s="1074"/>
      <c r="U189" s="1074"/>
      <c r="V189" s="1074"/>
      <c r="W189" s="1074"/>
      <c r="X189" s="1074"/>
      <c r="Y189" s="1074"/>
      <c r="Z189" s="1074"/>
      <c r="AA189" s="1074"/>
      <c r="AB189" s="1074"/>
      <c r="AC189" s="1074"/>
      <c r="AD189" s="1074"/>
      <c r="AE189" s="1074"/>
      <c r="AF189" s="1074"/>
      <c r="AG189" s="1074"/>
      <c r="AH189" s="1074"/>
      <c r="AI189" s="1074"/>
      <c r="AJ189" s="1074"/>
      <c r="AK189" s="1074"/>
      <c r="AL189" s="1074"/>
      <c r="AM189" s="1074"/>
      <c r="AN189" s="1074"/>
      <c r="AO189" s="1074"/>
      <c r="AP189" s="1074"/>
      <c r="AQ189" s="1074"/>
      <c r="AR189" s="1074"/>
      <c r="AS189" s="1074"/>
      <c r="AT189" s="1075"/>
    </row>
    <row r="190" ht="14.25" customHeight="1">
      <c r="A190" s="1116"/>
      <c r="B190" s="1120"/>
      <c r="C190" s="1100"/>
      <c r="D190" s="1100"/>
      <c r="E190" s="1100"/>
      <c r="F190" s="1100"/>
      <c r="G190" s="1100"/>
      <c r="H190" s="1100"/>
      <c r="I190" s="1100"/>
      <c r="J190" s="1100"/>
      <c r="K190" s="1074"/>
      <c r="L190" s="1074"/>
      <c r="M190" s="1074"/>
      <c r="N190" s="1074"/>
      <c r="O190" s="1074"/>
      <c r="P190" s="1074"/>
      <c r="Q190" s="1074"/>
      <c r="R190" s="1074"/>
      <c r="S190" s="1074"/>
      <c r="T190" s="1074"/>
      <c r="U190" s="1074"/>
      <c r="V190" s="1074"/>
      <c r="W190" s="1074"/>
      <c r="X190" s="1074"/>
      <c r="Y190" s="1074"/>
      <c r="Z190" s="1074"/>
      <c r="AA190" s="1074"/>
      <c r="AB190" s="1074"/>
      <c r="AC190" s="1074"/>
      <c r="AD190" s="1074"/>
      <c r="AE190" s="1074"/>
      <c r="AF190" s="1074"/>
      <c r="AG190" s="1074"/>
      <c r="AH190" s="1074"/>
      <c r="AI190" s="1074"/>
      <c r="AJ190" s="1074"/>
      <c r="AK190" s="1074"/>
      <c r="AL190" s="1074"/>
      <c r="AM190" s="1074"/>
      <c r="AN190" s="1074"/>
      <c r="AO190" s="1074"/>
      <c r="AP190" s="1074"/>
      <c r="AQ190" s="1074"/>
      <c r="AR190" s="1074"/>
      <c r="AS190" s="1074"/>
      <c r="AT190" s="1075"/>
    </row>
    <row r="191" ht="14.25" customHeight="1">
      <c r="A191" s="1116"/>
      <c r="B191" s="1120"/>
      <c r="C191" s="1100"/>
      <c r="D191" s="1100"/>
      <c r="E191" s="1100"/>
      <c r="F191" s="1100"/>
      <c r="G191" s="1100"/>
      <c r="H191" s="1100"/>
      <c r="I191" s="1100"/>
      <c r="J191" s="1100"/>
      <c r="K191" s="1074"/>
      <c r="L191" s="1074"/>
      <c r="M191" s="1074"/>
      <c r="N191" s="1074"/>
      <c r="O191" s="1074"/>
      <c r="P191" s="1074"/>
      <c r="Q191" s="1074"/>
      <c r="R191" s="1074"/>
      <c r="S191" s="1074"/>
      <c r="T191" s="1074"/>
      <c r="U191" s="1074"/>
      <c r="V191" s="1074"/>
      <c r="W191" s="1074"/>
      <c r="X191" s="1074"/>
      <c r="Y191" s="1074"/>
      <c r="Z191" s="1074"/>
      <c r="AA191" s="1074"/>
      <c r="AB191" s="1074"/>
      <c r="AC191" s="1074"/>
      <c r="AD191" s="1074"/>
      <c r="AE191" s="1074"/>
      <c r="AF191" s="1074"/>
      <c r="AG191" s="1074"/>
      <c r="AH191" s="1074"/>
      <c r="AI191" s="1074"/>
      <c r="AJ191" s="1074"/>
      <c r="AK191" s="1074"/>
      <c r="AL191" s="1074"/>
      <c r="AM191" s="1074"/>
      <c r="AN191" s="1074"/>
      <c r="AO191" s="1074"/>
      <c r="AP191" s="1074"/>
      <c r="AQ191" s="1074"/>
      <c r="AR191" s="1074"/>
      <c r="AS191" s="1074"/>
      <c r="AT191" s="1075"/>
    </row>
    <row r="192" ht="14.25" customHeight="1">
      <c r="A192" s="1116"/>
      <c r="B192" s="1120"/>
      <c r="C192" s="1100"/>
      <c r="D192" s="1100"/>
      <c r="E192" s="1100"/>
      <c r="F192" s="1100"/>
      <c r="G192" s="1100"/>
      <c r="H192" s="1100"/>
      <c r="I192" s="1100"/>
      <c r="J192" s="1100"/>
      <c r="K192" s="1074"/>
      <c r="L192" s="1074"/>
      <c r="M192" s="1074"/>
      <c r="N192" s="1074"/>
      <c r="O192" s="1074"/>
      <c r="P192" s="1074"/>
      <c r="Q192" s="1074"/>
      <c r="R192" s="1074"/>
      <c r="S192" s="1074"/>
      <c r="T192" s="1074"/>
      <c r="U192" s="1074"/>
      <c r="V192" s="1074"/>
      <c r="W192" s="1074"/>
      <c r="X192" s="1074"/>
      <c r="Y192" s="1074"/>
      <c r="Z192" s="1074"/>
      <c r="AA192" s="1074"/>
      <c r="AB192" s="1074"/>
      <c r="AC192" s="1074"/>
      <c r="AD192" s="1074"/>
      <c r="AE192" s="1074"/>
      <c r="AF192" s="1074"/>
      <c r="AG192" s="1074"/>
      <c r="AH192" s="1074"/>
      <c r="AI192" s="1074"/>
      <c r="AJ192" s="1074"/>
      <c r="AK192" s="1074"/>
      <c r="AL192" s="1074"/>
      <c r="AM192" s="1074"/>
      <c r="AN192" s="1074"/>
      <c r="AO192" s="1074"/>
      <c r="AP192" s="1074"/>
      <c r="AQ192" s="1074"/>
      <c r="AR192" s="1074"/>
      <c r="AS192" s="1074"/>
      <c r="AT192" s="1075"/>
    </row>
    <row r="193" ht="14.25" customHeight="1">
      <c r="A193" s="1116"/>
      <c r="B193" s="1120"/>
      <c r="C193" s="1100"/>
      <c r="D193" s="1100"/>
      <c r="E193" s="1100"/>
      <c r="F193" s="1100"/>
      <c r="G193" s="1100"/>
      <c r="H193" s="1100"/>
      <c r="I193" s="1100"/>
      <c r="J193" s="1100"/>
      <c r="K193" s="1074"/>
      <c r="L193" s="1074"/>
      <c r="M193" s="1074"/>
      <c r="N193" s="1074"/>
      <c r="O193" s="1074"/>
      <c r="P193" s="1074"/>
      <c r="Q193" s="1074"/>
      <c r="R193" s="1074"/>
      <c r="S193" s="1074"/>
      <c r="T193" s="1074"/>
      <c r="U193" s="1074"/>
      <c r="V193" s="1074"/>
      <c r="W193" s="1074"/>
      <c r="X193" s="1074"/>
      <c r="Y193" s="1074"/>
      <c r="Z193" s="1074"/>
      <c r="AA193" s="1074"/>
      <c r="AB193" s="1074"/>
      <c r="AC193" s="1074"/>
      <c r="AD193" s="1074"/>
      <c r="AE193" s="1074"/>
      <c r="AF193" s="1074"/>
      <c r="AG193" s="1074"/>
      <c r="AH193" s="1074"/>
      <c r="AI193" s="1074"/>
      <c r="AJ193" s="1074"/>
      <c r="AK193" s="1074"/>
      <c r="AL193" s="1074"/>
      <c r="AM193" s="1074"/>
      <c r="AN193" s="1074"/>
      <c r="AO193" s="1074"/>
      <c r="AP193" s="1074"/>
      <c r="AQ193" s="1074"/>
      <c r="AR193" s="1074"/>
      <c r="AS193" s="1074"/>
      <c r="AT193" s="1075"/>
    </row>
    <row r="194" ht="14.25" customHeight="1">
      <c r="A194" s="1116"/>
      <c r="B194" s="1120"/>
      <c r="C194" s="1100"/>
      <c r="D194" s="1100"/>
      <c r="E194" s="1100"/>
      <c r="F194" s="1100"/>
      <c r="G194" s="1100"/>
      <c r="H194" s="1100"/>
      <c r="I194" s="1100"/>
      <c r="J194" s="1100"/>
      <c r="K194" s="1074"/>
      <c r="L194" s="1074"/>
      <c r="M194" s="1074"/>
      <c r="N194" s="1074"/>
      <c r="O194" s="1074"/>
      <c r="P194" s="1074"/>
      <c r="Q194" s="1074"/>
      <c r="R194" s="1074"/>
      <c r="S194" s="1074"/>
      <c r="T194" s="1074"/>
      <c r="U194" s="1074"/>
      <c r="V194" s="1074"/>
      <c r="W194" s="1074"/>
      <c r="X194" s="1074"/>
      <c r="Y194" s="1074"/>
      <c r="Z194" s="1074"/>
      <c r="AA194" s="1074"/>
      <c r="AB194" s="1074"/>
      <c r="AC194" s="1074"/>
      <c r="AD194" s="1074"/>
      <c r="AE194" s="1074"/>
      <c r="AF194" s="1074"/>
      <c r="AG194" s="1074"/>
      <c r="AH194" s="1074"/>
      <c r="AI194" s="1074"/>
      <c r="AJ194" s="1074"/>
      <c r="AK194" s="1074"/>
      <c r="AL194" s="1074"/>
      <c r="AM194" s="1074"/>
      <c r="AN194" s="1074"/>
      <c r="AO194" s="1074"/>
      <c r="AP194" s="1074"/>
      <c r="AQ194" s="1074"/>
      <c r="AR194" s="1074"/>
      <c r="AS194" s="1074"/>
      <c r="AT194" s="1075"/>
    </row>
    <row r="195" ht="14.25" customHeight="1">
      <c r="A195" s="1116"/>
      <c r="B195" s="1120"/>
      <c r="C195" s="1100"/>
      <c r="D195" s="1100"/>
      <c r="E195" s="1100"/>
      <c r="F195" s="1100"/>
      <c r="G195" s="1100"/>
      <c r="H195" s="1100"/>
      <c r="I195" s="1100"/>
      <c r="J195" s="1100"/>
      <c r="K195" s="1074"/>
      <c r="L195" s="1074"/>
      <c r="M195" s="1074"/>
      <c r="N195" s="1074"/>
      <c r="O195" s="1074"/>
      <c r="P195" s="1074"/>
      <c r="Q195" s="1074"/>
      <c r="R195" s="1074"/>
      <c r="S195" s="1074"/>
      <c r="T195" s="1074"/>
      <c r="U195" s="1074"/>
      <c r="V195" s="1074"/>
      <c r="W195" s="1074"/>
      <c r="X195" s="1074"/>
      <c r="Y195" s="1074"/>
      <c r="Z195" s="1074"/>
      <c r="AA195" s="1074"/>
      <c r="AB195" s="1074"/>
      <c r="AC195" s="1074"/>
      <c r="AD195" s="1074"/>
      <c r="AE195" s="1074"/>
      <c r="AF195" s="1074"/>
      <c r="AG195" s="1074"/>
      <c r="AH195" s="1074"/>
      <c r="AI195" s="1074"/>
      <c r="AJ195" s="1074"/>
      <c r="AK195" s="1074"/>
      <c r="AL195" s="1074"/>
      <c r="AM195" s="1074"/>
      <c r="AN195" s="1074"/>
      <c r="AO195" s="1074"/>
      <c r="AP195" s="1074"/>
      <c r="AQ195" s="1074"/>
      <c r="AR195" s="1074"/>
      <c r="AS195" s="1074"/>
      <c r="AT195" s="1075"/>
    </row>
    <row r="196" ht="14.25" customHeight="1">
      <c r="A196" s="1116"/>
      <c r="B196" s="1120"/>
      <c r="C196" s="1100"/>
      <c r="D196" s="1100"/>
      <c r="E196" s="1100"/>
      <c r="F196" s="1100"/>
      <c r="G196" s="1100"/>
      <c r="H196" s="1100"/>
      <c r="I196" s="1100"/>
      <c r="J196" s="1100"/>
      <c r="K196" s="1074"/>
      <c r="L196" s="1074"/>
      <c r="M196" s="1074"/>
      <c r="N196" s="1074"/>
      <c r="O196" s="1074"/>
      <c r="P196" s="1074"/>
      <c r="Q196" s="1074"/>
      <c r="R196" s="1074"/>
      <c r="S196" s="1074"/>
      <c r="T196" s="1074"/>
      <c r="U196" s="1074"/>
      <c r="V196" s="1074"/>
      <c r="W196" s="1074"/>
      <c r="X196" s="1074"/>
      <c r="Y196" s="1074"/>
      <c r="Z196" s="1074"/>
      <c r="AA196" s="1074"/>
      <c r="AB196" s="1074"/>
      <c r="AC196" s="1074"/>
      <c r="AD196" s="1074"/>
      <c r="AE196" s="1074"/>
      <c r="AF196" s="1074"/>
      <c r="AG196" s="1074"/>
      <c r="AH196" s="1074"/>
      <c r="AI196" s="1074"/>
      <c r="AJ196" s="1074"/>
      <c r="AK196" s="1074"/>
      <c r="AL196" s="1074"/>
      <c r="AM196" s="1074"/>
      <c r="AN196" s="1074"/>
      <c r="AO196" s="1074"/>
      <c r="AP196" s="1074"/>
      <c r="AQ196" s="1074"/>
      <c r="AR196" s="1074"/>
      <c r="AS196" s="1074"/>
      <c r="AT196" s="1075"/>
    </row>
    <row r="197" ht="14.25" customHeight="1">
      <c r="A197" s="1116"/>
      <c r="B197" s="1120"/>
      <c r="C197" s="1100"/>
      <c r="D197" s="1100"/>
      <c r="E197" s="1100"/>
      <c r="F197" s="1100"/>
      <c r="G197" s="1100"/>
      <c r="H197" s="1100"/>
      <c r="I197" s="1100"/>
      <c r="J197" s="1100"/>
      <c r="K197" s="1074"/>
      <c r="L197" s="1074"/>
      <c r="M197" s="1074"/>
      <c r="N197" s="1074"/>
      <c r="O197" s="1074"/>
      <c r="P197" s="1074"/>
      <c r="Q197" s="1074"/>
      <c r="R197" s="1074"/>
      <c r="S197" s="1074"/>
      <c r="T197" s="1074"/>
      <c r="U197" s="1074"/>
      <c r="V197" s="1074"/>
      <c r="W197" s="1074"/>
      <c r="X197" s="1074"/>
      <c r="Y197" s="1074"/>
      <c r="Z197" s="1074"/>
      <c r="AA197" s="1074"/>
      <c r="AB197" s="1074"/>
      <c r="AC197" s="1074"/>
      <c r="AD197" s="1074"/>
      <c r="AE197" s="1074"/>
      <c r="AF197" s="1074"/>
      <c r="AG197" s="1074"/>
      <c r="AH197" s="1074"/>
      <c r="AI197" s="1074"/>
      <c r="AJ197" s="1074"/>
      <c r="AK197" s="1074"/>
      <c r="AL197" s="1074"/>
      <c r="AM197" s="1074"/>
      <c r="AN197" s="1074"/>
      <c r="AO197" s="1074"/>
      <c r="AP197" s="1074"/>
      <c r="AQ197" s="1074"/>
      <c r="AR197" s="1074"/>
      <c r="AS197" s="1074"/>
      <c r="AT197" s="1075"/>
    </row>
    <row r="198" ht="14.25" customHeight="1">
      <c r="A198" s="1116"/>
      <c r="B198" s="1120"/>
      <c r="C198" s="1100"/>
      <c r="D198" s="1100"/>
      <c r="E198" s="1100"/>
      <c r="F198" s="1100"/>
      <c r="G198" s="1100"/>
      <c r="H198" s="1100"/>
      <c r="I198" s="1100"/>
      <c r="J198" s="1100"/>
      <c r="K198" s="1074"/>
      <c r="L198" s="1074"/>
      <c r="M198" s="1074"/>
      <c r="N198" s="1074"/>
      <c r="O198" s="1074"/>
      <c r="P198" s="1074"/>
      <c r="Q198" s="1074"/>
      <c r="R198" s="1074"/>
      <c r="S198" s="1074"/>
      <c r="T198" s="1074"/>
      <c r="U198" s="1074"/>
      <c r="V198" s="1074"/>
      <c r="W198" s="1074"/>
      <c r="X198" s="1074"/>
      <c r="Y198" s="1074"/>
      <c r="Z198" s="1074"/>
      <c r="AA198" s="1074"/>
      <c r="AB198" s="1074"/>
      <c r="AC198" s="1074"/>
      <c r="AD198" s="1074"/>
      <c r="AE198" s="1074"/>
      <c r="AF198" s="1074"/>
      <c r="AG198" s="1074"/>
      <c r="AH198" s="1074"/>
      <c r="AI198" s="1074"/>
      <c r="AJ198" s="1074"/>
      <c r="AK198" s="1074"/>
      <c r="AL198" s="1074"/>
      <c r="AM198" s="1074"/>
      <c r="AN198" s="1074"/>
      <c r="AO198" s="1074"/>
      <c r="AP198" s="1074"/>
      <c r="AQ198" s="1074"/>
      <c r="AR198" s="1074"/>
      <c r="AS198" s="1074"/>
      <c r="AT198" s="1075"/>
    </row>
    <row r="199" ht="14.25" customHeight="1">
      <c r="A199" s="1116"/>
      <c r="B199" s="1120"/>
      <c r="C199" s="1100"/>
      <c r="D199" s="1100"/>
      <c r="E199" s="1100"/>
      <c r="F199" s="1100"/>
      <c r="G199" s="1100"/>
      <c r="H199" s="1100"/>
      <c r="I199" s="1100"/>
      <c r="J199" s="1100"/>
      <c r="K199" s="1074"/>
      <c r="L199" s="1074"/>
      <c r="M199" s="1074"/>
      <c r="N199" s="1074"/>
      <c r="O199" s="1074"/>
      <c r="P199" s="1074"/>
      <c r="Q199" s="1074"/>
      <c r="R199" s="1074"/>
      <c r="S199" s="1074"/>
      <c r="T199" s="1074"/>
      <c r="U199" s="1074"/>
      <c r="V199" s="1074"/>
      <c r="W199" s="1074"/>
      <c r="X199" s="1074"/>
      <c r="Y199" s="1074"/>
      <c r="Z199" s="1074"/>
      <c r="AA199" s="1074"/>
      <c r="AB199" s="1074"/>
      <c r="AC199" s="1074"/>
      <c r="AD199" s="1074"/>
      <c r="AE199" s="1074"/>
      <c r="AF199" s="1074"/>
      <c r="AG199" s="1074"/>
      <c r="AH199" s="1074"/>
      <c r="AI199" s="1074"/>
      <c r="AJ199" s="1074"/>
      <c r="AK199" s="1074"/>
      <c r="AL199" s="1074"/>
      <c r="AM199" s="1074"/>
      <c r="AN199" s="1074"/>
      <c r="AO199" s="1074"/>
      <c r="AP199" s="1074"/>
      <c r="AQ199" s="1074"/>
      <c r="AR199" s="1074"/>
      <c r="AS199" s="1074"/>
      <c r="AT199" s="1075"/>
    </row>
    <row r="200" ht="14.25" customHeight="1">
      <c r="A200" s="1116"/>
      <c r="B200" s="1120"/>
      <c r="C200" s="1100"/>
      <c r="D200" s="1100"/>
      <c r="E200" s="1100"/>
      <c r="F200" s="1100"/>
      <c r="G200" s="1100"/>
      <c r="H200" s="1100"/>
      <c r="I200" s="1100"/>
      <c r="J200" s="1100"/>
      <c r="K200" s="1074"/>
      <c r="L200" s="1074"/>
      <c r="M200" s="1074"/>
      <c r="N200" s="1074"/>
      <c r="O200" s="1074"/>
      <c r="P200" s="1074"/>
      <c r="Q200" s="1074"/>
      <c r="R200" s="1074"/>
      <c r="S200" s="1074"/>
      <c r="T200" s="1074"/>
      <c r="U200" s="1074"/>
      <c r="V200" s="1074"/>
      <c r="W200" s="1074"/>
      <c r="X200" s="1074"/>
      <c r="Y200" s="1074"/>
      <c r="Z200" s="1074"/>
      <c r="AA200" s="1074"/>
      <c r="AB200" s="1074"/>
      <c r="AC200" s="1074"/>
      <c r="AD200" s="1074"/>
      <c r="AE200" s="1074"/>
      <c r="AF200" s="1074"/>
      <c r="AG200" s="1074"/>
      <c r="AH200" s="1074"/>
      <c r="AI200" s="1074"/>
      <c r="AJ200" s="1074"/>
      <c r="AK200" s="1074"/>
      <c r="AL200" s="1074"/>
      <c r="AM200" s="1074"/>
      <c r="AN200" s="1074"/>
      <c r="AO200" s="1074"/>
      <c r="AP200" s="1074"/>
      <c r="AQ200" s="1074"/>
      <c r="AR200" s="1074"/>
      <c r="AS200" s="1074"/>
      <c r="AT200" s="1075"/>
    </row>
    <row r="201" ht="14.25" customHeight="1">
      <c r="A201" s="1116"/>
      <c r="B201" s="1120"/>
      <c r="C201" s="1100"/>
      <c r="D201" s="1100"/>
      <c r="E201" s="1100"/>
      <c r="F201" s="1100"/>
      <c r="G201" s="1100"/>
      <c r="H201" s="1100"/>
      <c r="I201" s="1100"/>
      <c r="J201" s="1100"/>
      <c r="K201" s="1074"/>
      <c r="L201" s="1074"/>
      <c r="M201" s="1074"/>
      <c r="N201" s="1074"/>
      <c r="O201" s="1074"/>
      <c r="P201" s="1074"/>
      <c r="Q201" s="1074"/>
      <c r="R201" s="1074"/>
      <c r="S201" s="1074"/>
      <c r="T201" s="1074"/>
      <c r="U201" s="1074"/>
      <c r="V201" s="1074"/>
      <c r="W201" s="1074"/>
      <c r="X201" s="1074"/>
      <c r="Y201" s="1074"/>
      <c r="Z201" s="1074"/>
      <c r="AA201" s="1074"/>
      <c r="AB201" s="1074"/>
      <c r="AC201" s="1074"/>
      <c r="AD201" s="1074"/>
      <c r="AE201" s="1074"/>
      <c r="AF201" s="1074"/>
      <c r="AG201" s="1074"/>
      <c r="AH201" s="1074"/>
      <c r="AI201" s="1074"/>
      <c r="AJ201" s="1074"/>
      <c r="AK201" s="1074"/>
      <c r="AL201" s="1074"/>
      <c r="AM201" s="1074"/>
      <c r="AN201" s="1074"/>
      <c r="AO201" s="1074"/>
      <c r="AP201" s="1074"/>
      <c r="AQ201" s="1074"/>
      <c r="AR201" s="1074"/>
      <c r="AS201" s="1074"/>
      <c r="AT201" s="1075"/>
    </row>
    <row r="202" ht="14.25" customHeight="1">
      <c r="A202" s="1116"/>
      <c r="B202" s="1120"/>
      <c r="C202" s="1100"/>
      <c r="D202" s="1100"/>
      <c r="E202" s="1100"/>
      <c r="F202" s="1100"/>
      <c r="G202" s="1100"/>
      <c r="H202" s="1100"/>
      <c r="I202" s="1100"/>
      <c r="J202" s="1100"/>
      <c r="K202" s="1074"/>
      <c r="L202" s="1074"/>
      <c r="M202" s="1074"/>
      <c r="N202" s="1074"/>
      <c r="O202" s="1074"/>
      <c r="P202" s="1074"/>
      <c r="Q202" s="1074"/>
      <c r="R202" s="1074"/>
      <c r="S202" s="1074"/>
      <c r="T202" s="1074"/>
      <c r="U202" s="1074"/>
      <c r="V202" s="1074"/>
      <c r="W202" s="1074"/>
      <c r="X202" s="1074"/>
      <c r="Y202" s="1074"/>
      <c r="Z202" s="1074"/>
      <c r="AA202" s="1074"/>
      <c r="AB202" s="1074"/>
      <c r="AC202" s="1074"/>
      <c r="AD202" s="1074"/>
      <c r="AE202" s="1074"/>
      <c r="AF202" s="1074"/>
      <c r="AG202" s="1074"/>
      <c r="AH202" s="1074"/>
      <c r="AI202" s="1074"/>
      <c r="AJ202" s="1074"/>
      <c r="AK202" s="1074"/>
      <c r="AL202" s="1074"/>
      <c r="AM202" s="1074"/>
      <c r="AN202" s="1074"/>
      <c r="AO202" s="1074"/>
      <c r="AP202" s="1074"/>
      <c r="AQ202" s="1074"/>
      <c r="AR202" s="1074"/>
      <c r="AS202" s="1074"/>
      <c r="AT202" s="1075"/>
    </row>
    <row r="203" ht="14.25" customHeight="1">
      <c r="A203" s="1116"/>
      <c r="B203" s="1120"/>
      <c r="C203" s="1100"/>
      <c r="D203" s="1100"/>
      <c r="E203" s="1100"/>
      <c r="F203" s="1100"/>
      <c r="G203" s="1100"/>
      <c r="H203" s="1100"/>
      <c r="I203" s="1100"/>
      <c r="J203" s="1100"/>
      <c r="K203" s="1074"/>
      <c r="L203" s="1074"/>
      <c r="M203" s="1074"/>
      <c r="N203" s="1074"/>
      <c r="O203" s="1074"/>
      <c r="P203" s="1074"/>
      <c r="Q203" s="1074"/>
      <c r="R203" s="1074"/>
      <c r="S203" s="1074"/>
      <c r="T203" s="1074"/>
      <c r="U203" s="1074"/>
      <c r="V203" s="1074"/>
      <c r="W203" s="1074"/>
      <c r="X203" s="1074"/>
      <c r="Y203" s="1074"/>
      <c r="Z203" s="1074"/>
      <c r="AA203" s="1074"/>
      <c r="AB203" s="1074"/>
      <c r="AC203" s="1074"/>
      <c r="AD203" s="1074"/>
      <c r="AE203" s="1074"/>
      <c r="AF203" s="1074"/>
      <c r="AG203" s="1074"/>
      <c r="AH203" s="1074"/>
      <c r="AI203" s="1074"/>
      <c r="AJ203" s="1074"/>
      <c r="AK203" s="1074"/>
      <c r="AL203" s="1074"/>
      <c r="AM203" s="1074"/>
      <c r="AN203" s="1074"/>
      <c r="AO203" s="1074"/>
      <c r="AP203" s="1074"/>
      <c r="AQ203" s="1074"/>
      <c r="AR203" s="1074"/>
      <c r="AS203" s="1074"/>
      <c r="AT203" s="1075"/>
    </row>
    <row r="204" ht="14.25" customHeight="1">
      <c r="A204" s="1116"/>
      <c r="B204" s="1120"/>
      <c r="C204" s="1100"/>
      <c r="D204" s="1100"/>
      <c r="E204" s="1100"/>
      <c r="F204" s="1100"/>
      <c r="G204" s="1100"/>
      <c r="H204" s="1100"/>
      <c r="I204" s="1100"/>
      <c r="J204" s="1100"/>
      <c r="K204" s="1074"/>
      <c r="L204" s="1074"/>
      <c r="M204" s="1074"/>
      <c r="N204" s="1074"/>
      <c r="O204" s="1074"/>
      <c r="P204" s="1074"/>
      <c r="Q204" s="1074"/>
      <c r="R204" s="1074"/>
      <c r="S204" s="1074"/>
      <c r="T204" s="1074"/>
      <c r="U204" s="1074"/>
      <c r="V204" s="1074"/>
      <c r="W204" s="1074"/>
      <c r="X204" s="1074"/>
      <c r="Y204" s="1074"/>
      <c r="Z204" s="1074"/>
      <c r="AA204" s="1074"/>
      <c r="AB204" s="1074"/>
      <c r="AC204" s="1074"/>
      <c r="AD204" s="1074"/>
      <c r="AE204" s="1074"/>
      <c r="AF204" s="1074"/>
      <c r="AG204" s="1074"/>
      <c r="AH204" s="1074"/>
      <c r="AI204" s="1074"/>
      <c r="AJ204" s="1074"/>
      <c r="AK204" s="1074"/>
      <c r="AL204" s="1074"/>
      <c r="AM204" s="1074"/>
      <c r="AN204" s="1074"/>
      <c r="AO204" s="1074"/>
      <c r="AP204" s="1074"/>
      <c r="AQ204" s="1074"/>
      <c r="AR204" s="1074"/>
      <c r="AS204" s="1074"/>
      <c r="AT204" s="1075"/>
    </row>
    <row r="205" ht="14.25" customHeight="1">
      <c r="A205" s="1116"/>
      <c r="B205" s="1120"/>
      <c r="C205" s="1100"/>
      <c r="D205" s="1100"/>
      <c r="E205" s="1100"/>
      <c r="F205" s="1100"/>
      <c r="G205" s="1100"/>
      <c r="H205" s="1100"/>
      <c r="I205" s="1100"/>
      <c r="J205" s="1100"/>
      <c r="K205" s="1074"/>
      <c r="L205" s="1074"/>
      <c r="M205" s="1074"/>
      <c r="N205" s="1074"/>
      <c r="O205" s="1074"/>
      <c r="P205" s="1074"/>
      <c r="Q205" s="1074"/>
      <c r="R205" s="1074"/>
      <c r="S205" s="1074"/>
      <c r="T205" s="1074"/>
      <c r="U205" s="1074"/>
      <c r="V205" s="1074"/>
      <c r="W205" s="1074"/>
      <c r="X205" s="1074"/>
      <c r="Y205" s="1074"/>
      <c r="Z205" s="1074"/>
      <c r="AA205" s="1074"/>
      <c r="AB205" s="1074"/>
      <c r="AC205" s="1074"/>
      <c r="AD205" s="1074"/>
      <c r="AE205" s="1074"/>
      <c r="AF205" s="1074"/>
      <c r="AG205" s="1074"/>
      <c r="AH205" s="1074"/>
      <c r="AI205" s="1074"/>
      <c r="AJ205" s="1074"/>
      <c r="AK205" s="1074"/>
      <c r="AL205" s="1074"/>
      <c r="AM205" s="1074"/>
      <c r="AN205" s="1074"/>
      <c r="AO205" s="1074"/>
      <c r="AP205" s="1074"/>
      <c r="AQ205" s="1074"/>
      <c r="AR205" s="1074"/>
      <c r="AS205" s="1074"/>
      <c r="AT205" s="1075"/>
    </row>
    <row r="206" ht="14.25" customHeight="1">
      <c r="A206" s="1116"/>
      <c r="B206" s="1120"/>
      <c r="C206" s="1100"/>
      <c r="D206" s="1100"/>
      <c r="E206" s="1100"/>
      <c r="F206" s="1100"/>
      <c r="G206" s="1100"/>
      <c r="H206" s="1100"/>
      <c r="I206" s="1100"/>
      <c r="J206" s="1100"/>
      <c r="K206" s="1074"/>
      <c r="L206" s="1074"/>
      <c r="M206" s="1074"/>
      <c r="N206" s="1074"/>
      <c r="O206" s="1074"/>
      <c r="P206" s="1074"/>
      <c r="Q206" s="1074"/>
      <c r="R206" s="1074"/>
      <c r="S206" s="1074"/>
      <c r="T206" s="1074"/>
      <c r="U206" s="1074"/>
      <c r="V206" s="1074"/>
      <c r="W206" s="1074"/>
      <c r="X206" s="1074"/>
      <c r="Y206" s="1074"/>
      <c r="Z206" s="1074"/>
      <c r="AA206" s="1074"/>
      <c r="AB206" s="1074"/>
      <c r="AC206" s="1074"/>
      <c r="AD206" s="1074"/>
      <c r="AE206" s="1074"/>
      <c r="AF206" s="1074"/>
      <c r="AG206" s="1074"/>
      <c r="AH206" s="1074"/>
      <c r="AI206" s="1074"/>
      <c r="AJ206" s="1074"/>
      <c r="AK206" s="1074"/>
      <c r="AL206" s="1074"/>
      <c r="AM206" s="1074"/>
      <c r="AN206" s="1074"/>
      <c r="AO206" s="1074"/>
      <c r="AP206" s="1074"/>
      <c r="AQ206" s="1074"/>
      <c r="AR206" s="1074"/>
      <c r="AS206" s="1074"/>
      <c r="AT206" s="1075"/>
    </row>
    <row r="207" ht="14.25" customHeight="1">
      <c r="A207" s="1116"/>
      <c r="B207" s="1120"/>
      <c r="C207" s="1100"/>
      <c r="D207" s="1100"/>
      <c r="E207" s="1100"/>
      <c r="F207" s="1100"/>
      <c r="G207" s="1100"/>
      <c r="H207" s="1100"/>
      <c r="I207" s="1100"/>
      <c r="J207" s="1100"/>
      <c r="K207" s="1074"/>
      <c r="L207" s="1074"/>
      <c r="M207" s="1074"/>
      <c r="N207" s="1074"/>
      <c r="O207" s="1074"/>
      <c r="P207" s="1074"/>
      <c r="Q207" s="1074"/>
      <c r="R207" s="1074"/>
      <c r="S207" s="1074"/>
      <c r="T207" s="1074"/>
      <c r="U207" s="1074"/>
      <c r="V207" s="1074"/>
      <c r="W207" s="1074"/>
      <c r="X207" s="1074"/>
      <c r="Y207" s="1074"/>
      <c r="Z207" s="1074"/>
      <c r="AA207" s="1074"/>
      <c r="AB207" s="1074"/>
      <c r="AC207" s="1074"/>
      <c r="AD207" s="1074"/>
      <c r="AE207" s="1074"/>
      <c r="AF207" s="1074"/>
      <c r="AG207" s="1074"/>
      <c r="AH207" s="1074"/>
      <c r="AI207" s="1074"/>
      <c r="AJ207" s="1074"/>
      <c r="AK207" s="1074"/>
      <c r="AL207" s="1074"/>
      <c r="AM207" s="1074"/>
      <c r="AN207" s="1074"/>
      <c r="AO207" s="1074"/>
      <c r="AP207" s="1074"/>
      <c r="AQ207" s="1074"/>
      <c r="AR207" s="1074"/>
      <c r="AS207" s="1074"/>
      <c r="AT207" s="1075"/>
    </row>
    <row r="208" ht="14.25" customHeight="1">
      <c r="A208" s="1116"/>
      <c r="B208" s="1120"/>
      <c r="C208" s="1100"/>
      <c r="D208" s="1100"/>
      <c r="E208" s="1100"/>
      <c r="F208" s="1100"/>
      <c r="G208" s="1100"/>
      <c r="H208" s="1100"/>
      <c r="I208" s="1100"/>
      <c r="J208" s="1100"/>
      <c r="K208" s="1074"/>
      <c r="L208" s="1074"/>
      <c r="M208" s="1074"/>
      <c r="N208" s="1074"/>
      <c r="O208" s="1074"/>
      <c r="P208" s="1074"/>
      <c r="Q208" s="1074"/>
      <c r="R208" s="1074"/>
      <c r="S208" s="1074"/>
      <c r="T208" s="1074"/>
      <c r="U208" s="1074"/>
      <c r="V208" s="1074"/>
      <c r="W208" s="1074"/>
      <c r="X208" s="1074"/>
      <c r="Y208" s="1074"/>
      <c r="Z208" s="1074"/>
      <c r="AA208" s="1074"/>
      <c r="AB208" s="1074"/>
      <c r="AC208" s="1074"/>
      <c r="AD208" s="1074"/>
      <c r="AE208" s="1074"/>
      <c r="AF208" s="1074"/>
      <c r="AG208" s="1074"/>
      <c r="AH208" s="1074"/>
      <c r="AI208" s="1074"/>
      <c r="AJ208" s="1074"/>
      <c r="AK208" s="1074"/>
      <c r="AL208" s="1074"/>
      <c r="AM208" s="1074"/>
      <c r="AN208" s="1074"/>
      <c r="AO208" s="1074"/>
      <c r="AP208" s="1074"/>
      <c r="AQ208" s="1074"/>
      <c r="AR208" s="1074"/>
      <c r="AS208" s="1074"/>
      <c r="AT208" s="1075"/>
    </row>
    <row r="209" ht="14.25" customHeight="1">
      <c r="A209" s="1116"/>
      <c r="B209" s="1120"/>
      <c r="C209" s="1100"/>
      <c r="D209" s="1100"/>
      <c r="E209" s="1100"/>
      <c r="F209" s="1100"/>
      <c r="G209" s="1100"/>
      <c r="H209" s="1100"/>
      <c r="I209" s="1100"/>
      <c r="J209" s="1100"/>
      <c r="K209" s="1074"/>
      <c r="L209" s="1074"/>
      <c r="M209" s="1074"/>
      <c r="N209" s="1074"/>
      <c r="O209" s="1074"/>
      <c r="P209" s="1074"/>
      <c r="Q209" s="1074"/>
      <c r="R209" s="1074"/>
      <c r="S209" s="1074"/>
      <c r="T209" s="1074"/>
      <c r="U209" s="1074"/>
      <c r="V209" s="1074"/>
      <c r="W209" s="1074"/>
      <c r="X209" s="1074"/>
      <c r="Y209" s="1074"/>
      <c r="Z209" s="1074"/>
      <c r="AA209" s="1074"/>
      <c r="AB209" s="1074"/>
      <c r="AC209" s="1074"/>
      <c r="AD209" s="1074"/>
      <c r="AE209" s="1074"/>
      <c r="AF209" s="1074"/>
      <c r="AG209" s="1074"/>
      <c r="AH209" s="1074"/>
      <c r="AI209" s="1074"/>
      <c r="AJ209" s="1074"/>
      <c r="AK209" s="1074"/>
      <c r="AL209" s="1074"/>
      <c r="AM209" s="1074"/>
      <c r="AN209" s="1074"/>
      <c r="AO209" s="1074"/>
      <c r="AP209" s="1074"/>
      <c r="AQ209" s="1074"/>
      <c r="AR209" s="1074"/>
      <c r="AS209" s="1074"/>
      <c r="AT209" s="1075"/>
    </row>
    <row r="210" ht="14.25" customHeight="1">
      <c r="A210" s="1116"/>
      <c r="B210" s="1120"/>
      <c r="C210" s="1100"/>
      <c r="D210" s="1100"/>
      <c r="E210" s="1100"/>
      <c r="F210" s="1100"/>
      <c r="G210" s="1100"/>
      <c r="H210" s="1100"/>
      <c r="I210" s="1100"/>
      <c r="J210" s="1100"/>
      <c r="K210" s="1074"/>
      <c r="L210" s="1074"/>
      <c r="M210" s="1074"/>
      <c r="N210" s="1074"/>
      <c r="O210" s="1074"/>
      <c r="P210" s="1074"/>
      <c r="Q210" s="1074"/>
      <c r="R210" s="1074"/>
      <c r="S210" s="1074"/>
      <c r="T210" s="1074"/>
      <c r="U210" s="1074"/>
      <c r="V210" s="1074"/>
      <c r="W210" s="1074"/>
      <c r="X210" s="1074"/>
      <c r="Y210" s="1074"/>
      <c r="Z210" s="1074"/>
      <c r="AA210" s="1074"/>
      <c r="AB210" s="1074"/>
      <c r="AC210" s="1074"/>
      <c r="AD210" s="1074"/>
      <c r="AE210" s="1074"/>
      <c r="AF210" s="1074"/>
      <c r="AG210" s="1074"/>
      <c r="AH210" s="1074"/>
      <c r="AI210" s="1074"/>
      <c r="AJ210" s="1074"/>
      <c r="AK210" s="1074"/>
      <c r="AL210" s="1074"/>
      <c r="AM210" s="1074"/>
      <c r="AN210" s="1074"/>
      <c r="AO210" s="1074"/>
      <c r="AP210" s="1074"/>
      <c r="AQ210" s="1074"/>
      <c r="AR210" s="1074"/>
      <c r="AS210" s="1074"/>
      <c r="AT210" s="1075"/>
    </row>
    <row r="211" ht="14.25" customHeight="1">
      <c r="A211" s="1116"/>
      <c r="B211" s="1120"/>
      <c r="C211" s="1100"/>
      <c r="D211" s="1100"/>
      <c r="E211" s="1100"/>
      <c r="F211" s="1100"/>
      <c r="G211" s="1100"/>
      <c r="H211" s="1100"/>
      <c r="I211" s="1100"/>
      <c r="J211" s="1100"/>
      <c r="K211" s="1074"/>
      <c r="L211" s="1074"/>
      <c r="M211" s="1074"/>
      <c r="N211" s="1074"/>
      <c r="O211" s="1074"/>
      <c r="P211" s="1074"/>
      <c r="Q211" s="1074"/>
      <c r="R211" s="1074"/>
      <c r="S211" s="1074"/>
      <c r="T211" s="1074"/>
      <c r="U211" s="1074"/>
      <c r="V211" s="1074"/>
      <c r="W211" s="1074"/>
      <c r="X211" s="1074"/>
      <c r="Y211" s="1074"/>
      <c r="Z211" s="1074"/>
      <c r="AA211" s="1074"/>
      <c r="AB211" s="1074"/>
      <c r="AC211" s="1074"/>
      <c r="AD211" s="1074"/>
      <c r="AE211" s="1074"/>
      <c r="AF211" s="1074"/>
      <c r="AG211" s="1074"/>
      <c r="AH211" s="1074"/>
      <c r="AI211" s="1074"/>
      <c r="AJ211" s="1074"/>
      <c r="AK211" s="1074"/>
      <c r="AL211" s="1074"/>
      <c r="AM211" s="1074"/>
      <c r="AN211" s="1074"/>
      <c r="AO211" s="1074"/>
      <c r="AP211" s="1074"/>
      <c r="AQ211" s="1074"/>
      <c r="AR211" s="1074"/>
      <c r="AS211" s="1074"/>
      <c r="AT211" s="1075"/>
    </row>
    <row r="212" ht="14.25" customHeight="1">
      <c r="A212" s="1116"/>
      <c r="B212" s="1120"/>
      <c r="C212" s="1100"/>
      <c r="D212" s="1100"/>
      <c r="E212" s="1100"/>
      <c r="F212" s="1100"/>
      <c r="G212" s="1100"/>
      <c r="H212" s="1100"/>
      <c r="I212" s="1100"/>
      <c r="J212" s="1100"/>
      <c r="K212" s="1074"/>
      <c r="L212" s="1074"/>
      <c r="M212" s="1074"/>
      <c r="N212" s="1074"/>
      <c r="O212" s="1074"/>
      <c r="P212" s="1074"/>
      <c r="Q212" s="1074"/>
      <c r="R212" s="1074"/>
      <c r="S212" s="1074"/>
      <c r="T212" s="1074"/>
      <c r="U212" s="1074"/>
      <c r="V212" s="1074"/>
      <c r="W212" s="1074"/>
      <c r="X212" s="1074"/>
      <c r="Y212" s="1074"/>
      <c r="Z212" s="1074"/>
      <c r="AA212" s="1074"/>
      <c r="AB212" s="1074"/>
      <c r="AC212" s="1074"/>
      <c r="AD212" s="1074"/>
      <c r="AE212" s="1074"/>
      <c r="AF212" s="1074"/>
      <c r="AG212" s="1074"/>
      <c r="AH212" s="1074"/>
      <c r="AI212" s="1074"/>
      <c r="AJ212" s="1074"/>
      <c r="AK212" s="1074"/>
      <c r="AL212" s="1074"/>
      <c r="AM212" s="1074"/>
      <c r="AN212" s="1074"/>
      <c r="AO212" s="1074"/>
      <c r="AP212" s="1074"/>
      <c r="AQ212" s="1074"/>
      <c r="AR212" s="1074"/>
      <c r="AS212" s="1074"/>
      <c r="AT212" s="1075"/>
    </row>
    <row r="213" ht="14.25" customHeight="1">
      <c r="A213" s="1116"/>
      <c r="B213" s="1120"/>
      <c r="C213" s="1100"/>
      <c r="D213" s="1100"/>
      <c r="E213" s="1100"/>
      <c r="F213" s="1100"/>
      <c r="G213" s="1100"/>
      <c r="H213" s="1100"/>
      <c r="I213" s="1100"/>
      <c r="J213" s="1100"/>
      <c r="K213" s="1074"/>
      <c r="L213" s="1074"/>
      <c r="M213" s="1074"/>
      <c r="N213" s="1074"/>
      <c r="O213" s="1074"/>
      <c r="P213" s="1074"/>
      <c r="Q213" s="1074"/>
      <c r="R213" s="1074"/>
      <c r="S213" s="1074"/>
      <c r="T213" s="1074"/>
      <c r="U213" s="1074"/>
      <c r="V213" s="1074"/>
      <c r="W213" s="1074"/>
      <c r="X213" s="1074"/>
      <c r="Y213" s="1074"/>
      <c r="Z213" s="1074"/>
      <c r="AA213" s="1074"/>
      <c r="AB213" s="1074"/>
      <c r="AC213" s="1074"/>
      <c r="AD213" s="1074"/>
      <c r="AE213" s="1074"/>
      <c r="AF213" s="1074"/>
      <c r="AG213" s="1074"/>
      <c r="AH213" s="1074"/>
      <c r="AI213" s="1074"/>
      <c r="AJ213" s="1074"/>
      <c r="AK213" s="1074"/>
      <c r="AL213" s="1074"/>
      <c r="AM213" s="1074"/>
      <c r="AN213" s="1074"/>
      <c r="AO213" s="1074"/>
      <c r="AP213" s="1074"/>
      <c r="AQ213" s="1074"/>
      <c r="AR213" s="1074"/>
      <c r="AS213" s="1074"/>
      <c r="AT213" s="1075"/>
    </row>
    <row r="214" ht="14.25" customHeight="1">
      <c r="A214" s="1116"/>
      <c r="B214" s="1120"/>
      <c r="C214" s="1100"/>
      <c r="D214" s="1100"/>
      <c r="E214" s="1100"/>
      <c r="F214" s="1100"/>
      <c r="G214" s="1100"/>
      <c r="H214" s="1100"/>
      <c r="I214" s="1100"/>
      <c r="J214" s="1100"/>
      <c r="K214" s="1074"/>
      <c r="L214" s="1074"/>
      <c r="M214" s="1074"/>
      <c r="N214" s="1074"/>
      <c r="O214" s="1074"/>
      <c r="P214" s="1074"/>
      <c r="Q214" s="1074"/>
      <c r="R214" s="1074"/>
      <c r="S214" s="1074"/>
      <c r="T214" s="1074"/>
      <c r="U214" s="1074"/>
      <c r="V214" s="1074"/>
      <c r="W214" s="1074"/>
      <c r="X214" s="1074"/>
      <c r="Y214" s="1074"/>
      <c r="Z214" s="1074"/>
      <c r="AA214" s="1074"/>
      <c r="AB214" s="1074"/>
      <c r="AC214" s="1074"/>
      <c r="AD214" s="1074"/>
      <c r="AE214" s="1074"/>
      <c r="AF214" s="1074"/>
      <c r="AG214" s="1074"/>
      <c r="AH214" s="1074"/>
      <c r="AI214" s="1074"/>
      <c r="AJ214" s="1074"/>
      <c r="AK214" s="1074"/>
      <c r="AL214" s="1074"/>
      <c r="AM214" s="1074"/>
      <c r="AN214" s="1074"/>
      <c r="AO214" s="1074"/>
      <c r="AP214" s="1074"/>
      <c r="AQ214" s="1074"/>
      <c r="AR214" s="1074"/>
      <c r="AS214" s="1074"/>
      <c r="AT214" s="1075"/>
    </row>
    <row r="215" ht="14.25" customHeight="1">
      <c r="A215" s="1116"/>
      <c r="B215" s="1120"/>
      <c r="C215" s="1100"/>
      <c r="D215" s="1100"/>
      <c r="E215" s="1100"/>
      <c r="F215" s="1100"/>
      <c r="G215" s="1100"/>
      <c r="H215" s="1100"/>
      <c r="I215" s="1100"/>
      <c r="J215" s="1100"/>
      <c r="K215" s="1074"/>
      <c r="L215" s="1074"/>
      <c r="M215" s="1074"/>
      <c r="N215" s="1074"/>
      <c r="O215" s="1074"/>
      <c r="P215" s="1074"/>
      <c r="Q215" s="1074"/>
      <c r="R215" s="1074"/>
      <c r="S215" s="1074"/>
      <c r="T215" s="1074"/>
      <c r="U215" s="1074"/>
      <c r="V215" s="1074"/>
      <c r="W215" s="1074"/>
      <c r="X215" s="1074"/>
      <c r="Y215" s="1074"/>
      <c r="Z215" s="1074"/>
      <c r="AA215" s="1074"/>
      <c r="AB215" s="1074"/>
      <c r="AC215" s="1074"/>
      <c r="AD215" s="1074"/>
      <c r="AE215" s="1074"/>
      <c r="AF215" s="1074"/>
      <c r="AG215" s="1074"/>
      <c r="AH215" s="1074"/>
      <c r="AI215" s="1074"/>
      <c r="AJ215" s="1074"/>
      <c r="AK215" s="1074"/>
      <c r="AL215" s="1074"/>
      <c r="AM215" s="1074"/>
      <c r="AN215" s="1074"/>
      <c r="AO215" s="1074"/>
      <c r="AP215" s="1074"/>
      <c r="AQ215" s="1074"/>
      <c r="AR215" s="1074"/>
      <c r="AS215" s="1074"/>
      <c r="AT215" s="1075"/>
    </row>
    <row r="216" ht="14.25" customHeight="1">
      <c r="A216" s="1116"/>
      <c r="B216" s="1120"/>
      <c r="C216" s="1100"/>
      <c r="D216" s="1100"/>
      <c r="E216" s="1100"/>
      <c r="F216" s="1100"/>
      <c r="G216" s="1100"/>
      <c r="H216" s="1100"/>
      <c r="I216" s="1100"/>
      <c r="J216" s="1100"/>
      <c r="K216" s="1074"/>
      <c r="L216" s="1074"/>
      <c r="M216" s="1074"/>
      <c r="N216" s="1074"/>
      <c r="O216" s="1074"/>
      <c r="P216" s="1074"/>
      <c r="Q216" s="1074"/>
      <c r="R216" s="1074"/>
      <c r="S216" s="1074"/>
      <c r="T216" s="1074"/>
      <c r="U216" s="1074"/>
      <c r="V216" s="1074"/>
      <c r="W216" s="1074"/>
      <c r="X216" s="1074"/>
      <c r="Y216" s="1074"/>
      <c r="Z216" s="1074"/>
      <c r="AA216" s="1074"/>
      <c r="AB216" s="1074"/>
      <c r="AC216" s="1074"/>
      <c r="AD216" s="1074"/>
      <c r="AE216" s="1074"/>
      <c r="AF216" s="1074"/>
      <c r="AG216" s="1074"/>
      <c r="AH216" s="1074"/>
      <c r="AI216" s="1074"/>
      <c r="AJ216" s="1074"/>
      <c r="AK216" s="1074"/>
      <c r="AL216" s="1074"/>
      <c r="AM216" s="1074"/>
      <c r="AN216" s="1074"/>
      <c r="AO216" s="1074"/>
      <c r="AP216" s="1074"/>
      <c r="AQ216" s="1074"/>
      <c r="AR216" s="1074"/>
      <c r="AS216" s="1074"/>
      <c r="AT216" s="1075"/>
    </row>
    <row r="217" ht="14.25" customHeight="1">
      <c r="A217" s="1116"/>
      <c r="B217" s="1120"/>
      <c r="C217" s="1100"/>
      <c r="D217" s="1100"/>
      <c r="E217" s="1100"/>
      <c r="F217" s="1100"/>
      <c r="G217" s="1100"/>
      <c r="H217" s="1100"/>
      <c r="I217" s="1100"/>
      <c r="J217" s="1100"/>
      <c r="K217" s="1074"/>
      <c r="L217" s="1074"/>
      <c r="M217" s="1074"/>
      <c r="N217" s="1074"/>
      <c r="O217" s="1074"/>
      <c r="P217" s="1074"/>
      <c r="Q217" s="1074"/>
      <c r="R217" s="1074"/>
      <c r="S217" s="1074"/>
      <c r="T217" s="1074"/>
      <c r="U217" s="1074"/>
      <c r="V217" s="1074"/>
      <c r="W217" s="1074"/>
      <c r="X217" s="1074"/>
      <c r="Y217" s="1074"/>
      <c r="Z217" s="1074"/>
      <c r="AA217" s="1074"/>
      <c r="AB217" s="1074"/>
      <c r="AC217" s="1074"/>
      <c r="AD217" s="1074"/>
      <c r="AE217" s="1074"/>
      <c r="AF217" s="1074"/>
      <c r="AG217" s="1074"/>
      <c r="AH217" s="1074"/>
      <c r="AI217" s="1074"/>
      <c r="AJ217" s="1074"/>
      <c r="AK217" s="1074"/>
      <c r="AL217" s="1074"/>
      <c r="AM217" s="1074"/>
      <c r="AN217" s="1074"/>
      <c r="AO217" s="1074"/>
      <c r="AP217" s="1074"/>
      <c r="AQ217" s="1074"/>
      <c r="AR217" s="1074"/>
      <c r="AS217" s="1074"/>
      <c r="AT217" s="1075"/>
    </row>
    <row r="218" ht="14.25" customHeight="1">
      <c r="A218" s="1116"/>
      <c r="B218" s="1120"/>
      <c r="C218" s="1100"/>
      <c r="D218" s="1100"/>
      <c r="E218" s="1100"/>
      <c r="F218" s="1100"/>
      <c r="G218" s="1100"/>
      <c r="H218" s="1100"/>
      <c r="I218" s="1100"/>
      <c r="J218" s="1100"/>
      <c r="K218" s="1074"/>
      <c r="L218" s="1074"/>
      <c r="M218" s="1074"/>
      <c r="N218" s="1074"/>
      <c r="O218" s="1074"/>
      <c r="P218" s="1074"/>
      <c r="Q218" s="1074"/>
      <c r="R218" s="1074"/>
      <c r="S218" s="1074"/>
      <c r="T218" s="1074"/>
      <c r="U218" s="1074"/>
      <c r="V218" s="1074"/>
      <c r="W218" s="1074"/>
      <c r="X218" s="1074"/>
      <c r="Y218" s="1074"/>
      <c r="Z218" s="1074"/>
      <c r="AA218" s="1074"/>
      <c r="AB218" s="1074"/>
      <c r="AC218" s="1074"/>
      <c r="AD218" s="1074"/>
      <c r="AE218" s="1074"/>
      <c r="AF218" s="1074"/>
      <c r="AG218" s="1074"/>
      <c r="AH218" s="1074"/>
      <c r="AI218" s="1074"/>
      <c r="AJ218" s="1074"/>
      <c r="AK218" s="1074"/>
      <c r="AL218" s="1074"/>
      <c r="AM218" s="1074"/>
      <c r="AN218" s="1074"/>
      <c r="AO218" s="1074"/>
      <c r="AP218" s="1074"/>
      <c r="AQ218" s="1074"/>
      <c r="AR218" s="1074"/>
      <c r="AS218" s="1074"/>
      <c r="AT218" s="1075"/>
    </row>
    <row r="219" ht="14.25" customHeight="1">
      <c r="A219" s="1116"/>
      <c r="B219" s="1120"/>
      <c r="C219" s="1100"/>
      <c r="D219" s="1100"/>
      <c r="E219" s="1100"/>
      <c r="F219" s="1100"/>
      <c r="G219" s="1100"/>
      <c r="H219" s="1100"/>
      <c r="I219" s="1100"/>
      <c r="J219" s="1100"/>
      <c r="K219" s="1074"/>
      <c r="L219" s="1074"/>
      <c r="M219" s="1074"/>
      <c r="N219" s="1074"/>
      <c r="O219" s="1074"/>
      <c r="P219" s="1074"/>
      <c r="Q219" s="1074"/>
      <c r="R219" s="1074"/>
      <c r="S219" s="1074"/>
      <c r="T219" s="1074"/>
      <c r="U219" s="1074"/>
      <c r="V219" s="1074"/>
      <c r="W219" s="1074"/>
      <c r="X219" s="1074"/>
      <c r="Y219" s="1074"/>
      <c r="Z219" s="1074"/>
      <c r="AA219" s="1074"/>
      <c r="AB219" s="1074"/>
      <c r="AC219" s="1074"/>
      <c r="AD219" s="1074"/>
      <c r="AE219" s="1074"/>
      <c r="AF219" s="1074"/>
      <c r="AG219" s="1074"/>
      <c r="AH219" s="1074"/>
      <c r="AI219" s="1074"/>
      <c r="AJ219" s="1074"/>
      <c r="AK219" s="1074"/>
      <c r="AL219" s="1074"/>
      <c r="AM219" s="1074"/>
      <c r="AN219" s="1074"/>
      <c r="AO219" s="1074"/>
      <c r="AP219" s="1074"/>
      <c r="AQ219" s="1074"/>
      <c r="AR219" s="1074"/>
      <c r="AS219" s="1074"/>
      <c r="AT219" s="1075"/>
    </row>
    <row r="220" ht="14.25" customHeight="1">
      <c r="A220" s="1116"/>
      <c r="B220" s="1120"/>
      <c r="C220" s="1100"/>
      <c r="D220" s="1100"/>
      <c r="E220" s="1100"/>
      <c r="F220" s="1100"/>
      <c r="G220" s="1100"/>
      <c r="H220" s="1100"/>
      <c r="I220" s="1100"/>
      <c r="J220" s="1100"/>
      <c r="K220" s="1074"/>
      <c r="L220" s="1074"/>
      <c r="M220" s="1074"/>
      <c r="N220" s="1074"/>
      <c r="O220" s="1074"/>
      <c r="P220" s="1074"/>
      <c r="Q220" s="1074"/>
      <c r="R220" s="1074"/>
      <c r="S220" s="1074"/>
      <c r="T220" s="1074"/>
      <c r="U220" s="1074"/>
      <c r="V220" s="1074"/>
      <c r="W220" s="1074"/>
      <c r="X220" s="1074"/>
      <c r="Y220" s="1074"/>
      <c r="Z220" s="1074"/>
      <c r="AA220" s="1074"/>
      <c r="AB220" s="1074"/>
      <c r="AC220" s="1074"/>
      <c r="AD220" s="1074"/>
      <c r="AE220" s="1074"/>
      <c r="AF220" s="1074"/>
      <c r="AG220" s="1074"/>
      <c r="AH220" s="1074"/>
      <c r="AI220" s="1074"/>
      <c r="AJ220" s="1074"/>
      <c r="AK220" s="1074"/>
      <c r="AL220" s="1074"/>
      <c r="AM220" s="1074"/>
      <c r="AN220" s="1074"/>
      <c r="AO220" s="1074"/>
      <c r="AP220" s="1074"/>
      <c r="AQ220" s="1074"/>
      <c r="AR220" s="1074"/>
      <c r="AS220" s="1074"/>
      <c r="AT220" s="1075"/>
    </row>
    <row r="221" ht="14.25" customHeight="1">
      <c r="A221" s="1116"/>
      <c r="B221" s="1120"/>
      <c r="C221" s="1100"/>
      <c r="D221" s="1100"/>
      <c r="E221" s="1100"/>
      <c r="F221" s="1100"/>
      <c r="G221" s="1100"/>
      <c r="H221" s="1100"/>
      <c r="I221" s="1100"/>
      <c r="J221" s="1100"/>
      <c r="K221" s="1074"/>
      <c r="L221" s="1074"/>
      <c r="M221" s="1074"/>
      <c r="N221" s="1074"/>
      <c r="O221" s="1074"/>
      <c r="P221" s="1074"/>
      <c r="Q221" s="1074"/>
      <c r="R221" s="1074"/>
      <c r="S221" s="1074"/>
      <c r="T221" s="1074"/>
      <c r="U221" s="1074"/>
      <c r="V221" s="1074"/>
      <c r="W221" s="1074"/>
      <c r="X221" s="1074"/>
      <c r="Y221" s="1074"/>
      <c r="Z221" s="1074"/>
      <c r="AA221" s="1074"/>
      <c r="AB221" s="1074"/>
      <c r="AC221" s="1074"/>
      <c r="AD221" s="1074"/>
      <c r="AE221" s="1074"/>
      <c r="AF221" s="1074"/>
      <c r="AG221" s="1074"/>
      <c r="AH221" s="1074"/>
      <c r="AI221" s="1074"/>
      <c r="AJ221" s="1074"/>
      <c r="AK221" s="1074"/>
      <c r="AL221" s="1074"/>
      <c r="AM221" s="1074"/>
      <c r="AN221" s="1074"/>
      <c r="AO221" s="1074"/>
      <c r="AP221" s="1074"/>
      <c r="AQ221" s="1074"/>
      <c r="AR221" s="1074"/>
      <c r="AS221" s="1074"/>
      <c r="AT221" s="1075"/>
    </row>
    <row r="222" ht="14.25" customHeight="1">
      <c r="A222" s="1116"/>
      <c r="B222" s="1120"/>
      <c r="C222" s="1100"/>
      <c r="D222" s="1100"/>
      <c r="E222" s="1100"/>
      <c r="F222" s="1100"/>
      <c r="G222" s="1100"/>
      <c r="H222" s="1100"/>
      <c r="I222" s="1100"/>
      <c r="J222" s="1100"/>
      <c r="K222" s="1074"/>
      <c r="L222" s="1074"/>
      <c r="M222" s="1074"/>
      <c r="N222" s="1074"/>
      <c r="O222" s="1074"/>
      <c r="P222" s="1074"/>
      <c r="Q222" s="1074"/>
      <c r="R222" s="1074"/>
      <c r="S222" s="1074"/>
      <c r="T222" s="1074"/>
      <c r="U222" s="1074"/>
      <c r="V222" s="1074"/>
      <c r="W222" s="1074"/>
      <c r="X222" s="1074"/>
      <c r="Y222" s="1074"/>
      <c r="Z222" s="1074"/>
      <c r="AA222" s="1074"/>
      <c r="AB222" s="1074"/>
      <c r="AC222" s="1074"/>
      <c r="AD222" s="1074"/>
      <c r="AE222" s="1074"/>
      <c r="AF222" s="1074"/>
      <c r="AG222" s="1074"/>
      <c r="AH222" s="1074"/>
      <c r="AI222" s="1074"/>
      <c r="AJ222" s="1074"/>
      <c r="AK222" s="1074"/>
      <c r="AL222" s="1074"/>
      <c r="AM222" s="1074"/>
      <c r="AN222" s="1074"/>
      <c r="AO222" s="1074"/>
      <c r="AP222" s="1074"/>
      <c r="AQ222" s="1074"/>
      <c r="AR222" s="1074"/>
      <c r="AS222" s="1074"/>
      <c r="AT222" s="1075"/>
    </row>
    <row r="223" ht="14.25" customHeight="1">
      <c r="A223" s="1116"/>
      <c r="B223" s="1120"/>
      <c r="C223" s="1100"/>
      <c r="D223" s="1100"/>
      <c r="E223" s="1100"/>
      <c r="F223" s="1100"/>
      <c r="G223" s="1100"/>
      <c r="H223" s="1100"/>
      <c r="I223" s="1100"/>
      <c r="J223" s="1100"/>
      <c r="K223" s="1074"/>
      <c r="L223" s="1074"/>
      <c r="M223" s="1074"/>
      <c r="N223" s="1074"/>
      <c r="O223" s="1074"/>
      <c r="P223" s="1074"/>
      <c r="Q223" s="1074"/>
      <c r="R223" s="1074"/>
      <c r="S223" s="1074"/>
      <c r="T223" s="1074"/>
      <c r="U223" s="1074"/>
      <c r="V223" s="1074"/>
      <c r="W223" s="1074"/>
      <c r="X223" s="1074"/>
      <c r="Y223" s="1074"/>
      <c r="Z223" s="1074"/>
      <c r="AA223" s="1074"/>
      <c r="AB223" s="1074"/>
      <c r="AC223" s="1074"/>
      <c r="AD223" s="1074"/>
      <c r="AE223" s="1074"/>
      <c r="AF223" s="1074"/>
      <c r="AG223" s="1074"/>
      <c r="AH223" s="1074"/>
      <c r="AI223" s="1074"/>
      <c r="AJ223" s="1074"/>
      <c r="AK223" s="1074"/>
      <c r="AL223" s="1074"/>
      <c r="AM223" s="1074"/>
      <c r="AN223" s="1074"/>
      <c r="AO223" s="1074"/>
      <c r="AP223" s="1074"/>
      <c r="AQ223" s="1074"/>
      <c r="AR223" s="1074"/>
      <c r="AS223" s="1074"/>
      <c r="AT223" s="1075"/>
    </row>
    <row r="224" ht="14.25" customHeight="1">
      <c r="A224" s="1116"/>
      <c r="B224" s="1120"/>
      <c r="C224" s="1100"/>
      <c r="D224" s="1100"/>
      <c r="E224" s="1100"/>
      <c r="F224" s="1100"/>
      <c r="G224" s="1100"/>
      <c r="H224" s="1100"/>
      <c r="I224" s="1100"/>
      <c r="J224" s="1100"/>
      <c r="K224" s="1074"/>
      <c r="L224" s="1074"/>
      <c r="M224" s="1074"/>
      <c r="N224" s="1074"/>
      <c r="O224" s="1074"/>
      <c r="P224" s="1074"/>
      <c r="Q224" s="1074"/>
      <c r="R224" s="1074"/>
      <c r="S224" s="1074"/>
      <c r="T224" s="1074"/>
      <c r="U224" s="1074"/>
      <c r="V224" s="1074"/>
      <c r="W224" s="1074"/>
      <c r="X224" s="1074"/>
      <c r="Y224" s="1074"/>
      <c r="Z224" s="1074"/>
      <c r="AA224" s="1074"/>
      <c r="AB224" s="1074"/>
      <c r="AC224" s="1074"/>
      <c r="AD224" s="1074"/>
      <c r="AE224" s="1074"/>
      <c r="AF224" s="1074"/>
      <c r="AG224" s="1074"/>
      <c r="AH224" s="1074"/>
      <c r="AI224" s="1074"/>
      <c r="AJ224" s="1074"/>
      <c r="AK224" s="1074"/>
      <c r="AL224" s="1074"/>
      <c r="AM224" s="1074"/>
      <c r="AN224" s="1074"/>
      <c r="AO224" s="1074"/>
      <c r="AP224" s="1074"/>
      <c r="AQ224" s="1074"/>
      <c r="AR224" s="1074"/>
      <c r="AS224" s="1074"/>
      <c r="AT224" s="1075"/>
    </row>
    <row r="225" ht="14.25" customHeight="1">
      <c r="A225" s="1116"/>
      <c r="B225" s="1120"/>
      <c r="C225" s="1100"/>
      <c r="D225" s="1100"/>
      <c r="E225" s="1100"/>
      <c r="F225" s="1100"/>
      <c r="G225" s="1100"/>
      <c r="H225" s="1100"/>
      <c r="I225" s="1100"/>
      <c r="J225" s="1100"/>
      <c r="K225" s="1074"/>
      <c r="L225" s="1074"/>
      <c r="M225" s="1074"/>
      <c r="N225" s="1074"/>
      <c r="O225" s="1074"/>
      <c r="P225" s="1074"/>
      <c r="Q225" s="1074"/>
      <c r="R225" s="1074"/>
      <c r="S225" s="1074"/>
      <c r="T225" s="1074"/>
      <c r="U225" s="1074"/>
      <c r="V225" s="1074"/>
      <c r="W225" s="1074"/>
      <c r="X225" s="1074"/>
      <c r="Y225" s="1074"/>
      <c r="Z225" s="1074"/>
      <c r="AA225" s="1074"/>
      <c r="AB225" s="1074"/>
      <c r="AC225" s="1074"/>
      <c r="AD225" s="1074"/>
      <c r="AE225" s="1074"/>
      <c r="AF225" s="1074"/>
      <c r="AG225" s="1074"/>
      <c r="AH225" s="1074"/>
      <c r="AI225" s="1074"/>
      <c r="AJ225" s="1074"/>
      <c r="AK225" s="1074"/>
      <c r="AL225" s="1074"/>
      <c r="AM225" s="1074"/>
      <c r="AN225" s="1074"/>
      <c r="AO225" s="1074"/>
      <c r="AP225" s="1074"/>
      <c r="AQ225" s="1074"/>
      <c r="AR225" s="1074"/>
      <c r="AS225" s="1074"/>
      <c r="AT225" s="1075"/>
    </row>
    <row r="226" ht="14.25" customHeight="1">
      <c r="A226" s="1116"/>
      <c r="B226" s="1120"/>
      <c r="C226" s="1100"/>
      <c r="D226" s="1100"/>
      <c r="E226" s="1100"/>
      <c r="F226" s="1100"/>
      <c r="G226" s="1100"/>
      <c r="H226" s="1100"/>
      <c r="I226" s="1100"/>
      <c r="J226" s="1100"/>
      <c r="K226" s="1074"/>
      <c r="L226" s="1074"/>
      <c r="M226" s="1074"/>
      <c r="N226" s="1074"/>
      <c r="O226" s="1074"/>
      <c r="P226" s="1074"/>
      <c r="Q226" s="1074"/>
      <c r="R226" s="1074"/>
      <c r="S226" s="1074"/>
      <c r="T226" s="1074"/>
      <c r="U226" s="1074"/>
      <c r="V226" s="1074"/>
      <c r="W226" s="1074"/>
      <c r="X226" s="1074"/>
      <c r="Y226" s="1074"/>
      <c r="Z226" s="1074"/>
      <c r="AA226" s="1074"/>
      <c r="AB226" s="1074"/>
      <c r="AC226" s="1074"/>
      <c r="AD226" s="1074"/>
      <c r="AE226" s="1074"/>
      <c r="AF226" s="1074"/>
      <c r="AG226" s="1074"/>
      <c r="AH226" s="1074"/>
      <c r="AI226" s="1074"/>
      <c r="AJ226" s="1074"/>
      <c r="AK226" s="1074"/>
      <c r="AL226" s="1074"/>
      <c r="AM226" s="1074"/>
      <c r="AN226" s="1074"/>
      <c r="AO226" s="1074"/>
      <c r="AP226" s="1074"/>
      <c r="AQ226" s="1074"/>
      <c r="AR226" s="1074"/>
      <c r="AS226" s="1074"/>
      <c r="AT226" s="1075"/>
    </row>
    <row r="227" ht="14.25" customHeight="1">
      <c r="A227" s="1116"/>
      <c r="B227" s="1120"/>
      <c r="C227" s="1100"/>
      <c r="D227" s="1100"/>
      <c r="E227" s="1100"/>
      <c r="F227" s="1100"/>
      <c r="G227" s="1100"/>
      <c r="H227" s="1100"/>
      <c r="I227" s="1100"/>
      <c r="J227" s="1100"/>
      <c r="K227" s="1074"/>
      <c r="L227" s="1074"/>
      <c r="M227" s="1074"/>
      <c r="N227" s="1074"/>
      <c r="O227" s="1074"/>
      <c r="P227" s="1074"/>
      <c r="Q227" s="1074"/>
      <c r="R227" s="1074"/>
      <c r="S227" s="1074"/>
      <c r="T227" s="1074"/>
      <c r="U227" s="1074"/>
      <c r="V227" s="1074"/>
      <c r="W227" s="1074"/>
      <c r="X227" s="1074"/>
      <c r="Y227" s="1074"/>
      <c r="Z227" s="1074"/>
      <c r="AA227" s="1074"/>
      <c r="AB227" s="1074"/>
      <c r="AC227" s="1074"/>
      <c r="AD227" s="1074"/>
      <c r="AE227" s="1074"/>
      <c r="AF227" s="1074"/>
      <c r="AG227" s="1074"/>
      <c r="AH227" s="1074"/>
      <c r="AI227" s="1074"/>
      <c r="AJ227" s="1074"/>
      <c r="AK227" s="1074"/>
      <c r="AL227" s="1074"/>
      <c r="AM227" s="1074"/>
      <c r="AN227" s="1074"/>
      <c r="AO227" s="1074"/>
      <c r="AP227" s="1074"/>
      <c r="AQ227" s="1074"/>
      <c r="AR227" s="1074"/>
      <c r="AS227" s="1074"/>
      <c r="AT227" s="1075"/>
    </row>
    <row r="228" ht="14.25" customHeight="1">
      <c r="A228" s="1116"/>
      <c r="B228" s="1120"/>
      <c r="C228" s="1100"/>
      <c r="D228" s="1100"/>
      <c r="E228" s="1100"/>
      <c r="F228" s="1100"/>
      <c r="G228" s="1100"/>
      <c r="H228" s="1100"/>
      <c r="I228" s="1100"/>
      <c r="J228" s="1100"/>
      <c r="K228" s="1074"/>
      <c r="L228" s="1074"/>
      <c r="M228" s="1074"/>
      <c r="N228" s="1074"/>
      <c r="O228" s="1074"/>
      <c r="P228" s="1074"/>
      <c r="Q228" s="1074"/>
      <c r="R228" s="1074"/>
      <c r="S228" s="1074"/>
      <c r="T228" s="1074"/>
      <c r="U228" s="1074"/>
      <c r="V228" s="1074"/>
      <c r="W228" s="1074"/>
      <c r="X228" s="1074"/>
      <c r="Y228" s="1074"/>
      <c r="Z228" s="1074"/>
      <c r="AA228" s="1074"/>
      <c r="AB228" s="1074"/>
      <c r="AC228" s="1074"/>
      <c r="AD228" s="1074"/>
      <c r="AE228" s="1074"/>
      <c r="AF228" s="1074"/>
      <c r="AG228" s="1074"/>
      <c r="AH228" s="1074"/>
      <c r="AI228" s="1074"/>
      <c r="AJ228" s="1074"/>
      <c r="AK228" s="1074"/>
      <c r="AL228" s="1074"/>
      <c r="AM228" s="1074"/>
      <c r="AN228" s="1074"/>
      <c r="AO228" s="1074"/>
      <c r="AP228" s="1074"/>
      <c r="AQ228" s="1074"/>
      <c r="AR228" s="1074"/>
      <c r="AS228" s="1074"/>
      <c r="AT228" s="1075"/>
    </row>
    <row r="229" ht="14.25" customHeight="1">
      <c r="A229" s="1116"/>
      <c r="B229" s="1120"/>
      <c r="C229" s="1100"/>
      <c r="D229" s="1100"/>
      <c r="E229" s="1100"/>
      <c r="F229" s="1100"/>
      <c r="G229" s="1100"/>
      <c r="H229" s="1100"/>
      <c r="I229" s="1100"/>
      <c r="J229" s="1100"/>
      <c r="K229" s="1074"/>
      <c r="L229" s="1074"/>
      <c r="M229" s="1074"/>
      <c r="N229" s="1074"/>
      <c r="O229" s="1074"/>
      <c r="P229" s="1074"/>
      <c r="Q229" s="1074"/>
      <c r="R229" s="1074"/>
      <c r="S229" s="1074"/>
      <c r="T229" s="1074"/>
      <c r="U229" s="1074"/>
      <c r="V229" s="1074"/>
      <c r="W229" s="1074"/>
      <c r="X229" s="1074"/>
      <c r="Y229" s="1074"/>
      <c r="Z229" s="1074"/>
      <c r="AA229" s="1074"/>
      <c r="AB229" s="1074"/>
      <c r="AC229" s="1074"/>
      <c r="AD229" s="1074"/>
      <c r="AE229" s="1074"/>
      <c r="AF229" s="1074"/>
      <c r="AG229" s="1074"/>
      <c r="AH229" s="1074"/>
      <c r="AI229" s="1074"/>
      <c r="AJ229" s="1074"/>
      <c r="AK229" s="1074"/>
      <c r="AL229" s="1074"/>
      <c r="AM229" s="1074"/>
      <c r="AN229" s="1074"/>
      <c r="AO229" s="1074"/>
      <c r="AP229" s="1074"/>
      <c r="AQ229" s="1074"/>
      <c r="AR229" s="1074"/>
      <c r="AS229" s="1074"/>
      <c r="AT229" s="1075"/>
    </row>
    <row r="230" ht="14.25" customHeight="1">
      <c r="A230" s="1116"/>
      <c r="B230" s="1120"/>
      <c r="C230" s="1100"/>
      <c r="D230" s="1100"/>
      <c r="E230" s="1100"/>
      <c r="F230" s="1100"/>
      <c r="G230" s="1100"/>
      <c r="H230" s="1100"/>
      <c r="I230" s="1100"/>
      <c r="J230" s="1100"/>
      <c r="K230" s="1074"/>
      <c r="L230" s="1074"/>
      <c r="M230" s="1074"/>
      <c r="N230" s="1074"/>
      <c r="O230" s="1074"/>
      <c r="P230" s="1074"/>
      <c r="Q230" s="1074"/>
      <c r="R230" s="1074"/>
      <c r="S230" s="1074"/>
      <c r="T230" s="1074"/>
      <c r="U230" s="1074"/>
      <c r="V230" s="1074"/>
      <c r="W230" s="1074"/>
      <c r="X230" s="1074"/>
      <c r="Y230" s="1074"/>
      <c r="Z230" s="1074"/>
      <c r="AA230" s="1074"/>
      <c r="AB230" s="1074"/>
      <c r="AC230" s="1074"/>
      <c r="AD230" s="1074"/>
      <c r="AE230" s="1074"/>
      <c r="AF230" s="1074"/>
      <c r="AG230" s="1074"/>
      <c r="AH230" s="1074"/>
      <c r="AI230" s="1074"/>
      <c r="AJ230" s="1074"/>
      <c r="AK230" s="1074"/>
      <c r="AL230" s="1074"/>
      <c r="AM230" s="1074"/>
      <c r="AN230" s="1074"/>
      <c r="AO230" s="1074"/>
      <c r="AP230" s="1074"/>
      <c r="AQ230" s="1074"/>
      <c r="AR230" s="1074"/>
      <c r="AS230" s="1074"/>
      <c r="AT230" s="1075"/>
    </row>
    <row r="231" ht="14.25" customHeight="1">
      <c r="A231" s="1116"/>
      <c r="B231" s="1120"/>
      <c r="C231" s="1100"/>
      <c r="D231" s="1100"/>
      <c r="E231" s="1100"/>
      <c r="F231" s="1100"/>
      <c r="G231" s="1100"/>
      <c r="H231" s="1100"/>
      <c r="I231" s="1100"/>
      <c r="J231" s="1100"/>
      <c r="K231" s="1074"/>
      <c r="L231" s="1074"/>
      <c r="M231" s="1074"/>
      <c r="N231" s="1074"/>
      <c r="O231" s="1074"/>
      <c r="P231" s="1074"/>
      <c r="Q231" s="1074"/>
      <c r="R231" s="1074"/>
      <c r="S231" s="1074"/>
      <c r="T231" s="1074"/>
      <c r="U231" s="1074"/>
      <c r="V231" s="1074"/>
      <c r="W231" s="1074"/>
      <c r="X231" s="1074"/>
      <c r="Y231" s="1074"/>
      <c r="Z231" s="1074"/>
      <c r="AA231" s="1074"/>
      <c r="AB231" s="1074"/>
      <c r="AC231" s="1074"/>
      <c r="AD231" s="1074"/>
      <c r="AE231" s="1074"/>
      <c r="AF231" s="1074"/>
      <c r="AG231" s="1074"/>
      <c r="AH231" s="1074"/>
      <c r="AI231" s="1074"/>
      <c r="AJ231" s="1074"/>
      <c r="AK231" s="1074"/>
      <c r="AL231" s="1074"/>
      <c r="AM231" s="1074"/>
      <c r="AN231" s="1074"/>
      <c r="AO231" s="1074"/>
      <c r="AP231" s="1074"/>
      <c r="AQ231" s="1074"/>
      <c r="AR231" s="1074"/>
      <c r="AS231" s="1074"/>
      <c r="AT231" s="1075"/>
    </row>
    <row r="232" ht="14.25" customHeight="1">
      <c r="A232" s="1116"/>
      <c r="B232" s="1120"/>
      <c r="C232" s="1100"/>
      <c r="D232" s="1100"/>
      <c r="E232" s="1100"/>
      <c r="F232" s="1100"/>
      <c r="G232" s="1100"/>
      <c r="H232" s="1100"/>
      <c r="I232" s="1100"/>
      <c r="J232" s="1100"/>
      <c r="K232" s="1074"/>
      <c r="L232" s="1074"/>
      <c r="M232" s="1074"/>
      <c r="N232" s="1074"/>
      <c r="O232" s="1074"/>
      <c r="P232" s="1074"/>
      <c r="Q232" s="1074"/>
      <c r="R232" s="1074"/>
      <c r="S232" s="1074"/>
      <c r="T232" s="1074"/>
      <c r="U232" s="1074"/>
      <c r="V232" s="1074"/>
      <c r="W232" s="1074"/>
      <c r="X232" s="1074"/>
      <c r="Y232" s="1074"/>
      <c r="Z232" s="1074"/>
      <c r="AA232" s="1074"/>
      <c r="AB232" s="1074"/>
      <c r="AC232" s="1074"/>
      <c r="AD232" s="1074"/>
      <c r="AE232" s="1074"/>
      <c r="AF232" s="1074"/>
      <c r="AG232" s="1074"/>
      <c r="AH232" s="1074"/>
      <c r="AI232" s="1074"/>
      <c r="AJ232" s="1074"/>
      <c r="AK232" s="1074"/>
      <c r="AL232" s="1074"/>
      <c r="AM232" s="1074"/>
      <c r="AN232" s="1074"/>
      <c r="AO232" s="1074"/>
      <c r="AP232" s="1074"/>
      <c r="AQ232" s="1074"/>
      <c r="AR232" s="1074"/>
      <c r="AS232" s="1074"/>
      <c r="AT232" s="1075"/>
    </row>
    <row r="233" ht="14.25" customHeight="1">
      <c r="A233" s="1116"/>
      <c r="B233" s="1120"/>
      <c r="C233" s="1100"/>
      <c r="D233" s="1100"/>
      <c r="E233" s="1100"/>
      <c r="F233" s="1100"/>
      <c r="G233" s="1100"/>
      <c r="H233" s="1100"/>
      <c r="I233" s="1100"/>
      <c r="J233" s="1100"/>
      <c r="K233" s="1074"/>
      <c r="L233" s="1074"/>
      <c r="M233" s="1074"/>
      <c r="N233" s="1074"/>
      <c r="O233" s="1074"/>
      <c r="P233" s="1074"/>
      <c r="Q233" s="1074"/>
      <c r="R233" s="1074"/>
      <c r="S233" s="1074"/>
      <c r="T233" s="1074"/>
      <c r="U233" s="1074"/>
      <c r="V233" s="1074"/>
      <c r="W233" s="1074"/>
      <c r="X233" s="1074"/>
      <c r="Y233" s="1074"/>
      <c r="Z233" s="1074"/>
      <c r="AA233" s="1074"/>
      <c r="AB233" s="1074"/>
      <c r="AC233" s="1074"/>
      <c r="AD233" s="1074"/>
      <c r="AE233" s="1074"/>
      <c r="AF233" s="1074"/>
      <c r="AG233" s="1074"/>
      <c r="AH233" s="1074"/>
      <c r="AI233" s="1074"/>
      <c r="AJ233" s="1074"/>
      <c r="AK233" s="1074"/>
      <c r="AL233" s="1074"/>
      <c r="AM233" s="1074"/>
      <c r="AN233" s="1074"/>
      <c r="AO233" s="1074"/>
      <c r="AP233" s="1074"/>
      <c r="AQ233" s="1074"/>
      <c r="AR233" s="1074"/>
      <c r="AS233" s="1074"/>
      <c r="AT233" s="1075"/>
    </row>
    <row r="234" ht="14.25" customHeight="1">
      <c r="A234" s="1116"/>
      <c r="B234" s="1120"/>
      <c r="C234" s="1100"/>
      <c r="D234" s="1100"/>
      <c r="E234" s="1100"/>
      <c r="F234" s="1100"/>
      <c r="G234" s="1100"/>
      <c r="H234" s="1100"/>
      <c r="I234" s="1100"/>
      <c r="J234" s="1100"/>
      <c r="K234" s="1074"/>
      <c r="L234" s="1074"/>
      <c r="M234" s="1074"/>
      <c r="N234" s="1074"/>
      <c r="O234" s="1074"/>
      <c r="P234" s="1074"/>
      <c r="Q234" s="1074"/>
      <c r="R234" s="1074"/>
      <c r="S234" s="1074"/>
      <c r="T234" s="1074"/>
      <c r="U234" s="1074"/>
      <c r="V234" s="1074"/>
      <c r="W234" s="1074"/>
      <c r="X234" s="1074"/>
      <c r="Y234" s="1074"/>
      <c r="Z234" s="1074"/>
      <c r="AA234" s="1074"/>
      <c r="AB234" s="1074"/>
      <c r="AC234" s="1074"/>
      <c r="AD234" s="1074"/>
      <c r="AE234" s="1074"/>
      <c r="AF234" s="1074"/>
      <c r="AG234" s="1074"/>
      <c r="AH234" s="1074"/>
      <c r="AI234" s="1074"/>
      <c r="AJ234" s="1074"/>
      <c r="AK234" s="1074"/>
      <c r="AL234" s="1074"/>
      <c r="AM234" s="1074"/>
      <c r="AN234" s="1074"/>
      <c r="AO234" s="1074"/>
      <c r="AP234" s="1074"/>
      <c r="AQ234" s="1074"/>
      <c r="AR234" s="1074"/>
      <c r="AS234" s="1074"/>
      <c r="AT234" s="1075"/>
    </row>
    <row r="235" ht="14.25" customHeight="1">
      <c r="A235" s="1116"/>
      <c r="B235" s="1120"/>
      <c r="C235" s="1100"/>
      <c r="D235" s="1100"/>
      <c r="E235" s="1100"/>
      <c r="F235" s="1100"/>
      <c r="G235" s="1100"/>
      <c r="H235" s="1100"/>
      <c r="I235" s="1100"/>
      <c r="J235" s="1100"/>
      <c r="K235" s="1074"/>
      <c r="L235" s="1074"/>
      <c r="M235" s="1074"/>
      <c r="N235" s="1074"/>
      <c r="O235" s="1074"/>
      <c r="P235" s="1074"/>
      <c r="Q235" s="1074"/>
      <c r="R235" s="1074"/>
      <c r="S235" s="1074"/>
      <c r="T235" s="1074"/>
      <c r="U235" s="1074"/>
      <c r="V235" s="1074"/>
      <c r="W235" s="1074"/>
      <c r="X235" s="1074"/>
      <c r="Y235" s="1074"/>
      <c r="Z235" s="1074"/>
      <c r="AA235" s="1074"/>
      <c r="AB235" s="1074"/>
      <c r="AC235" s="1074"/>
      <c r="AD235" s="1074"/>
      <c r="AE235" s="1074"/>
      <c r="AF235" s="1074"/>
      <c r="AG235" s="1074"/>
      <c r="AH235" s="1074"/>
      <c r="AI235" s="1074"/>
      <c r="AJ235" s="1074"/>
      <c r="AK235" s="1074"/>
      <c r="AL235" s="1074"/>
      <c r="AM235" s="1074"/>
      <c r="AN235" s="1074"/>
      <c r="AO235" s="1074"/>
      <c r="AP235" s="1074"/>
      <c r="AQ235" s="1074"/>
      <c r="AR235" s="1074"/>
      <c r="AS235" s="1074"/>
      <c r="AT235" s="1075"/>
    </row>
    <row r="236" ht="14.25" customHeight="1">
      <c r="A236" s="1116"/>
      <c r="B236" s="1120"/>
      <c r="C236" s="1100"/>
      <c r="D236" s="1100"/>
      <c r="E236" s="1100"/>
      <c r="F236" s="1100"/>
      <c r="G236" s="1100"/>
      <c r="H236" s="1100"/>
      <c r="I236" s="1100"/>
      <c r="J236" s="1100"/>
      <c r="K236" s="1074"/>
      <c r="L236" s="1074"/>
      <c r="M236" s="1074"/>
      <c r="N236" s="1074"/>
      <c r="O236" s="1074"/>
      <c r="P236" s="1074"/>
      <c r="Q236" s="1074"/>
      <c r="R236" s="1074"/>
      <c r="S236" s="1074"/>
      <c r="T236" s="1074"/>
      <c r="U236" s="1074"/>
      <c r="V236" s="1074"/>
      <c r="W236" s="1074"/>
      <c r="X236" s="1074"/>
      <c r="Y236" s="1074"/>
      <c r="Z236" s="1074"/>
      <c r="AA236" s="1074"/>
      <c r="AB236" s="1074"/>
      <c r="AC236" s="1074"/>
      <c r="AD236" s="1074"/>
      <c r="AE236" s="1074"/>
      <c r="AF236" s="1074"/>
      <c r="AG236" s="1074"/>
      <c r="AH236" s="1074"/>
      <c r="AI236" s="1074"/>
      <c r="AJ236" s="1074"/>
      <c r="AK236" s="1074"/>
      <c r="AL236" s="1074"/>
      <c r="AM236" s="1074"/>
      <c r="AN236" s="1074"/>
      <c r="AO236" s="1074"/>
      <c r="AP236" s="1074"/>
      <c r="AQ236" s="1074"/>
      <c r="AR236" s="1074"/>
      <c r="AS236" s="1074"/>
      <c r="AT236" s="1075"/>
    </row>
    <row r="237" ht="14.25" customHeight="1">
      <c r="A237" s="1116"/>
      <c r="B237" s="1120"/>
      <c r="C237" s="1100"/>
      <c r="D237" s="1100"/>
      <c r="E237" s="1100"/>
      <c r="F237" s="1100"/>
      <c r="G237" s="1100"/>
      <c r="H237" s="1100"/>
      <c r="I237" s="1100"/>
      <c r="J237" s="1100"/>
      <c r="K237" s="1074"/>
      <c r="L237" s="1074"/>
      <c r="M237" s="1074"/>
      <c r="N237" s="1074"/>
      <c r="O237" s="1074"/>
      <c r="P237" s="1074"/>
      <c r="Q237" s="1074"/>
      <c r="R237" s="1074"/>
      <c r="S237" s="1074"/>
      <c r="T237" s="1074"/>
      <c r="U237" s="1074"/>
      <c r="V237" s="1074"/>
      <c r="W237" s="1074"/>
      <c r="X237" s="1074"/>
      <c r="Y237" s="1074"/>
      <c r="Z237" s="1074"/>
      <c r="AA237" s="1074"/>
      <c r="AB237" s="1074"/>
      <c r="AC237" s="1074"/>
      <c r="AD237" s="1074"/>
      <c r="AE237" s="1074"/>
      <c r="AF237" s="1074"/>
      <c r="AG237" s="1074"/>
      <c r="AH237" s="1074"/>
      <c r="AI237" s="1074"/>
      <c r="AJ237" s="1074"/>
      <c r="AK237" s="1074"/>
      <c r="AL237" s="1074"/>
      <c r="AM237" s="1074"/>
      <c r="AN237" s="1074"/>
      <c r="AO237" s="1074"/>
      <c r="AP237" s="1074"/>
      <c r="AQ237" s="1074"/>
      <c r="AR237" s="1074"/>
      <c r="AS237" s="1074"/>
      <c r="AT237" s="1075"/>
    </row>
    <row r="238" ht="14.25" customHeight="1">
      <c r="A238" s="1116"/>
      <c r="B238" s="1120"/>
      <c r="C238" s="1100"/>
      <c r="D238" s="1100"/>
      <c r="E238" s="1100"/>
      <c r="F238" s="1100"/>
      <c r="G238" s="1100"/>
      <c r="H238" s="1100"/>
      <c r="I238" s="1100"/>
      <c r="J238" s="1100"/>
      <c r="K238" s="1074"/>
      <c r="L238" s="1074"/>
      <c r="M238" s="1074"/>
      <c r="N238" s="1074"/>
      <c r="O238" s="1074"/>
      <c r="P238" s="1074"/>
      <c r="Q238" s="1074"/>
      <c r="R238" s="1074"/>
      <c r="S238" s="1074"/>
      <c r="T238" s="1074"/>
      <c r="U238" s="1074"/>
      <c r="V238" s="1074"/>
      <c r="W238" s="1074"/>
      <c r="X238" s="1074"/>
      <c r="Y238" s="1074"/>
      <c r="Z238" s="1074"/>
      <c r="AA238" s="1074"/>
      <c r="AB238" s="1074"/>
      <c r="AC238" s="1074"/>
      <c r="AD238" s="1074"/>
      <c r="AE238" s="1074"/>
      <c r="AF238" s="1074"/>
      <c r="AG238" s="1074"/>
      <c r="AH238" s="1074"/>
      <c r="AI238" s="1074"/>
      <c r="AJ238" s="1074"/>
      <c r="AK238" s="1074"/>
      <c r="AL238" s="1074"/>
      <c r="AM238" s="1074"/>
      <c r="AN238" s="1074"/>
      <c r="AO238" s="1074"/>
      <c r="AP238" s="1074"/>
      <c r="AQ238" s="1074"/>
      <c r="AR238" s="1074"/>
      <c r="AS238" s="1074"/>
      <c r="AT238" s="1075"/>
    </row>
    <row r="239" ht="14.25" customHeight="1">
      <c r="A239" s="1116"/>
      <c r="B239" s="1120"/>
      <c r="C239" s="1100"/>
      <c r="D239" s="1100"/>
      <c r="E239" s="1100"/>
      <c r="F239" s="1100"/>
      <c r="G239" s="1100"/>
      <c r="H239" s="1100"/>
      <c r="I239" s="1100"/>
      <c r="J239" s="1100"/>
      <c r="K239" s="1074"/>
      <c r="L239" s="1074"/>
      <c r="M239" s="1074"/>
      <c r="N239" s="1074"/>
      <c r="O239" s="1074"/>
      <c r="P239" s="1074"/>
      <c r="Q239" s="1074"/>
      <c r="R239" s="1074"/>
      <c r="S239" s="1074"/>
      <c r="T239" s="1074"/>
      <c r="U239" s="1074"/>
      <c r="V239" s="1074"/>
      <c r="W239" s="1074"/>
      <c r="X239" s="1074"/>
      <c r="Y239" s="1074"/>
      <c r="Z239" s="1074"/>
      <c r="AA239" s="1074"/>
      <c r="AB239" s="1074"/>
      <c r="AC239" s="1074"/>
      <c r="AD239" s="1074"/>
      <c r="AE239" s="1074"/>
      <c r="AF239" s="1074"/>
      <c r="AG239" s="1074"/>
      <c r="AH239" s="1074"/>
      <c r="AI239" s="1074"/>
      <c r="AJ239" s="1074"/>
      <c r="AK239" s="1074"/>
      <c r="AL239" s="1074"/>
      <c r="AM239" s="1074"/>
      <c r="AN239" s="1074"/>
      <c r="AO239" s="1074"/>
      <c r="AP239" s="1074"/>
      <c r="AQ239" s="1074"/>
      <c r="AR239" s="1074"/>
      <c r="AS239" s="1074"/>
      <c r="AT239" s="1075"/>
    </row>
    <row r="240" ht="14.25" customHeight="1">
      <c r="A240" s="1116"/>
      <c r="B240" s="1120"/>
      <c r="C240" s="1100"/>
      <c r="D240" s="1100"/>
      <c r="E240" s="1100"/>
      <c r="F240" s="1100"/>
      <c r="G240" s="1100"/>
      <c r="H240" s="1100"/>
      <c r="I240" s="1100"/>
      <c r="J240" s="1100"/>
      <c r="K240" s="1074"/>
      <c r="L240" s="1074"/>
      <c r="M240" s="1074"/>
      <c r="N240" s="1074"/>
      <c r="O240" s="1074"/>
      <c r="P240" s="1074"/>
      <c r="Q240" s="1074"/>
      <c r="R240" s="1074"/>
      <c r="S240" s="1074"/>
      <c r="T240" s="1074"/>
      <c r="U240" s="1074"/>
      <c r="V240" s="1074"/>
      <c r="W240" s="1074"/>
      <c r="X240" s="1074"/>
      <c r="Y240" s="1074"/>
      <c r="Z240" s="1074"/>
      <c r="AA240" s="1074"/>
      <c r="AB240" s="1074"/>
      <c r="AC240" s="1074"/>
      <c r="AD240" s="1074"/>
      <c r="AE240" s="1074"/>
      <c r="AF240" s="1074"/>
      <c r="AG240" s="1074"/>
      <c r="AH240" s="1074"/>
      <c r="AI240" s="1074"/>
      <c r="AJ240" s="1074"/>
      <c r="AK240" s="1074"/>
      <c r="AL240" s="1074"/>
      <c r="AM240" s="1074"/>
      <c r="AN240" s="1074"/>
      <c r="AO240" s="1074"/>
      <c r="AP240" s="1074"/>
      <c r="AQ240" s="1074"/>
      <c r="AR240" s="1074"/>
      <c r="AS240" s="1074"/>
      <c r="AT240" s="1075"/>
    </row>
    <row r="241" ht="14.25" customHeight="1">
      <c r="A241" s="1116"/>
      <c r="B241" s="1120"/>
      <c r="C241" s="1100"/>
      <c r="D241" s="1100"/>
      <c r="E241" s="1100"/>
      <c r="F241" s="1100"/>
      <c r="G241" s="1100"/>
      <c r="H241" s="1100"/>
      <c r="I241" s="1100"/>
      <c r="J241" s="1100"/>
      <c r="K241" s="1074"/>
      <c r="L241" s="1074"/>
      <c r="M241" s="1074"/>
      <c r="N241" s="1074"/>
      <c r="O241" s="1074"/>
      <c r="P241" s="1074"/>
      <c r="Q241" s="1074"/>
      <c r="R241" s="1074"/>
      <c r="S241" s="1074"/>
      <c r="T241" s="1074"/>
      <c r="U241" s="1074"/>
      <c r="V241" s="1074"/>
      <c r="W241" s="1074"/>
      <c r="X241" s="1074"/>
      <c r="Y241" s="1074"/>
      <c r="Z241" s="1074"/>
      <c r="AA241" s="1074"/>
      <c r="AB241" s="1074"/>
      <c r="AC241" s="1074"/>
      <c r="AD241" s="1074"/>
      <c r="AE241" s="1074"/>
      <c r="AF241" s="1074"/>
      <c r="AG241" s="1074"/>
      <c r="AH241" s="1074"/>
      <c r="AI241" s="1074"/>
      <c r="AJ241" s="1074"/>
      <c r="AK241" s="1074"/>
      <c r="AL241" s="1074"/>
      <c r="AM241" s="1074"/>
      <c r="AN241" s="1074"/>
      <c r="AO241" s="1074"/>
      <c r="AP241" s="1074"/>
      <c r="AQ241" s="1074"/>
      <c r="AR241" s="1074"/>
      <c r="AS241" s="1074"/>
      <c r="AT241" s="1075"/>
    </row>
    <row r="242" ht="14.25" customHeight="1">
      <c r="A242" s="1116"/>
      <c r="B242" s="1120"/>
      <c r="C242" s="1100"/>
      <c r="D242" s="1100"/>
      <c r="E242" s="1100"/>
      <c r="F242" s="1100"/>
      <c r="G242" s="1100"/>
      <c r="H242" s="1100"/>
      <c r="I242" s="1100"/>
      <c r="J242" s="1100"/>
      <c r="K242" s="1074"/>
      <c r="L242" s="1074"/>
      <c r="M242" s="1074"/>
      <c r="N242" s="1074"/>
      <c r="O242" s="1074"/>
      <c r="P242" s="1074"/>
      <c r="Q242" s="1074"/>
      <c r="R242" s="1074"/>
      <c r="S242" s="1074"/>
      <c r="T242" s="1074"/>
      <c r="U242" s="1074"/>
      <c r="V242" s="1074"/>
      <c r="W242" s="1074"/>
      <c r="X242" s="1074"/>
      <c r="Y242" s="1074"/>
      <c r="Z242" s="1074"/>
      <c r="AA242" s="1074"/>
      <c r="AB242" s="1074"/>
      <c r="AC242" s="1074"/>
      <c r="AD242" s="1074"/>
      <c r="AE242" s="1074"/>
      <c r="AF242" s="1074"/>
      <c r="AG242" s="1074"/>
      <c r="AH242" s="1074"/>
      <c r="AI242" s="1074"/>
      <c r="AJ242" s="1074"/>
      <c r="AK242" s="1074"/>
      <c r="AL242" s="1074"/>
      <c r="AM242" s="1074"/>
      <c r="AN242" s="1074"/>
      <c r="AO242" s="1074"/>
      <c r="AP242" s="1074"/>
      <c r="AQ242" s="1074"/>
      <c r="AR242" s="1074"/>
      <c r="AS242" s="1074"/>
      <c r="AT242" s="1075"/>
    </row>
    <row r="243" ht="14.25" customHeight="1">
      <c r="A243" s="1116"/>
      <c r="B243" s="1120"/>
      <c r="C243" s="1100"/>
      <c r="D243" s="1100"/>
      <c r="E243" s="1100"/>
      <c r="F243" s="1100"/>
      <c r="G243" s="1100"/>
      <c r="H243" s="1100"/>
      <c r="I243" s="1100"/>
      <c r="J243" s="1100"/>
      <c r="K243" s="1074"/>
      <c r="L243" s="1074"/>
      <c r="M243" s="1074"/>
      <c r="N243" s="1074"/>
      <c r="O243" s="1074"/>
      <c r="P243" s="1074"/>
      <c r="Q243" s="1074"/>
      <c r="R243" s="1074"/>
      <c r="S243" s="1074"/>
      <c r="T243" s="1074"/>
      <c r="U243" s="1074"/>
      <c r="V243" s="1074"/>
      <c r="W243" s="1074"/>
      <c r="X243" s="1074"/>
      <c r="Y243" s="1074"/>
      <c r="Z243" s="1074"/>
      <c r="AA243" s="1074"/>
      <c r="AB243" s="1074"/>
      <c r="AC243" s="1074"/>
      <c r="AD243" s="1074"/>
      <c r="AE243" s="1074"/>
      <c r="AF243" s="1074"/>
      <c r="AG243" s="1074"/>
      <c r="AH243" s="1074"/>
      <c r="AI243" s="1074"/>
      <c r="AJ243" s="1074"/>
      <c r="AK243" s="1074"/>
      <c r="AL243" s="1074"/>
      <c r="AM243" s="1074"/>
      <c r="AN243" s="1074"/>
      <c r="AO243" s="1074"/>
      <c r="AP243" s="1074"/>
      <c r="AQ243" s="1074"/>
      <c r="AR243" s="1074"/>
      <c r="AS243" s="1074"/>
      <c r="AT243" s="1075"/>
    </row>
    <row r="244" ht="14.25" customHeight="1">
      <c r="A244" s="1116"/>
      <c r="B244" s="1120"/>
      <c r="C244" s="1100"/>
      <c r="D244" s="1100"/>
      <c r="E244" s="1100"/>
      <c r="F244" s="1100"/>
      <c r="G244" s="1100"/>
      <c r="H244" s="1100"/>
      <c r="I244" s="1100"/>
      <c r="J244" s="1100"/>
      <c r="K244" s="1074"/>
      <c r="L244" s="1074"/>
      <c r="M244" s="1074"/>
      <c r="N244" s="1074"/>
      <c r="O244" s="1074"/>
      <c r="P244" s="1074"/>
      <c r="Q244" s="1074"/>
      <c r="R244" s="1074"/>
      <c r="S244" s="1074"/>
      <c r="T244" s="1074"/>
      <c r="U244" s="1074"/>
      <c r="V244" s="1074"/>
      <c r="W244" s="1074"/>
      <c r="X244" s="1074"/>
      <c r="Y244" s="1074"/>
      <c r="Z244" s="1074"/>
      <c r="AA244" s="1074"/>
      <c r="AB244" s="1074"/>
      <c r="AC244" s="1074"/>
      <c r="AD244" s="1074"/>
      <c r="AE244" s="1074"/>
      <c r="AF244" s="1074"/>
      <c r="AG244" s="1074"/>
      <c r="AH244" s="1074"/>
      <c r="AI244" s="1074"/>
      <c r="AJ244" s="1074"/>
      <c r="AK244" s="1074"/>
      <c r="AL244" s="1074"/>
      <c r="AM244" s="1074"/>
      <c r="AN244" s="1074"/>
      <c r="AO244" s="1074"/>
      <c r="AP244" s="1074"/>
      <c r="AQ244" s="1074"/>
      <c r="AR244" s="1074"/>
      <c r="AS244" s="1074"/>
      <c r="AT244" s="1075"/>
    </row>
    <row r="245" ht="14.25" customHeight="1">
      <c r="A245" s="1116"/>
      <c r="B245" s="1120"/>
      <c r="C245" s="1100"/>
      <c r="D245" s="1100"/>
      <c r="E245" s="1100"/>
      <c r="F245" s="1100"/>
      <c r="G245" s="1100"/>
      <c r="H245" s="1100"/>
      <c r="I245" s="1100"/>
      <c r="J245" s="1100"/>
      <c r="K245" s="1074"/>
      <c r="L245" s="1074"/>
      <c r="M245" s="1074"/>
      <c r="N245" s="1074"/>
      <c r="O245" s="1074"/>
      <c r="P245" s="1074"/>
      <c r="Q245" s="1074"/>
      <c r="R245" s="1074"/>
      <c r="S245" s="1074"/>
      <c r="T245" s="1074"/>
      <c r="U245" s="1074"/>
      <c r="V245" s="1074"/>
      <c r="W245" s="1074"/>
      <c r="X245" s="1074"/>
      <c r="Y245" s="1074"/>
      <c r="Z245" s="1074"/>
      <c r="AA245" s="1074"/>
      <c r="AB245" s="1074"/>
      <c r="AC245" s="1074"/>
      <c r="AD245" s="1074"/>
      <c r="AE245" s="1074"/>
      <c r="AF245" s="1074"/>
      <c r="AG245" s="1074"/>
      <c r="AH245" s="1074"/>
      <c r="AI245" s="1074"/>
      <c r="AJ245" s="1074"/>
      <c r="AK245" s="1074"/>
      <c r="AL245" s="1074"/>
      <c r="AM245" s="1074"/>
      <c r="AN245" s="1074"/>
      <c r="AO245" s="1074"/>
      <c r="AP245" s="1074"/>
      <c r="AQ245" s="1074"/>
      <c r="AR245" s="1074"/>
      <c r="AS245" s="1074"/>
      <c r="AT245" s="1075"/>
    </row>
    <row r="246" ht="14.25" customHeight="1">
      <c r="A246" s="1116"/>
      <c r="B246" s="1120"/>
      <c r="C246" s="1100"/>
      <c r="D246" s="1100"/>
      <c r="E246" s="1100"/>
      <c r="F246" s="1100"/>
      <c r="G246" s="1100"/>
      <c r="H246" s="1100"/>
      <c r="I246" s="1100"/>
      <c r="J246" s="1100"/>
      <c r="K246" s="1074"/>
      <c r="L246" s="1074"/>
      <c r="M246" s="1074"/>
      <c r="N246" s="1074"/>
      <c r="O246" s="1074"/>
      <c r="P246" s="1074"/>
      <c r="Q246" s="1074"/>
      <c r="R246" s="1074"/>
      <c r="S246" s="1074"/>
      <c r="T246" s="1074"/>
      <c r="U246" s="1074"/>
      <c r="V246" s="1074"/>
      <c r="W246" s="1074"/>
      <c r="X246" s="1074"/>
      <c r="Y246" s="1074"/>
      <c r="Z246" s="1074"/>
      <c r="AA246" s="1074"/>
      <c r="AB246" s="1074"/>
      <c r="AC246" s="1074"/>
      <c r="AD246" s="1074"/>
      <c r="AE246" s="1074"/>
      <c r="AF246" s="1074"/>
      <c r="AG246" s="1074"/>
      <c r="AH246" s="1074"/>
      <c r="AI246" s="1074"/>
      <c r="AJ246" s="1074"/>
      <c r="AK246" s="1074"/>
      <c r="AL246" s="1074"/>
      <c r="AM246" s="1074"/>
      <c r="AN246" s="1074"/>
      <c r="AO246" s="1074"/>
      <c r="AP246" s="1074"/>
      <c r="AQ246" s="1074"/>
      <c r="AR246" s="1074"/>
      <c r="AS246" s="1074"/>
      <c r="AT246" s="1075"/>
    </row>
    <row r="247" ht="14.25" customHeight="1">
      <c r="A247" s="1116"/>
      <c r="B247" s="1120"/>
      <c r="C247" s="1100"/>
      <c r="D247" s="1100"/>
      <c r="E247" s="1100"/>
      <c r="F247" s="1100"/>
      <c r="G247" s="1100"/>
      <c r="H247" s="1100"/>
      <c r="I247" s="1100"/>
      <c r="J247" s="1100"/>
      <c r="K247" s="1074"/>
      <c r="L247" s="1074"/>
      <c r="M247" s="1074"/>
      <c r="N247" s="1074"/>
      <c r="O247" s="1074"/>
      <c r="P247" s="1074"/>
      <c r="Q247" s="1074"/>
      <c r="R247" s="1074"/>
      <c r="S247" s="1074"/>
      <c r="T247" s="1074"/>
      <c r="U247" s="1074"/>
      <c r="V247" s="1074"/>
      <c r="W247" s="1074"/>
      <c r="X247" s="1074"/>
      <c r="Y247" s="1074"/>
      <c r="Z247" s="1074"/>
      <c r="AA247" s="1074"/>
      <c r="AB247" s="1074"/>
      <c r="AC247" s="1074"/>
      <c r="AD247" s="1074"/>
      <c r="AE247" s="1074"/>
      <c r="AF247" s="1074"/>
      <c r="AG247" s="1074"/>
      <c r="AH247" s="1074"/>
      <c r="AI247" s="1074"/>
      <c r="AJ247" s="1074"/>
      <c r="AK247" s="1074"/>
      <c r="AL247" s="1074"/>
      <c r="AM247" s="1074"/>
      <c r="AN247" s="1074"/>
      <c r="AO247" s="1074"/>
      <c r="AP247" s="1074"/>
      <c r="AQ247" s="1074"/>
      <c r="AR247" s="1074"/>
      <c r="AS247" s="1074"/>
      <c r="AT247" s="1075"/>
    </row>
    <row r="248" ht="14.25" customHeight="1">
      <c r="A248" s="1116"/>
      <c r="B248" s="1120"/>
      <c r="C248" s="1100"/>
      <c r="D248" s="1100"/>
      <c r="E248" s="1100"/>
      <c r="F248" s="1100"/>
      <c r="G248" s="1100"/>
      <c r="H248" s="1100"/>
      <c r="I248" s="1100"/>
      <c r="J248" s="1100"/>
      <c r="K248" s="1074"/>
      <c r="L248" s="1074"/>
      <c r="M248" s="1074"/>
      <c r="N248" s="1074"/>
      <c r="O248" s="1074"/>
      <c r="P248" s="1074"/>
      <c r="Q248" s="1074"/>
      <c r="R248" s="1074"/>
      <c r="S248" s="1074"/>
      <c r="T248" s="1074"/>
      <c r="U248" s="1074"/>
      <c r="V248" s="1074"/>
      <c r="W248" s="1074"/>
      <c r="X248" s="1074"/>
      <c r="Y248" s="1074"/>
      <c r="Z248" s="1074"/>
      <c r="AA248" s="1074"/>
      <c r="AB248" s="1074"/>
      <c r="AC248" s="1074"/>
      <c r="AD248" s="1074"/>
      <c r="AE248" s="1074"/>
      <c r="AF248" s="1074"/>
      <c r="AG248" s="1074"/>
      <c r="AH248" s="1074"/>
      <c r="AI248" s="1074"/>
      <c r="AJ248" s="1074"/>
      <c r="AK248" s="1074"/>
      <c r="AL248" s="1074"/>
      <c r="AM248" s="1074"/>
      <c r="AN248" s="1074"/>
      <c r="AO248" s="1074"/>
      <c r="AP248" s="1074"/>
      <c r="AQ248" s="1074"/>
      <c r="AR248" s="1074"/>
      <c r="AS248" s="1074"/>
      <c r="AT248" s="1075"/>
    </row>
    <row r="249" ht="14.25" customHeight="1">
      <c r="A249" s="1116"/>
      <c r="B249" s="1120"/>
      <c r="C249" s="1100"/>
      <c r="D249" s="1100"/>
      <c r="E249" s="1100"/>
      <c r="F249" s="1100"/>
      <c r="G249" s="1100"/>
      <c r="H249" s="1100"/>
      <c r="I249" s="1100"/>
      <c r="J249" s="1100"/>
      <c r="K249" s="1074"/>
      <c r="L249" s="1074"/>
      <c r="M249" s="1074"/>
      <c r="N249" s="1074"/>
      <c r="O249" s="1074"/>
      <c r="P249" s="1074"/>
      <c r="Q249" s="1074"/>
      <c r="R249" s="1074"/>
      <c r="S249" s="1074"/>
      <c r="T249" s="1074"/>
      <c r="U249" s="1074"/>
      <c r="V249" s="1074"/>
      <c r="W249" s="1074"/>
      <c r="X249" s="1074"/>
      <c r="Y249" s="1074"/>
      <c r="Z249" s="1074"/>
      <c r="AA249" s="1074"/>
      <c r="AB249" s="1074"/>
      <c r="AC249" s="1074"/>
      <c r="AD249" s="1074"/>
      <c r="AE249" s="1074"/>
      <c r="AF249" s="1074"/>
      <c r="AG249" s="1074"/>
      <c r="AH249" s="1074"/>
      <c r="AI249" s="1074"/>
      <c r="AJ249" s="1074"/>
      <c r="AK249" s="1074"/>
      <c r="AL249" s="1074"/>
      <c r="AM249" s="1074"/>
      <c r="AN249" s="1074"/>
      <c r="AO249" s="1074"/>
      <c r="AP249" s="1074"/>
      <c r="AQ249" s="1074"/>
      <c r="AR249" s="1074"/>
      <c r="AS249" s="1074"/>
      <c r="AT249" s="1075"/>
    </row>
    <row r="250" ht="14.25" customHeight="1">
      <c r="A250" s="1116"/>
      <c r="B250" s="1120"/>
      <c r="C250" s="1100"/>
      <c r="D250" s="1100"/>
      <c r="E250" s="1100"/>
      <c r="F250" s="1100"/>
      <c r="G250" s="1100"/>
      <c r="H250" s="1100"/>
      <c r="I250" s="1100"/>
      <c r="J250" s="1100"/>
      <c r="K250" s="1074"/>
      <c r="L250" s="1074"/>
      <c r="M250" s="1074"/>
      <c r="N250" s="1074"/>
      <c r="O250" s="1074"/>
      <c r="P250" s="1074"/>
      <c r="Q250" s="1074"/>
      <c r="R250" s="1074"/>
      <c r="S250" s="1074"/>
      <c r="T250" s="1074"/>
      <c r="U250" s="1074"/>
      <c r="V250" s="1074"/>
      <c r="W250" s="1074"/>
      <c r="X250" s="1074"/>
      <c r="Y250" s="1074"/>
      <c r="Z250" s="1074"/>
      <c r="AA250" s="1074"/>
      <c r="AB250" s="1074"/>
      <c r="AC250" s="1074"/>
      <c r="AD250" s="1074"/>
      <c r="AE250" s="1074"/>
      <c r="AF250" s="1074"/>
      <c r="AG250" s="1074"/>
      <c r="AH250" s="1074"/>
      <c r="AI250" s="1074"/>
      <c r="AJ250" s="1074"/>
      <c r="AK250" s="1074"/>
      <c r="AL250" s="1074"/>
      <c r="AM250" s="1074"/>
      <c r="AN250" s="1074"/>
      <c r="AO250" s="1074"/>
      <c r="AP250" s="1074"/>
      <c r="AQ250" s="1074"/>
      <c r="AR250" s="1074"/>
      <c r="AS250" s="1074"/>
      <c r="AT250" s="1075"/>
    </row>
    <row r="251" ht="14.25" customHeight="1">
      <c r="A251" s="1116"/>
      <c r="B251" s="1120"/>
      <c r="C251" s="1100"/>
      <c r="D251" s="1100"/>
      <c r="E251" s="1100"/>
      <c r="F251" s="1100"/>
      <c r="G251" s="1100"/>
      <c r="H251" s="1100"/>
      <c r="I251" s="1100"/>
      <c r="J251" s="1100"/>
      <c r="K251" s="1074"/>
      <c r="L251" s="1074"/>
      <c r="M251" s="1074"/>
      <c r="N251" s="1074"/>
      <c r="O251" s="1074"/>
      <c r="P251" s="1074"/>
      <c r="Q251" s="1074"/>
      <c r="R251" s="1074"/>
      <c r="S251" s="1074"/>
      <c r="T251" s="1074"/>
      <c r="U251" s="1074"/>
      <c r="V251" s="1074"/>
      <c r="W251" s="1074"/>
      <c r="X251" s="1074"/>
      <c r="Y251" s="1074"/>
      <c r="Z251" s="1074"/>
      <c r="AA251" s="1074"/>
      <c r="AB251" s="1074"/>
      <c r="AC251" s="1074"/>
      <c r="AD251" s="1074"/>
      <c r="AE251" s="1074"/>
      <c r="AF251" s="1074"/>
      <c r="AG251" s="1074"/>
      <c r="AH251" s="1074"/>
      <c r="AI251" s="1074"/>
      <c r="AJ251" s="1074"/>
      <c r="AK251" s="1074"/>
      <c r="AL251" s="1074"/>
      <c r="AM251" s="1074"/>
      <c r="AN251" s="1074"/>
      <c r="AO251" s="1074"/>
      <c r="AP251" s="1074"/>
      <c r="AQ251" s="1074"/>
      <c r="AR251" s="1074"/>
      <c r="AS251" s="1074"/>
      <c r="AT251" s="1075"/>
    </row>
    <row r="252" ht="14.25" customHeight="1">
      <c r="A252" s="1116"/>
      <c r="B252" s="1120"/>
      <c r="C252" s="1100"/>
      <c r="D252" s="1100"/>
      <c r="E252" s="1100"/>
      <c r="F252" s="1100"/>
      <c r="G252" s="1100"/>
      <c r="H252" s="1100"/>
      <c r="I252" s="1100"/>
      <c r="J252" s="1100"/>
      <c r="K252" s="1074"/>
      <c r="L252" s="1074"/>
      <c r="M252" s="1074"/>
      <c r="N252" s="1074"/>
      <c r="O252" s="1074"/>
      <c r="P252" s="1074"/>
      <c r="Q252" s="1074"/>
      <c r="R252" s="1074"/>
      <c r="S252" s="1074"/>
      <c r="T252" s="1074"/>
      <c r="U252" s="1074"/>
      <c r="V252" s="1074"/>
      <c r="W252" s="1074"/>
      <c r="X252" s="1074"/>
      <c r="Y252" s="1074"/>
      <c r="Z252" s="1074"/>
      <c r="AA252" s="1074"/>
      <c r="AB252" s="1074"/>
      <c r="AC252" s="1074"/>
      <c r="AD252" s="1074"/>
      <c r="AE252" s="1074"/>
      <c r="AF252" s="1074"/>
      <c r="AG252" s="1074"/>
      <c r="AH252" s="1074"/>
      <c r="AI252" s="1074"/>
      <c r="AJ252" s="1074"/>
      <c r="AK252" s="1074"/>
      <c r="AL252" s="1074"/>
      <c r="AM252" s="1074"/>
      <c r="AN252" s="1074"/>
      <c r="AO252" s="1074"/>
      <c r="AP252" s="1074"/>
      <c r="AQ252" s="1074"/>
      <c r="AR252" s="1074"/>
      <c r="AS252" s="1074"/>
      <c r="AT252" s="1075"/>
    </row>
    <row r="253" ht="14.25" customHeight="1">
      <c r="A253" s="1116"/>
      <c r="B253" s="1120"/>
      <c r="C253" s="1100"/>
      <c r="D253" s="1100"/>
      <c r="E253" s="1100"/>
      <c r="F253" s="1100"/>
      <c r="G253" s="1100"/>
      <c r="H253" s="1100"/>
      <c r="I253" s="1100"/>
      <c r="J253" s="1100"/>
      <c r="K253" s="1074"/>
      <c r="L253" s="1074"/>
      <c r="M253" s="1074"/>
      <c r="N253" s="1074"/>
      <c r="O253" s="1074"/>
      <c r="P253" s="1074"/>
      <c r="Q253" s="1074"/>
      <c r="R253" s="1074"/>
      <c r="S253" s="1074"/>
      <c r="T253" s="1074"/>
      <c r="U253" s="1074"/>
      <c r="V253" s="1074"/>
      <c r="W253" s="1074"/>
      <c r="X253" s="1074"/>
      <c r="Y253" s="1074"/>
      <c r="Z253" s="1074"/>
      <c r="AA253" s="1074"/>
      <c r="AB253" s="1074"/>
      <c r="AC253" s="1074"/>
      <c r="AD253" s="1074"/>
      <c r="AE253" s="1074"/>
      <c r="AF253" s="1074"/>
      <c r="AG253" s="1074"/>
      <c r="AH253" s="1074"/>
      <c r="AI253" s="1074"/>
      <c r="AJ253" s="1074"/>
      <c r="AK253" s="1074"/>
      <c r="AL253" s="1074"/>
      <c r="AM253" s="1074"/>
      <c r="AN253" s="1074"/>
      <c r="AO253" s="1074"/>
      <c r="AP253" s="1074"/>
      <c r="AQ253" s="1074"/>
      <c r="AR253" s="1074"/>
      <c r="AS253" s="1074"/>
      <c r="AT253" s="1075"/>
    </row>
    <row r="254" ht="14.25" customHeight="1">
      <c r="A254" s="1116"/>
      <c r="B254" s="1120"/>
      <c r="C254" s="1100"/>
      <c r="D254" s="1100"/>
      <c r="E254" s="1100"/>
      <c r="F254" s="1100"/>
      <c r="G254" s="1100"/>
      <c r="H254" s="1100"/>
      <c r="I254" s="1100"/>
      <c r="J254" s="1100"/>
      <c r="K254" s="1074"/>
      <c r="L254" s="1074"/>
      <c r="M254" s="1074"/>
      <c r="N254" s="1074"/>
      <c r="O254" s="1074"/>
      <c r="P254" s="1074"/>
      <c r="Q254" s="1074"/>
      <c r="R254" s="1074"/>
      <c r="S254" s="1074"/>
      <c r="T254" s="1074"/>
      <c r="U254" s="1074"/>
      <c r="V254" s="1074"/>
      <c r="W254" s="1074"/>
      <c r="X254" s="1074"/>
      <c r="Y254" s="1074"/>
      <c r="Z254" s="1074"/>
      <c r="AA254" s="1074"/>
      <c r="AB254" s="1074"/>
      <c r="AC254" s="1074"/>
      <c r="AD254" s="1074"/>
      <c r="AE254" s="1074"/>
      <c r="AF254" s="1074"/>
      <c r="AG254" s="1074"/>
      <c r="AH254" s="1074"/>
      <c r="AI254" s="1074"/>
      <c r="AJ254" s="1074"/>
      <c r="AK254" s="1074"/>
      <c r="AL254" s="1074"/>
      <c r="AM254" s="1074"/>
      <c r="AN254" s="1074"/>
      <c r="AO254" s="1074"/>
      <c r="AP254" s="1074"/>
      <c r="AQ254" s="1074"/>
      <c r="AR254" s="1074"/>
      <c r="AS254" s="1074"/>
      <c r="AT254" s="1075"/>
    </row>
    <row r="255" ht="14.25" customHeight="1">
      <c r="A255" s="1116"/>
      <c r="B255" s="1120"/>
      <c r="C255" s="1100"/>
      <c r="D255" s="1100"/>
      <c r="E255" s="1100"/>
      <c r="F255" s="1100"/>
      <c r="G255" s="1100"/>
      <c r="H255" s="1100"/>
      <c r="I255" s="1100"/>
      <c r="J255" s="1100"/>
      <c r="K255" s="1074"/>
      <c r="L255" s="1074"/>
      <c r="M255" s="1074"/>
      <c r="N255" s="1074"/>
      <c r="O255" s="1074"/>
      <c r="P255" s="1074"/>
      <c r="Q255" s="1074"/>
      <c r="R255" s="1074"/>
      <c r="S255" s="1074"/>
      <c r="T255" s="1074"/>
      <c r="U255" s="1074"/>
      <c r="V255" s="1074"/>
      <c r="W255" s="1074"/>
      <c r="X255" s="1074"/>
      <c r="Y255" s="1074"/>
      <c r="Z255" s="1074"/>
      <c r="AA255" s="1074"/>
      <c r="AB255" s="1074"/>
      <c r="AC255" s="1074"/>
      <c r="AD255" s="1074"/>
      <c r="AE255" s="1074"/>
      <c r="AF255" s="1074"/>
      <c r="AG255" s="1074"/>
      <c r="AH255" s="1074"/>
      <c r="AI255" s="1074"/>
      <c r="AJ255" s="1074"/>
      <c r="AK255" s="1074"/>
      <c r="AL255" s="1074"/>
      <c r="AM255" s="1074"/>
      <c r="AN255" s="1074"/>
      <c r="AO255" s="1074"/>
      <c r="AP255" s="1074"/>
      <c r="AQ255" s="1074"/>
      <c r="AR255" s="1074"/>
      <c r="AS255" s="1074"/>
      <c r="AT255" s="1075"/>
    </row>
    <row r="256" ht="14.25" customHeight="1">
      <c r="A256" s="1116"/>
      <c r="B256" s="1120"/>
      <c r="C256" s="1100"/>
      <c r="D256" s="1100"/>
      <c r="E256" s="1100"/>
      <c r="F256" s="1100"/>
      <c r="G256" s="1100"/>
      <c r="H256" s="1100"/>
      <c r="I256" s="1100"/>
      <c r="J256" s="1100"/>
      <c r="K256" s="1074"/>
      <c r="L256" s="1074"/>
      <c r="M256" s="1074"/>
      <c r="N256" s="1074"/>
      <c r="O256" s="1074"/>
      <c r="P256" s="1074"/>
      <c r="Q256" s="1074"/>
      <c r="R256" s="1074"/>
      <c r="S256" s="1074"/>
      <c r="T256" s="1074"/>
      <c r="U256" s="1074"/>
      <c r="V256" s="1074"/>
      <c r="W256" s="1074"/>
      <c r="X256" s="1074"/>
      <c r="Y256" s="1074"/>
      <c r="Z256" s="1074"/>
      <c r="AA256" s="1074"/>
      <c r="AB256" s="1074"/>
      <c r="AC256" s="1074"/>
      <c r="AD256" s="1074"/>
      <c r="AE256" s="1074"/>
      <c r="AF256" s="1074"/>
      <c r="AG256" s="1074"/>
      <c r="AH256" s="1074"/>
      <c r="AI256" s="1074"/>
      <c r="AJ256" s="1074"/>
      <c r="AK256" s="1074"/>
      <c r="AL256" s="1074"/>
      <c r="AM256" s="1074"/>
      <c r="AN256" s="1074"/>
      <c r="AO256" s="1074"/>
      <c r="AP256" s="1074"/>
      <c r="AQ256" s="1074"/>
      <c r="AR256" s="1074"/>
      <c r="AS256" s="1074"/>
      <c r="AT256" s="1075"/>
    </row>
    <row r="257" ht="14.25" customHeight="1">
      <c r="A257" s="1116"/>
      <c r="B257" s="1120"/>
      <c r="C257" s="1100"/>
      <c r="D257" s="1100"/>
      <c r="E257" s="1100"/>
      <c r="F257" s="1100"/>
      <c r="G257" s="1100"/>
      <c r="H257" s="1100"/>
      <c r="I257" s="1100"/>
      <c r="J257" s="1100"/>
      <c r="K257" s="1074"/>
      <c r="L257" s="1074"/>
      <c r="M257" s="1074"/>
      <c r="N257" s="1074"/>
      <c r="O257" s="1074"/>
      <c r="P257" s="1074"/>
      <c r="Q257" s="1074"/>
      <c r="R257" s="1074"/>
      <c r="S257" s="1074"/>
      <c r="T257" s="1074"/>
      <c r="U257" s="1074"/>
      <c r="V257" s="1074"/>
      <c r="W257" s="1074"/>
      <c r="X257" s="1074"/>
      <c r="Y257" s="1074"/>
      <c r="Z257" s="1074"/>
      <c r="AA257" s="1074"/>
      <c r="AB257" s="1074"/>
      <c r="AC257" s="1074"/>
      <c r="AD257" s="1074"/>
      <c r="AE257" s="1074"/>
      <c r="AF257" s="1074"/>
      <c r="AG257" s="1074"/>
      <c r="AH257" s="1074"/>
      <c r="AI257" s="1074"/>
      <c r="AJ257" s="1074"/>
      <c r="AK257" s="1074"/>
      <c r="AL257" s="1074"/>
      <c r="AM257" s="1074"/>
      <c r="AN257" s="1074"/>
      <c r="AO257" s="1074"/>
      <c r="AP257" s="1074"/>
      <c r="AQ257" s="1074"/>
      <c r="AR257" s="1074"/>
      <c r="AS257" s="1074"/>
      <c r="AT257" s="1075"/>
    </row>
    <row r="258" ht="14.25" customHeight="1">
      <c r="A258" s="1116"/>
      <c r="B258" s="1120"/>
      <c r="C258" s="1100"/>
      <c r="D258" s="1100"/>
      <c r="E258" s="1100"/>
      <c r="F258" s="1100"/>
      <c r="G258" s="1100"/>
      <c r="H258" s="1100"/>
      <c r="I258" s="1100"/>
      <c r="J258" s="1100"/>
      <c r="K258" s="1074"/>
      <c r="L258" s="1074"/>
      <c r="M258" s="1074"/>
      <c r="N258" s="1074"/>
      <c r="O258" s="1074"/>
      <c r="P258" s="1074"/>
      <c r="Q258" s="1074"/>
      <c r="R258" s="1074"/>
      <c r="S258" s="1074"/>
      <c r="T258" s="1074"/>
      <c r="U258" s="1074"/>
      <c r="V258" s="1074"/>
      <c r="W258" s="1074"/>
      <c r="X258" s="1074"/>
      <c r="Y258" s="1074"/>
      <c r="Z258" s="1074"/>
      <c r="AA258" s="1074"/>
      <c r="AB258" s="1074"/>
      <c r="AC258" s="1074"/>
      <c r="AD258" s="1074"/>
      <c r="AE258" s="1074"/>
      <c r="AF258" s="1074"/>
      <c r="AG258" s="1074"/>
      <c r="AH258" s="1074"/>
      <c r="AI258" s="1074"/>
      <c r="AJ258" s="1074"/>
      <c r="AK258" s="1074"/>
      <c r="AL258" s="1074"/>
      <c r="AM258" s="1074"/>
      <c r="AN258" s="1074"/>
      <c r="AO258" s="1074"/>
      <c r="AP258" s="1074"/>
      <c r="AQ258" s="1074"/>
      <c r="AR258" s="1074"/>
      <c r="AS258" s="1074"/>
      <c r="AT258" s="1075"/>
    </row>
    <row r="259" ht="14.25" customHeight="1">
      <c r="A259" s="1116"/>
      <c r="B259" s="1120"/>
      <c r="C259" s="1100"/>
      <c r="D259" s="1100"/>
      <c r="E259" s="1100"/>
      <c r="F259" s="1100"/>
      <c r="G259" s="1100"/>
      <c r="H259" s="1100"/>
      <c r="I259" s="1100"/>
      <c r="J259" s="1100"/>
      <c r="K259" s="1074"/>
      <c r="L259" s="1074"/>
      <c r="M259" s="1074"/>
      <c r="N259" s="1074"/>
      <c r="O259" s="1074"/>
      <c r="P259" s="1074"/>
      <c r="Q259" s="1074"/>
      <c r="R259" s="1074"/>
      <c r="S259" s="1074"/>
      <c r="T259" s="1074"/>
      <c r="U259" s="1074"/>
      <c r="V259" s="1074"/>
      <c r="W259" s="1074"/>
      <c r="X259" s="1074"/>
      <c r="Y259" s="1074"/>
      <c r="Z259" s="1074"/>
      <c r="AA259" s="1074"/>
      <c r="AB259" s="1074"/>
      <c r="AC259" s="1074"/>
      <c r="AD259" s="1074"/>
      <c r="AE259" s="1074"/>
      <c r="AF259" s="1074"/>
      <c r="AG259" s="1074"/>
      <c r="AH259" s="1074"/>
      <c r="AI259" s="1074"/>
      <c r="AJ259" s="1074"/>
      <c r="AK259" s="1074"/>
      <c r="AL259" s="1074"/>
      <c r="AM259" s="1074"/>
      <c r="AN259" s="1074"/>
      <c r="AO259" s="1074"/>
      <c r="AP259" s="1074"/>
      <c r="AQ259" s="1074"/>
      <c r="AR259" s="1074"/>
      <c r="AS259" s="1074"/>
      <c r="AT259" s="1075"/>
    </row>
    <row r="260" ht="14.25" customHeight="1">
      <c r="A260" s="1116"/>
      <c r="B260" s="1120"/>
      <c r="C260" s="1100"/>
      <c r="D260" s="1100"/>
      <c r="E260" s="1100"/>
      <c r="F260" s="1100"/>
      <c r="G260" s="1100"/>
      <c r="H260" s="1100"/>
      <c r="I260" s="1100"/>
      <c r="J260" s="1100"/>
      <c r="K260" s="1074"/>
      <c r="L260" s="1074"/>
      <c r="M260" s="1074"/>
      <c r="N260" s="1074"/>
      <c r="O260" s="1074"/>
      <c r="P260" s="1074"/>
      <c r="Q260" s="1074"/>
      <c r="R260" s="1074"/>
      <c r="S260" s="1074"/>
      <c r="T260" s="1074"/>
      <c r="U260" s="1074"/>
      <c r="V260" s="1074"/>
      <c r="W260" s="1074"/>
      <c r="X260" s="1074"/>
      <c r="Y260" s="1074"/>
      <c r="Z260" s="1074"/>
      <c r="AA260" s="1074"/>
      <c r="AB260" s="1074"/>
      <c r="AC260" s="1074"/>
      <c r="AD260" s="1074"/>
      <c r="AE260" s="1074"/>
      <c r="AF260" s="1074"/>
      <c r="AG260" s="1074"/>
      <c r="AH260" s="1074"/>
      <c r="AI260" s="1074"/>
      <c r="AJ260" s="1074"/>
      <c r="AK260" s="1074"/>
      <c r="AL260" s="1074"/>
      <c r="AM260" s="1074"/>
      <c r="AN260" s="1074"/>
      <c r="AO260" s="1074"/>
      <c r="AP260" s="1074"/>
      <c r="AQ260" s="1074"/>
      <c r="AR260" s="1074"/>
      <c r="AS260" s="1074"/>
      <c r="AT260" s="1075"/>
    </row>
    <row r="261" ht="14.25" customHeight="1">
      <c r="A261" s="1116"/>
      <c r="B261" s="1120"/>
      <c r="C261" s="1100"/>
      <c r="D261" s="1100"/>
      <c r="E261" s="1100"/>
      <c r="F261" s="1100"/>
      <c r="G261" s="1100"/>
      <c r="H261" s="1100"/>
      <c r="I261" s="1100"/>
      <c r="J261" s="1100"/>
      <c r="K261" s="1074"/>
      <c r="L261" s="1074"/>
      <c r="M261" s="1074"/>
      <c r="N261" s="1074"/>
      <c r="O261" s="1074"/>
      <c r="P261" s="1074"/>
      <c r="Q261" s="1074"/>
      <c r="R261" s="1074"/>
      <c r="S261" s="1074"/>
      <c r="T261" s="1074"/>
      <c r="U261" s="1074"/>
      <c r="V261" s="1074"/>
      <c r="W261" s="1074"/>
      <c r="X261" s="1074"/>
      <c r="Y261" s="1074"/>
      <c r="Z261" s="1074"/>
      <c r="AA261" s="1074"/>
      <c r="AB261" s="1074"/>
      <c r="AC261" s="1074"/>
      <c r="AD261" s="1074"/>
      <c r="AE261" s="1074"/>
      <c r="AF261" s="1074"/>
      <c r="AG261" s="1074"/>
      <c r="AH261" s="1074"/>
      <c r="AI261" s="1074"/>
      <c r="AJ261" s="1074"/>
      <c r="AK261" s="1074"/>
      <c r="AL261" s="1074"/>
      <c r="AM261" s="1074"/>
      <c r="AN261" s="1074"/>
      <c r="AO261" s="1074"/>
      <c r="AP261" s="1074"/>
      <c r="AQ261" s="1074"/>
      <c r="AR261" s="1074"/>
      <c r="AS261" s="1074"/>
      <c r="AT261" s="1075"/>
    </row>
    <row r="262" ht="14.25" customHeight="1">
      <c r="A262" s="1116"/>
      <c r="B262" s="1120"/>
      <c r="C262" s="1100"/>
      <c r="D262" s="1100"/>
      <c r="E262" s="1100"/>
      <c r="F262" s="1100"/>
      <c r="G262" s="1100"/>
      <c r="H262" s="1100"/>
      <c r="I262" s="1100"/>
      <c r="J262" s="1100"/>
      <c r="K262" s="1074"/>
      <c r="L262" s="1074"/>
      <c r="M262" s="1074"/>
      <c r="N262" s="1074"/>
      <c r="O262" s="1074"/>
      <c r="P262" s="1074"/>
      <c r="Q262" s="1074"/>
      <c r="R262" s="1074"/>
      <c r="S262" s="1074"/>
      <c r="T262" s="1074"/>
      <c r="U262" s="1074"/>
      <c r="V262" s="1074"/>
      <c r="W262" s="1074"/>
      <c r="X262" s="1074"/>
      <c r="Y262" s="1074"/>
      <c r="Z262" s="1074"/>
      <c r="AA262" s="1074"/>
      <c r="AB262" s="1074"/>
      <c r="AC262" s="1074"/>
      <c r="AD262" s="1074"/>
      <c r="AE262" s="1074"/>
      <c r="AF262" s="1074"/>
      <c r="AG262" s="1074"/>
      <c r="AH262" s="1074"/>
      <c r="AI262" s="1074"/>
      <c r="AJ262" s="1074"/>
      <c r="AK262" s="1074"/>
      <c r="AL262" s="1074"/>
      <c r="AM262" s="1074"/>
      <c r="AN262" s="1074"/>
      <c r="AO262" s="1074"/>
      <c r="AP262" s="1074"/>
      <c r="AQ262" s="1074"/>
      <c r="AR262" s="1074"/>
      <c r="AS262" s="1074"/>
      <c r="AT262" s="1075"/>
    </row>
    <row r="263" ht="14.25" customHeight="1">
      <c r="A263" s="1116"/>
      <c r="B263" s="1120"/>
      <c r="C263" s="1100"/>
      <c r="D263" s="1100"/>
      <c r="E263" s="1100"/>
      <c r="F263" s="1100"/>
      <c r="G263" s="1100"/>
      <c r="H263" s="1100"/>
      <c r="I263" s="1100"/>
      <c r="J263" s="1100"/>
      <c r="K263" s="1074"/>
      <c r="L263" s="1074"/>
      <c r="M263" s="1074"/>
      <c r="N263" s="1074"/>
      <c r="O263" s="1074"/>
      <c r="P263" s="1074"/>
      <c r="Q263" s="1074"/>
      <c r="R263" s="1074"/>
      <c r="S263" s="1074"/>
      <c r="T263" s="1074"/>
      <c r="U263" s="1074"/>
      <c r="V263" s="1074"/>
      <c r="W263" s="1074"/>
      <c r="X263" s="1074"/>
      <c r="Y263" s="1074"/>
      <c r="Z263" s="1074"/>
      <c r="AA263" s="1074"/>
      <c r="AB263" s="1074"/>
      <c r="AC263" s="1074"/>
      <c r="AD263" s="1074"/>
      <c r="AE263" s="1074"/>
      <c r="AF263" s="1074"/>
      <c r="AG263" s="1074"/>
      <c r="AH263" s="1074"/>
      <c r="AI263" s="1074"/>
      <c r="AJ263" s="1074"/>
      <c r="AK263" s="1074"/>
      <c r="AL263" s="1074"/>
      <c r="AM263" s="1074"/>
      <c r="AN263" s="1074"/>
      <c r="AO263" s="1074"/>
      <c r="AP263" s="1074"/>
      <c r="AQ263" s="1074"/>
      <c r="AR263" s="1074"/>
      <c r="AS263" s="1074"/>
      <c r="AT263" s="1075"/>
    </row>
    <row r="264" ht="14.25" customHeight="1">
      <c r="A264" s="1116"/>
      <c r="B264" s="1120"/>
      <c r="C264" s="1100"/>
      <c r="D264" s="1100"/>
      <c r="E264" s="1100"/>
      <c r="F264" s="1100"/>
      <c r="G264" s="1100"/>
      <c r="H264" s="1100"/>
      <c r="I264" s="1100"/>
      <c r="J264" s="1100"/>
      <c r="K264" s="1074"/>
      <c r="L264" s="1074"/>
      <c r="M264" s="1074"/>
      <c r="N264" s="1074"/>
      <c r="O264" s="1074"/>
      <c r="P264" s="1074"/>
      <c r="Q264" s="1074"/>
      <c r="R264" s="1074"/>
      <c r="S264" s="1074"/>
      <c r="T264" s="1074"/>
      <c r="U264" s="1074"/>
      <c r="V264" s="1074"/>
      <c r="W264" s="1074"/>
      <c r="X264" s="1074"/>
      <c r="Y264" s="1074"/>
      <c r="Z264" s="1074"/>
      <c r="AA264" s="1074"/>
      <c r="AB264" s="1074"/>
      <c r="AC264" s="1074"/>
      <c r="AD264" s="1074"/>
      <c r="AE264" s="1074"/>
      <c r="AF264" s="1074"/>
      <c r="AG264" s="1074"/>
      <c r="AH264" s="1074"/>
      <c r="AI264" s="1074"/>
      <c r="AJ264" s="1074"/>
      <c r="AK264" s="1074"/>
      <c r="AL264" s="1074"/>
      <c r="AM264" s="1074"/>
      <c r="AN264" s="1074"/>
      <c r="AO264" s="1074"/>
      <c r="AP264" s="1074"/>
      <c r="AQ264" s="1074"/>
      <c r="AR264" s="1074"/>
      <c r="AS264" s="1074"/>
      <c r="AT264" s="1075"/>
    </row>
    <row r="265" ht="14.25" customHeight="1">
      <c r="A265" s="1116"/>
      <c r="B265" s="1120"/>
      <c r="C265" s="1100"/>
      <c r="D265" s="1100"/>
      <c r="E265" s="1100"/>
      <c r="F265" s="1100"/>
      <c r="G265" s="1100"/>
      <c r="H265" s="1100"/>
      <c r="I265" s="1100"/>
      <c r="J265" s="1100"/>
      <c r="K265" s="1074"/>
      <c r="L265" s="1074"/>
      <c r="M265" s="1074"/>
      <c r="N265" s="1074"/>
      <c r="O265" s="1074"/>
      <c r="P265" s="1074"/>
      <c r="Q265" s="1074"/>
      <c r="R265" s="1074"/>
      <c r="S265" s="1074"/>
      <c r="T265" s="1074"/>
      <c r="U265" s="1074"/>
      <c r="V265" s="1074"/>
      <c r="W265" s="1074"/>
      <c r="X265" s="1074"/>
      <c r="Y265" s="1074"/>
      <c r="Z265" s="1074"/>
      <c r="AA265" s="1074"/>
      <c r="AB265" s="1074"/>
      <c r="AC265" s="1074"/>
      <c r="AD265" s="1074"/>
      <c r="AE265" s="1074"/>
      <c r="AF265" s="1074"/>
      <c r="AG265" s="1074"/>
      <c r="AH265" s="1074"/>
      <c r="AI265" s="1074"/>
      <c r="AJ265" s="1074"/>
      <c r="AK265" s="1074"/>
      <c r="AL265" s="1074"/>
      <c r="AM265" s="1074"/>
      <c r="AN265" s="1074"/>
      <c r="AO265" s="1074"/>
      <c r="AP265" s="1074"/>
      <c r="AQ265" s="1074"/>
      <c r="AR265" s="1074"/>
      <c r="AS265" s="1074"/>
      <c r="AT265" s="1075"/>
    </row>
    <row r="266" ht="14.25" customHeight="1">
      <c r="A266" s="1116"/>
      <c r="B266" s="1120"/>
      <c r="C266" s="1100"/>
      <c r="D266" s="1100"/>
      <c r="E266" s="1100"/>
      <c r="F266" s="1100"/>
      <c r="G266" s="1100"/>
      <c r="H266" s="1100"/>
      <c r="I266" s="1100"/>
      <c r="J266" s="1100"/>
      <c r="K266" s="1074"/>
      <c r="L266" s="1074"/>
      <c r="M266" s="1074"/>
      <c r="N266" s="1074"/>
      <c r="O266" s="1074"/>
      <c r="P266" s="1074"/>
      <c r="Q266" s="1074"/>
      <c r="R266" s="1074"/>
      <c r="S266" s="1074"/>
      <c r="T266" s="1074"/>
      <c r="U266" s="1074"/>
      <c r="V266" s="1074"/>
      <c r="W266" s="1074"/>
      <c r="X266" s="1074"/>
      <c r="Y266" s="1074"/>
      <c r="Z266" s="1074"/>
      <c r="AA266" s="1074"/>
      <c r="AB266" s="1074"/>
      <c r="AC266" s="1074"/>
      <c r="AD266" s="1074"/>
      <c r="AE266" s="1074"/>
      <c r="AF266" s="1074"/>
      <c r="AG266" s="1074"/>
      <c r="AH266" s="1074"/>
      <c r="AI266" s="1074"/>
      <c r="AJ266" s="1074"/>
      <c r="AK266" s="1074"/>
      <c r="AL266" s="1074"/>
      <c r="AM266" s="1074"/>
      <c r="AN266" s="1074"/>
      <c r="AO266" s="1074"/>
      <c r="AP266" s="1074"/>
      <c r="AQ266" s="1074"/>
      <c r="AR266" s="1074"/>
      <c r="AS266" s="1074"/>
      <c r="AT266" s="1075"/>
    </row>
    <row r="267" ht="14.25" customHeight="1">
      <c r="A267" s="1116"/>
      <c r="B267" s="1120"/>
      <c r="C267" s="1100"/>
      <c r="D267" s="1100"/>
      <c r="E267" s="1100"/>
      <c r="F267" s="1100"/>
      <c r="G267" s="1100"/>
      <c r="H267" s="1100"/>
      <c r="I267" s="1100"/>
      <c r="J267" s="1100"/>
      <c r="K267" s="1074"/>
      <c r="L267" s="1074"/>
      <c r="M267" s="1074"/>
      <c r="N267" s="1074"/>
      <c r="O267" s="1074"/>
      <c r="P267" s="1074"/>
      <c r="Q267" s="1074"/>
      <c r="R267" s="1074"/>
      <c r="S267" s="1074"/>
      <c r="T267" s="1074"/>
      <c r="U267" s="1074"/>
      <c r="V267" s="1074"/>
      <c r="W267" s="1074"/>
      <c r="X267" s="1074"/>
      <c r="Y267" s="1074"/>
      <c r="Z267" s="1074"/>
      <c r="AA267" s="1074"/>
      <c r="AB267" s="1074"/>
      <c r="AC267" s="1074"/>
      <c r="AD267" s="1074"/>
      <c r="AE267" s="1074"/>
      <c r="AF267" s="1074"/>
      <c r="AG267" s="1074"/>
      <c r="AH267" s="1074"/>
      <c r="AI267" s="1074"/>
      <c r="AJ267" s="1074"/>
      <c r="AK267" s="1074"/>
      <c r="AL267" s="1074"/>
      <c r="AM267" s="1074"/>
      <c r="AN267" s="1074"/>
      <c r="AO267" s="1074"/>
      <c r="AP267" s="1074"/>
      <c r="AQ267" s="1074"/>
      <c r="AR267" s="1074"/>
      <c r="AS267" s="1074"/>
      <c r="AT267" s="1075"/>
    </row>
    <row r="268" ht="14.25" customHeight="1">
      <c r="A268" s="1116"/>
      <c r="B268" s="1120"/>
      <c r="C268" s="1100"/>
      <c r="D268" s="1100"/>
      <c r="E268" s="1100"/>
      <c r="F268" s="1100"/>
      <c r="G268" s="1100"/>
      <c r="H268" s="1100"/>
      <c r="I268" s="1100"/>
      <c r="J268" s="1100"/>
      <c r="K268" s="1074"/>
      <c r="L268" s="1074"/>
      <c r="M268" s="1074"/>
      <c r="N268" s="1074"/>
      <c r="O268" s="1074"/>
      <c r="P268" s="1074"/>
      <c r="Q268" s="1074"/>
      <c r="R268" s="1074"/>
      <c r="S268" s="1074"/>
      <c r="T268" s="1074"/>
      <c r="U268" s="1074"/>
      <c r="V268" s="1074"/>
      <c r="W268" s="1074"/>
      <c r="X268" s="1074"/>
      <c r="Y268" s="1074"/>
      <c r="Z268" s="1074"/>
      <c r="AA268" s="1074"/>
      <c r="AB268" s="1074"/>
      <c r="AC268" s="1074"/>
      <c r="AD268" s="1074"/>
      <c r="AE268" s="1074"/>
      <c r="AF268" s="1074"/>
      <c r="AG268" s="1074"/>
      <c r="AH268" s="1074"/>
      <c r="AI268" s="1074"/>
      <c r="AJ268" s="1074"/>
      <c r="AK268" s="1074"/>
      <c r="AL268" s="1074"/>
      <c r="AM268" s="1074"/>
      <c r="AN268" s="1074"/>
      <c r="AO268" s="1074"/>
      <c r="AP268" s="1074"/>
      <c r="AQ268" s="1074"/>
      <c r="AR268" s="1074"/>
      <c r="AS268" s="1074"/>
      <c r="AT268" s="1075"/>
    </row>
    <row r="269" ht="14.25" customHeight="1">
      <c r="A269" s="1116"/>
      <c r="B269" s="1120"/>
      <c r="C269" s="1100"/>
      <c r="D269" s="1100"/>
      <c r="E269" s="1100"/>
      <c r="F269" s="1100"/>
      <c r="G269" s="1100"/>
      <c r="H269" s="1100"/>
      <c r="I269" s="1100"/>
      <c r="J269" s="1100"/>
      <c r="K269" s="1074"/>
      <c r="L269" s="1074"/>
      <c r="M269" s="1074"/>
      <c r="N269" s="1074"/>
      <c r="O269" s="1074"/>
      <c r="P269" s="1074"/>
      <c r="Q269" s="1074"/>
      <c r="R269" s="1074"/>
      <c r="S269" s="1074"/>
      <c r="T269" s="1074"/>
      <c r="U269" s="1074"/>
      <c r="V269" s="1074"/>
      <c r="W269" s="1074"/>
      <c r="X269" s="1074"/>
      <c r="Y269" s="1074"/>
      <c r="Z269" s="1074"/>
      <c r="AA269" s="1074"/>
      <c r="AB269" s="1074"/>
      <c r="AC269" s="1074"/>
      <c r="AD269" s="1074"/>
      <c r="AE269" s="1074"/>
      <c r="AF269" s="1074"/>
      <c r="AG269" s="1074"/>
      <c r="AH269" s="1074"/>
      <c r="AI269" s="1074"/>
      <c r="AJ269" s="1074"/>
      <c r="AK269" s="1074"/>
      <c r="AL269" s="1074"/>
      <c r="AM269" s="1074"/>
      <c r="AN269" s="1074"/>
      <c r="AO269" s="1074"/>
      <c r="AP269" s="1074"/>
      <c r="AQ269" s="1074"/>
      <c r="AR269" s="1074"/>
      <c r="AS269" s="1074"/>
      <c r="AT269" s="1075"/>
    </row>
    <row r="270" ht="14.25" customHeight="1">
      <c r="A270" s="1116"/>
      <c r="B270" s="1120"/>
      <c r="C270" s="1100"/>
      <c r="D270" s="1100"/>
      <c r="E270" s="1100"/>
      <c r="F270" s="1100"/>
      <c r="G270" s="1100"/>
      <c r="H270" s="1100"/>
      <c r="I270" s="1100"/>
      <c r="J270" s="1100"/>
      <c r="K270" s="1074"/>
      <c r="L270" s="1074"/>
      <c r="M270" s="1074"/>
      <c r="N270" s="1074"/>
      <c r="O270" s="1074"/>
      <c r="P270" s="1074"/>
      <c r="Q270" s="1074"/>
      <c r="R270" s="1074"/>
      <c r="S270" s="1074"/>
      <c r="T270" s="1074"/>
      <c r="U270" s="1074"/>
      <c r="V270" s="1074"/>
      <c r="W270" s="1074"/>
      <c r="X270" s="1074"/>
      <c r="Y270" s="1074"/>
      <c r="Z270" s="1074"/>
      <c r="AA270" s="1074"/>
      <c r="AB270" s="1074"/>
      <c r="AC270" s="1074"/>
      <c r="AD270" s="1074"/>
      <c r="AE270" s="1074"/>
      <c r="AF270" s="1074"/>
      <c r="AG270" s="1074"/>
      <c r="AH270" s="1074"/>
      <c r="AI270" s="1074"/>
      <c r="AJ270" s="1074"/>
      <c r="AK270" s="1074"/>
      <c r="AL270" s="1074"/>
      <c r="AM270" s="1074"/>
      <c r="AN270" s="1074"/>
      <c r="AO270" s="1074"/>
      <c r="AP270" s="1074"/>
      <c r="AQ270" s="1074"/>
      <c r="AR270" s="1074"/>
      <c r="AS270" s="1074"/>
      <c r="AT270" s="1075"/>
    </row>
    <row r="271" ht="14.25" customHeight="1">
      <c r="A271" s="1116"/>
      <c r="B271" s="1120"/>
      <c r="C271" s="1100"/>
      <c r="D271" s="1100"/>
      <c r="E271" s="1100"/>
      <c r="F271" s="1100"/>
      <c r="G271" s="1100"/>
      <c r="H271" s="1100"/>
      <c r="I271" s="1100"/>
      <c r="J271" s="1100"/>
      <c r="K271" s="1074"/>
      <c r="L271" s="1074"/>
      <c r="M271" s="1074"/>
      <c r="N271" s="1074"/>
      <c r="O271" s="1074"/>
      <c r="P271" s="1074"/>
      <c r="Q271" s="1074"/>
      <c r="R271" s="1074"/>
      <c r="S271" s="1074"/>
      <c r="T271" s="1074"/>
      <c r="U271" s="1074"/>
      <c r="V271" s="1074"/>
      <c r="W271" s="1074"/>
      <c r="X271" s="1074"/>
      <c r="Y271" s="1074"/>
      <c r="Z271" s="1074"/>
      <c r="AA271" s="1074"/>
      <c r="AB271" s="1074"/>
      <c r="AC271" s="1074"/>
      <c r="AD271" s="1074"/>
      <c r="AE271" s="1074"/>
      <c r="AF271" s="1074"/>
      <c r="AG271" s="1074"/>
      <c r="AH271" s="1074"/>
      <c r="AI271" s="1074"/>
      <c r="AJ271" s="1074"/>
      <c r="AK271" s="1074"/>
      <c r="AL271" s="1074"/>
      <c r="AM271" s="1074"/>
      <c r="AN271" s="1074"/>
      <c r="AO271" s="1074"/>
      <c r="AP271" s="1074"/>
      <c r="AQ271" s="1074"/>
      <c r="AR271" s="1074"/>
      <c r="AS271" s="1074"/>
      <c r="AT271" s="1075"/>
    </row>
    <row r="272" ht="14.25" customHeight="1">
      <c r="A272" s="1116"/>
      <c r="B272" s="1120"/>
      <c r="C272" s="1100"/>
      <c r="D272" s="1100"/>
      <c r="E272" s="1100"/>
      <c r="F272" s="1100"/>
      <c r="G272" s="1100"/>
      <c r="H272" s="1100"/>
      <c r="I272" s="1100"/>
      <c r="J272" s="1100"/>
      <c r="K272" s="1074"/>
      <c r="L272" s="1074"/>
      <c r="M272" s="1074"/>
      <c r="N272" s="1074"/>
      <c r="O272" s="1074"/>
      <c r="P272" s="1074"/>
      <c r="Q272" s="1074"/>
      <c r="R272" s="1074"/>
      <c r="S272" s="1074"/>
      <c r="T272" s="1074"/>
      <c r="U272" s="1074"/>
      <c r="V272" s="1074"/>
      <c r="W272" s="1074"/>
      <c r="X272" s="1074"/>
      <c r="Y272" s="1074"/>
      <c r="Z272" s="1074"/>
      <c r="AA272" s="1074"/>
      <c r="AB272" s="1074"/>
      <c r="AC272" s="1074"/>
      <c r="AD272" s="1074"/>
      <c r="AE272" s="1074"/>
      <c r="AF272" s="1074"/>
      <c r="AG272" s="1074"/>
      <c r="AH272" s="1074"/>
      <c r="AI272" s="1074"/>
      <c r="AJ272" s="1074"/>
      <c r="AK272" s="1074"/>
      <c r="AL272" s="1074"/>
      <c r="AM272" s="1074"/>
      <c r="AN272" s="1074"/>
      <c r="AO272" s="1074"/>
      <c r="AP272" s="1074"/>
      <c r="AQ272" s="1074"/>
      <c r="AR272" s="1074"/>
      <c r="AS272" s="1074"/>
      <c r="AT272" s="1075"/>
    </row>
    <row r="273" ht="14.25" customHeight="1">
      <c r="A273" s="1116"/>
      <c r="B273" s="1120"/>
      <c r="C273" s="1100"/>
      <c r="D273" s="1100"/>
      <c r="E273" s="1100"/>
      <c r="F273" s="1100"/>
      <c r="G273" s="1100"/>
      <c r="H273" s="1100"/>
      <c r="I273" s="1100"/>
      <c r="J273" s="1100"/>
      <c r="K273" s="1074"/>
      <c r="L273" s="1074"/>
      <c r="M273" s="1074"/>
      <c r="N273" s="1074"/>
      <c r="O273" s="1074"/>
      <c r="P273" s="1074"/>
      <c r="Q273" s="1074"/>
      <c r="R273" s="1074"/>
      <c r="S273" s="1074"/>
      <c r="T273" s="1074"/>
      <c r="U273" s="1074"/>
      <c r="V273" s="1074"/>
      <c r="W273" s="1074"/>
      <c r="X273" s="1074"/>
      <c r="Y273" s="1074"/>
      <c r="Z273" s="1074"/>
      <c r="AA273" s="1074"/>
      <c r="AB273" s="1074"/>
      <c r="AC273" s="1074"/>
      <c r="AD273" s="1074"/>
      <c r="AE273" s="1074"/>
      <c r="AF273" s="1074"/>
      <c r="AG273" s="1074"/>
      <c r="AH273" s="1074"/>
      <c r="AI273" s="1074"/>
      <c r="AJ273" s="1074"/>
      <c r="AK273" s="1074"/>
      <c r="AL273" s="1074"/>
      <c r="AM273" s="1074"/>
      <c r="AN273" s="1074"/>
      <c r="AO273" s="1074"/>
      <c r="AP273" s="1074"/>
      <c r="AQ273" s="1074"/>
      <c r="AR273" s="1074"/>
      <c r="AS273" s="1074"/>
      <c r="AT273" s="1075"/>
    </row>
    <row r="274" ht="14.25" customHeight="1">
      <c r="A274" s="1116"/>
      <c r="B274" s="1120"/>
      <c r="C274" s="1100"/>
      <c r="D274" s="1100"/>
      <c r="E274" s="1100"/>
      <c r="F274" s="1100"/>
      <c r="G274" s="1100"/>
      <c r="H274" s="1100"/>
      <c r="I274" s="1100"/>
      <c r="J274" s="1100"/>
      <c r="K274" s="1074"/>
      <c r="L274" s="1074"/>
      <c r="M274" s="1074"/>
      <c r="N274" s="1074"/>
      <c r="O274" s="1074"/>
      <c r="P274" s="1074"/>
      <c r="Q274" s="1074"/>
      <c r="R274" s="1074"/>
      <c r="S274" s="1074"/>
      <c r="T274" s="1074"/>
      <c r="U274" s="1074"/>
      <c r="V274" s="1074"/>
      <c r="W274" s="1074"/>
      <c r="X274" s="1074"/>
      <c r="Y274" s="1074"/>
      <c r="Z274" s="1074"/>
      <c r="AA274" s="1074"/>
      <c r="AB274" s="1074"/>
      <c r="AC274" s="1074"/>
      <c r="AD274" s="1074"/>
      <c r="AE274" s="1074"/>
      <c r="AF274" s="1074"/>
      <c r="AG274" s="1074"/>
      <c r="AH274" s="1074"/>
      <c r="AI274" s="1074"/>
      <c r="AJ274" s="1074"/>
      <c r="AK274" s="1074"/>
      <c r="AL274" s="1074"/>
      <c r="AM274" s="1074"/>
      <c r="AN274" s="1074"/>
      <c r="AO274" s="1074"/>
      <c r="AP274" s="1074"/>
      <c r="AQ274" s="1074"/>
      <c r="AR274" s="1074"/>
      <c r="AS274" s="1074"/>
      <c r="AT274" s="1075"/>
    </row>
    <row r="275" ht="14.25" customHeight="1">
      <c r="A275" s="1116"/>
      <c r="B275" s="1120"/>
      <c r="C275" s="1100"/>
      <c r="D275" s="1100"/>
      <c r="E275" s="1100"/>
      <c r="F275" s="1100"/>
      <c r="G275" s="1100"/>
      <c r="H275" s="1100"/>
      <c r="I275" s="1100"/>
      <c r="J275" s="1100"/>
      <c r="K275" s="1074"/>
      <c r="L275" s="1074"/>
      <c r="M275" s="1074"/>
      <c r="N275" s="1074"/>
      <c r="O275" s="1074"/>
      <c r="P275" s="1074"/>
      <c r="Q275" s="1074"/>
      <c r="R275" s="1074"/>
      <c r="S275" s="1074"/>
      <c r="T275" s="1074"/>
      <c r="U275" s="1074"/>
      <c r="V275" s="1074"/>
      <c r="W275" s="1074"/>
      <c r="X275" s="1074"/>
      <c r="Y275" s="1074"/>
      <c r="Z275" s="1074"/>
      <c r="AA275" s="1074"/>
      <c r="AB275" s="1074"/>
      <c r="AC275" s="1074"/>
      <c r="AD275" s="1074"/>
      <c r="AE275" s="1074"/>
      <c r="AF275" s="1074"/>
      <c r="AG275" s="1074"/>
      <c r="AH275" s="1074"/>
      <c r="AI275" s="1074"/>
      <c r="AJ275" s="1074"/>
      <c r="AK275" s="1074"/>
      <c r="AL275" s="1074"/>
      <c r="AM275" s="1074"/>
      <c r="AN275" s="1074"/>
      <c r="AO275" s="1074"/>
      <c r="AP275" s="1074"/>
      <c r="AQ275" s="1074"/>
      <c r="AR275" s="1074"/>
      <c r="AS275" s="1074"/>
      <c r="AT275" s="1075"/>
    </row>
    <row r="276" ht="14.25" customHeight="1">
      <c r="A276" s="1116"/>
      <c r="B276" s="1120"/>
      <c r="C276" s="1100"/>
      <c r="D276" s="1100"/>
      <c r="E276" s="1100"/>
      <c r="F276" s="1100"/>
      <c r="G276" s="1100"/>
      <c r="H276" s="1100"/>
      <c r="I276" s="1100"/>
      <c r="J276" s="1100"/>
      <c r="K276" s="1074"/>
      <c r="L276" s="1074"/>
      <c r="M276" s="1074"/>
      <c r="N276" s="1074"/>
      <c r="O276" s="1074"/>
      <c r="P276" s="1074"/>
      <c r="Q276" s="1074"/>
      <c r="R276" s="1074"/>
      <c r="S276" s="1074"/>
      <c r="T276" s="1074"/>
      <c r="U276" s="1074"/>
      <c r="V276" s="1074"/>
      <c r="W276" s="1074"/>
      <c r="X276" s="1074"/>
      <c r="Y276" s="1074"/>
      <c r="Z276" s="1074"/>
      <c r="AA276" s="1074"/>
      <c r="AB276" s="1074"/>
      <c r="AC276" s="1074"/>
      <c r="AD276" s="1074"/>
      <c r="AE276" s="1074"/>
      <c r="AF276" s="1074"/>
      <c r="AG276" s="1074"/>
      <c r="AH276" s="1074"/>
      <c r="AI276" s="1074"/>
      <c r="AJ276" s="1074"/>
      <c r="AK276" s="1074"/>
      <c r="AL276" s="1074"/>
      <c r="AM276" s="1074"/>
      <c r="AN276" s="1074"/>
      <c r="AO276" s="1074"/>
      <c r="AP276" s="1074"/>
      <c r="AQ276" s="1074"/>
      <c r="AR276" s="1074"/>
      <c r="AS276" s="1074"/>
      <c r="AT276" s="1075"/>
    </row>
    <row r="277" ht="14.25" customHeight="1">
      <c r="A277" s="1116"/>
      <c r="B277" s="1120"/>
      <c r="C277" s="1100"/>
      <c r="D277" s="1100"/>
      <c r="E277" s="1100"/>
      <c r="F277" s="1100"/>
      <c r="G277" s="1100"/>
      <c r="H277" s="1100"/>
      <c r="I277" s="1100"/>
      <c r="J277" s="1100"/>
      <c r="K277" s="1074"/>
      <c r="L277" s="1074"/>
      <c r="M277" s="1074"/>
      <c r="N277" s="1074"/>
      <c r="O277" s="1074"/>
      <c r="P277" s="1074"/>
      <c r="Q277" s="1074"/>
      <c r="R277" s="1074"/>
      <c r="S277" s="1074"/>
      <c r="T277" s="1074"/>
      <c r="U277" s="1074"/>
      <c r="V277" s="1074"/>
      <c r="W277" s="1074"/>
      <c r="X277" s="1074"/>
      <c r="Y277" s="1074"/>
      <c r="Z277" s="1074"/>
      <c r="AA277" s="1074"/>
      <c r="AB277" s="1074"/>
      <c r="AC277" s="1074"/>
      <c r="AD277" s="1074"/>
      <c r="AE277" s="1074"/>
      <c r="AF277" s="1074"/>
      <c r="AG277" s="1074"/>
      <c r="AH277" s="1074"/>
      <c r="AI277" s="1074"/>
      <c r="AJ277" s="1074"/>
      <c r="AK277" s="1074"/>
      <c r="AL277" s="1074"/>
      <c r="AM277" s="1074"/>
      <c r="AN277" s="1074"/>
      <c r="AO277" s="1074"/>
      <c r="AP277" s="1074"/>
      <c r="AQ277" s="1074"/>
      <c r="AR277" s="1074"/>
      <c r="AS277" s="1074"/>
      <c r="AT277" s="1075"/>
    </row>
    <row r="278" ht="14.25" customHeight="1">
      <c r="A278" s="1116"/>
      <c r="B278" s="1120"/>
      <c r="C278" s="1100"/>
      <c r="D278" s="1100"/>
      <c r="E278" s="1100"/>
      <c r="F278" s="1100"/>
      <c r="G278" s="1100"/>
      <c r="H278" s="1100"/>
      <c r="I278" s="1100"/>
      <c r="J278" s="1100"/>
      <c r="K278" s="1074"/>
      <c r="L278" s="1074"/>
      <c r="M278" s="1074"/>
      <c r="N278" s="1074"/>
      <c r="O278" s="1074"/>
      <c r="P278" s="1074"/>
      <c r="Q278" s="1074"/>
      <c r="R278" s="1074"/>
      <c r="S278" s="1074"/>
      <c r="T278" s="1074"/>
      <c r="U278" s="1074"/>
      <c r="V278" s="1074"/>
      <c r="W278" s="1074"/>
      <c r="X278" s="1074"/>
      <c r="Y278" s="1074"/>
      <c r="Z278" s="1074"/>
      <c r="AA278" s="1074"/>
      <c r="AB278" s="1074"/>
      <c r="AC278" s="1074"/>
      <c r="AD278" s="1074"/>
      <c r="AE278" s="1074"/>
      <c r="AF278" s="1074"/>
      <c r="AG278" s="1074"/>
      <c r="AH278" s="1074"/>
      <c r="AI278" s="1074"/>
      <c r="AJ278" s="1074"/>
      <c r="AK278" s="1074"/>
      <c r="AL278" s="1074"/>
      <c r="AM278" s="1074"/>
      <c r="AN278" s="1074"/>
      <c r="AO278" s="1074"/>
      <c r="AP278" s="1074"/>
      <c r="AQ278" s="1074"/>
      <c r="AR278" s="1074"/>
      <c r="AS278" s="1074"/>
      <c r="AT278" s="1075"/>
    </row>
    <row r="279" ht="14.25" customHeight="1">
      <c r="A279" s="1116"/>
      <c r="B279" s="1120"/>
      <c r="C279" s="1100"/>
      <c r="D279" s="1100"/>
      <c r="E279" s="1100"/>
      <c r="F279" s="1100"/>
      <c r="G279" s="1100"/>
      <c r="H279" s="1100"/>
      <c r="I279" s="1100"/>
      <c r="J279" s="1100"/>
      <c r="K279" s="1074"/>
      <c r="L279" s="1074"/>
      <c r="M279" s="1074"/>
      <c r="N279" s="1074"/>
      <c r="O279" s="1074"/>
      <c r="P279" s="1074"/>
      <c r="Q279" s="1074"/>
      <c r="R279" s="1074"/>
      <c r="S279" s="1074"/>
      <c r="T279" s="1074"/>
      <c r="U279" s="1074"/>
      <c r="V279" s="1074"/>
      <c r="W279" s="1074"/>
      <c r="X279" s="1074"/>
      <c r="Y279" s="1074"/>
      <c r="Z279" s="1074"/>
      <c r="AA279" s="1074"/>
      <c r="AB279" s="1074"/>
      <c r="AC279" s="1074"/>
      <c r="AD279" s="1074"/>
      <c r="AE279" s="1074"/>
      <c r="AF279" s="1074"/>
      <c r="AG279" s="1074"/>
      <c r="AH279" s="1074"/>
      <c r="AI279" s="1074"/>
      <c r="AJ279" s="1074"/>
      <c r="AK279" s="1074"/>
      <c r="AL279" s="1074"/>
      <c r="AM279" s="1074"/>
      <c r="AN279" s="1074"/>
      <c r="AO279" s="1074"/>
      <c r="AP279" s="1074"/>
      <c r="AQ279" s="1074"/>
      <c r="AR279" s="1074"/>
      <c r="AS279" s="1074"/>
      <c r="AT279" s="1075"/>
    </row>
    <row r="280" ht="14.25" customHeight="1">
      <c r="A280" s="1116"/>
      <c r="B280" s="1120"/>
      <c r="C280" s="1100"/>
      <c r="D280" s="1100"/>
      <c r="E280" s="1100"/>
      <c r="F280" s="1100"/>
      <c r="G280" s="1100"/>
      <c r="H280" s="1100"/>
      <c r="I280" s="1100"/>
      <c r="J280" s="1100"/>
      <c r="K280" s="1074"/>
      <c r="L280" s="1074"/>
      <c r="M280" s="1074"/>
      <c r="N280" s="1074"/>
      <c r="O280" s="1074"/>
      <c r="P280" s="1074"/>
      <c r="Q280" s="1074"/>
      <c r="R280" s="1074"/>
      <c r="S280" s="1074"/>
      <c r="T280" s="1074"/>
      <c r="U280" s="1074"/>
      <c r="V280" s="1074"/>
      <c r="W280" s="1074"/>
      <c r="X280" s="1074"/>
      <c r="Y280" s="1074"/>
      <c r="Z280" s="1074"/>
      <c r="AA280" s="1074"/>
      <c r="AB280" s="1074"/>
      <c r="AC280" s="1074"/>
      <c r="AD280" s="1074"/>
      <c r="AE280" s="1074"/>
      <c r="AF280" s="1074"/>
      <c r="AG280" s="1074"/>
      <c r="AH280" s="1074"/>
      <c r="AI280" s="1074"/>
      <c r="AJ280" s="1074"/>
      <c r="AK280" s="1074"/>
      <c r="AL280" s="1074"/>
      <c r="AM280" s="1074"/>
      <c r="AN280" s="1074"/>
      <c r="AO280" s="1074"/>
      <c r="AP280" s="1074"/>
      <c r="AQ280" s="1074"/>
      <c r="AR280" s="1074"/>
      <c r="AS280" s="1074"/>
      <c r="AT280" s="1075"/>
    </row>
    <row r="281" ht="14.25" customHeight="1">
      <c r="A281" s="1116"/>
      <c r="B281" s="1120"/>
      <c r="C281" s="1100"/>
      <c r="D281" s="1100"/>
      <c r="E281" s="1100"/>
      <c r="F281" s="1100"/>
      <c r="G281" s="1100"/>
      <c r="H281" s="1100"/>
      <c r="I281" s="1100"/>
      <c r="J281" s="1100"/>
      <c r="K281" s="1074"/>
      <c r="L281" s="1074"/>
      <c r="M281" s="1074"/>
      <c r="N281" s="1074"/>
      <c r="O281" s="1074"/>
      <c r="P281" s="1074"/>
      <c r="Q281" s="1074"/>
      <c r="R281" s="1074"/>
      <c r="S281" s="1074"/>
      <c r="T281" s="1074"/>
      <c r="U281" s="1074"/>
      <c r="V281" s="1074"/>
      <c r="W281" s="1074"/>
      <c r="X281" s="1074"/>
      <c r="Y281" s="1074"/>
      <c r="Z281" s="1074"/>
      <c r="AA281" s="1074"/>
      <c r="AB281" s="1074"/>
      <c r="AC281" s="1074"/>
      <c r="AD281" s="1074"/>
      <c r="AE281" s="1074"/>
      <c r="AF281" s="1074"/>
      <c r="AG281" s="1074"/>
      <c r="AH281" s="1074"/>
      <c r="AI281" s="1074"/>
      <c r="AJ281" s="1074"/>
      <c r="AK281" s="1074"/>
      <c r="AL281" s="1074"/>
      <c r="AM281" s="1074"/>
      <c r="AN281" s="1074"/>
      <c r="AO281" s="1074"/>
      <c r="AP281" s="1074"/>
      <c r="AQ281" s="1074"/>
      <c r="AR281" s="1074"/>
      <c r="AS281" s="1074"/>
      <c r="AT281" s="1075"/>
    </row>
    <row r="282" ht="14.25" customHeight="1">
      <c r="A282" s="1116"/>
      <c r="B282" s="1120"/>
      <c r="C282" s="1100"/>
      <c r="D282" s="1100"/>
      <c r="E282" s="1100"/>
      <c r="F282" s="1100"/>
      <c r="G282" s="1100"/>
      <c r="H282" s="1100"/>
      <c r="I282" s="1100"/>
      <c r="J282" s="1100"/>
      <c r="K282" s="1074"/>
      <c r="L282" s="1074"/>
      <c r="M282" s="1074"/>
      <c r="N282" s="1074"/>
      <c r="O282" s="1074"/>
      <c r="P282" s="1074"/>
      <c r="Q282" s="1074"/>
      <c r="R282" s="1074"/>
      <c r="S282" s="1074"/>
      <c r="T282" s="1074"/>
      <c r="U282" s="1074"/>
      <c r="V282" s="1074"/>
      <c r="W282" s="1074"/>
      <c r="X282" s="1074"/>
      <c r="Y282" s="1074"/>
      <c r="Z282" s="1074"/>
      <c r="AA282" s="1074"/>
      <c r="AB282" s="1074"/>
      <c r="AC282" s="1074"/>
      <c r="AD282" s="1074"/>
      <c r="AE282" s="1074"/>
      <c r="AF282" s="1074"/>
      <c r="AG282" s="1074"/>
      <c r="AH282" s="1074"/>
      <c r="AI282" s="1074"/>
      <c r="AJ282" s="1074"/>
      <c r="AK282" s="1074"/>
      <c r="AL282" s="1074"/>
      <c r="AM282" s="1074"/>
      <c r="AN282" s="1074"/>
      <c r="AO282" s="1074"/>
      <c r="AP282" s="1074"/>
      <c r="AQ282" s="1074"/>
      <c r="AR282" s="1074"/>
      <c r="AS282" s="1074"/>
      <c r="AT282" s="1075"/>
    </row>
    <row r="283" ht="14.25" customHeight="1">
      <c r="A283" s="1116"/>
      <c r="B283" s="1120"/>
      <c r="C283" s="1100"/>
      <c r="D283" s="1100"/>
      <c r="E283" s="1100"/>
      <c r="F283" s="1100"/>
      <c r="G283" s="1100"/>
      <c r="H283" s="1100"/>
      <c r="I283" s="1100"/>
      <c r="J283" s="1100"/>
      <c r="K283" s="1074"/>
      <c r="L283" s="1074"/>
      <c r="M283" s="1074"/>
      <c r="N283" s="1074"/>
      <c r="O283" s="1074"/>
      <c r="P283" s="1074"/>
      <c r="Q283" s="1074"/>
      <c r="R283" s="1074"/>
      <c r="S283" s="1074"/>
      <c r="T283" s="1074"/>
      <c r="U283" s="1074"/>
      <c r="V283" s="1074"/>
      <c r="W283" s="1074"/>
      <c r="X283" s="1074"/>
      <c r="Y283" s="1074"/>
      <c r="Z283" s="1074"/>
      <c r="AA283" s="1074"/>
      <c r="AB283" s="1074"/>
      <c r="AC283" s="1074"/>
      <c r="AD283" s="1074"/>
      <c r="AE283" s="1074"/>
      <c r="AF283" s="1074"/>
      <c r="AG283" s="1074"/>
      <c r="AH283" s="1074"/>
      <c r="AI283" s="1074"/>
      <c r="AJ283" s="1074"/>
      <c r="AK283" s="1074"/>
      <c r="AL283" s="1074"/>
      <c r="AM283" s="1074"/>
      <c r="AN283" s="1074"/>
      <c r="AO283" s="1074"/>
      <c r="AP283" s="1074"/>
      <c r="AQ283" s="1074"/>
      <c r="AR283" s="1074"/>
      <c r="AS283" s="1074"/>
      <c r="AT283" s="1075"/>
    </row>
    <row r="284" ht="14.25" customHeight="1">
      <c r="A284" s="1116"/>
      <c r="B284" s="1120"/>
      <c r="C284" s="1100"/>
      <c r="D284" s="1100"/>
      <c r="E284" s="1100"/>
      <c r="F284" s="1100"/>
      <c r="G284" s="1100"/>
      <c r="H284" s="1100"/>
      <c r="I284" s="1100"/>
      <c r="J284" s="1100"/>
      <c r="K284" s="1074"/>
      <c r="L284" s="1074"/>
      <c r="M284" s="1074"/>
      <c r="N284" s="1074"/>
      <c r="O284" s="1074"/>
      <c r="P284" s="1074"/>
      <c r="Q284" s="1074"/>
      <c r="R284" s="1074"/>
      <c r="S284" s="1074"/>
      <c r="T284" s="1074"/>
      <c r="U284" s="1074"/>
      <c r="V284" s="1074"/>
      <c r="W284" s="1074"/>
      <c r="X284" s="1074"/>
      <c r="Y284" s="1074"/>
      <c r="Z284" s="1074"/>
      <c r="AA284" s="1074"/>
      <c r="AB284" s="1074"/>
      <c r="AC284" s="1074"/>
      <c r="AD284" s="1074"/>
      <c r="AE284" s="1074"/>
      <c r="AF284" s="1074"/>
      <c r="AG284" s="1074"/>
      <c r="AH284" s="1074"/>
      <c r="AI284" s="1074"/>
      <c r="AJ284" s="1074"/>
      <c r="AK284" s="1074"/>
      <c r="AL284" s="1074"/>
      <c r="AM284" s="1074"/>
      <c r="AN284" s="1074"/>
      <c r="AO284" s="1074"/>
      <c r="AP284" s="1074"/>
      <c r="AQ284" s="1074"/>
      <c r="AR284" s="1074"/>
      <c r="AS284" s="1074"/>
      <c r="AT284" s="1075"/>
    </row>
    <row r="285" ht="14.25" customHeight="1">
      <c r="A285" s="1116"/>
      <c r="B285" s="1120"/>
      <c r="C285" s="1100"/>
      <c r="D285" s="1100"/>
      <c r="E285" s="1100"/>
      <c r="F285" s="1100"/>
      <c r="G285" s="1100"/>
      <c r="H285" s="1100"/>
      <c r="I285" s="1100"/>
      <c r="J285" s="1100"/>
      <c r="K285" s="1074"/>
      <c r="L285" s="1074"/>
      <c r="M285" s="1074"/>
      <c r="N285" s="1074"/>
      <c r="O285" s="1074"/>
      <c r="P285" s="1074"/>
      <c r="Q285" s="1074"/>
      <c r="R285" s="1074"/>
      <c r="S285" s="1074"/>
      <c r="T285" s="1074"/>
      <c r="U285" s="1074"/>
      <c r="V285" s="1074"/>
      <c r="W285" s="1074"/>
      <c r="X285" s="1074"/>
      <c r="Y285" s="1074"/>
      <c r="Z285" s="1074"/>
      <c r="AA285" s="1074"/>
      <c r="AB285" s="1074"/>
      <c r="AC285" s="1074"/>
      <c r="AD285" s="1074"/>
      <c r="AE285" s="1074"/>
      <c r="AF285" s="1074"/>
      <c r="AG285" s="1074"/>
      <c r="AH285" s="1074"/>
      <c r="AI285" s="1074"/>
      <c r="AJ285" s="1074"/>
      <c r="AK285" s="1074"/>
      <c r="AL285" s="1074"/>
      <c r="AM285" s="1074"/>
      <c r="AN285" s="1074"/>
      <c r="AO285" s="1074"/>
      <c r="AP285" s="1074"/>
      <c r="AQ285" s="1074"/>
      <c r="AR285" s="1074"/>
      <c r="AS285" s="1074"/>
      <c r="AT285" s="1075"/>
    </row>
    <row r="286" ht="14.25" customHeight="1">
      <c r="A286" s="1116"/>
      <c r="B286" s="1120"/>
      <c r="C286" s="1100"/>
      <c r="D286" s="1100"/>
      <c r="E286" s="1100"/>
      <c r="F286" s="1100"/>
      <c r="G286" s="1100"/>
      <c r="H286" s="1100"/>
      <c r="I286" s="1100"/>
      <c r="J286" s="1100"/>
      <c r="K286" s="1074"/>
      <c r="L286" s="1074"/>
      <c r="M286" s="1074"/>
      <c r="N286" s="1074"/>
      <c r="O286" s="1074"/>
      <c r="P286" s="1074"/>
      <c r="Q286" s="1074"/>
      <c r="R286" s="1074"/>
      <c r="S286" s="1074"/>
      <c r="T286" s="1074"/>
      <c r="U286" s="1074"/>
      <c r="V286" s="1074"/>
      <c r="W286" s="1074"/>
      <c r="X286" s="1074"/>
      <c r="Y286" s="1074"/>
      <c r="Z286" s="1074"/>
      <c r="AA286" s="1074"/>
      <c r="AB286" s="1074"/>
      <c r="AC286" s="1074"/>
      <c r="AD286" s="1074"/>
      <c r="AE286" s="1074"/>
      <c r="AF286" s="1074"/>
      <c r="AG286" s="1074"/>
      <c r="AH286" s="1074"/>
      <c r="AI286" s="1074"/>
      <c r="AJ286" s="1074"/>
      <c r="AK286" s="1074"/>
      <c r="AL286" s="1074"/>
      <c r="AM286" s="1074"/>
      <c r="AN286" s="1074"/>
      <c r="AO286" s="1074"/>
      <c r="AP286" s="1074"/>
      <c r="AQ286" s="1074"/>
      <c r="AR286" s="1074"/>
      <c r="AS286" s="1074"/>
      <c r="AT286" s="1075"/>
    </row>
    <row r="287" ht="14.25" customHeight="1">
      <c r="A287" s="1116"/>
      <c r="B287" s="1120"/>
      <c r="C287" s="1100"/>
      <c r="D287" s="1100"/>
      <c r="E287" s="1100"/>
      <c r="F287" s="1100"/>
      <c r="G287" s="1100"/>
      <c r="H287" s="1100"/>
      <c r="I287" s="1100"/>
      <c r="J287" s="1100"/>
      <c r="K287" s="1074"/>
      <c r="L287" s="1074"/>
      <c r="M287" s="1074"/>
      <c r="N287" s="1074"/>
      <c r="O287" s="1074"/>
      <c r="P287" s="1074"/>
      <c r="Q287" s="1074"/>
      <c r="R287" s="1074"/>
      <c r="S287" s="1074"/>
      <c r="T287" s="1074"/>
      <c r="U287" s="1074"/>
      <c r="V287" s="1074"/>
      <c r="W287" s="1074"/>
      <c r="X287" s="1074"/>
      <c r="Y287" s="1074"/>
      <c r="Z287" s="1074"/>
      <c r="AA287" s="1074"/>
      <c r="AB287" s="1074"/>
      <c r="AC287" s="1074"/>
      <c r="AD287" s="1074"/>
      <c r="AE287" s="1074"/>
      <c r="AF287" s="1074"/>
      <c r="AG287" s="1074"/>
      <c r="AH287" s="1074"/>
      <c r="AI287" s="1074"/>
      <c r="AJ287" s="1074"/>
      <c r="AK287" s="1074"/>
      <c r="AL287" s="1074"/>
      <c r="AM287" s="1074"/>
      <c r="AN287" s="1074"/>
      <c r="AO287" s="1074"/>
      <c r="AP287" s="1074"/>
      <c r="AQ287" s="1074"/>
      <c r="AR287" s="1074"/>
      <c r="AS287" s="1074"/>
      <c r="AT287" s="1075"/>
    </row>
    <row r="288" ht="14.25" customHeight="1">
      <c r="A288" s="1116"/>
      <c r="B288" s="1120"/>
      <c r="C288" s="1100"/>
      <c r="D288" s="1100"/>
      <c r="E288" s="1100"/>
      <c r="F288" s="1100"/>
      <c r="G288" s="1100"/>
      <c r="H288" s="1100"/>
      <c r="I288" s="1100"/>
      <c r="J288" s="1100"/>
      <c r="K288" s="1074"/>
      <c r="L288" s="1074"/>
      <c r="M288" s="1074"/>
      <c r="N288" s="1074"/>
      <c r="O288" s="1074"/>
      <c r="P288" s="1074"/>
      <c r="Q288" s="1074"/>
      <c r="R288" s="1074"/>
      <c r="S288" s="1074"/>
      <c r="T288" s="1074"/>
      <c r="U288" s="1074"/>
      <c r="V288" s="1074"/>
      <c r="W288" s="1074"/>
      <c r="X288" s="1074"/>
      <c r="Y288" s="1074"/>
      <c r="Z288" s="1074"/>
      <c r="AA288" s="1074"/>
      <c r="AB288" s="1074"/>
      <c r="AC288" s="1074"/>
      <c r="AD288" s="1074"/>
      <c r="AE288" s="1074"/>
      <c r="AF288" s="1074"/>
      <c r="AG288" s="1074"/>
      <c r="AH288" s="1074"/>
      <c r="AI288" s="1074"/>
      <c r="AJ288" s="1074"/>
      <c r="AK288" s="1074"/>
      <c r="AL288" s="1074"/>
      <c r="AM288" s="1074"/>
      <c r="AN288" s="1074"/>
      <c r="AO288" s="1074"/>
      <c r="AP288" s="1074"/>
      <c r="AQ288" s="1074"/>
      <c r="AR288" s="1074"/>
      <c r="AS288" s="1074"/>
      <c r="AT288" s="1075"/>
    </row>
    <row r="289" ht="14.25" customHeight="1">
      <c r="A289" s="1116"/>
      <c r="B289" s="1120"/>
      <c r="C289" s="1100"/>
      <c r="D289" s="1100"/>
      <c r="E289" s="1100"/>
      <c r="F289" s="1100"/>
      <c r="G289" s="1100"/>
      <c r="H289" s="1100"/>
      <c r="I289" s="1100"/>
      <c r="J289" s="1100"/>
      <c r="K289" s="1074"/>
      <c r="L289" s="1074"/>
      <c r="M289" s="1074"/>
      <c r="N289" s="1074"/>
      <c r="O289" s="1074"/>
      <c r="P289" s="1074"/>
      <c r="Q289" s="1074"/>
      <c r="R289" s="1074"/>
      <c r="S289" s="1074"/>
      <c r="T289" s="1074"/>
      <c r="U289" s="1074"/>
      <c r="V289" s="1074"/>
      <c r="W289" s="1074"/>
      <c r="X289" s="1074"/>
      <c r="Y289" s="1074"/>
      <c r="Z289" s="1074"/>
      <c r="AA289" s="1074"/>
      <c r="AB289" s="1074"/>
      <c r="AC289" s="1074"/>
      <c r="AD289" s="1074"/>
      <c r="AE289" s="1074"/>
      <c r="AF289" s="1074"/>
      <c r="AG289" s="1074"/>
      <c r="AH289" s="1074"/>
      <c r="AI289" s="1074"/>
      <c r="AJ289" s="1074"/>
      <c r="AK289" s="1074"/>
      <c r="AL289" s="1074"/>
      <c r="AM289" s="1074"/>
      <c r="AN289" s="1074"/>
      <c r="AO289" s="1074"/>
      <c r="AP289" s="1074"/>
      <c r="AQ289" s="1074"/>
      <c r="AR289" s="1074"/>
      <c r="AS289" s="1074"/>
      <c r="AT289" s="1075"/>
    </row>
    <row r="290" ht="14.25" customHeight="1">
      <c r="A290" s="1116"/>
      <c r="B290" s="1120"/>
      <c r="C290" s="1100"/>
      <c r="D290" s="1100"/>
      <c r="E290" s="1100"/>
      <c r="F290" s="1100"/>
      <c r="G290" s="1100"/>
      <c r="H290" s="1100"/>
      <c r="I290" s="1100"/>
      <c r="J290" s="1100"/>
      <c r="K290" s="1074"/>
      <c r="L290" s="1074"/>
      <c r="M290" s="1074"/>
      <c r="N290" s="1074"/>
      <c r="O290" s="1074"/>
      <c r="P290" s="1074"/>
      <c r="Q290" s="1074"/>
      <c r="R290" s="1074"/>
      <c r="S290" s="1074"/>
      <c r="T290" s="1074"/>
      <c r="U290" s="1074"/>
      <c r="V290" s="1074"/>
      <c r="W290" s="1074"/>
      <c r="X290" s="1074"/>
      <c r="Y290" s="1074"/>
      <c r="Z290" s="1074"/>
      <c r="AA290" s="1074"/>
      <c r="AB290" s="1074"/>
      <c r="AC290" s="1074"/>
      <c r="AD290" s="1074"/>
      <c r="AE290" s="1074"/>
      <c r="AF290" s="1074"/>
      <c r="AG290" s="1074"/>
      <c r="AH290" s="1074"/>
      <c r="AI290" s="1074"/>
      <c r="AJ290" s="1074"/>
      <c r="AK290" s="1074"/>
      <c r="AL290" s="1074"/>
      <c r="AM290" s="1074"/>
      <c r="AN290" s="1074"/>
      <c r="AO290" s="1074"/>
      <c r="AP290" s="1074"/>
      <c r="AQ290" s="1074"/>
      <c r="AR290" s="1074"/>
      <c r="AS290" s="1074"/>
      <c r="AT290" s="1075"/>
    </row>
    <row r="291" ht="14.25" customHeight="1">
      <c r="A291" s="1116"/>
      <c r="B291" s="1120"/>
      <c r="C291" s="1100"/>
      <c r="D291" s="1100"/>
      <c r="E291" s="1100"/>
      <c r="F291" s="1100"/>
      <c r="G291" s="1100"/>
      <c r="H291" s="1100"/>
      <c r="I291" s="1100"/>
      <c r="J291" s="1100"/>
      <c r="K291" s="1074"/>
      <c r="L291" s="1074"/>
      <c r="M291" s="1074"/>
      <c r="N291" s="1074"/>
      <c r="O291" s="1074"/>
      <c r="P291" s="1074"/>
      <c r="Q291" s="1074"/>
      <c r="R291" s="1074"/>
      <c r="S291" s="1074"/>
      <c r="T291" s="1074"/>
      <c r="U291" s="1074"/>
      <c r="V291" s="1074"/>
      <c r="W291" s="1074"/>
      <c r="X291" s="1074"/>
      <c r="Y291" s="1074"/>
      <c r="Z291" s="1074"/>
      <c r="AA291" s="1074"/>
      <c r="AB291" s="1074"/>
      <c r="AC291" s="1074"/>
      <c r="AD291" s="1074"/>
      <c r="AE291" s="1074"/>
      <c r="AF291" s="1074"/>
      <c r="AG291" s="1074"/>
      <c r="AH291" s="1074"/>
      <c r="AI291" s="1074"/>
      <c r="AJ291" s="1074"/>
      <c r="AK291" s="1074"/>
      <c r="AL291" s="1074"/>
      <c r="AM291" s="1074"/>
      <c r="AN291" s="1074"/>
      <c r="AO291" s="1074"/>
      <c r="AP291" s="1074"/>
      <c r="AQ291" s="1074"/>
      <c r="AR291" s="1074"/>
      <c r="AS291" s="1074"/>
      <c r="AT291" s="1075"/>
    </row>
    <row r="292" ht="14.25" customHeight="1">
      <c r="A292" s="1116"/>
      <c r="B292" s="1120"/>
      <c r="C292" s="1100"/>
      <c r="D292" s="1100"/>
      <c r="E292" s="1100"/>
      <c r="F292" s="1100"/>
      <c r="G292" s="1100"/>
      <c r="H292" s="1100"/>
      <c r="I292" s="1100"/>
      <c r="J292" s="1100"/>
      <c r="K292" s="1074"/>
      <c r="L292" s="1074"/>
      <c r="M292" s="1074"/>
      <c r="N292" s="1074"/>
      <c r="O292" s="1074"/>
      <c r="P292" s="1074"/>
      <c r="Q292" s="1074"/>
      <c r="R292" s="1074"/>
      <c r="S292" s="1074"/>
      <c r="T292" s="1074"/>
      <c r="U292" s="1074"/>
      <c r="V292" s="1074"/>
      <c r="W292" s="1074"/>
      <c r="X292" s="1074"/>
      <c r="Y292" s="1074"/>
      <c r="Z292" s="1074"/>
      <c r="AA292" s="1074"/>
      <c r="AB292" s="1074"/>
      <c r="AC292" s="1074"/>
      <c r="AD292" s="1074"/>
      <c r="AE292" s="1074"/>
      <c r="AF292" s="1074"/>
      <c r="AG292" s="1074"/>
      <c r="AH292" s="1074"/>
      <c r="AI292" s="1074"/>
      <c r="AJ292" s="1074"/>
      <c r="AK292" s="1074"/>
      <c r="AL292" s="1074"/>
      <c r="AM292" s="1074"/>
      <c r="AN292" s="1074"/>
      <c r="AO292" s="1074"/>
      <c r="AP292" s="1074"/>
      <c r="AQ292" s="1074"/>
      <c r="AR292" s="1074"/>
      <c r="AS292" s="1074"/>
      <c r="AT292" s="1075"/>
    </row>
    <row r="293" ht="14.25" customHeight="1">
      <c r="A293" s="1116"/>
      <c r="B293" s="1120"/>
      <c r="C293" s="1100"/>
      <c r="D293" s="1100"/>
      <c r="E293" s="1100"/>
      <c r="F293" s="1100"/>
      <c r="G293" s="1100"/>
      <c r="H293" s="1100"/>
      <c r="I293" s="1100"/>
      <c r="J293" s="1100"/>
      <c r="K293" s="1074"/>
      <c r="L293" s="1074"/>
      <c r="M293" s="1074"/>
      <c r="N293" s="1074"/>
      <c r="O293" s="1074"/>
      <c r="P293" s="1074"/>
      <c r="Q293" s="1074"/>
      <c r="R293" s="1074"/>
      <c r="S293" s="1074"/>
      <c r="T293" s="1074"/>
      <c r="U293" s="1074"/>
      <c r="V293" s="1074"/>
      <c r="W293" s="1074"/>
      <c r="X293" s="1074"/>
      <c r="Y293" s="1074"/>
      <c r="Z293" s="1074"/>
      <c r="AA293" s="1074"/>
      <c r="AB293" s="1074"/>
      <c r="AC293" s="1074"/>
      <c r="AD293" s="1074"/>
      <c r="AE293" s="1074"/>
      <c r="AF293" s="1074"/>
      <c r="AG293" s="1074"/>
      <c r="AH293" s="1074"/>
      <c r="AI293" s="1074"/>
      <c r="AJ293" s="1074"/>
      <c r="AK293" s="1074"/>
      <c r="AL293" s="1074"/>
      <c r="AM293" s="1074"/>
      <c r="AN293" s="1074"/>
      <c r="AO293" s="1074"/>
      <c r="AP293" s="1074"/>
      <c r="AQ293" s="1074"/>
      <c r="AR293" s="1074"/>
      <c r="AS293" s="1074"/>
      <c r="AT293" s="1075"/>
    </row>
    <row r="294" ht="14.25" customHeight="1">
      <c r="A294" s="1116"/>
      <c r="B294" s="1120"/>
      <c r="C294" s="1100"/>
      <c r="D294" s="1100"/>
      <c r="E294" s="1100"/>
      <c r="F294" s="1100"/>
      <c r="G294" s="1100"/>
      <c r="H294" s="1100"/>
      <c r="I294" s="1100"/>
      <c r="J294" s="1100"/>
      <c r="K294" s="1074"/>
      <c r="L294" s="1074"/>
      <c r="M294" s="1074"/>
      <c r="N294" s="1074"/>
      <c r="O294" s="1074"/>
      <c r="P294" s="1074"/>
      <c r="Q294" s="1074"/>
      <c r="R294" s="1074"/>
      <c r="S294" s="1074"/>
      <c r="T294" s="1074"/>
      <c r="U294" s="1074"/>
      <c r="V294" s="1074"/>
      <c r="W294" s="1074"/>
      <c r="X294" s="1074"/>
      <c r="Y294" s="1074"/>
      <c r="Z294" s="1074"/>
      <c r="AA294" s="1074"/>
      <c r="AB294" s="1074"/>
      <c r="AC294" s="1074"/>
      <c r="AD294" s="1074"/>
      <c r="AE294" s="1074"/>
      <c r="AF294" s="1074"/>
      <c r="AG294" s="1074"/>
      <c r="AH294" s="1074"/>
      <c r="AI294" s="1074"/>
      <c r="AJ294" s="1074"/>
      <c r="AK294" s="1074"/>
      <c r="AL294" s="1074"/>
      <c r="AM294" s="1074"/>
      <c r="AN294" s="1074"/>
      <c r="AO294" s="1074"/>
      <c r="AP294" s="1074"/>
      <c r="AQ294" s="1074"/>
      <c r="AR294" s="1074"/>
      <c r="AS294" s="1074"/>
      <c r="AT294" s="1075"/>
    </row>
    <row r="295" ht="14.25" customHeight="1">
      <c r="A295" s="1116"/>
      <c r="B295" s="1120"/>
      <c r="C295" s="1100"/>
      <c r="D295" s="1100"/>
      <c r="E295" s="1100"/>
      <c r="F295" s="1100"/>
      <c r="G295" s="1100"/>
      <c r="H295" s="1100"/>
      <c r="I295" s="1100"/>
      <c r="J295" s="1100"/>
      <c r="K295" s="1074"/>
      <c r="L295" s="1074"/>
      <c r="M295" s="1074"/>
      <c r="N295" s="1074"/>
      <c r="O295" s="1074"/>
      <c r="P295" s="1074"/>
      <c r="Q295" s="1074"/>
      <c r="R295" s="1074"/>
      <c r="S295" s="1074"/>
      <c r="T295" s="1074"/>
      <c r="U295" s="1074"/>
      <c r="V295" s="1074"/>
      <c r="W295" s="1074"/>
      <c r="X295" s="1074"/>
      <c r="Y295" s="1074"/>
      <c r="Z295" s="1074"/>
      <c r="AA295" s="1074"/>
      <c r="AB295" s="1074"/>
      <c r="AC295" s="1074"/>
      <c r="AD295" s="1074"/>
      <c r="AE295" s="1074"/>
      <c r="AF295" s="1074"/>
      <c r="AG295" s="1074"/>
      <c r="AH295" s="1074"/>
      <c r="AI295" s="1074"/>
      <c r="AJ295" s="1074"/>
      <c r="AK295" s="1074"/>
      <c r="AL295" s="1074"/>
      <c r="AM295" s="1074"/>
      <c r="AN295" s="1074"/>
      <c r="AO295" s="1074"/>
      <c r="AP295" s="1074"/>
      <c r="AQ295" s="1074"/>
      <c r="AR295" s="1074"/>
      <c r="AS295" s="1074"/>
      <c r="AT295" s="1075"/>
    </row>
    <row r="296" ht="14.25" customHeight="1">
      <c r="A296" s="1116"/>
      <c r="B296" s="1120"/>
      <c r="C296" s="1100"/>
      <c r="D296" s="1100"/>
      <c r="E296" s="1100"/>
      <c r="F296" s="1100"/>
      <c r="G296" s="1100"/>
      <c r="H296" s="1100"/>
      <c r="I296" s="1100"/>
      <c r="J296" s="1100"/>
      <c r="K296" s="1074"/>
      <c r="L296" s="1074"/>
      <c r="M296" s="1074"/>
      <c r="N296" s="1074"/>
      <c r="O296" s="1074"/>
      <c r="P296" s="1074"/>
      <c r="Q296" s="1074"/>
      <c r="R296" s="1074"/>
      <c r="S296" s="1074"/>
      <c r="T296" s="1074"/>
      <c r="U296" s="1074"/>
      <c r="V296" s="1074"/>
      <c r="W296" s="1074"/>
      <c r="X296" s="1074"/>
      <c r="Y296" s="1074"/>
      <c r="Z296" s="1074"/>
      <c r="AA296" s="1074"/>
      <c r="AB296" s="1074"/>
      <c r="AC296" s="1074"/>
      <c r="AD296" s="1074"/>
      <c r="AE296" s="1074"/>
      <c r="AF296" s="1074"/>
      <c r="AG296" s="1074"/>
      <c r="AH296" s="1074"/>
      <c r="AI296" s="1074"/>
      <c r="AJ296" s="1074"/>
      <c r="AK296" s="1074"/>
      <c r="AL296" s="1074"/>
      <c r="AM296" s="1074"/>
      <c r="AN296" s="1074"/>
      <c r="AO296" s="1074"/>
      <c r="AP296" s="1074"/>
      <c r="AQ296" s="1074"/>
      <c r="AR296" s="1074"/>
      <c r="AS296" s="1074"/>
      <c r="AT296" s="1075"/>
    </row>
    <row r="297" ht="14.25" customHeight="1">
      <c r="A297" s="1116"/>
      <c r="B297" s="1120"/>
      <c r="C297" s="1100"/>
      <c r="D297" s="1100"/>
      <c r="E297" s="1100"/>
      <c r="F297" s="1100"/>
      <c r="G297" s="1100"/>
      <c r="H297" s="1100"/>
      <c r="I297" s="1100"/>
      <c r="J297" s="1100"/>
      <c r="K297" s="1074"/>
      <c r="L297" s="1074"/>
      <c r="M297" s="1074"/>
      <c r="N297" s="1074"/>
      <c r="O297" s="1074"/>
      <c r="P297" s="1074"/>
      <c r="Q297" s="1074"/>
      <c r="R297" s="1074"/>
      <c r="S297" s="1074"/>
      <c r="T297" s="1074"/>
      <c r="U297" s="1074"/>
      <c r="V297" s="1074"/>
      <c r="W297" s="1074"/>
      <c r="X297" s="1074"/>
      <c r="Y297" s="1074"/>
      <c r="Z297" s="1074"/>
      <c r="AA297" s="1074"/>
      <c r="AB297" s="1074"/>
      <c r="AC297" s="1074"/>
      <c r="AD297" s="1074"/>
      <c r="AE297" s="1074"/>
      <c r="AF297" s="1074"/>
      <c r="AG297" s="1074"/>
      <c r="AH297" s="1074"/>
      <c r="AI297" s="1074"/>
      <c r="AJ297" s="1074"/>
      <c r="AK297" s="1074"/>
      <c r="AL297" s="1074"/>
      <c r="AM297" s="1074"/>
      <c r="AN297" s="1074"/>
      <c r="AO297" s="1074"/>
      <c r="AP297" s="1074"/>
      <c r="AQ297" s="1074"/>
      <c r="AR297" s="1074"/>
      <c r="AS297" s="1074"/>
      <c r="AT297" s="1075"/>
    </row>
    <row r="298" ht="14.25" customHeight="1">
      <c r="A298" s="1116"/>
      <c r="B298" s="1120"/>
      <c r="C298" s="1100"/>
      <c r="D298" s="1100"/>
      <c r="E298" s="1100"/>
      <c r="F298" s="1100"/>
      <c r="G298" s="1100"/>
      <c r="H298" s="1100"/>
      <c r="I298" s="1100"/>
      <c r="J298" s="1100"/>
      <c r="K298" s="1074"/>
      <c r="L298" s="1074"/>
      <c r="M298" s="1074"/>
      <c r="N298" s="1074"/>
      <c r="O298" s="1074"/>
      <c r="P298" s="1074"/>
      <c r="Q298" s="1074"/>
      <c r="R298" s="1074"/>
      <c r="S298" s="1074"/>
      <c r="T298" s="1074"/>
      <c r="U298" s="1074"/>
      <c r="V298" s="1074"/>
      <c r="W298" s="1074"/>
      <c r="X298" s="1074"/>
      <c r="Y298" s="1074"/>
      <c r="Z298" s="1074"/>
      <c r="AA298" s="1074"/>
      <c r="AB298" s="1074"/>
      <c r="AC298" s="1074"/>
      <c r="AD298" s="1074"/>
      <c r="AE298" s="1074"/>
      <c r="AF298" s="1074"/>
      <c r="AG298" s="1074"/>
      <c r="AH298" s="1074"/>
      <c r="AI298" s="1074"/>
      <c r="AJ298" s="1074"/>
      <c r="AK298" s="1074"/>
      <c r="AL298" s="1074"/>
      <c r="AM298" s="1074"/>
      <c r="AN298" s="1074"/>
      <c r="AO298" s="1074"/>
      <c r="AP298" s="1074"/>
      <c r="AQ298" s="1074"/>
      <c r="AR298" s="1074"/>
      <c r="AS298" s="1074"/>
      <c r="AT298" s="1075"/>
    </row>
    <row r="299" ht="14.25" customHeight="1">
      <c r="A299" s="1116"/>
      <c r="B299" s="1120"/>
      <c r="C299" s="1100"/>
      <c r="D299" s="1100"/>
      <c r="E299" s="1100"/>
      <c r="F299" s="1100"/>
      <c r="G299" s="1100"/>
      <c r="H299" s="1100"/>
      <c r="I299" s="1100"/>
      <c r="J299" s="1100"/>
      <c r="K299" s="1074"/>
      <c r="L299" s="1074"/>
      <c r="M299" s="1074"/>
      <c r="N299" s="1074"/>
      <c r="O299" s="1074"/>
      <c r="P299" s="1074"/>
      <c r="Q299" s="1074"/>
      <c r="R299" s="1074"/>
      <c r="S299" s="1074"/>
      <c r="T299" s="1074"/>
      <c r="U299" s="1074"/>
      <c r="V299" s="1074"/>
      <c r="W299" s="1074"/>
      <c r="X299" s="1074"/>
      <c r="Y299" s="1074"/>
      <c r="Z299" s="1074"/>
      <c r="AA299" s="1074"/>
      <c r="AB299" s="1074"/>
      <c r="AC299" s="1074"/>
      <c r="AD299" s="1074"/>
      <c r="AE299" s="1074"/>
      <c r="AF299" s="1074"/>
      <c r="AG299" s="1074"/>
      <c r="AH299" s="1074"/>
      <c r="AI299" s="1074"/>
      <c r="AJ299" s="1074"/>
      <c r="AK299" s="1074"/>
      <c r="AL299" s="1074"/>
      <c r="AM299" s="1074"/>
      <c r="AN299" s="1074"/>
      <c r="AO299" s="1074"/>
      <c r="AP299" s="1074"/>
      <c r="AQ299" s="1074"/>
      <c r="AR299" s="1074"/>
      <c r="AS299" s="1074"/>
      <c r="AT299" s="1075"/>
    </row>
    <row r="300" ht="14.25" customHeight="1">
      <c r="A300" s="1116"/>
      <c r="B300" s="1120"/>
      <c r="C300" s="1100"/>
      <c r="D300" s="1100"/>
      <c r="E300" s="1100"/>
      <c r="F300" s="1100"/>
      <c r="G300" s="1100"/>
      <c r="H300" s="1100"/>
      <c r="I300" s="1100"/>
      <c r="J300" s="1100"/>
      <c r="K300" s="1074"/>
      <c r="L300" s="1074"/>
      <c r="M300" s="1074"/>
      <c r="N300" s="1074"/>
      <c r="O300" s="1074"/>
      <c r="P300" s="1074"/>
      <c r="Q300" s="1074"/>
      <c r="R300" s="1074"/>
      <c r="S300" s="1074"/>
      <c r="T300" s="1074"/>
      <c r="U300" s="1074"/>
      <c r="V300" s="1074"/>
      <c r="W300" s="1074"/>
      <c r="X300" s="1074"/>
      <c r="Y300" s="1074"/>
      <c r="Z300" s="1074"/>
      <c r="AA300" s="1074"/>
      <c r="AB300" s="1074"/>
      <c r="AC300" s="1074"/>
      <c r="AD300" s="1074"/>
      <c r="AE300" s="1074"/>
      <c r="AF300" s="1074"/>
      <c r="AG300" s="1074"/>
      <c r="AH300" s="1074"/>
      <c r="AI300" s="1074"/>
      <c r="AJ300" s="1074"/>
      <c r="AK300" s="1074"/>
      <c r="AL300" s="1074"/>
      <c r="AM300" s="1074"/>
      <c r="AN300" s="1074"/>
      <c r="AO300" s="1074"/>
      <c r="AP300" s="1074"/>
      <c r="AQ300" s="1074"/>
      <c r="AR300" s="1074"/>
      <c r="AS300" s="1074"/>
      <c r="AT300" s="1075"/>
    </row>
    <row r="301" ht="14.25" customHeight="1">
      <c r="A301" s="1116"/>
      <c r="B301" s="1120"/>
      <c r="C301" s="1100"/>
      <c r="D301" s="1100"/>
      <c r="E301" s="1100"/>
      <c r="F301" s="1100"/>
      <c r="G301" s="1100"/>
      <c r="H301" s="1100"/>
      <c r="I301" s="1100"/>
      <c r="J301" s="1100"/>
      <c r="K301" s="1074"/>
      <c r="L301" s="1074"/>
      <c r="M301" s="1074"/>
      <c r="N301" s="1074"/>
      <c r="O301" s="1074"/>
      <c r="P301" s="1074"/>
      <c r="Q301" s="1074"/>
      <c r="R301" s="1074"/>
      <c r="S301" s="1074"/>
      <c r="T301" s="1074"/>
      <c r="U301" s="1074"/>
      <c r="V301" s="1074"/>
      <c r="W301" s="1074"/>
      <c r="X301" s="1074"/>
      <c r="Y301" s="1074"/>
      <c r="Z301" s="1074"/>
      <c r="AA301" s="1074"/>
      <c r="AB301" s="1074"/>
      <c r="AC301" s="1074"/>
      <c r="AD301" s="1074"/>
      <c r="AE301" s="1074"/>
      <c r="AF301" s="1074"/>
      <c r="AG301" s="1074"/>
      <c r="AH301" s="1074"/>
      <c r="AI301" s="1074"/>
      <c r="AJ301" s="1074"/>
      <c r="AK301" s="1074"/>
      <c r="AL301" s="1074"/>
      <c r="AM301" s="1074"/>
      <c r="AN301" s="1074"/>
      <c r="AO301" s="1074"/>
      <c r="AP301" s="1074"/>
      <c r="AQ301" s="1074"/>
      <c r="AR301" s="1074"/>
      <c r="AS301" s="1074"/>
      <c r="AT301" s="1075"/>
    </row>
    <row r="302" ht="14.25" customHeight="1">
      <c r="A302" s="1116"/>
      <c r="B302" s="1120"/>
      <c r="C302" s="1100"/>
      <c r="D302" s="1100"/>
      <c r="E302" s="1100"/>
      <c r="F302" s="1100"/>
      <c r="G302" s="1100"/>
      <c r="H302" s="1100"/>
      <c r="I302" s="1100"/>
      <c r="J302" s="1100"/>
      <c r="K302" s="1074"/>
      <c r="L302" s="1074"/>
      <c r="M302" s="1074"/>
      <c r="N302" s="1074"/>
      <c r="O302" s="1074"/>
      <c r="P302" s="1074"/>
      <c r="Q302" s="1074"/>
      <c r="R302" s="1074"/>
      <c r="S302" s="1074"/>
      <c r="T302" s="1074"/>
      <c r="U302" s="1074"/>
      <c r="V302" s="1074"/>
      <c r="W302" s="1074"/>
      <c r="X302" s="1074"/>
      <c r="Y302" s="1074"/>
      <c r="Z302" s="1074"/>
      <c r="AA302" s="1074"/>
      <c r="AB302" s="1074"/>
      <c r="AC302" s="1074"/>
      <c r="AD302" s="1074"/>
      <c r="AE302" s="1074"/>
      <c r="AF302" s="1074"/>
      <c r="AG302" s="1074"/>
      <c r="AH302" s="1074"/>
      <c r="AI302" s="1074"/>
      <c r="AJ302" s="1074"/>
      <c r="AK302" s="1074"/>
      <c r="AL302" s="1074"/>
      <c r="AM302" s="1074"/>
      <c r="AN302" s="1074"/>
      <c r="AO302" s="1074"/>
      <c r="AP302" s="1074"/>
      <c r="AQ302" s="1074"/>
      <c r="AR302" s="1074"/>
      <c r="AS302" s="1074"/>
      <c r="AT302" s="1075"/>
    </row>
    <row r="303" ht="14.25" customHeight="1">
      <c r="A303" s="1116"/>
      <c r="B303" s="1120"/>
      <c r="C303" s="1100"/>
      <c r="D303" s="1100"/>
      <c r="E303" s="1100"/>
      <c r="F303" s="1100"/>
      <c r="G303" s="1100"/>
      <c r="H303" s="1100"/>
      <c r="I303" s="1100"/>
      <c r="J303" s="1100"/>
      <c r="K303" s="1074"/>
      <c r="L303" s="1074"/>
      <c r="M303" s="1074"/>
      <c r="N303" s="1074"/>
      <c r="O303" s="1074"/>
      <c r="P303" s="1074"/>
      <c r="Q303" s="1074"/>
      <c r="R303" s="1074"/>
      <c r="S303" s="1074"/>
      <c r="T303" s="1074"/>
      <c r="U303" s="1074"/>
      <c r="V303" s="1074"/>
      <c r="W303" s="1074"/>
      <c r="X303" s="1074"/>
      <c r="Y303" s="1074"/>
      <c r="Z303" s="1074"/>
      <c r="AA303" s="1074"/>
      <c r="AB303" s="1074"/>
      <c r="AC303" s="1074"/>
      <c r="AD303" s="1074"/>
      <c r="AE303" s="1074"/>
      <c r="AF303" s="1074"/>
      <c r="AG303" s="1074"/>
      <c r="AH303" s="1074"/>
      <c r="AI303" s="1074"/>
      <c r="AJ303" s="1074"/>
      <c r="AK303" s="1074"/>
      <c r="AL303" s="1074"/>
      <c r="AM303" s="1074"/>
      <c r="AN303" s="1074"/>
      <c r="AO303" s="1074"/>
      <c r="AP303" s="1074"/>
      <c r="AQ303" s="1074"/>
      <c r="AR303" s="1074"/>
      <c r="AS303" s="1074"/>
      <c r="AT303" s="1075"/>
    </row>
    <row r="304" ht="14.25" customHeight="1">
      <c r="A304" s="1116"/>
      <c r="B304" s="1120"/>
      <c r="C304" s="1100"/>
      <c r="D304" s="1100"/>
      <c r="E304" s="1100"/>
      <c r="F304" s="1100"/>
      <c r="G304" s="1100"/>
      <c r="H304" s="1100"/>
      <c r="I304" s="1100"/>
      <c r="J304" s="1100"/>
      <c r="K304" s="1074"/>
      <c r="L304" s="1074"/>
      <c r="M304" s="1074"/>
      <c r="N304" s="1074"/>
      <c r="O304" s="1074"/>
      <c r="P304" s="1074"/>
      <c r="Q304" s="1074"/>
      <c r="R304" s="1074"/>
      <c r="S304" s="1074"/>
      <c r="T304" s="1074"/>
      <c r="U304" s="1074"/>
      <c r="V304" s="1074"/>
      <c r="W304" s="1074"/>
      <c r="X304" s="1074"/>
      <c r="Y304" s="1074"/>
      <c r="Z304" s="1074"/>
      <c r="AA304" s="1074"/>
      <c r="AB304" s="1074"/>
      <c r="AC304" s="1074"/>
      <c r="AD304" s="1074"/>
      <c r="AE304" s="1074"/>
      <c r="AF304" s="1074"/>
      <c r="AG304" s="1074"/>
      <c r="AH304" s="1074"/>
      <c r="AI304" s="1074"/>
      <c r="AJ304" s="1074"/>
      <c r="AK304" s="1074"/>
      <c r="AL304" s="1074"/>
      <c r="AM304" s="1074"/>
      <c r="AN304" s="1074"/>
      <c r="AO304" s="1074"/>
      <c r="AP304" s="1074"/>
      <c r="AQ304" s="1074"/>
      <c r="AR304" s="1074"/>
      <c r="AS304" s="1074"/>
      <c r="AT304" s="1075"/>
    </row>
    <row r="305" ht="14.25" customHeight="1">
      <c r="A305" s="1116"/>
      <c r="B305" s="1120"/>
      <c r="C305" s="1100"/>
      <c r="D305" s="1100"/>
      <c r="E305" s="1100"/>
      <c r="F305" s="1100"/>
      <c r="G305" s="1100"/>
      <c r="H305" s="1100"/>
      <c r="I305" s="1100"/>
      <c r="J305" s="1100"/>
      <c r="K305" s="1074"/>
      <c r="L305" s="1074"/>
      <c r="M305" s="1074"/>
      <c r="N305" s="1074"/>
      <c r="O305" s="1074"/>
      <c r="P305" s="1074"/>
      <c r="Q305" s="1074"/>
      <c r="R305" s="1074"/>
      <c r="S305" s="1074"/>
      <c r="T305" s="1074"/>
      <c r="U305" s="1074"/>
      <c r="V305" s="1074"/>
      <c r="W305" s="1074"/>
      <c r="X305" s="1074"/>
      <c r="Y305" s="1074"/>
      <c r="Z305" s="1074"/>
      <c r="AA305" s="1074"/>
      <c r="AB305" s="1074"/>
      <c r="AC305" s="1074"/>
      <c r="AD305" s="1074"/>
      <c r="AE305" s="1074"/>
      <c r="AF305" s="1074"/>
      <c r="AG305" s="1074"/>
      <c r="AH305" s="1074"/>
      <c r="AI305" s="1074"/>
      <c r="AJ305" s="1074"/>
      <c r="AK305" s="1074"/>
      <c r="AL305" s="1074"/>
      <c r="AM305" s="1074"/>
      <c r="AN305" s="1074"/>
      <c r="AO305" s="1074"/>
      <c r="AP305" s="1074"/>
      <c r="AQ305" s="1074"/>
      <c r="AR305" s="1074"/>
      <c r="AS305" s="1074"/>
      <c r="AT305" s="1075"/>
    </row>
    <row r="306" ht="14.25" customHeight="1">
      <c r="A306" s="1116"/>
      <c r="B306" s="1120"/>
      <c r="C306" s="1100"/>
      <c r="D306" s="1100"/>
      <c r="E306" s="1100"/>
      <c r="F306" s="1100"/>
      <c r="G306" s="1100"/>
      <c r="H306" s="1100"/>
      <c r="I306" s="1100"/>
      <c r="J306" s="1100"/>
      <c r="K306" s="1074"/>
      <c r="L306" s="1074"/>
      <c r="M306" s="1074"/>
      <c r="N306" s="1074"/>
      <c r="O306" s="1074"/>
      <c r="P306" s="1074"/>
      <c r="Q306" s="1074"/>
      <c r="R306" s="1074"/>
      <c r="S306" s="1074"/>
      <c r="T306" s="1074"/>
      <c r="U306" s="1074"/>
      <c r="V306" s="1074"/>
      <c r="W306" s="1074"/>
      <c r="X306" s="1074"/>
      <c r="Y306" s="1074"/>
      <c r="Z306" s="1074"/>
      <c r="AA306" s="1074"/>
      <c r="AB306" s="1074"/>
      <c r="AC306" s="1074"/>
      <c r="AD306" s="1074"/>
      <c r="AE306" s="1074"/>
      <c r="AF306" s="1074"/>
      <c r="AG306" s="1074"/>
      <c r="AH306" s="1074"/>
      <c r="AI306" s="1074"/>
      <c r="AJ306" s="1074"/>
      <c r="AK306" s="1074"/>
      <c r="AL306" s="1074"/>
      <c r="AM306" s="1074"/>
      <c r="AN306" s="1074"/>
      <c r="AO306" s="1074"/>
      <c r="AP306" s="1074"/>
      <c r="AQ306" s="1074"/>
      <c r="AR306" s="1074"/>
      <c r="AS306" s="1074"/>
      <c r="AT306" s="1075"/>
    </row>
    <row r="307" ht="14.25" customHeight="1">
      <c r="A307" s="1116"/>
      <c r="B307" s="1120"/>
      <c r="C307" s="1100"/>
      <c r="D307" s="1100"/>
      <c r="E307" s="1100"/>
      <c r="F307" s="1100"/>
      <c r="G307" s="1100"/>
      <c r="H307" s="1100"/>
      <c r="I307" s="1100"/>
      <c r="J307" s="1100"/>
      <c r="K307" s="1074"/>
      <c r="L307" s="1074"/>
      <c r="M307" s="1074"/>
      <c r="N307" s="1074"/>
      <c r="O307" s="1074"/>
      <c r="P307" s="1074"/>
      <c r="Q307" s="1074"/>
      <c r="R307" s="1074"/>
      <c r="S307" s="1074"/>
      <c r="T307" s="1074"/>
      <c r="U307" s="1074"/>
      <c r="V307" s="1074"/>
      <c r="W307" s="1074"/>
      <c r="X307" s="1074"/>
      <c r="Y307" s="1074"/>
      <c r="Z307" s="1074"/>
      <c r="AA307" s="1074"/>
      <c r="AB307" s="1074"/>
      <c r="AC307" s="1074"/>
      <c r="AD307" s="1074"/>
      <c r="AE307" s="1074"/>
      <c r="AF307" s="1074"/>
      <c r="AG307" s="1074"/>
      <c r="AH307" s="1074"/>
      <c r="AI307" s="1074"/>
      <c r="AJ307" s="1074"/>
      <c r="AK307" s="1074"/>
      <c r="AL307" s="1074"/>
      <c r="AM307" s="1074"/>
      <c r="AN307" s="1074"/>
      <c r="AO307" s="1074"/>
      <c r="AP307" s="1074"/>
      <c r="AQ307" s="1074"/>
      <c r="AR307" s="1074"/>
      <c r="AS307" s="1074"/>
      <c r="AT307" s="1075"/>
    </row>
    <row r="308" ht="14.25" customHeight="1">
      <c r="A308" s="1116"/>
      <c r="B308" s="1120"/>
      <c r="C308" s="1100"/>
      <c r="D308" s="1100"/>
      <c r="E308" s="1100"/>
      <c r="F308" s="1100"/>
      <c r="G308" s="1100"/>
      <c r="H308" s="1100"/>
      <c r="I308" s="1100"/>
      <c r="J308" s="1100"/>
      <c r="K308" s="1074"/>
      <c r="L308" s="1074"/>
      <c r="M308" s="1074"/>
      <c r="N308" s="1074"/>
      <c r="O308" s="1074"/>
      <c r="P308" s="1074"/>
      <c r="Q308" s="1074"/>
      <c r="R308" s="1074"/>
      <c r="S308" s="1074"/>
      <c r="T308" s="1074"/>
      <c r="U308" s="1074"/>
      <c r="V308" s="1074"/>
      <c r="W308" s="1074"/>
      <c r="X308" s="1074"/>
      <c r="Y308" s="1074"/>
      <c r="Z308" s="1074"/>
      <c r="AA308" s="1074"/>
      <c r="AB308" s="1074"/>
      <c r="AC308" s="1074"/>
      <c r="AD308" s="1074"/>
      <c r="AE308" s="1074"/>
      <c r="AF308" s="1074"/>
      <c r="AG308" s="1074"/>
      <c r="AH308" s="1074"/>
      <c r="AI308" s="1074"/>
      <c r="AJ308" s="1074"/>
      <c r="AK308" s="1074"/>
      <c r="AL308" s="1074"/>
      <c r="AM308" s="1074"/>
      <c r="AN308" s="1074"/>
      <c r="AO308" s="1074"/>
      <c r="AP308" s="1074"/>
      <c r="AQ308" s="1074"/>
      <c r="AR308" s="1074"/>
      <c r="AS308" s="1074"/>
      <c r="AT308" s="1075"/>
    </row>
    <row r="309" ht="14.25" customHeight="1">
      <c r="A309" s="1116"/>
      <c r="B309" s="1120"/>
      <c r="C309" s="1100"/>
      <c r="D309" s="1100"/>
      <c r="E309" s="1100"/>
      <c r="F309" s="1100"/>
      <c r="G309" s="1100"/>
      <c r="H309" s="1100"/>
      <c r="I309" s="1100"/>
      <c r="J309" s="1100"/>
      <c r="K309" s="1074"/>
      <c r="L309" s="1074"/>
      <c r="M309" s="1074"/>
      <c r="N309" s="1074"/>
      <c r="O309" s="1074"/>
      <c r="P309" s="1074"/>
      <c r="Q309" s="1074"/>
      <c r="R309" s="1074"/>
      <c r="S309" s="1074"/>
      <c r="T309" s="1074"/>
      <c r="U309" s="1074"/>
      <c r="V309" s="1074"/>
      <c r="W309" s="1074"/>
      <c r="X309" s="1074"/>
      <c r="Y309" s="1074"/>
      <c r="Z309" s="1074"/>
      <c r="AA309" s="1074"/>
      <c r="AB309" s="1074"/>
      <c r="AC309" s="1074"/>
      <c r="AD309" s="1074"/>
      <c r="AE309" s="1074"/>
      <c r="AF309" s="1074"/>
      <c r="AG309" s="1074"/>
      <c r="AH309" s="1074"/>
      <c r="AI309" s="1074"/>
      <c r="AJ309" s="1074"/>
      <c r="AK309" s="1074"/>
      <c r="AL309" s="1074"/>
      <c r="AM309" s="1074"/>
      <c r="AN309" s="1074"/>
      <c r="AO309" s="1074"/>
      <c r="AP309" s="1074"/>
      <c r="AQ309" s="1074"/>
      <c r="AR309" s="1074"/>
      <c r="AS309" s="1074"/>
      <c r="AT309" s="1075"/>
    </row>
    <row r="310" ht="14.25" customHeight="1">
      <c r="A310" s="1116"/>
      <c r="B310" s="1120"/>
      <c r="C310" s="1100"/>
      <c r="D310" s="1100"/>
      <c r="E310" s="1100"/>
      <c r="F310" s="1100"/>
      <c r="G310" s="1100"/>
      <c r="H310" s="1100"/>
      <c r="I310" s="1100"/>
      <c r="J310" s="1100"/>
      <c r="K310" s="1074"/>
      <c r="L310" s="1074"/>
      <c r="M310" s="1074"/>
      <c r="N310" s="1074"/>
      <c r="O310" s="1074"/>
      <c r="P310" s="1074"/>
      <c r="Q310" s="1074"/>
      <c r="R310" s="1074"/>
      <c r="S310" s="1074"/>
      <c r="T310" s="1074"/>
      <c r="U310" s="1074"/>
      <c r="V310" s="1074"/>
      <c r="W310" s="1074"/>
      <c r="X310" s="1074"/>
      <c r="Y310" s="1074"/>
      <c r="Z310" s="1074"/>
      <c r="AA310" s="1074"/>
      <c r="AB310" s="1074"/>
      <c r="AC310" s="1074"/>
      <c r="AD310" s="1074"/>
      <c r="AE310" s="1074"/>
      <c r="AF310" s="1074"/>
      <c r="AG310" s="1074"/>
      <c r="AH310" s="1074"/>
      <c r="AI310" s="1074"/>
      <c r="AJ310" s="1074"/>
      <c r="AK310" s="1074"/>
      <c r="AL310" s="1074"/>
      <c r="AM310" s="1074"/>
      <c r="AN310" s="1074"/>
      <c r="AO310" s="1074"/>
      <c r="AP310" s="1074"/>
      <c r="AQ310" s="1074"/>
      <c r="AR310" s="1074"/>
      <c r="AS310" s="1074"/>
      <c r="AT310" s="1075"/>
    </row>
    <row r="311" ht="14.25" customHeight="1">
      <c r="A311" s="1116"/>
      <c r="B311" s="1120"/>
      <c r="C311" s="1100"/>
      <c r="D311" s="1100"/>
      <c r="E311" s="1100"/>
      <c r="F311" s="1100"/>
      <c r="G311" s="1100"/>
      <c r="H311" s="1100"/>
      <c r="I311" s="1100"/>
      <c r="J311" s="1100"/>
      <c r="K311" s="1074"/>
      <c r="L311" s="1074"/>
      <c r="M311" s="1074"/>
      <c r="N311" s="1074"/>
      <c r="O311" s="1074"/>
      <c r="P311" s="1074"/>
      <c r="Q311" s="1074"/>
      <c r="R311" s="1074"/>
      <c r="S311" s="1074"/>
      <c r="T311" s="1074"/>
      <c r="U311" s="1074"/>
      <c r="V311" s="1074"/>
      <c r="W311" s="1074"/>
      <c r="X311" s="1074"/>
      <c r="Y311" s="1074"/>
      <c r="Z311" s="1074"/>
      <c r="AA311" s="1074"/>
      <c r="AB311" s="1074"/>
      <c r="AC311" s="1074"/>
      <c r="AD311" s="1074"/>
      <c r="AE311" s="1074"/>
      <c r="AF311" s="1074"/>
      <c r="AG311" s="1074"/>
      <c r="AH311" s="1074"/>
      <c r="AI311" s="1074"/>
      <c r="AJ311" s="1074"/>
      <c r="AK311" s="1074"/>
      <c r="AL311" s="1074"/>
      <c r="AM311" s="1074"/>
      <c r="AN311" s="1074"/>
      <c r="AO311" s="1074"/>
      <c r="AP311" s="1074"/>
      <c r="AQ311" s="1074"/>
      <c r="AR311" s="1074"/>
      <c r="AS311" s="1074"/>
      <c r="AT311" s="1075"/>
    </row>
    <row r="312" ht="14.25" customHeight="1">
      <c r="A312" s="1116"/>
      <c r="B312" s="1120"/>
      <c r="C312" s="1100"/>
      <c r="D312" s="1100"/>
      <c r="E312" s="1100"/>
      <c r="F312" s="1100"/>
      <c r="G312" s="1100"/>
      <c r="H312" s="1100"/>
      <c r="I312" s="1100"/>
      <c r="J312" s="1100"/>
      <c r="K312" s="1074"/>
      <c r="L312" s="1074"/>
      <c r="M312" s="1074"/>
      <c r="N312" s="1074"/>
      <c r="O312" s="1074"/>
      <c r="P312" s="1074"/>
      <c r="Q312" s="1074"/>
      <c r="R312" s="1074"/>
      <c r="S312" s="1074"/>
      <c r="T312" s="1074"/>
      <c r="U312" s="1074"/>
      <c r="V312" s="1074"/>
      <c r="W312" s="1074"/>
      <c r="X312" s="1074"/>
      <c r="Y312" s="1074"/>
      <c r="Z312" s="1074"/>
      <c r="AA312" s="1074"/>
      <c r="AB312" s="1074"/>
      <c r="AC312" s="1074"/>
      <c r="AD312" s="1074"/>
      <c r="AE312" s="1074"/>
      <c r="AF312" s="1074"/>
      <c r="AG312" s="1074"/>
      <c r="AH312" s="1074"/>
      <c r="AI312" s="1074"/>
      <c r="AJ312" s="1074"/>
      <c r="AK312" s="1074"/>
      <c r="AL312" s="1074"/>
      <c r="AM312" s="1074"/>
      <c r="AN312" s="1074"/>
      <c r="AO312" s="1074"/>
      <c r="AP312" s="1074"/>
      <c r="AQ312" s="1074"/>
      <c r="AR312" s="1074"/>
      <c r="AS312" s="1074"/>
      <c r="AT312" s="1075"/>
    </row>
    <row r="313" ht="14.25" customHeight="1">
      <c r="A313" s="1116"/>
      <c r="B313" s="1120"/>
      <c r="C313" s="1100"/>
      <c r="D313" s="1100"/>
      <c r="E313" s="1100"/>
      <c r="F313" s="1100"/>
      <c r="G313" s="1100"/>
      <c r="H313" s="1100"/>
      <c r="I313" s="1100"/>
      <c r="J313" s="1100"/>
      <c r="K313" s="1074"/>
      <c r="L313" s="1074"/>
      <c r="M313" s="1074"/>
      <c r="N313" s="1074"/>
      <c r="O313" s="1074"/>
      <c r="P313" s="1074"/>
      <c r="Q313" s="1074"/>
      <c r="R313" s="1074"/>
      <c r="S313" s="1074"/>
      <c r="T313" s="1074"/>
      <c r="U313" s="1074"/>
      <c r="V313" s="1074"/>
      <c r="W313" s="1074"/>
      <c r="X313" s="1074"/>
      <c r="Y313" s="1074"/>
      <c r="Z313" s="1074"/>
      <c r="AA313" s="1074"/>
      <c r="AB313" s="1074"/>
      <c r="AC313" s="1074"/>
      <c r="AD313" s="1074"/>
      <c r="AE313" s="1074"/>
      <c r="AF313" s="1074"/>
      <c r="AG313" s="1074"/>
      <c r="AH313" s="1074"/>
      <c r="AI313" s="1074"/>
      <c r="AJ313" s="1074"/>
      <c r="AK313" s="1074"/>
      <c r="AL313" s="1074"/>
      <c r="AM313" s="1074"/>
      <c r="AN313" s="1074"/>
      <c r="AO313" s="1074"/>
      <c r="AP313" s="1074"/>
      <c r="AQ313" s="1074"/>
      <c r="AR313" s="1074"/>
      <c r="AS313" s="1074"/>
      <c r="AT313" s="1075"/>
    </row>
    <row r="314" ht="14.25" customHeight="1">
      <c r="A314" s="1116"/>
      <c r="B314" s="1120"/>
      <c r="C314" s="1100"/>
      <c r="D314" s="1100"/>
      <c r="E314" s="1100"/>
      <c r="F314" s="1100"/>
      <c r="G314" s="1100"/>
      <c r="H314" s="1100"/>
      <c r="I314" s="1100"/>
      <c r="J314" s="1100"/>
      <c r="K314" s="1074"/>
      <c r="L314" s="1074"/>
      <c r="M314" s="1074"/>
      <c r="N314" s="1074"/>
      <c r="O314" s="1074"/>
      <c r="P314" s="1074"/>
      <c r="Q314" s="1074"/>
      <c r="R314" s="1074"/>
      <c r="S314" s="1074"/>
      <c r="T314" s="1074"/>
      <c r="U314" s="1074"/>
      <c r="V314" s="1074"/>
      <c r="W314" s="1074"/>
      <c r="X314" s="1074"/>
      <c r="Y314" s="1074"/>
      <c r="Z314" s="1074"/>
      <c r="AA314" s="1074"/>
      <c r="AB314" s="1074"/>
      <c r="AC314" s="1074"/>
      <c r="AD314" s="1074"/>
      <c r="AE314" s="1074"/>
      <c r="AF314" s="1074"/>
      <c r="AG314" s="1074"/>
      <c r="AH314" s="1074"/>
      <c r="AI314" s="1074"/>
      <c r="AJ314" s="1074"/>
      <c r="AK314" s="1074"/>
      <c r="AL314" s="1074"/>
      <c r="AM314" s="1074"/>
      <c r="AN314" s="1074"/>
      <c r="AO314" s="1074"/>
      <c r="AP314" s="1074"/>
      <c r="AQ314" s="1074"/>
      <c r="AR314" s="1074"/>
      <c r="AS314" s="1074"/>
      <c r="AT314" s="1075"/>
    </row>
    <row r="315" ht="14.25" customHeight="1">
      <c r="A315" s="1116"/>
      <c r="B315" s="1120"/>
      <c r="C315" s="1100"/>
      <c r="D315" s="1100"/>
      <c r="E315" s="1100"/>
      <c r="F315" s="1100"/>
      <c r="G315" s="1100"/>
      <c r="H315" s="1100"/>
      <c r="I315" s="1100"/>
      <c r="J315" s="1100"/>
      <c r="K315" s="1074"/>
      <c r="L315" s="1074"/>
      <c r="M315" s="1074"/>
      <c r="N315" s="1074"/>
      <c r="O315" s="1074"/>
      <c r="P315" s="1074"/>
      <c r="Q315" s="1074"/>
      <c r="R315" s="1074"/>
      <c r="S315" s="1074"/>
      <c r="T315" s="1074"/>
      <c r="U315" s="1074"/>
      <c r="V315" s="1074"/>
      <c r="W315" s="1074"/>
      <c r="X315" s="1074"/>
      <c r="Y315" s="1074"/>
      <c r="Z315" s="1074"/>
      <c r="AA315" s="1074"/>
      <c r="AB315" s="1074"/>
      <c r="AC315" s="1074"/>
      <c r="AD315" s="1074"/>
      <c r="AE315" s="1074"/>
      <c r="AF315" s="1074"/>
      <c r="AG315" s="1074"/>
      <c r="AH315" s="1074"/>
      <c r="AI315" s="1074"/>
      <c r="AJ315" s="1074"/>
      <c r="AK315" s="1074"/>
      <c r="AL315" s="1074"/>
      <c r="AM315" s="1074"/>
      <c r="AN315" s="1074"/>
      <c r="AO315" s="1074"/>
      <c r="AP315" s="1074"/>
      <c r="AQ315" s="1074"/>
      <c r="AR315" s="1074"/>
      <c r="AS315" s="1074"/>
      <c r="AT315" s="1075"/>
    </row>
    <row r="316" ht="14.25" customHeight="1">
      <c r="A316" s="1116"/>
      <c r="B316" s="1120"/>
      <c r="C316" s="1100"/>
      <c r="D316" s="1100"/>
      <c r="E316" s="1100"/>
      <c r="F316" s="1100"/>
      <c r="G316" s="1100"/>
      <c r="H316" s="1100"/>
      <c r="I316" s="1100"/>
      <c r="J316" s="1100"/>
      <c r="K316" s="1074"/>
      <c r="L316" s="1074"/>
      <c r="M316" s="1074"/>
      <c r="N316" s="1074"/>
      <c r="O316" s="1074"/>
      <c r="P316" s="1074"/>
      <c r="Q316" s="1074"/>
      <c r="R316" s="1074"/>
      <c r="S316" s="1074"/>
      <c r="T316" s="1074"/>
      <c r="U316" s="1074"/>
      <c r="V316" s="1074"/>
      <c r="W316" s="1074"/>
      <c r="X316" s="1074"/>
      <c r="Y316" s="1074"/>
      <c r="Z316" s="1074"/>
      <c r="AA316" s="1074"/>
      <c r="AB316" s="1074"/>
      <c r="AC316" s="1074"/>
      <c r="AD316" s="1074"/>
      <c r="AE316" s="1074"/>
      <c r="AF316" s="1074"/>
      <c r="AG316" s="1074"/>
      <c r="AH316" s="1074"/>
      <c r="AI316" s="1074"/>
      <c r="AJ316" s="1074"/>
      <c r="AK316" s="1074"/>
      <c r="AL316" s="1074"/>
      <c r="AM316" s="1074"/>
      <c r="AN316" s="1074"/>
      <c r="AO316" s="1074"/>
      <c r="AP316" s="1074"/>
      <c r="AQ316" s="1074"/>
      <c r="AR316" s="1074"/>
      <c r="AS316" s="1074"/>
      <c r="AT316" s="1075"/>
    </row>
    <row r="317" ht="14.25" customHeight="1">
      <c r="A317" s="1116"/>
      <c r="B317" s="1120"/>
      <c r="C317" s="1100"/>
      <c r="D317" s="1100"/>
      <c r="E317" s="1100"/>
      <c r="F317" s="1100"/>
      <c r="G317" s="1100"/>
      <c r="H317" s="1100"/>
      <c r="I317" s="1100"/>
      <c r="J317" s="1100"/>
      <c r="K317" s="1074"/>
      <c r="L317" s="1074"/>
      <c r="M317" s="1074"/>
      <c r="N317" s="1074"/>
      <c r="O317" s="1074"/>
      <c r="P317" s="1074"/>
      <c r="Q317" s="1074"/>
      <c r="R317" s="1074"/>
      <c r="S317" s="1074"/>
      <c r="T317" s="1074"/>
      <c r="U317" s="1074"/>
      <c r="V317" s="1074"/>
      <c r="W317" s="1074"/>
      <c r="X317" s="1074"/>
      <c r="Y317" s="1074"/>
      <c r="Z317" s="1074"/>
      <c r="AA317" s="1074"/>
      <c r="AB317" s="1074"/>
      <c r="AC317" s="1074"/>
      <c r="AD317" s="1074"/>
      <c r="AE317" s="1074"/>
      <c r="AF317" s="1074"/>
      <c r="AG317" s="1074"/>
      <c r="AH317" s="1074"/>
      <c r="AI317" s="1074"/>
      <c r="AJ317" s="1074"/>
      <c r="AK317" s="1074"/>
      <c r="AL317" s="1074"/>
      <c r="AM317" s="1074"/>
      <c r="AN317" s="1074"/>
      <c r="AO317" s="1074"/>
      <c r="AP317" s="1074"/>
      <c r="AQ317" s="1074"/>
      <c r="AR317" s="1074"/>
      <c r="AS317" s="1074"/>
      <c r="AT317" s="1075"/>
    </row>
    <row r="318" ht="14.25" customHeight="1">
      <c r="A318" s="1116"/>
      <c r="B318" s="1120"/>
      <c r="C318" s="1100"/>
      <c r="D318" s="1100"/>
      <c r="E318" s="1100"/>
      <c r="F318" s="1100"/>
      <c r="G318" s="1100"/>
      <c r="H318" s="1100"/>
      <c r="I318" s="1100"/>
      <c r="J318" s="1100"/>
      <c r="K318" s="1074"/>
      <c r="L318" s="1074"/>
      <c r="M318" s="1074"/>
      <c r="N318" s="1074"/>
      <c r="O318" s="1074"/>
      <c r="P318" s="1074"/>
      <c r="Q318" s="1074"/>
      <c r="R318" s="1074"/>
      <c r="S318" s="1074"/>
      <c r="T318" s="1074"/>
      <c r="U318" s="1074"/>
      <c r="V318" s="1074"/>
      <c r="W318" s="1074"/>
      <c r="X318" s="1074"/>
      <c r="Y318" s="1074"/>
      <c r="Z318" s="1074"/>
      <c r="AA318" s="1074"/>
      <c r="AB318" s="1074"/>
      <c r="AC318" s="1074"/>
      <c r="AD318" s="1074"/>
      <c r="AE318" s="1074"/>
      <c r="AF318" s="1074"/>
      <c r="AG318" s="1074"/>
      <c r="AH318" s="1074"/>
      <c r="AI318" s="1074"/>
      <c r="AJ318" s="1074"/>
      <c r="AK318" s="1074"/>
      <c r="AL318" s="1074"/>
      <c r="AM318" s="1074"/>
      <c r="AN318" s="1074"/>
      <c r="AO318" s="1074"/>
      <c r="AP318" s="1074"/>
      <c r="AQ318" s="1074"/>
      <c r="AR318" s="1074"/>
      <c r="AS318" s="1074"/>
      <c r="AT318" s="1075"/>
    </row>
    <row r="319" ht="14.25" customHeight="1">
      <c r="A319" s="1116"/>
      <c r="B319" s="1120"/>
      <c r="C319" s="1100"/>
      <c r="D319" s="1100"/>
      <c r="E319" s="1100"/>
      <c r="F319" s="1100"/>
      <c r="G319" s="1100"/>
      <c r="H319" s="1100"/>
      <c r="I319" s="1100"/>
      <c r="J319" s="1100"/>
      <c r="K319" s="1074"/>
      <c r="L319" s="1074"/>
      <c r="M319" s="1074"/>
      <c r="N319" s="1074"/>
      <c r="O319" s="1074"/>
      <c r="P319" s="1074"/>
      <c r="Q319" s="1074"/>
      <c r="R319" s="1074"/>
      <c r="S319" s="1074"/>
      <c r="T319" s="1074"/>
      <c r="U319" s="1074"/>
      <c r="V319" s="1074"/>
      <c r="W319" s="1074"/>
      <c r="X319" s="1074"/>
      <c r="Y319" s="1074"/>
      <c r="Z319" s="1074"/>
      <c r="AA319" s="1074"/>
      <c r="AB319" s="1074"/>
      <c r="AC319" s="1074"/>
      <c r="AD319" s="1074"/>
      <c r="AE319" s="1074"/>
      <c r="AF319" s="1074"/>
      <c r="AG319" s="1074"/>
      <c r="AH319" s="1074"/>
      <c r="AI319" s="1074"/>
      <c r="AJ319" s="1074"/>
      <c r="AK319" s="1074"/>
      <c r="AL319" s="1074"/>
      <c r="AM319" s="1074"/>
      <c r="AN319" s="1074"/>
      <c r="AO319" s="1074"/>
      <c r="AP319" s="1074"/>
      <c r="AQ319" s="1074"/>
      <c r="AR319" s="1074"/>
      <c r="AS319" s="1074"/>
      <c r="AT319" s="1075"/>
    </row>
    <row r="320" ht="14.25" customHeight="1">
      <c r="A320" s="1116"/>
      <c r="B320" s="1120"/>
      <c r="C320" s="1100"/>
      <c r="D320" s="1100"/>
      <c r="E320" s="1100"/>
      <c r="F320" s="1100"/>
      <c r="G320" s="1100"/>
      <c r="H320" s="1100"/>
      <c r="I320" s="1100"/>
      <c r="J320" s="1100"/>
      <c r="K320" s="1074"/>
      <c r="L320" s="1074"/>
      <c r="M320" s="1074"/>
      <c r="N320" s="1074"/>
      <c r="O320" s="1074"/>
      <c r="P320" s="1074"/>
      <c r="Q320" s="1074"/>
      <c r="R320" s="1074"/>
      <c r="S320" s="1074"/>
      <c r="T320" s="1074"/>
      <c r="U320" s="1074"/>
      <c r="V320" s="1074"/>
      <c r="W320" s="1074"/>
      <c r="X320" s="1074"/>
      <c r="Y320" s="1074"/>
      <c r="Z320" s="1074"/>
      <c r="AA320" s="1074"/>
      <c r="AB320" s="1074"/>
      <c r="AC320" s="1074"/>
      <c r="AD320" s="1074"/>
      <c r="AE320" s="1074"/>
      <c r="AF320" s="1074"/>
      <c r="AG320" s="1074"/>
      <c r="AH320" s="1074"/>
      <c r="AI320" s="1074"/>
      <c r="AJ320" s="1074"/>
      <c r="AK320" s="1074"/>
      <c r="AL320" s="1074"/>
      <c r="AM320" s="1074"/>
      <c r="AN320" s="1074"/>
      <c r="AO320" s="1074"/>
      <c r="AP320" s="1074"/>
      <c r="AQ320" s="1074"/>
      <c r="AR320" s="1074"/>
      <c r="AS320" s="1074"/>
      <c r="AT320" s="1075"/>
    </row>
    <row r="321" ht="14.25" customHeight="1">
      <c r="A321" s="1116"/>
      <c r="B321" s="1120"/>
      <c r="C321" s="1100"/>
      <c r="D321" s="1100"/>
      <c r="E321" s="1100"/>
      <c r="F321" s="1100"/>
      <c r="G321" s="1100"/>
      <c r="H321" s="1100"/>
      <c r="I321" s="1100"/>
      <c r="J321" s="1100"/>
      <c r="K321" s="1074"/>
      <c r="L321" s="1074"/>
      <c r="M321" s="1074"/>
      <c r="N321" s="1074"/>
      <c r="O321" s="1074"/>
      <c r="P321" s="1074"/>
      <c r="Q321" s="1074"/>
      <c r="R321" s="1074"/>
      <c r="S321" s="1074"/>
      <c r="T321" s="1074"/>
      <c r="U321" s="1074"/>
      <c r="V321" s="1074"/>
      <c r="W321" s="1074"/>
      <c r="X321" s="1074"/>
      <c r="Y321" s="1074"/>
      <c r="Z321" s="1074"/>
      <c r="AA321" s="1074"/>
      <c r="AB321" s="1074"/>
      <c r="AC321" s="1074"/>
      <c r="AD321" s="1074"/>
      <c r="AE321" s="1074"/>
      <c r="AF321" s="1074"/>
      <c r="AG321" s="1074"/>
      <c r="AH321" s="1074"/>
      <c r="AI321" s="1074"/>
      <c r="AJ321" s="1074"/>
      <c r="AK321" s="1074"/>
      <c r="AL321" s="1074"/>
      <c r="AM321" s="1074"/>
      <c r="AN321" s="1074"/>
      <c r="AO321" s="1074"/>
      <c r="AP321" s="1074"/>
      <c r="AQ321" s="1074"/>
      <c r="AR321" s="1074"/>
      <c r="AS321" s="1074"/>
      <c r="AT321" s="1075"/>
    </row>
    <row r="322" ht="14.25" customHeight="1">
      <c r="A322" s="1116"/>
      <c r="B322" s="1120"/>
      <c r="C322" s="1100"/>
      <c r="D322" s="1100"/>
      <c r="E322" s="1100"/>
      <c r="F322" s="1100"/>
      <c r="G322" s="1100"/>
      <c r="H322" s="1100"/>
      <c r="I322" s="1100"/>
      <c r="J322" s="1100"/>
      <c r="K322" s="1074"/>
      <c r="L322" s="1074"/>
      <c r="M322" s="1074"/>
      <c r="N322" s="1074"/>
      <c r="O322" s="1074"/>
      <c r="P322" s="1074"/>
      <c r="Q322" s="1074"/>
      <c r="R322" s="1074"/>
      <c r="S322" s="1074"/>
      <c r="T322" s="1074"/>
      <c r="U322" s="1074"/>
      <c r="V322" s="1074"/>
      <c r="W322" s="1074"/>
      <c r="X322" s="1074"/>
      <c r="Y322" s="1074"/>
      <c r="Z322" s="1074"/>
      <c r="AA322" s="1074"/>
      <c r="AB322" s="1074"/>
      <c r="AC322" s="1074"/>
      <c r="AD322" s="1074"/>
      <c r="AE322" s="1074"/>
      <c r="AF322" s="1074"/>
      <c r="AG322" s="1074"/>
      <c r="AH322" s="1074"/>
      <c r="AI322" s="1074"/>
      <c r="AJ322" s="1074"/>
      <c r="AK322" s="1074"/>
      <c r="AL322" s="1074"/>
      <c r="AM322" s="1074"/>
      <c r="AN322" s="1074"/>
      <c r="AO322" s="1074"/>
      <c r="AP322" s="1074"/>
      <c r="AQ322" s="1074"/>
      <c r="AR322" s="1074"/>
      <c r="AS322" s="1074"/>
      <c r="AT322" s="1075"/>
    </row>
    <row r="323" ht="14.25" customHeight="1">
      <c r="A323" s="1116"/>
      <c r="B323" s="1120"/>
      <c r="C323" s="1100"/>
      <c r="D323" s="1100"/>
      <c r="E323" s="1100"/>
      <c r="F323" s="1100"/>
      <c r="G323" s="1100"/>
      <c r="H323" s="1100"/>
      <c r="I323" s="1100"/>
      <c r="J323" s="1100"/>
      <c r="K323" s="1074"/>
      <c r="L323" s="1074"/>
      <c r="M323" s="1074"/>
      <c r="N323" s="1074"/>
      <c r="O323" s="1074"/>
      <c r="P323" s="1074"/>
      <c r="Q323" s="1074"/>
      <c r="R323" s="1074"/>
      <c r="S323" s="1074"/>
      <c r="T323" s="1074"/>
      <c r="U323" s="1074"/>
      <c r="V323" s="1074"/>
      <c r="W323" s="1074"/>
      <c r="X323" s="1074"/>
      <c r="Y323" s="1074"/>
      <c r="Z323" s="1074"/>
      <c r="AA323" s="1074"/>
      <c r="AB323" s="1074"/>
      <c r="AC323" s="1074"/>
      <c r="AD323" s="1074"/>
      <c r="AE323" s="1074"/>
      <c r="AF323" s="1074"/>
      <c r="AG323" s="1074"/>
      <c r="AH323" s="1074"/>
      <c r="AI323" s="1074"/>
      <c r="AJ323" s="1074"/>
      <c r="AK323" s="1074"/>
      <c r="AL323" s="1074"/>
      <c r="AM323" s="1074"/>
      <c r="AN323" s="1074"/>
      <c r="AO323" s="1074"/>
      <c r="AP323" s="1074"/>
      <c r="AQ323" s="1074"/>
      <c r="AR323" s="1074"/>
      <c r="AS323" s="1074"/>
      <c r="AT323" s="1075"/>
    </row>
    <row r="324" ht="14.25" customHeight="1">
      <c r="A324" s="1116"/>
      <c r="B324" s="1120"/>
      <c r="C324" s="1100"/>
      <c r="D324" s="1100"/>
      <c r="E324" s="1100"/>
      <c r="F324" s="1100"/>
      <c r="G324" s="1100"/>
      <c r="H324" s="1100"/>
      <c r="I324" s="1100"/>
      <c r="J324" s="1100"/>
      <c r="K324" s="1074"/>
      <c r="L324" s="1074"/>
      <c r="M324" s="1074"/>
      <c r="N324" s="1074"/>
      <c r="O324" s="1074"/>
      <c r="P324" s="1074"/>
      <c r="Q324" s="1074"/>
      <c r="R324" s="1074"/>
      <c r="S324" s="1074"/>
      <c r="T324" s="1074"/>
      <c r="U324" s="1074"/>
      <c r="V324" s="1074"/>
      <c r="W324" s="1074"/>
      <c r="X324" s="1074"/>
      <c r="Y324" s="1074"/>
      <c r="Z324" s="1074"/>
      <c r="AA324" s="1074"/>
      <c r="AB324" s="1074"/>
      <c r="AC324" s="1074"/>
      <c r="AD324" s="1074"/>
      <c r="AE324" s="1074"/>
      <c r="AF324" s="1074"/>
      <c r="AG324" s="1074"/>
      <c r="AH324" s="1074"/>
      <c r="AI324" s="1074"/>
      <c r="AJ324" s="1074"/>
      <c r="AK324" s="1074"/>
      <c r="AL324" s="1074"/>
      <c r="AM324" s="1074"/>
      <c r="AN324" s="1074"/>
      <c r="AO324" s="1074"/>
      <c r="AP324" s="1074"/>
      <c r="AQ324" s="1074"/>
      <c r="AR324" s="1074"/>
      <c r="AS324" s="1074"/>
      <c r="AT324" s="1075"/>
    </row>
    <row r="325" ht="14.25" customHeight="1">
      <c r="A325" s="1116"/>
      <c r="B325" s="1120"/>
      <c r="C325" s="1100"/>
      <c r="D325" s="1100"/>
      <c r="E325" s="1100"/>
      <c r="F325" s="1100"/>
      <c r="G325" s="1100"/>
      <c r="H325" s="1100"/>
      <c r="I325" s="1100"/>
      <c r="J325" s="1100"/>
      <c r="K325" s="1074"/>
      <c r="L325" s="1074"/>
      <c r="M325" s="1074"/>
      <c r="N325" s="1074"/>
      <c r="O325" s="1074"/>
      <c r="P325" s="1074"/>
      <c r="Q325" s="1074"/>
      <c r="R325" s="1074"/>
      <c r="S325" s="1074"/>
      <c r="T325" s="1074"/>
      <c r="U325" s="1074"/>
      <c r="V325" s="1074"/>
      <c r="W325" s="1074"/>
      <c r="X325" s="1074"/>
      <c r="Y325" s="1074"/>
      <c r="Z325" s="1074"/>
      <c r="AA325" s="1074"/>
      <c r="AB325" s="1074"/>
      <c r="AC325" s="1074"/>
      <c r="AD325" s="1074"/>
      <c r="AE325" s="1074"/>
      <c r="AF325" s="1074"/>
      <c r="AG325" s="1074"/>
      <c r="AH325" s="1074"/>
      <c r="AI325" s="1074"/>
      <c r="AJ325" s="1074"/>
      <c r="AK325" s="1074"/>
      <c r="AL325" s="1074"/>
      <c r="AM325" s="1074"/>
      <c r="AN325" s="1074"/>
      <c r="AO325" s="1074"/>
      <c r="AP325" s="1074"/>
      <c r="AQ325" s="1074"/>
      <c r="AR325" s="1074"/>
      <c r="AS325" s="1074"/>
      <c r="AT325" s="1075"/>
    </row>
    <row r="326" ht="14.25" customHeight="1">
      <c r="A326" s="1116"/>
      <c r="B326" s="1120"/>
      <c r="C326" s="1100"/>
      <c r="D326" s="1100"/>
      <c r="E326" s="1100"/>
      <c r="F326" s="1100"/>
      <c r="G326" s="1100"/>
      <c r="H326" s="1100"/>
      <c r="I326" s="1100"/>
      <c r="J326" s="1100"/>
      <c r="K326" s="1074"/>
      <c r="L326" s="1074"/>
      <c r="M326" s="1074"/>
      <c r="N326" s="1074"/>
      <c r="O326" s="1074"/>
      <c r="P326" s="1074"/>
      <c r="Q326" s="1074"/>
      <c r="R326" s="1074"/>
      <c r="S326" s="1074"/>
      <c r="T326" s="1074"/>
      <c r="U326" s="1074"/>
      <c r="V326" s="1074"/>
      <c r="W326" s="1074"/>
      <c r="X326" s="1074"/>
      <c r="Y326" s="1074"/>
      <c r="Z326" s="1074"/>
      <c r="AA326" s="1074"/>
      <c r="AB326" s="1074"/>
      <c r="AC326" s="1074"/>
      <c r="AD326" s="1074"/>
      <c r="AE326" s="1074"/>
      <c r="AF326" s="1074"/>
      <c r="AG326" s="1074"/>
      <c r="AH326" s="1074"/>
      <c r="AI326" s="1074"/>
      <c r="AJ326" s="1074"/>
      <c r="AK326" s="1074"/>
      <c r="AL326" s="1074"/>
      <c r="AM326" s="1074"/>
      <c r="AN326" s="1074"/>
      <c r="AO326" s="1074"/>
      <c r="AP326" s="1074"/>
      <c r="AQ326" s="1074"/>
      <c r="AR326" s="1074"/>
      <c r="AS326" s="1074"/>
      <c r="AT326" s="1075"/>
    </row>
    <row r="327" ht="14.25" customHeight="1">
      <c r="A327" s="1116"/>
      <c r="B327" s="1120"/>
      <c r="C327" s="1100"/>
      <c r="D327" s="1100"/>
      <c r="E327" s="1100"/>
      <c r="F327" s="1100"/>
      <c r="G327" s="1100"/>
      <c r="H327" s="1100"/>
      <c r="I327" s="1100"/>
      <c r="J327" s="1100"/>
      <c r="K327" s="1074"/>
      <c r="L327" s="1074"/>
      <c r="M327" s="1074"/>
      <c r="N327" s="1074"/>
      <c r="O327" s="1074"/>
      <c r="P327" s="1074"/>
      <c r="Q327" s="1074"/>
      <c r="R327" s="1074"/>
      <c r="S327" s="1074"/>
      <c r="T327" s="1074"/>
      <c r="U327" s="1074"/>
      <c r="V327" s="1074"/>
      <c r="W327" s="1074"/>
      <c r="X327" s="1074"/>
      <c r="Y327" s="1074"/>
      <c r="Z327" s="1074"/>
      <c r="AA327" s="1074"/>
      <c r="AB327" s="1074"/>
      <c r="AC327" s="1074"/>
      <c r="AD327" s="1074"/>
      <c r="AE327" s="1074"/>
      <c r="AF327" s="1074"/>
      <c r="AG327" s="1074"/>
      <c r="AH327" s="1074"/>
      <c r="AI327" s="1074"/>
      <c r="AJ327" s="1074"/>
      <c r="AK327" s="1074"/>
      <c r="AL327" s="1074"/>
      <c r="AM327" s="1074"/>
      <c r="AN327" s="1074"/>
      <c r="AO327" s="1074"/>
      <c r="AP327" s="1074"/>
      <c r="AQ327" s="1074"/>
      <c r="AR327" s="1074"/>
      <c r="AS327" s="1074"/>
      <c r="AT327" s="1075"/>
    </row>
    <row r="328" ht="14.25" customHeight="1">
      <c r="A328" s="1116"/>
      <c r="B328" s="1120"/>
      <c r="C328" s="1100"/>
      <c r="D328" s="1100"/>
      <c r="E328" s="1100"/>
      <c r="F328" s="1100"/>
      <c r="G328" s="1100"/>
      <c r="H328" s="1100"/>
      <c r="I328" s="1100"/>
      <c r="J328" s="1100"/>
      <c r="K328" s="1074"/>
      <c r="L328" s="1074"/>
      <c r="M328" s="1074"/>
      <c r="N328" s="1074"/>
      <c r="O328" s="1074"/>
      <c r="P328" s="1074"/>
      <c r="Q328" s="1074"/>
      <c r="R328" s="1074"/>
      <c r="S328" s="1074"/>
      <c r="T328" s="1074"/>
      <c r="U328" s="1074"/>
      <c r="V328" s="1074"/>
      <c r="W328" s="1074"/>
      <c r="X328" s="1074"/>
      <c r="Y328" s="1074"/>
      <c r="Z328" s="1074"/>
      <c r="AA328" s="1074"/>
      <c r="AB328" s="1074"/>
      <c r="AC328" s="1074"/>
      <c r="AD328" s="1074"/>
      <c r="AE328" s="1074"/>
      <c r="AF328" s="1074"/>
      <c r="AG328" s="1074"/>
      <c r="AH328" s="1074"/>
      <c r="AI328" s="1074"/>
      <c r="AJ328" s="1074"/>
      <c r="AK328" s="1074"/>
      <c r="AL328" s="1074"/>
      <c r="AM328" s="1074"/>
      <c r="AN328" s="1074"/>
      <c r="AO328" s="1074"/>
      <c r="AP328" s="1074"/>
      <c r="AQ328" s="1074"/>
      <c r="AR328" s="1074"/>
      <c r="AS328" s="1074"/>
      <c r="AT328" s="1075"/>
    </row>
    <row r="329" ht="14.25" customHeight="1">
      <c r="A329" s="1116"/>
      <c r="B329" s="1120"/>
      <c r="C329" s="1100"/>
      <c r="D329" s="1100"/>
      <c r="E329" s="1100"/>
      <c r="F329" s="1100"/>
      <c r="G329" s="1100"/>
      <c r="H329" s="1100"/>
      <c r="I329" s="1100"/>
      <c r="J329" s="1100"/>
      <c r="K329" s="1074"/>
      <c r="L329" s="1074"/>
      <c r="M329" s="1074"/>
      <c r="N329" s="1074"/>
      <c r="O329" s="1074"/>
      <c r="P329" s="1074"/>
      <c r="Q329" s="1074"/>
      <c r="R329" s="1074"/>
      <c r="S329" s="1074"/>
      <c r="T329" s="1074"/>
      <c r="U329" s="1074"/>
      <c r="V329" s="1074"/>
      <c r="W329" s="1074"/>
      <c r="X329" s="1074"/>
      <c r="Y329" s="1074"/>
      <c r="Z329" s="1074"/>
      <c r="AA329" s="1074"/>
      <c r="AB329" s="1074"/>
      <c r="AC329" s="1074"/>
      <c r="AD329" s="1074"/>
      <c r="AE329" s="1074"/>
      <c r="AF329" s="1074"/>
      <c r="AG329" s="1074"/>
      <c r="AH329" s="1074"/>
      <c r="AI329" s="1074"/>
      <c r="AJ329" s="1074"/>
      <c r="AK329" s="1074"/>
      <c r="AL329" s="1074"/>
      <c r="AM329" s="1074"/>
      <c r="AN329" s="1074"/>
      <c r="AO329" s="1074"/>
      <c r="AP329" s="1074"/>
      <c r="AQ329" s="1074"/>
      <c r="AR329" s="1074"/>
      <c r="AS329" s="1074"/>
      <c r="AT329" s="1075"/>
    </row>
    <row r="330" ht="14.25" customHeight="1">
      <c r="A330" s="1116"/>
      <c r="B330" s="1120"/>
      <c r="C330" s="1100"/>
      <c r="D330" s="1100"/>
      <c r="E330" s="1100"/>
      <c r="F330" s="1100"/>
      <c r="G330" s="1100"/>
      <c r="H330" s="1100"/>
      <c r="I330" s="1100"/>
      <c r="J330" s="1100"/>
      <c r="K330" s="1074"/>
      <c r="L330" s="1074"/>
      <c r="M330" s="1074"/>
      <c r="N330" s="1074"/>
      <c r="O330" s="1074"/>
      <c r="P330" s="1074"/>
      <c r="Q330" s="1074"/>
      <c r="R330" s="1074"/>
      <c r="S330" s="1074"/>
      <c r="T330" s="1074"/>
      <c r="U330" s="1074"/>
      <c r="V330" s="1074"/>
      <c r="W330" s="1074"/>
      <c r="X330" s="1074"/>
      <c r="Y330" s="1074"/>
      <c r="Z330" s="1074"/>
      <c r="AA330" s="1074"/>
      <c r="AB330" s="1074"/>
      <c r="AC330" s="1074"/>
      <c r="AD330" s="1074"/>
      <c r="AE330" s="1074"/>
      <c r="AF330" s="1074"/>
      <c r="AG330" s="1074"/>
      <c r="AH330" s="1074"/>
      <c r="AI330" s="1074"/>
      <c r="AJ330" s="1074"/>
      <c r="AK330" s="1074"/>
      <c r="AL330" s="1074"/>
      <c r="AM330" s="1074"/>
      <c r="AN330" s="1074"/>
      <c r="AO330" s="1074"/>
      <c r="AP330" s="1074"/>
      <c r="AQ330" s="1074"/>
      <c r="AR330" s="1074"/>
      <c r="AS330" s="1074"/>
      <c r="AT330" s="1075"/>
    </row>
    <row r="331" ht="14.25" customHeight="1">
      <c r="A331" s="1116"/>
      <c r="B331" s="1120"/>
      <c r="C331" s="1100"/>
      <c r="D331" s="1100"/>
      <c r="E331" s="1100"/>
      <c r="F331" s="1100"/>
      <c r="G331" s="1100"/>
      <c r="H331" s="1100"/>
      <c r="I331" s="1100"/>
      <c r="J331" s="1100"/>
      <c r="K331" s="1074"/>
      <c r="L331" s="1074"/>
      <c r="M331" s="1074"/>
      <c r="N331" s="1074"/>
      <c r="O331" s="1074"/>
      <c r="P331" s="1074"/>
      <c r="Q331" s="1074"/>
      <c r="R331" s="1074"/>
      <c r="S331" s="1074"/>
      <c r="T331" s="1074"/>
      <c r="U331" s="1074"/>
      <c r="V331" s="1074"/>
      <c r="W331" s="1074"/>
      <c r="X331" s="1074"/>
      <c r="Y331" s="1074"/>
      <c r="Z331" s="1074"/>
      <c r="AA331" s="1074"/>
      <c r="AB331" s="1074"/>
      <c r="AC331" s="1074"/>
      <c r="AD331" s="1074"/>
      <c r="AE331" s="1074"/>
      <c r="AF331" s="1074"/>
      <c r="AG331" s="1074"/>
      <c r="AH331" s="1074"/>
      <c r="AI331" s="1074"/>
      <c r="AJ331" s="1074"/>
      <c r="AK331" s="1074"/>
      <c r="AL331" s="1074"/>
      <c r="AM331" s="1074"/>
      <c r="AN331" s="1074"/>
      <c r="AO331" s="1074"/>
      <c r="AP331" s="1074"/>
      <c r="AQ331" s="1074"/>
      <c r="AR331" s="1074"/>
      <c r="AS331" s="1074"/>
      <c r="AT331" s="1075"/>
    </row>
    <row r="332" ht="14.25" customHeight="1">
      <c r="A332" s="1116"/>
      <c r="B332" s="1120"/>
      <c r="C332" s="1100"/>
      <c r="D332" s="1100"/>
      <c r="E332" s="1100"/>
      <c r="F332" s="1100"/>
      <c r="G332" s="1100"/>
      <c r="H332" s="1100"/>
      <c r="I332" s="1100"/>
      <c r="J332" s="1100"/>
      <c r="K332" s="1074"/>
      <c r="L332" s="1074"/>
      <c r="M332" s="1074"/>
      <c r="N332" s="1074"/>
      <c r="O332" s="1074"/>
      <c r="P332" s="1074"/>
      <c r="Q332" s="1074"/>
      <c r="R332" s="1074"/>
      <c r="S332" s="1074"/>
      <c r="T332" s="1074"/>
      <c r="U332" s="1074"/>
      <c r="V332" s="1074"/>
      <c r="W332" s="1074"/>
      <c r="X332" s="1074"/>
      <c r="Y332" s="1074"/>
      <c r="Z332" s="1074"/>
      <c r="AA332" s="1074"/>
      <c r="AB332" s="1074"/>
      <c r="AC332" s="1074"/>
      <c r="AD332" s="1074"/>
      <c r="AE332" s="1074"/>
      <c r="AF332" s="1074"/>
      <c r="AG332" s="1074"/>
      <c r="AH332" s="1074"/>
      <c r="AI332" s="1074"/>
      <c r="AJ332" s="1074"/>
      <c r="AK332" s="1074"/>
      <c r="AL332" s="1074"/>
      <c r="AM332" s="1074"/>
      <c r="AN332" s="1074"/>
      <c r="AO332" s="1074"/>
      <c r="AP332" s="1074"/>
      <c r="AQ332" s="1074"/>
      <c r="AR332" s="1074"/>
      <c r="AS332" s="1074"/>
      <c r="AT332" s="1075"/>
    </row>
    <row r="333" ht="14.25" customHeight="1">
      <c r="A333" s="1116"/>
      <c r="B333" s="1120"/>
      <c r="C333" s="1100"/>
      <c r="D333" s="1100"/>
      <c r="E333" s="1100"/>
      <c r="F333" s="1100"/>
      <c r="G333" s="1100"/>
      <c r="H333" s="1100"/>
      <c r="I333" s="1100"/>
      <c r="J333" s="1100"/>
      <c r="K333" s="1074"/>
      <c r="L333" s="1074"/>
      <c r="M333" s="1074"/>
      <c r="N333" s="1074"/>
      <c r="O333" s="1074"/>
      <c r="P333" s="1074"/>
      <c r="Q333" s="1074"/>
      <c r="R333" s="1074"/>
      <c r="S333" s="1074"/>
      <c r="T333" s="1074"/>
      <c r="U333" s="1074"/>
      <c r="V333" s="1074"/>
      <c r="W333" s="1074"/>
      <c r="X333" s="1074"/>
      <c r="Y333" s="1074"/>
      <c r="Z333" s="1074"/>
      <c r="AA333" s="1074"/>
      <c r="AB333" s="1074"/>
      <c r="AC333" s="1074"/>
      <c r="AD333" s="1074"/>
      <c r="AE333" s="1074"/>
      <c r="AF333" s="1074"/>
      <c r="AG333" s="1074"/>
      <c r="AH333" s="1074"/>
      <c r="AI333" s="1074"/>
      <c r="AJ333" s="1074"/>
      <c r="AK333" s="1074"/>
      <c r="AL333" s="1074"/>
      <c r="AM333" s="1074"/>
      <c r="AN333" s="1074"/>
      <c r="AO333" s="1074"/>
      <c r="AP333" s="1074"/>
      <c r="AQ333" s="1074"/>
      <c r="AR333" s="1074"/>
      <c r="AS333" s="1074"/>
      <c r="AT333" s="1075"/>
    </row>
    <row r="334" ht="14.25" customHeight="1">
      <c r="A334" s="1116"/>
      <c r="B334" s="1120"/>
      <c r="C334" s="1100"/>
      <c r="D334" s="1100"/>
      <c r="E334" s="1100"/>
      <c r="F334" s="1100"/>
      <c r="G334" s="1100"/>
      <c r="H334" s="1100"/>
      <c r="I334" s="1100"/>
      <c r="J334" s="1100"/>
      <c r="K334" s="1074"/>
      <c r="L334" s="1074"/>
      <c r="M334" s="1074"/>
      <c r="N334" s="1074"/>
      <c r="O334" s="1074"/>
      <c r="P334" s="1074"/>
      <c r="Q334" s="1074"/>
      <c r="R334" s="1074"/>
      <c r="S334" s="1074"/>
      <c r="T334" s="1074"/>
      <c r="U334" s="1074"/>
      <c r="V334" s="1074"/>
      <c r="W334" s="1074"/>
      <c r="X334" s="1074"/>
      <c r="Y334" s="1074"/>
      <c r="Z334" s="1074"/>
      <c r="AA334" s="1074"/>
      <c r="AB334" s="1074"/>
      <c r="AC334" s="1074"/>
      <c r="AD334" s="1074"/>
      <c r="AE334" s="1074"/>
      <c r="AF334" s="1074"/>
      <c r="AG334" s="1074"/>
      <c r="AH334" s="1074"/>
      <c r="AI334" s="1074"/>
      <c r="AJ334" s="1074"/>
      <c r="AK334" s="1074"/>
      <c r="AL334" s="1074"/>
      <c r="AM334" s="1074"/>
      <c r="AN334" s="1074"/>
      <c r="AO334" s="1074"/>
      <c r="AP334" s="1074"/>
      <c r="AQ334" s="1074"/>
      <c r="AR334" s="1074"/>
      <c r="AS334" s="1074"/>
      <c r="AT334" s="1075"/>
    </row>
    <row r="335" ht="14.25" customHeight="1">
      <c r="A335" s="1116"/>
      <c r="B335" s="1120"/>
      <c r="C335" s="1100"/>
      <c r="D335" s="1100"/>
      <c r="E335" s="1100"/>
      <c r="F335" s="1100"/>
      <c r="G335" s="1100"/>
      <c r="H335" s="1100"/>
      <c r="I335" s="1100"/>
      <c r="J335" s="1100"/>
      <c r="K335" s="1074"/>
      <c r="L335" s="1074"/>
      <c r="M335" s="1074"/>
      <c r="N335" s="1074"/>
      <c r="O335" s="1074"/>
      <c r="P335" s="1074"/>
      <c r="Q335" s="1074"/>
      <c r="R335" s="1074"/>
      <c r="S335" s="1074"/>
      <c r="T335" s="1074"/>
      <c r="U335" s="1074"/>
      <c r="V335" s="1074"/>
      <c r="W335" s="1074"/>
      <c r="X335" s="1074"/>
      <c r="Y335" s="1074"/>
      <c r="Z335" s="1074"/>
      <c r="AA335" s="1074"/>
      <c r="AB335" s="1074"/>
      <c r="AC335" s="1074"/>
      <c r="AD335" s="1074"/>
      <c r="AE335" s="1074"/>
      <c r="AF335" s="1074"/>
      <c r="AG335" s="1074"/>
      <c r="AH335" s="1074"/>
      <c r="AI335" s="1074"/>
      <c r="AJ335" s="1074"/>
      <c r="AK335" s="1074"/>
      <c r="AL335" s="1074"/>
      <c r="AM335" s="1074"/>
      <c r="AN335" s="1074"/>
      <c r="AO335" s="1074"/>
      <c r="AP335" s="1074"/>
      <c r="AQ335" s="1074"/>
      <c r="AR335" s="1074"/>
      <c r="AS335" s="1074"/>
      <c r="AT335" s="1075"/>
    </row>
    <row r="336" ht="14.25" customHeight="1">
      <c r="A336" s="1116"/>
      <c r="B336" s="1120"/>
      <c r="C336" s="1100"/>
      <c r="D336" s="1100"/>
      <c r="E336" s="1100"/>
      <c r="F336" s="1100"/>
      <c r="G336" s="1100"/>
      <c r="H336" s="1100"/>
      <c r="I336" s="1100"/>
      <c r="J336" s="1100"/>
      <c r="K336" s="1074"/>
      <c r="L336" s="1074"/>
      <c r="M336" s="1074"/>
      <c r="N336" s="1074"/>
      <c r="O336" s="1074"/>
      <c r="P336" s="1074"/>
      <c r="Q336" s="1074"/>
      <c r="R336" s="1074"/>
      <c r="S336" s="1074"/>
      <c r="T336" s="1074"/>
      <c r="U336" s="1074"/>
      <c r="V336" s="1074"/>
      <c r="W336" s="1074"/>
      <c r="X336" s="1074"/>
      <c r="Y336" s="1074"/>
      <c r="Z336" s="1074"/>
      <c r="AA336" s="1074"/>
      <c r="AB336" s="1074"/>
      <c r="AC336" s="1074"/>
      <c r="AD336" s="1074"/>
      <c r="AE336" s="1074"/>
      <c r="AF336" s="1074"/>
      <c r="AG336" s="1074"/>
      <c r="AH336" s="1074"/>
      <c r="AI336" s="1074"/>
      <c r="AJ336" s="1074"/>
      <c r="AK336" s="1074"/>
      <c r="AL336" s="1074"/>
      <c r="AM336" s="1074"/>
      <c r="AN336" s="1074"/>
      <c r="AO336" s="1074"/>
      <c r="AP336" s="1074"/>
      <c r="AQ336" s="1074"/>
      <c r="AR336" s="1074"/>
      <c r="AS336" s="1074"/>
      <c r="AT336" s="1075"/>
    </row>
    <row r="337" ht="14.25" customHeight="1">
      <c r="A337" s="1116"/>
      <c r="B337" s="1120"/>
      <c r="C337" s="1100"/>
      <c r="D337" s="1100"/>
      <c r="E337" s="1100"/>
      <c r="F337" s="1100"/>
      <c r="G337" s="1100"/>
      <c r="H337" s="1100"/>
      <c r="I337" s="1100"/>
      <c r="J337" s="1100"/>
      <c r="K337" s="1074"/>
      <c r="L337" s="1074"/>
      <c r="M337" s="1074"/>
      <c r="N337" s="1074"/>
      <c r="O337" s="1074"/>
      <c r="P337" s="1074"/>
      <c r="Q337" s="1074"/>
      <c r="R337" s="1074"/>
      <c r="S337" s="1074"/>
      <c r="T337" s="1074"/>
      <c r="U337" s="1074"/>
      <c r="V337" s="1074"/>
      <c r="W337" s="1074"/>
      <c r="X337" s="1074"/>
      <c r="Y337" s="1074"/>
      <c r="Z337" s="1074"/>
      <c r="AA337" s="1074"/>
      <c r="AB337" s="1074"/>
      <c r="AC337" s="1074"/>
      <c r="AD337" s="1074"/>
      <c r="AE337" s="1074"/>
      <c r="AF337" s="1074"/>
      <c r="AG337" s="1074"/>
      <c r="AH337" s="1074"/>
      <c r="AI337" s="1074"/>
      <c r="AJ337" s="1074"/>
      <c r="AK337" s="1074"/>
      <c r="AL337" s="1074"/>
      <c r="AM337" s="1074"/>
      <c r="AN337" s="1074"/>
      <c r="AO337" s="1074"/>
      <c r="AP337" s="1074"/>
      <c r="AQ337" s="1074"/>
      <c r="AR337" s="1074"/>
      <c r="AS337" s="1074"/>
      <c r="AT337" s="1075"/>
    </row>
    <row r="338" ht="14.25" customHeight="1">
      <c r="A338" s="1116"/>
      <c r="B338" s="1120"/>
      <c r="C338" s="1100"/>
      <c r="D338" s="1100"/>
      <c r="E338" s="1100"/>
      <c r="F338" s="1100"/>
      <c r="G338" s="1100"/>
      <c r="H338" s="1100"/>
      <c r="I338" s="1100"/>
      <c r="J338" s="1100"/>
      <c r="K338" s="1074"/>
      <c r="L338" s="1074"/>
      <c r="M338" s="1074"/>
      <c r="N338" s="1074"/>
      <c r="O338" s="1074"/>
      <c r="P338" s="1074"/>
      <c r="Q338" s="1074"/>
      <c r="R338" s="1074"/>
      <c r="S338" s="1074"/>
      <c r="T338" s="1074"/>
      <c r="U338" s="1074"/>
      <c r="V338" s="1074"/>
      <c r="W338" s="1074"/>
      <c r="X338" s="1074"/>
      <c r="Y338" s="1074"/>
      <c r="Z338" s="1074"/>
      <c r="AA338" s="1074"/>
      <c r="AB338" s="1074"/>
      <c r="AC338" s="1074"/>
      <c r="AD338" s="1074"/>
      <c r="AE338" s="1074"/>
      <c r="AF338" s="1074"/>
      <c r="AG338" s="1074"/>
      <c r="AH338" s="1074"/>
      <c r="AI338" s="1074"/>
      <c r="AJ338" s="1074"/>
      <c r="AK338" s="1074"/>
      <c r="AL338" s="1074"/>
      <c r="AM338" s="1074"/>
      <c r="AN338" s="1074"/>
      <c r="AO338" s="1074"/>
      <c r="AP338" s="1074"/>
      <c r="AQ338" s="1074"/>
      <c r="AR338" s="1074"/>
      <c r="AS338" s="1074"/>
      <c r="AT338" s="1075"/>
    </row>
    <row r="339" ht="14.25" customHeight="1">
      <c r="A339" s="1116"/>
      <c r="B339" s="1120"/>
      <c r="C339" s="1100"/>
      <c r="D339" s="1100"/>
      <c r="E339" s="1100"/>
      <c r="F339" s="1100"/>
      <c r="G339" s="1100"/>
      <c r="H339" s="1100"/>
      <c r="I339" s="1100"/>
      <c r="J339" s="1100"/>
      <c r="K339" s="1074"/>
      <c r="L339" s="1074"/>
      <c r="M339" s="1074"/>
      <c r="N339" s="1074"/>
      <c r="O339" s="1074"/>
      <c r="P339" s="1074"/>
      <c r="Q339" s="1074"/>
      <c r="R339" s="1074"/>
      <c r="S339" s="1074"/>
      <c r="T339" s="1074"/>
      <c r="U339" s="1074"/>
      <c r="V339" s="1074"/>
      <c r="W339" s="1074"/>
      <c r="X339" s="1074"/>
      <c r="Y339" s="1074"/>
      <c r="Z339" s="1074"/>
      <c r="AA339" s="1074"/>
      <c r="AB339" s="1074"/>
      <c r="AC339" s="1074"/>
      <c r="AD339" s="1074"/>
      <c r="AE339" s="1074"/>
      <c r="AF339" s="1074"/>
      <c r="AG339" s="1074"/>
      <c r="AH339" s="1074"/>
      <c r="AI339" s="1074"/>
      <c r="AJ339" s="1074"/>
      <c r="AK339" s="1074"/>
      <c r="AL339" s="1074"/>
      <c r="AM339" s="1074"/>
      <c r="AN339" s="1074"/>
      <c r="AO339" s="1074"/>
      <c r="AP339" s="1074"/>
      <c r="AQ339" s="1074"/>
      <c r="AR339" s="1074"/>
      <c r="AS339" s="1074"/>
      <c r="AT339" s="1075"/>
    </row>
    <row r="340" ht="14.25" customHeight="1">
      <c r="A340" s="1116"/>
      <c r="B340" s="1120"/>
      <c r="C340" s="1100"/>
      <c r="D340" s="1100"/>
      <c r="E340" s="1100"/>
      <c r="F340" s="1100"/>
      <c r="G340" s="1100"/>
      <c r="H340" s="1100"/>
      <c r="I340" s="1100"/>
      <c r="J340" s="1100"/>
      <c r="K340" s="1074"/>
      <c r="L340" s="1074"/>
      <c r="M340" s="1074"/>
      <c r="N340" s="1074"/>
      <c r="O340" s="1074"/>
      <c r="P340" s="1074"/>
      <c r="Q340" s="1074"/>
      <c r="R340" s="1074"/>
      <c r="S340" s="1074"/>
      <c r="T340" s="1074"/>
      <c r="U340" s="1074"/>
      <c r="V340" s="1074"/>
      <c r="W340" s="1074"/>
      <c r="X340" s="1074"/>
      <c r="Y340" s="1074"/>
      <c r="Z340" s="1074"/>
      <c r="AA340" s="1074"/>
      <c r="AB340" s="1074"/>
      <c r="AC340" s="1074"/>
      <c r="AD340" s="1074"/>
      <c r="AE340" s="1074"/>
      <c r="AF340" s="1074"/>
      <c r="AG340" s="1074"/>
      <c r="AH340" s="1074"/>
      <c r="AI340" s="1074"/>
      <c r="AJ340" s="1074"/>
      <c r="AK340" s="1074"/>
      <c r="AL340" s="1074"/>
      <c r="AM340" s="1074"/>
      <c r="AN340" s="1074"/>
      <c r="AO340" s="1074"/>
      <c r="AP340" s="1074"/>
      <c r="AQ340" s="1074"/>
      <c r="AR340" s="1074"/>
      <c r="AS340" s="1074"/>
      <c r="AT340" s="1075"/>
    </row>
    <row r="341" ht="14.25" customHeight="1">
      <c r="A341" s="1116"/>
      <c r="B341" s="1120"/>
      <c r="C341" s="1100"/>
      <c r="D341" s="1100"/>
      <c r="E341" s="1100"/>
      <c r="F341" s="1100"/>
      <c r="G341" s="1100"/>
      <c r="H341" s="1100"/>
      <c r="I341" s="1100"/>
      <c r="J341" s="1100"/>
      <c r="K341" s="1074"/>
      <c r="L341" s="1074"/>
      <c r="M341" s="1074"/>
      <c r="N341" s="1074"/>
      <c r="O341" s="1074"/>
      <c r="P341" s="1074"/>
      <c r="Q341" s="1074"/>
      <c r="R341" s="1074"/>
      <c r="S341" s="1074"/>
      <c r="T341" s="1074"/>
      <c r="U341" s="1074"/>
      <c r="V341" s="1074"/>
      <c r="W341" s="1074"/>
      <c r="X341" s="1074"/>
      <c r="Y341" s="1074"/>
      <c r="Z341" s="1074"/>
      <c r="AA341" s="1074"/>
      <c r="AB341" s="1074"/>
      <c r="AC341" s="1074"/>
      <c r="AD341" s="1074"/>
      <c r="AE341" s="1074"/>
      <c r="AF341" s="1074"/>
      <c r="AG341" s="1074"/>
      <c r="AH341" s="1074"/>
      <c r="AI341" s="1074"/>
      <c r="AJ341" s="1074"/>
      <c r="AK341" s="1074"/>
      <c r="AL341" s="1074"/>
      <c r="AM341" s="1074"/>
      <c r="AN341" s="1074"/>
      <c r="AO341" s="1074"/>
      <c r="AP341" s="1074"/>
      <c r="AQ341" s="1074"/>
      <c r="AR341" s="1074"/>
      <c r="AS341" s="1074"/>
      <c r="AT341" s="1075"/>
    </row>
    <row r="342" ht="14.25" customHeight="1">
      <c r="A342" s="1116"/>
      <c r="B342" s="1120"/>
      <c r="C342" s="1100"/>
      <c r="D342" s="1100"/>
      <c r="E342" s="1100"/>
      <c r="F342" s="1100"/>
      <c r="G342" s="1100"/>
      <c r="H342" s="1100"/>
      <c r="I342" s="1100"/>
      <c r="J342" s="1100"/>
      <c r="K342" s="1074"/>
      <c r="L342" s="1074"/>
      <c r="M342" s="1074"/>
      <c r="N342" s="1074"/>
      <c r="O342" s="1074"/>
      <c r="P342" s="1074"/>
      <c r="Q342" s="1074"/>
      <c r="R342" s="1074"/>
      <c r="S342" s="1074"/>
      <c r="T342" s="1074"/>
      <c r="U342" s="1074"/>
      <c r="V342" s="1074"/>
      <c r="W342" s="1074"/>
      <c r="X342" s="1074"/>
      <c r="Y342" s="1074"/>
      <c r="Z342" s="1074"/>
      <c r="AA342" s="1074"/>
      <c r="AB342" s="1074"/>
      <c r="AC342" s="1074"/>
      <c r="AD342" s="1074"/>
      <c r="AE342" s="1074"/>
      <c r="AF342" s="1074"/>
      <c r="AG342" s="1074"/>
      <c r="AH342" s="1074"/>
      <c r="AI342" s="1074"/>
      <c r="AJ342" s="1074"/>
      <c r="AK342" s="1074"/>
      <c r="AL342" s="1074"/>
      <c r="AM342" s="1074"/>
      <c r="AN342" s="1074"/>
      <c r="AO342" s="1074"/>
      <c r="AP342" s="1074"/>
      <c r="AQ342" s="1074"/>
      <c r="AR342" s="1074"/>
      <c r="AS342" s="1074"/>
      <c r="AT342" s="1075"/>
    </row>
    <row r="343" ht="14.25" customHeight="1">
      <c r="A343" s="1116"/>
      <c r="B343" s="1120"/>
      <c r="C343" s="1100"/>
      <c r="D343" s="1100"/>
      <c r="E343" s="1100"/>
      <c r="F343" s="1100"/>
      <c r="G343" s="1100"/>
      <c r="H343" s="1100"/>
      <c r="I343" s="1100"/>
      <c r="J343" s="1100"/>
      <c r="K343" s="1074"/>
      <c r="L343" s="1074"/>
      <c r="M343" s="1074"/>
      <c r="N343" s="1074"/>
      <c r="O343" s="1074"/>
      <c r="P343" s="1074"/>
      <c r="Q343" s="1074"/>
      <c r="R343" s="1074"/>
      <c r="S343" s="1074"/>
      <c r="T343" s="1074"/>
      <c r="U343" s="1074"/>
      <c r="V343" s="1074"/>
      <c r="W343" s="1074"/>
      <c r="X343" s="1074"/>
      <c r="Y343" s="1074"/>
      <c r="Z343" s="1074"/>
      <c r="AA343" s="1074"/>
      <c r="AB343" s="1074"/>
      <c r="AC343" s="1074"/>
      <c r="AD343" s="1074"/>
      <c r="AE343" s="1074"/>
      <c r="AF343" s="1074"/>
      <c r="AG343" s="1074"/>
      <c r="AH343" s="1074"/>
      <c r="AI343" s="1074"/>
      <c r="AJ343" s="1074"/>
      <c r="AK343" s="1074"/>
      <c r="AL343" s="1074"/>
      <c r="AM343" s="1074"/>
      <c r="AN343" s="1074"/>
      <c r="AO343" s="1074"/>
      <c r="AP343" s="1074"/>
      <c r="AQ343" s="1074"/>
      <c r="AR343" s="1074"/>
      <c r="AS343" s="1074"/>
      <c r="AT343" s="1075"/>
    </row>
    <row r="344" ht="14.25" customHeight="1">
      <c r="A344" s="1116"/>
      <c r="B344" s="1120"/>
      <c r="C344" s="1100"/>
      <c r="D344" s="1100"/>
      <c r="E344" s="1100"/>
      <c r="F344" s="1100"/>
      <c r="G344" s="1100"/>
      <c r="H344" s="1100"/>
      <c r="I344" s="1100"/>
      <c r="J344" s="1100"/>
      <c r="K344" s="1074"/>
      <c r="L344" s="1074"/>
      <c r="M344" s="1074"/>
      <c r="N344" s="1074"/>
      <c r="O344" s="1074"/>
      <c r="P344" s="1074"/>
      <c r="Q344" s="1074"/>
      <c r="R344" s="1074"/>
      <c r="S344" s="1074"/>
      <c r="T344" s="1074"/>
      <c r="U344" s="1074"/>
      <c r="V344" s="1074"/>
      <c r="W344" s="1074"/>
      <c r="X344" s="1074"/>
      <c r="Y344" s="1074"/>
      <c r="Z344" s="1074"/>
      <c r="AA344" s="1074"/>
      <c r="AB344" s="1074"/>
      <c r="AC344" s="1074"/>
      <c r="AD344" s="1074"/>
      <c r="AE344" s="1074"/>
      <c r="AF344" s="1074"/>
      <c r="AG344" s="1074"/>
      <c r="AH344" s="1074"/>
      <c r="AI344" s="1074"/>
      <c r="AJ344" s="1074"/>
      <c r="AK344" s="1074"/>
      <c r="AL344" s="1074"/>
      <c r="AM344" s="1074"/>
      <c r="AN344" s="1074"/>
      <c r="AO344" s="1074"/>
      <c r="AP344" s="1074"/>
      <c r="AQ344" s="1074"/>
      <c r="AR344" s="1074"/>
      <c r="AS344" s="1074"/>
      <c r="AT344" s="1075"/>
    </row>
    <row r="345" ht="14.25" customHeight="1">
      <c r="A345" s="1116"/>
      <c r="B345" s="1120"/>
      <c r="C345" s="1100"/>
      <c r="D345" s="1100"/>
      <c r="E345" s="1100"/>
      <c r="F345" s="1100"/>
      <c r="G345" s="1100"/>
      <c r="H345" s="1100"/>
      <c r="I345" s="1100"/>
      <c r="J345" s="1100"/>
      <c r="K345" s="1074"/>
      <c r="L345" s="1074"/>
      <c r="M345" s="1074"/>
      <c r="N345" s="1074"/>
      <c r="O345" s="1074"/>
      <c r="P345" s="1074"/>
      <c r="Q345" s="1074"/>
      <c r="R345" s="1074"/>
      <c r="S345" s="1074"/>
      <c r="T345" s="1074"/>
      <c r="U345" s="1074"/>
      <c r="V345" s="1074"/>
      <c r="W345" s="1074"/>
      <c r="X345" s="1074"/>
      <c r="Y345" s="1074"/>
      <c r="Z345" s="1074"/>
      <c r="AA345" s="1074"/>
      <c r="AB345" s="1074"/>
      <c r="AC345" s="1074"/>
      <c r="AD345" s="1074"/>
      <c r="AE345" s="1074"/>
      <c r="AF345" s="1074"/>
      <c r="AG345" s="1074"/>
      <c r="AH345" s="1074"/>
      <c r="AI345" s="1074"/>
      <c r="AJ345" s="1074"/>
      <c r="AK345" s="1074"/>
      <c r="AL345" s="1074"/>
      <c r="AM345" s="1074"/>
      <c r="AN345" s="1074"/>
      <c r="AO345" s="1074"/>
      <c r="AP345" s="1074"/>
      <c r="AQ345" s="1074"/>
      <c r="AR345" s="1074"/>
      <c r="AS345" s="1074"/>
      <c r="AT345" s="1075"/>
    </row>
    <row r="346" ht="14.25" customHeight="1">
      <c r="A346" s="1116"/>
      <c r="B346" s="1120"/>
      <c r="C346" s="1100"/>
      <c r="D346" s="1100"/>
      <c r="E346" s="1100"/>
      <c r="F346" s="1100"/>
      <c r="G346" s="1100"/>
      <c r="H346" s="1100"/>
      <c r="I346" s="1100"/>
      <c r="J346" s="1100"/>
      <c r="K346" s="1074"/>
      <c r="L346" s="1074"/>
      <c r="M346" s="1074"/>
      <c r="N346" s="1074"/>
      <c r="O346" s="1074"/>
      <c r="P346" s="1074"/>
      <c r="Q346" s="1074"/>
      <c r="R346" s="1074"/>
      <c r="S346" s="1074"/>
      <c r="T346" s="1074"/>
      <c r="U346" s="1074"/>
      <c r="V346" s="1074"/>
      <c r="W346" s="1074"/>
      <c r="X346" s="1074"/>
      <c r="Y346" s="1074"/>
      <c r="Z346" s="1074"/>
      <c r="AA346" s="1074"/>
      <c r="AB346" s="1074"/>
      <c r="AC346" s="1074"/>
      <c r="AD346" s="1074"/>
      <c r="AE346" s="1074"/>
      <c r="AF346" s="1074"/>
      <c r="AG346" s="1074"/>
      <c r="AH346" s="1074"/>
      <c r="AI346" s="1074"/>
      <c r="AJ346" s="1074"/>
      <c r="AK346" s="1074"/>
      <c r="AL346" s="1074"/>
      <c r="AM346" s="1074"/>
      <c r="AN346" s="1074"/>
      <c r="AO346" s="1074"/>
      <c r="AP346" s="1074"/>
      <c r="AQ346" s="1074"/>
      <c r="AR346" s="1074"/>
      <c r="AS346" s="1074"/>
      <c r="AT346" s="1075"/>
    </row>
    <row r="347" ht="14.25" customHeight="1">
      <c r="A347" s="1116"/>
      <c r="B347" s="1120"/>
      <c r="C347" s="1100"/>
      <c r="D347" s="1100"/>
      <c r="E347" s="1100"/>
      <c r="F347" s="1100"/>
      <c r="G347" s="1100"/>
      <c r="H347" s="1100"/>
      <c r="I347" s="1100"/>
      <c r="J347" s="1100"/>
      <c r="K347" s="1074"/>
      <c r="L347" s="1074"/>
      <c r="M347" s="1074"/>
      <c r="N347" s="1074"/>
      <c r="O347" s="1074"/>
      <c r="P347" s="1074"/>
      <c r="Q347" s="1074"/>
      <c r="R347" s="1074"/>
      <c r="S347" s="1074"/>
      <c r="T347" s="1074"/>
      <c r="U347" s="1074"/>
      <c r="V347" s="1074"/>
      <c r="W347" s="1074"/>
      <c r="X347" s="1074"/>
      <c r="Y347" s="1074"/>
      <c r="Z347" s="1074"/>
      <c r="AA347" s="1074"/>
      <c r="AB347" s="1074"/>
      <c r="AC347" s="1074"/>
      <c r="AD347" s="1074"/>
      <c r="AE347" s="1074"/>
      <c r="AF347" s="1074"/>
      <c r="AG347" s="1074"/>
      <c r="AH347" s="1074"/>
      <c r="AI347" s="1074"/>
      <c r="AJ347" s="1074"/>
      <c r="AK347" s="1074"/>
      <c r="AL347" s="1074"/>
      <c r="AM347" s="1074"/>
      <c r="AN347" s="1074"/>
      <c r="AO347" s="1074"/>
      <c r="AP347" s="1074"/>
      <c r="AQ347" s="1074"/>
      <c r="AR347" s="1074"/>
      <c r="AS347" s="1074"/>
      <c r="AT347" s="1075"/>
    </row>
    <row r="348" ht="14.25" customHeight="1">
      <c r="A348" s="1116"/>
      <c r="B348" s="1120"/>
      <c r="C348" s="1100"/>
      <c r="D348" s="1100"/>
      <c r="E348" s="1100"/>
      <c r="F348" s="1100"/>
      <c r="G348" s="1100"/>
      <c r="H348" s="1100"/>
      <c r="I348" s="1100"/>
      <c r="J348" s="1100"/>
      <c r="K348" s="1074"/>
      <c r="L348" s="1074"/>
      <c r="M348" s="1074"/>
      <c r="N348" s="1074"/>
      <c r="O348" s="1074"/>
      <c r="P348" s="1074"/>
      <c r="Q348" s="1074"/>
      <c r="R348" s="1074"/>
      <c r="S348" s="1074"/>
      <c r="T348" s="1074"/>
      <c r="U348" s="1074"/>
      <c r="V348" s="1074"/>
      <c r="W348" s="1074"/>
      <c r="X348" s="1074"/>
      <c r="Y348" s="1074"/>
      <c r="Z348" s="1074"/>
      <c r="AA348" s="1074"/>
      <c r="AB348" s="1074"/>
      <c r="AC348" s="1074"/>
      <c r="AD348" s="1074"/>
      <c r="AE348" s="1074"/>
      <c r="AF348" s="1074"/>
      <c r="AG348" s="1074"/>
      <c r="AH348" s="1074"/>
      <c r="AI348" s="1074"/>
      <c r="AJ348" s="1074"/>
      <c r="AK348" s="1074"/>
      <c r="AL348" s="1074"/>
      <c r="AM348" s="1074"/>
      <c r="AN348" s="1074"/>
      <c r="AO348" s="1074"/>
      <c r="AP348" s="1074"/>
      <c r="AQ348" s="1074"/>
      <c r="AR348" s="1074"/>
      <c r="AS348" s="1074"/>
      <c r="AT348" s="1075"/>
    </row>
    <row r="349" ht="14.25" customHeight="1">
      <c r="A349" s="1116"/>
      <c r="B349" s="1120"/>
      <c r="C349" s="1100"/>
      <c r="D349" s="1100"/>
      <c r="E349" s="1100"/>
      <c r="F349" s="1100"/>
      <c r="G349" s="1100"/>
      <c r="H349" s="1100"/>
      <c r="I349" s="1100"/>
      <c r="J349" s="1100"/>
      <c r="K349" s="1074"/>
      <c r="L349" s="1074"/>
      <c r="M349" s="1074"/>
      <c r="N349" s="1074"/>
      <c r="O349" s="1074"/>
      <c r="P349" s="1074"/>
      <c r="Q349" s="1074"/>
      <c r="R349" s="1074"/>
      <c r="S349" s="1074"/>
      <c r="T349" s="1074"/>
      <c r="U349" s="1074"/>
      <c r="V349" s="1074"/>
      <c r="W349" s="1074"/>
      <c r="X349" s="1074"/>
      <c r="Y349" s="1074"/>
      <c r="Z349" s="1074"/>
      <c r="AA349" s="1074"/>
      <c r="AB349" s="1074"/>
      <c r="AC349" s="1074"/>
      <c r="AD349" s="1074"/>
      <c r="AE349" s="1074"/>
      <c r="AF349" s="1074"/>
      <c r="AG349" s="1074"/>
      <c r="AH349" s="1074"/>
      <c r="AI349" s="1074"/>
      <c r="AJ349" s="1074"/>
      <c r="AK349" s="1074"/>
      <c r="AL349" s="1074"/>
      <c r="AM349" s="1074"/>
      <c r="AN349" s="1074"/>
      <c r="AO349" s="1074"/>
      <c r="AP349" s="1074"/>
      <c r="AQ349" s="1074"/>
      <c r="AR349" s="1074"/>
      <c r="AS349" s="1074"/>
      <c r="AT349" s="1075"/>
    </row>
    <row r="350" ht="14.25" customHeight="1">
      <c r="A350" s="1116"/>
      <c r="B350" s="1120"/>
      <c r="C350" s="1100"/>
      <c r="D350" s="1100"/>
      <c r="E350" s="1100"/>
      <c r="F350" s="1100"/>
      <c r="G350" s="1100"/>
      <c r="H350" s="1100"/>
      <c r="I350" s="1100"/>
      <c r="J350" s="1100"/>
      <c r="K350" s="1074"/>
      <c r="L350" s="1074"/>
      <c r="M350" s="1074"/>
      <c r="N350" s="1074"/>
      <c r="O350" s="1074"/>
      <c r="P350" s="1074"/>
      <c r="Q350" s="1074"/>
      <c r="R350" s="1074"/>
      <c r="S350" s="1074"/>
      <c r="T350" s="1074"/>
      <c r="U350" s="1074"/>
      <c r="V350" s="1074"/>
      <c r="W350" s="1074"/>
      <c r="X350" s="1074"/>
      <c r="Y350" s="1074"/>
      <c r="Z350" s="1074"/>
      <c r="AA350" s="1074"/>
      <c r="AB350" s="1074"/>
      <c r="AC350" s="1074"/>
      <c r="AD350" s="1074"/>
      <c r="AE350" s="1074"/>
      <c r="AF350" s="1074"/>
      <c r="AG350" s="1074"/>
      <c r="AH350" s="1074"/>
      <c r="AI350" s="1074"/>
      <c r="AJ350" s="1074"/>
      <c r="AK350" s="1074"/>
      <c r="AL350" s="1074"/>
      <c r="AM350" s="1074"/>
      <c r="AN350" s="1074"/>
      <c r="AO350" s="1074"/>
      <c r="AP350" s="1074"/>
      <c r="AQ350" s="1074"/>
      <c r="AR350" s="1074"/>
      <c r="AS350" s="1074"/>
      <c r="AT350" s="1075"/>
    </row>
    <row r="351" ht="14.25" customHeight="1">
      <c r="A351" s="1116"/>
      <c r="B351" s="1120"/>
      <c r="C351" s="1100"/>
      <c r="D351" s="1100"/>
      <c r="E351" s="1100"/>
      <c r="F351" s="1100"/>
      <c r="G351" s="1100"/>
      <c r="H351" s="1100"/>
      <c r="I351" s="1100"/>
      <c r="J351" s="1100"/>
      <c r="K351" s="1074"/>
      <c r="L351" s="1074"/>
      <c r="M351" s="1074"/>
      <c r="N351" s="1074"/>
      <c r="O351" s="1074"/>
      <c r="P351" s="1074"/>
      <c r="Q351" s="1074"/>
      <c r="R351" s="1074"/>
      <c r="S351" s="1074"/>
      <c r="T351" s="1074"/>
      <c r="U351" s="1074"/>
      <c r="V351" s="1074"/>
      <c r="W351" s="1074"/>
      <c r="X351" s="1074"/>
      <c r="Y351" s="1074"/>
      <c r="Z351" s="1074"/>
      <c r="AA351" s="1074"/>
      <c r="AB351" s="1074"/>
      <c r="AC351" s="1074"/>
      <c r="AD351" s="1074"/>
      <c r="AE351" s="1074"/>
      <c r="AF351" s="1074"/>
      <c r="AG351" s="1074"/>
      <c r="AH351" s="1074"/>
      <c r="AI351" s="1074"/>
      <c r="AJ351" s="1074"/>
      <c r="AK351" s="1074"/>
      <c r="AL351" s="1074"/>
      <c r="AM351" s="1074"/>
      <c r="AN351" s="1074"/>
      <c r="AO351" s="1074"/>
      <c r="AP351" s="1074"/>
      <c r="AQ351" s="1074"/>
      <c r="AR351" s="1074"/>
      <c r="AS351" s="1074"/>
      <c r="AT351" s="1075"/>
    </row>
    <row r="352" ht="14.25" customHeight="1">
      <c r="A352" s="1116"/>
      <c r="B352" s="1120"/>
      <c r="C352" s="1100"/>
      <c r="D352" s="1100"/>
      <c r="E352" s="1100"/>
      <c r="F352" s="1100"/>
      <c r="G352" s="1100"/>
      <c r="H352" s="1100"/>
      <c r="I352" s="1100"/>
      <c r="J352" s="1100"/>
      <c r="K352" s="1074"/>
      <c r="L352" s="1074"/>
      <c r="M352" s="1074"/>
      <c r="N352" s="1074"/>
      <c r="O352" s="1074"/>
      <c r="P352" s="1074"/>
      <c r="Q352" s="1074"/>
      <c r="R352" s="1074"/>
      <c r="S352" s="1074"/>
      <c r="T352" s="1074"/>
      <c r="U352" s="1074"/>
      <c r="V352" s="1074"/>
      <c r="W352" s="1074"/>
      <c r="X352" s="1074"/>
      <c r="Y352" s="1074"/>
      <c r="Z352" s="1074"/>
      <c r="AA352" s="1074"/>
      <c r="AB352" s="1074"/>
      <c r="AC352" s="1074"/>
      <c r="AD352" s="1074"/>
      <c r="AE352" s="1074"/>
      <c r="AF352" s="1074"/>
      <c r="AG352" s="1074"/>
      <c r="AH352" s="1074"/>
      <c r="AI352" s="1074"/>
      <c r="AJ352" s="1074"/>
      <c r="AK352" s="1074"/>
      <c r="AL352" s="1074"/>
      <c r="AM352" s="1074"/>
      <c r="AN352" s="1074"/>
      <c r="AO352" s="1074"/>
      <c r="AP352" s="1074"/>
      <c r="AQ352" s="1074"/>
      <c r="AR352" s="1074"/>
      <c r="AS352" s="1074"/>
      <c r="AT352" s="1075"/>
    </row>
    <row r="353" ht="14.25" customHeight="1">
      <c r="A353" s="1116"/>
      <c r="B353" s="1120"/>
      <c r="C353" s="1100"/>
      <c r="D353" s="1100"/>
      <c r="E353" s="1100"/>
      <c r="F353" s="1100"/>
      <c r="G353" s="1100"/>
      <c r="H353" s="1100"/>
      <c r="I353" s="1100"/>
      <c r="J353" s="1100"/>
      <c r="K353" s="1074"/>
      <c r="L353" s="1074"/>
      <c r="M353" s="1074"/>
      <c r="N353" s="1074"/>
      <c r="O353" s="1074"/>
      <c r="P353" s="1074"/>
      <c r="Q353" s="1074"/>
      <c r="R353" s="1074"/>
      <c r="S353" s="1074"/>
      <c r="T353" s="1074"/>
      <c r="U353" s="1074"/>
      <c r="V353" s="1074"/>
      <c r="W353" s="1074"/>
      <c r="X353" s="1074"/>
      <c r="Y353" s="1074"/>
      <c r="Z353" s="1074"/>
      <c r="AA353" s="1074"/>
      <c r="AB353" s="1074"/>
      <c r="AC353" s="1074"/>
      <c r="AD353" s="1074"/>
      <c r="AE353" s="1074"/>
      <c r="AF353" s="1074"/>
      <c r="AG353" s="1074"/>
      <c r="AH353" s="1074"/>
      <c r="AI353" s="1074"/>
      <c r="AJ353" s="1074"/>
      <c r="AK353" s="1074"/>
      <c r="AL353" s="1074"/>
      <c r="AM353" s="1074"/>
      <c r="AN353" s="1074"/>
      <c r="AO353" s="1074"/>
      <c r="AP353" s="1074"/>
      <c r="AQ353" s="1074"/>
      <c r="AR353" s="1074"/>
      <c r="AS353" s="1074"/>
      <c r="AT353" s="1075"/>
    </row>
    <row r="354" ht="14.25" customHeight="1">
      <c r="A354" s="1116"/>
      <c r="B354" s="1120"/>
      <c r="C354" s="1100"/>
      <c r="D354" s="1100"/>
      <c r="E354" s="1100"/>
      <c r="F354" s="1100"/>
      <c r="G354" s="1100"/>
      <c r="H354" s="1100"/>
      <c r="I354" s="1100"/>
      <c r="J354" s="1100"/>
      <c r="K354" s="1074"/>
      <c r="L354" s="1074"/>
      <c r="M354" s="1074"/>
      <c r="N354" s="1074"/>
      <c r="O354" s="1074"/>
      <c r="P354" s="1074"/>
      <c r="Q354" s="1074"/>
      <c r="R354" s="1074"/>
      <c r="S354" s="1074"/>
      <c r="T354" s="1074"/>
      <c r="U354" s="1074"/>
      <c r="V354" s="1074"/>
      <c r="W354" s="1074"/>
      <c r="X354" s="1074"/>
      <c r="Y354" s="1074"/>
      <c r="Z354" s="1074"/>
      <c r="AA354" s="1074"/>
      <c r="AB354" s="1074"/>
      <c r="AC354" s="1074"/>
      <c r="AD354" s="1074"/>
      <c r="AE354" s="1074"/>
      <c r="AF354" s="1074"/>
      <c r="AG354" s="1074"/>
      <c r="AH354" s="1074"/>
      <c r="AI354" s="1074"/>
      <c r="AJ354" s="1074"/>
      <c r="AK354" s="1074"/>
      <c r="AL354" s="1074"/>
      <c r="AM354" s="1074"/>
      <c r="AN354" s="1074"/>
      <c r="AO354" s="1074"/>
      <c r="AP354" s="1074"/>
      <c r="AQ354" s="1074"/>
      <c r="AR354" s="1074"/>
      <c r="AS354" s="1074"/>
      <c r="AT354" s="1075"/>
    </row>
    <row r="355" ht="14.25" customHeight="1">
      <c r="A355" s="1116"/>
      <c r="B355" s="1120"/>
      <c r="C355" s="1100"/>
      <c r="D355" s="1100"/>
      <c r="E355" s="1100"/>
      <c r="F355" s="1100"/>
      <c r="G355" s="1100"/>
      <c r="H355" s="1100"/>
      <c r="I355" s="1100"/>
      <c r="J355" s="1100"/>
      <c r="K355" s="1074"/>
      <c r="L355" s="1074"/>
      <c r="M355" s="1074"/>
      <c r="N355" s="1074"/>
      <c r="O355" s="1074"/>
      <c r="P355" s="1074"/>
      <c r="Q355" s="1074"/>
      <c r="R355" s="1074"/>
      <c r="S355" s="1074"/>
      <c r="T355" s="1074"/>
      <c r="U355" s="1074"/>
      <c r="V355" s="1074"/>
      <c r="W355" s="1074"/>
      <c r="X355" s="1074"/>
      <c r="Y355" s="1074"/>
      <c r="Z355" s="1074"/>
      <c r="AA355" s="1074"/>
      <c r="AB355" s="1074"/>
      <c r="AC355" s="1074"/>
      <c r="AD355" s="1074"/>
      <c r="AE355" s="1074"/>
      <c r="AF355" s="1074"/>
      <c r="AG355" s="1074"/>
      <c r="AH355" s="1074"/>
      <c r="AI355" s="1074"/>
      <c r="AJ355" s="1074"/>
      <c r="AK355" s="1074"/>
      <c r="AL355" s="1074"/>
      <c r="AM355" s="1074"/>
      <c r="AN355" s="1074"/>
      <c r="AO355" s="1074"/>
      <c r="AP355" s="1074"/>
      <c r="AQ355" s="1074"/>
      <c r="AR355" s="1074"/>
      <c r="AS355" s="1074"/>
      <c r="AT355" s="1075"/>
    </row>
    <row r="356" ht="14.25" customHeight="1">
      <c r="A356" s="1116"/>
      <c r="B356" s="1120"/>
      <c r="C356" s="1100"/>
      <c r="D356" s="1100"/>
      <c r="E356" s="1100"/>
      <c r="F356" s="1100"/>
      <c r="G356" s="1100"/>
      <c r="H356" s="1100"/>
      <c r="I356" s="1100"/>
      <c r="J356" s="1100"/>
      <c r="K356" s="1074"/>
      <c r="L356" s="1074"/>
      <c r="M356" s="1074"/>
      <c r="N356" s="1074"/>
      <c r="O356" s="1074"/>
      <c r="P356" s="1074"/>
      <c r="Q356" s="1074"/>
      <c r="R356" s="1074"/>
      <c r="S356" s="1074"/>
      <c r="T356" s="1074"/>
      <c r="U356" s="1074"/>
      <c r="V356" s="1074"/>
      <c r="W356" s="1074"/>
      <c r="X356" s="1074"/>
      <c r="Y356" s="1074"/>
      <c r="Z356" s="1074"/>
      <c r="AA356" s="1074"/>
      <c r="AB356" s="1074"/>
      <c r="AC356" s="1074"/>
      <c r="AD356" s="1074"/>
      <c r="AE356" s="1074"/>
      <c r="AF356" s="1074"/>
      <c r="AG356" s="1074"/>
      <c r="AH356" s="1074"/>
      <c r="AI356" s="1074"/>
      <c r="AJ356" s="1074"/>
      <c r="AK356" s="1074"/>
      <c r="AL356" s="1074"/>
      <c r="AM356" s="1074"/>
      <c r="AN356" s="1074"/>
      <c r="AO356" s="1074"/>
      <c r="AP356" s="1074"/>
      <c r="AQ356" s="1074"/>
      <c r="AR356" s="1074"/>
      <c r="AS356" s="1074"/>
      <c r="AT356" s="1075"/>
    </row>
    <row r="357" ht="14.25" customHeight="1">
      <c r="A357" s="1116"/>
      <c r="B357" s="1120"/>
      <c r="C357" s="1100"/>
      <c r="D357" s="1100"/>
      <c r="E357" s="1100"/>
      <c r="F357" s="1100"/>
      <c r="G357" s="1100"/>
      <c r="H357" s="1100"/>
      <c r="I357" s="1100"/>
      <c r="J357" s="1100"/>
      <c r="K357" s="1074"/>
      <c r="L357" s="1074"/>
      <c r="M357" s="1074"/>
      <c r="N357" s="1074"/>
      <c r="O357" s="1074"/>
      <c r="P357" s="1074"/>
      <c r="Q357" s="1074"/>
      <c r="R357" s="1074"/>
      <c r="S357" s="1074"/>
      <c r="T357" s="1074"/>
      <c r="U357" s="1074"/>
      <c r="V357" s="1074"/>
      <c r="W357" s="1074"/>
      <c r="X357" s="1074"/>
      <c r="Y357" s="1074"/>
      <c r="Z357" s="1074"/>
      <c r="AA357" s="1074"/>
      <c r="AB357" s="1074"/>
      <c r="AC357" s="1074"/>
      <c r="AD357" s="1074"/>
      <c r="AE357" s="1074"/>
      <c r="AF357" s="1074"/>
      <c r="AG357" s="1074"/>
      <c r="AH357" s="1074"/>
      <c r="AI357" s="1074"/>
      <c r="AJ357" s="1074"/>
      <c r="AK357" s="1074"/>
      <c r="AL357" s="1074"/>
      <c r="AM357" s="1074"/>
      <c r="AN357" s="1074"/>
      <c r="AO357" s="1074"/>
      <c r="AP357" s="1074"/>
      <c r="AQ357" s="1074"/>
      <c r="AR357" s="1074"/>
      <c r="AS357" s="1074"/>
      <c r="AT357" s="1075"/>
    </row>
    <row r="358" ht="14.25" customHeight="1">
      <c r="A358" s="1116"/>
      <c r="B358" s="1120"/>
      <c r="C358" s="1100"/>
      <c r="D358" s="1100"/>
      <c r="E358" s="1100"/>
      <c r="F358" s="1100"/>
      <c r="G358" s="1100"/>
      <c r="H358" s="1100"/>
      <c r="I358" s="1100"/>
      <c r="J358" s="1100"/>
      <c r="K358" s="1074"/>
      <c r="L358" s="1074"/>
      <c r="M358" s="1074"/>
      <c r="N358" s="1074"/>
      <c r="O358" s="1074"/>
      <c r="P358" s="1074"/>
      <c r="Q358" s="1074"/>
      <c r="R358" s="1074"/>
      <c r="S358" s="1074"/>
      <c r="T358" s="1074"/>
      <c r="U358" s="1074"/>
      <c r="V358" s="1074"/>
      <c r="W358" s="1074"/>
      <c r="X358" s="1074"/>
      <c r="Y358" s="1074"/>
      <c r="Z358" s="1074"/>
      <c r="AA358" s="1074"/>
      <c r="AB358" s="1074"/>
      <c r="AC358" s="1074"/>
      <c r="AD358" s="1074"/>
      <c r="AE358" s="1074"/>
      <c r="AF358" s="1074"/>
      <c r="AG358" s="1074"/>
      <c r="AH358" s="1074"/>
      <c r="AI358" s="1074"/>
      <c r="AJ358" s="1074"/>
      <c r="AK358" s="1074"/>
      <c r="AL358" s="1074"/>
      <c r="AM358" s="1074"/>
      <c r="AN358" s="1074"/>
      <c r="AO358" s="1074"/>
      <c r="AP358" s="1074"/>
      <c r="AQ358" s="1074"/>
      <c r="AR358" s="1074"/>
      <c r="AS358" s="1074"/>
      <c r="AT358" s="1075"/>
    </row>
    <row r="359" ht="14.25" customHeight="1">
      <c r="A359" s="1116"/>
      <c r="B359" s="1120"/>
      <c r="C359" s="1100"/>
      <c r="D359" s="1100"/>
      <c r="E359" s="1100"/>
      <c r="F359" s="1100"/>
      <c r="G359" s="1100"/>
      <c r="H359" s="1100"/>
      <c r="I359" s="1100"/>
      <c r="J359" s="1100"/>
      <c r="K359" s="1074"/>
      <c r="L359" s="1074"/>
      <c r="M359" s="1074"/>
      <c r="N359" s="1074"/>
      <c r="O359" s="1074"/>
      <c r="P359" s="1074"/>
      <c r="Q359" s="1074"/>
      <c r="R359" s="1074"/>
      <c r="S359" s="1074"/>
      <c r="T359" s="1074"/>
      <c r="U359" s="1074"/>
      <c r="V359" s="1074"/>
      <c r="W359" s="1074"/>
      <c r="X359" s="1074"/>
      <c r="Y359" s="1074"/>
      <c r="Z359" s="1074"/>
      <c r="AA359" s="1074"/>
      <c r="AB359" s="1074"/>
      <c r="AC359" s="1074"/>
      <c r="AD359" s="1074"/>
      <c r="AE359" s="1074"/>
      <c r="AF359" s="1074"/>
      <c r="AG359" s="1074"/>
      <c r="AH359" s="1074"/>
      <c r="AI359" s="1074"/>
      <c r="AJ359" s="1074"/>
      <c r="AK359" s="1074"/>
      <c r="AL359" s="1074"/>
      <c r="AM359" s="1074"/>
      <c r="AN359" s="1074"/>
      <c r="AO359" s="1074"/>
      <c r="AP359" s="1074"/>
      <c r="AQ359" s="1074"/>
      <c r="AR359" s="1074"/>
      <c r="AS359" s="1074"/>
      <c r="AT359" s="1075"/>
    </row>
    <row r="360" ht="14.25" customHeight="1">
      <c r="A360" s="1116"/>
      <c r="B360" s="1120"/>
      <c r="C360" s="1100"/>
      <c r="D360" s="1100"/>
      <c r="E360" s="1100"/>
      <c r="F360" s="1100"/>
      <c r="G360" s="1100"/>
      <c r="H360" s="1100"/>
      <c r="I360" s="1100"/>
      <c r="J360" s="1100"/>
      <c r="K360" s="1074"/>
      <c r="L360" s="1074"/>
      <c r="M360" s="1074"/>
      <c r="N360" s="1074"/>
      <c r="O360" s="1074"/>
      <c r="P360" s="1074"/>
      <c r="Q360" s="1074"/>
      <c r="R360" s="1074"/>
      <c r="S360" s="1074"/>
      <c r="T360" s="1074"/>
      <c r="U360" s="1074"/>
      <c r="V360" s="1074"/>
      <c r="W360" s="1074"/>
      <c r="X360" s="1074"/>
      <c r="Y360" s="1074"/>
      <c r="Z360" s="1074"/>
      <c r="AA360" s="1074"/>
      <c r="AB360" s="1074"/>
      <c r="AC360" s="1074"/>
      <c r="AD360" s="1074"/>
      <c r="AE360" s="1074"/>
      <c r="AF360" s="1074"/>
      <c r="AG360" s="1074"/>
      <c r="AH360" s="1074"/>
      <c r="AI360" s="1074"/>
      <c r="AJ360" s="1074"/>
      <c r="AK360" s="1074"/>
      <c r="AL360" s="1074"/>
      <c r="AM360" s="1074"/>
      <c r="AN360" s="1074"/>
      <c r="AO360" s="1074"/>
      <c r="AP360" s="1074"/>
      <c r="AQ360" s="1074"/>
      <c r="AR360" s="1074"/>
      <c r="AS360" s="1074"/>
      <c r="AT360" s="1075"/>
    </row>
    <row r="361" ht="14.25" customHeight="1">
      <c r="A361" s="1116"/>
      <c r="B361" s="1120"/>
      <c r="C361" s="1100"/>
      <c r="D361" s="1100"/>
      <c r="E361" s="1100"/>
      <c r="F361" s="1100"/>
      <c r="G361" s="1100"/>
      <c r="H361" s="1100"/>
      <c r="I361" s="1100"/>
      <c r="J361" s="1100"/>
      <c r="K361" s="1074"/>
      <c r="L361" s="1074"/>
      <c r="M361" s="1074"/>
      <c r="N361" s="1074"/>
      <c r="O361" s="1074"/>
      <c r="P361" s="1074"/>
      <c r="Q361" s="1074"/>
      <c r="R361" s="1074"/>
      <c r="S361" s="1074"/>
      <c r="T361" s="1074"/>
      <c r="U361" s="1074"/>
      <c r="V361" s="1074"/>
      <c r="W361" s="1074"/>
      <c r="X361" s="1074"/>
      <c r="Y361" s="1074"/>
      <c r="Z361" s="1074"/>
      <c r="AA361" s="1074"/>
      <c r="AB361" s="1074"/>
      <c r="AC361" s="1074"/>
      <c r="AD361" s="1074"/>
      <c r="AE361" s="1074"/>
      <c r="AF361" s="1074"/>
      <c r="AG361" s="1074"/>
      <c r="AH361" s="1074"/>
      <c r="AI361" s="1074"/>
      <c r="AJ361" s="1074"/>
      <c r="AK361" s="1074"/>
      <c r="AL361" s="1074"/>
      <c r="AM361" s="1074"/>
      <c r="AN361" s="1074"/>
      <c r="AO361" s="1074"/>
      <c r="AP361" s="1074"/>
      <c r="AQ361" s="1074"/>
      <c r="AR361" s="1074"/>
      <c r="AS361" s="1074"/>
      <c r="AT361" s="1075"/>
    </row>
    <row r="362" ht="14.25" customHeight="1">
      <c r="A362" s="1116"/>
      <c r="B362" s="1120"/>
      <c r="C362" s="1100"/>
      <c r="D362" s="1100"/>
      <c r="E362" s="1100"/>
      <c r="F362" s="1100"/>
      <c r="G362" s="1100"/>
      <c r="H362" s="1100"/>
      <c r="I362" s="1100"/>
      <c r="J362" s="1100"/>
      <c r="K362" s="1074"/>
      <c r="L362" s="1074"/>
      <c r="M362" s="1074"/>
      <c r="N362" s="1074"/>
      <c r="O362" s="1074"/>
      <c r="P362" s="1074"/>
      <c r="Q362" s="1074"/>
      <c r="R362" s="1074"/>
      <c r="S362" s="1074"/>
      <c r="T362" s="1074"/>
      <c r="U362" s="1074"/>
      <c r="V362" s="1074"/>
      <c r="W362" s="1074"/>
      <c r="X362" s="1074"/>
      <c r="Y362" s="1074"/>
      <c r="Z362" s="1074"/>
      <c r="AA362" s="1074"/>
      <c r="AB362" s="1074"/>
      <c r="AC362" s="1074"/>
      <c r="AD362" s="1074"/>
      <c r="AE362" s="1074"/>
      <c r="AF362" s="1074"/>
      <c r="AG362" s="1074"/>
      <c r="AH362" s="1074"/>
      <c r="AI362" s="1074"/>
      <c r="AJ362" s="1074"/>
      <c r="AK362" s="1074"/>
      <c r="AL362" s="1074"/>
      <c r="AM362" s="1074"/>
      <c r="AN362" s="1074"/>
      <c r="AO362" s="1074"/>
      <c r="AP362" s="1074"/>
      <c r="AQ362" s="1074"/>
      <c r="AR362" s="1074"/>
      <c r="AS362" s="1074"/>
      <c r="AT362" s="1075"/>
    </row>
    <row r="363" ht="14.25" customHeight="1">
      <c r="A363" s="1116"/>
      <c r="B363" s="1120"/>
      <c r="C363" s="1100"/>
      <c r="D363" s="1100"/>
      <c r="E363" s="1100"/>
      <c r="F363" s="1100"/>
      <c r="G363" s="1100"/>
      <c r="H363" s="1100"/>
      <c r="I363" s="1100"/>
      <c r="J363" s="1100"/>
      <c r="K363" s="1074"/>
      <c r="L363" s="1074"/>
      <c r="M363" s="1074"/>
      <c r="N363" s="1074"/>
      <c r="O363" s="1074"/>
      <c r="P363" s="1074"/>
      <c r="Q363" s="1074"/>
      <c r="R363" s="1074"/>
      <c r="S363" s="1074"/>
      <c r="T363" s="1074"/>
      <c r="U363" s="1074"/>
      <c r="V363" s="1074"/>
      <c r="W363" s="1074"/>
      <c r="X363" s="1074"/>
      <c r="Y363" s="1074"/>
      <c r="Z363" s="1074"/>
      <c r="AA363" s="1074"/>
      <c r="AB363" s="1074"/>
      <c r="AC363" s="1074"/>
      <c r="AD363" s="1074"/>
      <c r="AE363" s="1074"/>
      <c r="AF363" s="1074"/>
      <c r="AG363" s="1074"/>
      <c r="AH363" s="1074"/>
      <c r="AI363" s="1074"/>
      <c r="AJ363" s="1074"/>
      <c r="AK363" s="1074"/>
      <c r="AL363" s="1074"/>
      <c r="AM363" s="1074"/>
      <c r="AN363" s="1074"/>
      <c r="AO363" s="1074"/>
      <c r="AP363" s="1074"/>
      <c r="AQ363" s="1074"/>
      <c r="AR363" s="1074"/>
      <c r="AS363" s="1074"/>
      <c r="AT363" s="1075"/>
    </row>
    <row r="364" ht="14.25" customHeight="1">
      <c r="A364" s="1116"/>
      <c r="B364" s="1120"/>
      <c r="C364" s="1100"/>
      <c r="D364" s="1100"/>
      <c r="E364" s="1100"/>
      <c r="F364" s="1100"/>
      <c r="G364" s="1100"/>
      <c r="H364" s="1100"/>
      <c r="I364" s="1100"/>
      <c r="J364" s="1100"/>
      <c r="K364" s="1074"/>
      <c r="L364" s="1074"/>
      <c r="M364" s="1074"/>
      <c r="N364" s="1074"/>
      <c r="O364" s="1074"/>
      <c r="P364" s="1074"/>
      <c r="Q364" s="1074"/>
      <c r="R364" s="1074"/>
      <c r="S364" s="1074"/>
      <c r="T364" s="1074"/>
      <c r="U364" s="1074"/>
      <c r="V364" s="1074"/>
      <c r="W364" s="1074"/>
      <c r="X364" s="1074"/>
      <c r="Y364" s="1074"/>
      <c r="Z364" s="1074"/>
      <c r="AA364" s="1074"/>
      <c r="AB364" s="1074"/>
      <c r="AC364" s="1074"/>
      <c r="AD364" s="1074"/>
      <c r="AE364" s="1074"/>
      <c r="AF364" s="1074"/>
      <c r="AG364" s="1074"/>
      <c r="AH364" s="1074"/>
      <c r="AI364" s="1074"/>
      <c r="AJ364" s="1074"/>
      <c r="AK364" s="1074"/>
      <c r="AL364" s="1074"/>
      <c r="AM364" s="1074"/>
      <c r="AN364" s="1074"/>
      <c r="AO364" s="1074"/>
      <c r="AP364" s="1074"/>
      <c r="AQ364" s="1074"/>
      <c r="AR364" s="1074"/>
      <c r="AS364" s="1074"/>
      <c r="AT364" s="1075"/>
    </row>
    <row r="365" ht="14.25" customHeight="1">
      <c r="A365" s="1116"/>
      <c r="B365" s="1120"/>
      <c r="C365" s="1100"/>
      <c r="D365" s="1100"/>
      <c r="E365" s="1100"/>
      <c r="F365" s="1100"/>
      <c r="G365" s="1100"/>
      <c r="H365" s="1100"/>
      <c r="I365" s="1100"/>
      <c r="J365" s="1100"/>
      <c r="K365" s="1074"/>
      <c r="L365" s="1074"/>
      <c r="M365" s="1074"/>
      <c r="N365" s="1074"/>
      <c r="O365" s="1074"/>
      <c r="P365" s="1074"/>
      <c r="Q365" s="1074"/>
      <c r="R365" s="1074"/>
      <c r="S365" s="1074"/>
      <c r="T365" s="1074"/>
      <c r="U365" s="1074"/>
      <c r="V365" s="1074"/>
      <c r="W365" s="1074"/>
      <c r="X365" s="1074"/>
      <c r="Y365" s="1074"/>
      <c r="Z365" s="1074"/>
      <c r="AA365" s="1074"/>
      <c r="AB365" s="1074"/>
      <c r="AC365" s="1074"/>
      <c r="AD365" s="1074"/>
      <c r="AE365" s="1074"/>
      <c r="AF365" s="1074"/>
      <c r="AG365" s="1074"/>
      <c r="AH365" s="1074"/>
      <c r="AI365" s="1074"/>
      <c r="AJ365" s="1074"/>
      <c r="AK365" s="1074"/>
      <c r="AL365" s="1074"/>
      <c r="AM365" s="1074"/>
      <c r="AN365" s="1074"/>
      <c r="AO365" s="1074"/>
      <c r="AP365" s="1074"/>
      <c r="AQ365" s="1074"/>
      <c r="AR365" s="1074"/>
      <c r="AS365" s="1074"/>
      <c r="AT365" s="1075"/>
    </row>
    <row r="366" ht="14.25" customHeight="1">
      <c r="A366" s="1116"/>
      <c r="B366" s="1120"/>
      <c r="C366" s="1100"/>
      <c r="D366" s="1100"/>
      <c r="E366" s="1100"/>
      <c r="F366" s="1100"/>
      <c r="G366" s="1100"/>
      <c r="H366" s="1100"/>
      <c r="I366" s="1100"/>
      <c r="J366" s="1100"/>
      <c r="K366" s="1074"/>
      <c r="L366" s="1074"/>
      <c r="M366" s="1074"/>
      <c r="N366" s="1074"/>
      <c r="O366" s="1074"/>
      <c r="P366" s="1074"/>
      <c r="Q366" s="1074"/>
      <c r="R366" s="1074"/>
      <c r="S366" s="1074"/>
      <c r="T366" s="1074"/>
      <c r="U366" s="1074"/>
      <c r="V366" s="1074"/>
      <c r="W366" s="1074"/>
      <c r="X366" s="1074"/>
      <c r="Y366" s="1074"/>
      <c r="Z366" s="1074"/>
      <c r="AA366" s="1074"/>
      <c r="AB366" s="1074"/>
      <c r="AC366" s="1074"/>
      <c r="AD366" s="1074"/>
      <c r="AE366" s="1074"/>
      <c r="AF366" s="1074"/>
      <c r="AG366" s="1074"/>
      <c r="AH366" s="1074"/>
      <c r="AI366" s="1074"/>
      <c r="AJ366" s="1074"/>
      <c r="AK366" s="1074"/>
      <c r="AL366" s="1074"/>
      <c r="AM366" s="1074"/>
      <c r="AN366" s="1074"/>
      <c r="AO366" s="1074"/>
      <c r="AP366" s="1074"/>
      <c r="AQ366" s="1074"/>
      <c r="AR366" s="1074"/>
      <c r="AS366" s="1074"/>
      <c r="AT366" s="1075"/>
    </row>
    <row r="367" ht="14.25" customHeight="1">
      <c r="A367" s="1116"/>
      <c r="B367" s="1120"/>
      <c r="C367" s="1100"/>
      <c r="D367" s="1100"/>
      <c r="E367" s="1100"/>
      <c r="F367" s="1100"/>
      <c r="G367" s="1100"/>
      <c r="H367" s="1100"/>
      <c r="I367" s="1100"/>
      <c r="J367" s="1100"/>
      <c r="K367" s="1074"/>
      <c r="L367" s="1074"/>
      <c r="M367" s="1074"/>
      <c r="N367" s="1074"/>
      <c r="O367" s="1074"/>
      <c r="P367" s="1074"/>
      <c r="Q367" s="1074"/>
      <c r="R367" s="1074"/>
      <c r="S367" s="1074"/>
      <c r="T367" s="1074"/>
      <c r="U367" s="1074"/>
      <c r="V367" s="1074"/>
      <c r="W367" s="1074"/>
      <c r="X367" s="1074"/>
      <c r="Y367" s="1074"/>
      <c r="Z367" s="1074"/>
      <c r="AA367" s="1074"/>
      <c r="AB367" s="1074"/>
      <c r="AC367" s="1074"/>
      <c r="AD367" s="1074"/>
      <c r="AE367" s="1074"/>
      <c r="AF367" s="1074"/>
      <c r="AG367" s="1074"/>
      <c r="AH367" s="1074"/>
      <c r="AI367" s="1074"/>
      <c r="AJ367" s="1074"/>
      <c r="AK367" s="1074"/>
      <c r="AL367" s="1074"/>
      <c r="AM367" s="1074"/>
      <c r="AN367" s="1074"/>
      <c r="AO367" s="1074"/>
      <c r="AP367" s="1074"/>
      <c r="AQ367" s="1074"/>
      <c r="AR367" s="1074"/>
      <c r="AS367" s="1074"/>
      <c r="AT367" s="1075"/>
    </row>
    <row r="368" ht="14.25" customHeight="1">
      <c r="A368" s="1116"/>
      <c r="B368" s="1120"/>
      <c r="C368" s="1100"/>
      <c r="D368" s="1100"/>
      <c r="E368" s="1100"/>
      <c r="F368" s="1100"/>
      <c r="G368" s="1100"/>
      <c r="H368" s="1100"/>
      <c r="I368" s="1100"/>
      <c r="J368" s="1100"/>
      <c r="K368" s="1074"/>
      <c r="L368" s="1074"/>
      <c r="M368" s="1074"/>
      <c r="N368" s="1074"/>
      <c r="O368" s="1074"/>
      <c r="P368" s="1074"/>
      <c r="Q368" s="1074"/>
      <c r="R368" s="1074"/>
      <c r="S368" s="1074"/>
      <c r="T368" s="1074"/>
      <c r="U368" s="1074"/>
      <c r="V368" s="1074"/>
      <c r="W368" s="1074"/>
      <c r="X368" s="1074"/>
      <c r="Y368" s="1074"/>
      <c r="Z368" s="1074"/>
      <c r="AA368" s="1074"/>
      <c r="AB368" s="1074"/>
      <c r="AC368" s="1074"/>
      <c r="AD368" s="1074"/>
      <c r="AE368" s="1074"/>
      <c r="AF368" s="1074"/>
      <c r="AG368" s="1074"/>
      <c r="AH368" s="1074"/>
      <c r="AI368" s="1074"/>
      <c r="AJ368" s="1074"/>
      <c r="AK368" s="1074"/>
      <c r="AL368" s="1074"/>
      <c r="AM368" s="1074"/>
      <c r="AN368" s="1074"/>
      <c r="AO368" s="1074"/>
      <c r="AP368" s="1074"/>
      <c r="AQ368" s="1074"/>
      <c r="AR368" s="1074"/>
      <c r="AS368" s="1074"/>
      <c r="AT368" s="1075"/>
    </row>
    <row r="369" ht="14.25" customHeight="1">
      <c r="A369" s="1116"/>
      <c r="B369" s="1120"/>
      <c r="C369" s="1100"/>
      <c r="D369" s="1100"/>
      <c r="E369" s="1100"/>
      <c r="F369" s="1100"/>
      <c r="G369" s="1100"/>
      <c r="H369" s="1100"/>
      <c r="I369" s="1100"/>
      <c r="J369" s="1100"/>
      <c r="K369" s="1074"/>
      <c r="L369" s="1074"/>
      <c r="M369" s="1074"/>
      <c r="N369" s="1074"/>
      <c r="O369" s="1074"/>
      <c r="P369" s="1074"/>
      <c r="Q369" s="1074"/>
      <c r="R369" s="1074"/>
      <c r="S369" s="1074"/>
      <c r="T369" s="1074"/>
      <c r="U369" s="1074"/>
      <c r="V369" s="1074"/>
      <c r="W369" s="1074"/>
      <c r="X369" s="1074"/>
      <c r="Y369" s="1074"/>
      <c r="Z369" s="1074"/>
      <c r="AA369" s="1074"/>
      <c r="AB369" s="1074"/>
      <c r="AC369" s="1074"/>
      <c r="AD369" s="1074"/>
      <c r="AE369" s="1074"/>
      <c r="AF369" s="1074"/>
      <c r="AG369" s="1074"/>
      <c r="AH369" s="1074"/>
      <c r="AI369" s="1074"/>
      <c r="AJ369" s="1074"/>
      <c r="AK369" s="1074"/>
      <c r="AL369" s="1074"/>
      <c r="AM369" s="1074"/>
      <c r="AN369" s="1074"/>
      <c r="AO369" s="1074"/>
      <c r="AP369" s="1074"/>
      <c r="AQ369" s="1074"/>
      <c r="AR369" s="1074"/>
      <c r="AS369" s="1074"/>
      <c r="AT369" s="1075"/>
    </row>
    <row r="370" ht="14.25" customHeight="1">
      <c r="A370" s="1116"/>
      <c r="B370" s="1120"/>
      <c r="C370" s="1100"/>
      <c r="D370" s="1100"/>
      <c r="E370" s="1100"/>
      <c r="F370" s="1100"/>
      <c r="G370" s="1100"/>
      <c r="H370" s="1100"/>
      <c r="I370" s="1100"/>
      <c r="J370" s="1100"/>
      <c r="K370" s="1074"/>
      <c r="L370" s="1074"/>
      <c r="M370" s="1074"/>
      <c r="N370" s="1074"/>
      <c r="O370" s="1074"/>
      <c r="P370" s="1074"/>
      <c r="Q370" s="1074"/>
      <c r="R370" s="1074"/>
      <c r="S370" s="1074"/>
      <c r="T370" s="1074"/>
      <c r="U370" s="1074"/>
      <c r="V370" s="1074"/>
      <c r="W370" s="1074"/>
      <c r="X370" s="1074"/>
      <c r="Y370" s="1074"/>
      <c r="Z370" s="1074"/>
      <c r="AA370" s="1074"/>
      <c r="AB370" s="1074"/>
      <c r="AC370" s="1074"/>
      <c r="AD370" s="1074"/>
      <c r="AE370" s="1074"/>
      <c r="AF370" s="1074"/>
      <c r="AG370" s="1074"/>
      <c r="AH370" s="1074"/>
      <c r="AI370" s="1074"/>
      <c r="AJ370" s="1074"/>
      <c r="AK370" s="1074"/>
      <c r="AL370" s="1074"/>
      <c r="AM370" s="1074"/>
      <c r="AN370" s="1074"/>
      <c r="AO370" s="1074"/>
      <c r="AP370" s="1074"/>
      <c r="AQ370" s="1074"/>
      <c r="AR370" s="1074"/>
      <c r="AS370" s="1074"/>
      <c r="AT370" s="1075"/>
    </row>
    <row r="371" ht="14.25" customHeight="1">
      <c r="A371" s="1116"/>
      <c r="B371" s="1120"/>
      <c r="C371" s="1100"/>
      <c r="D371" s="1100"/>
      <c r="E371" s="1100"/>
      <c r="F371" s="1100"/>
      <c r="G371" s="1100"/>
      <c r="H371" s="1100"/>
      <c r="I371" s="1100"/>
      <c r="J371" s="1100"/>
      <c r="K371" s="1074"/>
      <c r="L371" s="1074"/>
      <c r="M371" s="1074"/>
      <c r="N371" s="1074"/>
      <c r="O371" s="1074"/>
      <c r="P371" s="1074"/>
      <c r="Q371" s="1074"/>
      <c r="R371" s="1074"/>
      <c r="S371" s="1074"/>
      <c r="T371" s="1074"/>
      <c r="U371" s="1074"/>
      <c r="V371" s="1074"/>
      <c r="W371" s="1074"/>
      <c r="X371" s="1074"/>
      <c r="Y371" s="1074"/>
      <c r="Z371" s="1074"/>
      <c r="AA371" s="1074"/>
      <c r="AB371" s="1074"/>
      <c r="AC371" s="1074"/>
      <c r="AD371" s="1074"/>
      <c r="AE371" s="1074"/>
      <c r="AF371" s="1074"/>
      <c r="AG371" s="1074"/>
      <c r="AH371" s="1074"/>
      <c r="AI371" s="1074"/>
      <c r="AJ371" s="1074"/>
      <c r="AK371" s="1074"/>
      <c r="AL371" s="1074"/>
      <c r="AM371" s="1074"/>
      <c r="AN371" s="1074"/>
      <c r="AO371" s="1074"/>
      <c r="AP371" s="1074"/>
      <c r="AQ371" s="1074"/>
      <c r="AR371" s="1074"/>
      <c r="AS371" s="1074"/>
      <c r="AT371" s="1075"/>
    </row>
    <row r="372" ht="14.25" customHeight="1">
      <c r="A372" s="1116"/>
      <c r="B372" s="1120"/>
      <c r="C372" s="1100"/>
      <c r="D372" s="1100"/>
      <c r="E372" s="1100"/>
      <c r="F372" s="1100"/>
      <c r="G372" s="1100"/>
      <c r="H372" s="1100"/>
      <c r="I372" s="1100"/>
      <c r="J372" s="1100"/>
      <c r="K372" s="1074"/>
      <c r="L372" s="1074"/>
      <c r="M372" s="1074"/>
      <c r="N372" s="1074"/>
      <c r="O372" s="1074"/>
      <c r="P372" s="1074"/>
      <c r="Q372" s="1074"/>
      <c r="R372" s="1074"/>
      <c r="S372" s="1074"/>
      <c r="T372" s="1074"/>
      <c r="U372" s="1074"/>
      <c r="V372" s="1074"/>
      <c r="W372" s="1074"/>
      <c r="X372" s="1074"/>
      <c r="Y372" s="1074"/>
      <c r="Z372" s="1074"/>
      <c r="AA372" s="1074"/>
      <c r="AB372" s="1074"/>
      <c r="AC372" s="1074"/>
      <c r="AD372" s="1074"/>
      <c r="AE372" s="1074"/>
      <c r="AF372" s="1074"/>
      <c r="AG372" s="1074"/>
      <c r="AH372" s="1074"/>
      <c r="AI372" s="1074"/>
      <c r="AJ372" s="1074"/>
      <c r="AK372" s="1074"/>
      <c r="AL372" s="1074"/>
      <c r="AM372" s="1074"/>
      <c r="AN372" s="1074"/>
      <c r="AO372" s="1074"/>
      <c r="AP372" s="1074"/>
      <c r="AQ372" s="1074"/>
      <c r="AR372" s="1074"/>
      <c r="AS372" s="1074"/>
      <c r="AT372" s="1075"/>
    </row>
    <row r="373" ht="14.25" customHeight="1">
      <c r="A373" s="1116"/>
      <c r="B373" s="1120"/>
      <c r="C373" s="1100"/>
      <c r="D373" s="1100"/>
      <c r="E373" s="1100"/>
      <c r="F373" s="1100"/>
      <c r="G373" s="1100"/>
      <c r="H373" s="1100"/>
      <c r="I373" s="1100"/>
      <c r="J373" s="1100"/>
      <c r="K373" s="1074"/>
      <c r="L373" s="1074"/>
      <c r="M373" s="1074"/>
      <c r="N373" s="1074"/>
      <c r="O373" s="1074"/>
      <c r="P373" s="1074"/>
      <c r="Q373" s="1074"/>
      <c r="R373" s="1074"/>
      <c r="S373" s="1074"/>
      <c r="T373" s="1074"/>
      <c r="U373" s="1074"/>
      <c r="V373" s="1074"/>
      <c r="W373" s="1074"/>
      <c r="X373" s="1074"/>
      <c r="Y373" s="1074"/>
      <c r="Z373" s="1074"/>
      <c r="AA373" s="1074"/>
      <c r="AB373" s="1074"/>
      <c r="AC373" s="1074"/>
      <c r="AD373" s="1074"/>
      <c r="AE373" s="1074"/>
      <c r="AF373" s="1074"/>
      <c r="AG373" s="1074"/>
      <c r="AH373" s="1074"/>
      <c r="AI373" s="1074"/>
      <c r="AJ373" s="1074"/>
      <c r="AK373" s="1074"/>
      <c r="AL373" s="1074"/>
      <c r="AM373" s="1074"/>
      <c r="AN373" s="1074"/>
      <c r="AO373" s="1074"/>
      <c r="AP373" s="1074"/>
      <c r="AQ373" s="1074"/>
      <c r="AR373" s="1074"/>
      <c r="AS373" s="1074"/>
      <c r="AT373" s="1075"/>
    </row>
    <row r="374" ht="14.25" customHeight="1">
      <c r="A374" s="1116"/>
      <c r="B374" s="1120"/>
      <c r="C374" s="1100"/>
      <c r="D374" s="1100"/>
      <c r="E374" s="1100"/>
      <c r="F374" s="1100"/>
      <c r="G374" s="1100"/>
      <c r="H374" s="1100"/>
      <c r="I374" s="1100"/>
      <c r="J374" s="1100"/>
      <c r="K374" s="1074"/>
      <c r="L374" s="1074"/>
      <c r="M374" s="1074"/>
      <c r="N374" s="1074"/>
      <c r="O374" s="1074"/>
      <c r="P374" s="1074"/>
      <c r="Q374" s="1074"/>
      <c r="R374" s="1074"/>
      <c r="S374" s="1074"/>
      <c r="T374" s="1074"/>
      <c r="U374" s="1074"/>
      <c r="V374" s="1074"/>
      <c r="W374" s="1074"/>
      <c r="X374" s="1074"/>
      <c r="Y374" s="1074"/>
      <c r="Z374" s="1074"/>
      <c r="AA374" s="1074"/>
      <c r="AB374" s="1074"/>
      <c r="AC374" s="1074"/>
      <c r="AD374" s="1074"/>
      <c r="AE374" s="1074"/>
      <c r="AF374" s="1074"/>
      <c r="AG374" s="1074"/>
      <c r="AH374" s="1074"/>
      <c r="AI374" s="1074"/>
      <c r="AJ374" s="1074"/>
      <c r="AK374" s="1074"/>
      <c r="AL374" s="1074"/>
      <c r="AM374" s="1074"/>
      <c r="AN374" s="1074"/>
      <c r="AO374" s="1074"/>
      <c r="AP374" s="1074"/>
      <c r="AQ374" s="1074"/>
      <c r="AR374" s="1074"/>
      <c r="AS374" s="1074"/>
      <c r="AT374" s="1075"/>
    </row>
    <row r="375" ht="14.25" customHeight="1">
      <c r="A375" s="1116"/>
      <c r="B375" s="1120"/>
      <c r="C375" s="1100"/>
      <c r="D375" s="1100"/>
      <c r="E375" s="1100"/>
      <c r="F375" s="1100"/>
      <c r="G375" s="1100"/>
      <c r="H375" s="1100"/>
      <c r="I375" s="1100"/>
      <c r="J375" s="1100"/>
      <c r="K375" s="1074"/>
      <c r="L375" s="1074"/>
      <c r="M375" s="1074"/>
      <c r="N375" s="1074"/>
      <c r="O375" s="1074"/>
      <c r="P375" s="1074"/>
      <c r="Q375" s="1074"/>
      <c r="R375" s="1074"/>
      <c r="S375" s="1074"/>
      <c r="T375" s="1074"/>
      <c r="U375" s="1074"/>
      <c r="V375" s="1074"/>
      <c r="W375" s="1074"/>
      <c r="X375" s="1074"/>
      <c r="Y375" s="1074"/>
      <c r="Z375" s="1074"/>
      <c r="AA375" s="1074"/>
      <c r="AB375" s="1074"/>
      <c r="AC375" s="1074"/>
      <c r="AD375" s="1074"/>
      <c r="AE375" s="1074"/>
      <c r="AF375" s="1074"/>
      <c r="AG375" s="1074"/>
      <c r="AH375" s="1074"/>
      <c r="AI375" s="1074"/>
      <c r="AJ375" s="1074"/>
      <c r="AK375" s="1074"/>
      <c r="AL375" s="1074"/>
      <c r="AM375" s="1074"/>
      <c r="AN375" s="1074"/>
      <c r="AO375" s="1074"/>
      <c r="AP375" s="1074"/>
      <c r="AQ375" s="1074"/>
      <c r="AR375" s="1074"/>
      <c r="AS375" s="1074"/>
      <c r="AT375" s="1075"/>
    </row>
    <row r="376" ht="14.25" customHeight="1">
      <c r="A376" s="1116"/>
      <c r="B376" s="1120"/>
      <c r="C376" s="1100"/>
      <c r="D376" s="1100"/>
      <c r="E376" s="1100"/>
      <c r="F376" s="1100"/>
      <c r="G376" s="1100"/>
      <c r="H376" s="1100"/>
      <c r="I376" s="1100"/>
      <c r="J376" s="1100"/>
      <c r="K376" s="1074"/>
      <c r="L376" s="1074"/>
      <c r="M376" s="1074"/>
      <c r="N376" s="1074"/>
      <c r="O376" s="1074"/>
      <c r="P376" s="1074"/>
      <c r="Q376" s="1074"/>
      <c r="R376" s="1074"/>
      <c r="S376" s="1074"/>
      <c r="T376" s="1074"/>
      <c r="U376" s="1074"/>
      <c r="V376" s="1074"/>
      <c r="W376" s="1074"/>
      <c r="X376" s="1074"/>
      <c r="Y376" s="1074"/>
      <c r="Z376" s="1074"/>
      <c r="AA376" s="1074"/>
      <c r="AB376" s="1074"/>
      <c r="AC376" s="1074"/>
      <c r="AD376" s="1074"/>
      <c r="AE376" s="1074"/>
      <c r="AF376" s="1074"/>
      <c r="AG376" s="1074"/>
      <c r="AH376" s="1074"/>
      <c r="AI376" s="1074"/>
      <c r="AJ376" s="1074"/>
      <c r="AK376" s="1074"/>
      <c r="AL376" s="1074"/>
      <c r="AM376" s="1074"/>
      <c r="AN376" s="1074"/>
      <c r="AO376" s="1074"/>
      <c r="AP376" s="1074"/>
      <c r="AQ376" s="1074"/>
      <c r="AR376" s="1074"/>
      <c r="AS376" s="1074"/>
      <c r="AT376" s="1075"/>
    </row>
    <row r="377" ht="14.25" customHeight="1">
      <c r="A377" s="1116"/>
      <c r="B377" s="1120"/>
      <c r="C377" s="1100"/>
      <c r="D377" s="1100"/>
      <c r="E377" s="1100"/>
      <c r="F377" s="1100"/>
      <c r="G377" s="1100"/>
      <c r="H377" s="1100"/>
      <c r="I377" s="1100"/>
      <c r="J377" s="1100"/>
      <c r="K377" s="1074"/>
      <c r="L377" s="1074"/>
      <c r="M377" s="1074"/>
      <c r="N377" s="1074"/>
      <c r="O377" s="1074"/>
      <c r="P377" s="1074"/>
      <c r="Q377" s="1074"/>
      <c r="R377" s="1074"/>
      <c r="S377" s="1074"/>
      <c r="T377" s="1074"/>
      <c r="U377" s="1074"/>
      <c r="V377" s="1074"/>
      <c r="W377" s="1074"/>
      <c r="X377" s="1074"/>
      <c r="Y377" s="1074"/>
      <c r="Z377" s="1074"/>
      <c r="AA377" s="1074"/>
      <c r="AB377" s="1074"/>
      <c r="AC377" s="1074"/>
      <c r="AD377" s="1074"/>
      <c r="AE377" s="1074"/>
      <c r="AF377" s="1074"/>
      <c r="AG377" s="1074"/>
      <c r="AH377" s="1074"/>
      <c r="AI377" s="1074"/>
      <c r="AJ377" s="1074"/>
      <c r="AK377" s="1074"/>
      <c r="AL377" s="1074"/>
      <c r="AM377" s="1074"/>
      <c r="AN377" s="1074"/>
      <c r="AO377" s="1074"/>
      <c r="AP377" s="1074"/>
      <c r="AQ377" s="1074"/>
      <c r="AR377" s="1074"/>
      <c r="AS377" s="1074"/>
      <c r="AT377" s="1075"/>
    </row>
    <row r="378" ht="14.25" customHeight="1">
      <c r="A378" s="1116"/>
      <c r="B378" s="1120"/>
      <c r="C378" s="1100"/>
      <c r="D378" s="1100"/>
      <c r="E378" s="1100"/>
      <c r="F378" s="1100"/>
      <c r="G378" s="1100"/>
      <c r="H378" s="1100"/>
      <c r="I378" s="1100"/>
      <c r="J378" s="1100"/>
      <c r="K378" s="1074"/>
      <c r="L378" s="1074"/>
      <c r="M378" s="1074"/>
      <c r="N378" s="1074"/>
      <c r="O378" s="1074"/>
      <c r="P378" s="1074"/>
      <c r="Q378" s="1074"/>
      <c r="R378" s="1074"/>
      <c r="S378" s="1074"/>
      <c r="T378" s="1074"/>
      <c r="U378" s="1074"/>
      <c r="V378" s="1074"/>
      <c r="W378" s="1074"/>
      <c r="X378" s="1074"/>
      <c r="Y378" s="1074"/>
      <c r="Z378" s="1074"/>
      <c r="AA378" s="1074"/>
      <c r="AB378" s="1074"/>
      <c r="AC378" s="1074"/>
      <c r="AD378" s="1074"/>
      <c r="AE378" s="1074"/>
      <c r="AF378" s="1074"/>
      <c r="AG378" s="1074"/>
      <c r="AH378" s="1074"/>
      <c r="AI378" s="1074"/>
      <c r="AJ378" s="1074"/>
      <c r="AK378" s="1074"/>
      <c r="AL378" s="1074"/>
      <c r="AM378" s="1074"/>
      <c r="AN378" s="1074"/>
      <c r="AO378" s="1074"/>
      <c r="AP378" s="1074"/>
      <c r="AQ378" s="1074"/>
      <c r="AR378" s="1074"/>
      <c r="AS378" s="1074"/>
      <c r="AT378" s="1075"/>
    </row>
    <row r="379" ht="14.25" customHeight="1">
      <c r="A379" s="1116"/>
      <c r="B379" s="1120"/>
      <c r="C379" s="1100"/>
      <c r="D379" s="1100"/>
      <c r="E379" s="1100"/>
      <c r="F379" s="1100"/>
      <c r="G379" s="1100"/>
      <c r="H379" s="1100"/>
      <c r="I379" s="1100"/>
      <c r="J379" s="1100"/>
      <c r="K379" s="1074"/>
      <c r="L379" s="1074"/>
      <c r="M379" s="1074"/>
      <c r="N379" s="1074"/>
      <c r="O379" s="1074"/>
      <c r="P379" s="1074"/>
      <c r="Q379" s="1074"/>
      <c r="R379" s="1074"/>
      <c r="S379" s="1074"/>
      <c r="T379" s="1074"/>
      <c r="U379" s="1074"/>
      <c r="V379" s="1074"/>
      <c r="W379" s="1074"/>
      <c r="X379" s="1074"/>
      <c r="Y379" s="1074"/>
      <c r="Z379" s="1074"/>
      <c r="AA379" s="1074"/>
      <c r="AB379" s="1074"/>
      <c r="AC379" s="1074"/>
      <c r="AD379" s="1074"/>
      <c r="AE379" s="1074"/>
      <c r="AF379" s="1074"/>
      <c r="AG379" s="1074"/>
      <c r="AH379" s="1074"/>
      <c r="AI379" s="1074"/>
      <c r="AJ379" s="1074"/>
      <c r="AK379" s="1074"/>
      <c r="AL379" s="1074"/>
      <c r="AM379" s="1074"/>
      <c r="AN379" s="1074"/>
      <c r="AO379" s="1074"/>
      <c r="AP379" s="1074"/>
      <c r="AQ379" s="1074"/>
      <c r="AR379" s="1074"/>
      <c r="AS379" s="1074"/>
      <c r="AT379" s="1075"/>
    </row>
    <row r="380" ht="14.25" customHeight="1">
      <c r="A380" s="1116"/>
      <c r="B380" s="1120"/>
      <c r="C380" s="1100"/>
      <c r="D380" s="1100"/>
      <c r="E380" s="1100"/>
      <c r="F380" s="1100"/>
      <c r="G380" s="1100"/>
      <c r="H380" s="1100"/>
      <c r="I380" s="1100"/>
      <c r="J380" s="1100"/>
      <c r="K380" s="1074"/>
      <c r="L380" s="1074"/>
      <c r="M380" s="1074"/>
      <c r="N380" s="1074"/>
      <c r="O380" s="1074"/>
      <c r="P380" s="1074"/>
      <c r="Q380" s="1074"/>
      <c r="R380" s="1074"/>
      <c r="S380" s="1074"/>
      <c r="T380" s="1074"/>
      <c r="U380" s="1074"/>
      <c r="V380" s="1074"/>
      <c r="W380" s="1074"/>
      <c r="X380" s="1074"/>
      <c r="Y380" s="1074"/>
      <c r="Z380" s="1074"/>
      <c r="AA380" s="1074"/>
      <c r="AB380" s="1074"/>
      <c r="AC380" s="1074"/>
      <c r="AD380" s="1074"/>
      <c r="AE380" s="1074"/>
      <c r="AF380" s="1074"/>
      <c r="AG380" s="1074"/>
      <c r="AH380" s="1074"/>
      <c r="AI380" s="1074"/>
      <c r="AJ380" s="1074"/>
      <c r="AK380" s="1074"/>
      <c r="AL380" s="1074"/>
      <c r="AM380" s="1074"/>
      <c r="AN380" s="1074"/>
      <c r="AO380" s="1074"/>
      <c r="AP380" s="1074"/>
      <c r="AQ380" s="1074"/>
      <c r="AR380" s="1074"/>
      <c r="AS380" s="1074"/>
      <c r="AT380" s="1075"/>
    </row>
    <row r="381" ht="14.25" customHeight="1">
      <c r="A381" s="1116"/>
      <c r="B381" s="1120"/>
      <c r="C381" s="1100"/>
      <c r="D381" s="1100"/>
      <c r="E381" s="1100"/>
      <c r="F381" s="1100"/>
      <c r="G381" s="1100"/>
      <c r="H381" s="1100"/>
      <c r="I381" s="1100"/>
      <c r="J381" s="1100"/>
      <c r="K381" s="1074"/>
      <c r="L381" s="1074"/>
      <c r="M381" s="1074"/>
      <c r="N381" s="1074"/>
      <c r="O381" s="1074"/>
      <c r="P381" s="1074"/>
      <c r="Q381" s="1074"/>
      <c r="R381" s="1074"/>
      <c r="S381" s="1074"/>
      <c r="T381" s="1074"/>
      <c r="U381" s="1074"/>
      <c r="V381" s="1074"/>
      <c r="W381" s="1074"/>
      <c r="X381" s="1074"/>
      <c r="Y381" s="1074"/>
      <c r="Z381" s="1074"/>
      <c r="AA381" s="1074"/>
      <c r="AB381" s="1074"/>
      <c r="AC381" s="1074"/>
      <c r="AD381" s="1074"/>
      <c r="AE381" s="1074"/>
      <c r="AF381" s="1074"/>
      <c r="AG381" s="1074"/>
      <c r="AH381" s="1074"/>
      <c r="AI381" s="1074"/>
      <c r="AJ381" s="1074"/>
      <c r="AK381" s="1074"/>
      <c r="AL381" s="1074"/>
      <c r="AM381" s="1074"/>
      <c r="AN381" s="1074"/>
      <c r="AO381" s="1074"/>
      <c r="AP381" s="1074"/>
      <c r="AQ381" s="1074"/>
      <c r="AR381" s="1074"/>
      <c r="AS381" s="1074"/>
      <c r="AT381" s="1075"/>
    </row>
    <row r="382" ht="14.25" customHeight="1">
      <c r="A382" s="1116"/>
      <c r="B382" s="1120"/>
      <c r="C382" s="1100"/>
      <c r="D382" s="1100"/>
      <c r="E382" s="1100"/>
      <c r="F382" s="1100"/>
      <c r="G382" s="1100"/>
      <c r="H382" s="1100"/>
      <c r="I382" s="1100"/>
      <c r="J382" s="1100"/>
      <c r="K382" s="1074"/>
      <c r="L382" s="1074"/>
      <c r="M382" s="1074"/>
      <c r="N382" s="1074"/>
      <c r="O382" s="1074"/>
      <c r="P382" s="1074"/>
      <c r="Q382" s="1074"/>
      <c r="R382" s="1074"/>
      <c r="S382" s="1074"/>
      <c r="T382" s="1074"/>
      <c r="U382" s="1074"/>
      <c r="V382" s="1074"/>
      <c r="W382" s="1074"/>
      <c r="X382" s="1074"/>
      <c r="Y382" s="1074"/>
      <c r="Z382" s="1074"/>
      <c r="AA382" s="1074"/>
      <c r="AB382" s="1074"/>
      <c r="AC382" s="1074"/>
      <c r="AD382" s="1074"/>
      <c r="AE382" s="1074"/>
      <c r="AF382" s="1074"/>
      <c r="AG382" s="1074"/>
      <c r="AH382" s="1074"/>
      <c r="AI382" s="1074"/>
      <c r="AJ382" s="1074"/>
      <c r="AK382" s="1074"/>
      <c r="AL382" s="1074"/>
      <c r="AM382" s="1074"/>
      <c r="AN382" s="1074"/>
      <c r="AO382" s="1074"/>
      <c r="AP382" s="1074"/>
      <c r="AQ382" s="1074"/>
      <c r="AR382" s="1074"/>
      <c r="AS382" s="1074"/>
      <c r="AT382" s="1075"/>
    </row>
    <row r="383" ht="14.25" customHeight="1">
      <c r="A383" s="1116"/>
      <c r="B383" s="1120"/>
      <c r="C383" s="1100"/>
      <c r="D383" s="1100"/>
      <c r="E383" s="1100"/>
      <c r="F383" s="1100"/>
      <c r="G383" s="1100"/>
      <c r="H383" s="1100"/>
      <c r="I383" s="1100"/>
      <c r="J383" s="1100"/>
      <c r="K383" s="1074"/>
      <c r="L383" s="1074"/>
      <c r="M383" s="1074"/>
      <c r="N383" s="1074"/>
      <c r="O383" s="1074"/>
      <c r="P383" s="1074"/>
      <c r="Q383" s="1074"/>
      <c r="R383" s="1074"/>
      <c r="S383" s="1074"/>
      <c r="T383" s="1074"/>
      <c r="U383" s="1074"/>
      <c r="V383" s="1074"/>
      <c r="W383" s="1074"/>
      <c r="X383" s="1074"/>
      <c r="Y383" s="1074"/>
      <c r="Z383" s="1074"/>
      <c r="AA383" s="1074"/>
      <c r="AB383" s="1074"/>
      <c r="AC383" s="1074"/>
      <c r="AD383" s="1074"/>
      <c r="AE383" s="1074"/>
      <c r="AF383" s="1074"/>
      <c r="AG383" s="1074"/>
      <c r="AH383" s="1074"/>
      <c r="AI383" s="1074"/>
      <c r="AJ383" s="1074"/>
      <c r="AK383" s="1074"/>
      <c r="AL383" s="1074"/>
      <c r="AM383" s="1074"/>
      <c r="AN383" s="1074"/>
      <c r="AO383" s="1074"/>
      <c r="AP383" s="1074"/>
      <c r="AQ383" s="1074"/>
      <c r="AR383" s="1074"/>
      <c r="AS383" s="1074"/>
      <c r="AT383" s="1075"/>
    </row>
    <row r="384" ht="14.25" customHeight="1">
      <c r="A384" s="1116"/>
      <c r="B384" s="1120"/>
      <c r="C384" s="1100"/>
      <c r="D384" s="1100"/>
      <c r="E384" s="1100"/>
      <c r="F384" s="1100"/>
      <c r="G384" s="1100"/>
      <c r="H384" s="1100"/>
      <c r="I384" s="1100"/>
      <c r="J384" s="1100"/>
      <c r="K384" s="1074"/>
      <c r="L384" s="1074"/>
      <c r="M384" s="1074"/>
      <c r="N384" s="1074"/>
      <c r="O384" s="1074"/>
      <c r="P384" s="1074"/>
      <c r="Q384" s="1074"/>
      <c r="R384" s="1074"/>
      <c r="S384" s="1074"/>
      <c r="T384" s="1074"/>
      <c r="U384" s="1074"/>
      <c r="V384" s="1074"/>
      <c r="W384" s="1074"/>
      <c r="X384" s="1074"/>
      <c r="Y384" s="1074"/>
      <c r="Z384" s="1074"/>
      <c r="AA384" s="1074"/>
      <c r="AB384" s="1074"/>
      <c r="AC384" s="1074"/>
      <c r="AD384" s="1074"/>
      <c r="AE384" s="1074"/>
      <c r="AF384" s="1074"/>
      <c r="AG384" s="1074"/>
      <c r="AH384" s="1074"/>
      <c r="AI384" s="1074"/>
      <c r="AJ384" s="1074"/>
      <c r="AK384" s="1074"/>
      <c r="AL384" s="1074"/>
      <c r="AM384" s="1074"/>
      <c r="AN384" s="1074"/>
      <c r="AO384" s="1074"/>
      <c r="AP384" s="1074"/>
      <c r="AQ384" s="1074"/>
      <c r="AR384" s="1074"/>
      <c r="AS384" s="1074"/>
      <c r="AT384" s="1075"/>
    </row>
    <row r="385" ht="14.25" customHeight="1">
      <c r="A385" s="1116"/>
      <c r="B385" s="1120"/>
      <c r="C385" s="1100"/>
      <c r="D385" s="1100"/>
      <c r="E385" s="1100"/>
      <c r="F385" s="1100"/>
      <c r="G385" s="1100"/>
      <c r="H385" s="1100"/>
      <c r="I385" s="1100"/>
      <c r="J385" s="1100"/>
      <c r="K385" s="1074"/>
      <c r="L385" s="1074"/>
      <c r="M385" s="1074"/>
      <c r="N385" s="1074"/>
      <c r="O385" s="1074"/>
      <c r="P385" s="1074"/>
      <c r="Q385" s="1074"/>
      <c r="R385" s="1074"/>
      <c r="S385" s="1074"/>
      <c r="T385" s="1074"/>
      <c r="U385" s="1074"/>
      <c r="V385" s="1074"/>
      <c r="W385" s="1074"/>
      <c r="X385" s="1074"/>
      <c r="Y385" s="1074"/>
      <c r="Z385" s="1074"/>
      <c r="AA385" s="1074"/>
      <c r="AB385" s="1074"/>
      <c r="AC385" s="1074"/>
      <c r="AD385" s="1074"/>
      <c r="AE385" s="1074"/>
      <c r="AF385" s="1074"/>
      <c r="AG385" s="1074"/>
      <c r="AH385" s="1074"/>
      <c r="AI385" s="1074"/>
      <c r="AJ385" s="1074"/>
      <c r="AK385" s="1074"/>
      <c r="AL385" s="1074"/>
      <c r="AM385" s="1074"/>
      <c r="AN385" s="1074"/>
      <c r="AO385" s="1074"/>
      <c r="AP385" s="1074"/>
      <c r="AQ385" s="1074"/>
      <c r="AR385" s="1074"/>
      <c r="AS385" s="1074"/>
      <c r="AT385" s="1075"/>
    </row>
    <row r="386" ht="14.25" customHeight="1">
      <c r="A386" s="1116"/>
      <c r="B386" s="1120"/>
      <c r="C386" s="1100"/>
      <c r="D386" s="1100"/>
      <c r="E386" s="1100"/>
      <c r="F386" s="1100"/>
      <c r="G386" s="1100"/>
      <c r="H386" s="1100"/>
      <c r="I386" s="1100"/>
      <c r="J386" s="1100"/>
      <c r="K386" s="1074"/>
      <c r="L386" s="1074"/>
      <c r="M386" s="1074"/>
      <c r="N386" s="1074"/>
      <c r="O386" s="1074"/>
      <c r="P386" s="1074"/>
      <c r="Q386" s="1074"/>
      <c r="R386" s="1074"/>
      <c r="S386" s="1074"/>
      <c r="T386" s="1074"/>
      <c r="U386" s="1074"/>
      <c r="V386" s="1074"/>
      <c r="W386" s="1074"/>
      <c r="X386" s="1074"/>
      <c r="Y386" s="1074"/>
      <c r="Z386" s="1074"/>
      <c r="AA386" s="1074"/>
      <c r="AB386" s="1074"/>
      <c r="AC386" s="1074"/>
      <c r="AD386" s="1074"/>
      <c r="AE386" s="1074"/>
      <c r="AF386" s="1074"/>
      <c r="AG386" s="1074"/>
      <c r="AH386" s="1074"/>
      <c r="AI386" s="1074"/>
      <c r="AJ386" s="1074"/>
      <c r="AK386" s="1074"/>
      <c r="AL386" s="1074"/>
      <c r="AM386" s="1074"/>
      <c r="AN386" s="1074"/>
      <c r="AO386" s="1074"/>
      <c r="AP386" s="1074"/>
      <c r="AQ386" s="1074"/>
      <c r="AR386" s="1074"/>
      <c r="AS386" s="1074"/>
      <c r="AT386" s="1075"/>
    </row>
    <row r="387" ht="14.25" customHeight="1">
      <c r="A387" s="1116"/>
      <c r="B387" s="1120"/>
      <c r="C387" s="1100"/>
      <c r="D387" s="1100"/>
      <c r="E387" s="1100"/>
      <c r="F387" s="1100"/>
      <c r="G387" s="1100"/>
      <c r="H387" s="1100"/>
      <c r="I387" s="1100"/>
      <c r="J387" s="1100"/>
      <c r="K387" s="1074"/>
      <c r="L387" s="1074"/>
      <c r="M387" s="1074"/>
      <c r="N387" s="1074"/>
      <c r="O387" s="1074"/>
      <c r="P387" s="1074"/>
      <c r="Q387" s="1074"/>
      <c r="R387" s="1074"/>
      <c r="S387" s="1074"/>
      <c r="T387" s="1074"/>
      <c r="U387" s="1074"/>
      <c r="V387" s="1074"/>
      <c r="W387" s="1074"/>
      <c r="X387" s="1074"/>
      <c r="Y387" s="1074"/>
      <c r="Z387" s="1074"/>
      <c r="AA387" s="1074"/>
      <c r="AB387" s="1074"/>
      <c r="AC387" s="1074"/>
      <c r="AD387" s="1074"/>
      <c r="AE387" s="1074"/>
      <c r="AF387" s="1074"/>
      <c r="AG387" s="1074"/>
      <c r="AH387" s="1074"/>
      <c r="AI387" s="1074"/>
      <c r="AJ387" s="1074"/>
      <c r="AK387" s="1074"/>
      <c r="AL387" s="1074"/>
      <c r="AM387" s="1074"/>
      <c r="AN387" s="1074"/>
      <c r="AO387" s="1074"/>
      <c r="AP387" s="1074"/>
      <c r="AQ387" s="1074"/>
      <c r="AR387" s="1074"/>
      <c r="AS387" s="1074"/>
      <c r="AT387" s="1075"/>
    </row>
    <row r="388" ht="14.25" customHeight="1">
      <c r="A388" s="1116"/>
      <c r="B388" s="1120"/>
      <c r="C388" s="1100"/>
      <c r="D388" s="1100"/>
      <c r="E388" s="1100"/>
      <c r="F388" s="1100"/>
      <c r="G388" s="1100"/>
      <c r="H388" s="1100"/>
      <c r="I388" s="1100"/>
      <c r="J388" s="1100"/>
      <c r="K388" s="1074"/>
      <c r="L388" s="1074"/>
      <c r="M388" s="1074"/>
      <c r="N388" s="1074"/>
      <c r="O388" s="1074"/>
      <c r="P388" s="1074"/>
      <c r="Q388" s="1074"/>
      <c r="R388" s="1074"/>
      <c r="S388" s="1074"/>
      <c r="T388" s="1074"/>
      <c r="U388" s="1074"/>
      <c r="V388" s="1074"/>
      <c r="W388" s="1074"/>
      <c r="X388" s="1074"/>
      <c r="Y388" s="1074"/>
      <c r="Z388" s="1074"/>
      <c r="AA388" s="1074"/>
      <c r="AB388" s="1074"/>
      <c r="AC388" s="1074"/>
      <c r="AD388" s="1074"/>
      <c r="AE388" s="1074"/>
      <c r="AF388" s="1074"/>
      <c r="AG388" s="1074"/>
      <c r="AH388" s="1074"/>
      <c r="AI388" s="1074"/>
      <c r="AJ388" s="1074"/>
      <c r="AK388" s="1074"/>
      <c r="AL388" s="1074"/>
      <c r="AM388" s="1074"/>
      <c r="AN388" s="1074"/>
      <c r="AO388" s="1074"/>
      <c r="AP388" s="1074"/>
      <c r="AQ388" s="1074"/>
      <c r="AR388" s="1074"/>
      <c r="AS388" s="1074"/>
      <c r="AT388" s="1075"/>
    </row>
    <row r="389" ht="14.25" customHeight="1">
      <c r="A389" s="1116"/>
      <c r="B389" s="1120"/>
      <c r="C389" s="1100"/>
      <c r="D389" s="1100"/>
      <c r="E389" s="1100"/>
      <c r="F389" s="1100"/>
      <c r="G389" s="1100"/>
      <c r="H389" s="1100"/>
      <c r="I389" s="1100"/>
      <c r="J389" s="1100"/>
      <c r="K389" s="1074"/>
      <c r="L389" s="1074"/>
      <c r="M389" s="1074"/>
      <c r="N389" s="1074"/>
      <c r="O389" s="1074"/>
      <c r="P389" s="1074"/>
      <c r="Q389" s="1074"/>
      <c r="R389" s="1074"/>
      <c r="S389" s="1074"/>
      <c r="T389" s="1074"/>
      <c r="U389" s="1074"/>
      <c r="V389" s="1074"/>
      <c r="W389" s="1074"/>
      <c r="X389" s="1074"/>
      <c r="Y389" s="1074"/>
      <c r="Z389" s="1074"/>
      <c r="AA389" s="1074"/>
      <c r="AB389" s="1074"/>
      <c r="AC389" s="1074"/>
      <c r="AD389" s="1074"/>
      <c r="AE389" s="1074"/>
      <c r="AF389" s="1074"/>
      <c r="AG389" s="1074"/>
      <c r="AH389" s="1074"/>
      <c r="AI389" s="1074"/>
      <c r="AJ389" s="1074"/>
      <c r="AK389" s="1074"/>
      <c r="AL389" s="1074"/>
      <c r="AM389" s="1074"/>
      <c r="AN389" s="1074"/>
      <c r="AO389" s="1074"/>
      <c r="AP389" s="1074"/>
      <c r="AQ389" s="1074"/>
      <c r="AR389" s="1074"/>
      <c r="AS389" s="1074"/>
      <c r="AT389" s="1075"/>
    </row>
    <row r="390" ht="14.25" customHeight="1">
      <c r="A390" s="1116"/>
      <c r="B390" s="1120"/>
      <c r="C390" s="1100"/>
      <c r="D390" s="1100"/>
      <c r="E390" s="1100"/>
      <c r="F390" s="1100"/>
      <c r="G390" s="1100"/>
      <c r="H390" s="1100"/>
      <c r="I390" s="1100"/>
      <c r="J390" s="1100"/>
      <c r="K390" s="1074"/>
      <c r="L390" s="1074"/>
      <c r="M390" s="1074"/>
      <c r="N390" s="1074"/>
      <c r="O390" s="1074"/>
      <c r="P390" s="1074"/>
      <c r="Q390" s="1074"/>
      <c r="R390" s="1074"/>
      <c r="S390" s="1074"/>
      <c r="T390" s="1074"/>
      <c r="U390" s="1074"/>
      <c r="V390" s="1074"/>
      <c r="W390" s="1074"/>
      <c r="X390" s="1074"/>
      <c r="Y390" s="1074"/>
      <c r="Z390" s="1074"/>
      <c r="AA390" s="1074"/>
      <c r="AB390" s="1074"/>
      <c r="AC390" s="1074"/>
      <c r="AD390" s="1074"/>
      <c r="AE390" s="1074"/>
      <c r="AF390" s="1074"/>
      <c r="AG390" s="1074"/>
      <c r="AH390" s="1074"/>
      <c r="AI390" s="1074"/>
      <c r="AJ390" s="1074"/>
      <c r="AK390" s="1074"/>
      <c r="AL390" s="1074"/>
      <c r="AM390" s="1074"/>
      <c r="AN390" s="1074"/>
      <c r="AO390" s="1074"/>
      <c r="AP390" s="1074"/>
      <c r="AQ390" s="1074"/>
      <c r="AR390" s="1074"/>
      <c r="AS390" s="1074"/>
      <c r="AT390" s="1075"/>
    </row>
    <row r="391" ht="14.25" customHeight="1">
      <c r="A391" s="1116"/>
      <c r="B391" s="1120"/>
      <c r="C391" s="1100"/>
      <c r="D391" s="1100"/>
      <c r="E391" s="1100"/>
      <c r="F391" s="1100"/>
      <c r="G391" s="1100"/>
      <c r="H391" s="1100"/>
      <c r="I391" s="1100"/>
      <c r="J391" s="1100"/>
      <c r="K391" s="1074"/>
      <c r="L391" s="1074"/>
      <c r="M391" s="1074"/>
      <c r="N391" s="1074"/>
      <c r="O391" s="1074"/>
      <c r="P391" s="1074"/>
      <c r="Q391" s="1074"/>
      <c r="R391" s="1074"/>
      <c r="S391" s="1074"/>
      <c r="T391" s="1074"/>
      <c r="U391" s="1074"/>
      <c r="V391" s="1074"/>
      <c r="W391" s="1074"/>
      <c r="X391" s="1074"/>
      <c r="Y391" s="1074"/>
      <c r="Z391" s="1074"/>
      <c r="AA391" s="1074"/>
      <c r="AB391" s="1074"/>
      <c r="AC391" s="1074"/>
      <c r="AD391" s="1074"/>
      <c r="AE391" s="1074"/>
      <c r="AF391" s="1074"/>
      <c r="AG391" s="1074"/>
      <c r="AH391" s="1074"/>
      <c r="AI391" s="1074"/>
      <c r="AJ391" s="1074"/>
      <c r="AK391" s="1074"/>
      <c r="AL391" s="1074"/>
      <c r="AM391" s="1074"/>
      <c r="AN391" s="1074"/>
      <c r="AO391" s="1074"/>
      <c r="AP391" s="1074"/>
      <c r="AQ391" s="1074"/>
      <c r="AR391" s="1074"/>
      <c r="AS391" s="1074"/>
      <c r="AT391" s="1075"/>
    </row>
    <row r="392" ht="14.25" customHeight="1">
      <c r="A392" s="1116"/>
      <c r="B392" s="1120"/>
      <c r="C392" s="1100"/>
      <c r="D392" s="1100"/>
      <c r="E392" s="1100"/>
      <c r="F392" s="1100"/>
      <c r="G392" s="1100"/>
      <c r="H392" s="1100"/>
      <c r="I392" s="1100"/>
      <c r="J392" s="1100"/>
      <c r="K392" s="1074"/>
      <c r="L392" s="1074"/>
      <c r="M392" s="1074"/>
      <c r="N392" s="1074"/>
      <c r="O392" s="1074"/>
      <c r="P392" s="1074"/>
      <c r="Q392" s="1074"/>
      <c r="R392" s="1074"/>
      <c r="S392" s="1074"/>
      <c r="T392" s="1074"/>
      <c r="U392" s="1074"/>
      <c r="V392" s="1074"/>
      <c r="W392" s="1074"/>
      <c r="X392" s="1074"/>
      <c r="Y392" s="1074"/>
      <c r="Z392" s="1074"/>
      <c r="AA392" s="1074"/>
      <c r="AB392" s="1074"/>
      <c r="AC392" s="1074"/>
      <c r="AD392" s="1074"/>
      <c r="AE392" s="1074"/>
      <c r="AF392" s="1074"/>
      <c r="AG392" s="1074"/>
      <c r="AH392" s="1074"/>
      <c r="AI392" s="1074"/>
      <c r="AJ392" s="1074"/>
      <c r="AK392" s="1074"/>
      <c r="AL392" s="1074"/>
      <c r="AM392" s="1074"/>
      <c r="AN392" s="1074"/>
      <c r="AO392" s="1074"/>
      <c r="AP392" s="1074"/>
      <c r="AQ392" s="1074"/>
      <c r="AR392" s="1074"/>
      <c r="AS392" s="1074"/>
      <c r="AT392" s="1075"/>
    </row>
    <row r="393" ht="14.25" customHeight="1">
      <c r="A393" s="1116"/>
      <c r="B393" s="1120"/>
      <c r="C393" s="1100"/>
      <c r="D393" s="1100"/>
      <c r="E393" s="1100"/>
      <c r="F393" s="1100"/>
      <c r="G393" s="1100"/>
      <c r="H393" s="1100"/>
      <c r="I393" s="1100"/>
      <c r="J393" s="1100"/>
      <c r="K393" s="1074"/>
      <c r="L393" s="1074"/>
      <c r="M393" s="1074"/>
      <c r="N393" s="1074"/>
      <c r="O393" s="1074"/>
      <c r="P393" s="1074"/>
      <c r="Q393" s="1074"/>
      <c r="R393" s="1074"/>
      <c r="S393" s="1074"/>
      <c r="T393" s="1074"/>
      <c r="U393" s="1074"/>
      <c r="V393" s="1074"/>
      <c r="W393" s="1074"/>
      <c r="X393" s="1074"/>
      <c r="Y393" s="1074"/>
      <c r="Z393" s="1074"/>
      <c r="AA393" s="1074"/>
      <c r="AB393" s="1074"/>
      <c r="AC393" s="1074"/>
      <c r="AD393" s="1074"/>
      <c r="AE393" s="1074"/>
      <c r="AF393" s="1074"/>
      <c r="AG393" s="1074"/>
      <c r="AH393" s="1074"/>
      <c r="AI393" s="1074"/>
      <c r="AJ393" s="1074"/>
      <c r="AK393" s="1074"/>
      <c r="AL393" s="1074"/>
      <c r="AM393" s="1074"/>
      <c r="AN393" s="1074"/>
      <c r="AO393" s="1074"/>
      <c r="AP393" s="1074"/>
      <c r="AQ393" s="1074"/>
      <c r="AR393" s="1074"/>
      <c r="AS393" s="1074"/>
      <c r="AT393" s="1075"/>
    </row>
    <row r="394" ht="14.25" customHeight="1">
      <c r="A394" s="1116"/>
      <c r="B394" s="1120"/>
      <c r="C394" s="1100"/>
      <c r="D394" s="1100"/>
      <c r="E394" s="1100"/>
      <c r="F394" s="1100"/>
      <c r="G394" s="1100"/>
      <c r="H394" s="1100"/>
      <c r="I394" s="1100"/>
      <c r="J394" s="1100"/>
      <c r="K394" s="1074"/>
      <c r="L394" s="1074"/>
      <c r="M394" s="1074"/>
      <c r="N394" s="1074"/>
      <c r="O394" s="1074"/>
      <c r="P394" s="1074"/>
      <c r="Q394" s="1074"/>
      <c r="R394" s="1074"/>
      <c r="S394" s="1074"/>
      <c r="T394" s="1074"/>
      <c r="U394" s="1074"/>
      <c r="V394" s="1074"/>
      <c r="W394" s="1074"/>
      <c r="X394" s="1074"/>
      <c r="Y394" s="1074"/>
      <c r="Z394" s="1074"/>
      <c r="AA394" s="1074"/>
      <c r="AB394" s="1074"/>
      <c r="AC394" s="1074"/>
      <c r="AD394" s="1074"/>
      <c r="AE394" s="1074"/>
      <c r="AF394" s="1074"/>
      <c r="AG394" s="1074"/>
      <c r="AH394" s="1074"/>
      <c r="AI394" s="1074"/>
      <c r="AJ394" s="1074"/>
      <c r="AK394" s="1074"/>
      <c r="AL394" s="1074"/>
      <c r="AM394" s="1074"/>
      <c r="AN394" s="1074"/>
      <c r="AO394" s="1074"/>
      <c r="AP394" s="1074"/>
      <c r="AQ394" s="1074"/>
      <c r="AR394" s="1074"/>
      <c r="AS394" s="1074"/>
      <c r="AT394" s="1075"/>
    </row>
    <row r="395" ht="14.25" customHeight="1">
      <c r="A395" s="1116"/>
      <c r="B395" s="1120"/>
      <c r="C395" s="1100"/>
      <c r="D395" s="1100"/>
      <c r="E395" s="1100"/>
      <c r="F395" s="1100"/>
      <c r="G395" s="1100"/>
      <c r="H395" s="1100"/>
      <c r="I395" s="1100"/>
      <c r="J395" s="1100"/>
      <c r="K395" s="1074"/>
      <c r="L395" s="1074"/>
      <c r="M395" s="1074"/>
      <c r="N395" s="1074"/>
      <c r="O395" s="1074"/>
      <c r="P395" s="1074"/>
      <c r="Q395" s="1074"/>
      <c r="R395" s="1074"/>
      <c r="S395" s="1074"/>
      <c r="T395" s="1074"/>
      <c r="U395" s="1074"/>
      <c r="V395" s="1074"/>
      <c r="W395" s="1074"/>
      <c r="X395" s="1074"/>
      <c r="Y395" s="1074"/>
      <c r="Z395" s="1074"/>
      <c r="AA395" s="1074"/>
      <c r="AB395" s="1074"/>
      <c r="AC395" s="1074"/>
      <c r="AD395" s="1074"/>
      <c r="AE395" s="1074"/>
      <c r="AF395" s="1074"/>
      <c r="AG395" s="1074"/>
      <c r="AH395" s="1074"/>
      <c r="AI395" s="1074"/>
      <c r="AJ395" s="1074"/>
      <c r="AK395" s="1074"/>
      <c r="AL395" s="1074"/>
      <c r="AM395" s="1074"/>
      <c r="AN395" s="1074"/>
      <c r="AO395" s="1074"/>
      <c r="AP395" s="1074"/>
      <c r="AQ395" s="1074"/>
      <c r="AR395" s="1074"/>
      <c r="AS395" s="1074"/>
      <c r="AT395" s="1075"/>
    </row>
    <row r="396" ht="14.25" customHeight="1">
      <c r="A396" s="1116"/>
      <c r="B396" s="1120"/>
      <c r="C396" s="1100"/>
      <c r="D396" s="1100"/>
      <c r="E396" s="1100"/>
      <c r="F396" s="1100"/>
      <c r="G396" s="1100"/>
      <c r="H396" s="1100"/>
      <c r="I396" s="1100"/>
      <c r="J396" s="1100"/>
      <c r="K396" s="1074"/>
      <c r="L396" s="1074"/>
      <c r="M396" s="1074"/>
      <c r="N396" s="1074"/>
      <c r="O396" s="1074"/>
      <c r="P396" s="1074"/>
      <c r="Q396" s="1074"/>
      <c r="R396" s="1074"/>
      <c r="S396" s="1074"/>
      <c r="T396" s="1074"/>
      <c r="U396" s="1074"/>
      <c r="V396" s="1074"/>
      <c r="W396" s="1074"/>
      <c r="X396" s="1074"/>
      <c r="Y396" s="1074"/>
      <c r="Z396" s="1074"/>
      <c r="AA396" s="1074"/>
      <c r="AB396" s="1074"/>
      <c r="AC396" s="1074"/>
      <c r="AD396" s="1074"/>
      <c r="AE396" s="1074"/>
      <c r="AF396" s="1074"/>
      <c r="AG396" s="1074"/>
      <c r="AH396" s="1074"/>
      <c r="AI396" s="1074"/>
      <c r="AJ396" s="1074"/>
      <c r="AK396" s="1074"/>
      <c r="AL396" s="1074"/>
      <c r="AM396" s="1074"/>
      <c r="AN396" s="1074"/>
      <c r="AO396" s="1074"/>
      <c r="AP396" s="1074"/>
      <c r="AQ396" s="1074"/>
      <c r="AR396" s="1074"/>
      <c r="AS396" s="1074"/>
      <c r="AT396" s="1075"/>
    </row>
    <row r="397" ht="14.25" customHeight="1">
      <c r="A397" s="1116"/>
      <c r="B397" s="1120"/>
      <c r="C397" s="1100"/>
      <c r="D397" s="1100"/>
      <c r="E397" s="1100"/>
      <c r="F397" s="1100"/>
      <c r="G397" s="1100"/>
      <c r="H397" s="1100"/>
      <c r="I397" s="1100"/>
      <c r="J397" s="1100"/>
      <c r="K397" s="1074"/>
      <c r="L397" s="1074"/>
      <c r="M397" s="1074"/>
      <c r="N397" s="1074"/>
      <c r="O397" s="1074"/>
      <c r="P397" s="1074"/>
      <c r="Q397" s="1074"/>
      <c r="R397" s="1074"/>
      <c r="S397" s="1074"/>
      <c r="T397" s="1074"/>
      <c r="U397" s="1074"/>
      <c r="V397" s="1074"/>
      <c r="W397" s="1074"/>
      <c r="X397" s="1074"/>
      <c r="Y397" s="1074"/>
      <c r="Z397" s="1074"/>
      <c r="AA397" s="1074"/>
      <c r="AB397" s="1074"/>
      <c r="AC397" s="1074"/>
      <c r="AD397" s="1074"/>
      <c r="AE397" s="1074"/>
      <c r="AF397" s="1074"/>
      <c r="AG397" s="1074"/>
      <c r="AH397" s="1074"/>
      <c r="AI397" s="1074"/>
      <c r="AJ397" s="1074"/>
      <c r="AK397" s="1074"/>
      <c r="AL397" s="1074"/>
      <c r="AM397" s="1074"/>
      <c r="AN397" s="1074"/>
      <c r="AO397" s="1074"/>
      <c r="AP397" s="1074"/>
      <c r="AQ397" s="1074"/>
      <c r="AR397" s="1074"/>
      <c r="AS397" s="1074"/>
      <c r="AT397" s="1075"/>
    </row>
    <row r="398" ht="14.25" customHeight="1">
      <c r="A398" s="1116"/>
      <c r="B398" s="1120"/>
      <c r="C398" s="1100"/>
      <c r="D398" s="1100"/>
      <c r="E398" s="1100"/>
      <c r="F398" s="1100"/>
      <c r="G398" s="1100"/>
      <c r="H398" s="1100"/>
      <c r="I398" s="1100"/>
      <c r="J398" s="1100"/>
      <c r="K398" s="1074"/>
      <c r="L398" s="1074"/>
      <c r="M398" s="1074"/>
      <c r="N398" s="1074"/>
      <c r="O398" s="1074"/>
      <c r="P398" s="1074"/>
      <c r="Q398" s="1074"/>
      <c r="R398" s="1074"/>
      <c r="S398" s="1074"/>
      <c r="T398" s="1074"/>
      <c r="U398" s="1074"/>
      <c r="V398" s="1074"/>
      <c r="W398" s="1074"/>
      <c r="X398" s="1074"/>
      <c r="Y398" s="1074"/>
      <c r="Z398" s="1074"/>
      <c r="AA398" s="1074"/>
      <c r="AB398" s="1074"/>
      <c r="AC398" s="1074"/>
      <c r="AD398" s="1074"/>
      <c r="AE398" s="1074"/>
      <c r="AF398" s="1074"/>
      <c r="AG398" s="1074"/>
      <c r="AH398" s="1074"/>
      <c r="AI398" s="1074"/>
      <c r="AJ398" s="1074"/>
      <c r="AK398" s="1074"/>
      <c r="AL398" s="1074"/>
      <c r="AM398" s="1074"/>
      <c r="AN398" s="1074"/>
      <c r="AO398" s="1074"/>
      <c r="AP398" s="1074"/>
      <c r="AQ398" s="1074"/>
      <c r="AR398" s="1074"/>
      <c r="AS398" s="1074"/>
      <c r="AT398" s="1075"/>
    </row>
    <row r="399" ht="14.25" customHeight="1">
      <c r="A399" s="1116"/>
      <c r="B399" s="1120"/>
      <c r="C399" s="1100"/>
      <c r="D399" s="1100"/>
      <c r="E399" s="1100"/>
      <c r="F399" s="1100"/>
      <c r="G399" s="1100"/>
      <c r="H399" s="1100"/>
      <c r="I399" s="1100"/>
      <c r="J399" s="1100"/>
      <c r="K399" s="1074"/>
      <c r="L399" s="1074"/>
      <c r="M399" s="1074"/>
      <c r="N399" s="1074"/>
      <c r="O399" s="1074"/>
      <c r="P399" s="1074"/>
      <c r="Q399" s="1074"/>
      <c r="R399" s="1074"/>
      <c r="S399" s="1074"/>
      <c r="T399" s="1074"/>
      <c r="U399" s="1074"/>
      <c r="V399" s="1074"/>
      <c r="W399" s="1074"/>
      <c r="X399" s="1074"/>
      <c r="Y399" s="1074"/>
      <c r="Z399" s="1074"/>
      <c r="AA399" s="1074"/>
      <c r="AB399" s="1074"/>
      <c r="AC399" s="1074"/>
      <c r="AD399" s="1074"/>
      <c r="AE399" s="1074"/>
      <c r="AF399" s="1074"/>
      <c r="AG399" s="1074"/>
      <c r="AH399" s="1074"/>
      <c r="AI399" s="1074"/>
      <c r="AJ399" s="1074"/>
      <c r="AK399" s="1074"/>
      <c r="AL399" s="1074"/>
      <c r="AM399" s="1074"/>
      <c r="AN399" s="1074"/>
      <c r="AO399" s="1074"/>
      <c r="AP399" s="1074"/>
      <c r="AQ399" s="1074"/>
      <c r="AR399" s="1074"/>
      <c r="AS399" s="1074"/>
      <c r="AT399" s="1075"/>
    </row>
    <row r="400" ht="14.25" customHeight="1">
      <c r="A400" s="1116"/>
      <c r="B400" s="1120"/>
      <c r="C400" s="1100"/>
      <c r="D400" s="1100"/>
      <c r="E400" s="1100"/>
      <c r="F400" s="1100"/>
      <c r="G400" s="1100"/>
      <c r="H400" s="1100"/>
      <c r="I400" s="1100"/>
      <c r="J400" s="1100"/>
      <c r="K400" s="1074"/>
      <c r="L400" s="1074"/>
      <c r="M400" s="1074"/>
      <c r="N400" s="1074"/>
      <c r="O400" s="1074"/>
      <c r="P400" s="1074"/>
      <c r="Q400" s="1074"/>
      <c r="R400" s="1074"/>
      <c r="S400" s="1074"/>
      <c r="T400" s="1074"/>
      <c r="U400" s="1074"/>
      <c r="V400" s="1074"/>
      <c r="W400" s="1074"/>
      <c r="X400" s="1074"/>
      <c r="Y400" s="1074"/>
      <c r="Z400" s="1074"/>
      <c r="AA400" s="1074"/>
      <c r="AB400" s="1074"/>
      <c r="AC400" s="1074"/>
      <c r="AD400" s="1074"/>
      <c r="AE400" s="1074"/>
      <c r="AF400" s="1074"/>
      <c r="AG400" s="1074"/>
      <c r="AH400" s="1074"/>
      <c r="AI400" s="1074"/>
      <c r="AJ400" s="1074"/>
      <c r="AK400" s="1074"/>
      <c r="AL400" s="1074"/>
      <c r="AM400" s="1074"/>
      <c r="AN400" s="1074"/>
      <c r="AO400" s="1074"/>
      <c r="AP400" s="1074"/>
      <c r="AQ400" s="1074"/>
      <c r="AR400" s="1074"/>
      <c r="AS400" s="1074"/>
      <c r="AT400" s="1075"/>
    </row>
    <row r="401" ht="14.25" customHeight="1">
      <c r="A401" s="1116"/>
      <c r="B401" s="1120"/>
      <c r="C401" s="1100"/>
      <c r="D401" s="1100"/>
      <c r="E401" s="1100"/>
      <c r="F401" s="1100"/>
      <c r="G401" s="1100"/>
      <c r="H401" s="1100"/>
      <c r="I401" s="1100"/>
      <c r="J401" s="1100"/>
      <c r="K401" s="1074"/>
      <c r="L401" s="1074"/>
      <c r="M401" s="1074"/>
      <c r="N401" s="1074"/>
      <c r="O401" s="1074"/>
      <c r="P401" s="1074"/>
      <c r="Q401" s="1074"/>
      <c r="R401" s="1074"/>
      <c r="S401" s="1074"/>
      <c r="T401" s="1074"/>
      <c r="U401" s="1074"/>
      <c r="V401" s="1074"/>
      <c r="W401" s="1074"/>
      <c r="X401" s="1074"/>
      <c r="Y401" s="1074"/>
      <c r="Z401" s="1074"/>
      <c r="AA401" s="1074"/>
      <c r="AB401" s="1074"/>
      <c r="AC401" s="1074"/>
      <c r="AD401" s="1074"/>
      <c r="AE401" s="1074"/>
      <c r="AF401" s="1074"/>
      <c r="AG401" s="1074"/>
      <c r="AH401" s="1074"/>
      <c r="AI401" s="1074"/>
      <c r="AJ401" s="1074"/>
      <c r="AK401" s="1074"/>
      <c r="AL401" s="1074"/>
      <c r="AM401" s="1074"/>
      <c r="AN401" s="1074"/>
      <c r="AO401" s="1074"/>
      <c r="AP401" s="1074"/>
      <c r="AQ401" s="1074"/>
      <c r="AR401" s="1074"/>
      <c r="AS401" s="1074"/>
      <c r="AT401" s="1075"/>
    </row>
    <row r="402" ht="14.25" customHeight="1">
      <c r="A402" s="1116"/>
      <c r="B402" s="1120"/>
      <c r="C402" s="1100"/>
      <c r="D402" s="1100"/>
      <c r="E402" s="1100"/>
      <c r="F402" s="1100"/>
      <c r="G402" s="1100"/>
      <c r="H402" s="1100"/>
      <c r="I402" s="1100"/>
      <c r="J402" s="1100"/>
      <c r="K402" s="1074"/>
      <c r="L402" s="1074"/>
      <c r="M402" s="1074"/>
      <c r="N402" s="1074"/>
      <c r="O402" s="1074"/>
      <c r="P402" s="1074"/>
      <c r="Q402" s="1074"/>
      <c r="R402" s="1074"/>
      <c r="S402" s="1074"/>
      <c r="T402" s="1074"/>
      <c r="U402" s="1074"/>
      <c r="V402" s="1074"/>
      <c r="W402" s="1074"/>
      <c r="X402" s="1074"/>
      <c r="Y402" s="1074"/>
      <c r="Z402" s="1074"/>
      <c r="AA402" s="1074"/>
      <c r="AB402" s="1074"/>
      <c r="AC402" s="1074"/>
      <c r="AD402" s="1074"/>
      <c r="AE402" s="1074"/>
      <c r="AF402" s="1074"/>
      <c r="AG402" s="1074"/>
      <c r="AH402" s="1074"/>
      <c r="AI402" s="1074"/>
      <c r="AJ402" s="1074"/>
      <c r="AK402" s="1074"/>
      <c r="AL402" s="1074"/>
      <c r="AM402" s="1074"/>
      <c r="AN402" s="1074"/>
      <c r="AO402" s="1074"/>
      <c r="AP402" s="1074"/>
      <c r="AQ402" s="1074"/>
      <c r="AR402" s="1074"/>
      <c r="AS402" s="1074"/>
      <c r="AT402" s="1075"/>
    </row>
    <row r="403" ht="14.25" customHeight="1">
      <c r="A403" s="1116"/>
      <c r="B403" s="1120"/>
      <c r="C403" s="1100"/>
      <c r="D403" s="1100"/>
      <c r="E403" s="1100"/>
      <c r="F403" s="1100"/>
      <c r="G403" s="1100"/>
      <c r="H403" s="1100"/>
      <c r="I403" s="1100"/>
      <c r="J403" s="1100"/>
      <c r="K403" s="1074"/>
      <c r="L403" s="1074"/>
      <c r="M403" s="1074"/>
      <c r="N403" s="1074"/>
      <c r="O403" s="1074"/>
      <c r="P403" s="1074"/>
      <c r="Q403" s="1074"/>
      <c r="R403" s="1074"/>
      <c r="S403" s="1074"/>
      <c r="T403" s="1074"/>
      <c r="U403" s="1074"/>
      <c r="V403" s="1074"/>
      <c r="W403" s="1074"/>
      <c r="X403" s="1074"/>
      <c r="Y403" s="1074"/>
      <c r="Z403" s="1074"/>
      <c r="AA403" s="1074"/>
      <c r="AB403" s="1074"/>
      <c r="AC403" s="1074"/>
      <c r="AD403" s="1074"/>
      <c r="AE403" s="1074"/>
      <c r="AF403" s="1074"/>
      <c r="AG403" s="1074"/>
      <c r="AH403" s="1074"/>
      <c r="AI403" s="1074"/>
      <c r="AJ403" s="1074"/>
      <c r="AK403" s="1074"/>
      <c r="AL403" s="1074"/>
      <c r="AM403" s="1074"/>
      <c r="AN403" s="1074"/>
      <c r="AO403" s="1074"/>
      <c r="AP403" s="1074"/>
      <c r="AQ403" s="1074"/>
      <c r="AR403" s="1074"/>
      <c r="AS403" s="1074"/>
      <c r="AT403" s="1075"/>
    </row>
    <row r="404" ht="14.25" customHeight="1">
      <c r="A404" s="1116"/>
      <c r="B404" s="1120"/>
      <c r="C404" s="1100"/>
      <c r="D404" s="1100"/>
      <c r="E404" s="1100"/>
      <c r="F404" s="1100"/>
      <c r="G404" s="1100"/>
      <c r="H404" s="1100"/>
      <c r="I404" s="1100"/>
      <c r="J404" s="1100"/>
      <c r="K404" s="1074"/>
      <c r="L404" s="1074"/>
      <c r="M404" s="1074"/>
      <c r="N404" s="1074"/>
      <c r="O404" s="1074"/>
      <c r="P404" s="1074"/>
      <c r="Q404" s="1074"/>
      <c r="R404" s="1074"/>
      <c r="S404" s="1074"/>
      <c r="T404" s="1074"/>
      <c r="U404" s="1074"/>
      <c r="V404" s="1074"/>
      <c r="W404" s="1074"/>
      <c r="X404" s="1074"/>
      <c r="Y404" s="1074"/>
      <c r="Z404" s="1074"/>
      <c r="AA404" s="1074"/>
      <c r="AB404" s="1074"/>
      <c r="AC404" s="1074"/>
      <c r="AD404" s="1074"/>
      <c r="AE404" s="1074"/>
      <c r="AF404" s="1074"/>
      <c r="AG404" s="1074"/>
      <c r="AH404" s="1074"/>
      <c r="AI404" s="1074"/>
      <c r="AJ404" s="1074"/>
      <c r="AK404" s="1074"/>
      <c r="AL404" s="1074"/>
      <c r="AM404" s="1074"/>
      <c r="AN404" s="1074"/>
      <c r="AO404" s="1074"/>
      <c r="AP404" s="1074"/>
      <c r="AQ404" s="1074"/>
      <c r="AR404" s="1074"/>
      <c r="AS404" s="1074"/>
      <c r="AT404" s="1075"/>
    </row>
    <row r="405" ht="14.25" customHeight="1">
      <c r="A405" s="1116"/>
      <c r="B405" s="1120"/>
      <c r="C405" s="1100"/>
      <c r="D405" s="1100"/>
      <c r="E405" s="1100"/>
      <c r="F405" s="1100"/>
      <c r="G405" s="1100"/>
      <c r="H405" s="1100"/>
      <c r="I405" s="1100"/>
      <c r="J405" s="1100"/>
      <c r="K405" s="1074"/>
      <c r="L405" s="1074"/>
      <c r="M405" s="1074"/>
      <c r="N405" s="1074"/>
      <c r="O405" s="1074"/>
      <c r="P405" s="1074"/>
      <c r="Q405" s="1074"/>
      <c r="R405" s="1074"/>
      <c r="S405" s="1074"/>
      <c r="T405" s="1074"/>
      <c r="U405" s="1074"/>
      <c r="V405" s="1074"/>
      <c r="W405" s="1074"/>
      <c r="X405" s="1074"/>
      <c r="Y405" s="1074"/>
      <c r="Z405" s="1074"/>
      <c r="AA405" s="1074"/>
      <c r="AB405" s="1074"/>
      <c r="AC405" s="1074"/>
      <c r="AD405" s="1074"/>
      <c r="AE405" s="1074"/>
      <c r="AF405" s="1074"/>
      <c r="AG405" s="1074"/>
      <c r="AH405" s="1074"/>
      <c r="AI405" s="1074"/>
      <c r="AJ405" s="1074"/>
      <c r="AK405" s="1074"/>
      <c r="AL405" s="1074"/>
      <c r="AM405" s="1074"/>
      <c r="AN405" s="1074"/>
      <c r="AO405" s="1074"/>
      <c r="AP405" s="1074"/>
      <c r="AQ405" s="1074"/>
      <c r="AR405" s="1074"/>
      <c r="AS405" s="1074"/>
      <c r="AT405" s="1075"/>
    </row>
    <row r="406" ht="14.25" customHeight="1">
      <c r="A406" s="1116"/>
      <c r="B406" s="1120"/>
      <c r="C406" s="1100"/>
      <c r="D406" s="1100"/>
      <c r="E406" s="1100"/>
      <c r="F406" s="1100"/>
      <c r="G406" s="1100"/>
      <c r="H406" s="1100"/>
      <c r="I406" s="1100"/>
      <c r="J406" s="1100"/>
      <c r="K406" s="1074"/>
      <c r="L406" s="1074"/>
      <c r="M406" s="1074"/>
      <c r="N406" s="1074"/>
      <c r="O406" s="1074"/>
      <c r="P406" s="1074"/>
      <c r="Q406" s="1074"/>
      <c r="R406" s="1074"/>
      <c r="S406" s="1074"/>
      <c r="T406" s="1074"/>
      <c r="U406" s="1074"/>
      <c r="V406" s="1074"/>
      <c r="W406" s="1074"/>
      <c r="X406" s="1074"/>
      <c r="Y406" s="1074"/>
      <c r="Z406" s="1074"/>
      <c r="AA406" s="1074"/>
      <c r="AB406" s="1074"/>
      <c r="AC406" s="1074"/>
      <c r="AD406" s="1074"/>
      <c r="AE406" s="1074"/>
      <c r="AF406" s="1074"/>
      <c r="AG406" s="1074"/>
      <c r="AH406" s="1074"/>
      <c r="AI406" s="1074"/>
      <c r="AJ406" s="1074"/>
      <c r="AK406" s="1074"/>
      <c r="AL406" s="1074"/>
      <c r="AM406" s="1074"/>
      <c r="AN406" s="1074"/>
      <c r="AO406" s="1074"/>
      <c r="AP406" s="1074"/>
      <c r="AQ406" s="1074"/>
      <c r="AR406" s="1074"/>
      <c r="AS406" s="1074"/>
      <c r="AT406" s="1075"/>
    </row>
    <row r="407" ht="14.25" customHeight="1">
      <c r="A407" s="1116"/>
      <c r="B407" s="1120"/>
      <c r="C407" s="1100"/>
      <c r="D407" s="1100"/>
      <c r="E407" s="1100"/>
      <c r="F407" s="1100"/>
      <c r="G407" s="1100"/>
      <c r="H407" s="1100"/>
      <c r="I407" s="1100"/>
      <c r="J407" s="1100"/>
      <c r="K407" s="1074"/>
      <c r="L407" s="1074"/>
      <c r="M407" s="1074"/>
      <c r="N407" s="1074"/>
      <c r="O407" s="1074"/>
      <c r="P407" s="1074"/>
      <c r="Q407" s="1074"/>
      <c r="R407" s="1074"/>
      <c r="S407" s="1074"/>
      <c r="T407" s="1074"/>
      <c r="U407" s="1074"/>
      <c r="V407" s="1074"/>
      <c r="W407" s="1074"/>
      <c r="X407" s="1074"/>
      <c r="Y407" s="1074"/>
      <c r="Z407" s="1074"/>
      <c r="AA407" s="1074"/>
      <c r="AB407" s="1074"/>
      <c r="AC407" s="1074"/>
      <c r="AD407" s="1074"/>
      <c r="AE407" s="1074"/>
      <c r="AF407" s="1074"/>
      <c r="AG407" s="1074"/>
      <c r="AH407" s="1074"/>
      <c r="AI407" s="1074"/>
      <c r="AJ407" s="1074"/>
      <c r="AK407" s="1074"/>
      <c r="AL407" s="1074"/>
      <c r="AM407" s="1074"/>
      <c r="AN407" s="1074"/>
      <c r="AO407" s="1074"/>
      <c r="AP407" s="1074"/>
      <c r="AQ407" s="1074"/>
      <c r="AR407" s="1074"/>
      <c r="AS407" s="1074"/>
      <c r="AT407" s="1075"/>
    </row>
    <row r="408" ht="14.25" customHeight="1">
      <c r="A408" s="1116"/>
      <c r="B408" s="1120"/>
      <c r="C408" s="1100"/>
      <c r="D408" s="1100"/>
      <c r="E408" s="1100"/>
      <c r="F408" s="1100"/>
      <c r="G408" s="1100"/>
      <c r="H408" s="1100"/>
      <c r="I408" s="1100"/>
      <c r="J408" s="1100"/>
      <c r="K408" s="1074"/>
      <c r="L408" s="1074"/>
      <c r="M408" s="1074"/>
      <c r="N408" s="1074"/>
      <c r="O408" s="1074"/>
      <c r="P408" s="1074"/>
      <c r="Q408" s="1074"/>
      <c r="R408" s="1074"/>
      <c r="S408" s="1074"/>
      <c r="T408" s="1074"/>
      <c r="U408" s="1074"/>
      <c r="V408" s="1074"/>
      <c r="W408" s="1074"/>
      <c r="X408" s="1074"/>
      <c r="Y408" s="1074"/>
      <c r="Z408" s="1074"/>
      <c r="AA408" s="1074"/>
      <c r="AB408" s="1074"/>
      <c r="AC408" s="1074"/>
      <c r="AD408" s="1074"/>
      <c r="AE408" s="1074"/>
      <c r="AF408" s="1074"/>
      <c r="AG408" s="1074"/>
      <c r="AH408" s="1074"/>
      <c r="AI408" s="1074"/>
      <c r="AJ408" s="1074"/>
      <c r="AK408" s="1074"/>
      <c r="AL408" s="1074"/>
      <c r="AM408" s="1074"/>
      <c r="AN408" s="1074"/>
      <c r="AO408" s="1074"/>
      <c r="AP408" s="1074"/>
      <c r="AQ408" s="1074"/>
      <c r="AR408" s="1074"/>
      <c r="AS408" s="1074"/>
      <c r="AT408" s="1075"/>
    </row>
    <row r="409" ht="14.25" customHeight="1">
      <c r="A409" s="1116"/>
      <c r="B409" s="1120"/>
      <c r="C409" s="1100"/>
      <c r="D409" s="1100"/>
      <c r="E409" s="1100"/>
      <c r="F409" s="1100"/>
      <c r="G409" s="1100"/>
      <c r="H409" s="1100"/>
      <c r="I409" s="1100"/>
      <c r="J409" s="1100"/>
      <c r="K409" s="1074"/>
      <c r="L409" s="1074"/>
      <c r="M409" s="1074"/>
      <c r="N409" s="1074"/>
      <c r="O409" s="1074"/>
      <c r="P409" s="1074"/>
      <c r="Q409" s="1074"/>
      <c r="R409" s="1074"/>
      <c r="S409" s="1074"/>
      <c r="T409" s="1074"/>
      <c r="U409" s="1074"/>
      <c r="V409" s="1074"/>
      <c r="W409" s="1074"/>
      <c r="X409" s="1074"/>
      <c r="Y409" s="1074"/>
      <c r="Z409" s="1074"/>
      <c r="AA409" s="1074"/>
      <c r="AB409" s="1074"/>
      <c r="AC409" s="1074"/>
      <c r="AD409" s="1074"/>
      <c r="AE409" s="1074"/>
      <c r="AF409" s="1074"/>
      <c r="AG409" s="1074"/>
      <c r="AH409" s="1074"/>
      <c r="AI409" s="1074"/>
      <c r="AJ409" s="1074"/>
      <c r="AK409" s="1074"/>
      <c r="AL409" s="1074"/>
      <c r="AM409" s="1074"/>
      <c r="AN409" s="1074"/>
      <c r="AO409" s="1074"/>
      <c r="AP409" s="1074"/>
      <c r="AQ409" s="1074"/>
      <c r="AR409" s="1074"/>
      <c r="AS409" s="1074"/>
      <c r="AT409" s="1075"/>
    </row>
    <row r="410" ht="14.25" customHeight="1">
      <c r="A410" s="1116"/>
      <c r="B410" s="1120"/>
      <c r="C410" s="1100"/>
      <c r="D410" s="1100"/>
      <c r="E410" s="1100"/>
      <c r="F410" s="1100"/>
      <c r="G410" s="1100"/>
      <c r="H410" s="1100"/>
      <c r="I410" s="1100"/>
      <c r="J410" s="1100"/>
      <c r="K410" s="1074"/>
      <c r="L410" s="1074"/>
      <c r="M410" s="1074"/>
      <c r="N410" s="1074"/>
      <c r="O410" s="1074"/>
      <c r="P410" s="1074"/>
      <c r="Q410" s="1074"/>
      <c r="R410" s="1074"/>
      <c r="S410" s="1074"/>
      <c r="T410" s="1074"/>
      <c r="U410" s="1074"/>
      <c r="V410" s="1074"/>
      <c r="W410" s="1074"/>
      <c r="X410" s="1074"/>
      <c r="Y410" s="1074"/>
      <c r="Z410" s="1074"/>
      <c r="AA410" s="1074"/>
      <c r="AB410" s="1074"/>
      <c r="AC410" s="1074"/>
      <c r="AD410" s="1074"/>
      <c r="AE410" s="1074"/>
      <c r="AF410" s="1074"/>
      <c r="AG410" s="1074"/>
      <c r="AH410" s="1074"/>
      <c r="AI410" s="1074"/>
      <c r="AJ410" s="1074"/>
      <c r="AK410" s="1074"/>
      <c r="AL410" s="1074"/>
      <c r="AM410" s="1074"/>
      <c r="AN410" s="1074"/>
      <c r="AO410" s="1074"/>
      <c r="AP410" s="1074"/>
      <c r="AQ410" s="1074"/>
      <c r="AR410" s="1074"/>
      <c r="AS410" s="1074"/>
      <c r="AT410" s="1075"/>
    </row>
    <row r="411" ht="14.25" customHeight="1">
      <c r="A411" s="1116"/>
      <c r="B411" s="1120"/>
      <c r="C411" s="1100"/>
      <c r="D411" s="1100"/>
      <c r="E411" s="1100"/>
      <c r="F411" s="1100"/>
      <c r="G411" s="1100"/>
      <c r="H411" s="1100"/>
      <c r="I411" s="1100"/>
      <c r="J411" s="1100"/>
      <c r="K411" s="1074"/>
      <c r="L411" s="1074"/>
      <c r="M411" s="1074"/>
      <c r="N411" s="1074"/>
      <c r="O411" s="1074"/>
      <c r="P411" s="1074"/>
      <c r="Q411" s="1074"/>
      <c r="R411" s="1074"/>
      <c r="S411" s="1074"/>
      <c r="T411" s="1074"/>
      <c r="U411" s="1074"/>
      <c r="V411" s="1074"/>
      <c r="W411" s="1074"/>
      <c r="X411" s="1074"/>
      <c r="Y411" s="1074"/>
      <c r="Z411" s="1074"/>
      <c r="AA411" s="1074"/>
      <c r="AB411" s="1074"/>
      <c r="AC411" s="1074"/>
      <c r="AD411" s="1074"/>
      <c r="AE411" s="1074"/>
      <c r="AF411" s="1074"/>
      <c r="AG411" s="1074"/>
      <c r="AH411" s="1074"/>
      <c r="AI411" s="1074"/>
      <c r="AJ411" s="1074"/>
      <c r="AK411" s="1074"/>
      <c r="AL411" s="1074"/>
      <c r="AM411" s="1074"/>
      <c r="AN411" s="1074"/>
      <c r="AO411" s="1074"/>
      <c r="AP411" s="1074"/>
      <c r="AQ411" s="1074"/>
      <c r="AR411" s="1074"/>
      <c r="AS411" s="1074"/>
      <c r="AT411" s="1075"/>
    </row>
    <row r="412" ht="14.25" customHeight="1">
      <c r="A412" s="1116"/>
      <c r="B412" s="1120"/>
      <c r="C412" s="1100"/>
      <c r="D412" s="1100"/>
      <c r="E412" s="1100"/>
      <c r="F412" s="1100"/>
      <c r="G412" s="1100"/>
      <c r="H412" s="1100"/>
      <c r="I412" s="1100"/>
      <c r="J412" s="1100"/>
      <c r="K412" s="1074"/>
      <c r="L412" s="1074"/>
      <c r="M412" s="1074"/>
      <c r="N412" s="1074"/>
      <c r="O412" s="1074"/>
      <c r="P412" s="1074"/>
      <c r="Q412" s="1074"/>
      <c r="R412" s="1074"/>
      <c r="S412" s="1074"/>
      <c r="T412" s="1074"/>
      <c r="U412" s="1074"/>
      <c r="V412" s="1074"/>
      <c r="W412" s="1074"/>
      <c r="X412" s="1074"/>
      <c r="Y412" s="1074"/>
      <c r="Z412" s="1074"/>
      <c r="AA412" s="1074"/>
      <c r="AB412" s="1074"/>
      <c r="AC412" s="1074"/>
      <c r="AD412" s="1074"/>
      <c r="AE412" s="1074"/>
      <c r="AF412" s="1074"/>
      <c r="AG412" s="1074"/>
      <c r="AH412" s="1074"/>
      <c r="AI412" s="1074"/>
      <c r="AJ412" s="1074"/>
      <c r="AK412" s="1074"/>
      <c r="AL412" s="1074"/>
      <c r="AM412" s="1074"/>
      <c r="AN412" s="1074"/>
      <c r="AO412" s="1074"/>
      <c r="AP412" s="1074"/>
      <c r="AQ412" s="1074"/>
      <c r="AR412" s="1074"/>
      <c r="AS412" s="1074"/>
      <c r="AT412" s="1075"/>
    </row>
    <row r="413" ht="14.25" customHeight="1">
      <c r="A413" s="1116"/>
      <c r="B413" s="1120"/>
      <c r="C413" s="1100"/>
      <c r="D413" s="1100"/>
      <c r="E413" s="1100"/>
      <c r="F413" s="1100"/>
      <c r="G413" s="1100"/>
      <c r="H413" s="1100"/>
      <c r="I413" s="1100"/>
      <c r="J413" s="1100"/>
      <c r="K413" s="1074"/>
      <c r="L413" s="1074"/>
      <c r="M413" s="1074"/>
      <c r="N413" s="1074"/>
      <c r="O413" s="1074"/>
      <c r="P413" s="1074"/>
      <c r="Q413" s="1074"/>
      <c r="R413" s="1074"/>
      <c r="S413" s="1074"/>
      <c r="T413" s="1074"/>
      <c r="U413" s="1074"/>
      <c r="V413" s="1074"/>
      <c r="W413" s="1074"/>
      <c r="X413" s="1074"/>
      <c r="Y413" s="1074"/>
      <c r="Z413" s="1074"/>
      <c r="AA413" s="1074"/>
      <c r="AB413" s="1074"/>
      <c r="AC413" s="1074"/>
      <c r="AD413" s="1074"/>
      <c r="AE413" s="1074"/>
      <c r="AF413" s="1074"/>
      <c r="AG413" s="1074"/>
      <c r="AH413" s="1074"/>
      <c r="AI413" s="1074"/>
      <c r="AJ413" s="1074"/>
      <c r="AK413" s="1074"/>
      <c r="AL413" s="1074"/>
      <c r="AM413" s="1074"/>
      <c r="AN413" s="1074"/>
      <c r="AO413" s="1074"/>
      <c r="AP413" s="1074"/>
      <c r="AQ413" s="1074"/>
      <c r="AR413" s="1074"/>
      <c r="AS413" s="1074"/>
      <c r="AT413" s="1075"/>
    </row>
    <row r="414" ht="14.25" customHeight="1">
      <c r="A414" s="1116"/>
      <c r="B414" s="1120"/>
      <c r="C414" s="1100"/>
      <c r="D414" s="1100"/>
      <c r="E414" s="1100"/>
      <c r="F414" s="1100"/>
      <c r="G414" s="1100"/>
      <c r="H414" s="1100"/>
      <c r="I414" s="1100"/>
      <c r="J414" s="1100"/>
      <c r="K414" s="1074"/>
      <c r="L414" s="1074"/>
      <c r="M414" s="1074"/>
      <c r="N414" s="1074"/>
      <c r="O414" s="1074"/>
      <c r="P414" s="1074"/>
      <c r="Q414" s="1074"/>
      <c r="R414" s="1074"/>
      <c r="S414" s="1074"/>
      <c r="T414" s="1074"/>
      <c r="U414" s="1074"/>
      <c r="V414" s="1074"/>
      <c r="W414" s="1074"/>
      <c r="X414" s="1074"/>
      <c r="Y414" s="1074"/>
      <c r="Z414" s="1074"/>
      <c r="AA414" s="1074"/>
      <c r="AB414" s="1074"/>
      <c r="AC414" s="1074"/>
      <c r="AD414" s="1074"/>
      <c r="AE414" s="1074"/>
      <c r="AF414" s="1074"/>
      <c r="AG414" s="1074"/>
      <c r="AH414" s="1074"/>
      <c r="AI414" s="1074"/>
      <c r="AJ414" s="1074"/>
      <c r="AK414" s="1074"/>
      <c r="AL414" s="1074"/>
      <c r="AM414" s="1074"/>
      <c r="AN414" s="1074"/>
      <c r="AO414" s="1074"/>
      <c r="AP414" s="1074"/>
      <c r="AQ414" s="1074"/>
      <c r="AR414" s="1074"/>
      <c r="AS414" s="1074"/>
      <c r="AT414" s="1075"/>
    </row>
    <row r="415" ht="14.25" customHeight="1">
      <c r="A415" s="1116"/>
      <c r="B415" s="1120"/>
      <c r="C415" s="1100"/>
      <c r="D415" s="1100"/>
      <c r="E415" s="1100"/>
      <c r="F415" s="1100"/>
      <c r="G415" s="1100"/>
      <c r="H415" s="1100"/>
      <c r="I415" s="1100"/>
      <c r="J415" s="1100"/>
      <c r="K415" s="1074"/>
      <c r="L415" s="1074"/>
      <c r="M415" s="1074"/>
      <c r="N415" s="1074"/>
      <c r="O415" s="1074"/>
      <c r="P415" s="1074"/>
      <c r="Q415" s="1074"/>
      <c r="R415" s="1074"/>
      <c r="S415" s="1074"/>
      <c r="T415" s="1074"/>
      <c r="U415" s="1074"/>
      <c r="V415" s="1074"/>
      <c r="W415" s="1074"/>
      <c r="X415" s="1074"/>
      <c r="Y415" s="1074"/>
      <c r="Z415" s="1074"/>
      <c r="AA415" s="1074"/>
      <c r="AB415" s="1074"/>
      <c r="AC415" s="1074"/>
      <c r="AD415" s="1074"/>
      <c r="AE415" s="1074"/>
      <c r="AF415" s="1074"/>
      <c r="AG415" s="1074"/>
      <c r="AH415" s="1074"/>
      <c r="AI415" s="1074"/>
      <c r="AJ415" s="1074"/>
      <c r="AK415" s="1074"/>
      <c r="AL415" s="1074"/>
      <c r="AM415" s="1074"/>
      <c r="AN415" s="1074"/>
      <c r="AO415" s="1074"/>
      <c r="AP415" s="1074"/>
      <c r="AQ415" s="1074"/>
      <c r="AR415" s="1074"/>
      <c r="AS415" s="1074"/>
      <c r="AT415" s="1075"/>
    </row>
    <row r="416" ht="14.25" customHeight="1">
      <c r="A416" s="1116"/>
      <c r="B416" s="1120"/>
      <c r="C416" s="1100"/>
      <c r="D416" s="1100"/>
      <c r="E416" s="1100"/>
      <c r="F416" s="1100"/>
      <c r="G416" s="1100"/>
      <c r="H416" s="1100"/>
      <c r="I416" s="1100"/>
      <c r="J416" s="1100"/>
      <c r="K416" s="1074"/>
      <c r="L416" s="1074"/>
      <c r="M416" s="1074"/>
      <c r="N416" s="1074"/>
      <c r="O416" s="1074"/>
      <c r="P416" s="1074"/>
      <c r="Q416" s="1074"/>
      <c r="R416" s="1074"/>
      <c r="S416" s="1074"/>
      <c r="T416" s="1074"/>
      <c r="U416" s="1074"/>
      <c r="V416" s="1074"/>
      <c r="W416" s="1074"/>
      <c r="X416" s="1074"/>
      <c r="Y416" s="1074"/>
      <c r="Z416" s="1074"/>
      <c r="AA416" s="1074"/>
      <c r="AB416" s="1074"/>
      <c r="AC416" s="1074"/>
      <c r="AD416" s="1074"/>
      <c r="AE416" s="1074"/>
      <c r="AF416" s="1074"/>
      <c r="AG416" s="1074"/>
      <c r="AH416" s="1074"/>
      <c r="AI416" s="1074"/>
      <c r="AJ416" s="1074"/>
      <c r="AK416" s="1074"/>
      <c r="AL416" s="1074"/>
      <c r="AM416" s="1074"/>
      <c r="AN416" s="1074"/>
      <c r="AO416" s="1074"/>
      <c r="AP416" s="1074"/>
      <c r="AQ416" s="1074"/>
      <c r="AR416" s="1074"/>
      <c r="AS416" s="1074"/>
      <c r="AT416" s="1075"/>
    </row>
    <row r="417" ht="14.25" customHeight="1">
      <c r="A417" s="1116"/>
      <c r="B417" s="1120"/>
      <c r="C417" s="1100"/>
      <c r="D417" s="1100"/>
      <c r="E417" s="1100"/>
      <c r="F417" s="1100"/>
      <c r="G417" s="1100"/>
      <c r="H417" s="1100"/>
      <c r="I417" s="1100"/>
      <c r="J417" s="1100"/>
      <c r="K417" s="1074"/>
      <c r="L417" s="1074"/>
      <c r="M417" s="1074"/>
      <c r="N417" s="1074"/>
      <c r="O417" s="1074"/>
      <c r="P417" s="1074"/>
      <c r="Q417" s="1074"/>
      <c r="R417" s="1074"/>
      <c r="S417" s="1074"/>
      <c r="T417" s="1074"/>
      <c r="U417" s="1074"/>
      <c r="V417" s="1074"/>
      <c r="W417" s="1074"/>
      <c r="X417" s="1074"/>
      <c r="Y417" s="1074"/>
      <c r="Z417" s="1074"/>
      <c r="AA417" s="1074"/>
      <c r="AB417" s="1074"/>
      <c r="AC417" s="1074"/>
      <c r="AD417" s="1074"/>
      <c r="AE417" s="1074"/>
      <c r="AF417" s="1074"/>
      <c r="AG417" s="1074"/>
      <c r="AH417" s="1074"/>
      <c r="AI417" s="1074"/>
      <c r="AJ417" s="1074"/>
      <c r="AK417" s="1074"/>
      <c r="AL417" s="1074"/>
      <c r="AM417" s="1074"/>
      <c r="AN417" s="1074"/>
      <c r="AO417" s="1074"/>
      <c r="AP417" s="1074"/>
      <c r="AQ417" s="1074"/>
      <c r="AR417" s="1074"/>
      <c r="AS417" s="1074"/>
      <c r="AT417" s="1075"/>
    </row>
    <row r="418" ht="14.25" customHeight="1">
      <c r="A418" s="1116"/>
      <c r="B418" s="1120"/>
      <c r="C418" s="1100"/>
      <c r="D418" s="1100"/>
      <c r="E418" s="1100"/>
      <c r="F418" s="1100"/>
      <c r="G418" s="1100"/>
      <c r="H418" s="1100"/>
      <c r="I418" s="1100"/>
      <c r="J418" s="1100"/>
      <c r="K418" s="1074"/>
      <c r="L418" s="1074"/>
      <c r="M418" s="1074"/>
      <c r="N418" s="1074"/>
      <c r="O418" s="1074"/>
      <c r="P418" s="1074"/>
      <c r="Q418" s="1074"/>
      <c r="R418" s="1074"/>
      <c r="S418" s="1074"/>
      <c r="T418" s="1074"/>
      <c r="U418" s="1074"/>
      <c r="V418" s="1074"/>
      <c r="W418" s="1074"/>
      <c r="X418" s="1074"/>
      <c r="Y418" s="1074"/>
      <c r="Z418" s="1074"/>
      <c r="AA418" s="1074"/>
      <c r="AB418" s="1074"/>
      <c r="AC418" s="1074"/>
      <c r="AD418" s="1074"/>
      <c r="AE418" s="1074"/>
      <c r="AF418" s="1074"/>
      <c r="AG418" s="1074"/>
      <c r="AH418" s="1074"/>
      <c r="AI418" s="1074"/>
      <c r="AJ418" s="1074"/>
      <c r="AK418" s="1074"/>
      <c r="AL418" s="1074"/>
      <c r="AM418" s="1074"/>
      <c r="AN418" s="1074"/>
      <c r="AO418" s="1074"/>
      <c r="AP418" s="1074"/>
      <c r="AQ418" s="1074"/>
      <c r="AR418" s="1074"/>
      <c r="AS418" s="1074"/>
      <c r="AT418" s="1075"/>
    </row>
    <row r="419" ht="14.25" customHeight="1">
      <c r="A419" s="1116"/>
      <c r="B419" s="1120"/>
      <c r="C419" s="1100"/>
      <c r="D419" s="1100"/>
      <c r="E419" s="1100"/>
      <c r="F419" s="1100"/>
      <c r="G419" s="1100"/>
      <c r="H419" s="1100"/>
      <c r="I419" s="1100"/>
      <c r="J419" s="1100"/>
      <c r="K419" s="1074"/>
      <c r="L419" s="1074"/>
      <c r="M419" s="1074"/>
      <c r="N419" s="1074"/>
      <c r="O419" s="1074"/>
      <c r="P419" s="1074"/>
      <c r="Q419" s="1074"/>
      <c r="R419" s="1074"/>
      <c r="S419" s="1074"/>
      <c r="T419" s="1074"/>
      <c r="U419" s="1074"/>
      <c r="V419" s="1074"/>
      <c r="W419" s="1074"/>
      <c r="X419" s="1074"/>
      <c r="Y419" s="1074"/>
      <c r="Z419" s="1074"/>
      <c r="AA419" s="1074"/>
      <c r="AB419" s="1074"/>
      <c r="AC419" s="1074"/>
      <c r="AD419" s="1074"/>
      <c r="AE419" s="1074"/>
      <c r="AF419" s="1074"/>
      <c r="AG419" s="1074"/>
      <c r="AH419" s="1074"/>
      <c r="AI419" s="1074"/>
      <c r="AJ419" s="1074"/>
      <c r="AK419" s="1074"/>
      <c r="AL419" s="1074"/>
      <c r="AM419" s="1074"/>
      <c r="AN419" s="1074"/>
      <c r="AO419" s="1074"/>
      <c r="AP419" s="1074"/>
      <c r="AQ419" s="1074"/>
      <c r="AR419" s="1074"/>
      <c r="AS419" s="1074"/>
      <c r="AT419" s="1075"/>
    </row>
    <row r="420" ht="14.25" customHeight="1">
      <c r="A420" s="1116"/>
      <c r="B420" s="1120"/>
      <c r="C420" s="1100"/>
      <c r="D420" s="1100"/>
      <c r="E420" s="1100"/>
      <c r="F420" s="1100"/>
      <c r="G420" s="1100"/>
      <c r="H420" s="1100"/>
      <c r="I420" s="1100"/>
      <c r="J420" s="1100"/>
      <c r="K420" s="1074"/>
      <c r="L420" s="1074"/>
      <c r="M420" s="1074"/>
      <c r="N420" s="1074"/>
      <c r="O420" s="1074"/>
      <c r="P420" s="1074"/>
      <c r="Q420" s="1074"/>
      <c r="R420" s="1074"/>
      <c r="S420" s="1074"/>
      <c r="T420" s="1074"/>
      <c r="U420" s="1074"/>
      <c r="V420" s="1074"/>
      <c r="W420" s="1074"/>
      <c r="X420" s="1074"/>
      <c r="Y420" s="1074"/>
      <c r="Z420" s="1074"/>
      <c r="AA420" s="1074"/>
      <c r="AB420" s="1074"/>
      <c r="AC420" s="1074"/>
      <c r="AD420" s="1074"/>
      <c r="AE420" s="1074"/>
      <c r="AF420" s="1074"/>
      <c r="AG420" s="1074"/>
      <c r="AH420" s="1074"/>
      <c r="AI420" s="1074"/>
      <c r="AJ420" s="1074"/>
      <c r="AK420" s="1074"/>
      <c r="AL420" s="1074"/>
      <c r="AM420" s="1074"/>
      <c r="AN420" s="1074"/>
      <c r="AO420" s="1074"/>
      <c r="AP420" s="1074"/>
      <c r="AQ420" s="1074"/>
      <c r="AR420" s="1074"/>
      <c r="AS420" s="1074"/>
      <c r="AT420" s="1075"/>
    </row>
    <row r="421" ht="14.25" customHeight="1">
      <c r="A421" s="1116"/>
      <c r="B421" s="1120"/>
      <c r="C421" s="1100"/>
      <c r="D421" s="1100"/>
      <c r="E421" s="1100"/>
      <c r="F421" s="1100"/>
      <c r="G421" s="1100"/>
      <c r="H421" s="1100"/>
      <c r="I421" s="1100"/>
      <c r="J421" s="1100"/>
      <c r="K421" s="1074"/>
      <c r="L421" s="1074"/>
      <c r="M421" s="1074"/>
      <c r="N421" s="1074"/>
      <c r="O421" s="1074"/>
      <c r="P421" s="1074"/>
      <c r="Q421" s="1074"/>
      <c r="R421" s="1074"/>
      <c r="S421" s="1074"/>
      <c r="T421" s="1074"/>
      <c r="U421" s="1074"/>
      <c r="V421" s="1074"/>
      <c r="W421" s="1074"/>
      <c r="X421" s="1074"/>
      <c r="Y421" s="1074"/>
      <c r="Z421" s="1074"/>
      <c r="AA421" s="1074"/>
      <c r="AB421" s="1074"/>
      <c r="AC421" s="1074"/>
      <c r="AD421" s="1074"/>
      <c r="AE421" s="1074"/>
      <c r="AF421" s="1074"/>
      <c r="AG421" s="1074"/>
      <c r="AH421" s="1074"/>
      <c r="AI421" s="1074"/>
      <c r="AJ421" s="1074"/>
      <c r="AK421" s="1074"/>
      <c r="AL421" s="1074"/>
      <c r="AM421" s="1074"/>
      <c r="AN421" s="1074"/>
      <c r="AO421" s="1074"/>
      <c r="AP421" s="1074"/>
      <c r="AQ421" s="1074"/>
      <c r="AR421" s="1074"/>
      <c r="AS421" s="1074"/>
      <c r="AT421" s="1075"/>
    </row>
    <row r="422" ht="14.25" customHeight="1">
      <c r="A422" s="1116"/>
      <c r="B422" s="1120"/>
      <c r="C422" s="1100"/>
      <c r="D422" s="1100"/>
      <c r="E422" s="1100"/>
      <c r="F422" s="1100"/>
      <c r="G422" s="1100"/>
      <c r="H422" s="1100"/>
      <c r="I422" s="1100"/>
      <c r="J422" s="1100"/>
      <c r="K422" s="1074"/>
      <c r="L422" s="1074"/>
      <c r="M422" s="1074"/>
      <c r="N422" s="1074"/>
      <c r="O422" s="1074"/>
      <c r="P422" s="1074"/>
      <c r="Q422" s="1074"/>
      <c r="R422" s="1074"/>
      <c r="S422" s="1074"/>
      <c r="T422" s="1074"/>
      <c r="U422" s="1074"/>
      <c r="V422" s="1074"/>
      <c r="W422" s="1074"/>
      <c r="X422" s="1074"/>
      <c r="Y422" s="1074"/>
      <c r="Z422" s="1074"/>
      <c r="AA422" s="1074"/>
      <c r="AB422" s="1074"/>
      <c r="AC422" s="1074"/>
      <c r="AD422" s="1074"/>
      <c r="AE422" s="1074"/>
      <c r="AF422" s="1074"/>
      <c r="AG422" s="1074"/>
      <c r="AH422" s="1074"/>
      <c r="AI422" s="1074"/>
      <c r="AJ422" s="1074"/>
      <c r="AK422" s="1074"/>
      <c r="AL422" s="1074"/>
      <c r="AM422" s="1074"/>
      <c r="AN422" s="1074"/>
      <c r="AO422" s="1074"/>
      <c r="AP422" s="1074"/>
      <c r="AQ422" s="1074"/>
      <c r="AR422" s="1074"/>
      <c r="AS422" s="1074"/>
      <c r="AT422" s="1075"/>
    </row>
    <row r="423" ht="14.25" customHeight="1">
      <c r="A423" s="1116"/>
      <c r="B423" s="1120"/>
      <c r="C423" s="1100"/>
      <c r="D423" s="1100"/>
      <c r="E423" s="1100"/>
      <c r="F423" s="1100"/>
      <c r="G423" s="1100"/>
      <c r="H423" s="1100"/>
      <c r="I423" s="1100"/>
      <c r="J423" s="1100"/>
      <c r="K423" s="1074"/>
      <c r="L423" s="1074"/>
      <c r="M423" s="1074"/>
      <c r="N423" s="1074"/>
      <c r="O423" s="1074"/>
      <c r="P423" s="1074"/>
      <c r="Q423" s="1074"/>
      <c r="R423" s="1074"/>
      <c r="S423" s="1074"/>
      <c r="T423" s="1074"/>
      <c r="U423" s="1074"/>
      <c r="V423" s="1074"/>
      <c r="W423" s="1074"/>
      <c r="X423" s="1074"/>
      <c r="Y423" s="1074"/>
      <c r="Z423" s="1074"/>
      <c r="AA423" s="1074"/>
      <c r="AB423" s="1074"/>
      <c r="AC423" s="1074"/>
      <c r="AD423" s="1074"/>
      <c r="AE423" s="1074"/>
      <c r="AF423" s="1074"/>
      <c r="AG423" s="1074"/>
      <c r="AH423" s="1074"/>
      <c r="AI423" s="1074"/>
      <c r="AJ423" s="1074"/>
      <c r="AK423" s="1074"/>
      <c r="AL423" s="1074"/>
      <c r="AM423" s="1074"/>
      <c r="AN423" s="1074"/>
      <c r="AO423" s="1074"/>
      <c r="AP423" s="1074"/>
      <c r="AQ423" s="1074"/>
      <c r="AR423" s="1074"/>
      <c r="AS423" s="1074"/>
      <c r="AT423" s="1075"/>
    </row>
    <row r="424" ht="14.25" customHeight="1">
      <c r="A424" s="1116"/>
      <c r="B424" s="1120"/>
      <c r="C424" s="1100"/>
      <c r="D424" s="1100"/>
      <c r="E424" s="1100"/>
      <c r="F424" s="1100"/>
      <c r="G424" s="1100"/>
      <c r="H424" s="1100"/>
      <c r="I424" s="1100"/>
      <c r="J424" s="1100"/>
      <c r="K424" s="1074"/>
      <c r="L424" s="1074"/>
      <c r="M424" s="1074"/>
      <c r="N424" s="1074"/>
      <c r="O424" s="1074"/>
      <c r="P424" s="1074"/>
      <c r="Q424" s="1074"/>
      <c r="R424" s="1074"/>
      <c r="S424" s="1074"/>
      <c r="T424" s="1074"/>
      <c r="U424" s="1074"/>
      <c r="V424" s="1074"/>
      <c r="W424" s="1074"/>
      <c r="X424" s="1074"/>
      <c r="Y424" s="1074"/>
      <c r="Z424" s="1074"/>
      <c r="AA424" s="1074"/>
      <c r="AB424" s="1074"/>
      <c r="AC424" s="1074"/>
      <c r="AD424" s="1074"/>
      <c r="AE424" s="1074"/>
      <c r="AF424" s="1074"/>
      <c r="AG424" s="1074"/>
      <c r="AH424" s="1074"/>
      <c r="AI424" s="1074"/>
      <c r="AJ424" s="1074"/>
      <c r="AK424" s="1074"/>
      <c r="AL424" s="1074"/>
      <c r="AM424" s="1074"/>
      <c r="AN424" s="1074"/>
      <c r="AO424" s="1074"/>
      <c r="AP424" s="1074"/>
      <c r="AQ424" s="1074"/>
      <c r="AR424" s="1074"/>
      <c r="AS424" s="1074"/>
      <c r="AT424" s="1075"/>
    </row>
    <row r="425" ht="14.25" customHeight="1">
      <c r="A425" s="1116"/>
      <c r="B425" s="1120"/>
      <c r="C425" s="1100"/>
      <c r="D425" s="1100"/>
      <c r="E425" s="1100"/>
      <c r="F425" s="1100"/>
      <c r="G425" s="1100"/>
      <c r="H425" s="1100"/>
      <c r="I425" s="1100"/>
      <c r="J425" s="1100"/>
      <c r="K425" s="1074"/>
      <c r="L425" s="1074"/>
      <c r="M425" s="1074"/>
      <c r="N425" s="1074"/>
      <c r="O425" s="1074"/>
      <c r="P425" s="1074"/>
      <c r="Q425" s="1074"/>
      <c r="R425" s="1074"/>
      <c r="S425" s="1074"/>
      <c r="T425" s="1074"/>
      <c r="U425" s="1074"/>
      <c r="V425" s="1074"/>
      <c r="W425" s="1074"/>
      <c r="X425" s="1074"/>
      <c r="Y425" s="1074"/>
      <c r="Z425" s="1074"/>
      <c r="AA425" s="1074"/>
      <c r="AB425" s="1074"/>
      <c r="AC425" s="1074"/>
      <c r="AD425" s="1074"/>
      <c r="AE425" s="1074"/>
      <c r="AF425" s="1074"/>
      <c r="AG425" s="1074"/>
      <c r="AH425" s="1074"/>
      <c r="AI425" s="1074"/>
      <c r="AJ425" s="1074"/>
      <c r="AK425" s="1074"/>
      <c r="AL425" s="1074"/>
      <c r="AM425" s="1074"/>
      <c r="AN425" s="1074"/>
      <c r="AO425" s="1074"/>
      <c r="AP425" s="1074"/>
      <c r="AQ425" s="1074"/>
      <c r="AR425" s="1074"/>
      <c r="AS425" s="1074"/>
      <c r="AT425" s="1075"/>
    </row>
    <row r="426" ht="14.25" customHeight="1">
      <c r="A426" s="1116"/>
      <c r="B426" s="1120"/>
      <c r="C426" s="1100"/>
      <c r="D426" s="1100"/>
      <c r="E426" s="1100"/>
      <c r="F426" s="1100"/>
      <c r="G426" s="1100"/>
      <c r="H426" s="1100"/>
      <c r="I426" s="1100"/>
      <c r="J426" s="1100"/>
      <c r="K426" s="1074"/>
      <c r="L426" s="1074"/>
      <c r="M426" s="1074"/>
      <c r="N426" s="1074"/>
      <c r="O426" s="1074"/>
      <c r="P426" s="1074"/>
      <c r="Q426" s="1074"/>
      <c r="R426" s="1074"/>
      <c r="S426" s="1074"/>
      <c r="T426" s="1074"/>
      <c r="U426" s="1074"/>
      <c r="V426" s="1074"/>
      <c r="W426" s="1074"/>
      <c r="X426" s="1074"/>
      <c r="Y426" s="1074"/>
      <c r="Z426" s="1074"/>
      <c r="AA426" s="1074"/>
      <c r="AB426" s="1074"/>
      <c r="AC426" s="1074"/>
      <c r="AD426" s="1074"/>
      <c r="AE426" s="1074"/>
      <c r="AF426" s="1074"/>
      <c r="AG426" s="1074"/>
      <c r="AH426" s="1074"/>
      <c r="AI426" s="1074"/>
      <c r="AJ426" s="1074"/>
      <c r="AK426" s="1074"/>
      <c r="AL426" s="1074"/>
      <c r="AM426" s="1074"/>
      <c r="AN426" s="1074"/>
      <c r="AO426" s="1074"/>
      <c r="AP426" s="1074"/>
      <c r="AQ426" s="1074"/>
      <c r="AR426" s="1074"/>
      <c r="AS426" s="1074"/>
      <c r="AT426" s="1075"/>
    </row>
    <row r="427" ht="14.25" customHeight="1">
      <c r="A427" s="1116"/>
      <c r="B427" s="1120"/>
      <c r="C427" s="1100"/>
      <c r="D427" s="1100"/>
      <c r="E427" s="1100"/>
      <c r="F427" s="1100"/>
      <c r="G427" s="1100"/>
      <c r="H427" s="1100"/>
      <c r="I427" s="1100"/>
      <c r="J427" s="1100"/>
      <c r="K427" s="1074"/>
      <c r="L427" s="1074"/>
      <c r="M427" s="1074"/>
      <c r="N427" s="1074"/>
      <c r="O427" s="1074"/>
      <c r="P427" s="1074"/>
      <c r="Q427" s="1074"/>
      <c r="R427" s="1074"/>
      <c r="S427" s="1074"/>
      <c r="T427" s="1074"/>
      <c r="U427" s="1074"/>
      <c r="V427" s="1074"/>
      <c r="W427" s="1074"/>
      <c r="X427" s="1074"/>
      <c r="Y427" s="1074"/>
      <c r="Z427" s="1074"/>
      <c r="AA427" s="1074"/>
      <c r="AB427" s="1074"/>
      <c r="AC427" s="1074"/>
      <c r="AD427" s="1074"/>
      <c r="AE427" s="1074"/>
      <c r="AF427" s="1074"/>
      <c r="AG427" s="1074"/>
      <c r="AH427" s="1074"/>
      <c r="AI427" s="1074"/>
      <c r="AJ427" s="1074"/>
      <c r="AK427" s="1074"/>
      <c r="AL427" s="1074"/>
      <c r="AM427" s="1074"/>
      <c r="AN427" s="1074"/>
      <c r="AO427" s="1074"/>
      <c r="AP427" s="1074"/>
      <c r="AQ427" s="1074"/>
      <c r="AR427" s="1074"/>
      <c r="AS427" s="1074"/>
      <c r="AT427" s="1075"/>
    </row>
    <row r="428" ht="14.25" customHeight="1">
      <c r="A428" s="1116"/>
      <c r="B428" s="1120"/>
      <c r="C428" s="1100"/>
      <c r="D428" s="1100"/>
      <c r="E428" s="1100"/>
      <c r="F428" s="1100"/>
      <c r="G428" s="1100"/>
      <c r="H428" s="1100"/>
      <c r="I428" s="1100"/>
      <c r="J428" s="1100"/>
      <c r="K428" s="1074"/>
      <c r="L428" s="1074"/>
      <c r="M428" s="1074"/>
      <c r="N428" s="1074"/>
      <c r="O428" s="1074"/>
      <c r="P428" s="1074"/>
      <c r="Q428" s="1074"/>
      <c r="R428" s="1074"/>
      <c r="S428" s="1074"/>
      <c r="T428" s="1074"/>
      <c r="U428" s="1074"/>
      <c r="V428" s="1074"/>
      <c r="W428" s="1074"/>
      <c r="X428" s="1074"/>
      <c r="Y428" s="1074"/>
      <c r="Z428" s="1074"/>
      <c r="AA428" s="1074"/>
      <c r="AB428" s="1074"/>
      <c r="AC428" s="1074"/>
      <c r="AD428" s="1074"/>
      <c r="AE428" s="1074"/>
      <c r="AF428" s="1074"/>
      <c r="AG428" s="1074"/>
      <c r="AH428" s="1074"/>
      <c r="AI428" s="1074"/>
      <c r="AJ428" s="1074"/>
      <c r="AK428" s="1074"/>
      <c r="AL428" s="1074"/>
      <c r="AM428" s="1074"/>
      <c r="AN428" s="1074"/>
      <c r="AO428" s="1074"/>
      <c r="AP428" s="1074"/>
      <c r="AQ428" s="1074"/>
      <c r="AR428" s="1074"/>
      <c r="AS428" s="1074"/>
      <c r="AT428" s="1075"/>
    </row>
    <row r="429" ht="14.25" customHeight="1">
      <c r="A429" s="1116"/>
      <c r="B429" s="1120"/>
      <c r="C429" s="1100"/>
      <c r="D429" s="1100"/>
      <c r="E429" s="1100"/>
      <c r="F429" s="1100"/>
      <c r="G429" s="1100"/>
      <c r="H429" s="1100"/>
      <c r="I429" s="1100"/>
      <c r="J429" s="1100"/>
      <c r="K429" s="1074"/>
      <c r="L429" s="1074"/>
      <c r="M429" s="1074"/>
      <c r="N429" s="1074"/>
      <c r="O429" s="1074"/>
      <c r="P429" s="1074"/>
      <c r="Q429" s="1074"/>
      <c r="R429" s="1074"/>
      <c r="S429" s="1074"/>
      <c r="T429" s="1074"/>
      <c r="U429" s="1074"/>
      <c r="V429" s="1074"/>
      <c r="W429" s="1074"/>
      <c r="X429" s="1074"/>
      <c r="Y429" s="1074"/>
      <c r="Z429" s="1074"/>
      <c r="AA429" s="1074"/>
      <c r="AB429" s="1074"/>
      <c r="AC429" s="1074"/>
      <c r="AD429" s="1074"/>
      <c r="AE429" s="1074"/>
      <c r="AF429" s="1074"/>
      <c r="AG429" s="1074"/>
      <c r="AH429" s="1074"/>
      <c r="AI429" s="1074"/>
      <c r="AJ429" s="1074"/>
      <c r="AK429" s="1074"/>
      <c r="AL429" s="1074"/>
      <c r="AM429" s="1074"/>
      <c r="AN429" s="1074"/>
      <c r="AO429" s="1074"/>
      <c r="AP429" s="1074"/>
      <c r="AQ429" s="1074"/>
      <c r="AR429" s="1074"/>
      <c r="AS429" s="1074"/>
      <c r="AT429" s="1075"/>
    </row>
    <row r="430" ht="14.25" customHeight="1">
      <c r="A430" s="1116"/>
      <c r="B430" s="1120"/>
      <c r="C430" s="1100"/>
      <c r="D430" s="1100"/>
      <c r="E430" s="1100"/>
      <c r="F430" s="1100"/>
      <c r="G430" s="1100"/>
      <c r="H430" s="1100"/>
      <c r="I430" s="1100"/>
      <c r="J430" s="1100"/>
      <c r="K430" s="1074"/>
      <c r="L430" s="1074"/>
      <c r="M430" s="1074"/>
      <c r="N430" s="1074"/>
      <c r="O430" s="1074"/>
      <c r="P430" s="1074"/>
      <c r="Q430" s="1074"/>
      <c r="R430" s="1074"/>
      <c r="S430" s="1074"/>
      <c r="T430" s="1074"/>
      <c r="U430" s="1074"/>
      <c r="V430" s="1074"/>
      <c r="W430" s="1074"/>
      <c r="X430" s="1074"/>
      <c r="Y430" s="1074"/>
      <c r="Z430" s="1074"/>
      <c r="AA430" s="1074"/>
      <c r="AB430" s="1074"/>
      <c r="AC430" s="1074"/>
      <c r="AD430" s="1074"/>
      <c r="AE430" s="1074"/>
      <c r="AF430" s="1074"/>
      <c r="AG430" s="1074"/>
      <c r="AH430" s="1074"/>
      <c r="AI430" s="1074"/>
      <c r="AJ430" s="1074"/>
      <c r="AK430" s="1074"/>
      <c r="AL430" s="1074"/>
      <c r="AM430" s="1074"/>
      <c r="AN430" s="1074"/>
      <c r="AO430" s="1074"/>
      <c r="AP430" s="1074"/>
      <c r="AQ430" s="1074"/>
      <c r="AR430" s="1074"/>
      <c r="AS430" s="1074"/>
      <c r="AT430" s="1075"/>
    </row>
    <row r="431" ht="14.25" customHeight="1">
      <c r="A431" s="1116"/>
      <c r="B431" s="1120"/>
      <c r="C431" s="1100"/>
      <c r="D431" s="1100"/>
      <c r="E431" s="1100"/>
      <c r="F431" s="1100"/>
      <c r="G431" s="1100"/>
      <c r="H431" s="1100"/>
      <c r="I431" s="1100"/>
      <c r="J431" s="1100"/>
      <c r="K431" s="1074"/>
      <c r="L431" s="1074"/>
      <c r="M431" s="1074"/>
      <c r="N431" s="1074"/>
      <c r="O431" s="1074"/>
      <c r="P431" s="1074"/>
      <c r="Q431" s="1074"/>
      <c r="R431" s="1074"/>
      <c r="S431" s="1074"/>
      <c r="T431" s="1074"/>
      <c r="U431" s="1074"/>
      <c r="V431" s="1074"/>
      <c r="W431" s="1074"/>
      <c r="X431" s="1074"/>
      <c r="Y431" s="1074"/>
      <c r="Z431" s="1074"/>
      <c r="AA431" s="1074"/>
      <c r="AB431" s="1074"/>
      <c r="AC431" s="1074"/>
      <c r="AD431" s="1074"/>
      <c r="AE431" s="1074"/>
      <c r="AF431" s="1074"/>
      <c r="AG431" s="1074"/>
      <c r="AH431" s="1074"/>
      <c r="AI431" s="1074"/>
      <c r="AJ431" s="1074"/>
      <c r="AK431" s="1074"/>
      <c r="AL431" s="1074"/>
      <c r="AM431" s="1074"/>
      <c r="AN431" s="1074"/>
      <c r="AO431" s="1074"/>
      <c r="AP431" s="1074"/>
      <c r="AQ431" s="1074"/>
      <c r="AR431" s="1074"/>
      <c r="AS431" s="1074"/>
      <c r="AT431" s="1075"/>
    </row>
    <row r="432" ht="14.25" customHeight="1">
      <c r="A432" s="1116"/>
      <c r="B432" s="1120"/>
      <c r="C432" s="1100"/>
      <c r="D432" s="1100"/>
      <c r="E432" s="1100"/>
      <c r="F432" s="1100"/>
      <c r="G432" s="1100"/>
      <c r="H432" s="1100"/>
      <c r="I432" s="1100"/>
      <c r="J432" s="1100"/>
      <c r="K432" s="1074"/>
      <c r="L432" s="1074"/>
      <c r="M432" s="1074"/>
      <c r="N432" s="1074"/>
      <c r="O432" s="1074"/>
      <c r="P432" s="1074"/>
      <c r="Q432" s="1074"/>
      <c r="R432" s="1074"/>
      <c r="S432" s="1074"/>
      <c r="T432" s="1074"/>
      <c r="U432" s="1074"/>
      <c r="V432" s="1074"/>
      <c r="W432" s="1074"/>
      <c r="X432" s="1074"/>
      <c r="Y432" s="1074"/>
      <c r="Z432" s="1074"/>
      <c r="AA432" s="1074"/>
      <c r="AB432" s="1074"/>
      <c r="AC432" s="1074"/>
      <c r="AD432" s="1074"/>
      <c r="AE432" s="1074"/>
      <c r="AF432" s="1074"/>
      <c r="AG432" s="1074"/>
      <c r="AH432" s="1074"/>
      <c r="AI432" s="1074"/>
      <c r="AJ432" s="1074"/>
      <c r="AK432" s="1074"/>
      <c r="AL432" s="1074"/>
      <c r="AM432" s="1074"/>
      <c r="AN432" s="1074"/>
      <c r="AO432" s="1074"/>
      <c r="AP432" s="1074"/>
      <c r="AQ432" s="1074"/>
      <c r="AR432" s="1074"/>
      <c r="AS432" s="1074"/>
      <c r="AT432" s="1075"/>
    </row>
    <row r="433" ht="14.25" customHeight="1">
      <c r="A433" s="1116"/>
      <c r="B433" s="1120"/>
      <c r="C433" s="1100"/>
      <c r="D433" s="1100"/>
      <c r="E433" s="1100"/>
      <c r="F433" s="1100"/>
      <c r="G433" s="1100"/>
      <c r="H433" s="1100"/>
      <c r="I433" s="1100"/>
      <c r="J433" s="1100"/>
      <c r="K433" s="1074"/>
      <c r="L433" s="1074"/>
      <c r="M433" s="1074"/>
      <c r="N433" s="1074"/>
      <c r="O433" s="1074"/>
      <c r="P433" s="1074"/>
      <c r="Q433" s="1074"/>
      <c r="R433" s="1074"/>
      <c r="S433" s="1074"/>
      <c r="T433" s="1074"/>
      <c r="U433" s="1074"/>
      <c r="V433" s="1074"/>
      <c r="W433" s="1074"/>
      <c r="X433" s="1074"/>
      <c r="Y433" s="1074"/>
      <c r="Z433" s="1074"/>
      <c r="AA433" s="1074"/>
      <c r="AB433" s="1074"/>
      <c r="AC433" s="1074"/>
      <c r="AD433" s="1074"/>
      <c r="AE433" s="1074"/>
      <c r="AF433" s="1074"/>
      <c r="AG433" s="1074"/>
      <c r="AH433" s="1074"/>
      <c r="AI433" s="1074"/>
      <c r="AJ433" s="1074"/>
      <c r="AK433" s="1074"/>
      <c r="AL433" s="1074"/>
      <c r="AM433" s="1074"/>
      <c r="AN433" s="1074"/>
      <c r="AO433" s="1074"/>
      <c r="AP433" s="1074"/>
      <c r="AQ433" s="1074"/>
      <c r="AR433" s="1074"/>
      <c r="AS433" s="1074"/>
      <c r="AT433" s="1075"/>
    </row>
    <row r="434" ht="14.25" customHeight="1">
      <c r="A434" s="1116"/>
      <c r="B434" s="1120"/>
      <c r="C434" s="1100"/>
      <c r="D434" s="1100"/>
      <c r="E434" s="1100"/>
      <c r="F434" s="1100"/>
      <c r="G434" s="1100"/>
      <c r="H434" s="1100"/>
      <c r="I434" s="1100"/>
      <c r="J434" s="1100"/>
      <c r="K434" s="1074"/>
      <c r="L434" s="1074"/>
      <c r="M434" s="1074"/>
      <c r="N434" s="1074"/>
      <c r="O434" s="1074"/>
      <c r="P434" s="1074"/>
      <c r="Q434" s="1074"/>
      <c r="R434" s="1074"/>
      <c r="S434" s="1074"/>
      <c r="T434" s="1074"/>
      <c r="U434" s="1074"/>
      <c r="V434" s="1074"/>
      <c r="W434" s="1074"/>
      <c r="X434" s="1074"/>
      <c r="Y434" s="1074"/>
      <c r="Z434" s="1074"/>
      <c r="AA434" s="1074"/>
      <c r="AB434" s="1074"/>
      <c r="AC434" s="1074"/>
      <c r="AD434" s="1074"/>
      <c r="AE434" s="1074"/>
      <c r="AF434" s="1074"/>
      <c r="AG434" s="1074"/>
      <c r="AH434" s="1074"/>
      <c r="AI434" s="1074"/>
      <c r="AJ434" s="1074"/>
      <c r="AK434" s="1074"/>
      <c r="AL434" s="1074"/>
      <c r="AM434" s="1074"/>
      <c r="AN434" s="1074"/>
      <c r="AO434" s="1074"/>
      <c r="AP434" s="1074"/>
      <c r="AQ434" s="1074"/>
      <c r="AR434" s="1074"/>
      <c r="AS434" s="1074"/>
      <c r="AT434" s="1075"/>
    </row>
    <row r="435" ht="14.25" customHeight="1">
      <c r="A435" s="1116"/>
      <c r="B435" s="1120"/>
      <c r="C435" s="1100"/>
      <c r="D435" s="1100"/>
      <c r="E435" s="1100"/>
      <c r="F435" s="1100"/>
      <c r="G435" s="1100"/>
      <c r="H435" s="1100"/>
      <c r="I435" s="1100"/>
      <c r="J435" s="1100"/>
      <c r="K435" s="1074"/>
      <c r="L435" s="1074"/>
      <c r="M435" s="1074"/>
      <c r="N435" s="1074"/>
      <c r="O435" s="1074"/>
      <c r="P435" s="1074"/>
      <c r="Q435" s="1074"/>
      <c r="R435" s="1074"/>
      <c r="S435" s="1074"/>
      <c r="T435" s="1074"/>
      <c r="U435" s="1074"/>
      <c r="V435" s="1074"/>
      <c r="W435" s="1074"/>
      <c r="X435" s="1074"/>
      <c r="Y435" s="1074"/>
      <c r="Z435" s="1074"/>
      <c r="AA435" s="1074"/>
      <c r="AB435" s="1074"/>
      <c r="AC435" s="1074"/>
      <c r="AD435" s="1074"/>
      <c r="AE435" s="1074"/>
      <c r="AF435" s="1074"/>
      <c r="AG435" s="1074"/>
      <c r="AH435" s="1074"/>
      <c r="AI435" s="1074"/>
      <c r="AJ435" s="1074"/>
      <c r="AK435" s="1074"/>
      <c r="AL435" s="1074"/>
      <c r="AM435" s="1074"/>
      <c r="AN435" s="1074"/>
      <c r="AO435" s="1074"/>
      <c r="AP435" s="1074"/>
      <c r="AQ435" s="1074"/>
      <c r="AR435" s="1074"/>
      <c r="AS435" s="1074"/>
      <c r="AT435" s="1075"/>
    </row>
    <row r="436" ht="14.25" customHeight="1">
      <c r="A436" s="1116"/>
      <c r="B436" s="1120"/>
      <c r="C436" s="1100"/>
      <c r="D436" s="1100"/>
      <c r="E436" s="1100"/>
      <c r="F436" s="1100"/>
      <c r="G436" s="1100"/>
      <c r="H436" s="1100"/>
      <c r="I436" s="1100"/>
      <c r="J436" s="1100"/>
      <c r="K436" s="1074"/>
      <c r="L436" s="1074"/>
      <c r="M436" s="1074"/>
      <c r="N436" s="1074"/>
      <c r="O436" s="1074"/>
      <c r="P436" s="1074"/>
      <c r="Q436" s="1074"/>
      <c r="R436" s="1074"/>
      <c r="S436" s="1074"/>
      <c r="T436" s="1074"/>
      <c r="U436" s="1074"/>
      <c r="V436" s="1074"/>
      <c r="W436" s="1074"/>
      <c r="X436" s="1074"/>
      <c r="Y436" s="1074"/>
      <c r="Z436" s="1074"/>
      <c r="AA436" s="1074"/>
      <c r="AB436" s="1074"/>
      <c r="AC436" s="1074"/>
      <c r="AD436" s="1074"/>
      <c r="AE436" s="1074"/>
      <c r="AF436" s="1074"/>
      <c r="AG436" s="1074"/>
      <c r="AH436" s="1074"/>
      <c r="AI436" s="1074"/>
      <c r="AJ436" s="1074"/>
      <c r="AK436" s="1074"/>
      <c r="AL436" s="1074"/>
      <c r="AM436" s="1074"/>
      <c r="AN436" s="1074"/>
      <c r="AO436" s="1074"/>
      <c r="AP436" s="1074"/>
      <c r="AQ436" s="1074"/>
      <c r="AR436" s="1074"/>
      <c r="AS436" s="1074"/>
      <c r="AT436" s="1075"/>
    </row>
    <row r="437" ht="14.25" customHeight="1">
      <c r="A437" s="1116"/>
      <c r="B437" s="1120"/>
      <c r="C437" s="1100"/>
      <c r="D437" s="1100"/>
      <c r="E437" s="1100"/>
      <c r="F437" s="1100"/>
      <c r="G437" s="1100"/>
      <c r="H437" s="1100"/>
      <c r="I437" s="1100"/>
      <c r="J437" s="1100"/>
      <c r="K437" s="1074"/>
      <c r="L437" s="1074"/>
      <c r="M437" s="1074"/>
      <c r="N437" s="1074"/>
      <c r="O437" s="1074"/>
      <c r="P437" s="1074"/>
      <c r="Q437" s="1074"/>
      <c r="R437" s="1074"/>
      <c r="S437" s="1074"/>
      <c r="T437" s="1074"/>
      <c r="U437" s="1074"/>
      <c r="V437" s="1074"/>
      <c r="W437" s="1074"/>
      <c r="X437" s="1074"/>
      <c r="Y437" s="1074"/>
      <c r="Z437" s="1074"/>
      <c r="AA437" s="1074"/>
      <c r="AB437" s="1074"/>
      <c r="AC437" s="1074"/>
      <c r="AD437" s="1074"/>
      <c r="AE437" s="1074"/>
      <c r="AF437" s="1074"/>
      <c r="AG437" s="1074"/>
      <c r="AH437" s="1074"/>
      <c r="AI437" s="1074"/>
      <c r="AJ437" s="1074"/>
      <c r="AK437" s="1074"/>
      <c r="AL437" s="1074"/>
      <c r="AM437" s="1074"/>
      <c r="AN437" s="1074"/>
      <c r="AO437" s="1074"/>
      <c r="AP437" s="1074"/>
      <c r="AQ437" s="1074"/>
      <c r="AR437" s="1074"/>
      <c r="AS437" s="1074"/>
      <c r="AT437" s="1075"/>
    </row>
    <row r="438" ht="14.25" customHeight="1">
      <c r="A438" s="1116"/>
      <c r="B438" s="1120"/>
      <c r="C438" s="1100"/>
      <c r="D438" s="1100"/>
      <c r="E438" s="1100"/>
      <c r="F438" s="1100"/>
      <c r="G438" s="1100"/>
      <c r="H438" s="1100"/>
      <c r="I438" s="1100"/>
      <c r="J438" s="1100"/>
      <c r="K438" s="1074"/>
      <c r="L438" s="1074"/>
      <c r="M438" s="1074"/>
      <c r="N438" s="1074"/>
      <c r="O438" s="1074"/>
      <c r="P438" s="1074"/>
      <c r="Q438" s="1074"/>
      <c r="R438" s="1074"/>
      <c r="S438" s="1074"/>
      <c r="T438" s="1074"/>
      <c r="U438" s="1074"/>
      <c r="V438" s="1074"/>
      <c r="W438" s="1074"/>
      <c r="X438" s="1074"/>
      <c r="Y438" s="1074"/>
      <c r="Z438" s="1074"/>
      <c r="AA438" s="1074"/>
      <c r="AB438" s="1074"/>
      <c r="AC438" s="1074"/>
      <c r="AD438" s="1074"/>
      <c r="AE438" s="1074"/>
      <c r="AF438" s="1074"/>
      <c r="AG438" s="1074"/>
      <c r="AH438" s="1074"/>
      <c r="AI438" s="1074"/>
      <c r="AJ438" s="1074"/>
      <c r="AK438" s="1074"/>
      <c r="AL438" s="1074"/>
      <c r="AM438" s="1074"/>
      <c r="AN438" s="1074"/>
      <c r="AO438" s="1074"/>
      <c r="AP438" s="1074"/>
      <c r="AQ438" s="1074"/>
      <c r="AR438" s="1074"/>
      <c r="AS438" s="1074"/>
      <c r="AT438" s="1075"/>
    </row>
    <row r="439" ht="14.25" customHeight="1">
      <c r="A439" s="1116"/>
      <c r="B439" s="1120"/>
      <c r="C439" s="1100"/>
      <c r="D439" s="1100"/>
      <c r="E439" s="1100"/>
      <c r="F439" s="1100"/>
      <c r="G439" s="1100"/>
      <c r="H439" s="1100"/>
      <c r="I439" s="1100"/>
      <c r="J439" s="1100"/>
      <c r="K439" s="1074"/>
      <c r="L439" s="1074"/>
      <c r="M439" s="1074"/>
      <c r="N439" s="1074"/>
      <c r="O439" s="1074"/>
      <c r="P439" s="1074"/>
      <c r="Q439" s="1074"/>
      <c r="R439" s="1074"/>
      <c r="S439" s="1074"/>
      <c r="T439" s="1074"/>
      <c r="U439" s="1074"/>
      <c r="V439" s="1074"/>
      <c r="W439" s="1074"/>
      <c r="X439" s="1074"/>
      <c r="Y439" s="1074"/>
      <c r="Z439" s="1074"/>
      <c r="AA439" s="1074"/>
      <c r="AB439" s="1074"/>
      <c r="AC439" s="1074"/>
      <c r="AD439" s="1074"/>
      <c r="AE439" s="1074"/>
      <c r="AF439" s="1074"/>
      <c r="AG439" s="1074"/>
      <c r="AH439" s="1074"/>
      <c r="AI439" s="1074"/>
      <c r="AJ439" s="1074"/>
      <c r="AK439" s="1074"/>
      <c r="AL439" s="1074"/>
      <c r="AM439" s="1074"/>
      <c r="AN439" s="1074"/>
      <c r="AO439" s="1074"/>
      <c r="AP439" s="1074"/>
      <c r="AQ439" s="1074"/>
      <c r="AR439" s="1074"/>
      <c r="AS439" s="1074"/>
      <c r="AT439" s="1075"/>
    </row>
    <row r="440" ht="14.25" customHeight="1">
      <c r="A440" s="1116"/>
      <c r="B440" s="1120"/>
      <c r="C440" s="1100"/>
      <c r="D440" s="1100"/>
      <c r="E440" s="1100"/>
      <c r="F440" s="1100"/>
      <c r="G440" s="1100"/>
      <c r="H440" s="1100"/>
      <c r="I440" s="1100"/>
      <c r="J440" s="1100"/>
      <c r="K440" s="1074"/>
      <c r="L440" s="1074"/>
      <c r="M440" s="1074"/>
      <c r="N440" s="1074"/>
      <c r="O440" s="1074"/>
      <c r="P440" s="1074"/>
      <c r="Q440" s="1074"/>
      <c r="R440" s="1074"/>
      <c r="S440" s="1074"/>
      <c r="T440" s="1074"/>
      <c r="U440" s="1074"/>
      <c r="V440" s="1074"/>
      <c r="W440" s="1074"/>
      <c r="X440" s="1074"/>
      <c r="Y440" s="1074"/>
      <c r="Z440" s="1074"/>
      <c r="AA440" s="1074"/>
      <c r="AB440" s="1074"/>
      <c r="AC440" s="1074"/>
      <c r="AD440" s="1074"/>
      <c r="AE440" s="1074"/>
      <c r="AF440" s="1074"/>
      <c r="AG440" s="1074"/>
      <c r="AH440" s="1074"/>
      <c r="AI440" s="1074"/>
      <c r="AJ440" s="1074"/>
      <c r="AK440" s="1074"/>
      <c r="AL440" s="1074"/>
      <c r="AM440" s="1074"/>
      <c r="AN440" s="1074"/>
      <c r="AO440" s="1074"/>
      <c r="AP440" s="1074"/>
      <c r="AQ440" s="1074"/>
      <c r="AR440" s="1074"/>
      <c r="AS440" s="1074"/>
      <c r="AT440" s="1075"/>
    </row>
    <row r="441" ht="14.25" customHeight="1">
      <c r="A441" s="1116"/>
      <c r="B441" s="1120"/>
      <c r="C441" s="1100"/>
      <c r="D441" s="1100"/>
      <c r="E441" s="1100"/>
      <c r="F441" s="1100"/>
      <c r="G441" s="1100"/>
      <c r="H441" s="1100"/>
      <c r="I441" s="1100"/>
      <c r="J441" s="1100"/>
      <c r="K441" s="1074"/>
      <c r="L441" s="1074"/>
      <c r="M441" s="1074"/>
      <c r="N441" s="1074"/>
      <c r="O441" s="1074"/>
      <c r="P441" s="1074"/>
      <c r="Q441" s="1074"/>
      <c r="R441" s="1074"/>
      <c r="S441" s="1074"/>
      <c r="T441" s="1074"/>
      <c r="U441" s="1074"/>
      <c r="V441" s="1074"/>
      <c r="W441" s="1074"/>
      <c r="X441" s="1074"/>
      <c r="Y441" s="1074"/>
      <c r="Z441" s="1074"/>
      <c r="AA441" s="1074"/>
      <c r="AB441" s="1074"/>
      <c r="AC441" s="1074"/>
      <c r="AD441" s="1074"/>
      <c r="AE441" s="1074"/>
      <c r="AF441" s="1074"/>
      <c r="AG441" s="1074"/>
      <c r="AH441" s="1074"/>
      <c r="AI441" s="1074"/>
      <c r="AJ441" s="1074"/>
      <c r="AK441" s="1074"/>
      <c r="AL441" s="1074"/>
      <c r="AM441" s="1074"/>
      <c r="AN441" s="1074"/>
      <c r="AO441" s="1074"/>
      <c r="AP441" s="1074"/>
      <c r="AQ441" s="1074"/>
      <c r="AR441" s="1074"/>
      <c r="AS441" s="1074"/>
      <c r="AT441" s="1075"/>
    </row>
    <row r="442" ht="14.25" customHeight="1">
      <c r="A442" s="1116"/>
      <c r="B442" s="1120"/>
      <c r="C442" s="1100"/>
      <c r="D442" s="1100"/>
      <c r="E442" s="1100"/>
      <c r="F442" s="1100"/>
      <c r="G442" s="1100"/>
      <c r="H442" s="1100"/>
      <c r="I442" s="1100"/>
      <c r="J442" s="1100"/>
      <c r="K442" s="1074"/>
      <c r="L442" s="1074"/>
      <c r="M442" s="1074"/>
      <c r="N442" s="1074"/>
      <c r="O442" s="1074"/>
      <c r="P442" s="1074"/>
      <c r="Q442" s="1074"/>
      <c r="R442" s="1074"/>
      <c r="S442" s="1074"/>
      <c r="T442" s="1074"/>
      <c r="U442" s="1074"/>
      <c r="V442" s="1074"/>
      <c r="W442" s="1074"/>
      <c r="X442" s="1074"/>
      <c r="Y442" s="1074"/>
      <c r="Z442" s="1074"/>
      <c r="AA442" s="1074"/>
      <c r="AB442" s="1074"/>
      <c r="AC442" s="1074"/>
      <c r="AD442" s="1074"/>
      <c r="AE442" s="1074"/>
      <c r="AF442" s="1074"/>
      <c r="AG442" s="1074"/>
      <c r="AH442" s="1074"/>
      <c r="AI442" s="1074"/>
      <c r="AJ442" s="1074"/>
      <c r="AK442" s="1074"/>
      <c r="AL442" s="1074"/>
      <c r="AM442" s="1074"/>
      <c r="AN442" s="1074"/>
      <c r="AO442" s="1074"/>
      <c r="AP442" s="1074"/>
      <c r="AQ442" s="1074"/>
      <c r="AR442" s="1074"/>
      <c r="AS442" s="1074"/>
      <c r="AT442" s="1075"/>
    </row>
    <row r="443" ht="14.25" customHeight="1">
      <c r="A443" s="1116"/>
      <c r="B443" s="1120"/>
      <c r="C443" s="1100"/>
      <c r="D443" s="1100"/>
      <c r="E443" s="1100"/>
      <c r="F443" s="1100"/>
      <c r="G443" s="1100"/>
      <c r="H443" s="1100"/>
      <c r="I443" s="1100"/>
      <c r="J443" s="1100"/>
      <c r="K443" s="1074"/>
      <c r="L443" s="1074"/>
      <c r="M443" s="1074"/>
      <c r="N443" s="1074"/>
      <c r="O443" s="1074"/>
      <c r="P443" s="1074"/>
      <c r="Q443" s="1074"/>
      <c r="R443" s="1074"/>
      <c r="S443" s="1074"/>
      <c r="T443" s="1074"/>
      <c r="U443" s="1074"/>
      <c r="V443" s="1074"/>
      <c r="W443" s="1074"/>
      <c r="X443" s="1074"/>
      <c r="Y443" s="1074"/>
      <c r="Z443" s="1074"/>
      <c r="AA443" s="1074"/>
      <c r="AB443" s="1074"/>
      <c r="AC443" s="1074"/>
      <c r="AD443" s="1074"/>
      <c r="AE443" s="1074"/>
      <c r="AF443" s="1074"/>
      <c r="AG443" s="1074"/>
      <c r="AH443" s="1074"/>
      <c r="AI443" s="1074"/>
      <c r="AJ443" s="1074"/>
      <c r="AK443" s="1074"/>
      <c r="AL443" s="1074"/>
      <c r="AM443" s="1074"/>
      <c r="AN443" s="1074"/>
      <c r="AO443" s="1074"/>
      <c r="AP443" s="1074"/>
      <c r="AQ443" s="1074"/>
      <c r="AR443" s="1074"/>
      <c r="AS443" s="1074"/>
      <c r="AT443" s="1075"/>
    </row>
    <row r="444" ht="14.25" customHeight="1">
      <c r="A444" s="1116"/>
      <c r="B444" s="1120"/>
      <c r="C444" s="1100"/>
      <c r="D444" s="1100"/>
      <c r="E444" s="1100"/>
      <c r="F444" s="1100"/>
      <c r="G444" s="1100"/>
      <c r="H444" s="1100"/>
      <c r="I444" s="1100"/>
      <c r="J444" s="1100"/>
      <c r="K444" s="1074"/>
      <c r="L444" s="1074"/>
      <c r="M444" s="1074"/>
      <c r="N444" s="1074"/>
      <c r="O444" s="1074"/>
      <c r="P444" s="1074"/>
      <c r="Q444" s="1074"/>
      <c r="R444" s="1074"/>
      <c r="S444" s="1074"/>
      <c r="T444" s="1074"/>
      <c r="U444" s="1074"/>
      <c r="V444" s="1074"/>
      <c r="W444" s="1074"/>
      <c r="X444" s="1074"/>
      <c r="Y444" s="1074"/>
      <c r="Z444" s="1074"/>
      <c r="AA444" s="1074"/>
      <c r="AB444" s="1074"/>
      <c r="AC444" s="1074"/>
      <c r="AD444" s="1074"/>
      <c r="AE444" s="1074"/>
      <c r="AF444" s="1074"/>
      <c r="AG444" s="1074"/>
      <c r="AH444" s="1074"/>
      <c r="AI444" s="1074"/>
      <c r="AJ444" s="1074"/>
      <c r="AK444" s="1074"/>
      <c r="AL444" s="1074"/>
      <c r="AM444" s="1074"/>
      <c r="AN444" s="1074"/>
      <c r="AO444" s="1074"/>
      <c r="AP444" s="1074"/>
      <c r="AQ444" s="1074"/>
      <c r="AR444" s="1074"/>
      <c r="AS444" s="1074"/>
      <c r="AT444" s="1075"/>
    </row>
    <row r="445" ht="14.25" customHeight="1">
      <c r="A445" s="1116"/>
      <c r="B445" s="1120"/>
      <c r="C445" s="1100"/>
      <c r="D445" s="1100"/>
      <c r="E445" s="1100"/>
      <c r="F445" s="1100"/>
      <c r="G445" s="1100"/>
      <c r="H445" s="1100"/>
      <c r="I445" s="1100"/>
      <c r="J445" s="1100"/>
      <c r="K445" s="1074"/>
      <c r="L445" s="1074"/>
      <c r="M445" s="1074"/>
      <c r="N445" s="1074"/>
      <c r="O445" s="1074"/>
      <c r="P445" s="1074"/>
      <c r="Q445" s="1074"/>
      <c r="R445" s="1074"/>
      <c r="S445" s="1074"/>
      <c r="T445" s="1074"/>
      <c r="U445" s="1074"/>
      <c r="V445" s="1074"/>
      <c r="W445" s="1074"/>
      <c r="X445" s="1074"/>
      <c r="Y445" s="1074"/>
      <c r="Z445" s="1074"/>
      <c r="AA445" s="1074"/>
      <c r="AB445" s="1074"/>
      <c r="AC445" s="1074"/>
      <c r="AD445" s="1074"/>
      <c r="AE445" s="1074"/>
      <c r="AF445" s="1074"/>
      <c r="AG445" s="1074"/>
      <c r="AH445" s="1074"/>
      <c r="AI445" s="1074"/>
      <c r="AJ445" s="1074"/>
      <c r="AK445" s="1074"/>
      <c r="AL445" s="1074"/>
      <c r="AM445" s="1074"/>
      <c r="AN445" s="1074"/>
      <c r="AO445" s="1074"/>
      <c r="AP445" s="1074"/>
      <c r="AQ445" s="1074"/>
      <c r="AR445" s="1074"/>
      <c r="AS445" s="1074"/>
      <c r="AT445" s="1075"/>
    </row>
    <row r="446" ht="14.25" customHeight="1">
      <c r="A446" s="1116"/>
      <c r="B446" s="1120"/>
      <c r="C446" s="1100"/>
      <c r="D446" s="1100"/>
      <c r="E446" s="1100"/>
      <c r="F446" s="1100"/>
      <c r="G446" s="1100"/>
      <c r="H446" s="1100"/>
      <c r="I446" s="1100"/>
      <c r="J446" s="1100"/>
      <c r="K446" s="1074"/>
      <c r="L446" s="1074"/>
      <c r="M446" s="1074"/>
      <c r="N446" s="1074"/>
      <c r="O446" s="1074"/>
      <c r="P446" s="1074"/>
      <c r="Q446" s="1074"/>
      <c r="R446" s="1074"/>
      <c r="S446" s="1074"/>
      <c r="T446" s="1074"/>
      <c r="U446" s="1074"/>
      <c r="V446" s="1074"/>
      <c r="W446" s="1074"/>
      <c r="X446" s="1074"/>
      <c r="Y446" s="1074"/>
      <c r="Z446" s="1074"/>
      <c r="AA446" s="1074"/>
      <c r="AB446" s="1074"/>
      <c r="AC446" s="1074"/>
      <c r="AD446" s="1074"/>
      <c r="AE446" s="1074"/>
      <c r="AF446" s="1074"/>
      <c r="AG446" s="1074"/>
      <c r="AH446" s="1074"/>
      <c r="AI446" s="1074"/>
      <c r="AJ446" s="1074"/>
      <c r="AK446" s="1074"/>
      <c r="AL446" s="1074"/>
      <c r="AM446" s="1074"/>
      <c r="AN446" s="1074"/>
      <c r="AO446" s="1074"/>
      <c r="AP446" s="1074"/>
      <c r="AQ446" s="1074"/>
      <c r="AR446" s="1074"/>
      <c r="AS446" s="1074"/>
      <c r="AT446" s="1075"/>
    </row>
    <row r="447" ht="14.25" customHeight="1">
      <c r="A447" s="1116"/>
      <c r="B447" s="1120"/>
      <c r="C447" s="1100"/>
      <c r="D447" s="1100"/>
      <c r="E447" s="1100"/>
      <c r="F447" s="1100"/>
      <c r="G447" s="1100"/>
      <c r="H447" s="1100"/>
      <c r="I447" s="1100"/>
      <c r="J447" s="1100"/>
      <c r="K447" s="1074"/>
      <c r="L447" s="1074"/>
      <c r="M447" s="1074"/>
      <c r="N447" s="1074"/>
      <c r="O447" s="1074"/>
      <c r="P447" s="1074"/>
      <c r="Q447" s="1074"/>
      <c r="R447" s="1074"/>
      <c r="S447" s="1074"/>
      <c r="T447" s="1074"/>
      <c r="U447" s="1074"/>
      <c r="V447" s="1074"/>
      <c r="W447" s="1074"/>
      <c r="X447" s="1074"/>
      <c r="Y447" s="1074"/>
      <c r="Z447" s="1074"/>
      <c r="AA447" s="1074"/>
      <c r="AB447" s="1074"/>
      <c r="AC447" s="1074"/>
      <c r="AD447" s="1074"/>
      <c r="AE447" s="1074"/>
      <c r="AF447" s="1074"/>
      <c r="AG447" s="1074"/>
      <c r="AH447" s="1074"/>
      <c r="AI447" s="1074"/>
      <c r="AJ447" s="1074"/>
      <c r="AK447" s="1074"/>
      <c r="AL447" s="1074"/>
      <c r="AM447" s="1074"/>
      <c r="AN447" s="1074"/>
      <c r="AO447" s="1074"/>
      <c r="AP447" s="1074"/>
      <c r="AQ447" s="1074"/>
      <c r="AR447" s="1074"/>
      <c r="AS447" s="1074"/>
      <c r="AT447" s="1075"/>
    </row>
    <row r="448" ht="14.25" customHeight="1">
      <c r="A448" s="1116"/>
      <c r="B448" s="1120"/>
      <c r="C448" s="1100"/>
      <c r="D448" s="1100"/>
      <c r="E448" s="1100"/>
      <c r="F448" s="1100"/>
      <c r="G448" s="1100"/>
      <c r="H448" s="1100"/>
      <c r="I448" s="1100"/>
      <c r="J448" s="1100"/>
      <c r="K448" s="1074"/>
      <c r="L448" s="1074"/>
      <c r="M448" s="1074"/>
      <c r="N448" s="1074"/>
      <c r="O448" s="1074"/>
      <c r="P448" s="1074"/>
      <c r="Q448" s="1074"/>
      <c r="R448" s="1074"/>
      <c r="S448" s="1074"/>
      <c r="T448" s="1074"/>
      <c r="U448" s="1074"/>
      <c r="V448" s="1074"/>
      <c r="W448" s="1074"/>
      <c r="X448" s="1074"/>
      <c r="Y448" s="1074"/>
      <c r="Z448" s="1074"/>
      <c r="AA448" s="1074"/>
      <c r="AB448" s="1074"/>
      <c r="AC448" s="1074"/>
      <c r="AD448" s="1074"/>
      <c r="AE448" s="1074"/>
      <c r="AF448" s="1074"/>
      <c r="AG448" s="1074"/>
      <c r="AH448" s="1074"/>
      <c r="AI448" s="1074"/>
      <c r="AJ448" s="1074"/>
      <c r="AK448" s="1074"/>
      <c r="AL448" s="1074"/>
      <c r="AM448" s="1074"/>
      <c r="AN448" s="1074"/>
      <c r="AO448" s="1074"/>
      <c r="AP448" s="1074"/>
      <c r="AQ448" s="1074"/>
      <c r="AR448" s="1074"/>
      <c r="AS448" s="1074"/>
      <c r="AT448" s="1075"/>
    </row>
    <row r="449" ht="14.25" customHeight="1">
      <c r="A449" s="1116"/>
      <c r="B449" s="1120"/>
      <c r="C449" s="1100"/>
      <c r="D449" s="1100"/>
      <c r="E449" s="1100"/>
      <c r="F449" s="1100"/>
      <c r="G449" s="1100"/>
      <c r="H449" s="1100"/>
      <c r="I449" s="1100"/>
      <c r="J449" s="1100"/>
      <c r="K449" s="1074"/>
      <c r="L449" s="1074"/>
      <c r="M449" s="1074"/>
      <c r="N449" s="1074"/>
      <c r="O449" s="1074"/>
      <c r="P449" s="1074"/>
      <c r="Q449" s="1074"/>
      <c r="R449" s="1074"/>
      <c r="S449" s="1074"/>
      <c r="T449" s="1074"/>
      <c r="U449" s="1074"/>
      <c r="V449" s="1074"/>
      <c r="W449" s="1074"/>
      <c r="X449" s="1074"/>
      <c r="Y449" s="1074"/>
      <c r="Z449" s="1074"/>
      <c r="AA449" s="1074"/>
      <c r="AB449" s="1074"/>
      <c r="AC449" s="1074"/>
      <c r="AD449" s="1074"/>
      <c r="AE449" s="1074"/>
      <c r="AF449" s="1074"/>
      <c r="AG449" s="1074"/>
      <c r="AH449" s="1074"/>
      <c r="AI449" s="1074"/>
      <c r="AJ449" s="1074"/>
      <c r="AK449" s="1074"/>
      <c r="AL449" s="1074"/>
      <c r="AM449" s="1074"/>
      <c r="AN449" s="1074"/>
      <c r="AO449" s="1074"/>
      <c r="AP449" s="1074"/>
      <c r="AQ449" s="1074"/>
      <c r="AR449" s="1074"/>
      <c r="AS449" s="1074"/>
      <c r="AT449" s="1075"/>
    </row>
    <row r="450" ht="14.25" customHeight="1">
      <c r="A450" s="1116"/>
      <c r="B450" s="1120"/>
      <c r="C450" s="1100"/>
      <c r="D450" s="1100"/>
      <c r="E450" s="1100"/>
      <c r="F450" s="1100"/>
      <c r="G450" s="1100"/>
      <c r="H450" s="1100"/>
      <c r="I450" s="1100"/>
      <c r="J450" s="1100"/>
      <c r="K450" s="1074"/>
      <c r="L450" s="1074"/>
      <c r="M450" s="1074"/>
      <c r="N450" s="1074"/>
      <c r="O450" s="1074"/>
      <c r="P450" s="1074"/>
      <c r="Q450" s="1074"/>
      <c r="R450" s="1074"/>
      <c r="S450" s="1074"/>
      <c r="T450" s="1074"/>
      <c r="U450" s="1074"/>
      <c r="V450" s="1074"/>
      <c r="W450" s="1074"/>
      <c r="X450" s="1074"/>
      <c r="Y450" s="1074"/>
      <c r="Z450" s="1074"/>
      <c r="AA450" s="1074"/>
      <c r="AB450" s="1074"/>
      <c r="AC450" s="1074"/>
      <c r="AD450" s="1074"/>
      <c r="AE450" s="1074"/>
      <c r="AF450" s="1074"/>
      <c r="AG450" s="1074"/>
      <c r="AH450" s="1074"/>
      <c r="AI450" s="1074"/>
      <c r="AJ450" s="1074"/>
      <c r="AK450" s="1074"/>
      <c r="AL450" s="1074"/>
      <c r="AM450" s="1074"/>
      <c r="AN450" s="1074"/>
      <c r="AO450" s="1074"/>
      <c r="AP450" s="1074"/>
      <c r="AQ450" s="1074"/>
      <c r="AR450" s="1074"/>
      <c r="AS450" s="1074"/>
      <c r="AT450" s="1075"/>
    </row>
    <row r="451" ht="14.25" customHeight="1">
      <c r="A451" s="1116"/>
      <c r="B451" s="1120"/>
      <c r="C451" s="1100"/>
      <c r="D451" s="1100"/>
      <c r="E451" s="1100"/>
      <c r="F451" s="1100"/>
      <c r="G451" s="1100"/>
      <c r="H451" s="1100"/>
      <c r="I451" s="1100"/>
      <c r="J451" s="1100"/>
      <c r="K451" s="1074"/>
      <c r="L451" s="1074"/>
      <c r="M451" s="1074"/>
      <c r="N451" s="1074"/>
      <c r="O451" s="1074"/>
      <c r="P451" s="1074"/>
      <c r="Q451" s="1074"/>
      <c r="R451" s="1074"/>
      <c r="S451" s="1074"/>
      <c r="T451" s="1074"/>
      <c r="U451" s="1074"/>
      <c r="V451" s="1074"/>
      <c r="W451" s="1074"/>
      <c r="X451" s="1074"/>
      <c r="Y451" s="1074"/>
      <c r="Z451" s="1074"/>
      <c r="AA451" s="1074"/>
      <c r="AB451" s="1074"/>
      <c r="AC451" s="1074"/>
      <c r="AD451" s="1074"/>
      <c r="AE451" s="1074"/>
      <c r="AF451" s="1074"/>
      <c r="AG451" s="1074"/>
      <c r="AH451" s="1074"/>
      <c r="AI451" s="1074"/>
      <c r="AJ451" s="1074"/>
      <c r="AK451" s="1074"/>
      <c r="AL451" s="1074"/>
      <c r="AM451" s="1074"/>
      <c r="AN451" s="1074"/>
      <c r="AO451" s="1074"/>
      <c r="AP451" s="1074"/>
      <c r="AQ451" s="1074"/>
      <c r="AR451" s="1074"/>
      <c r="AS451" s="1074"/>
      <c r="AT451" s="1075"/>
    </row>
    <row r="452" ht="14.25" customHeight="1">
      <c r="A452" s="1116"/>
      <c r="B452" s="1120"/>
      <c r="C452" s="1100"/>
      <c r="D452" s="1100"/>
      <c r="E452" s="1100"/>
      <c r="F452" s="1100"/>
      <c r="G452" s="1100"/>
      <c r="H452" s="1100"/>
      <c r="I452" s="1100"/>
      <c r="J452" s="1100"/>
      <c r="K452" s="1074"/>
      <c r="L452" s="1074"/>
      <c r="M452" s="1074"/>
      <c r="N452" s="1074"/>
      <c r="O452" s="1074"/>
      <c r="P452" s="1074"/>
      <c r="Q452" s="1074"/>
      <c r="R452" s="1074"/>
      <c r="S452" s="1074"/>
      <c r="T452" s="1074"/>
      <c r="U452" s="1074"/>
      <c r="V452" s="1074"/>
      <c r="W452" s="1074"/>
      <c r="X452" s="1074"/>
      <c r="Y452" s="1074"/>
      <c r="Z452" s="1074"/>
      <c r="AA452" s="1074"/>
      <c r="AB452" s="1074"/>
      <c r="AC452" s="1074"/>
      <c r="AD452" s="1074"/>
      <c r="AE452" s="1074"/>
      <c r="AF452" s="1074"/>
      <c r="AG452" s="1074"/>
      <c r="AH452" s="1074"/>
      <c r="AI452" s="1074"/>
      <c r="AJ452" s="1074"/>
      <c r="AK452" s="1074"/>
      <c r="AL452" s="1074"/>
      <c r="AM452" s="1074"/>
      <c r="AN452" s="1074"/>
      <c r="AO452" s="1074"/>
      <c r="AP452" s="1074"/>
      <c r="AQ452" s="1074"/>
      <c r="AR452" s="1074"/>
      <c r="AS452" s="1074"/>
      <c r="AT452" s="1075"/>
    </row>
    <row r="453" ht="14.25" customHeight="1">
      <c r="A453" s="1116"/>
      <c r="B453" s="1120"/>
      <c r="C453" s="1100"/>
      <c r="D453" s="1100"/>
      <c r="E453" s="1100"/>
      <c r="F453" s="1100"/>
      <c r="G453" s="1100"/>
      <c r="H453" s="1100"/>
      <c r="I453" s="1100"/>
      <c r="J453" s="1100"/>
      <c r="K453" s="1074"/>
      <c r="L453" s="1074"/>
      <c r="M453" s="1074"/>
      <c r="N453" s="1074"/>
      <c r="O453" s="1074"/>
      <c r="P453" s="1074"/>
      <c r="Q453" s="1074"/>
      <c r="R453" s="1074"/>
      <c r="S453" s="1074"/>
      <c r="T453" s="1074"/>
      <c r="U453" s="1074"/>
      <c r="V453" s="1074"/>
      <c r="W453" s="1074"/>
      <c r="X453" s="1074"/>
      <c r="Y453" s="1074"/>
      <c r="Z453" s="1074"/>
      <c r="AA453" s="1074"/>
      <c r="AB453" s="1074"/>
      <c r="AC453" s="1074"/>
      <c r="AD453" s="1074"/>
      <c r="AE453" s="1074"/>
      <c r="AF453" s="1074"/>
      <c r="AG453" s="1074"/>
      <c r="AH453" s="1074"/>
      <c r="AI453" s="1074"/>
      <c r="AJ453" s="1074"/>
      <c r="AK453" s="1074"/>
      <c r="AL453" s="1074"/>
      <c r="AM453" s="1074"/>
      <c r="AN453" s="1074"/>
      <c r="AO453" s="1074"/>
      <c r="AP453" s="1074"/>
      <c r="AQ453" s="1074"/>
      <c r="AR453" s="1074"/>
      <c r="AS453" s="1074"/>
      <c r="AT453" s="1075"/>
    </row>
    <row r="454" ht="14.25" customHeight="1">
      <c r="A454" s="1116"/>
      <c r="B454" s="1120"/>
      <c r="C454" s="1100"/>
      <c r="D454" s="1100"/>
      <c r="E454" s="1100"/>
      <c r="F454" s="1100"/>
      <c r="G454" s="1100"/>
      <c r="H454" s="1100"/>
      <c r="I454" s="1100"/>
      <c r="J454" s="1100"/>
      <c r="K454" s="1074"/>
      <c r="L454" s="1074"/>
      <c r="M454" s="1074"/>
      <c r="N454" s="1074"/>
      <c r="O454" s="1074"/>
      <c r="P454" s="1074"/>
      <c r="Q454" s="1074"/>
      <c r="R454" s="1074"/>
      <c r="S454" s="1074"/>
      <c r="T454" s="1074"/>
      <c r="U454" s="1074"/>
      <c r="V454" s="1074"/>
      <c r="W454" s="1074"/>
      <c r="X454" s="1074"/>
      <c r="Y454" s="1074"/>
      <c r="Z454" s="1074"/>
      <c r="AA454" s="1074"/>
      <c r="AB454" s="1074"/>
      <c r="AC454" s="1074"/>
      <c r="AD454" s="1074"/>
      <c r="AE454" s="1074"/>
      <c r="AF454" s="1074"/>
      <c r="AG454" s="1074"/>
      <c r="AH454" s="1074"/>
      <c r="AI454" s="1074"/>
      <c r="AJ454" s="1074"/>
      <c r="AK454" s="1074"/>
      <c r="AL454" s="1074"/>
      <c r="AM454" s="1074"/>
      <c r="AN454" s="1074"/>
      <c r="AO454" s="1074"/>
      <c r="AP454" s="1074"/>
      <c r="AQ454" s="1074"/>
      <c r="AR454" s="1074"/>
      <c r="AS454" s="1074"/>
      <c r="AT454" s="1075"/>
    </row>
    <row r="455" ht="14.25" customHeight="1">
      <c r="A455" s="1116"/>
      <c r="B455" s="1120"/>
      <c r="C455" s="1100"/>
      <c r="D455" s="1100"/>
      <c r="E455" s="1100"/>
      <c r="F455" s="1100"/>
      <c r="G455" s="1100"/>
      <c r="H455" s="1100"/>
      <c r="I455" s="1100"/>
      <c r="J455" s="1100"/>
      <c r="K455" s="1074"/>
      <c r="L455" s="1074"/>
      <c r="M455" s="1074"/>
      <c r="N455" s="1074"/>
      <c r="O455" s="1074"/>
      <c r="P455" s="1074"/>
      <c r="Q455" s="1074"/>
      <c r="R455" s="1074"/>
      <c r="S455" s="1074"/>
      <c r="T455" s="1074"/>
      <c r="U455" s="1074"/>
      <c r="V455" s="1074"/>
      <c r="W455" s="1074"/>
      <c r="X455" s="1074"/>
      <c r="Y455" s="1074"/>
      <c r="Z455" s="1074"/>
      <c r="AA455" s="1074"/>
      <c r="AB455" s="1074"/>
      <c r="AC455" s="1074"/>
      <c r="AD455" s="1074"/>
      <c r="AE455" s="1074"/>
      <c r="AF455" s="1074"/>
      <c r="AG455" s="1074"/>
      <c r="AH455" s="1074"/>
      <c r="AI455" s="1074"/>
      <c r="AJ455" s="1074"/>
      <c r="AK455" s="1074"/>
      <c r="AL455" s="1074"/>
      <c r="AM455" s="1074"/>
      <c r="AN455" s="1074"/>
      <c r="AO455" s="1074"/>
      <c r="AP455" s="1074"/>
      <c r="AQ455" s="1074"/>
      <c r="AR455" s="1074"/>
      <c r="AS455" s="1074"/>
      <c r="AT455" s="1075"/>
    </row>
    <row r="456" ht="14.25" customHeight="1">
      <c r="A456" s="1116"/>
      <c r="B456" s="1120"/>
      <c r="C456" s="1100"/>
      <c r="D456" s="1100"/>
      <c r="E456" s="1100"/>
      <c r="F456" s="1100"/>
      <c r="G456" s="1100"/>
      <c r="H456" s="1100"/>
      <c r="I456" s="1100"/>
      <c r="J456" s="1100"/>
      <c r="K456" s="1074"/>
      <c r="L456" s="1074"/>
      <c r="M456" s="1074"/>
      <c r="N456" s="1074"/>
      <c r="O456" s="1074"/>
      <c r="P456" s="1074"/>
      <c r="Q456" s="1074"/>
      <c r="R456" s="1074"/>
      <c r="S456" s="1074"/>
      <c r="T456" s="1074"/>
      <c r="U456" s="1074"/>
      <c r="V456" s="1074"/>
      <c r="W456" s="1074"/>
      <c r="X456" s="1074"/>
      <c r="Y456" s="1074"/>
      <c r="Z456" s="1074"/>
      <c r="AA456" s="1074"/>
      <c r="AB456" s="1074"/>
      <c r="AC456" s="1074"/>
      <c r="AD456" s="1074"/>
      <c r="AE456" s="1074"/>
      <c r="AF456" s="1074"/>
      <c r="AG456" s="1074"/>
      <c r="AH456" s="1074"/>
      <c r="AI456" s="1074"/>
      <c r="AJ456" s="1074"/>
      <c r="AK456" s="1074"/>
      <c r="AL456" s="1074"/>
      <c r="AM456" s="1074"/>
      <c r="AN456" s="1074"/>
      <c r="AO456" s="1074"/>
      <c r="AP456" s="1074"/>
      <c r="AQ456" s="1074"/>
      <c r="AR456" s="1074"/>
      <c r="AS456" s="1074"/>
      <c r="AT456" s="1075"/>
    </row>
    <row r="457" ht="14.25" customHeight="1">
      <c r="A457" s="1116"/>
      <c r="B457" s="1120"/>
      <c r="C457" s="1100"/>
      <c r="D457" s="1100"/>
      <c r="E457" s="1100"/>
      <c r="F457" s="1100"/>
      <c r="G457" s="1100"/>
      <c r="H457" s="1100"/>
      <c r="I457" s="1100"/>
      <c r="J457" s="1100"/>
      <c r="K457" s="1074"/>
      <c r="L457" s="1074"/>
      <c r="M457" s="1074"/>
      <c r="N457" s="1074"/>
      <c r="O457" s="1074"/>
      <c r="P457" s="1074"/>
      <c r="Q457" s="1074"/>
      <c r="R457" s="1074"/>
      <c r="S457" s="1074"/>
      <c r="T457" s="1074"/>
      <c r="U457" s="1074"/>
      <c r="V457" s="1074"/>
      <c r="W457" s="1074"/>
      <c r="X457" s="1074"/>
      <c r="Y457" s="1074"/>
      <c r="Z457" s="1074"/>
      <c r="AA457" s="1074"/>
      <c r="AB457" s="1074"/>
      <c r="AC457" s="1074"/>
      <c r="AD457" s="1074"/>
      <c r="AE457" s="1074"/>
      <c r="AF457" s="1074"/>
      <c r="AG457" s="1074"/>
      <c r="AH457" s="1074"/>
      <c r="AI457" s="1074"/>
      <c r="AJ457" s="1074"/>
      <c r="AK457" s="1074"/>
      <c r="AL457" s="1074"/>
      <c r="AM457" s="1074"/>
      <c r="AN457" s="1074"/>
      <c r="AO457" s="1074"/>
      <c r="AP457" s="1074"/>
      <c r="AQ457" s="1074"/>
      <c r="AR457" s="1074"/>
      <c r="AS457" s="1074"/>
      <c r="AT457" s="1075"/>
    </row>
    <row r="458" ht="14.25" customHeight="1">
      <c r="A458" s="1116"/>
      <c r="B458" s="1120"/>
      <c r="C458" s="1100"/>
      <c r="D458" s="1100"/>
      <c r="E458" s="1100"/>
      <c r="F458" s="1100"/>
      <c r="G458" s="1100"/>
      <c r="H458" s="1100"/>
      <c r="I458" s="1100"/>
      <c r="J458" s="1100"/>
      <c r="K458" s="1074"/>
      <c r="L458" s="1074"/>
      <c r="M458" s="1074"/>
      <c r="N458" s="1074"/>
      <c r="O458" s="1074"/>
      <c r="P458" s="1074"/>
      <c r="Q458" s="1074"/>
      <c r="R458" s="1074"/>
      <c r="S458" s="1074"/>
      <c r="T458" s="1074"/>
      <c r="U458" s="1074"/>
      <c r="V458" s="1074"/>
      <c r="W458" s="1074"/>
      <c r="X458" s="1074"/>
      <c r="Y458" s="1074"/>
      <c r="Z458" s="1074"/>
      <c r="AA458" s="1074"/>
      <c r="AB458" s="1074"/>
      <c r="AC458" s="1074"/>
      <c r="AD458" s="1074"/>
      <c r="AE458" s="1074"/>
      <c r="AF458" s="1074"/>
      <c r="AG458" s="1074"/>
      <c r="AH458" s="1074"/>
      <c r="AI458" s="1074"/>
      <c r="AJ458" s="1074"/>
      <c r="AK458" s="1074"/>
      <c r="AL458" s="1074"/>
      <c r="AM458" s="1074"/>
      <c r="AN458" s="1074"/>
      <c r="AO458" s="1074"/>
      <c r="AP458" s="1074"/>
      <c r="AQ458" s="1074"/>
      <c r="AR458" s="1074"/>
      <c r="AS458" s="1074"/>
      <c r="AT458" s="1075"/>
    </row>
    <row r="459" ht="14.25" customHeight="1">
      <c r="A459" s="1116"/>
      <c r="B459" s="1120"/>
      <c r="C459" s="1100"/>
      <c r="D459" s="1100"/>
      <c r="E459" s="1100"/>
      <c r="F459" s="1100"/>
      <c r="G459" s="1100"/>
      <c r="H459" s="1100"/>
      <c r="I459" s="1100"/>
      <c r="J459" s="1100"/>
      <c r="K459" s="1074"/>
      <c r="L459" s="1074"/>
      <c r="M459" s="1074"/>
      <c r="N459" s="1074"/>
      <c r="O459" s="1074"/>
      <c r="P459" s="1074"/>
      <c r="Q459" s="1074"/>
      <c r="R459" s="1074"/>
      <c r="S459" s="1074"/>
      <c r="T459" s="1074"/>
      <c r="U459" s="1074"/>
      <c r="V459" s="1074"/>
      <c r="W459" s="1074"/>
      <c r="X459" s="1074"/>
      <c r="Y459" s="1074"/>
      <c r="Z459" s="1074"/>
      <c r="AA459" s="1074"/>
      <c r="AB459" s="1074"/>
      <c r="AC459" s="1074"/>
      <c r="AD459" s="1074"/>
      <c r="AE459" s="1074"/>
      <c r="AF459" s="1074"/>
      <c r="AG459" s="1074"/>
      <c r="AH459" s="1074"/>
      <c r="AI459" s="1074"/>
      <c r="AJ459" s="1074"/>
      <c r="AK459" s="1074"/>
      <c r="AL459" s="1074"/>
      <c r="AM459" s="1074"/>
      <c r="AN459" s="1074"/>
      <c r="AO459" s="1074"/>
      <c r="AP459" s="1074"/>
      <c r="AQ459" s="1074"/>
      <c r="AR459" s="1074"/>
      <c r="AS459" s="1074"/>
      <c r="AT459" s="1075"/>
    </row>
    <row r="460" ht="14.25" customHeight="1">
      <c r="A460" s="1116"/>
      <c r="B460" s="1120"/>
      <c r="C460" s="1100"/>
      <c r="D460" s="1100"/>
      <c r="E460" s="1100"/>
      <c r="F460" s="1100"/>
      <c r="G460" s="1100"/>
      <c r="H460" s="1100"/>
      <c r="I460" s="1100"/>
      <c r="J460" s="1100"/>
      <c r="K460" s="1074"/>
      <c r="L460" s="1074"/>
      <c r="M460" s="1074"/>
      <c r="N460" s="1074"/>
      <c r="O460" s="1074"/>
      <c r="P460" s="1074"/>
      <c r="Q460" s="1074"/>
      <c r="R460" s="1074"/>
      <c r="S460" s="1074"/>
      <c r="T460" s="1074"/>
      <c r="U460" s="1074"/>
      <c r="V460" s="1074"/>
      <c r="W460" s="1074"/>
      <c r="X460" s="1074"/>
      <c r="Y460" s="1074"/>
      <c r="Z460" s="1074"/>
      <c r="AA460" s="1074"/>
      <c r="AB460" s="1074"/>
      <c r="AC460" s="1074"/>
      <c r="AD460" s="1074"/>
      <c r="AE460" s="1074"/>
      <c r="AF460" s="1074"/>
      <c r="AG460" s="1074"/>
      <c r="AH460" s="1074"/>
      <c r="AI460" s="1074"/>
      <c r="AJ460" s="1074"/>
      <c r="AK460" s="1074"/>
      <c r="AL460" s="1074"/>
      <c r="AM460" s="1074"/>
      <c r="AN460" s="1074"/>
      <c r="AO460" s="1074"/>
      <c r="AP460" s="1074"/>
      <c r="AQ460" s="1074"/>
      <c r="AR460" s="1074"/>
      <c r="AS460" s="1074"/>
      <c r="AT460" s="1075"/>
    </row>
    <row r="461" ht="14.25" customHeight="1">
      <c r="A461" s="1116"/>
      <c r="B461" s="1120"/>
      <c r="C461" s="1100"/>
      <c r="D461" s="1100"/>
      <c r="E461" s="1100"/>
      <c r="F461" s="1100"/>
      <c r="G461" s="1100"/>
      <c r="H461" s="1100"/>
      <c r="I461" s="1100"/>
      <c r="J461" s="1100"/>
      <c r="K461" s="1074"/>
      <c r="L461" s="1074"/>
      <c r="M461" s="1074"/>
      <c r="N461" s="1074"/>
      <c r="O461" s="1074"/>
      <c r="P461" s="1074"/>
      <c r="Q461" s="1074"/>
      <c r="R461" s="1074"/>
      <c r="S461" s="1074"/>
      <c r="T461" s="1074"/>
      <c r="U461" s="1074"/>
      <c r="V461" s="1074"/>
      <c r="W461" s="1074"/>
      <c r="X461" s="1074"/>
      <c r="Y461" s="1074"/>
      <c r="Z461" s="1074"/>
      <c r="AA461" s="1074"/>
      <c r="AB461" s="1074"/>
      <c r="AC461" s="1074"/>
      <c r="AD461" s="1074"/>
      <c r="AE461" s="1074"/>
      <c r="AF461" s="1074"/>
      <c r="AG461" s="1074"/>
      <c r="AH461" s="1074"/>
      <c r="AI461" s="1074"/>
      <c r="AJ461" s="1074"/>
      <c r="AK461" s="1074"/>
      <c r="AL461" s="1074"/>
      <c r="AM461" s="1074"/>
      <c r="AN461" s="1074"/>
      <c r="AO461" s="1074"/>
      <c r="AP461" s="1074"/>
      <c r="AQ461" s="1074"/>
      <c r="AR461" s="1074"/>
      <c r="AS461" s="1074"/>
      <c r="AT461" s="1075"/>
    </row>
    <row r="462" ht="14.25" customHeight="1">
      <c r="A462" s="1116"/>
      <c r="B462" s="1120"/>
      <c r="C462" s="1100"/>
      <c r="D462" s="1100"/>
      <c r="E462" s="1100"/>
      <c r="F462" s="1100"/>
      <c r="G462" s="1100"/>
      <c r="H462" s="1100"/>
      <c r="I462" s="1100"/>
      <c r="J462" s="1100"/>
      <c r="K462" s="1074"/>
      <c r="L462" s="1074"/>
      <c r="M462" s="1074"/>
      <c r="N462" s="1074"/>
      <c r="O462" s="1074"/>
      <c r="P462" s="1074"/>
      <c r="Q462" s="1074"/>
      <c r="R462" s="1074"/>
      <c r="S462" s="1074"/>
      <c r="T462" s="1074"/>
      <c r="U462" s="1074"/>
      <c r="V462" s="1074"/>
      <c r="W462" s="1074"/>
      <c r="X462" s="1074"/>
      <c r="Y462" s="1074"/>
      <c r="Z462" s="1074"/>
      <c r="AA462" s="1074"/>
      <c r="AB462" s="1074"/>
      <c r="AC462" s="1074"/>
      <c r="AD462" s="1074"/>
      <c r="AE462" s="1074"/>
      <c r="AF462" s="1074"/>
      <c r="AG462" s="1074"/>
      <c r="AH462" s="1074"/>
      <c r="AI462" s="1074"/>
      <c r="AJ462" s="1074"/>
      <c r="AK462" s="1074"/>
      <c r="AL462" s="1074"/>
      <c r="AM462" s="1074"/>
      <c r="AN462" s="1074"/>
      <c r="AO462" s="1074"/>
      <c r="AP462" s="1074"/>
      <c r="AQ462" s="1074"/>
      <c r="AR462" s="1074"/>
      <c r="AS462" s="1074"/>
      <c r="AT462" s="1075"/>
    </row>
    <row r="463" ht="14.25" customHeight="1">
      <c r="A463" s="1116"/>
      <c r="B463" s="1120"/>
      <c r="C463" s="1100"/>
      <c r="D463" s="1100"/>
      <c r="E463" s="1100"/>
      <c r="F463" s="1100"/>
      <c r="G463" s="1100"/>
      <c r="H463" s="1100"/>
      <c r="I463" s="1100"/>
      <c r="J463" s="1100"/>
      <c r="K463" s="1074"/>
      <c r="L463" s="1074"/>
      <c r="M463" s="1074"/>
      <c r="N463" s="1074"/>
      <c r="O463" s="1074"/>
      <c r="P463" s="1074"/>
      <c r="Q463" s="1074"/>
      <c r="R463" s="1074"/>
      <c r="S463" s="1074"/>
      <c r="T463" s="1074"/>
      <c r="U463" s="1074"/>
      <c r="V463" s="1074"/>
      <c r="W463" s="1074"/>
      <c r="X463" s="1074"/>
      <c r="Y463" s="1074"/>
      <c r="Z463" s="1074"/>
      <c r="AA463" s="1074"/>
      <c r="AB463" s="1074"/>
      <c r="AC463" s="1074"/>
      <c r="AD463" s="1074"/>
      <c r="AE463" s="1074"/>
      <c r="AF463" s="1074"/>
      <c r="AG463" s="1074"/>
      <c r="AH463" s="1074"/>
      <c r="AI463" s="1074"/>
      <c r="AJ463" s="1074"/>
      <c r="AK463" s="1074"/>
      <c r="AL463" s="1074"/>
      <c r="AM463" s="1074"/>
      <c r="AN463" s="1074"/>
      <c r="AO463" s="1074"/>
      <c r="AP463" s="1074"/>
      <c r="AQ463" s="1074"/>
      <c r="AR463" s="1074"/>
      <c r="AS463" s="1074"/>
      <c r="AT463" s="1075"/>
    </row>
    <row r="464" ht="14.25" customHeight="1">
      <c r="A464" s="1116"/>
      <c r="B464" s="1120"/>
      <c r="C464" s="1100"/>
      <c r="D464" s="1100"/>
      <c r="E464" s="1100"/>
      <c r="F464" s="1100"/>
      <c r="G464" s="1100"/>
      <c r="H464" s="1100"/>
      <c r="I464" s="1100"/>
      <c r="J464" s="1100"/>
      <c r="K464" s="1074"/>
      <c r="L464" s="1074"/>
      <c r="M464" s="1074"/>
      <c r="N464" s="1074"/>
      <c r="O464" s="1074"/>
      <c r="P464" s="1074"/>
      <c r="Q464" s="1074"/>
      <c r="R464" s="1074"/>
      <c r="S464" s="1074"/>
      <c r="T464" s="1074"/>
      <c r="U464" s="1074"/>
      <c r="V464" s="1074"/>
      <c r="W464" s="1074"/>
      <c r="X464" s="1074"/>
      <c r="Y464" s="1074"/>
      <c r="Z464" s="1074"/>
      <c r="AA464" s="1074"/>
      <c r="AB464" s="1074"/>
      <c r="AC464" s="1074"/>
      <c r="AD464" s="1074"/>
      <c r="AE464" s="1074"/>
      <c r="AF464" s="1074"/>
      <c r="AG464" s="1074"/>
      <c r="AH464" s="1074"/>
      <c r="AI464" s="1074"/>
      <c r="AJ464" s="1074"/>
      <c r="AK464" s="1074"/>
      <c r="AL464" s="1074"/>
      <c r="AM464" s="1074"/>
      <c r="AN464" s="1074"/>
      <c r="AO464" s="1074"/>
      <c r="AP464" s="1074"/>
      <c r="AQ464" s="1074"/>
      <c r="AR464" s="1074"/>
      <c r="AS464" s="1074"/>
      <c r="AT464" s="1075"/>
    </row>
    <row r="465" ht="14.25" customHeight="1">
      <c r="A465" s="1116"/>
      <c r="B465" s="1120"/>
      <c r="C465" s="1100"/>
      <c r="D465" s="1100"/>
      <c r="E465" s="1100"/>
      <c r="F465" s="1100"/>
      <c r="G465" s="1100"/>
      <c r="H465" s="1100"/>
      <c r="I465" s="1100"/>
      <c r="J465" s="1100"/>
      <c r="K465" s="1074"/>
      <c r="L465" s="1074"/>
      <c r="M465" s="1074"/>
      <c r="N465" s="1074"/>
      <c r="O465" s="1074"/>
      <c r="P465" s="1074"/>
      <c r="Q465" s="1074"/>
      <c r="R465" s="1074"/>
      <c r="S465" s="1074"/>
      <c r="T465" s="1074"/>
      <c r="U465" s="1074"/>
      <c r="V465" s="1074"/>
      <c r="W465" s="1074"/>
      <c r="X465" s="1074"/>
      <c r="Y465" s="1074"/>
      <c r="Z465" s="1074"/>
      <c r="AA465" s="1074"/>
      <c r="AB465" s="1074"/>
      <c r="AC465" s="1074"/>
      <c r="AD465" s="1074"/>
      <c r="AE465" s="1074"/>
      <c r="AF465" s="1074"/>
      <c r="AG465" s="1074"/>
      <c r="AH465" s="1074"/>
      <c r="AI465" s="1074"/>
      <c r="AJ465" s="1074"/>
      <c r="AK465" s="1074"/>
      <c r="AL465" s="1074"/>
      <c r="AM465" s="1074"/>
      <c r="AN465" s="1074"/>
      <c r="AO465" s="1074"/>
      <c r="AP465" s="1074"/>
      <c r="AQ465" s="1074"/>
      <c r="AR465" s="1074"/>
      <c r="AS465" s="1074"/>
      <c r="AT465" s="1075"/>
    </row>
    <row r="466" ht="14.25" customHeight="1">
      <c r="A466" s="1116"/>
      <c r="B466" s="1120"/>
      <c r="C466" s="1100"/>
      <c r="D466" s="1100"/>
      <c r="E466" s="1100"/>
      <c r="F466" s="1100"/>
      <c r="G466" s="1100"/>
      <c r="H466" s="1100"/>
      <c r="I466" s="1100"/>
      <c r="J466" s="1100"/>
      <c r="K466" s="1074"/>
      <c r="L466" s="1074"/>
      <c r="M466" s="1074"/>
      <c r="N466" s="1074"/>
      <c r="O466" s="1074"/>
      <c r="P466" s="1074"/>
      <c r="Q466" s="1074"/>
      <c r="R466" s="1074"/>
      <c r="S466" s="1074"/>
      <c r="T466" s="1074"/>
      <c r="U466" s="1074"/>
      <c r="V466" s="1074"/>
      <c r="W466" s="1074"/>
      <c r="X466" s="1074"/>
      <c r="Y466" s="1074"/>
      <c r="Z466" s="1074"/>
      <c r="AA466" s="1074"/>
      <c r="AB466" s="1074"/>
      <c r="AC466" s="1074"/>
      <c r="AD466" s="1074"/>
      <c r="AE466" s="1074"/>
      <c r="AF466" s="1074"/>
      <c r="AG466" s="1074"/>
      <c r="AH466" s="1074"/>
      <c r="AI466" s="1074"/>
      <c r="AJ466" s="1074"/>
      <c r="AK466" s="1074"/>
      <c r="AL466" s="1074"/>
      <c r="AM466" s="1074"/>
      <c r="AN466" s="1074"/>
      <c r="AO466" s="1074"/>
      <c r="AP466" s="1074"/>
      <c r="AQ466" s="1074"/>
      <c r="AR466" s="1074"/>
      <c r="AS466" s="1074"/>
      <c r="AT466" s="1075"/>
    </row>
    <row r="467" ht="14.25" customHeight="1">
      <c r="A467" s="1116"/>
      <c r="B467" s="1120"/>
      <c r="C467" s="1100"/>
      <c r="D467" s="1100"/>
      <c r="E467" s="1100"/>
      <c r="F467" s="1100"/>
      <c r="G467" s="1100"/>
      <c r="H467" s="1100"/>
      <c r="I467" s="1100"/>
      <c r="J467" s="1100"/>
      <c r="K467" s="1074"/>
      <c r="L467" s="1074"/>
      <c r="M467" s="1074"/>
      <c r="N467" s="1074"/>
      <c r="O467" s="1074"/>
      <c r="P467" s="1074"/>
      <c r="Q467" s="1074"/>
      <c r="R467" s="1074"/>
      <c r="S467" s="1074"/>
      <c r="T467" s="1074"/>
      <c r="U467" s="1074"/>
      <c r="V467" s="1074"/>
      <c r="W467" s="1074"/>
      <c r="X467" s="1074"/>
      <c r="Y467" s="1074"/>
      <c r="Z467" s="1074"/>
      <c r="AA467" s="1074"/>
      <c r="AB467" s="1074"/>
      <c r="AC467" s="1074"/>
      <c r="AD467" s="1074"/>
      <c r="AE467" s="1074"/>
      <c r="AF467" s="1074"/>
      <c r="AG467" s="1074"/>
      <c r="AH467" s="1074"/>
      <c r="AI467" s="1074"/>
      <c r="AJ467" s="1074"/>
      <c r="AK467" s="1074"/>
      <c r="AL467" s="1074"/>
      <c r="AM467" s="1074"/>
      <c r="AN467" s="1074"/>
      <c r="AO467" s="1074"/>
      <c r="AP467" s="1074"/>
      <c r="AQ467" s="1074"/>
      <c r="AR467" s="1074"/>
      <c r="AS467" s="1074"/>
      <c r="AT467" s="1075"/>
    </row>
    <row r="468" ht="14.25" customHeight="1">
      <c r="A468" s="1116"/>
      <c r="B468" s="1120"/>
      <c r="C468" s="1100"/>
      <c r="D468" s="1100"/>
      <c r="E468" s="1100"/>
      <c r="F468" s="1100"/>
      <c r="G468" s="1100"/>
      <c r="H468" s="1100"/>
      <c r="I468" s="1100"/>
      <c r="J468" s="1100"/>
      <c r="K468" s="1074"/>
      <c r="L468" s="1074"/>
      <c r="M468" s="1074"/>
      <c r="N468" s="1074"/>
      <c r="O468" s="1074"/>
      <c r="P468" s="1074"/>
      <c r="Q468" s="1074"/>
      <c r="R468" s="1074"/>
      <c r="S468" s="1074"/>
      <c r="T468" s="1074"/>
      <c r="U468" s="1074"/>
      <c r="V468" s="1074"/>
      <c r="W468" s="1074"/>
      <c r="X468" s="1074"/>
      <c r="Y468" s="1074"/>
      <c r="Z468" s="1074"/>
      <c r="AA468" s="1074"/>
      <c r="AB468" s="1074"/>
      <c r="AC468" s="1074"/>
      <c r="AD468" s="1074"/>
      <c r="AE468" s="1074"/>
      <c r="AF468" s="1074"/>
      <c r="AG468" s="1074"/>
      <c r="AH468" s="1074"/>
      <c r="AI468" s="1074"/>
      <c r="AJ468" s="1074"/>
      <c r="AK468" s="1074"/>
      <c r="AL468" s="1074"/>
      <c r="AM468" s="1074"/>
      <c r="AN468" s="1074"/>
      <c r="AO468" s="1074"/>
      <c r="AP468" s="1074"/>
      <c r="AQ468" s="1074"/>
      <c r="AR468" s="1074"/>
      <c r="AS468" s="1074"/>
      <c r="AT468" s="1075"/>
    </row>
    <row r="469" ht="14.25" customHeight="1">
      <c r="A469" s="1116"/>
      <c r="B469" s="1120"/>
      <c r="C469" s="1100"/>
      <c r="D469" s="1100"/>
      <c r="E469" s="1100"/>
      <c r="F469" s="1100"/>
      <c r="G469" s="1100"/>
      <c r="H469" s="1100"/>
      <c r="I469" s="1100"/>
      <c r="J469" s="1100"/>
      <c r="K469" s="1074"/>
      <c r="L469" s="1074"/>
      <c r="M469" s="1074"/>
      <c r="N469" s="1074"/>
      <c r="O469" s="1074"/>
      <c r="P469" s="1074"/>
      <c r="Q469" s="1074"/>
      <c r="R469" s="1074"/>
      <c r="S469" s="1074"/>
      <c r="T469" s="1074"/>
      <c r="U469" s="1074"/>
      <c r="V469" s="1074"/>
      <c r="W469" s="1074"/>
      <c r="X469" s="1074"/>
      <c r="Y469" s="1074"/>
      <c r="Z469" s="1074"/>
      <c r="AA469" s="1074"/>
      <c r="AB469" s="1074"/>
      <c r="AC469" s="1074"/>
      <c r="AD469" s="1074"/>
      <c r="AE469" s="1074"/>
      <c r="AF469" s="1074"/>
      <c r="AG469" s="1074"/>
      <c r="AH469" s="1074"/>
      <c r="AI469" s="1074"/>
      <c r="AJ469" s="1074"/>
      <c r="AK469" s="1074"/>
      <c r="AL469" s="1074"/>
      <c r="AM469" s="1074"/>
      <c r="AN469" s="1074"/>
      <c r="AO469" s="1074"/>
      <c r="AP469" s="1074"/>
      <c r="AQ469" s="1074"/>
      <c r="AR469" s="1074"/>
      <c r="AS469" s="1074"/>
      <c r="AT469" s="1075"/>
    </row>
    <row r="470" ht="14.25" customHeight="1">
      <c r="A470" s="1116"/>
      <c r="B470" s="1120"/>
      <c r="C470" s="1100"/>
      <c r="D470" s="1100"/>
      <c r="E470" s="1100"/>
      <c r="F470" s="1100"/>
      <c r="G470" s="1100"/>
      <c r="H470" s="1100"/>
      <c r="I470" s="1100"/>
      <c r="J470" s="1100"/>
      <c r="K470" s="1074"/>
      <c r="L470" s="1074"/>
      <c r="M470" s="1074"/>
      <c r="N470" s="1074"/>
      <c r="O470" s="1074"/>
      <c r="P470" s="1074"/>
      <c r="Q470" s="1074"/>
      <c r="R470" s="1074"/>
      <c r="S470" s="1074"/>
      <c r="T470" s="1074"/>
      <c r="U470" s="1074"/>
      <c r="V470" s="1074"/>
      <c r="W470" s="1074"/>
      <c r="X470" s="1074"/>
      <c r="Y470" s="1074"/>
      <c r="Z470" s="1074"/>
      <c r="AA470" s="1074"/>
      <c r="AB470" s="1074"/>
      <c r="AC470" s="1074"/>
      <c r="AD470" s="1074"/>
      <c r="AE470" s="1074"/>
      <c r="AF470" s="1074"/>
      <c r="AG470" s="1074"/>
      <c r="AH470" s="1074"/>
      <c r="AI470" s="1074"/>
      <c r="AJ470" s="1074"/>
      <c r="AK470" s="1074"/>
      <c r="AL470" s="1074"/>
      <c r="AM470" s="1074"/>
      <c r="AN470" s="1074"/>
      <c r="AO470" s="1074"/>
      <c r="AP470" s="1074"/>
      <c r="AQ470" s="1074"/>
      <c r="AR470" s="1074"/>
      <c r="AS470" s="1074"/>
      <c r="AT470" s="1075"/>
    </row>
    <row r="471" ht="14.25" customHeight="1">
      <c r="A471" s="1116"/>
      <c r="B471" s="1120"/>
      <c r="C471" s="1100"/>
      <c r="D471" s="1100"/>
      <c r="E471" s="1100"/>
      <c r="F471" s="1100"/>
      <c r="G471" s="1100"/>
      <c r="H471" s="1100"/>
      <c r="I471" s="1100"/>
      <c r="J471" s="1100"/>
      <c r="K471" s="1074"/>
      <c r="L471" s="1074"/>
      <c r="M471" s="1074"/>
      <c r="N471" s="1074"/>
      <c r="O471" s="1074"/>
      <c r="P471" s="1074"/>
      <c r="Q471" s="1074"/>
      <c r="R471" s="1074"/>
      <c r="S471" s="1074"/>
      <c r="T471" s="1074"/>
      <c r="U471" s="1074"/>
      <c r="V471" s="1074"/>
      <c r="W471" s="1074"/>
      <c r="X471" s="1074"/>
      <c r="Y471" s="1074"/>
      <c r="Z471" s="1074"/>
      <c r="AA471" s="1074"/>
      <c r="AB471" s="1074"/>
      <c r="AC471" s="1074"/>
      <c r="AD471" s="1074"/>
      <c r="AE471" s="1074"/>
      <c r="AF471" s="1074"/>
      <c r="AG471" s="1074"/>
      <c r="AH471" s="1074"/>
      <c r="AI471" s="1074"/>
      <c r="AJ471" s="1074"/>
      <c r="AK471" s="1074"/>
      <c r="AL471" s="1074"/>
      <c r="AM471" s="1074"/>
      <c r="AN471" s="1074"/>
      <c r="AO471" s="1074"/>
      <c r="AP471" s="1074"/>
      <c r="AQ471" s="1074"/>
      <c r="AR471" s="1074"/>
      <c r="AS471" s="1074"/>
      <c r="AT471" s="1075"/>
    </row>
    <row r="472" ht="14.25" customHeight="1">
      <c r="A472" s="1116"/>
      <c r="B472" s="1120"/>
      <c r="C472" s="1100"/>
      <c r="D472" s="1100"/>
      <c r="E472" s="1100"/>
      <c r="F472" s="1100"/>
      <c r="G472" s="1100"/>
      <c r="H472" s="1100"/>
      <c r="I472" s="1100"/>
      <c r="J472" s="1100"/>
      <c r="K472" s="1074"/>
      <c r="L472" s="1074"/>
      <c r="M472" s="1074"/>
      <c r="N472" s="1074"/>
      <c r="O472" s="1074"/>
      <c r="P472" s="1074"/>
      <c r="Q472" s="1074"/>
      <c r="R472" s="1074"/>
      <c r="S472" s="1074"/>
      <c r="T472" s="1074"/>
      <c r="U472" s="1074"/>
      <c r="V472" s="1074"/>
      <c r="W472" s="1074"/>
      <c r="X472" s="1074"/>
      <c r="Y472" s="1074"/>
      <c r="Z472" s="1074"/>
      <c r="AA472" s="1074"/>
      <c r="AB472" s="1074"/>
      <c r="AC472" s="1074"/>
      <c r="AD472" s="1074"/>
      <c r="AE472" s="1074"/>
      <c r="AF472" s="1074"/>
      <c r="AG472" s="1074"/>
      <c r="AH472" s="1074"/>
      <c r="AI472" s="1074"/>
      <c r="AJ472" s="1074"/>
      <c r="AK472" s="1074"/>
      <c r="AL472" s="1074"/>
      <c r="AM472" s="1074"/>
      <c r="AN472" s="1074"/>
      <c r="AO472" s="1074"/>
      <c r="AP472" s="1074"/>
      <c r="AQ472" s="1074"/>
      <c r="AR472" s="1074"/>
      <c r="AS472" s="1074"/>
      <c r="AT472" s="1075"/>
    </row>
    <row r="473" ht="14.25" customHeight="1">
      <c r="A473" s="1116"/>
      <c r="B473" s="1120"/>
      <c r="C473" s="1100"/>
      <c r="D473" s="1100"/>
      <c r="E473" s="1100"/>
      <c r="F473" s="1100"/>
      <c r="G473" s="1100"/>
      <c r="H473" s="1100"/>
      <c r="I473" s="1100"/>
      <c r="J473" s="1100"/>
      <c r="K473" s="1074"/>
      <c r="L473" s="1074"/>
      <c r="M473" s="1074"/>
      <c r="N473" s="1074"/>
      <c r="O473" s="1074"/>
      <c r="P473" s="1074"/>
      <c r="Q473" s="1074"/>
      <c r="R473" s="1074"/>
      <c r="S473" s="1074"/>
      <c r="T473" s="1074"/>
      <c r="U473" s="1074"/>
      <c r="V473" s="1074"/>
      <c r="W473" s="1074"/>
      <c r="X473" s="1074"/>
      <c r="Y473" s="1074"/>
      <c r="Z473" s="1074"/>
      <c r="AA473" s="1074"/>
      <c r="AB473" s="1074"/>
      <c r="AC473" s="1074"/>
      <c r="AD473" s="1074"/>
      <c r="AE473" s="1074"/>
      <c r="AF473" s="1074"/>
      <c r="AG473" s="1074"/>
      <c r="AH473" s="1074"/>
      <c r="AI473" s="1074"/>
      <c r="AJ473" s="1074"/>
      <c r="AK473" s="1074"/>
      <c r="AL473" s="1074"/>
      <c r="AM473" s="1074"/>
      <c r="AN473" s="1074"/>
      <c r="AO473" s="1074"/>
      <c r="AP473" s="1074"/>
      <c r="AQ473" s="1074"/>
      <c r="AR473" s="1074"/>
      <c r="AS473" s="1074"/>
      <c r="AT473" s="1075"/>
    </row>
    <row r="474" ht="14.25" customHeight="1">
      <c r="A474" s="1116"/>
      <c r="B474" s="1120"/>
      <c r="C474" s="1100"/>
      <c r="D474" s="1100"/>
      <c r="E474" s="1100"/>
      <c r="F474" s="1100"/>
      <c r="G474" s="1100"/>
      <c r="H474" s="1100"/>
      <c r="I474" s="1100"/>
      <c r="J474" s="1100"/>
      <c r="K474" s="1074"/>
      <c r="L474" s="1074"/>
      <c r="M474" s="1074"/>
      <c r="N474" s="1074"/>
      <c r="O474" s="1074"/>
      <c r="P474" s="1074"/>
      <c r="Q474" s="1074"/>
      <c r="R474" s="1074"/>
      <c r="S474" s="1074"/>
      <c r="T474" s="1074"/>
      <c r="U474" s="1074"/>
      <c r="V474" s="1074"/>
      <c r="W474" s="1074"/>
      <c r="X474" s="1074"/>
      <c r="Y474" s="1074"/>
      <c r="Z474" s="1074"/>
      <c r="AA474" s="1074"/>
      <c r="AB474" s="1074"/>
      <c r="AC474" s="1074"/>
      <c r="AD474" s="1074"/>
      <c r="AE474" s="1074"/>
      <c r="AF474" s="1074"/>
      <c r="AG474" s="1074"/>
      <c r="AH474" s="1074"/>
      <c r="AI474" s="1074"/>
      <c r="AJ474" s="1074"/>
      <c r="AK474" s="1074"/>
      <c r="AL474" s="1074"/>
      <c r="AM474" s="1074"/>
      <c r="AN474" s="1074"/>
      <c r="AO474" s="1074"/>
      <c r="AP474" s="1074"/>
      <c r="AQ474" s="1074"/>
      <c r="AR474" s="1074"/>
      <c r="AS474" s="1074"/>
      <c r="AT474" s="1075"/>
    </row>
    <row r="475" ht="14.25" customHeight="1">
      <c r="A475" s="1116"/>
      <c r="B475" s="1120"/>
      <c r="C475" s="1100"/>
      <c r="D475" s="1100"/>
      <c r="E475" s="1100"/>
      <c r="F475" s="1100"/>
      <c r="G475" s="1100"/>
      <c r="H475" s="1100"/>
      <c r="I475" s="1100"/>
      <c r="J475" s="1100"/>
      <c r="K475" s="1074"/>
      <c r="L475" s="1074"/>
      <c r="M475" s="1074"/>
      <c r="N475" s="1074"/>
      <c r="O475" s="1074"/>
      <c r="P475" s="1074"/>
      <c r="Q475" s="1074"/>
      <c r="R475" s="1074"/>
      <c r="S475" s="1074"/>
      <c r="T475" s="1074"/>
      <c r="U475" s="1074"/>
      <c r="V475" s="1074"/>
      <c r="W475" s="1074"/>
      <c r="X475" s="1074"/>
      <c r="Y475" s="1074"/>
      <c r="Z475" s="1074"/>
      <c r="AA475" s="1074"/>
      <c r="AB475" s="1074"/>
      <c r="AC475" s="1074"/>
      <c r="AD475" s="1074"/>
      <c r="AE475" s="1074"/>
      <c r="AF475" s="1074"/>
      <c r="AG475" s="1074"/>
      <c r="AH475" s="1074"/>
      <c r="AI475" s="1074"/>
      <c r="AJ475" s="1074"/>
      <c r="AK475" s="1074"/>
      <c r="AL475" s="1074"/>
      <c r="AM475" s="1074"/>
      <c r="AN475" s="1074"/>
      <c r="AO475" s="1074"/>
      <c r="AP475" s="1074"/>
      <c r="AQ475" s="1074"/>
      <c r="AR475" s="1074"/>
      <c r="AS475" s="1074"/>
      <c r="AT475" s="1075"/>
    </row>
    <row r="476" ht="14.25" customHeight="1">
      <c r="A476" s="1116"/>
      <c r="B476" s="1120"/>
      <c r="C476" s="1100"/>
      <c r="D476" s="1100"/>
      <c r="E476" s="1100"/>
      <c r="F476" s="1100"/>
      <c r="G476" s="1100"/>
      <c r="H476" s="1100"/>
      <c r="I476" s="1100"/>
      <c r="J476" s="1100"/>
      <c r="K476" s="1074"/>
      <c r="L476" s="1074"/>
      <c r="M476" s="1074"/>
      <c r="N476" s="1074"/>
      <c r="O476" s="1074"/>
      <c r="P476" s="1074"/>
      <c r="Q476" s="1074"/>
      <c r="R476" s="1074"/>
      <c r="S476" s="1074"/>
      <c r="T476" s="1074"/>
      <c r="U476" s="1074"/>
      <c r="V476" s="1074"/>
      <c r="W476" s="1074"/>
      <c r="X476" s="1074"/>
      <c r="Y476" s="1074"/>
      <c r="Z476" s="1074"/>
      <c r="AA476" s="1074"/>
      <c r="AB476" s="1074"/>
      <c r="AC476" s="1074"/>
      <c r="AD476" s="1074"/>
      <c r="AE476" s="1074"/>
      <c r="AF476" s="1074"/>
      <c r="AG476" s="1074"/>
      <c r="AH476" s="1074"/>
      <c r="AI476" s="1074"/>
      <c r="AJ476" s="1074"/>
      <c r="AK476" s="1074"/>
      <c r="AL476" s="1074"/>
      <c r="AM476" s="1074"/>
      <c r="AN476" s="1074"/>
      <c r="AO476" s="1074"/>
      <c r="AP476" s="1074"/>
      <c r="AQ476" s="1074"/>
      <c r="AR476" s="1074"/>
      <c r="AS476" s="1074"/>
      <c r="AT476" s="1075"/>
    </row>
    <row r="477" ht="14.25" customHeight="1">
      <c r="A477" s="1116"/>
      <c r="B477" s="1120"/>
      <c r="C477" s="1100"/>
      <c r="D477" s="1100"/>
      <c r="E477" s="1100"/>
      <c r="F477" s="1100"/>
      <c r="G477" s="1100"/>
      <c r="H477" s="1100"/>
      <c r="I477" s="1100"/>
      <c r="J477" s="1100"/>
      <c r="K477" s="1074"/>
      <c r="L477" s="1074"/>
      <c r="M477" s="1074"/>
      <c r="N477" s="1074"/>
      <c r="O477" s="1074"/>
      <c r="P477" s="1074"/>
      <c r="Q477" s="1074"/>
      <c r="R477" s="1074"/>
      <c r="S477" s="1074"/>
      <c r="T477" s="1074"/>
      <c r="U477" s="1074"/>
      <c r="V477" s="1074"/>
      <c r="W477" s="1074"/>
      <c r="X477" s="1074"/>
      <c r="Y477" s="1074"/>
      <c r="Z477" s="1074"/>
      <c r="AA477" s="1074"/>
      <c r="AB477" s="1074"/>
      <c r="AC477" s="1074"/>
      <c r="AD477" s="1074"/>
      <c r="AE477" s="1074"/>
      <c r="AF477" s="1074"/>
      <c r="AG477" s="1074"/>
      <c r="AH477" s="1074"/>
      <c r="AI477" s="1074"/>
      <c r="AJ477" s="1074"/>
      <c r="AK477" s="1074"/>
      <c r="AL477" s="1074"/>
      <c r="AM477" s="1074"/>
      <c r="AN477" s="1074"/>
      <c r="AO477" s="1074"/>
      <c r="AP477" s="1074"/>
      <c r="AQ477" s="1074"/>
      <c r="AR477" s="1074"/>
      <c r="AS477" s="1074"/>
      <c r="AT477" s="1075"/>
    </row>
    <row r="478" ht="14.25" customHeight="1">
      <c r="A478" s="1116"/>
      <c r="B478" s="1120"/>
      <c r="C478" s="1100"/>
      <c r="D478" s="1100"/>
      <c r="E478" s="1100"/>
      <c r="F478" s="1100"/>
      <c r="G478" s="1100"/>
      <c r="H478" s="1100"/>
      <c r="I478" s="1100"/>
      <c r="J478" s="1100"/>
      <c r="K478" s="1074"/>
      <c r="L478" s="1074"/>
      <c r="M478" s="1074"/>
      <c r="N478" s="1074"/>
      <c r="O478" s="1074"/>
      <c r="P478" s="1074"/>
      <c r="Q478" s="1074"/>
      <c r="R478" s="1074"/>
      <c r="S478" s="1074"/>
      <c r="T478" s="1074"/>
      <c r="U478" s="1074"/>
      <c r="V478" s="1074"/>
      <c r="W478" s="1074"/>
      <c r="X478" s="1074"/>
      <c r="Y478" s="1074"/>
      <c r="Z478" s="1074"/>
      <c r="AA478" s="1074"/>
      <c r="AB478" s="1074"/>
      <c r="AC478" s="1074"/>
      <c r="AD478" s="1074"/>
      <c r="AE478" s="1074"/>
      <c r="AF478" s="1074"/>
      <c r="AG478" s="1074"/>
      <c r="AH478" s="1074"/>
      <c r="AI478" s="1074"/>
      <c r="AJ478" s="1074"/>
      <c r="AK478" s="1074"/>
      <c r="AL478" s="1074"/>
      <c r="AM478" s="1074"/>
      <c r="AN478" s="1074"/>
      <c r="AO478" s="1074"/>
      <c r="AP478" s="1074"/>
      <c r="AQ478" s="1074"/>
      <c r="AR478" s="1074"/>
      <c r="AS478" s="1074"/>
      <c r="AT478" s="1075"/>
    </row>
    <row r="479" ht="14.25" customHeight="1">
      <c r="A479" s="1116"/>
      <c r="B479" s="1120"/>
      <c r="C479" s="1100"/>
      <c r="D479" s="1100"/>
      <c r="E479" s="1100"/>
      <c r="F479" s="1100"/>
      <c r="G479" s="1100"/>
      <c r="H479" s="1100"/>
      <c r="I479" s="1100"/>
      <c r="J479" s="1100"/>
      <c r="K479" s="1074"/>
      <c r="L479" s="1074"/>
      <c r="M479" s="1074"/>
      <c r="N479" s="1074"/>
      <c r="O479" s="1074"/>
      <c r="P479" s="1074"/>
      <c r="Q479" s="1074"/>
      <c r="R479" s="1074"/>
      <c r="S479" s="1074"/>
      <c r="T479" s="1074"/>
      <c r="U479" s="1074"/>
      <c r="V479" s="1074"/>
      <c r="W479" s="1074"/>
      <c r="X479" s="1074"/>
      <c r="Y479" s="1074"/>
      <c r="Z479" s="1074"/>
      <c r="AA479" s="1074"/>
      <c r="AB479" s="1074"/>
      <c r="AC479" s="1074"/>
      <c r="AD479" s="1074"/>
      <c r="AE479" s="1074"/>
      <c r="AF479" s="1074"/>
      <c r="AG479" s="1074"/>
      <c r="AH479" s="1074"/>
      <c r="AI479" s="1074"/>
      <c r="AJ479" s="1074"/>
      <c r="AK479" s="1074"/>
      <c r="AL479" s="1074"/>
      <c r="AM479" s="1074"/>
      <c r="AN479" s="1074"/>
      <c r="AO479" s="1074"/>
      <c r="AP479" s="1074"/>
      <c r="AQ479" s="1074"/>
      <c r="AR479" s="1074"/>
      <c r="AS479" s="1074"/>
      <c r="AT479" s="1075"/>
    </row>
    <row r="480" ht="14.25" customHeight="1">
      <c r="A480" s="1116"/>
      <c r="B480" s="1120"/>
      <c r="C480" s="1100"/>
      <c r="D480" s="1100"/>
      <c r="E480" s="1100"/>
      <c r="F480" s="1100"/>
      <c r="G480" s="1100"/>
      <c r="H480" s="1100"/>
      <c r="I480" s="1100"/>
      <c r="J480" s="1100"/>
      <c r="K480" s="1074"/>
      <c r="L480" s="1074"/>
      <c r="M480" s="1074"/>
      <c r="N480" s="1074"/>
      <c r="O480" s="1074"/>
      <c r="P480" s="1074"/>
      <c r="Q480" s="1074"/>
      <c r="R480" s="1074"/>
      <c r="S480" s="1074"/>
      <c r="T480" s="1074"/>
      <c r="U480" s="1074"/>
      <c r="V480" s="1074"/>
      <c r="W480" s="1074"/>
      <c r="X480" s="1074"/>
      <c r="Y480" s="1074"/>
      <c r="Z480" s="1074"/>
      <c r="AA480" s="1074"/>
      <c r="AB480" s="1074"/>
      <c r="AC480" s="1074"/>
      <c r="AD480" s="1074"/>
      <c r="AE480" s="1074"/>
      <c r="AF480" s="1074"/>
      <c r="AG480" s="1074"/>
      <c r="AH480" s="1074"/>
      <c r="AI480" s="1074"/>
      <c r="AJ480" s="1074"/>
      <c r="AK480" s="1074"/>
      <c r="AL480" s="1074"/>
      <c r="AM480" s="1074"/>
      <c r="AN480" s="1074"/>
      <c r="AO480" s="1074"/>
      <c r="AP480" s="1074"/>
      <c r="AQ480" s="1074"/>
      <c r="AR480" s="1074"/>
      <c r="AS480" s="1074"/>
      <c r="AT480" s="1075"/>
    </row>
    <row r="481" ht="14.25" customHeight="1">
      <c r="A481" s="1116"/>
      <c r="B481" s="1120"/>
      <c r="C481" s="1100"/>
      <c r="D481" s="1100"/>
      <c r="E481" s="1100"/>
      <c r="F481" s="1100"/>
      <c r="G481" s="1100"/>
      <c r="H481" s="1100"/>
      <c r="I481" s="1100"/>
      <c r="J481" s="1100"/>
      <c r="K481" s="1074"/>
      <c r="L481" s="1074"/>
      <c r="M481" s="1074"/>
      <c r="N481" s="1074"/>
      <c r="O481" s="1074"/>
      <c r="P481" s="1074"/>
      <c r="Q481" s="1074"/>
      <c r="R481" s="1074"/>
      <c r="S481" s="1074"/>
      <c r="T481" s="1074"/>
      <c r="U481" s="1074"/>
      <c r="V481" s="1074"/>
      <c r="W481" s="1074"/>
      <c r="X481" s="1074"/>
      <c r="Y481" s="1074"/>
      <c r="Z481" s="1074"/>
      <c r="AA481" s="1074"/>
      <c r="AB481" s="1074"/>
      <c r="AC481" s="1074"/>
      <c r="AD481" s="1074"/>
      <c r="AE481" s="1074"/>
      <c r="AF481" s="1074"/>
      <c r="AG481" s="1074"/>
      <c r="AH481" s="1074"/>
      <c r="AI481" s="1074"/>
      <c r="AJ481" s="1074"/>
      <c r="AK481" s="1074"/>
      <c r="AL481" s="1074"/>
      <c r="AM481" s="1074"/>
      <c r="AN481" s="1074"/>
      <c r="AO481" s="1074"/>
      <c r="AP481" s="1074"/>
      <c r="AQ481" s="1074"/>
      <c r="AR481" s="1074"/>
      <c r="AS481" s="1074"/>
      <c r="AT481" s="1075"/>
    </row>
    <row r="482" ht="14.25" customHeight="1">
      <c r="A482" s="1116"/>
      <c r="B482" s="1120"/>
      <c r="C482" s="1100"/>
      <c r="D482" s="1100"/>
      <c r="E482" s="1100"/>
      <c r="F482" s="1100"/>
      <c r="G482" s="1100"/>
      <c r="H482" s="1100"/>
      <c r="I482" s="1100"/>
      <c r="J482" s="1100"/>
      <c r="K482" s="1074"/>
      <c r="L482" s="1074"/>
      <c r="M482" s="1074"/>
      <c r="N482" s="1074"/>
      <c r="O482" s="1074"/>
      <c r="P482" s="1074"/>
      <c r="Q482" s="1074"/>
      <c r="R482" s="1074"/>
      <c r="S482" s="1074"/>
      <c r="T482" s="1074"/>
      <c r="U482" s="1074"/>
      <c r="V482" s="1074"/>
      <c r="W482" s="1074"/>
      <c r="X482" s="1074"/>
      <c r="Y482" s="1074"/>
      <c r="Z482" s="1074"/>
      <c r="AA482" s="1074"/>
      <c r="AB482" s="1074"/>
      <c r="AC482" s="1074"/>
      <c r="AD482" s="1074"/>
      <c r="AE482" s="1074"/>
      <c r="AF482" s="1074"/>
      <c r="AG482" s="1074"/>
      <c r="AH482" s="1074"/>
      <c r="AI482" s="1074"/>
      <c r="AJ482" s="1074"/>
      <c r="AK482" s="1074"/>
      <c r="AL482" s="1074"/>
      <c r="AM482" s="1074"/>
      <c r="AN482" s="1074"/>
      <c r="AO482" s="1074"/>
      <c r="AP482" s="1074"/>
      <c r="AQ482" s="1074"/>
      <c r="AR482" s="1074"/>
      <c r="AS482" s="1074"/>
      <c r="AT482" s="1075"/>
    </row>
    <row r="483" ht="14.25" customHeight="1">
      <c r="A483" s="1116"/>
      <c r="B483" s="1120"/>
      <c r="C483" s="1100"/>
      <c r="D483" s="1100"/>
      <c r="E483" s="1100"/>
      <c r="F483" s="1100"/>
      <c r="G483" s="1100"/>
      <c r="H483" s="1100"/>
      <c r="I483" s="1100"/>
      <c r="J483" s="1100"/>
      <c r="K483" s="1074"/>
      <c r="L483" s="1074"/>
      <c r="M483" s="1074"/>
      <c r="N483" s="1074"/>
      <c r="O483" s="1074"/>
      <c r="P483" s="1074"/>
      <c r="Q483" s="1074"/>
      <c r="R483" s="1074"/>
      <c r="S483" s="1074"/>
      <c r="T483" s="1074"/>
      <c r="U483" s="1074"/>
      <c r="V483" s="1074"/>
      <c r="W483" s="1074"/>
      <c r="X483" s="1074"/>
      <c r="Y483" s="1074"/>
      <c r="Z483" s="1074"/>
      <c r="AA483" s="1074"/>
      <c r="AB483" s="1074"/>
      <c r="AC483" s="1074"/>
      <c r="AD483" s="1074"/>
      <c r="AE483" s="1074"/>
      <c r="AF483" s="1074"/>
      <c r="AG483" s="1074"/>
      <c r="AH483" s="1074"/>
      <c r="AI483" s="1074"/>
      <c r="AJ483" s="1074"/>
      <c r="AK483" s="1074"/>
      <c r="AL483" s="1074"/>
      <c r="AM483" s="1074"/>
      <c r="AN483" s="1074"/>
      <c r="AO483" s="1074"/>
      <c r="AP483" s="1074"/>
      <c r="AQ483" s="1074"/>
      <c r="AR483" s="1074"/>
      <c r="AS483" s="1074"/>
      <c r="AT483" s="1075"/>
    </row>
    <row r="484" ht="14.25" customHeight="1">
      <c r="A484" s="1116"/>
      <c r="B484" s="1120"/>
      <c r="C484" s="1100"/>
      <c r="D484" s="1100"/>
      <c r="E484" s="1100"/>
      <c r="F484" s="1100"/>
      <c r="G484" s="1100"/>
      <c r="H484" s="1100"/>
      <c r="I484" s="1100"/>
      <c r="J484" s="1100"/>
      <c r="K484" s="1074"/>
      <c r="L484" s="1074"/>
      <c r="M484" s="1074"/>
      <c r="N484" s="1074"/>
      <c r="O484" s="1074"/>
      <c r="P484" s="1074"/>
      <c r="Q484" s="1074"/>
      <c r="R484" s="1074"/>
      <c r="S484" s="1074"/>
      <c r="T484" s="1074"/>
      <c r="U484" s="1074"/>
      <c r="V484" s="1074"/>
      <c r="W484" s="1074"/>
      <c r="X484" s="1074"/>
      <c r="Y484" s="1074"/>
      <c r="Z484" s="1074"/>
      <c r="AA484" s="1074"/>
      <c r="AB484" s="1074"/>
      <c r="AC484" s="1074"/>
      <c r="AD484" s="1074"/>
      <c r="AE484" s="1074"/>
      <c r="AF484" s="1074"/>
      <c r="AG484" s="1074"/>
      <c r="AH484" s="1074"/>
      <c r="AI484" s="1074"/>
      <c r="AJ484" s="1074"/>
      <c r="AK484" s="1074"/>
      <c r="AL484" s="1074"/>
      <c r="AM484" s="1074"/>
      <c r="AN484" s="1074"/>
      <c r="AO484" s="1074"/>
      <c r="AP484" s="1074"/>
      <c r="AQ484" s="1074"/>
      <c r="AR484" s="1074"/>
      <c r="AS484" s="1074"/>
      <c r="AT484" s="1075"/>
    </row>
    <row r="485" ht="14.25" customHeight="1">
      <c r="A485" s="1116"/>
      <c r="B485" s="1120"/>
      <c r="C485" s="1100"/>
      <c r="D485" s="1100"/>
      <c r="E485" s="1100"/>
      <c r="F485" s="1100"/>
      <c r="G485" s="1100"/>
      <c r="H485" s="1100"/>
      <c r="I485" s="1100"/>
      <c r="J485" s="1100"/>
      <c r="K485" s="1074"/>
      <c r="L485" s="1074"/>
      <c r="M485" s="1074"/>
      <c r="N485" s="1074"/>
      <c r="O485" s="1074"/>
      <c r="P485" s="1074"/>
      <c r="Q485" s="1074"/>
      <c r="R485" s="1074"/>
      <c r="S485" s="1074"/>
      <c r="T485" s="1074"/>
      <c r="U485" s="1074"/>
      <c r="V485" s="1074"/>
      <c r="W485" s="1074"/>
      <c r="X485" s="1074"/>
      <c r="Y485" s="1074"/>
      <c r="Z485" s="1074"/>
      <c r="AA485" s="1074"/>
      <c r="AB485" s="1074"/>
      <c r="AC485" s="1074"/>
      <c r="AD485" s="1074"/>
      <c r="AE485" s="1074"/>
      <c r="AF485" s="1074"/>
      <c r="AG485" s="1074"/>
      <c r="AH485" s="1074"/>
      <c r="AI485" s="1074"/>
      <c r="AJ485" s="1074"/>
      <c r="AK485" s="1074"/>
      <c r="AL485" s="1074"/>
      <c r="AM485" s="1074"/>
      <c r="AN485" s="1074"/>
      <c r="AO485" s="1074"/>
      <c r="AP485" s="1074"/>
      <c r="AQ485" s="1074"/>
      <c r="AR485" s="1074"/>
      <c r="AS485" s="1074"/>
      <c r="AT485" s="1075"/>
    </row>
    <row r="486" ht="14.25" customHeight="1">
      <c r="A486" s="1116"/>
      <c r="B486" s="1120"/>
      <c r="C486" s="1100"/>
      <c r="D486" s="1100"/>
      <c r="E486" s="1100"/>
      <c r="F486" s="1100"/>
      <c r="G486" s="1100"/>
      <c r="H486" s="1100"/>
      <c r="I486" s="1100"/>
      <c r="J486" s="1100"/>
      <c r="K486" s="1074"/>
      <c r="L486" s="1074"/>
      <c r="M486" s="1074"/>
      <c r="N486" s="1074"/>
      <c r="O486" s="1074"/>
      <c r="P486" s="1074"/>
      <c r="Q486" s="1074"/>
      <c r="R486" s="1074"/>
      <c r="S486" s="1074"/>
      <c r="T486" s="1074"/>
      <c r="U486" s="1074"/>
      <c r="V486" s="1074"/>
      <c r="W486" s="1074"/>
      <c r="X486" s="1074"/>
      <c r="Y486" s="1074"/>
      <c r="Z486" s="1074"/>
      <c r="AA486" s="1074"/>
      <c r="AB486" s="1074"/>
      <c r="AC486" s="1074"/>
      <c r="AD486" s="1074"/>
      <c r="AE486" s="1074"/>
      <c r="AF486" s="1074"/>
      <c r="AG486" s="1074"/>
      <c r="AH486" s="1074"/>
      <c r="AI486" s="1074"/>
      <c r="AJ486" s="1074"/>
      <c r="AK486" s="1074"/>
      <c r="AL486" s="1074"/>
      <c r="AM486" s="1074"/>
      <c r="AN486" s="1074"/>
      <c r="AO486" s="1074"/>
      <c r="AP486" s="1074"/>
      <c r="AQ486" s="1074"/>
      <c r="AR486" s="1074"/>
      <c r="AS486" s="1074"/>
      <c r="AT486" s="1075"/>
    </row>
    <row r="487" ht="14.25" customHeight="1">
      <c r="A487" s="1116"/>
      <c r="B487" s="1120"/>
      <c r="C487" s="1100"/>
      <c r="D487" s="1100"/>
      <c r="E487" s="1100"/>
      <c r="F487" s="1100"/>
      <c r="G487" s="1100"/>
      <c r="H487" s="1100"/>
      <c r="I487" s="1100"/>
      <c r="J487" s="1100"/>
      <c r="K487" s="1074"/>
      <c r="L487" s="1074"/>
      <c r="M487" s="1074"/>
      <c r="N487" s="1074"/>
      <c r="O487" s="1074"/>
      <c r="P487" s="1074"/>
      <c r="Q487" s="1074"/>
      <c r="R487" s="1074"/>
      <c r="S487" s="1074"/>
      <c r="T487" s="1074"/>
      <c r="U487" s="1074"/>
      <c r="V487" s="1074"/>
      <c r="W487" s="1074"/>
      <c r="X487" s="1074"/>
      <c r="Y487" s="1074"/>
      <c r="Z487" s="1074"/>
      <c r="AA487" s="1074"/>
      <c r="AB487" s="1074"/>
      <c r="AC487" s="1074"/>
      <c r="AD487" s="1074"/>
      <c r="AE487" s="1074"/>
      <c r="AF487" s="1074"/>
      <c r="AG487" s="1074"/>
      <c r="AH487" s="1074"/>
      <c r="AI487" s="1074"/>
      <c r="AJ487" s="1074"/>
      <c r="AK487" s="1074"/>
      <c r="AL487" s="1074"/>
      <c r="AM487" s="1074"/>
      <c r="AN487" s="1074"/>
      <c r="AO487" s="1074"/>
      <c r="AP487" s="1074"/>
      <c r="AQ487" s="1074"/>
      <c r="AR487" s="1074"/>
      <c r="AS487" s="1074"/>
      <c r="AT487" s="1075"/>
    </row>
    <row r="488" ht="14.25" customHeight="1">
      <c r="A488" s="1116"/>
      <c r="B488" s="1120"/>
      <c r="C488" s="1100"/>
      <c r="D488" s="1100"/>
      <c r="E488" s="1100"/>
      <c r="F488" s="1100"/>
      <c r="G488" s="1100"/>
      <c r="H488" s="1100"/>
      <c r="I488" s="1100"/>
      <c r="J488" s="1100"/>
      <c r="K488" s="1074"/>
      <c r="L488" s="1074"/>
      <c r="M488" s="1074"/>
      <c r="N488" s="1074"/>
      <c r="O488" s="1074"/>
      <c r="P488" s="1074"/>
      <c r="Q488" s="1074"/>
      <c r="R488" s="1074"/>
      <c r="S488" s="1074"/>
      <c r="T488" s="1074"/>
      <c r="U488" s="1074"/>
      <c r="V488" s="1074"/>
      <c r="W488" s="1074"/>
      <c r="X488" s="1074"/>
      <c r="Y488" s="1074"/>
      <c r="Z488" s="1074"/>
      <c r="AA488" s="1074"/>
      <c r="AB488" s="1074"/>
      <c r="AC488" s="1074"/>
      <c r="AD488" s="1074"/>
      <c r="AE488" s="1074"/>
      <c r="AF488" s="1074"/>
      <c r="AG488" s="1074"/>
      <c r="AH488" s="1074"/>
      <c r="AI488" s="1074"/>
      <c r="AJ488" s="1074"/>
      <c r="AK488" s="1074"/>
      <c r="AL488" s="1074"/>
      <c r="AM488" s="1074"/>
      <c r="AN488" s="1074"/>
      <c r="AO488" s="1074"/>
      <c r="AP488" s="1074"/>
      <c r="AQ488" s="1074"/>
      <c r="AR488" s="1074"/>
      <c r="AS488" s="1074"/>
      <c r="AT488" s="1075"/>
    </row>
    <row r="489" ht="14.25" customHeight="1">
      <c r="A489" s="1116"/>
      <c r="B489" s="1120"/>
      <c r="C489" s="1100"/>
      <c r="D489" s="1100"/>
      <c r="E489" s="1100"/>
      <c r="F489" s="1100"/>
      <c r="G489" s="1100"/>
      <c r="H489" s="1100"/>
      <c r="I489" s="1100"/>
      <c r="J489" s="1100"/>
      <c r="K489" s="1074"/>
      <c r="L489" s="1074"/>
      <c r="M489" s="1074"/>
      <c r="N489" s="1074"/>
      <c r="O489" s="1074"/>
      <c r="P489" s="1074"/>
      <c r="Q489" s="1074"/>
      <c r="R489" s="1074"/>
      <c r="S489" s="1074"/>
      <c r="T489" s="1074"/>
      <c r="U489" s="1074"/>
      <c r="V489" s="1074"/>
      <c r="W489" s="1074"/>
      <c r="X489" s="1074"/>
      <c r="Y489" s="1074"/>
      <c r="Z489" s="1074"/>
      <c r="AA489" s="1074"/>
      <c r="AB489" s="1074"/>
      <c r="AC489" s="1074"/>
      <c r="AD489" s="1074"/>
      <c r="AE489" s="1074"/>
      <c r="AF489" s="1074"/>
      <c r="AG489" s="1074"/>
      <c r="AH489" s="1074"/>
      <c r="AI489" s="1074"/>
      <c r="AJ489" s="1074"/>
      <c r="AK489" s="1074"/>
      <c r="AL489" s="1074"/>
      <c r="AM489" s="1074"/>
      <c r="AN489" s="1074"/>
      <c r="AO489" s="1074"/>
      <c r="AP489" s="1074"/>
      <c r="AQ489" s="1074"/>
      <c r="AR489" s="1074"/>
      <c r="AS489" s="1074"/>
      <c r="AT489" s="1075"/>
    </row>
    <row r="490" ht="14.25" customHeight="1">
      <c r="A490" s="1116"/>
      <c r="B490" s="1120"/>
      <c r="C490" s="1100"/>
      <c r="D490" s="1100"/>
      <c r="E490" s="1100"/>
      <c r="F490" s="1100"/>
      <c r="G490" s="1100"/>
      <c r="H490" s="1100"/>
      <c r="I490" s="1100"/>
      <c r="J490" s="1100"/>
      <c r="K490" s="1074"/>
      <c r="L490" s="1074"/>
      <c r="M490" s="1074"/>
      <c r="N490" s="1074"/>
      <c r="O490" s="1074"/>
      <c r="P490" s="1074"/>
      <c r="Q490" s="1074"/>
      <c r="R490" s="1074"/>
      <c r="S490" s="1074"/>
      <c r="T490" s="1074"/>
      <c r="U490" s="1074"/>
      <c r="V490" s="1074"/>
      <c r="W490" s="1074"/>
      <c r="X490" s="1074"/>
      <c r="Y490" s="1074"/>
      <c r="Z490" s="1074"/>
      <c r="AA490" s="1074"/>
      <c r="AB490" s="1074"/>
      <c r="AC490" s="1074"/>
      <c r="AD490" s="1074"/>
      <c r="AE490" s="1074"/>
      <c r="AF490" s="1074"/>
      <c r="AG490" s="1074"/>
      <c r="AH490" s="1074"/>
      <c r="AI490" s="1074"/>
      <c r="AJ490" s="1074"/>
      <c r="AK490" s="1074"/>
      <c r="AL490" s="1074"/>
      <c r="AM490" s="1074"/>
      <c r="AN490" s="1074"/>
      <c r="AO490" s="1074"/>
      <c r="AP490" s="1074"/>
      <c r="AQ490" s="1074"/>
      <c r="AR490" s="1074"/>
      <c r="AS490" s="1074"/>
      <c r="AT490" s="1075"/>
    </row>
    <row r="491" ht="14.25" customHeight="1">
      <c r="A491" s="1116"/>
      <c r="B491" s="1120"/>
      <c r="C491" s="1100"/>
      <c r="D491" s="1100"/>
      <c r="E491" s="1100"/>
      <c r="F491" s="1100"/>
      <c r="G491" s="1100"/>
      <c r="H491" s="1100"/>
      <c r="I491" s="1100"/>
      <c r="J491" s="1100"/>
      <c r="K491" s="1074"/>
      <c r="L491" s="1074"/>
      <c r="M491" s="1074"/>
      <c r="N491" s="1074"/>
      <c r="O491" s="1074"/>
      <c r="P491" s="1074"/>
      <c r="Q491" s="1074"/>
      <c r="R491" s="1074"/>
      <c r="S491" s="1074"/>
      <c r="T491" s="1074"/>
      <c r="U491" s="1074"/>
      <c r="V491" s="1074"/>
      <c r="W491" s="1074"/>
      <c r="X491" s="1074"/>
      <c r="Y491" s="1074"/>
      <c r="Z491" s="1074"/>
      <c r="AA491" s="1074"/>
      <c r="AB491" s="1074"/>
      <c r="AC491" s="1074"/>
      <c r="AD491" s="1074"/>
      <c r="AE491" s="1074"/>
      <c r="AF491" s="1074"/>
      <c r="AG491" s="1074"/>
      <c r="AH491" s="1074"/>
      <c r="AI491" s="1074"/>
      <c r="AJ491" s="1074"/>
      <c r="AK491" s="1074"/>
      <c r="AL491" s="1074"/>
      <c r="AM491" s="1074"/>
      <c r="AN491" s="1074"/>
      <c r="AO491" s="1074"/>
      <c r="AP491" s="1074"/>
      <c r="AQ491" s="1074"/>
      <c r="AR491" s="1074"/>
      <c r="AS491" s="1074"/>
      <c r="AT491" s="1075"/>
    </row>
    <row r="492" ht="14.25" customHeight="1">
      <c r="A492" s="1116"/>
      <c r="B492" s="1120"/>
      <c r="C492" s="1100"/>
      <c r="D492" s="1100"/>
      <c r="E492" s="1100"/>
      <c r="F492" s="1100"/>
      <c r="G492" s="1100"/>
      <c r="H492" s="1100"/>
      <c r="I492" s="1100"/>
      <c r="J492" s="1100"/>
      <c r="K492" s="1074"/>
      <c r="L492" s="1074"/>
      <c r="M492" s="1074"/>
      <c r="N492" s="1074"/>
      <c r="O492" s="1074"/>
      <c r="P492" s="1074"/>
      <c r="Q492" s="1074"/>
      <c r="R492" s="1074"/>
      <c r="S492" s="1074"/>
      <c r="T492" s="1074"/>
      <c r="U492" s="1074"/>
      <c r="V492" s="1074"/>
      <c r="W492" s="1074"/>
      <c r="X492" s="1074"/>
      <c r="Y492" s="1074"/>
      <c r="Z492" s="1074"/>
      <c r="AA492" s="1074"/>
      <c r="AB492" s="1074"/>
      <c r="AC492" s="1074"/>
      <c r="AD492" s="1074"/>
      <c r="AE492" s="1074"/>
      <c r="AF492" s="1074"/>
      <c r="AG492" s="1074"/>
      <c r="AH492" s="1074"/>
      <c r="AI492" s="1074"/>
      <c r="AJ492" s="1074"/>
      <c r="AK492" s="1074"/>
      <c r="AL492" s="1074"/>
      <c r="AM492" s="1074"/>
      <c r="AN492" s="1074"/>
      <c r="AO492" s="1074"/>
      <c r="AP492" s="1074"/>
      <c r="AQ492" s="1074"/>
      <c r="AR492" s="1074"/>
      <c r="AS492" s="1074"/>
      <c r="AT492" s="1075"/>
    </row>
    <row r="493" ht="14.25" customHeight="1">
      <c r="A493" s="1116"/>
      <c r="B493" s="1120"/>
      <c r="C493" s="1100"/>
      <c r="D493" s="1100"/>
      <c r="E493" s="1100"/>
      <c r="F493" s="1100"/>
      <c r="G493" s="1100"/>
      <c r="H493" s="1100"/>
      <c r="I493" s="1100"/>
      <c r="J493" s="1100"/>
      <c r="K493" s="1074"/>
      <c r="L493" s="1074"/>
      <c r="M493" s="1074"/>
      <c r="N493" s="1074"/>
      <c r="O493" s="1074"/>
      <c r="P493" s="1074"/>
      <c r="Q493" s="1074"/>
      <c r="R493" s="1074"/>
      <c r="S493" s="1074"/>
      <c r="T493" s="1074"/>
      <c r="U493" s="1074"/>
      <c r="V493" s="1074"/>
      <c r="W493" s="1074"/>
      <c r="X493" s="1074"/>
      <c r="Y493" s="1074"/>
      <c r="Z493" s="1074"/>
      <c r="AA493" s="1074"/>
      <c r="AB493" s="1074"/>
      <c r="AC493" s="1074"/>
      <c r="AD493" s="1074"/>
      <c r="AE493" s="1074"/>
      <c r="AF493" s="1074"/>
      <c r="AG493" s="1074"/>
      <c r="AH493" s="1074"/>
      <c r="AI493" s="1074"/>
      <c r="AJ493" s="1074"/>
      <c r="AK493" s="1074"/>
      <c r="AL493" s="1074"/>
      <c r="AM493" s="1074"/>
      <c r="AN493" s="1074"/>
      <c r="AO493" s="1074"/>
      <c r="AP493" s="1074"/>
      <c r="AQ493" s="1074"/>
      <c r="AR493" s="1074"/>
      <c r="AS493" s="1074"/>
      <c r="AT493" s="1075"/>
    </row>
    <row r="494" ht="14.25" customHeight="1">
      <c r="A494" s="1116"/>
      <c r="B494" s="1120"/>
      <c r="C494" s="1100"/>
      <c r="D494" s="1100"/>
      <c r="E494" s="1100"/>
      <c r="F494" s="1100"/>
      <c r="G494" s="1100"/>
      <c r="H494" s="1100"/>
      <c r="I494" s="1100"/>
      <c r="J494" s="1100"/>
      <c r="K494" s="1074"/>
      <c r="L494" s="1074"/>
      <c r="M494" s="1074"/>
      <c r="N494" s="1074"/>
      <c r="O494" s="1074"/>
      <c r="P494" s="1074"/>
      <c r="Q494" s="1074"/>
      <c r="R494" s="1074"/>
      <c r="S494" s="1074"/>
      <c r="T494" s="1074"/>
      <c r="U494" s="1074"/>
      <c r="V494" s="1074"/>
      <c r="W494" s="1074"/>
      <c r="X494" s="1074"/>
      <c r="Y494" s="1074"/>
      <c r="Z494" s="1074"/>
      <c r="AA494" s="1074"/>
      <c r="AB494" s="1074"/>
      <c r="AC494" s="1074"/>
      <c r="AD494" s="1074"/>
      <c r="AE494" s="1074"/>
      <c r="AF494" s="1074"/>
      <c r="AG494" s="1074"/>
      <c r="AH494" s="1074"/>
      <c r="AI494" s="1074"/>
      <c r="AJ494" s="1074"/>
      <c r="AK494" s="1074"/>
      <c r="AL494" s="1074"/>
      <c r="AM494" s="1074"/>
      <c r="AN494" s="1074"/>
      <c r="AO494" s="1074"/>
      <c r="AP494" s="1074"/>
      <c r="AQ494" s="1074"/>
      <c r="AR494" s="1074"/>
      <c r="AS494" s="1074"/>
      <c r="AT494" s="1075"/>
    </row>
    <row r="495" ht="14.25" customHeight="1">
      <c r="A495" s="1116"/>
      <c r="B495" s="1120"/>
      <c r="C495" s="1100"/>
      <c r="D495" s="1100"/>
      <c r="E495" s="1100"/>
      <c r="F495" s="1100"/>
      <c r="G495" s="1100"/>
      <c r="H495" s="1100"/>
      <c r="I495" s="1100"/>
      <c r="J495" s="1100"/>
      <c r="K495" s="1074"/>
      <c r="L495" s="1074"/>
      <c r="M495" s="1074"/>
      <c r="N495" s="1074"/>
      <c r="O495" s="1074"/>
      <c r="P495" s="1074"/>
      <c r="Q495" s="1074"/>
      <c r="R495" s="1074"/>
      <c r="S495" s="1074"/>
      <c r="T495" s="1074"/>
      <c r="U495" s="1074"/>
      <c r="V495" s="1074"/>
      <c r="W495" s="1074"/>
      <c r="X495" s="1074"/>
      <c r="Y495" s="1074"/>
      <c r="Z495" s="1074"/>
      <c r="AA495" s="1074"/>
      <c r="AB495" s="1074"/>
      <c r="AC495" s="1074"/>
      <c r="AD495" s="1074"/>
      <c r="AE495" s="1074"/>
      <c r="AF495" s="1074"/>
      <c r="AG495" s="1074"/>
      <c r="AH495" s="1074"/>
      <c r="AI495" s="1074"/>
      <c r="AJ495" s="1074"/>
      <c r="AK495" s="1074"/>
      <c r="AL495" s="1074"/>
      <c r="AM495" s="1074"/>
      <c r="AN495" s="1074"/>
      <c r="AO495" s="1074"/>
      <c r="AP495" s="1074"/>
      <c r="AQ495" s="1074"/>
      <c r="AR495" s="1074"/>
      <c r="AS495" s="1074"/>
      <c r="AT495" s="1075"/>
    </row>
    <row r="496" ht="14.25" customHeight="1">
      <c r="A496" s="1116"/>
      <c r="B496" s="1120"/>
      <c r="C496" s="1100"/>
      <c r="D496" s="1100"/>
      <c r="E496" s="1100"/>
      <c r="F496" s="1100"/>
      <c r="G496" s="1100"/>
      <c r="H496" s="1100"/>
      <c r="I496" s="1100"/>
      <c r="J496" s="1100"/>
      <c r="K496" s="1074"/>
      <c r="L496" s="1074"/>
      <c r="M496" s="1074"/>
      <c r="N496" s="1074"/>
      <c r="O496" s="1074"/>
      <c r="P496" s="1074"/>
      <c r="Q496" s="1074"/>
      <c r="R496" s="1074"/>
      <c r="S496" s="1074"/>
      <c r="T496" s="1074"/>
      <c r="U496" s="1074"/>
      <c r="V496" s="1074"/>
      <c r="W496" s="1074"/>
      <c r="X496" s="1074"/>
      <c r="Y496" s="1074"/>
      <c r="Z496" s="1074"/>
      <c r="AA496" s="1074"/>
      <c r="AB496" s="1074"/>
      <c r="AC496" s="1074"/>
      <c r="AD496" s="1074"/>
      <c r="AE496" s="1074"/>
      <c r="AF496" s="1074"/>
      <c r="AG496" s="1074"/>
      <c r="AH496" s="1074"/>
      <c r="AI496" s="1074"/>
      <c r="AJ496" s="1074"/>
      <c r="AK496" s="1074"/>
      <c r="AL496" s="1074"/>
      <c r="AM496" s="1074"/>
      <c r="AN496" s="1074"/>
      <c r="AO496" s="1074"/>
      <c r="AP496" s="1074"/>
      <c r="AQ496" s="1074"/>
      <c r="AR496" s="1074"/>
      <c r="AS496" s="1074"/>
      <c r="AT496" s="1075"/>
    </row>
    <row r="497" ht="14.25" customHeight="1">
      <c r="A497" s="1116"/>
      <c r="B497" s="1120"/>
      <c r="C497" s="1100"/>
      <c r="D497" s="1100"/>
      <c r="E497" s="1100"/>
      <c r="F497" s="1100"/>
      <c r="G497" s="1100"/>
      <c r="H497" s="1100"/>
      <c r="I497" s="1100"/>
      <c r="J497" s="1100"/>
      <c r="K497" s="1074"/>
      <c r="L497" s="1074"/>
      <c r="M497" s="1074"/>
      <c r="N497" s="1074"/>
      <c r="O497" s="1074"/>
      <c r="P497" s="1074"/>
      <c r="Q497" s="1074"/>
      <c r="R497" s="1074"/>
      <c r="S497" s="1074"/>
      <c r="T497" s="1074"/>
      <c r="U497" s="1074"/>
      <c r="V497" s="1074"/>
      <c r="W497" s="1074"/>
      <c r="X497" s="1074"/>
      <c r="Y497" s="1074"/>
      <c r="Z497" s="1074"/>
      <c r="AA497" s="1074"/>
      <c r="AB497" s="1074"/>
      <c r="AC497" s="1074"/>
      <c r="AD497" s="1074"/>
      <c r="AE497" s="1074"/>
      <c r="AF497" s="1074"/>
      <c r="AG497" s="1074"/>
      <c r="AH497" s="1074"/>
      <c r="AI497" s="1074"/>
      <c r="AJ497" s="1074"/>
      <c r="AK497" s="1074"/>
      <c r="AL497" s="1074"/>
      <c r="AM497" s="1074"/>
      <c r="AN497" s="1074"/>
      <c r="AO497" s="1074"/>
      <c r="AP497" s="1074"/>
      <c r="AQ497" s="1074"/>
      <c r="AR497" s="1074"/>
      <c r="AS497" s="1074"/>
      <c r="AT497" s="1075"/>
    </row>
    <row r="498" ht="14.25" customHeight="1">
      <c r="A498" s="1116"/>
      <c r="B498" s="1120"/>
      <c r="C498" s="1100"/>
      <c r="D498" s="1100"/>
      <c r="E498" s="1100"/>
      <c r="F498" s="1100"/>
      <c r="G498" s="1100"/>
      <c r="H498" s="1100"/>
      <c r="I498" s="1100"/>
      <c r="J498" s="1100"/>
      <c r="K498" s="1074"/>
      <c r="L498" s="1074"/>
      <c r="M498" s="1074"/>
      <c r="N498" s="1074"/>
      <c r="O498" s="1074"/>
      <c r="P498" s="1074"/>
      <c r="Q498" s="1074"/>
      <c r="R498" s="1074"/>
      <c r="S498" s="1074"/>
      <c r="T498" s="1074"/>
      <c r="U498" s="1074"/>
      <c r="V498" s="1074"/>
      <c r="W498" s="1074"/>
      <c r="X498" s="1074"/>
      <c r="Y498" s="1074"/>
      <c r="Z498" s="1074"/>
      <c r="AA498" s="1074"/>
      <c r="AB498" s="1074"/>
      <c r="AC498" s="1074"/>
      <c r="AD498" s="1074"/>
      <c r="AE498" s="1074"/>
      <c r="AF498" s="1074"/>
      <c r="AG498" s="1074"/>
      <c r="AH498" s="1074"/>
      <c r="AI498" s="1074"/>
      <c r="AJ498" s="1074"/>
      <c r="AK498" s="1074"/>
      <c r="AL498" s="1074"/>
      <c r="AM498" s="1074"/>
      <c r="AN498" s="1074"/>
      <c r="AO498" s="1074"/>
      <c r="AP498" s="1074"/>
      <c r="AQ498" s="1074"/>
      <c r="AR498" s="1074"/>
      <c r="AS498" s="1074"/>
      <c r="AT498" s="1075"/>
    </row>
    <row r="499" ht="14.25" customHeight="1">
      <c r="A499" s="1116"/>
      <c r="B499" s="1120"/>
      <c r="C499" s="1100"/>
      <c r="D499" s="1100"/>
      <c r="E499" s="1100"/>
      <c r="F499" s="1100"/>
      <c r="G499" s="1100"/>
      <c r="H499" s="1100"/>
      <c r="I499" s="1100"/>
      <c r="J499" s="1100"/>
      <c r="K499" s="1074"/>
      <c r="L499" s="1074"/>
      <c r="M499" s="1074"/>
      <c r="N499" s="1074"/>
      <c r="O499" s="1074"/>
      <c r="P499" s="1074"/>
      <c r="Q499" s="1074"/>
      <c r="R499" s="1074"/>
      <c r="S499" s="1074"/>
      <c r="T499" s="1074"/>
      <c r="U499" s="1074"/>
      <c r="V499" s="1074"/>
      <c r="W499" s="1074"/>
      <c r="X499" s="1074"/>
      <c r="Y499" s="1074"/>
      <c r="Z499" s="1074"/>
      <c r="AA499" s="1074"/>
      <c r="AB499" s="1074"/>
      <c r="AC499" s="1074"/>
      <c r="AD499" s="1074"/>
      <c r="AE499" s="1074"/>
      <c r="AF499" s="1074"/>
      <c r="AG499" s="1074"/>
      <c r="AH499" s="1074"/>
      <c r="AI499" s="1074"/>
      <c r="AJ499" s="1074"/>
      <c r="AK499" s="1074"/>
      <c r="AL499" s="1074"/>
      <c r="AM499" s="1074"/>
      <c r="AN499" s="1074"/>
      <c r="AO499" s="1074"/>
      <c r="AP499" s="1074"/>
      <c r="AQ499" s="1074"/>
      <c r="AR499" s="1074"/>
      <c r="AS499" s="1074"/>
      <c r="AT499" s="1075"/>
    </row>
    <row r="500" ht="14.25" customHeight="1">
      <c r="A500" s="1116"/>
      <c r="B500" s="1120"/>
      <c r="C500" s="1100"/>
      <c r="D500" s="1100"/>
      <c r="E500" s="1100"/>
      <c r="F500" s="1100"/>
      <c r="G500" s="1100"/>
      <c r="H500" s="1100"/>
      <c r="I500" s="1100"/>
      <c r="J500" s="1100"/>
      <c r="K500" s="1074"/>
      <c r="L500" s="1074"/>
      <c r="M500" s="1074"/>
      <c r="N500" s="1074"/>
      <c r="O500" s="1074"/>
      <c r="P500" s="1074"/>
      <c r="Q500" s="1074"/>
      <c r="R500" s="1074"/>
      <c r="S500" s="1074"/>
      <c r="T500" s="1074"/>
      <c r="U500" s="1074"/>
      <c r="V500" s="1074"/>
      <c r="W500" s="1074"/>
      <c r="X500" s="1074"/>
      <c r="Y500" s="1074"/>
      <c r="Z500" s="1074"/>
      <c r="AA500" s="1074"/>
      <c r="AB500" s="1074"/>
      <c r="AC500" s="1074"/>
      <c r="AD500" s="1074"/>
      <c r="AE500" s="1074"/>
      <c r="AF500" s="1074"/>
      <c r="AG500" s="1074"/>
      <c r="AH500" s="1074"/>
      <c r="AI500" s="1074"/>
      <c r="AJ500" s="1074"/>
      <c r="AK500" s="1074"/>
      <c r="AL500" s="1074"/>
      <c r="AM500" s="1074"/>
      <c r="AN500" s="1074"/>
      <c r="AO500" s="1074"/>
      <c r="AP500" s="1074"/>
      <c r="AQ500" s="1074"/>
      <c r="AR500" s="1074"/>
      <c r="AS500" s="1074"/>
      <c r="AT500" s="1075"/>
    </row>
    <row r="501" ht="14.25" customHeight="1">
      <c r="A501" s="1116"/>
      <c r="B501" s="1120"/>
      <c r="C501" s="1100"/>
      <c r="D501" s="1100"/>
      <c r="E501" s="1100"/>
      <c r="F501" s="1100"/>
      <c r="G501" s="1100"/>
      <c r="H501" s="1100"/>
      <c r="I501" s="1100"/>
      <c r="J501" s="1100"/>
      <c r="K501" s="1074"/>
      <c r="L501" s="1074"/>
      <c r="M501" s="1074"/>
      <c r="N501" s="1074"/>
      <c r="O501" s="1074"/>
      <c r="P501" s="1074"/>
      <c r="Q501" s="1074"/>
      <c r="R501" s="1074"/>
      <c r="S501" s="1074"/>
      <c r="T501" s="1074"/>
      <c r="U501" s="1074"/>
      <c r="V501" s="1074"/>
      <c r="W501" s="1074"/>
      <c r="X501" s="1074"/>
      <c r="Y501" s="1074"/>
      <c r="Z501" s="1074"/>
      <c r="AA501" s="1074"/>
      <c r="AB501" s="1074"/>
      <c r="AC501" s="1074"/>
      <c r="AD501" s="1074"/>
      <c r="AE501" s="1074"/>
      <c r="AF501" s="1074"/>
      <c r="AG501" s="1074"/>
      <c r="AH501" s="1074"/>
      <c r="AI501" s="1074"/>
      <c r="AJ501" s="1074"/>
      <c r="AK501" s="1074"/>
      <c r="AL501" s="1074"/>
      <c r="AM501" s="1074"/>
      <c r="AN501" s="1074"/>
      <c r="AO501" s="1074"/>
      <c r="AP501" s="1074"/>
      <c r="AQ501" s="1074"/>
      <c r="AR501" s="1074"/>
      <c r="AS501" s="1074"/>
      <c r="AT501" s="1075"/>
    </row>
    <row r="502" ht="14.25" customHeight="1">
      <c r="A502" s="1116"/>
      <c r="B502" s="1120"/>
      <c r="C502" s="1100"/>
      <c r="D502" s="1100"/>
      <c r="E502" s="1100"/>
      <c r="F502" s="1100"/>
      <c r="G502" s="1100"/>
      <c r="H502" s="1100"/>
      <c r="I502" s="1100"/>
      <c r="J502" s="1100"/>
      <c r="K502" s="1074"/>
      <c r="L502" s="1074"/>
      <c r="M502" s="1074"/>
      <c r="N502" s="1074"/>
      <c r="O502" s="1074"/>
      <c r="P502" s="1074"/>
      <c r="Q502" s="1074"/>
      <c r="R502" s="1074"/>
      <c r="S502" s="1074"/>
      <c r="T502" s="1074"/>
      <c r="U502" s="1074"/>
      <c r="V502" s="1074"/>
      <c r="W502" s="1074"/>
      <c r="X502" s="1074"/>
      <c r="Y502" s="1074"/>
      <c r="Z502" s="1074"/>
      <c r="AA502" s="1074"/>
      <c r="AB502" s="1074"/>
      <c r="AC502" s="1074"/>
      <c r="AD502" s="1074"/>
      <c r="AE502" s="1074"/>
      <c r="AF502" s="1074"/>
      <c r="AG502" s="1074"/>
      <c r="AH502" s="1074"/>
      <c r="AI502" s="1074"/>
      <c r="AJ502" s="1074"/>
      <c r="AK502" s="1074"/>
      <c r="AL502" s="1074"/>
      <c r="AM502" s="1074"/>
      <c r="AN502" s="1074"/>
      <c r="AO502" s="1074"/>
      <c r="AP502" s="1074"/>
      <c r="AQ502" s="1074"/>
      <c r="AR502" s="1074"/>
      <c r="AS502" s="1074"/>
      <c r="AT502" s="1075"/>
    </row>
    <row r="503" ht="14.25" customHeight="1">
      <c r="A503" s="1116"/>
      <c r="B503" s="1120"/>
      <c r="C503" s="1100"/>
      <c r="D503" s="1100"/>
      <c r="E503" s="1100"/>
      <c r="F503" s="1100"/>
      <c r="G503" s="1100"/>
      <c r="H503" s="1100"/>
      <c r="I503" s="1100"/>
      <c r="J503" s="1100"/>
      <c r="K503" s="1074"/>
      <c r="L503" s="1074"/>
      <c r="M503" s="1074"/>
      <c r="N503" s="1074"/>
      <c r="O503" s="1074"/>
      <c r="P503" s="1074"/>
      <c r="Q503" s="1074"/>
      <c r="R503" s="1074"/>
      <c r="S503" s="1074"/>
      <c r="T503" s="1074"/>
      <c r="U503" s="1074"/>
      <c r="V503" s="1074"/>
      <c r="W503" s="1074"/>
      <c r="X503" s="1074"/>
      <c r="Y503" s="1074"/>
      <c r="Z503" s="1074"/>
      <c r="AA503" s="1074"/>
      <c r="AB503" s="1074"/>
      <c r="AC503" s="1074"/>
      <c r="AD503" s="1074"/>
      <c r="AE503" s="1074"/>
      <c r="AF503" s="1074"/>
      <c r="AG503" s="1074"/>
      <c r="AH503" s="1074"/>
      <c r="AI503" s="1074"/>
      <c r="AJ503" s="1074"/>
      <c r="AK503" s="1074"/>
      <c r="AL503" s="1074"/>
      <c r="AM503" s="1074"/>
      <c r="AN503" s="1074"/>
      <c r="AO503" s="1074"/>
      <c r="AP503" s="1074"/>
      <c r="AQ503" s="1074"/>
      <c r="AR503" s="1074"/>
      <c r="AS503" s="1074"/>
      <c r="AT503" s="1075"/>
    </row>
    <row r="504" ht="14.25" customHeight="1">
      <c r="A504" s="1116"/>
      <c r="B504" s="1120"/>
      <c r="C504" s="1100"/>
      <c r="D504" s="1100"/>
      <c r="E504" s="1100"/>
      <c r="F504" s="1100"/>
      <c r="G504" s="1100"/>
      <c r="H504" s="1100"/>
      <c r="I504" s="1100"/>
      <c r="J504" s="1100"/>
      <c r="K504" s="1074"/>
      <c r="L504" s="1074"/>
      <c r="M504" s="1074"/>
      <c r="N504" s="1074"/>
      <c r="O504" s="1074"/>
      <c r="P504" s="1074"/>
      <c r="Q504" s="1074"/>
      <c r="R504" s="1074"/>
      <c r="S504" s="1074"/>
      <c r="T504" s="1074"/>
      <c r="U504" s="1074"/>
      <c r="V504" s="1074"/>
      <c r="W504" s="1074"/>
      <c r="X504" s="1074"/>
      <c r="Y504" s="1074"/>
      <c r="Z504" s="1074"/>
      <c r="AA504" s="1074"/>
      <c r="AB504" s="1074"/>
      <c r="AC504" s="1074"/>
      <c r="AD504" s="1074"/>
      <c r="AE504" s="1074"/>
      <c r="AF504" s="1074"/>
      <c r="AG504" s="1074"/>
      <c r="AH504" s="1074"/>
      <c r="AI504" s="1074"/>
      <c r="AJ504" s="1074"/>
      <c r="AK504" s="1074"/>
      <c r="AL504" s="1074"/>
      <c r="AM504" s="1074"/>
      <c r="AN504" s="1074"/>
      <c r="AO504" s="1074"/>
      <c r="AP504" s="1074"/>
      <c r="AQ504" s="1074"/>
      <c r="AR504" s="1074"/>
      <c r="AS504" s="1074"/>
      <c r="AT504" s="1075"/>
    </row>
    <row r="505" ht="14.25" customHeight="1">
      <c r="A505" s="1116"/>
      <c r="B505" s="1120"/>
      <c r="C505" s="1100"/>
      <c r="D505" s="1100"/>
      <c r="E505" s="1100"/>
      <c r="F505" s="1100"/>
      <c r="G505" s="1100"/>
      <c r="H505" s="1100"/>
      <c r="I505" s="1100"/>
      <c r="J505" s="1100"/>
      <c r="K505" s="1074"/>
      <c r="L505" s="1074"/>
      <c r="M505" s="1074"/>
      <c r="N505" s="1074"/>
      <c r="O505" s="1074"/>
      <c r="P505" s="1074"/>
      <c r="Q505" s="1074"/>
      <c r="R505" s="1074"/>
      <c r="S505" s="1074"/>
      <c r="T505" s="1074"/>
      <c r="U505" s="1074"/>
      <c r="V505" s="1074"/>
      <c r="W505" s="1074"/>
      <c r="X505" s="1074"/>
      <c r="Y505" s="1074"/>
      <c r="Z505" s="1074"/>
      <c r="AA505" s="1074"/>
      <c r="AB505" s="1074"/>
      <c r="AC505" s="1074"/>
      <c r="AD505" s="1074"/>
      <c r="AE505" s="1074"/>
      <c r="AF505" s="1074"/>
      <c r="AG505" s="1074"/>
      <c r="AH505" s="1074"/>
      <c r="AI505" s="1074"/>
      <c r="AJ505" s="1074"/>
      <c r="AK505" s="1074"/>
      <c r="AL505" s="1074"/>
      <c r="AM505" s="1074"/>
      <c r="AN505" s="1074"/>
      <c r="AO505" s="1074"/>
      <c r="AP505" s="1074"/>
      <c r="AQ505" s="1074"/>
      <c r="AR505" s="1074"/>
      <c r="AS505" s="1074"/>
      <c r="AT505" s="1075"/>
    </row>
    <row r="506" ht="14.25" customHeight="1">
      <c r="A506" s="1116"/>
      <c r="B506" s="1120"/>
      <c r="C506" s="1100"/>
      <c r="D506" s="1100"/>
      <c r="E506" s="1100"/>
      <c r="F506" s="1100"/>
      <c r="G506" s="1100"/>
      <c r="H506" s="1100"/>
      <c r="I506" s="1100"/>
      <c r="J506" s="1100"/>
      <c r="K506" s="1074"/>
      <c r="L506" s="1074"/>
      <c r="M506" s="1074"/>
      <c r="N506" s="1074"/>
      <c r="O506" s="1074"/>
      <c r="P506" s="1074"/>
      <c r="Q506" s="1074"/>
      <c r="R506" s="1074"/>
      <c r="S506" s="1074"/>
      <c r="T506" s="1074"/>
      <c r="U506" s="1074"/>
      <c r="V506" s="1074"/>
      <c r="W506" s="1074"/>
      <c r="X506" s="1074"/>
      <c r="Y506" s="1074"/>
      <c r="Z506" s="1074"/>
      <c r="AA506" s="1074"/>
      <c r="AB506" s="1074"/>
      <c r="AC506" s="1074"/>
      <c r="AD506" s="1074"/>
      <c r="AE506" s="1074"/>
      <c r="AF506" s="1074"/>
      <c r="AG506" s="1074"/>
      <c r="AH506" s="1074"/>
      <c r="AI506" s="1074"/>
      <c r="AJ506" s="1074"/>
      <c r="AK506" s="1074"/>
      <c r="AL506" s="1074"/>
      <c r="AM506" s="1074"/>
      <c r="AN506" s="1074"/>
      <c r="AO506" s="1074"/>
      <c r="AP506" s="1074"/>
      <c r="AQ506" s="1074"/>
      <c r="AR506" s="1074"/>
      <c r="AS506" s="1074"/>
      <c r="AT506" s="1075"/>
    </row>
    <row r="507" ht="14.25" customHeight="1">
      <c r="A507" s="1116"/>
      <c r="B507" s="1120"/>
      <c r="C507" s="1100"/>
      <c r="D507" s="1100"/>
      <c r="E507" s="1100"/>
      <c r="F507" s="1100"/>
      <c r="G507" s="1100"/>
      <c r="H507" s="1100"/>
      <c r="I507" s="1100"/>
      <c r="J507" s="1100"/>
      <c r="K507" s="1074"/>
      <c r="L507" s="1074"/>
      <c r="M507" s="1074"/>
      <c r="N507" s="1074"/>
      <c r="O507" s="1074"/>
      <c r="P507" s="1074"/>
      <c r="Q507" s="1074"/>
      <c r="R507" s="1074"/>
      <c r="S507" s="1074"/>
      <c r="T507" s="1074"/>
      <c r="U507" s="1074"/>
      <c r="V507" s="1074"/>
      <c r="W507" s="1074"/>
      <c r="X507" s="1074"/>
      <c r="Y507" s="1074"/>
      <c r="Z507" s="1074"/>
      <c r="AA507" s="1074"/>
      <c r="AB507" s="1074"/>
      <c r="AC507" s="1074"/>
      <c r="AD507" s="1074"/>
      <c r="AE507" s="1074"/>
      <c r="AF507" s="1074"/>
      <c r="AG507" s="1074"/>
      <c r="AH507" s="1074"/>
      <c r="AI507" s="1074"/>
      <c r="AJ507" s="1074"/>
      <c r="AK507" s="1074"/>
      <c r="AL507" s="1074"/>
      <c r="AM507" s="1074"/>
      <c r="AN507" s="1074"/>
      <c r="AO507" s="1074"/>
      <c r="AP507" s="1074"/>
      <c r="AQ507" s="1074"/>
      <c r="AR507" s="1074"/>
      <c r="AS507" s="1074"/>
      <c r="AT507" s="1075"/>
    </row>
    <row r="508" ht="14.25" customHeight="1">
      <c r="A508" s="1116"/>
      <c r="B508" s="1120"/>
      <c r="C508" s="1100"/>
      <c r="D508" s="1100"/>
      <c r="E508" s="1100"/>
      <c r="F508" s="1100"/>
      <c r="G508" s="1100"/>
      <c r="H508" s="1100"/>
      <c r="I508" s="1100"/>
      <c r="J508" s="1100"/>
      <c r="K508" s="1074"/>
      <c r="L508" s="1074"/>
      <c r="M508" s="1074"/>
      <c r="N508" s="1074"/>
      <c r="O508" s="1074"/>
      <c r="P508" s="1074"/>
      <c r="Q508" s="1074"/>
      <c r="R508" s="1074"/>
      <c r="S508" s="1074"/>
      <c r="T508" s="1074"/>
      <c r="U508" s="1074"/>
      <c r="V508" s="1074"/>
      <c r="W508" s="1074"/>
      <c r="X508" s="1074"/>
      <c r="Y508" s="1074"/>
      <c r="Z508" s="1074"/>
      <c r="AA508" s="1074"/>
      <c r="AB508" s="1074"/>
      <c r="AC508" s="1074"/>
      <c r="AD508" s="1074"/>
      <c r="AE508" s="1074"/>
      <c r="AF508" s="1074"/>
      <c r="AG508" s="1074"/>
      <c r="AH508" s="1074"/>
      <c r="AI508" s="1074"/>
      <c r="AJ508" s="1074"/>
      <c r="AK508" s="1074"/>
      <c r="AL508" s="1074"/>
      <c r="AM508" s="1074"/>
      <c r="AN508" s="1074"/>
      <c r="AO508" s="1074"/>
      <c r="AP508" s="1074"/>
      <c r="AQ508" s="1074"/>
      <c r="AR508" s="1074"/>
      <c r="AS508" s="1074"/>
      <c r="AT508" s="1075"/>
    </row>
    <row r="509" ht="14.25" customHeight="1">
      <c r="A509" s="1116"/>
      <c r="B509" s="1120"/>
      <c r="C509" s="1100"/>
      <c r="D509" s="1100"/>
      <c r="E509" s="1100"/>
      <c r="F509" s="1100"/>
      <c r="G509" s="1100"/>
      <c r="H509" s="1100"/>
      <c r="I509" s="1100"/>
      <c r="J509" s="1100"/>
      <c r="K509" s="1074"/>
      <c r="L509" s="1074"/>
      <c r="M509" s="1074"/>
      <c r="N509" s="1074"/>
      <c r="O509" s="1074"/>
      <c r="P509" s="1074"/>
      <c r="Q509" s="1074"/>
      <c r="R509" s="1074"/>
      <c r="S509" s="1074"/>
      <c r="T509" s="1074"/>
      <c r="U509" s="1074"/>
      <c r="V509" s="1074"/>
      <c r="W509" s="1074"/>
      <c r="X509" s="1074"/>
      <c r="Y509" s="1074"/>
      <c r="Z509" s="1074"/>
      <c r="AA509" s="1074"/>
      <c r="AB509" s="1074"/>
      <c r="AC509" s="1074"/>
      <c r="AD509" s="1074"/>
      <c r="AE509" s="1074"/>
      <c r="AF509" s="1074"/>
      <c r="AG509" s="1074"/>
      <c r="AH509" s="1074"/>
      <c r="AI509" s="1074"/>
      <c r="AJ509" s="1074"/>
      <c r="AK509" s="1074"/>
      <c r="AL509" s="1074"/>
      <c r="AM509" s="1074"/>
      <c r="AN509" s="1074"/>
      <c r="AO509" s="1074"/>
      <c r="AP509" s="1074"/>
      <c r="AQ509" s="1074"/>
      <c r="AR509" s="1074"/>
      <c r="AS509" s="1074"/>
      <c r="AT509" s="1075"/>
    </row>
    <row r="510" ht="14.25" customHeight="1">
      <c r="A510" s="1116"/>
      <c r="B510" s="1120"/>
      <c r="C510" s="1100"/>
      <c r="D510" s="1100"/>
      <c r="E510" s="1100"/>
      <c r="F510" s="1100"/>
      <c r="G510" s="1100"/>
      <c r="H510" s="1100"/>
      <c r="I510" s="1100"/>
      <c r="J510" s="1100"/>
      <c r="K510" s="1074"/>
      <c r="L510" s="1074"/>
      <c r="M510" s="1074"/>
      <c r="N510" s="1074"/>
      <c r="O510" s="1074"/>
      <c r="P510" s="1074"/>
      <c r="Q510" s="1074"/>
      <c r="R510" s="1074"/>
      <c r="S510" s="1074"/>
      <c r="T510" s="1074"/>
      <c r="U510" s="1074"/>
      <c r="V510" s="1074"/>
      <c r="W510" s="1074"/>
      <c r="X510" s="1074"/>
      <c r="Y510" s="1074"/>
      <c r="Z510" s="1074"/>
      <c r="AA510" s="1074"/>
      <c r="AB510" s="1074"/>
      <c r="AC510" s="1074"/>
      <c r="AD510" s="1074"/>
      <c r="AE510" s="1074"/>
      <c r="AF510" s="1074"/>
      <c r="AG510" s="1074"/>
      <c r="AH510" s="1074"/>
      <c r="AI510" s="1074"/>
      <c r="AJ510" s="1074"/>
      <c r="AK510" s="1074"/>
      <c r="AL510" s="1074"/>
      <c r="AM510" s="1074"/>
      <c r="AN510" s="1074"/>
      <c r="AO510" s="1074"/>
      <c r="AP510" s="1074"/>
      <c r="AQ510" s="1074"/>
      <c r="AR510" s="1074"/>
      <c r="AS510" s="1074"/>
      <c r="AT510" s="1075"/>
    </row>
    <row r="511" ht="14.25" customHeight="1">
      <c r="A511" s="1116"/>
      <c r="B511" s="1120"/>
      <c r="C511" s="1100"/>
      <c r="D511" s="1100"/>
      <c r="E511" s="1100"/>
      <c r="F511" s="1100"/>
      <c r="G511" s="1100"/>
      <c r="H511" s="1100"/>
      <c r="I511" s="1100"/>
      <c r="J511" s="1100"/>
      <c r="K511" s="1074"/>
      <c r="L511" s="1074"/>
      <c r="M511" s="1074"/>
      <c r="N511" s="1074"/>
      <c r="O511" s="1074"/>
      <c r="P511" s="1074"/>
      <c r="Q511" s="1074"/>
      <c r="R511" s="1074"/>
      <c r="S511" s="1074"/>
      <c r="T511" s="1074"/>
      <c r="U511" s="1074"/>
      <c r="V511" s="1074"/>
      <c r="W511" s="1074"/>
      <c r="X511" s="1074"/>
      <c r="Y511" s="1074"/>
      <c r="Z511" s="1074"/>
      <c r="AA511" s="1074"/>
      <c r="AB511" s="1074"/>
      <c r="AC511" s="1074"/>
      <c r="AD511" s="1074"/>
      <c r="AE511" s="1074"/>
      <c r="AF511" s="1074"/>
      <c r="AG511" s="1074"/>
      <c r="AH511" s="1074"/>
      <c r="AI511" s="1074"/>
      <c r="AJ511" s="1074"/>
      <c r="AK511" s="1074"/>
      <c r="AL511" s="1074"/>
      <c r="AM511" s="1074"/>
      <c r="AN511" s="1074"/>
      <c r="AO511" s="1074"/>
      <c r="AP511" s="1074"/>
      <c r="AQ511" s="1074"/>
      <c r="AR511" s="1074"/>
      <c r="AS511" s="1074"/>
      <c r="AT511" s="1075"/>
    </row>
    <row r="512" ht="14.25" customHeight="1">
      <c r="A512" s="1116"/>
      <c r="B512" s="1120"/>
      <c r="C512" s="1100"/>
      <c r="D512" s="1100"/>
      <c r="E512" s="1100"/>
      <c r="F512" s="1100"/>
      <c r="G512" s="1100"/>
      <c r="H512" s="1100"/>
      <c r="I512" s="1100"/>
      <c r="J512" s="1100"/>
      <c r="K512" s="1074"/>
      <c r="L512" s="1074"/>
      <c r="M512" s="1074"/>
      <c r="N512" s="1074"/>
      <c r="O512" s="1074"/>
      <c r="P512" s="1074"/>
      <c r="Q512" s="1074"/>
      <c r="R512" s="1074"/>
      <c r="S512" s="1074"/>
      <c r="T512" s="1074"/>
      <c r="U512" s="1074"/>
      <c r="V512" s="1074"/>
      <c r="W512" s="1074"/>
      <c r="X512" s="1074"/>
      <c r="Y512" s="1074"/>
      <c r="Z512" s="1074"/>
      <c r="AA512" s="1074"/>
      <c r="AB512" s="1074"/>
      <c r="AC512" s="1074"/>
      <c r="AD512" s="1074"/>
      <c r="AE512" s="1074"/>
      <c r="AF512" s="1074"/>
      <c r="AG512" s="1074"/>
      <c r="AH512" s="1074"/>
      <c r="AI512" s="1074"/>
      <c r="AJ512" s="1074"/>
      <c r="AK512" s="1074"/>
      <c r="AL512" s="1074"/>
      <c r="AM512" s="1074"/>
      <c r="AN512" s="1074"/>
      <c r="AO512" s="1074"/>
      <c r="AP512" s="1074"/>
      <c r="AQ512" s="1074"/>
      <c r="AR512" s="1074"/>
      <c r="AS512" s="1074"/>
      <c r="AT512" s="1075"/>
    </row>
    <row r="513" ht="14.25" customHeight="1">
      <c r="A513" s="1116"/>
      <c r="B513" s="1120"/>
      <c r="C513" s="1100"/>
      <c r="D513" s="1100"/>
      <c r="E513" s="1100"/>
      <c r="F513" s="1100"/>
      <c r="G513" s="1100"/>
      <c r="H513" s="1100"/>
      <c r="I513" s="1100"/>
      <c r="J513" s="1100"/>
      <c r="K513" s="1074"/>
      <c r="L513" s="1074"/>
      <c r="M513" s="1074"/>
      <c r="N513" s="1074"/>
      <c r="O513" s="1074"/>
      <c r="P513" s="1074"/>
      <c r="Q513" s="1074"/>
      <c r="R513" s="1074"/>
      <c r="S513" s="1074"/>
      <c r="T513" s="1074"/>
      <c r="U513" s="1074"/>
      <c r="V513" s="1074"/>
      <c r="W513" s="1074"/>
      <c r="X513" s="1074"/>
      <c r="Y513" s="1074"/>
      <c r="Z513" s="1074"/>
      <c r="AA513" s="1074"/>
      <c r="AB513" s="1074"/>
      <c r="AC513" s="1074"/>
      <c r="AD513" s="1074"/>
      <c r="AE513" s="1074"/>
      <c r="AF513" s="1074"/>
      <c r="AG513" s="1074"/>
      <c r="AH513" s="1074"/>
      <c r="AI513" s="1074"/>
      <c r="AJ513" s="1074"/>
      <c r="AK513" s="1074"/>
      <c r="AL513" s="1074"/>
      <c r="AM513" s="1074"/>
      <c r="AN513" s="1074"/>
      <c r="AO513" s="1074"/>
      <c r="AP513" s="1074"/>
      <c r="AQ513" s="1074"/>
      <c r="AR513" s="1074"/>
      <c r="AS513" s="1074"/>
      <c r="AT513" s="1075"/>
    </row>
    <row r="514" ht="14.25" customHeight="1">
      <c r="A514" s="1116"/>
      <c r="B514" s="1120"/>
      <c r="C514" s="1100"/>
      <c r="D514" s="1100"/>
      <c r="E514" s="1100"/>
      <c r="F514" s="1100"/>
      <c r="G514" s="1100"/>
      <c r="H514" s="1100"/>
      <c r="I514" s="1100"/>
      <c r="J514" s="1100"/>
      <c r="K514" s="1074"/>
      <c r="L514" s="1074"/>
      <c r="M514" s="1074"/>
      <c r="N514" s="1074"/>
      <c r="O514" s="1074"/>
      <c r="P514" s="1074"/>
      <c r="Q514" s="1074"/>
      <c r="R514" s="1074"/>
      <c r="S514" s="1074"/>
      <c r="T514" s="1074"/>
      <c r="U514" s="1074"/>
      <c r="V514" s="1074"/>
      <c r="W514" s="1074"/>
      <c r="X514" s="1074"/>
      <c r="Y514" s="1074"/>
      <c r="Z514" s="1074"/>
      <c r="AA514" s="1074"/>
      <c r="AB514" s="1074"/>
      <c r="AC514" s="1074"/>
      <c r="AD514" s="1074"/>
      <c r="AE514" s="1074"/>
      <c r="AF514" s="1074"/>
      <c r="AG514" s="1074"/>
      <c r="AH514" s="1074"/>
      <c r="AI514" s="1074"/>
      <c r="AJ514" s="1074"/>
      <c r="AK514" s="1074"/>
      <c r="AL514" s="1074"/>
      <c r="AM514" s="1074"/>
      <c r="AN514" s="1074"/>
      <c r="AO514" s="1074"/>
      <c r="AP514" s="1074"/>
      <c r="AQ514" s="1074"/>
      <c r="AR514" s="1074"/>
      <c r="AS514" s="1074"/>
      <c r="AT514" s="1075"/>
    </row>
    <row r="515" ht="14.25" customHeight="1">
      <c r="A515" s="1116"/>
      <c r="B515" s="1120"/>
      <c r="C515" s="1100"/>
      <c r="D515" s="1100"/>
      <c r="E515" s="1100"/>
      <c r="F515" s="1100"/>
      <c r="G515" s="1100"/>
      <c r="H515" s="1100"/>
      <c r="I515" s="1100"/>
      <c r="J515" s="1100"/>
      <c r="K515" s="1074"/>
      <c r="L515" s="1074"/>
      <c r="M515" s="1074"/>
      <c r="N515" s="1074"/>
      <c r="O515" s="1074"/>
      <c r="P515" s="1074"/>
      <c r="Q515" s="1074"/>
      <c r="R515" s="1074"/>
      <c r="S515" s="1074"/>
      <c r="T515" s="1074"/>
      <c r="U515" s="1074"/>
      <c r="V515" s="1074"/>
      <c r="W515" s="1074"/>
      <c r="X515" s="1074"/>
      <c r="Y515" s="1074"/>
      <c r="Z515" s="1074"/>
      <c r="AA515" s="1074"/>
      <c r="AB515" s="1074"/>
      <c r="AC515" s="1074"/>
      <c r="AD515" s="1074"/>
      <c r="AE515" s="1074"/>
      <c r="AF515" s="1074"/>
      <c r="AG515" s="1074"/>
      <c r="AH515" s="1074"/>
      <c r="AI515" s="1074"/>
      <c r="AJ515" s="1074"/>
      <c r="AK515" s="1074"/>
      <c r="AL515" s="1074"/>
      <c r="AM515" s="1074"/>
      <c r="AN515" s="1074"/>
      <c r="AO515" s="1074"/>
      <c r="AP515" s="1074"/>
      <c r="AQ515" s="1074"/>
      <c r="AR515" s="1074"/>
      <c r="AS515" s="1074"/>
      <c r="AT515" s="1075"/>
    </row>
    <row r="516" ht="14.25" customHeight="1">
      <c r="A516" s="1116"/>
      <c r="B516" s="1120"/>
      <c r="C516" s="1100"/>
      <c r="D516" s="1100"/>
      <c r="E516" s="1100"/>
      <c r="F516" s="1100"/>
      <c r="G516" s="1100"/>
      <c r="H516" s="1100"/>
      <c r="I516" s="1100"/>
      <c r="J516" s="1100"/>
      <c r="K516" s="1074"/>
      <c r="L516" s="1074"/>
      <c r="M516" s="1074"/>
      <c r="N516" s="1074"/>
      <c r="O516" s="1074"/>
      <c r="P516" s="1074"/>
      <c r="Q516" s="1074"/>
      <c r="R516" s="1074"/>
      <c r="S516" s="1074"/>
      <c r="T516" s="1074"/>
      <c r="U516" s="1074"/>
      <c r="V516" s="1074"/>
      <c r="W516" s="1074"/>
      <c r="X516" s="1074"/>
      <c r="Y516" s="1074"/>
      <c r="Z516" s="1074"/>
      <c r="AA516" s="1074"/>
      <c r="AB516" s="1074"/>
      <c r="AC516" s="1074"/>
      <c r="AD516" s="1074"/>
      <c r="AE516" s="1074"/>
      <c r="AF516" s="1074"/>
      <c r="AG516" s="1074"/>
      <c r="AH516" s="1074"/>
      <c r="AI516" s="1074"/>
      <c r="AJ516" s="1074"/>
      <c r="AK516" s="1074"/>
      <c r="AL516" s="1074"/>
      <c r="AM516" s="1074"/>
      <c r="AN516" s="1074"/>
      <c r="AO516" s="1074"/>
      <c r="AP516" s="1074"/>
      <c r="AQ516" s="1074"/>
      <c r="AR516" s="1074"/>
      <c r="AS516" s="1074"/>
      <c r="AT516" s="1075"/>
    </row>
    <row r="517" ht="14.25" customHeight="1">
      <c r="A517" s="1116"/>
      <c r="B517" s="1120"/>
      <c r="C517" s="1100"/>
      <c r="D517" s="1100"/>
      <c r="E517" s="1100"/>
      <c r="F517" s="1100"/>
      <c r="G517" s="1100"/>
      <c r="H517" s="1100"/>
      <c r="I517" s="1100"/>
      <c r="J517" s="1100"/>
      <c r="K517" s="1074"/>
      <c r="L517" s="1074"/>
      <c r="M517" s="1074"/>
      <c r="N517" s="1074"/>
      <c r="O517" s="1074"/>
      <c r="P517" s="1074"/>
      <c r="Q517" s="1074"/>
      <c r="R517" s="1074"/>
      <c r="S517" s="1074"/>
      <c r="T517" s="1074"/>
      <c r="U517" s="1074"/>
      <c r="V517" s="1074"/>
      <c r="W517" s="1074"/>
      <c r="X517" s="1074"/>
      <c r="Y517" s="1074"/>
      <c r="Z517" s="1074"/>
      <c r="AA517" s="1074"/>
      <c r="AB517" s="1074"/>
      <c r="AC517" s="1074"/>
      <c r="AD517" s="1074"/>
      <c r="AE517" s="1074"/>
      <c r="AF517" s="1074"/>
      <c r="AG517" s="1074"/>
      <c r="AH517" s="1074"/>
      <c r="AI517" s="1074"/>
      <c r="AJ517" s="1074"/>
      <c r="AK517" s="1074"/>
      <c r="AL517" s="1074"/>
      <c r="AM517" s="1074"/>
      <c r="AN517" s="1074"/>
      <c r="AO517" s="1074"/>
      <c r="AP517" s="1074"/>
      <c r="AQ517" s="1074"/>
      <c r="AR517" s="1074"/>
      <c r="AS517" s="1074"/>
      <c r="AT517" s="1075"/>
    </row>
    <row r="518" ht="14.25" customHeight="1">
      <c r="A518" s="1116"/>
      <c r="B518" s="1120"/>
      <c r="C518" s="1100"/>
      <c r="D518" s="1100"/>
      <c r="E518" s="1100"/>
      <c r="F518" s="1100"/>
      <c r="G518" s="1100"/>
      <c r="H518" s="1100"/>
      <c r="I518" s="1100"/>
      <c r="J518" s="1100"/>
      <c r="K518" s="1074"/>
      <c r="L518" s="1074"/>
      <c r="M518" s="1074"/>
      <c r="N518" s="1074"/>
      <c r="O518" s="1074"/>
      <c r="P518" s="1074"/>
      <c r="Q518" s="1074"/>
      <c r="R518" s="1074"/>
      <c r="S518" s="1074"/>
      <c r="T518" s="1074"/>
      <c r="U518" s="1074"/>
      <c r="V518" s="1074"/>
      <c r="W518" s="1074"/>
      <c r="X518" s="1074"/>
      <c r="Y518" s="1074"/>
      <c r="Z518" s="1074"/>
      <c r="AA518" s="1074"/>
      <c r="AB518" s="1074"/>
      <c r="AC518" s="1074"/>
      <c r="AD518" s="1074"/>
      <c r="AE518" s="1074"/>
      <c r="AF518" s="1074"/>
      <c r="AG518" s="1074"/>
      <c r="AH518" s="1074"/>
      <c r="AI518" s="1074"/>
      <c r="AJ518" s="1074"/>
      <c r="AK518" s="1074"/>
      <c r="AL518" s="1074"/>
      <c r="AM518" s="1074"/>
      <c r="AN518" s="1074"/>
      <c r="AO518" s="1074"/>
      <c r="AP518" s="1074"/>
      <c r="AQ518" s="1074"/>
      <c r="AR518" s="1074"/>
      <c r="AS518" s="1074"/>
      <c r="AT518" s="1075"/>
    </row>
    <row r="519" ht="14.25" customHeight="1">
      <c r="A519" s="1116"/>
      <c r="B519" s="1120"/>
      <c r="C519" s="1100"/>
      <c r="D519" s="1100"/>
      <c r="E519" s="1100"/>
      <c r="F519" s="1100"/>
      <c r="G519" s="1100"/>
      <c r="H519" s="1100"/>
      <c r="I519" s="1100"/>
      <c r="J519" s="1100"/>
      <c r="K519" s="1074"/>
      <c r="L519" s="1074"/>
      <c r="M519" s="1074"/>
      <c r="N519" s="1074"/>
      <c r="O519" s="1074"/>
      <c r="P519" s="1074"/>
      <c r="Q519" s="1074"/>
      <c r="R519" s="1074"/>
      <c r="S519" s="1074"/>
      <c r="T519" s="1074"/>
      <c r="U519" s="1074"/>
      <c r="V519" s="1074"/>
      <c r="W519" s="1074"/>
      <c r="X519" s="1074"/>
      <c r="Y519" s="1074"/>
      <c r="Z519" s="1074"/>
      <c r="AA519" s="1074"/>
      <c r="AB519" s="1074"/>
      <c r="AC519" s="1074"/>
      <c r="AD519" s="1074"/>
      <c r="AE519" s="1074"/>
      <c r="AF519" s="1074"/>
      <c r="AG519" s="1074"/>
      <c r="AH519" s="1074"/>
      <c r="AI519" s="1074"/>
      <c r="AJ519" s="1074"/>
      <c r="AK519" s="1074"/>
      <c r="AL519" s="1074"/>
      <c r="AM519" s="1074"/>
      <c r="AN519" s="1074"/>
      <c r="AO519" s="1074"/>
      <c r="AP519" s="1074"/>
      <c r="AQ519" s="1074"/>
      <c r="AR519" s="1074"/>
      <c r="AS519" s="1074"/>
      <c r="AT519" s="1075"/>
    </row>
    <row r="520" ht="14.25" customHeight="1">
      <c r="A520" s="1116"/>
      <c r="B520" s="1120"/>
      <c r="C520" s="1100"/>
      <c r="D520" s="1100"/>
      <c r="E520" s="1100"/>
      <c r="F520" s="1100"/>
      <c r="G520" s="1100"/>
      <c r="H520" s="1100"/>
      <c r="I520" s="1100"/>
      <c r="J520" s="1100"/>
      <c r="K520" s="1074"/>
      <c r="L520" s="1074"/>
      <c r="M520" s="1074"/>
      <c r="N520" s="1074"/>
      <c r="O520" s="1074"/>
      <c r="P520" s="1074"/>
      <c r="Q520" s="1074"/>
      <c r="R520" s="1074"/>
      <c r="S520" s="1074"/>
      <c r="T520" s="1074"/>
      <c r="U520" s="1074"/>
      <c r="V520" s="1074"/>
      <c r="W520" s="1074"/>
      <c r="X520" s="1074"/>
      <c r="Y520" s="1074"/>
      <c r="Z520" s="1074"/>
      <c r="AA520" s="1074"/>
      <c r="AB520" s="1074"/>
      <c r="AC520" s="1074"/>
      <c r="AD520" s="1074"/>
      <c r="AE520" s="1074"/>
      <c r="AF520" s="1074"/>
      <c r="AG520" s="1074"/>
      <c r="AH520" s="1074"/>
      <c r="AI520" s="1074"/>
      <c r="AJ520" s="1074"/>
      <c r="AK520" s="1074"/>
      <c r="AL520" s="1074"/>
      <c r="AM520" s="1074"/>
      <c r="AN520" s="1074"/>
      <c r="AO520" s="1074"/>
      <c r="AP520" s="1074"/>
      <c r="AQ520" s="1074"/>
      <c r="AR520" s="1074"/>
      <c r="AS520" s="1074"/>
      <c r="AT520" s="1075"/>
    </row>
    <row r="521" ht="14.25" customHeight="1">
      <c r="A521" s="1116"/>
      <c r="B521" s="1120"/>
      <c r="C521" s="1100"/>
      <c r="D521" s="1100"/>
      <c r="E521" s="1100"/>
      <c r="F521" s="1100"/>
      <c r="G521" s="1100"/>
      <c r="H521" s="1100"/>
      <c r="I521" s="1100"/>
      <c r="J521" s="1100"/>
      <c r="K521" s="1074"/>
      <c r="L521" s="1074"/>
      <c r="M521" s="1074"/>
      <c r="N521" s="1074"/>
      <c r="O521" s="1074"/>
      <c r="P521" s="1074"/>
      <c r="Q521" s="1074"/>
      <c r="R521" s="1074"/>
      <c r="S521" s="1074"/>
      <c r="T521" s="1074"/>
      <c r="U521" s="1074"/>
      <c r="V521" s="1074"/>
      <c r="W521" s="1074"/>
      <c r="X521" s="1074"/>
      <c r="Y521" s="1074"/>
      <c r="Z521" s="1074"/>
      <c r="AA521" s="1074"/>
      <c r="AB521" s="1074"/>
      <c r="AC521" s="1074"/>
      <c r="AD521" s="1074"/>
      <c r="AE521" s="1074"/>
      <c r="AF521" s="1074"/>
      <c r="AG521" s="1074"/>
      <c r="AH521" s="1074"/>
      <c r="AI521" s="1074"/>
      <c r="AJ521" s="1074"/>
      <c r="AK521" s="1074"/>
      <c r="AL521" s="1074"/>
      <c r="AM521" s="1074"/>
      <c r="AN521" s="1074"/>
      <c r="AO521" s="1074"/>
      <c r="AP521" s="1074"/>
      <c r="AQ521" s="1074"/>
      <c r="AR521" s="1074"/>
      <c r="AS521" s="1074"/>
      <c r="AT521" s="1075"/>
    </row>
    <row r="522" ht="14.25" customHeight="1">
      <c r="A522" s="1116"/>
      <c r="B522" s="1120"/>
      <c r="C522" s="1100"/>
      <c r="D522" s="1100"/>
      <c r="E522" s="1100"/>
      <c r="F522" s="1100"/>
      <c r="G522" s="1100"/>
      <c r="H522" s="1100"/>
      <c r="I522" s="1100"/>
      <c r="J522" s="1100"/>
      <c r="K522" s="1074"/>
      <c r="L522" s="1074"/>
      <c r="M522" s="1074"/>
      <c r="N522" s="1074"/>
      <c r="O522" s="1074"/>
      <c r="P522" s="1074"/>
      <c r="Q522" s="1074"/>
      <c r="R522" s="1074"/>
      <c r="S522" s="1074"/>
      <c r="T522" s="1074"/>
      <c r="U522" s="1074"/>
      <c r="V522" s="1074"/>
      <c r="W522" s="1074"/>
      <c r="X522" s="1074"/>
      <c r="Y522" s="1074"/>
      <c r="Z522" s="1074"/>
      <c r="AA522" s="1074"/>
      <c r="AB522" s="1074"/>
      <c r="AC522" s="1074"/>
      <c r="AD522" s="1074"/>
      <c r="AE522" s="1074"/>
      <c r="AF522" s="1074"/>
      <c r="AG522" s="1074"/>
      <c r="AH522" s="1074"/>
      <c r="AI522" s="1074"/>
      <c r="AJ522" s="1074"/>
      <c r="AK522" s="1074"/>
      <c r="AL522" s="1074"/>
      <c r="AM522" s="1074"/>
      <c r="AN522" s="1074"/>
      <c r="AO522" s="1074"/>
      <c r="AP522" s="1074"/>
      <c r="AQ522" s="1074"/>
      <c r="AR522" s="1074"/>
      <c r="AS522" s="1074"/>
      <c r="AT522" s="1075"/>
    </row>
    <row r="523" ht="14.25" customHeight="1">
      <c r="A523" s="1116"/>
      <c r="B523" s="1120"/>
      <c r="C523" s="1100"/>
      <c r="D523" s="1100"/>
      <c r="E523" s="1100"/>
      <c r="F523" s="1100"/>
      <c r="G523" s="1100"/>
      <c r="H523" s="1100"/>
      <c r="I523" s="1100"/>
      <c r="J523" s="1100"/>
      <c r="K523" s="1074"/>
      <c r="L523" s="1074"/>
      <c r="M523" s="1074"/>
      <c r="N523" s="1074"/>
      <c r="O523" s="1074"/>
      <c r="P523" s="1074"/>
      <c r="Q523" s="1074"/>
      <c r="R523" s="1074"/>
      <c r="S523" s="1074"/>
      <c r="T523" s="1074"/>
      <c r="U523" s="1074"/>
      <c r="V523" s="1074"/>
      <c r="W523" s="1074"/>
      <c r="X523" s="1074"/>
      <c r="Y523" s="1074"/>
      <c r="Z523" s="1074"/>
      <c r="AA523" s="1074"/>
      <c r="AB523" s="1074"/>
      <c r="AC523" s="1074"/>
      <c r="AD523" s="1074"/>
      <c r="AE523" s="1074"/>
      <c r="AF523" s="1074"/>
      <c r="AG523" s="1074"/>
      <c r="AH523" s="1074"/>
      <c r="AI523" s="1074"/>
      <c r="AJ523" s="1074"/>
      <c r="AK523" s="1074"/>
      <c r="AL523" s="1074"/>
      <c r="AM523" s="1074"/>
      <c r="AN523" s="1074"/>
      <c r="AO523" s="1074"/>
      <c r="AP523" s="1074"/>
      <c r="AQ523" s="1074"/>
      <c r="AR523" s="1074"/>
      <c r="AS523" s="1074"/>
      <c r="AT523" s="1075"/>
    </row>
    <row r="524" ht="14.25" customHeight="1">
      <c r="A524" s="1116"/>
      <c r="B524" s="1120"/>
      <c r="C524" s="1100"/>
      <c r="D524" s="1100"/>
      <c r="E524" s="1100"/>
      <c r="F524" s="1100"/>
      <c r="G524" s="1100"/>
      <c r="H524" s="1100"/>
      <c r="I524" s="1100"/>
      <c r="J524" s="1100"/>
      <c r="K524" s="1074"/>
      <c r="L524" s="1074"/>
      <c r="M524" s="1074"/>
      <c r="N524" s="1074"/>
      <c r="O524" s="1074"/>
      <c r="P524" s="1074"/>
      <c r="Q524" s="1074"/>
      <c r="R524" s="1074"/>
      <c r="S524" s="1074"/>
      <c r="T524" s="1074"/>
      <c r="U524" s="1074"/>
      <c r="V524" s="1074"/>
      <c r="W524" s="1074"/>
      <c r="X524" s="1074"/>
      <c r="Y524" s="1074"/>
      <c r="Z524" s="1074"/>
      <c r="AA524" s="1074"/>
      <c r="AB524" s="1074"/>
      <c r="AC524" s="1074"/>
      <c r="AD524" s="1074"/>
      <c r="AE524" s="1074"/>
      <c r="AF524" s="1074"/>
      <c r="AG524" s="1074"/>
      <c r="AH524" s="1074"/>
      <c r="AI524" s="1074"/>
      <c r="AJ524" s="1074"/>
      <c r="AK524" s="1074"/>
      <c r="AL524" s="1074"/>
      <c r="AM524" s="1074"/>
      <c r="AN524" s="1074"/>
      <c r="AO524" s="1074"/>
      <c r="AP524" s="1074"/>
      <c r="AQ524" s="1074"/>
      <c r="AR524" s="1074"/>
      <c r="AS524" s="1074"/>
      <c r="AT524" s="1075"/>
    </row>
    <row r="525" ht="14.25" customHeight="1">
      <c r="A525" s="1116"/>
      <c r="B525" s="1120"/>
      <c r="C525" s="1100"/>
      <c r="D525" s="1100"/>
      <c r="E525" s="1100"/>
      <c r="F525" s="1100"/>
      <c r="G525" s="1100"/>
      <c r="H525" s="1100"/>
      <c r="I525" s="1100"/>
      <c r="J525" s="1100"/>
      <c r="K525" s="1074"/>
      <c r="L525" s="1074"/>
      <c r="M525" s="1074"/>
      <c r="N525" s="1074"/>
      <c r="O525" s="1074"/>
      <c r="P525" s="1074"/>
      <c r="Q525" s="1074"/>
      <c r="R525" s="1074"/>
      <c r="S525" s="1074"/>
      <c r="T525" s="1074"/>
      <c r="U525" s="1074"/>
      <c r="V525" s="1074"/>
      <c r="W525" s="1074"/>
      <c r="X525" s="1074"/>
      <c r="Y525" s="1074"/>
      <c r="Z525" s="1074"/>
      <c r="AA525" s="1074"/>
      <c r="AB525" s="1074"/>
      <c r="AC525" s="1074"/>
      <c r="AD525" s="1074"/>
      <c r="AE525" s="1074"/>
      <c r="AF525" s="1074"/>
      <c r="AG525" s="1074"/>
      <c r="AH525" s="1074"/>
      <c r="AI525" s="1074"/>
      <c r="AJ525" s="1074"/>
      <c r="AK525" s="1074"/>
      <c r="AL525" s="1074"/>
      <c r="AM525" s="1074"/>
      <c r="AN525" s="1074"/>
      <c r="AO525" s="1074"/>
      <c r="AP525" s="1074"/>
      <c r="AQ525" s="1074"/>
      <c r="AR525" s="1074"/>
      <c r="AS525" s="1074"/>
      <c r="AT525" s="1075"/>
    </row>
    <row r="526" ht="14.25" customHeight="1">
      <c r="A526" s="1116"/>
      <c r="B526" s="1120"/>
      <c r="C526" s="1100"/>
      <c r="D526" s="1100"/>
      <c r="E526" s="1100"/>
      <c r="F526" s="1100"/>
      <c r="G526" s="1100"/>
      <c r="H526" s="1100"/>
      <c r="I526" s="1100"/>
      <c r="J526" s="1100"/>
      <c r="K526" s="1074"/>
      <c r="L526" s="1074"/>
      <c r="M526" s="1074"/>
      <c r="N526" s="1074"/>
      <c r="O526" s="1074"/>
      <c r="P526" s="1074"/>
      <c r="Q526" s="1074"/>
      <c r="R526" s="1074"/>
      <c r="S526" s="1074"/>
      <c r="T526" s="1074"/>
      <c r="U526" s="1074"/>
      <c r="V526" s="1074"/>
      <c r="W526" s="1074"/>
      <c r="X526" s="1074"/>
      <c r="Y526" s="1074"/>
      <c r="Z526" s="1074"/>
      <c r="AA526" s="1074"/>
      <c r="AB526" s="1074"/>
      <c r="AC526" s="1074"/>
      <c r="AD526" s="1074"/>
      <c r="AE526" s="1074"/>
      <c r="AF526" s="1074"/>
      <c r="AG526" s="1074"/>
      <c r="AH526" s="1074"/>
      <c r="AI526" s="1074"/>
      <c r="AJ526" s="1074"/>
      <c r="AK526" s="1074"/>
      <c r="AL526" s="1074"/>
      <c r="AM526" s="1074"/>
      <c r="AN526" s="1074"/>
      <c r="AO526" s="1074"/>
      <c r="AP526" s="1074"/>
      <c r="AQ526" s="1074"/>
      <c r="AR526" s="1074"/>
      <c r="AS526" s="1074"/>
      <c r="AT526" s="1075"/>
    </row>
    <row r="527" ht="14.25" customHeight="1">
      <c r="A527" s="1116"/>
      <c r="B527" s="1120"/>
      <c r="C527" s="1100"/>
      <c r="D527" s="1100"/>
      <c r="E527" s="1100"/>
      <c r="F527" s="1100"/>
      <c r="G527" s="1100"/>
      <c r="H527" s="1100"/>
      <c r="I527" s="1100"/>
      <c r="J527" s="1100"/>
      <c r="K527" s="1074"/>
      <c r="L527" s="1074"/>
      <c r="M527" s="1074"/>
      <c r="N527" s="1074"/>
      <c r="O527" s="1074"/>
      <c r="P527" s="1074"/>
      <c r="Q527" s="1074"/>
      <c r="R527" s="1074"/>
      <c r="S527" s="1074"/>
      <c r="T527" s="1074"/>
      <c r="U527" s="1074"/>
      <c r="V527" s="1074"/>
      <c r="W527" s="1074"/>
      <c r="X527" s="1074"/>
      <c r="Y527" s="1074"/>
      <c r="Z527" s="1074"/>
      <c r="AA527" s="1074"/>
      <c r="AB527" s="1074"/>
      <c r="AC527" s="1074"/>
      <c r="AD527" s="1074"/>
      <c r="AE527" s="1074"/>
      <c r="AF527" s="1074"/>
      <c r="AG527" s="1074"/>
      <c r="AH527" s="1074"/>
      <c r="AI527" s="1074"/>
      <c r="AJ527" s="1074"/>
      <c r="AK527" s="1074"/>
      <c r="AL527" s="1074"/>
      <c r="AM527" s="1074"/>
      <c r="AN527" s="1074"/>
      <c r="AO527" s="1074"/>
      <c r="AP527" s="1074"/>
      <c r="AQ527" s="1074"/>
      <c r="AR527" s="1074"/>
      <c r="AS527" s="1074"/>
      <c r="AT527" s="1075"/>
    </row>
    <row r="528" ht="14.25" customHeight="1">
      <c r="A528" s="1116"/>
      <c r="B528" s="1120"/>
      <c r="C528" s="1100"/>
      <c r="D528" s="1100"/>
      <c r="E528" s="1100"/>
      <c r="F528" s="1100"/>
      <c r="G528" s="1100"/>
      <c r="H528" s="1100"/>
      <c r="I528" s="1100"/>
      <c r="J528" s="1100"/>
      <c r="K528" s="1074"/>
      <c r="L528" s="1074"/>
      <c r="M528" s="1074"/>
      <c r="N528" s="1074"/>
      <c r="O528" s="1074"/>
      <c r="P528" s="1074"/>
      <c r="Q528" s="1074"/>
      <c r="R528" s="1074"/>
      <c r="S528" s="1074"/>
      <c r="T528" s="1074"/>
      <c r="U528" s="1074"/>
      <c r="V528" s="1074"/>
      <c r="W528" s="1074"/>
      <c r="X528" s="1074"/>
      <c r="Y528" s="1074"/>
      <c r="Z528" s="1074"/>
      <c r="AA528" s="1074"/>
      <c r="AB528" s="1074"/>
      <c r="AC528" s="1074"/>
      <c r="AD528" s="1074"/>
      <c r="AE528" s="1074"/>
      <c r="AF528" s="1074"/>
      <c r="AG528" s="1074"/>
      <c r="AH528" s="1074"/>
      <c r="AI528" s="1074"/>
      <c r="AJ528" s="1074"/>
      <c r="AK528" s="1074"/>
      <c r="AL528" s="1074"/>
      <c r="AM528" s="1074"/>
      <c r="AN528" s="1074"/>
      <c r="AO528" s="1074"/>
      <c r="AP528" s="1074"/>
      <c r="AQ528" s="1074"/>
      <c r="AR528" s="1074"/>
      <c r="AS528" s="1074"/>
      <c r="AT528" s="1075"/>
    </row>
    <row r="529" ht="14.25" customHeight="1">
      <c r="A529" s="1116"/>
      <c r="B529" s="1120"/>
      <c r="C529" s="1100"/>
      <c r="D529" s="1100"/>
      <c r="E529" s="1100"/>
      <c r="F529" s="1100"/>
      <c r="G529" s="1100"/>
      <c r="H529" s="1100"/>
      <c r="I529" s="1100"/>
      <c r="J529" s="1100"/>
      <c r="K529" s="1074"/>
      <c r="L529" s="1074"/>
      <c r="M529" s="1074"/>
      <c r="N529" s="1074"/>
      <c r="O529" s="1074"/>
      <c r="P529" s="1074"/>
      <c r="Q529" s="1074"/>
      <c r="R529" s="1074"/>
      <c r="S529" s="1074"/>
      <c r="T529" s="1074"/>
      <c r="U529" s="1074"/>
      <c r="V529" s="1074"/>
      <c r="W529" s="1074"/>
      <c r="X529" s="1074"/>
      <c r="Y529" s="1074"/>
      <c r="Z529" s="1074"/>
      <c r="AA529" s="1074"/>
      <c r="AB529" s="1074"/>
      <c r="AC529" s="1074"/>
      <c r="AD529" s="1074"/>
      <c r="AE529" s="1074"/>
      <c r="AF529" s="1074"/>
      <c r="AG529" s="1074"/>
      <c r="AH529" s="1074"/>
      <c r="AI529" s="1074"/>
      <c r="AJ529" s="1074"/>
      <c r="AK529" s="1074"/>
      <c r="AL529" s="1074"/>
      <c r="AM529" s="1074"/>
      <c r="AN529" s="1074"/>
      <c r="AO529" s="1074"/>
      <c r="AP529" s="1074"/>
      <c r="AQ529" s="1074"/>
      <c r="AR529" s="1074"/>
      <c r="AS529" s="1074"/>
      <c r="AT529" s="1075"/>
    </row>
    <row r="530" ht="14.25" customHeight="1">
      <c r="A530" s="1116"/>
      <c r="B530" s="1120"/>
      <c r="C530" s="1100"/>
      <c r="D530" s="1100"/>
      <c r="E530" s="1100"/>
      <c r="F530" s="1100"/>
      <c r="G530" s="1100"/>
      <c r="H530" s="1100"/>
      <c r="I530" s="1100"/>
      <c r="J530" s="1100"/>
      <c r="K530" s="1074"/>
      <c r="L530" s="1074"/>
      <c r="M530" s="1074"/>
      <c r="N530" s="1074"/>
      <c r="O530" s="1074"/>
      <c r="P530" s="1074"/>
      <c r="Q530" s="1074"/>
      <c r="R530" s="1074"/>
      <c r="S530" s="1074"/>
      <c r="T530" s="1074"/>
      <c r="U530" s="1074"/>
      <c r="V530" s="1074"/>
      <c r="W530" s="1074"/>
      <c r="X530" s="1074"/>
      <c r="Y530" s="1074"/>
      <c r="Z530" s="1074"/>
      <c r="AA530" s="1074"/>
      <c r="AB530" s="1074"/>
      <c r="AC530" s="1074"/>
      <c r="AD530" s="1074"/>
      <c r="AE530" s="1074"/>
      <c r="AF530" s="1074"/>
      <c r="AG530" s="1074"/>
      <c r="AH530" s="1074"/>
      <c r="AI530" s="1074"/>
      <c r="AJ530" s="1074"/>
      <c r="AK530" s="1074"/>
      <c r="AL530" s="1074"/>
      <c r="AM530" s="1074"/>
      <c r="AN530" s="1074"/>
      <c r="AO530" s="1074"/>
      <c r="AP530" s="1074"/>
      <c r="AQ530" s="1074"/>
      <c r="AR530" s="1074"/>
      <c r="AS530" s="1074"/>
      <c r="AT530" s="1075"/>
    </row>
    <row r="531" ht="14.25" customHeight="1">
      <c r="A531" s="1116"/>
      <c r="B531" s="1120"/>
      <c r="C531" s="1100"/>
      <c r="D531" s="1100"/>
      <c r="E531" s="1100"/>
      <c r="F531" s="1100"/>
      <c r="G531" s="1100"/>
      <c r="H531" s="1100"/>
      <c r="I531" s="1100"/>
      <c r="J531" s="1100"/>
      <c r="K531" s="1074"/>
      <c r="L531" s="1074"/>
      <c r="M531" s="1074"/>
      <c r="N531" s="1074"/>
      <c r="O531" s="1074"/>
      <c r="P531" s="1074"/>
      <c r="Q531" s="1074"/>
      <c r="R531" s="1074"/>
      <c r="S531" s="1074"/>
      <c r="T531" s="1074"/>
      <c r="U531" s="1074"/>
      <c r="V531" s="1074"/>
      <c r="W531" s="1074"/>
      <c r="X531" s="1074"/>
      <c r="Y531" s="1074"/>
      <c r="Z531" s="1074"/>
      <c r="AA531" s="1074"/>
      <c r="AB531" s="1074"/>
      <c r="AC531" s="1074"/>
      <c r="AD531" s="1074"/>
      <c r="AE531" s="1074"/>
      <c r="AF531" s="1074"/>
      <c r="AG531" s="1074"/>
      <c r="AH531" s="1074"/>
      <c r="AI531" s="1074"/>
      <c r="AJ531" s="1074"/>
      <c r="AK531" s="1074"/>
      <c r="AL531" s="1074"/>
      <c r="AM531" s="1074"/>
      <c r="AN531" s="1074"/>
      <c r="AO531" s="1074"/>
      <c r="AP531" s="1074"/>
      <c r="AQ531" s="1074"/>
      <c r="AR531" s="1074"/>
      <c r="AS531" s="1074"/>
      <c r="AT531" s="1075"/>
    </row>
    <row r="532" ht="14.25" customHeight="1">
      <c r="A532" s="1116"/>
      <c r="B532" s="1120"/>
      <c r="C532" s="1100"/>
      <c r="D532" s="1100"/>
      <c r="E532" s="1100"/>
      <c r="F532" s="1100"/>
      <c r="G532" s="1100"/>
      <c r="H532" s="1100"/>
      <c r="I532" s="1100"/>
      <c r="J532" s="1100"/>
      <c r="K532" s="1074"/>
      <c r="L532" s="1074"/>
      <c r="M532" s="1074"/>
      <c r="N532" s="1074"/>
      <c r="O532" s="1074"/>
      <c r="P532" s="1074"/>
      <c r="Q532" s="1074"/>
      <c r="R532" s="1074"/>
      <c r="S532" s="1074"/>
      <c r="T532" s="1074"/>
      <c r="U532" s="1074"/>
      <c r="V532" s="1074"/>
      <c r="W532" s="1074"/>
      <c r="X532" s="1074"/>
      <c r="Y532" s="1074"/>
      <c r="Z532" s="1074"/>
      <c r="AA532" s="1074"/>
      <c r="AB532" s="1074"/>
      <c r="AC532" s="1074"/>
      <c r="AD532" s="1074"/>
      <c r="AE532" s="1074"/>
      <c r="AF532" s="1074"/>
      <c r="AG532" s="1074"/>
      <c r="AH532" s="1074"/>
      <c r="AI532" s="1074"/>
      <c r="AJ532" s="1074"/>
      <c r="AK532" s="1074"/>
      <c r="AL532" s="1074"/>
      <c r="AM532" s="1074"/>
      <c r="AN532" s="1074"/>
      <c r="AO532" s="1074"/>
      <c r="AP532" s="1074"/>
      <c r="AQ532" s="1074"/>
      <c r="AR532" s="1074"/>
      <c r="AS532" s="1074"/>
      <c r="AT532" s="1075"/>
    </row>
    <row r="533" ht="14.25" customHeight="1">
      <c r="A533" s="1116"/>
      <c r="B533" s="1120"/>
      <c r="C533" s="1100"/>
      <c r="D533" s="1100"/>
      <c r="E533" s="1100"/>
      <c r="F533" s="1100"/>
      <c r="G533" s="1100"/>
      <c r="H533" s="1100"/>
      <c r="I533" s="1100"/>
      <c r="J533" s="1100"/>
      <c r="K533" s="1074"/>
      <c r="L533" s="1074"/>
      <c r="M533" s="1074"/>
      <c r="N533" s="1074"/>
      <c r="O533" s="1074"/>
      <c r="P533" s="1074"/>
      <c r="Q533" s="1074"/>
      <c r="R533" s="1074"/>
      <c r="S533" s="1074"/>
      <c r="T533" s="1074"/>
      <c r="U533" s="1074"/>
      <c r="V533" s="1074"/>
      <c r="W533" s="1074"/>
      <c r="X533" s="1074"/>
      <c r="Y533" s="1074"/>
      <c r="Z533" s="1074"/>
      <c r="AA533" s="1074"/>
      <c r="AB533" s="1074"/>
      <c r="AC533" s="1074"/>
      <c r="AD533" s="1074"/>
      <c r="AE533" s="1074"/>
      <c r="AF533" s="1074"/>
      <c r="AG533" s="1074"/>
      <c r="AH533" s="1074"/>
      <c r="AI533" s="1074"/>
      <c r="AJ533" s="1074"/>
      <c r="AK533" s="1074"/>
      <c r="AL533" s="1074"/>
      <c r="AM533" s="1074"/>
      <c r="AN533" s="1074"/>
      <c r="AO533" s="1074"/>
      <c r="AP533" s="1074"/>
      <c r="AQ533" s="1074"/>
      <c r="AR533" s="1074"/>
      <c r="AS533" s="1074"/>
      <c r="AT533" s="1075"/>
    </row>
    <row r="534" ht="14.25" customHeight="1">
      <c r="A534" s="1116"/>
      <c r="B534" s="1120"/>
      <c r="C534" s="1100"/>
      <c r="D534" s="1100"/>
      <c r="E534" s="1100"/>
      <c r="F534" s="1100"/>
      <c r="G534" s="1100"/>
      <c r="H534" s="1100"/>
      <c r="I534" s="1100"/>
      <c r="J534" s="1100"/>
      <c r="K534" s="1074"/>
      <c r="L534" s="1074"/>
      <c r="M534" s="1074"/>
      <c r="N534" s="1074"/>
      <c r="O534" s="1074"/>
      <c r="P534" s="1074"/>
      <c r="Q534" s="1074"/>
      <c r="R534" s="1074"/>
      <c r="S534" s="1074"/>
      <c r="T534" s="1074"/>
      <c r="U534" s="1074"/>
      <c r="V534" s="1074"/>
      <c r="W534" s="1074"/>
      <c r="X534" s="1074"/>
      <c r="Y534" s="1074"/>
      <c r="Z534" s="1074"/>
      <c r="AA534" s="1074"/>
      <c r="AB534" s="1074"/>
      <c r="AC534" s="1074"/>
      <c r="AD534" s="1074"/>
      <c r="AE534" s="1074"/>
      <c r="AF534" s="1074"/>
      <c r="AG534" s="1074"/>
      <c r="AH534" s="1074"/>
      <c r="AI534" s="1074"/>
      <c r="AJ534" s="1074"/>
      <c r="AK534" s="1074"/>
      <c r="AL534" s="1074"/>
      <c r="AM534" s="1074"/>
      <c r="AN534" s="1074"/>
      <c r="AO534" s="1074"/>
      <c r="AP534" s="1074"/>
      <c r="AQ534" s="1074"/>
      <c r="AR534" s="1074"/>
      <c r="AS534" s="1074"/>
      <c r="AT534" s="1075"/>
    </row>
    <row r="535" ht="14.25" customHeight="1">
      <c r="A535" s="1116"/>
      <c r="B535" s="1120"/>
      <c r="C535" s="1100"/>
      <c r="D535" s="1100"/>
      <c r="E535" s="1100"/>
      <c r="F535" s="1100"/>
      <c r="G535" s="1100"/>
      <c r="H535" s="1100"/>
      <c r="I535" s="1100"/>
      <c r="J535" s="1100"/>
      <c r="K535" s="1074"/>
      <c r="L535" s="1074"/>
      <c r="M535" s="1074"/>
      <c r="N535" s="1074"/>
      <c r="O535" s="1074"/>
      <c r="P535" s="1074"/>
      <c r="Q535" s="1074"/>
      <c r="R535" s="1074"/>
      <c r="S535" s="1074"/>
      <c r="T535" s="1074"/>
      <c r="U535" s="1074"/>
      <c r="V535" s="1074"/>
      <c r="W535" s="1074"/>
      <c r="X535" s="1074"/>
      <c r="Y535" s="1074"/>
      <c r="Z535" s="1074"/>
      <c r="AA535" s="1074"/>
      <c r="AB535" s="1074"/>
      <c r="AC535" s="1074"/>
      <c r="AD535" s="1074"/>
      <c r="AE535" s="1074"/>
      <c r="AF535" s="1074"/>
      <c r="AG535" s="1074"/>
      <c r="AH535" s="1074"/>
      <c r="AI535" s="1074"/>
      <c r="AJ535" s="1074"/>
      <c r="AK535" s="1074"/>
      <c r="AL535" s="1074"/>
      <c r="AM535" s="1074"/>
      <c r="AN535" s="1074"/>
      <c r="AO535" s="1074"/>
      <c r="AP535" s="1074"/>
      <c r="AQ535" s="1074"/>
      <c r="AR535" s="1074"/>
      <c r="AS535" s="1074"/>
      <c r="AT535" s="1075"/>
    </row>
    <row r="536" ht="14.25" customHeight="1">
      <c r="A536" s="1116"/>
      <c r="B536" s="1120"/>
      <c r="C536" s="1100"/>
      <c r="D536" s="1100"/>
      <c r="E536" s="1100"/>
      <c r="F536" s="1100"/>
      <c r="G536" s="1100"/>
      <c r="H536" s="1100"/>
      <c r="I536" s="1100"/>
      <c r="J536" s="1100"/>
      <c r="K536" s="1074"/>
      <c r="L536" s="1074"/>
      <c r="M536" s="1074"/>
      <c r="N536" s="1074"/>
      <c r="O536" s="1074"/>
      <c r="P536" s="1074"/>
      <c r="Q536" s="1074"/>
      <c r="R536" s="1074"/>
      <c r="S536" s="1074"/>
      <c r="T536" s="1074"/>
      <c r="U536" s="1074"/>
      <c r="V536" s="1074"/>
      <c r="W536" s="1074"/>
      <c r="X536" s="1074"/>
      <c r="Y536" s="1074"/>
      <c r="Z536" s="1074"/>
      <c r="AA536" s="1074"/>
      <c r="AB536" s="1074"/>
      <c r="AC536" s="1074"/>
      <c r="AD536" s="1074"/>
      <c r="AE536" s="1074"/>
      <c r="AF536" s="1074"/>
      <c r="AG536" s="1074"/>
      <c r="AH536" s="1074"/>
      <c r="AI536" s="1074"/>
      <c r="AJ536" s="1074"/>
      <c r="AK536" s="1074"/>
      <c r="AL536" s="1074"/>
      <c r="AM536" s="1074"/>
      <c r="AN536" s="1074"/>
      <c r="AO536" s="1074"/>
      <c r="AP536" s="1074"/>
      <c r="AQ536" s="1074"/>
      <c r="AR536" s="1074"/>
      <c r="AS536" s="1074"/>
      <c r="AT536" s="1075"/>
    </row>
    <row r="537" ht="14.25" customHeight="1">
      <c r="A537" s="1116"/>
      <c r="B537" s="1120"/>
      <c r="C537" s="1100"/>
      <c r="D537" s="1100"/>
      <c r="E537" s="1100"/>
      <c r="F537" s="1100"/>
      <c r="G537" s="1100"/>
      <c r="H537" s="1100"/>
      <c r="I537" s="1100"/>
      <c r="J537" s="1100"/>
      <c r="K537" s="1074"/>
      <c r="L537" s="1074"/>
      <c r="M537" s="1074"/>
      <c r="N537" s="1074"/>
      <c r="O537" s="1074"/>
      <c r="P537" s="1074"/>
      <c r="Q537" s="1074"/>
      <c r="R537" s="1074"/>
      <c r="S537" s="1074"/>
      <c r="T537" s="1074"/>
      <c r="U537" s="1074"/>
      <c r="V537" s="1074"/>
      <c r="W537" s="1074"/>
      <c r="X537" s="1074"/>
      <c r="Y537" s="1074"/>
      <c r="Z537" s="1074"/>
      <c r="AA537" s="1074"/>
      <c r="AB537" s="1074"/>
      <c r="AC537" s="1074"/>
      <c r="AD537" s="1074"/>
      <c r="AE537" s="1074"/>
      <c r="AF537" s="1074"/>
      <c r="AG537" s="1074"/>
      <c r="AH537" s="1074"/>
      <c r="AI537" s="1074"/>
      <c r="AJ537" s="1074"/>
      <c r="AK537" s="1074"/>
      <c r="AL537" s="1074"/>
      <c r="AM537" s="1074"/>
      <c r="AN537" s="1074"/>
      <c r="AO537" s="1074"/>
      <c r="AP537" s="1074"/>
      <c r="AQ537" s="1074"/>
      <c r="AR537" s="1074"/>
      <c r="AS537" s="1074"/>
      <c r="AT537" s="1075"/>
    </row>
    <row r="538" ht="14.25" customHeight="1">
      <c r="A538" s="1116"/>
      <c r="B538" s="1120"/>
      <c r="C538" s="1100"/>
      <c r="D538" s="1100"/>
      <c r="E538" s="1100"/>
      <c r="F538" s="1100"/>
      <c r="G538" s="1100"/>
      <c r="H538" s="1100"/>
      <c r="I538" s="1100"/>
      <c r="J538" s="1100"/>
      <c r="K538" s="1074"/>
      <c r="L538" s="1074"/>
      <c r="M538" s="1074"/>
      <c r="N538" s="1074"/>
      <c r="O538" s="1074"/>
      <c r="P538" s="1074"/>
      <c r="Q538" s="1074"/>
      <c r="R538" s="1074"/>
      <c r="S538" s="1074"/>
      <c r="T538" s="1074"/>
      <c r="U538" s="1074"/>
      <c r="V538" s="1074"/>
      <c r="W538" s="1074"/>
      <c r="X538" s="1074"/>
      <c r="Y538" s="1074"/>
      <c r="Z538" s="1074"/>
      <c r="AA538" s="1074"/>
      <c r="AB538" s="1074"/>
      <c r="AC538" s="1074"/>
      <c r="AD538" s="1074"/>
      <c r="AE538" s="1074"/>
      <c r="AF538" s="1074"/>
      <c r="AG538" s="1074"/>
      <c r="AH538" s="1074"/>
      <c r="AI538" s="1074"/>
      <c r="AJ538" s="1074"/>
      <c r="AK538" s="1074"/>
      <c r="AL538" s="1074"/>
      <c r="AM538" s="1074"/>
      <c r="AN538" s="1074"/>
      <c r="AO538" s="1074"/>
      <c r="AP538" s="1074"/>
      <c r="AQ538" s="1074"/>
      <c r="AR538" s="1074"/>
      <c r="AS538" s="1074"/>
      <c r="AT538" s="1075"/>
    </row>
    <row r="539" ht="14.25" customHeight="1">
      <c r="A539" s="1116"/>
      <c r="B539" s="1120"/>
      <c r="C539" s="1100"/>
      <c r="D539" s="1100"/>
      <c r="E539" s="1100"/>
      <c r="F539" s="1100"/>
      <c r="G539" s="1100"/>
      <c r="H539" s="1100"/>
      <c r="I539" s="1100"/>
      <c r="J539" s="1100"/>
      <c r="K539" s="1074"/>
      <c r="L539" s="1074"/>
      <c r="M539" s="1074"/>
      <c r="N539" s="1074"/>
      <c r="O539" s="1074"/>
      <c r="P539" s="1074"/>
      <c r="Q539" s="1074"/>
      <c r="R539" s="1074"/>
      <c r="S539" s="1074"/>
      <c r="T539" s="1074"/>
      <c r="U539" s="1074"/>
      <c r="V539" s="1074"/>
      <c r="W539" s="1074"/>
      <c r="X539" s="1074"/>
      <c r="Y539" s="1074"/>
      <c r="Z539" s="1074"/>
      <c r="AA539" s="1074"/>
      <c r="AB539" s="1074"/>
      <c r="AC539" s="1074"/>
      <c r="AD539" s="1074"/>
      <c r="AE539" s="1074"/>
      <c r="AF539" s="1074"/>
      <c r="AG539" s="1074"/>
      <c r="AH539" s="1074"/>
      <c r="AI539" s="1074"/>
      <c r="AJ539" s="1074"/>
      <c r="AK539" s="1074"/>
      <c r="AL539" s="1074"/>
      <c r="AM539" s="1074"/>
      <c r="AN539" s="1074"/>
      <c r="AO539" s="1074"/>
      <c r="AP539" s="1074"/>
      <c r="AQ539" s="1074"/>
      <c r="AR539" s="1074"/>
      <c r="AS539" s="1074"/>
      <c r="AT539" s="1075"/>
    </row>
    <row r="540" ht="14.25" customHeight="1">
      <c r="A540" s="1116"/>
      <c r="B540" s="1120"/>
      <c r="C540" s="1100"/>
      <c r="D540" s="1100"/>
      <c r="E540" s="1100"/>
      <c r="F540" s="1100"/>
      <c r="G540" s="1100"/>
      <c r="H540" s="1100"/>
      <c r="I540" s="1100"/>
      <c r="J540" s="1100"/>
      <c r="K540" s="1074"/>
      <c r="L540" s="1074"/>
      <c r="M540" s="1074"/>
      <c r="N540" s="1074"/>
      <c r="O540" s="1074"/>
      <c r="P540" s="1074"/>
      <c r="Q540" s="1074"/>
      <c r="R540" s="1074"/>
      <c r="S540" s="1074"/>
      <c r="T540" s="1074"/>
      <c r="U540" s="1074"/>
      <c r="V540" s="1074"/>
      <c r="W540" s="1074"/>
      <c r="X540" s="1074"/>
      <c r="Y540" s="1074"/>
      <c r="Z540" s="1074"/>
      <c r="AA540" s="1074"/>
      <c r="AB540" s="1074"/>
      <c r="AC540" s="1074"/>
      <c r="AD540" s="1074"/>
      <c r="AE540" s="1074"/>
      <c r="AF540" s="1074"/>
      <c r="AG540" s="1074"/>
      <c r="AH540" s="1074"/>
      <c r="AI540" s="1074"/>
      <c r="AJ540" s="1074"/>
      <c r="AK540" s="1074"/>
      <c r="AL540" s="1074"/>
      <c r="AM540" s="1074"/>
      <c r="AN540" s="1074"/>
      <c r="AO540" s="1074"/>
      <c r="AP540" s="1074"/>
      <c r="AQ540" s="1074"/>
      <c r="AR540" s="1074"/>
      <c r="AS540" s="1074"/>
      <c r="AT540" s="1075"/>
    </row>
    <row r="541" ht="14.25" customHeight="1">
      <c r="A541" s="1116"/>
      <c r="B541" s="1120"/>
      <c r="C541" s="1100"/>
      <c r="D541" s="1100"/>
      <c r="E541" s="1100"/>
      <c r="F541" s="1100"/>
      <c r="G541" s="1100"/>
      <c r="H541" s="1100"/>
      <c r="I541" s="1100"/>
      <c r="J541" s="1100"/>
      <c r="K541" s="1074"/>
      <c r="L541" s="1074"/>
      <c r="M541" s="1074"/>
      <c r="N541" s="1074"/>
      <c r="O541" s="1074"/>
      <c r="P541" s="1074"/>
      <c r="Q541" s="1074"/>
      <c r="R541" s="1074"/>
      <c r="S541" s="1074"/>
      <c r="T541" s="1074"/>
      <c r="U541" s="1074"/>
      <c r="V541" s="1074"/>
      <c r="W541" s="1074"/>
      <c r="X541" s="1074"/>
      <c r="Y541" s="1074"/>
      <c r="Z541" s="1074"/>
      <c r="AA541" s="1074"/>
      <c r="AB541" s="1074"/>
      <c r="AC541" s="1074"/>
      <c r="AD541" s="1074"/>
      <c r="AE541" s="1074"/>
      <c r="AF541" s="1074"/>
      <c r="AG541" s="1074"/>
      <c r="AH541" s="1074"/>
      <c r="AI541" s="1074"/>
      <c r="AJ541" s="1074"/>
      <c r="AK541" s="1074"/>
      <c r="AL541" s="1074"/>
      <c r="AM541" s="1074"/>
      <c r="AN541" s="1074"/>
      <c r="AO541" s="1074"/>
      <c r="AP541" s="1074"/>
      <c r="AQ541" s="1074"/>
      <c r="AR541" s="1074"/>
      <c r="AS541" s="1074"/>
      <c r="AT541" s="1075"/>
    </row>
    <row r="542" ht="14.25" customHeight="1">
      <c r="A542" s="1116"/>
      <c r="B542" s="1120"/>
      <c r="C542" s="1100"/>
      <c r="D542" s="1100"/>
      <c r="E542" s="1100"/>
      <c r="F542" s="1100"/>
      <c r="G542" s="1100"/>
      <c r="H542" s="1100"/>
      <c r="I542" s="1100"/>
      <c r="J542" s="1100"/>
      <c r="K542" s="1074"/>
      <c r="L542" s="1074"/>
      <c r="M542" s="1074"/>
      <c r="N542" s="1074"/>
      <c r="O542" s="1074"/>
      <c r="P542" s="1074"/>
      <c r="Q542" s="1074"/>
      <c r="R542" s="1074"/>
      <c r="S542" s="1074"/>
      <c r="T542" s="1074"/>
      <c r="U542" s="1074"/>
      <c r="V542" s="1074"/>
      <c r="W542" s="1074"/>
      <c r="X542" s="1074"/>
      <c r="Y542" s="1074"/>
      <c r="Z542" s="1074"/>
      <c r="AA542" s="1074"/>
      <c r="AB542" s="1074"/>
      <c r="AC542" s="1074"/>
      <c r="AD542" s="1074"/>
      <c r="AE542" s="1074"/>
      <c r="AF542" s="1074"/>
      <c r="AG542" s="1074"/>
      <c r="AH542" s="1074"/>
      <c r="AI542" s="1074"/>
      <c r="AJ542" s="1074"/>
      <c r="AK542" s="1074"/>
      <c r="AL542" s="1074"/>
      <c r="AM542" s="1074"/>
      <c r="AN542" s="1074"/>
      <c r="AO542" s="1074"/>
      <c r="AP542" s="1074"/>
      <c r="AQ542" s="1074"/>
      <c r="AR542" s="1074"/>
      <c r="AS542" s="1074"/>
      <c r="AT542" s="1075"/>
    </row>
    <row r="543" ht="14.25" customHeight="1">
      <c r="A543" s="1116"/>
      <c r="B543" s="1120"/>
      <c r="C543" s="1100"/>
      <c r="D543" s="1100"/>
      <c r="E543" s="1100"/>
      <c r="F543" s="1100"/>
      <c r="G543" s="1100"/>
      <c r="H543" s="1100"/>
      <c r="I543" s="1100"/>
      <c r="J543" s="1100"/>
      <c r="K543" s="1074"/>
      <c r="L543" s="1074"/>
      <c r="M543" s="1074"/>
      <c r="N543" s="1074"/>
      <c r="O543" s="1074"/>
      <c r="P543" s="1074"/>
      <c r="Q543" s="1074"/>
      <c r="R543" s="1074"/>
      <c r="S543" s="1074"/>
      <c r="T543" s="1074"/>
      <c r="U543" s="1074"/>
      <c r="V543" s="1074"/>
      <c r="W543" s="1074"/>
      <c r="X543" s="1074"/>
      <c r="Y543" s="1074"/>
      <c r="Z543" s="1074"/>
      <c r="AA543" s="1074"/>
      <c r="AB543" s="1074"/>
      <c r="AC543" s="1074"/>
      <c r="AD543" s="1074"/>
      <c r="AE543" s="1074"/>
      <c r="AF543" s="1074"/>
      <c r="AG543" s="1074"/>
      <c r="AH543" s="1074"/>
      <c r="AI543" s="1074"/>
      <c r="AJ543" s="1074"/>
      <c r="AK543" s="1074"/>
      <c r="AL543" s="1074"/>
      <c r="AM543" s="1074"/>
      <c r="AN543" s="1074"/>
      <c r="AO543" s="1074"/>
      <c r="AP543" s="1074"/>
      <c r="AQ543" s="1074"/>
      <c r="AR543" s="1074"/>
      <c r="AS543" s="1074"/>
      <c r="AT543" s="1075"/>
    </row>
    <row r="544" ht="14.25" customHeight="1">
      <c r="A544" s="1116"/>
      <c r="B544" s="1120"/>
      <c r="C544" s="1100"/>
      <c r="D544" s="1100"/>
      <c r="E544" s="1100"/>
      <c r="F544" s="1100"/>
      <c r="G544" s="1100"/>
      <c r="H544" s="1100"/>
      <c r="I544" s="1100"/>
      <c r="J544" s="1100"/>
      <c r="K544" s="1074"/>
      <c r="L544" s="1074"/>
      <c r="M544" s="1074"/>
      <c r="N544" s="1074"/>
      <c r="O544" s="1074"/>
      <c r="P544" s="1074"/>
      <c r="Q544" s="1074"/>
      <c r="R544" s="1074"/>
      <c r="S544" s="1074"/>
      <c r="T544" s="1074"/>
      <c r="U544" s="1074"/>
      <c r="V544" s="1074"/>
      <c r="W544" s="1074"/>
      <c r="X544" s="1074"/>
      <c r="Y544" s="1074"/>
      <c r="Z544" s="1074"/>
      <c r="AA544" s="1074"/>
      <c r="AB544" s="1074"/>
      <c r="AC544" s="1074"/>
      <c r="AD544" s="1074"/>
      <c r="AE544" s="1074"/>
      <c r="AF544" s="1074"/>
      <c r="AG544" s="1074"/>
      <c r="AH544" s="1074"/>
      <c r="AI544" s="1074"/>
      <c r="AJ544" s="1074"/>
      <c r="AK544" s="1074"/>
      <c r="AL544" s="1074"/>
      <c r="AM544" s="1074"/>
      <c r="AN544" s="1074"/>
      <c r="AO544" s="1074"/>
      <c r="AP544" s="1074"/>
      <c r="AQ544" s="1074"/>
      <c r="AR544" s="1074"/>
      <c r="AS544" s="1074"/>
      <c r="AT544" s="1075"/>
    </row>
    <row r="545" ht="14.25" customHeight="1">
      <c r="A545" s="1116"/>
      <c r="B545" s="1120"/>
      <c r="C545" s="1100"/>
      <c r="D545" s="1100"/>
      <c r="E545" s="1100"/>
      <c r="F545" s="1100"/>
      <c r="G545" s="1100"/>
      <c r="H545" s="1100"/>
      <c r="I545" s="1100"/>
      <c r="J545" s="1100"/>
      <c r="K545" s="1074"/>
      <c r="L545" s="1074"/>
      <c r="M545" s="1074"/>
      <c r="N545" s="1074"/>
      <c r="O545" s="1074"/>
      <c r="P545" s="1074"/>
      <c r="Q545" s="1074"/>
      <c r="R545" s="1074"/>
      <c r="S545" s="1074"/>
      <c r="T545" s="1074"/>
      <c r="U545" s="1074"/>
      <c r="V545" s="1074"/>
      <c r="W545" s="1074"/>
      <c r="X545" s="1074"/>
      <c r="Y545" s="1074"/>
      <c r="Z545" s="1074"/>
      <c r="AA545" s="1074"/>
      <c r="AB545" s="1074"/>
      <c r="AC545" s="1074"/>
      <c r="AD545" s="1074"/>
      <c r="AE545" s="1074"/>
      <c r="AF545" s="1074"/>
      <c r="AG545" s="1074"/>
      <c r="AH545" s="1074"/>
      <c r="AI545" s="1074"/>
      <c r="AJ545" s="1074"/>
      <c r="AK545" s="1074"/>
      <c r="AL545" s="1074"/>
      <c r="AM545" s="1074"/>
      <c r="AN545" s="1074"/>
      <c r="AO545" s="1074"/>
      <c r="AP545" s="1074"/>
      <c r="AQ545" s="1074"/>
      <c r="AR545" s="1074"/>
      <c r="AS545" s="1074"/>
      <c r="AT545" s="1075"/>
    </row>
    <row r="546" ht="14.25" customHeight="1">
      <c r="A546" s="1116"/>
      <c r="B546" s="1120"/>
      <c r="C546" s="1100"/>
      <c r="D546" s="1100"/>
      <c r="E546" s="1100"/>
      <c r="F546" s="1100"/>
      <c r="G546" s="1100"/>
      <c r="H546" s="1100"/>
      <c r="I546" s="1100"/>
      <c r="J546" s="1100"/>
      <c r="K546" s="1074"/>
      <c r="L546" s="1074"/>
      <c r="M546" s="1074"/>
      <c r="N546" s="1074"/>
      <c r="O546" s="1074"/>
      <c r="P546" s="1074"/>
      <c r="Q546" s="1074"/>
      <c r="R546" s="1074"/>
      <c r="S546" s="1074"/>
      <c r="T546" s="1074"/>
      <c r="U546" s="1074"/>
      <c r="V546" s="1074"/>
      <c r="W546" s="1074"/>
      <c r="X546" s="1074"/>
      <c r="Y546" s="1074"/>
      <c r="Z546" s="1074"/>
      <c r="AA546" s="1074"/>
      <c r="AB546" s="1074"/>
      <c r="AC546" s="1074"/>
      <c r="AD546" s="1074"/>
      <c r="AE546" s="1074"/>
      <c r="AF546" s="1074"/>
      <c r="AG546" s="1074"/>
      <c r="AH546" s="1074"/>
      <c r="AI546" s="1074"/>
      <c r="AJ546" s="1074"/>
      <c r="AK546" s="1074"/>
      <c r="AL546" s="1074"/>
      <c r="AM546" s="1074"/>
      <c r="AN546" s="1074"/>
      <c r="AO546" s="1074"/>
      <c r="AP546" s="1074"/>
      <c r="AQ546" s="1074"/>
      <c r="AR546" s="1074"/>
      <c r="AS546" s="1074"/>
      <c r="AT546" s="1075"/>
    </row>
    <row r="547" ht="14.25" customHeight="1">
      <c r="A547" s="1116"/>
      <c r="B547" s="1120"/>
      <c r="C547" s="1100"/>
      <c r="D547" s="1100"/>
      <c r="E547" s="1100"/>
      <c r="F547" s="1100"/>
      <c r="G547" s="1100"/>
      <c r="H547" s="1100"/>
      <c r="I547" s="1100"/>
      <c r="J547" s="1100"/>
      <c r="K547" s="1074"/>
      <c r="L547" s="1074"/>
      <c r="M547" s="1074"/>
      <c r="N547" s="1074"/>
      <c r="O547" s="1074"/>
      <c r="P547" s="1074"/>
      <c r="Q547" s="1074"/>
      <c r="R547" s="1074"/>
      <c r="S547" s="1074"/>
      <c r="T547" s="1074"/>
      <c r="U547" s="1074"/>
      <c r="V547" s="1074"/>
      <c r="W547" s="1074"/>
      <c r="X547" s="1074"/>
      <c r="Y547" s="1074"/>
      <c r="Z547" s="1074"/>
      <c r="AA547" s="1074"/>
      <c r="AB547" s="1074"/>
      <c r="AC547" s="1074"/>
      <c r="AD547" s="1074"/>
      <c r="AE547" s="1074"/>
      <c r="AF547" s="1074"/>
      <c r="AG547" s="1074"/>
      <c r="AH547" s="1074"/>
      <c r="AI547" s="1074"/>
      <c r="AJ547" s="1074"/>
      <c r="AK547" s="1074"/>
      <c r="AL547" s="1074"/>
      <c r="AM547" s="1074"/>
      <c r="AN547" s="1074"/>
      <c r="AO547" s="1074"/>
      <c r="AP547" s="1074"/>
      <c r="AQ547" s="1074"/>
      <c r="AR547" s="1074"/>
      <c r="AS547" s="1074"/>
      <c r="AT547" s="1075"/>
    </row>
    <row r="548" ht="14.25" customHeight="1">
      <c r="A548" s="1116"/>
      <c r="B548" s="1120"/>
      <c r="C548" s="1100"/>
      <c r="D548" s="1100"/>
      <c r="E548" s="1100"/>
      <c r="F548" s="1100"/>
      <c r="G548" s="1100"/>
      <c r="H548" s="1100"/>
      <c r="I548" s="1100"/>
      <c r="J548" s="1100"/>
      <c r="K548" s="1074"/>
      <c r="L548" s="1074"/>
      <c r="M548" s="1074"/>
      <c r="N548" s="1074"/>
      <c r="O548" s="1074"/>
      <c r="P548" s="1074"/>
      <c r="Q548" s="1074"/>
      <c r="R548" s="1074"/>
      <c r="S548" s="1074"/>
      <c r="T548" s="1074"/>
      <c r="U548" s="1074"/>
      <c r="V548" s="1074"/>
      <c r="W548" s="1074"/>
      <c r="X548" s="1074"/>
      <c r="Y548" s="1074"/>
      <c r="Z548" s="1074"/>
      <c r="AA548" s="1074"/>
      <c r="AB548" s="1074"/>
      <c r="AC548" s="1074"/>
      <c r="AD548" s="1074"/>
      <c r="AE548" s="1074"/>
      <c r="AF548" s="1074"/>
      <c r="AG548" s="1074"/>
      <c r="AH548" s="1074"/>
      <c r="AI548" s="1074"/>
      <c r="AJ548" s="1074"/>
      <c r="AK548" s="1074"/>
      <c r="AL548" s="1074"/>
      <c r="AM548" s="1074"/>
      <c r="AN548" s="1074"/>
      <c r="AO548" s="1074"/>
      <c r="AP548" s="1074"/>
      <c r="AQ548" s="1074"/>
      <c r="AR548" s="1074"/>
      <c r="AS548" s="1074"/>
      <c r="AT548" s="1075"/>
    </row>
    <row r="549" ht="14.25" customHeight="1">
      <c r="A549" s="1116"/>
      <c r="B549" s="1120"/>
      <c r="C549" s="1100"/>
      <c r="D549" s="1100"/>
      <c r="E549" s="1100"/>
      <c r="F549" s="1100"/>
      <c r="G549" s="1100"/>
      <c r="H549" s="1100"/>
      <c r="I549" s="1100"/>
      <c r="J549" s="1100"/>
      <c r="K549" s="1074"/>
      <c r="L549" s="1074"/>
      <c r="M549" s="1074"/>
      <c r="N549" s="1074"/>
      <c r="O549" s="1074"/>
      <c r="P549" s="1074"/>
      <c r="Q549" s="1074"/>
      <c r="R549" s="1074"/>
      <c r="S549" s="1074"/>
      <c r="T549" s="1074"/>
      <c r="U549" s="1074"/>
      <c r="V549" s="1074"/>
      <c r="W549" s="1074"/>
      <c r="X549" s="1074"/>
      <c r="Y549" s="1074"/>
      <c r="Z549" s="1074"/>
      <c r="AA549" s="1074"/>
      <c r="AB549" s="1074"/>
      <c r="AC549" s="1074"/>
      <c r="AD549" s="1074"/>
      <c r="AE549" s="1074"/>
      <c r="AF549" s="1074"/>
      <c r="AG549" s="1074"/>
      <c r="AH549" s="1074"/>
      <c r="AI549" s="1074"/>
      <c r="AJ549" s="1074"/>
      <c r="AK549" s="1074"/>
      <c r="AL549" s="1074"/>
      <c r="AM549" s="1074"/>
      <c r="AN549" s="1074"/>
      <c r="AO549" s="1074"/>
      <c r="AP549" s="1074"/>
      <c r="AQ549" s="1074"/>
      <c r="AR549" s="1074"/>
      <c r="AS549" s="1074"/>
      <c r="AT549" s="1075"/>
    </row>
    <row r="550" ht="14.25" customHeight="1">
      <c r="A550" s="1116"/>
      <c r="B550" s="1120"/>
      <c r="C550" s="1100"/>
      <c r="D550" s="1100"/>
      <c r="E550" s="1100"/>
      <c r="F550" s="1100"/>
      <c r="G550" s="1100"/>
      <c r="H550" s="1100"/>
      <c r="I550" s="1100"/>
      <c r="J550" s="1100"/>
      <c r="K550" s="1074"/>
      <c r="L550" s="1074"/>
      <c r="M550" s="1074"/>
      <c r="N550" s="1074"/>
      <c r="O550" s="1074"/>
      <c r="P550" s="1074"/>
      <c r="Q550" s="1074"/>
      <c r="R550" s="1074"/>
      <c r="S550" s="1074"/>
      <c r="T550" s="1074"/>
      <c r="U550" s="1074"/>
      <c r="V550" s="1074"/>
      <c r="W550" s="1074"/>
      <c r="X550" s="1074"/>
      <c r="Y550" s="1074"/>
      <c r="Z550" s="1074"/>
      <c r="AA550" s="1074"/>
      <c r="AB550" s="1074"/>
      <c r="AC550" s="1074"/>
      <c r="AD550" s="1074"/>
      <c r="AE550" s="1074"/>
      <c r="AF550" s="1074"/>
      <c r="AG550" s="1074"/>
      <c r="AH550" s="1074"/>
      <c r="AI550" s="1074"/>
      <c r="AJ550" s="1074"/>
      <c r="AK550" s="1074"/>
      <c r="AL550" s="1074"/>
      <c r="AM550" s="1074"/>
      <c r="AN550" s="1074"/>
      <c r="AO550" s="1074"/>
      <c r="AP550" s="1074"/>
      <c r="AQ550" s="1074"/>
      <c r="AR550" s="1074"/>
      <c r="AS550" s="1074"/>
      <c r="AT550" s="1075"/>
    </row>
    <row r="551" ht="14.25" customHeight="1">
      <c r="A551" s="1116"/>
      <c r="B551" s="1120"/>
      <c r="C551" s="1100"/>
      <c r="D551" s="1100"/>
      <c r="E551" s="1100"/>
      <c r="F551" s="1100"/>
      <c r="G551" s="1100"/>
      <c r="H551" s="1100"/>
      <c r="I551" s="1100"/>
      <c r="J551" s="1100"/>
      <c r="K551" s="1074"/>
      <c r="L551" s="1074"/>
      <c r="M551" s="1074"/>
      <c r="N551" s="1074"/>
      <c r="O551" s="1074"/>
      <c r="P551" s="1074"/>
      <c r="Q551" s="1074"/>
      <c r="R551" s="1074"/>
      <c r="S551" s="1074"/>
      <c r="T551" s="1074"/>
      <c r="U551" s="1074"/>
      <c r="V551" s="1074"/>
      <c r="W551" s="1074"/>
      <c r="X551" s="1074"/>
      <c r="Y551" s="1074"/>
      <c r="Z551" s="1074"/>
      <c r="AA551" s="1074"/>
      <c r="AB551" s="1074"/>
      <c r="AC551" s="1074"/>
      <c r="AD551" s="1074"/>
      <c r="AE551" s="1074"/>
      <c r="AF551" s="1074"/>
      <c r="AG551" s="1074"/>
      <c r="AH551" s="1074"/>
      <c r="AI551" s="1074"/>
      <c r="AJ551" s="1074"/>
      <c r="AK551" s="1074"/>
      <c r="AL551" s="1074"/>
      <c r="AM551" s="1074"/>
      <c r="AN551" s="1074"/>
      <c r="AO551" s="1074"/>
      <c r="AP551" s="1074"/>
      <c r="AQ551" s="1074"/>
      <c r="AR551" s="1074"/>
      <c r="AS551" s="1074"/>
      <c r="AT551" s="1075"/>
    </row>
    <row r="552" ht="14.25" customHeight="1">
      <c r="A552" s="1116"/>
      <c r="B552" s="1120"/>
      <c r="C552" s="1100"/>
      <c r="D552" s="1100"/>
      <c r="E552" s="1100"/>
      <c r="F552" s="1100"/>
      <c r="G552" s="1100"/>
      <c r="H552" s="1100"/>
      <c r="I552" s="1100"/>
      <c r="J552" s="1100"/>
      <c r="K552" s="1074"/>
      <c r="L552" s="1074"/>
      <c r="M552" s="1074"/>
      <c r="N552" s="1074"/>
      <c r="O552" s="1074"/>
      <c r="P552" s="1074"/>
      <c r="Q552" s="1074"/>
      <c r="R552" s="1074"/>
      <c r="S552" s="1074"/>
      <c r="T552" s="1074"/>
      <c r="U552" s="1074"/>
      <c r="V552" s="1074"/>
      <c r="W552" s="1074"/>
      <c r="X552" s="1074"/>
      <c r="Y552" s="1074"/>
      <c r="Z552" s="1074"/>
      <c r="AA552" s="1074"/>
      <c r="AB552" s="1074"/>
      <c r="AC552" s="1074"/>
      <c r="AD552" s="1074"/>
      <c r="AE552" s="1074"/>
      <c r="AF552" s="1074"/>
      <c r="AG552" s="1074"/>
      <c r="AH552" s="1074"/>
      <c r="AI552" s="1074"/>
      <c r="AJ552" s="1074"/>
      <c r="AK552" s="1074"/>
      <c r="AL552" s="1074"/>
      <c r="AM552" s="1074"/>
      <c r="AN552" s="1074"/>
      <c r="AO552" s="1074"/>
      <c r="AP552" s="1074"/>
      <c r="AQ552" s="1074"/>
      <c r="AR552" s="1074"/>
      <c r="AS552" s="1074"/>
      <c r="AT552" s="1075"/>
    </row>
    <row r="553" ht="14.25" customHeight="1">
      <c r="A553" s="1116"/>
      <c r="B553" s="1120"/>
      <c r="C553" s="1100"/>
      <c r="D553" s="1100"/>
      <c r="E553" s="1100"/>
      <c r="F553" s="1100"/>
      <c r="G553" s="1100"/>
      <c r="H553" s="1100"/>
      <c r="I553" s="1100"/>
      <c r="J553" s="1100"/>
      <c r="K553" s="1074"/>
      <c r="L553" s="1074"/>
      <c r="M553" s="1074"/>
      <c r="N553" s="1074"/>
      <c r="O553" s="1074"/>
      <c r="P553" s="1074"/>
      <c r="Q553" s="1074"/>
      <c r="R553" s="1074"/>
      <c r="S553" s="1074"/>
      <c r="T553" s="1074"/>
      <c r="U553" s="1074"/>
      <c r="V553" s="1074"/>
      <c r="W553" s="1074"/>
      <c r="X553" s="1074"/>
      <c r="Y553" s="1074"/>
      <c r="Z553" s="1074"/>
      <c r="AA553" s="1074"/>
      <c r="AB553" s="1074"/>
      <c r="AC553" s="1074"/>
      <c r="AD553" s="1074"/>
      <c r="AE553" s="1074"/>
      <c r="AF553" s="1074"/>
      <c r="AG553" s="1074"/>
      <c r="AH553" s="1074"/>
      <c r="AI553" s="1074"/>
      <c r="AJ553" s="1074"/>
      <c r="AK553" s="1074"/>
      <c r="AL553" s="1074"/>
      <c r="AM553" s="1074"/>
      <c r="AN553" s="1074"/>
      <c r="AO553" s="1074"/>
      <c r="AP553" s="1074"/>
      <c r="AQ553" s="1074"/>
      <c r="AR553" s="1074"/>
      <c r="AS553" s="1074"/>
      <c r="AT553" s="1075"/>
    </row>
    <row r="554" ht="14.25" customHeight="1">
      <c r="A554" s="1116"/>
      <c r="B554" s="1120"/>
      <c r="C554" s="1100"/>
      <c r="D554" s="1100"/>
      <c r="E554" s="1100"/>
      <c r="F554" s="1100"/>
      <c r="G554" s="1100"/>
      <c r="H554" s="1100"/>
      <c r="I554" s="1100"/>
      <c r="J554" s="1100"/>
      <c r="K554" s="1074"/>
      <c r="L554" s="1074"/>
      <c r="M554" s="1074"/>
      <c r="N554" s="1074"/>
      <c r="O554" s="1074"/>
      <c r="P554" s="1074"/>
      <c r="Q554" s="1074"/>
      <c r="R554" s="1074"/>
      <c r="S554" s="1074"/>
      <c r="T554" s="1074"/>
      <c r="U554" s="1074"/>
      <c r="V554" s="1074"/>
      <c r="W554" s="1074"/>
      <c r="X554" s="1074"/>
      <c r="Y554" s="1074"/>
      <c r="Z554" s="1074"/>
      <c r="AA554" s="1074"/>
      <c r="AB554" s="1074"/>
      <c r="AC554" s="1074"/>
      <c r="AD554" s="1074"/>
      <c r="AE554" s="1074"/>
      <c r="AF554" s="1074"/>
      <c r="AG554" s="1074"/>
      <c r="AH554" s="1074"/>
      <c r="AI554" s="1074"/>
      <c r="AJ554" s="1074"/>
      <c r="AK554" s="1074"/>
      <c r="AL554" s="1074"/>
      <c r="AM554" s="1074"/>
      <c r="AN554" s="1074"/>
      <c r="AO554" s="1074"/>
      <c r="AP554" s="1074"/>
      <c r="AQ554" s="1074"/>
      <c r="AR554" s="1074"/>
      <c r="AS554" s="1074"/>
      <c r="AT554" s="1075"/>
    </row>
    <row r="555" ht="14.25" customHeight="1">
      <c r="A555" s="1116"/>
      <c r="B555" s="1120"/>
      <c r="C555" s="1100"/>
      <c r="D555" s="1100"/>
      <c r="E555" s="1100"/>
      <c r="F555" s="1100"/>
      <c r="G555" s="1100"/>
      <c r="H555" s="1100"/>
      <c r="I555" s="1100"/>
      <c r="J555" s="1100"/>
      <c r="K555" s="1074"/>
      <c r="L555" s="1074"/>
      <c r="M555" s="1074"/>
      <c r="N555" s="1074"/>
      <c r="O555" s="1074"/>
      <c r="P555" s="1074"/>
      <c r="Q555" s="1074"/>
      <c r="R555" s="1074"/>
      <c r="S555" s="1074"/>
      <c r="T555" s="1074"/>
      <c r="U555" s="1074"/>
      <c r="V555" s="1074"/>
      <c r="W555" s="1074"/>
      <c r="X555" s="1074"/>
      <c r="Y555" s="1074"/>
      <c r="Z555" s="1074"/>
      <c r="AA555" s="1074"/>
      <c r="AB555" s="1074"/>
      <c r="AC555" s="1074"/>
      <c r="AD555" s="1074"/>
      <c r="AE555" s="1074"/>
      <c r="AF555" s="1074"/>
      <c r="AG555" s="1074"/>
      <c r="AH555" s="1074"/>
      <c r="AI555" s="1074"/>
      <c r="AJ555" s="1074"/>
      <c r="AK555" s="1074"/>
      <c r="AL555" s="1074"/>
      <c r="AM555" s="1074"/>
      <c r="AN555" s="1074"/>
      <c r="AO555" s="1074"/>
      <c r="AP555" s="1074"/>
      <c r="AQ555" s="1074"/>
      <c r="AR555" s="1074"/>
      <c r="AS555" s="1074"/>
      <c r="AT555" s="1075"/>
    </row>
    <row r="556" ht="14.25" customHeight="1">
      <c r="A556" s="1116"/>
      <c r="B556" s="1120"/>
      <c r="C556" s="1100"/>
      <c r="D556" s="1100"/>
      <c r="E556" s="1100"/>
      <c r="F556" s="1100"/>
      <c r="G556" s="1100"/>
      <c r="H556" s="1100"/>
      <c r="I556" s="1100"/>
      <c r="J556" s="1100"/>
      <c r="K556" s="1074"/>
      <c r="L556" s="1074"/>
      <c r="M556" s="1074"/>
      <c r="N556" s="1074"/>
      <c r="O556" s="1074"/>
      <c r="P556" s="1074"/>
      <c r="Q556" s="1074"/>
      <c r="R556" s="1074"/>
      <c r="S556" s="1074"/>
      <c r="T556" s="1074"/>
      <c r="U556" s="1074"/>
      <c r="V556" s="1074"/>
      <c r="W556" s="1074"/>
      <c r="X556" s="1074"/>
      <c r="Y556" s="1074"/>
      <c r="Z556" s="1074"/>
      <c r="AA556" s="1074"/>
      <c r="AB556" s="1074"/>
      <c r="AC556" s="1074"/>
      <c r="AD556" s="1074"/>
      <c r="AE556" s="1074"/>
      <c r="AF556" s="1074"/>
      <c r="AG556" s="1074"/>
      <c r="AH556" s="1074"/>
      <c r="AI556" s="1074"/>
      <c r="AJ556" s="1074"/>
      <c r="AK556" s="1074"/>
      <c r="AL556" s="1074"/>
      <c r="AM556" s="1074"/>
      <c r="AN556" s="1074"/>
      <c r="AO556" s="1074"/>
      <c r="AP556" s="1074"/>
      <c r="AQ556" s="1074"/>
      <c r="AR556" s="1074"/>
      <c r="AS556" s="1074"/>
      <c r="AT556" s="1075"/>
    </row>
    <row r="557" ht="14.25" customHeight="1">
      <c r="A557" s="1116"/>
      <c r="B557" s="1120"/>
      <c r="C557" s="1100"/>
      <c r="D557" s="1100"/>
      <c r="E557" s="1100"/>
      <c r="F557" s="1100"/>
      <c r="G557" s="1100"/>
      <c r="H557" s="1100"/>
      <c r="I557" s="1100"/>
      <c r="J557" s="1100"/>
      <c r="K557" s="1074"/>
      <c r="L557" s="1074"/>
      <c r="M557" s="1074"/>
      <c r="N557" s="1074"/>
      <c r="O557" s="1074"/>
      <c r="P557" s="1074"/>
      <c r="Q557" s="1074"/>
      <c r="R557" s="1074"/>
      <c r="S557" s="1074"/>
      <c r="T557" s="1074"/>
      <c r="U557" s="1074"/>
      <c r="V557" s="1074"/>
      <c r="W557" s="1074"/>
      <c r="X557" s="1074"/>
      <c r="Y557" s="1074"/>
      <c r="Z557" s="1074"/>
      <c r="AA557" s="1074"/>
      <c r="AB557" s="1074"/>
      <c r="AC557" s="1074"/>
      <c r="AD557" s="1074"/>
      <c r="AE557" s="1074"/>
      <c r="AF557" s="1074"/>
      <c r="AG557" s="1074"/>
      <c r="AH557" s="1074"/>
      <c r="AI557" s="1074"/>
      <c r="AJ557" s="1074"/>
      <c r="AK557" s="1074"/>
      <c r="AL557" s="1074"/>
      <c r="AM557" s="1074"/>
      <c r="AN557" s="1074"/>
      <c r="AO557" s="1074"/>
      <c r="AP557" s="1074"/>
      <c r="AQ557" s="1074"/>
      <c r="AR557" s="1074"/>
      <c r="AS557" s="1074"/>
      <c r="AT557" s="1075"/>
    </row>
    <row r="558" ht="14.25" customHeight="1">
      <c r="A558" s="1116"/>
      <c r="B558" s="1120"/>
      <c r="C558" s="1100"/>
      <c r="D558" s="1100"/>
      <c r="E558" s="1100"/>
      <c r="F558" s="1100"/>
      <c r="G558" s="1100"/>
      <c r="H558" s="1100"/>
      <c r="I558" s="1100"/>
      <c r="J558" s="1100"/>
      <c r="K558" s="1074"/>
      <c r="L558" s="1074"/>
      <c r="M558" s="1074"/>
      <c r="N558" s="1074"/>
      <c r="O558" s="1074"/>
      <c r="P558" s="1074"/>
      <c r="Q558" s="1074"/>
      <c r="R558" s="1074"/>
      <c r="S558" s="1074"/>
      <c r="T558" s="1074"/>
      <c r="U558" s="1074"/>
      <c r="V558" s="1074"/>
      <c r="W558" s="1074"/>
      <c r="X558" s="1074"/>
      <c r="Y558" s="1074"/>
      <c r="Z558" s="1074"/>
      <c r="AA558" s="1074"/>
      <c r="AB558" s="1074"/>
      <c r="AC558" s="1074"/>
      <c r="AD558" s="1074"/>
      <c r="AE558" s="1074"/>
      <c r="AF558" s="1074"/>
      <c r="AG558" s="1074"/>
      <c r="AH558" s="1074"/>
      <c r="AI558" s="1074"/>
      <c r="AJ558" s="1074"/>
      <c r="AK558" s="1074"/>
      <c r="AL558" s="1074"/>
      <c r="AM558" s="1074"/>
      <c r="AN558" s="1074"/>
      <c r="AO558" s="1074"/>
      <c r="AP558" s="1074"/>
      <c r="AQ558" s="1074"/>
      <c r="AR558" s="1074"/>
      <c r="AS558" s="1074"/>
      <c r="AT558" s="1075"/>
    </row>
    <row r="559" ht="14.25" customHeight="1">
      <c r="A559" s="1116"/>
      <c r="B559" s="1120"/>
      <c r="C559" s="1100"/>
      <c r="D559" s="1100"/>
      <c r="E559" s="1100"/>
      <c r="F559" s="1100"/>
      <c r="G559" s="1100"/>
      <c r="H559" s="1100"/>
      <c r="I559" s="1100"/>
      <c r="J559" s="1100"/>
      <c r="K559" s="1074"/>
      <c r="L559" s="1074"/>
      <c r="M559" s="1074"/>
      <c r="N559" s="1074"/>
      <c r="O559" s="1074"/>
      <c r="P559" s="1074"/>
      <c r="Q559" s="1074"/>
      <c r="R559" s="1074"/>
      <c r="S559" s="1074"/>
      <c r="T559" s="1074"/>
      <c r="U559" s="1074"/>
      <c r="V559" s="1074"/>
      <c r="W559" s="1074"/>
      <c r="X559" s="1074"/>
      <c r="Y559" s="1074"/>
      <c r="Z559" s="1074"/>
      <c r="AA559" s="1074"/>
      <c r="AB559" s="1074"/>
      <c r="AC559" s="1074"/>
      <c r="AD559" s="1074"/>
      <c r="AE559" s="1074"/>
      <c r="AF559" s="1074"/>
      <c r="AG559" s="1074"/>
      <c r="AH559" s="1074"/>
      <c r="AI559" s="1074"/>
      <c r="AJ559" s="1074"/>
      <c r="AK559" s="1074"/>
      <c r="AL559" s="1074"/>
      <c r="AM559" s="1074"/>
      <c r="AN559" s="1074"/>
      <c r="AO559" s="1074"/>
      <c r="AP559" s="1074"/>
      <c r="AQ559" s="1074"/>
      <c r="AR559" s="1074"/>
      <c r="AS559" s="1074"/>
      <c r="AT559" s="1075"/>
    </row>
    <row r="560" ht="14.25" customHeight="1">
      <c r="A560" s="1116"/>
      <c r="B560" s="1120"/>
      <c r="C560" s="1100"/>
      <c r="D560" s="1100"/>
      <c r="E560" s="1100"/>
      <c r="F560" s="1100"/>
      <c r="G560" s="1100"/>
      <c r="H560" s="1100"/>
      <c r="I560" s="1100"/>
      <c r="J560" s="1100"/>
      <c r="K560" s="1074"/>
      <c r="L560" s="1074"/>
      <c r="M560" s="1074"/>
      <c r="N560" s="1074"/>
      <c r="O560" s="1074"/>
      <c r="P560" s="1074"/>
      <c r="Q560" s="1074"/>
      <c r="R560" s="1074"/>
      <c r="S560" s="1074"/>
      <c r="T560" s="1074"/>
      <c r="U560" s="1074"/>
      <c r="V560" s="1074"/>
      <c r="W560" s="1074"/>
      <c r="X560" s="1074"/>
      <c r="Y560" s="1074"/>
      <c r="Z560" s="1074"/>
      <c r="AA560" s="1074"/>
      <c r="AB560" s="1074"/>
      <c r="AC560" s="1074"/>
      <c r="AD560" s="1074"/>
      <c r="AE560" s="1074"/>
      <c r="AF560" s="1074"/>
      <c r="AG560" s="1074"/>
      <c r="AH560" s="1074"/>
      <c r="AI560" s="1074"/>
      <c r="AJ560" s="1074"/>
      <c r="AK560" s="1074"/>
      <c r="AL560" s="1074"/>
      <c r="AM560" s="1074"/>
      <c r="AN560" s="1074"/>
      <c r="AO560" s="1074"/>
      <c r="AP560" s="1074"/>
      <c r="AQ560" s="1074"/>
      <c r="AR560" s="1074"/>
      <c r="AS560" s="1074"/>
      <c r="AT560" s="1075"/>
    </row>
    <row r="561" ht="14.25" customHeight="1">
      <c r="A561" s="1116"/>
      <c r="B561" s="1120"/>
      <c r="C561" s="1100"/>
      <c r="D561" s="1100"/>
      <c r="E561" s="1100"/>
      <c r="F561" s="1100"/>
      <c r="G561" s="1100"/>
      <c r="H561" s="1100"/>
      <c r="I561" s="1100"/>
      <c r="J561" s="1100"/>
      <c r="K561" s="1074"/>
      <c r="L561" s="1074"/>
      <c r="M561" s="1074"/>
      <c r="N561" s="1074"/>
      <c r="O561" s="1074"/>
      <c r="P561" s="1074"/>
      <c r="Q561" s="1074"/>
      <c r="R561" s="1074"/>
      <c r="S561" s="1074"/>
      <c r="T561" s="1074"/>
      <c r="U561" s="1074"/>
      <c r="V561" s="1074"/>
      <c r="W561" s="1074"/>
      <c r="X561" s="1074"/>
      <c r="Y561" s="1074"/>
      <c r="Z561" s="1074"/>
      <c r="AA561" s="1074"/>
      <c r="AB561" s="1074"/>
      <c r="AC561" s="1074"/>
      <c r="AD561" s="1074"/>
      <c r="AE561" s="1074"/>
      <c r="AF561" s="1074"/>
      <c r="AG561" s="1074"/>
      <c r="AH561" s="1074"/>
      <c r="AI561" s="1074"/>
      <c r="AJ561" s="1074"/>
      <c r="AK561" s="1074"/>
      <c r="AL561" s="1074"/>
      <c r="AM561" s="1074"/>
      <c r="AN561" s="1074"/>
      <c r="AO561" s="1074"/>
      <c r="AP561" s="1074"/>
      <c r="AQ561" s="1074"/>
      <c r="AR561" s="1074"/>
      <c r="AS561" s="1074"/>
      <c r="AT561" s="1075"/>
    </row>
    <row r="562" ht="14.25" customHeight="1">
      <c r="A562" s="1116"/>
      <c r="B562" s="1120"/>
      <c r="C562" s="1100"/>
      <c r="D562" s="1100"/>
      <c r="E562" s="1100"/>
      <c r="F562" s="1100"/>
      <c r="G562" s="1100"/>
      <c r="H562" s="1100"/>
      <c r="I562" s="1100"/>
      <c r="J562" s="1100"/>
      <c r="K562" s="1074"/>
      <c r="L562" s="1074"/>
      <c r="M562" s="1074"/>
      <c r="N562" s="1074"/>
      <c r="O562" s="1074"/>
      <c r="P562" s="1074"/>
      <c r="Q562" s="1074"/>
      <c r="R562" s="1074"/>
      <c r="S562" s="1074"/>
      <c r="T562" s="1074"/>
      <c r="U562" s="1074"/>
      <c r="V562" s="1074"/>
      <c r="W562" s="1074"/>
      <c r="X562" s="1074"/>
      <c r="Y562" s="1074"/>
      <c r="Z562" s="1074"/>
      <c r="AA562" s="1074"/>
      <c r="AB562" s="1074"/>
      <c r="AC562" s="1074"/>
      <c r="AD562" s="1074"/>
      <c r="AE562" s="1074"/>
      <c r="AF562" s="1074"/>
      <c r="AG562" s="1074"/>
      <c r="AH562" s="1074"/>
      <c r="AI562" s="1074"/>
      <c r="AJ562" s="1074"/>
      <c r="AK562" s="1074"/>
      <c r="AL562" s="1074"/>
      <c r="AM562" s="1074"/>
      <c r="AN562" s="1074"/>
      <c r="AO562" s="1074"/>
      <c r="AP562" s="1074"/>
      <c r="AQ562" s="1074"/>
      <c r="AR562" s="1074"/>
      <c r="AS562" s="1074"/>
      <c r="AT562" s="1075"/>
    </row>
    <row r="563" ht="14.25" customHeight="1">
      <c r="A563" s="1116"/>
      <c r="B563" s="1120"/>
      <c r="C563" s="1100"/>
      <c r="D563" s="1100"/>
      <c r="E563" s="1100"/>
      <c r="F563" s="1100"/>
      <c r="G563" s="1100"/>
      <c r="H563" s="1100"/>
      <c r="I563" s="1100"/>
      <c r="J563" s="1100"/>
      <c r="K563" s="1074"/>
      <c r="L563" s="1074"/>
      <c r="M563" s="1074"/>
      <c r="N563" s="1074"/>
      <c r="O563" s="1074"/>
      <c r="P563" s="1074"/>
      <c r="Q563" s="1074"/>
      <c r="R563" s="1074"/>
      <c r="S563" s="1074"/>
      <c r="T563" s="1074"/>
      <c r="U563" s="1074"/>
      <c r="V563" s="1074"/>
      <c r="W563" s="1074"/>
      <c r="X563" s="1074"/>
      <c r="Y563" s="1074"/>
      <c r="Z563" s="1074"/>
      <c r="AA563" s="1074"/>
      <c r="AB563" s="1074"/>
      <c r="AC563" s="1074"/>
      <c r="AD563" s="1074"/>
      <c r="AE563" s="1074"/>
      <c r="AF563" s="1074"/>
      <c r="AG563" s="1074"/>
      <c r="AH563" s="1074"/>
      <c r="AI563" s="1074"/>
      <c r="AJ563" s="1074"/>
      <c r="AK563" s="1074"/>
      <c r="AL563" s="1074"/>
      <c r="AM563" s="1074"/>
      <c r="AN563" s="1074"/>
      <c r="AO563" s="1074"/>
      <c r="AP563" s="1074"/>
      <c r="AQ563" s="1074"/>
      <c r="AR563" s="1074"/>
      <c r="AS563" s="1074"/>
      <c r="AT563" s="1075"/>
    </row>
    <row r="564" ht="14.25" customHeight="1">
      <c r="A564" s="1116"/>
      <c r="B564" s="1120"/>
      <c r="C564" s="1100"/>
      <c r="D564" s="1100"/>
      <c r="E564" s="1100"/>
      <c r="F564" s="1100"/>
      <c r="G564" s="1100"/>
      <c r="H564" s="1100"/>
      <c r="I564" s="1100"/>
      <c r="J564" s="1100"/>
      <c r="K564" s="1074"/>
      <c r="L564" s="1074"/>
      <c r="M564" s="1074"/>
      <c r="N564" s="1074"/>
      <c r="O564" s="1074"/>
      <c r="P564" s="1074"/>
      <c r="Q564" s="1074"/>
      <c r="R564" s="1074"/>
      <c r="S564" s="1074"/>
      <c r="T564" s="1074"/>
      <c r="U564" s="1074"/>
      <c r="V564" s="1074"/>
      <c r="W564" s="1074"/>
      <c r="X564" s="1074"/>
      <c r="Y564" s="1074"/>
      <c r="Z564" s="1074"/>
      <c r="AA564" s="1074"/>
      <c r="AB564" s="1074"/>
      <c r="AC564" s="1074"/>
      <c r="AD564" s="1074"/>
      <c r="AE564" s="1074"/>
      <c r="AF564" s="1074"/>
      <c r="AG564" s="1074"/>
      <c r="AH564" s="1074"/>
      <c r="AI564" s="1074"/>
      <c r="AJ564" s="1074"/>
      <c r="AK564" s="1074"/>
      <c r="AL564" s="1074"/>
      <c r="AM564" s="1074"/>
      <c r="AN564" s="1074"/>
      <c r="AO564" s="1074"/>
      <c r="AP564" s="1074"/>
      <c r="AQ564" s="1074"/>
      <c r="AR564" s="1074"/>
      <c r="AS564" s="1074"/>
      <c r="AT564" s="1075"/>
    </row>
    <row r="565" ht="14.25" customHeight="1">
      <c r="A565" s="1116"/>
      <c r="B565" s="1120"/>
      <c r="C565" s="1100"/>
      <c r="D565" s="1100"/>
      <c r="E565" s="1100"/>
      <c r="F565" s="1100"/>
      <c r="G565" s="1100"/>
      <c r="H565" s="1100"/>
      <c r="I565" s="1100"/>
      <c r="J565" s="1100"/>
      <c r="K565" s="1074"/>
      <c r="L565" s="1074"/>
      <c r="M565" s="1074"/>
      <c r="N565" s="1074"/>
      <c r="O565" s="1074"/>
      <c r="P565" s="1074"/>
      <c r="Q565" s="1074"/>
      <c r="R565" s="1074"/>
      <c r="S565" s="1074"/>
      <c r="T565" s="1074"/>
      <c r="U565" s="1074"/>
      <c r="V565" s="1074"/>
      <c r="W565" s="1074"/>
      <c r="X565" s="1074"/>
      <c r="Y565" s="1074"/>
      <c r="Z565" s="1074"/>
      <c r="AA565" s="1074"/>
      <c r="AB565" s="1074"/>
      <c r="AC565" s="1074"/>
      <c r="AD565" s="1074"/>
      <c r="AE565" s="1074"/>
      <c r="AF565" s="1074"/>
      <c r="AG565" s="1074"/>
      <c r="AH565" s="1074"/>
      <c r="AI565" s="1074"/>
      <c r="AJ565" s="1074"/>
      <c r="AK565" s="1074"/>
      <c r="AL565" s="1074"/>
      <c r="AM565" s="1074"/>
      <c r="AN565" s="1074"/>
      <c r="AO565" s="1074"/>
      <c r="AP565" s="1074"/>
      <c r="AQ565" s="1074"/>
      <c r="AR565" s="1074"/>
      <c r="AS565" s="1074"/>
      <c r="AT565" s="1075"/>
    </row>
    <row r="566" ht="14.25" customHeight="1">
      <c r="A566" s="1116"/>
      <c r="B566" s="1120"/>
      <c r="C566" s="1100"/>
      <c r="D566" s="1100"/>
      <c r="E566" s="1100"/>
      <c r="F566" s="1100"/>
      <c r="G566" s="1100"/>
      <c r="H566" s="1100"/>
      <c r="I566" s="1100"/>
      <c r="J566" s="1100"/>
      <c r="K566" s="1074"/>
      <c r="L566" s="1074"/>
      <c r="M566" s="1074"/>
      <c r="N566" s="1074"/>
      <c r="O566" s="1074"/>
      <c r="P566" s="1074"/>
      <c r="Q566" s="1074"/>
      <c r="R566" s="1074"/>
      <c r="S566" s="1074"/>
      <c r="T566" s="1074"/>
      <c r="U566" s="1074"/>
      <c r="V566" s="1074"/>
      <c r="W566" s="1074"/>
      <c r="X566" s="1074"/>
      <c r="Y566" s="1074"/>
      <c r="Z566" s="1074"/>
      <c r="AA566" s="1074"/>
      <c r="AB566" s="1074"/>
      <c r="AC566" s="1074"/>
      <c r="AD566" s="1074"/>
      <c r="AE566" s="1074"/>
      <c r="AF566" s="1074"/>
      <c r="AG566" s="1074"/>
      <c r="AH566" s="1074"/>
      <c r="AI566" s="1074"/>
      <c r="AJ566" s="1074"/>
      <c r="AK566" s="1074"/>
      <c r="AL566" s="1074"/>
      <c r="AM566" s="1074"/>
      <c r="AN566" s="1074"/>
      <c r="AO566" s="1074"/>
      <c r="AP566" s="1074"/>
      <c r="AQ566" s="1074"/>
      <c r="AR566" s="1074"/>
      <c r="AS566" s="1074"/>
      <c r="AT566" s="1075"/>
    </row>
    <row r="567" ht="14.25" customHeight="1">
      <c r="A567" s="1116"/>
      <c r="B567" s="1120"/>
      <c r="C567" s="1100"/>
      <c r="D567" s="1100"/>
      <c r="E567" s="1100"/>
      <c r="F567" s="1100"/>
      <c r="G567" s="1100"/>
      <c r="H567" s="1100"/>
      <c r="I567" s="1100"/>
      <c r="J567" s="1100"/>
      <c r="K567" s="1074"/>
      <c r="L567" s="1074"/>
      <c r="M567" s="1074"/>
      <c r="N567" s="1074"/>
      <c r="O567" s="1074"/>
      <c r="P567" s="1074"/>
      <c r="Q567" s="1074"/>
      <c r="R567" s="1074"/>
      <c r="S567" s="1074"/>
      <c r="T567" s="1074"/>
      <c r="U567" s="1074"/>
      <c r="V567" s="1074"/>
      <c r="W567" s="1074"/>
      <c r="X567" s="1074"/>
      <c r="Y567" s="1074"/>
      <c r="Z567" s="1074"/>
      <c r="AA567" s="1074"/>
      <c r="AB567" s="1074"/>
      <c r="AC567" s="1074"/>
      <c r="AD567" s="1074"/>
      <c r="AE567" s="1074"/>
      <c r="AF567" s="1074"/>
      <c r="AG567" s="1074"/>
      <c r="AH567" s="1074"/>
      <c r="AI567" s="1074"/>
      <c r="AJ567" s="1074"/>
      <c r="AK567" s="1074"/>
      <c r="AL567" s="1074"/>
      <c r="AM567" s="1074"/>
      <c r="AN567" s="1074"/>
      <c r="AO567" s="1074"/>
      <c r="AP567" s="1074"/>
      <c r="AQ567" s="1074"/>
      <c r="AR567" s="1074"/>
      <c r="AS567" s="1074"/>
      <c r="AT567" s="1075"/>
    </row>
    <row r="568" ht="14.25" customHeight="1">
      <c r="A568" s="1116"/>
      <c r="B568" s="1120"/>
      <c r="C568" s="1100"/>
      <c r="D568" s="1100"/>
      <c r="E568" s="1100"/>
      <c r="F568" s="1100"/>
      <c r="G568" s="1100"/>
      <c r="H568" s="1100"/>
      <c r="I568" s="1100"/>
      <c r="J568" s="1100"/>
      <c r="K568" s="1074"/>
      <c r="L568" s="1074"/>
      <c r="M568" s="1074"/>
      <c r="N568" s="1074"/>
      <c r="O568" s="1074"/>
      <c r="P568" s="1074"/>
      <c r="Q568" s="1074"/>
      <c r="R568" s="1074"/>
      <c r="S568" s="1074"/>
      <c r="T568" s="1074"/>
      <c r="U568" s="1074"/>
      <c r="V568" s="1074"/>
      <c r="W568" s="1074"/>
      <c r="X568" s="1074"/>
      <c r="Y568" s="1074"/>
      <c r="Z568" s="1074"/>
      <c r="AA568" s="1074"/>
      <c r="AB568" s="1074"/>
      <c r="AC568" s="1074"/>
      <c r="AD568" s="1074"/>
      <c r="AE568" s="1074"/>
      <c r="AF568" s="1074"/>
      <c r="AG568" s="1074"/>
      <c r="AH568" s="1074"/>
      <c r="AI568" s="1074"/>
      <c r="AJ568" s="1074"/>
      <c r="AK568" s="1074"/>
      <c r="AL568" s="1074"/>
      <c r="AM568" s="1074"/>
      <c r="AN568" s="1074"/>
      <c r="AO568" s="1074"/>
      <c r="AP568" s="1074"/>
      <c r="AQ568" s="1074"/>
      <c r="AR568" s="1074"/>
      <c r="AS568" s="1074"/>
      <c r="AT568" s="1075"/>
    </row>
    <row r="569" ht="14.25" customHeight="1">
      <c r="A569" s="1116"/>
      <c r="B569" s="1120"/>
      <c r="C569" s="1100"/>
      <c r="D569" s="1100"/>
      <c r="E569" s="1100"/>
      <c r="F569" s="1100"/>
      <c r="G569" s="1100"/>
      <c r="H569" s="1100"/>
      <c r="I569" s="1100"/>
      <c r="J569" s="1100"/>
      <c r="K569" s="1074"/>
      <c r="L569" s="1074"/>
      <c r="M569" s="1074"/>
      <c r="N569" s="1074"/>
      <c r="O569" s="1074"/>
      <c r="P569" s="1074"/>
      <c r="Q569" s="1074"/>
      <c r="R569" s="1074"/>
      <c r="S569" s="1074"/>
      <c r="T569" s="1074"/>
      <c r="U569" s="1074"/>
      <c r="V569" s="1074"/>
      <c r="W569" s="1074"/>
      <c r="X569" s="1074"/>
      <c r="Y569" s="1074"/>
      <c r="Z569" s="1074"/>
      <c r="AA569" s="1074"/>
      <c r="AB569" s="1074"/>
      <c r="AC569" s="1074"/>
      <c r="AD569" s="1074"/>
      <c r="AE569" s="1074"/>
      <c r="AF569" s="1074"/>
      <c r="AG569" s="1074"/>
      <c r="AH569" s="1074"/>
      <c r="AI569" s="1074"/>
      <c r="AJ569" s="1074"/>
      <c r="AK569" s="1074"/>
      <c r="AL569" s="1074"/>
      <c r="AM569" s="1074"/>
      <c r="AN569" s="1074"/>
      <c r="AO569" s="1074"/>
      <c r="AP569" s="1074"/>
      <c r="AQ569" s="1074"/>
      <c r="AR569" s="1074"/>
      <c r="AS569" s="1074"/>
      <c r="AT569" s="1075"/>
    </row>
    <row r="570" ht="14.25" customHeight="1">
      <c r="A570" s="1116"/>
      <c r="B570" s="1120"/>
      <c r="C570" s="1100"/>
      <c r="D570" s="1100"/>
      <c r="E570" s="1100"/>
      <c r="F570" s="1100"/>
      <c r="G570" s="1100"/>
      <c r="H570" s="1100"/>
      <c r="I570" s="1100"/>
      <c r="J570" s="1100"/>
      <c r="K570" s="1074"/>
      <c r="L570" s="1074"/>
      <c r="M570" s="1074"/>
      <c r="N570" s="1074"/>
      <c r="O570" s="1074"/>
      <c r="P570" s="1074"/>
      <c r="Q570" s="1074"/>
      <c r="R570" s="1074"/>
      <c r="S570" s="1074"/>
      <c r="T570" s="1074"/>
      <c r="U570" s="1074"/>
      <c r="V570" s="1074"/>
      <c r="W570" s="1074"/>
      <c r="X570" s="1074"/>
      <c r="Y570" s="1074"/>
      <c r="Z570" s="1074"/>
      <c r="AA570" s="1074"/>
      <c r="AB570" s="1074"/>
      <c r="AC570" s="1074"/>
      <c r="AD570" s="1074"/>
      <c r="AE570" s="1074"/>
      <c r="AF570" s="1074"/>
      <c r="AG570" s="1074"/>
      <c r="AH570" s="1074"/>
      <c r="AI570" s="1074"/>
      <c r="AJ570" s="1074"/>
      <c r="AK570" s="1074"/>
      <c r="AL570" s="1074"/>
      <c r="AM570" s="1074"/>
      <c r="AN570" s="1074"/>
      <c r="AO570" s="1074"/>
      <c r="AP570" s="1074"/>
      <c r="AQ570" s="1074"/>
      <c r="AR570" s="1074"/>
      <c r="AS570" s="1074"/>
      <c r="AT570" s="1075"/>
    </row>
    <row r="571" ht="14.25" customHeight="1">
      <c r="A571" s="1116"/>
      <c r="B571" s="1120"/>
      <c r="C571" s="1100"/>
      <c r="D571" s="1100"/>
      <c r="E571" s="1100"/>
      <c r="F571" s="1100"/>
      <c r="G571" s="1100"/>
      <c r="H571" s="1100"/>
      <c r="I571" s="1100"/>
      <c r="J571" s="1100"/>
      <c r="K571" s="1074"/>
      <c r="L571" s="1074"/>
      <c r="M571" s="1074"/>
      <c r="N571" s="1074"/>
      <c r="O571" s="1074"/>
      <c r="P571" s="1074"/>
      <c r="Q571" s="1074"/>
      <c r="R571" s="1074"/>
      <c r="S571" s="1074"/>
      <c r="T571" s="1074"/>
      <c r="U571" s="1074"/>
      <c r="V571" s="1074"/>
      <c r="W571" s="1074"/>
      <c r="X571" s="1074"/>
      <c r="Y571" s="1074"/>
      <c r="Z571" s="1074"/>
      <c r="AA571" s="1074"/>
      <c r="AB571" s="1074"/>
      <c r="AC571" s="1074"/>
      <c r="AD571" s="1074"/>
      <c r="AE571" s="1074"/>
      <c r="AF571" s="1074"/>
      <c r="AG571" s="1074"/>
      <c r="AH571" s="1074"/>
      <c r="AI571" s="1074"/>
      <c r="AJ571" s="1074"/>
      <c r="AK571" s="1074"/>
      <c r="AL571" s="1074"/>
      <c r="AM571" s="1074"/>
      <c r="AN571" s="1074"/>
      <c r="AO571" s="1074"/>
      <c r="AP571" s="1074"/>
      <c r="AQ571" s="1074"/>
      <c r="AR571" s="1074"/>
      <c r="AS571" s="1074"/>
      <c r="AT571" s="1075"/>
    </row>
    <row r="572" ht="14.25" customHeight="1">
      <c r="A572" s="1116"/>
      <c r="B572" s="1120"/>
      <c r="C572" s="1100"/>
      <c r="D572" s="1100"/>
      <c r="E572" s="1100"/>
      <c r="F572" s="1100"/>
      <c r="G572" s="1100"/>
      <c r="H572" s="1100"/>
      <c r="I572" s="1100"/>
      <c r="J572" s="1100"/>
      <c r="K572" s="1074"/>
      <c r="L572" s="1074"/>
      <c r="M572" s="1074"/>
      <c r="N572" s="1074"/>
      <c r="O572" s="1074"/>
      <c r="P572" s="1074"/>
      <c r="Q572" s="1074"/>
      <c r="R572" s="1074"/>
      <c r="S572" s="1074"/>
      <c r="T572" s="1074"/>
      <c r="U572" s="1074"/>
      <c r="V572" s="1074"/>
      <c r="W572" s="1074"/>
      <c r="X572" s="1074"/>
      <c r="Y572" s="1074"/>
      <c r="Z572" s="1074"/>
      <c r="AA572" s="1074"/>
      <c r="AB572" s="1074"/>
      <c r="AC572" s="1074"/>
      <c r="AD572" s="1074"/>
      <c r="AE572" s="1074"/>
      <c r="AF572" s="1074"/>
      <c r="AG572" s="1074"/>
      <c r="AH572" s="1074"/>
      <c r="AI572" s="1074"/>
      <c r="AJ572" s="1074"/>
      <c r="AK572" s="1074"/>
      <c r="AL572" s="1074"/>
      <c r="AM572" s="1074"/>
      <c r="AN572" s="1074"/>
      <c r="AO572" s="1074"/>
      <c r="AP572" s="1074"/>
      <c r="AQ572" s="1074"/>
      <c r="AR572" s="1074"/>
      <c r="AS572" s="1074"/>
      <c r="AT572" s="1075"/>
    </row>
    <row r="573" ht="14.25" customHeight="1">
      <c r="A573" s="1116"/>
      <c r="B573" s="1120"/>
      <c r="C573" s="1100"/>
      <c r="D573" s="1100"/>
      <c r="E573" s="1100"/>
      <c r="F573" s="1100"/>
      <c r="G573" s="1100"/>
      <c r="H573" s="1100"/>
      <c r="I573" s="1100"/>
      <c r="J573" s="1100"/>
      <c r="K573" s="1074"/>
      <c r="L573" s="1074"/>
      <c r="M573" s="1074"/>
      <c r="N573" s="1074"/>
      <c r="O573" s="1074"/>
      <c r="P573" s="1074"/>
      <c r="Q573" s="1074"/>
      <c r="R573" s="1074"/>
      <c r="S573" s="1074"/>
      <c r="T573" s="1074"/>
      <c r="U573" s="1074"/>
      <c r="V573" s="1074"/>
      <c r="W573" s="1074"/>
      <c r="X573" s="1074"/>
      <c r="Y573" s="1074"/>
      <c r="Z573" s="1074"/>
      <c r="AA573" s="1074"/>
      <c r="AB573" s="1074"/>
      <c r="AC573" s="1074"/>
      <c r="AD573" s="1074"/>
      <c r="AE573" s="1074"/>
      <c r="AF573" s="1074"/>
      <c r="AG573" s="1074"/>
      <c r="AH573" s="1074"/>
      <c r="AI573" s="1074"/>
      <c r="AJ573" s="1074"/>
      <c r="AK573" s="1074"/>
      <c r="AL573" s="1074"/>
      <c r="AM573" s="1074"/>
      <c r="AN573" s="1074"/>
      <c r="AO573" s="1074"/>
      <c r="AP573" s="1074"/>
      <c r="AQ573" s="1074"/>
      <c r="AR573" s="1074"/>
      <c r="AS573" s="1074"/>
      <c r="AT573" s="1075"/>
    </row>
    <row r="574" ht="14.25" customHeight="1">
      <c r="A574" s="1116"/>
      <c r="B574" s="1120"/>
      <c r="C574" s="1100"/>
      <c r="D574" s="1100"/>
      <c r="E574" s="1100"/>
      <c r="F574" s="1100"/>
      <c r="G574" s="1100"/>
      <c r="H574" s="1100"/>
      <c r="I574" s="1100"/>
      <c r="J574" s="1100"/>
      <c r="K574" s="1074"/>
      <c r="L574" s="1074"/>
      <c r="M574" s="1074"/>
      <c r="N574" s="1074"/>
      <c r="O574" s="1074"/>
      <c r="P574" s="1074"/>
      <c r="Q574" s="1074"/>
      <c r="R574" s="1074"/>
      <c r="S574" s="1074"/>
      <c r="T574" s="1074"/>
      <c r="U574" s="1074"/>
      <c r="V574" s="1074"/>
      <c r="W574" s="1074"/>
      <c r="X574" s="1074"/>
      <c r="Y574" s="1074"/>
      <c r="Z574" s="1074"/>
      <c r="AA574" s="1074"/>
      <c r="AB574" s="1074"/>
      <c r="AC574" s="1074"/>
      <c r="AD574" s="1074"/>
      <c r="AE574" s="1074"/>
      <c r="AF574" s="1074"/>
      <c r="AG574" s="1074"/>
      <c r="AH574" s="1074"/>
      <c r="AI574" s="1074"/>
      <c r="AJ574" s="1074"/>
      <c r="AK574" s="1074"/>
      <c r="AL574" s="1074"/>
      <c r="AM574" s="1074"/>
      <c r="AN574" s="1074"/>
      <c r="AO574" s="1074"/>
      <c r="AP574" s="1074"/>
      <c r="AQ574" s="1074"/>
      <c r="AR574" s="1074"/>
      <c r="AS574" s="1074"/>
      <c r="AT574" s="1075"/>
    </row>
    <row r="575" ht="14.25" customHeight="1">
      <c r="A575" s="1116"/>
      <c r="B575" s="1120"/>
      <c r="C575" s="1100"/>
      <c r="D575" s="1100"/>
      <c r="E575" s="1100"/>
      <c r="F575" s="1100"/>
      <c r="G575" s="1100"/>
      <c r="H575" s="1100"/>
      <c r="I575" s="1100"/>
      <c r="J575" s="1100"/>
      <c r="K575" s="1074"/>
      <c r="L575" s="1074"/>
      <c r="M575" s="1074"/>
      <c r="N575" s="1074"/>
      <c r="O575" s="1074"/>
      <c r="P575" s="1074"/>
      <c r="Q575" s="1074"/>
      <c r="R575" s="1074"/>
      <c r="S575" s="1074"/>
      <c r="T575" s="1074"/>
      <c r="U575" s="1074"/>
      <c r="V575" s="1074"/>
      <c r="W575" s="1074"/>
      <c r="X575" s="1074"/>
      <c r="Y575" s="1074"/>
      <c r="Z575" s="1074"/>
      <c r="AA575" s="1074"/>
      <c r="AB575" s="1074"/>
      <c r="AC575" s="1074"/>
      <c r="AD575" s="1074"/>
      <c r="AE575" s="1074"/>
      <c r="AF575" s="1074"/>
      <c r="AG575" s="1074"/>
      <c r="AH575" s="1074"/>
      <c r="AI575" s="1074"/>
      <c r="AJ575" s="1074"/>
      <c r="AK575" s="1074"/>
      <c r="AL575" s="1074"/>
      <c r="AM575" s="1074"/>
      <c r="AN575" s="1074"/>
      <c r="AO575" s="1074"/>
      <c r="AP575" s="1074"/>
      <c r="AQ575" s="1074"/>
      <c r="AR575" s="1074"/>
      <c r="AS575" s="1074"/>
      <c r="AT575" s="1075"/>
    </row>
    <row r="576" ht="14.25" customHeight="1">
      <c r="A576" s="1116"/>
      <c r="B576" s="1120"/>
      <c r="C576" s="1100"/>
      <c r="D576" s="1100"/>
      <c r="E576" s="1100"/>
      <c r="F576" s="1100"/>
      <c r="G576" s="1100"/>
      <c r="H576" s="1100"/>
      <c r="I576" s="1100"/>
      <c r="J576" s="1100"/>
      <c r="K576" s="1074"/>
      <c r="L576" s="1074"/>
      <c r="M576" s="1074"/>
      <c r="N576" s="1074"/>
      <c r="O576" s="1074"/>
      <c r="P576" s="1074"/>
      <c r="Q576" s="1074"/>
      <c r="R576" s="1074"/>
      <c r="S576" s="1074"/>
      <c r="T576" s="1074"/>
      <c r="U576" s="1074"/>
      <c r="V576" s="1074"/>
      <c r="W576" s="1074"/>
      <c r="X576" s="1074"/>
      <c r="Y576" s="1074"/>
      <c r="Z576" s="1074"/>
      <c r="AA576" s="1074"/>
      <c r="AB576" s="1074"/>
      <c r="AC576" s="1074"/>
      <c r="AD576" s="1074"/>
      <c r="AE576" s="1074"/>
      <c r="AF576" s="1074"/>
      <c r="AG576" s="1074"/>
      <c r="AH576" s="1074"/>
      <c r="AI576" s="1074"/>
      <c r="AJ576" s="1074"/>
      <c r="AK576" s="1074"/>
      <c r="AL576" s="1074"/>
      <c r="AM576" s="1074"/>
      <c r="AN576" s="1074"/>
      <c r="AO576" s="1074"/>
      <c r="AP576" s="1074"/>
      <c r="AQ576" s="1074"/>
      <c r="AR576" s="1074"/>
      <c r="AS576" s="1074"/>
      <c r="AT576" s="1075"/>
    </row>
    <row r="577" ht="14.25" customHeight="1">
      <c r="A577" s="1116"/>
      <c r="B577" s="1120"/>
      <c r="C577" s="1100"/>
      <c r="D577" s="1100"/>
      <c r="E577" s="1100"/>
      <c r="F577" s="1100"/>
      <c r="G577" s="1100"/>
      <c r="H577" s="1100"/>
      <c r="I577" s="1100"/>
      <c r="J577" s="1100"/>
      <c r="K577" s="1074"/>
      <c r="L577" s="1074"/>
      <c r="M577" s="1074"/>
      <c r="N577" s="1074"/>
      <c r="O577" s="1074"/>
      <c r="P577" s="1074"/>
      <c r="Q577" s="1074"/>
      <c r="R577" s="1074"/>
      <c r="S577" s="1074"/>
      <c r="T577" s="1074"/>
      <c r="U577" s="1074"/>
      <c r="V577" s="1074"/>
      <c r="W577" s="1074"/>
      <c r="X577" s="1074"/>
      <c r="Y577" s="1074"/>
      <c r="Z577" s="1074"/>
      <c r="AA577" s="1074"/>
      <c r="AB577" s="1074"/>
      <c r="AC577" s="1074"/>
      <c r="AD577" s="1074"/>
      <c r="AE577" s="1074"/>
      <c r="AF577" s="1074"/>
      <c r="AG577" s="1074"/>
      <c r="AH577" s="1074"/>
      <c r="AI577" s="1074"/>
      <c r="AJ577" s="1074"/>
      <c r="AK577" s="1074"/>
      <c r="AL577" s="1074"/>
      <c r="AM577" s="1074"/>
      <c r="AN577" s="1074"/>
      <c r="AO577" s="1074"/>
      <c r="AP577" s="1074"/>
      <c r="AQ577" s="1074"/>
      <c r="AR577" s="1074"/>
      <c r="AS577" s="1074"/>
      <c r="AT577" s="1075"/>
    </row>
    <row r="578" ht="14.25" customHeight="1">
      <c r="A578" s="1116"/>
      <c r="B578" s="1120"/>
      <c r="C578" s="1100"/>
      <c r="D578" s="1100"/>
      <c r="E578" s="1100"/>
      <c r="F578" s="1100"/>
      <c r="G578" s="1100"/>
      <c r="H578" s="1100"/>
      <c r="I578" s="1100"/>
      <c r="J578" s="1100"/>
      <c r="K578" s="1074"/>
      <c r="L578" s="1074"/>
      <c r="M578" s="1074"/>
      <c r="N578" s="1074"/>
      <c r="O578" s="1074"/>
      <c r="P578" s="1074"/>
      <c r="Q578" s="1074"/>
      <c r="R578" s="1074"/>
      <c r="S578" s="1074"/>
      <c r="T578" s="1074"/>
      <c r="U578" s="1074"/>
      <c r="V578" s="1074"/>
      <c r="W578" s="1074"/>
      <c r="X578" s="1074"/>
      <c r="Y578" s="1074"/>
      <c r="Z578" s="1074"/>
      <c r="AA578" s="1074"/>
      <c r="AB578" s="1074"/>
      <c r="AC578" s="1074"/>
      <c r="AD578" s="1074"/>
      <c r="AE578" s="1074"/>
      <c r="AF578" s="1074"/>
      <c r="AG578" s="1074"/>
      <c r="AH578" s="1074"/>
      <c r="AI578" s="1074"/>
      <c r="AJ578" s="1074"/>
      <c r="AK578" s="1074"/>
      <c r="AL578" s="1074"/>
      <c r="AM578" s="1074"/>
      <c r="AN578" s="1074"/>
      <c r="AO578" s="1074"/>
      <c r="AP578" s="1074"/>
      <c r="AQ578" s="1074"/>
      <c r="AR578" s="1074"/>
      <c r="AS578" s="1074"/>
      <c r="AT578" s="1075"/>
    </row>
    <row r="579" ht="14.25" customHeight="1">
      <c r="A579" s="1116"/>
      <c r="B579" s="1120"/>
      <c r="C579" s="1100"/>
      <c r="D579" s="1100"/>
      <c r="E579" s="1100"/>
      <c r="F579" s="1100"/>
      <c r="G579" s="1100"/>
      <c r="H579" s="1100"/>
      <c r="I579" s="1100"/>
      <c r="J579" s="1100"/>
      <c r="K579" s="1074"/>
      <c r="L579" s="1074"/>
      <c r="M579" s="1074"/>
      <c r="N579" s="1074"/>
      <c r="O579" s="1074"/>
      <c r="P579" s="1074"/>
      <c r="Q579" s="1074"/>
      <c r="R579" s="1074"/>
      <c r="S579" s="1074"/>
      <c r="T579" s="1074"/>
      <c r="U579" s="1074"/>
      <c r="V579" s="1074"/>
      <c r="W579" s="1074"/>
      <c r="X579" s="1074"/>
      <c r="Y579" s="1074"/>
      <c r="Z579" s="1074"/>
      <c r="AA579" s="1074"/>
      <c r="AB579" s="1074"/>
      <c r="AC579" s="1074"/>
      <c r="AD579" s="1074"/>
      <c r="AE579" s="1074"/>
      <c r="AF579" s="1074"/>
      <c r="AG579" s="1074"/>
      <c r="AH579" s="1074"/>
      <c r="AI579" s="1074"/>
      <c r="AJ579" s="1074"/>
      <c r="AK579" s="1074"/>
      <c r="AL579" s="1074"/>
      <c r="AM579" s="1074"/>
      <c r="AN579" s="1074"/>
      <c r="AO579" s="1074"/>
      <c r="AP579" s="1074"/>
      <c r="AQ579" s="1074"/>
      <c r="AR579" s="1074"/>
      <c r="AS579" s="1074"/>
      <c r="AT579" s="1075"/>
    </row>
    <row r="580" ht="14.25" customHeight="1">
      <c r="A580" s="1116"/>
      <c r="B580" s="1120"/>
      <c r="C580" s="1100"/>
      <c r="D580" s="1100"/>
      <c r="E580" s="1100"/>
      <c r="F580" s="1100"/>
      <c r="G580" s="1100"/>
      <c r="H580" s="1100"/>
      <c r="I580" s="1100"/>
      <c r="J580" s="1100"/>
      <c r="K580" s="1074"/>
      <c r="L580" s="1074"/>
      <c r="M580" s="1074"/>
      <c r="N580" s="1074"/>
      <c r="O580" s="1074"/>
      <c r="P580" s="1074"/>
      <c r="Q580" s="1074"/>
      <c r="R580" s="1074"/>
      <c r="S580" s="1074"/>
      <c r="T580" s="1074"/>
      <c r="U580" s="1074"/>
      <c r="V580" s="1074"/>
      <c r="W580" s="1074"/>
      <c r="X580" s="1074"/>
      <c r="Y580" s="1074"/>
      <c r="Z580" s="1074"/>
      <c r="AA580" s="1074"/>
      <c r="AB580" s="1074"/>
      <c r="AC580" s="1074"/>
      <c r="AD580" s="1074"/>
      <c r="AE580" s="1074"/>
      <c r="AF580" s="1074"/>
      <c r="AG580" s="1074"/>
      <c r="AH580" s="1074"/>
      <c r="AI580" s="1074"/>
      <c r="AJ580" s="1074"/>
      <c r="AK580" s="1074"/>
      <c r="AL580" s="1074"/>
      <c r="AM580" s="1074"/>
      <c r="AN580" s="1074"/>
      <c r="AO580" s="1074"/>
      <c r="AP580" s="1074"/>
      <c r="AQ580" s="1074"/>
      <c r="AR580" s="1074"/>
      <c r="AS580" s="1074"/>
      <c r="AT580" s="1075"/>
    </row>
    <row r="581" ht="14.25" customHeight="1">
      <c r="A581" s="1116"/>
      <c r="B581" s="1120"/>
      <c r="C581" s="1100"/>
      <c r="D581" s="1100"/>
      <c r="E581" s="1100"/>
      <c r="F581" s="1100"/>
      <c r="G581" s="1100"/>
      <c r="H581" s="1100"/>
      <c r="I581" s="1100"/>
      <c r="J581" s="1100"/>
      <c r="K581" s="1074"/>
      <c r="L581" s="1074"/>
      <c r="M581" s="1074"/>
      <c r="N581" s="1074"/>
      <c r="O581" s="1074"/>
      <c r="P581" s="1074"/>
      <c r="Q581" s="1074"/>
      <c r="R581" s="1074"/>
      <c r="S581" s="1074"/>
      <c r="T581" s="1074"/>
      <c r="U581" s="1074"/>
      <c r="V581" s="1074"/>
      <c r="W581" s="1074"/>
      <c r="X581" s="1074"/>
      <c r="Y581" s="1074"/>
      <c r="Z581" s="1074"/>
      <c r="AA581" s="1074"/>
      <c r="AB581" s="1074"/>
      <c r="AC581" s="1074"/>
      <c r="AD581" s="1074"/>
      <c r="AE581" s="1074"/>
      <c r="AF581" s="1074"/>
      <c r="AG581" s="1074"/>
      <c r="AH581" s="1074"/>
      <c r="AI581" s="1074"/>
      <c r="AJ581" s="1074"/>
      <c r="AK581" s="1074"/>
      <c r="AL581" s="1074"/>
      <c r="AM581" s="1074"/>
      <c r="AN581" s="1074"/>
      <c r="AO581" s="1074"/>
      <c r="AP581" s="1074"/>
      <c r="AQ581" s="1074"/>
      <c r="AR581" s="1074"/>
      <c r="AS581" s="1074"/>
      <c r="AT581" s="1075"/>
    </row>
    <row r="582" ht="14.25" customHeight="1">
      <c r="A582" s="1116"/>
      <c r="B582" s="1120"/>
      <c r="C582" s="1100"/>
      <c r="D582" s="1100"/>
      <c r="E582" s="1100"/>
      <c r="F582" s="1100"/>
      <c r="G582" s="1100"/>
      <c r="H582" s="1100"/>
      <c r="I582" s="1100"/>
      <c r="J582" s="1100"/>
      <c r="K582" s="1074"/>
      <c r="L582" s="1074"/>
      <c r="M582" s="1074"/>
      <c r="N582" s="1074"/>
      <c r="O582" s="1074"/>
      <c r="P582" s="1074"/>
      <c r="Q582" s="1074"/>
      <c r="R582" s="1074"/>
      <c r="S582" s="1074"/>
      <c r="T582" s="1074"/>
      <c r="U582" s="1074"/>
      <c r="V582" s="1074"/>
      <c r="W582" s="1074"/>
      <c r="X582" s="1074"/>
      <c r="Y582" s="1074"/>
      <c r="Z582" s="1074"/>
      <c r="AA582" s="1074"/>
      <c r="AB582" s="1074"/>
      <c r="AC582" s="1074"/>
      <c r="AD582" s="1074"/>
      <c r="AE582" s="1074"/>
      <c r="AF582" s="1074"/>
      <c r="AG582" s="1074"/>
      <c r="AH582" s="1074"/>
      <c r="AI582" s="1074"/>
      <c r="AJ582" s="1074"/>
      <c r="AK582" s="1074"/>
      <c r="AL582" s="1074"/>
      <c r="AM582" s="1074"/>
      <c r="AN582" s="1074"/>
      <c r="AO582" s="1074"/>
      <c r="AP582" s="1074"/>
      <c r="AQ582" s="1074"/>
      <c r="AR582" s="1074"/>
      <c r="AS582" s="1074"/>
      <c r="AT582" s="1075"/>
    </row>
    <row r="583" ht="14.25" customHeight="1">
      <c r="A583" s="1116"/>
      <c r="B583" s="1120"/>
      <c r="C583" s="1100"/>
      <c r="D583" s="1100"/>
      <c r="E583" s="1100"/>
      <c r="F583" s="1100"/>
      <c r="G583" s="1100"/>
      <c r="H583" s="1100"/>
      <c r="I583" s="1100"/>
      <c r="J583" s="1100"/>
      <c r="K583" s="1074"/>
      <c r="L583" s="1074"/>
      <c r="M583" s="1074"/>
      <c r="N583" s="1074"/>
      <c r="O583" s="1074"/>
      <c r="P583" s="1074"/>
      <c r="Q583" s="1074"/>
      <c r="R583" s="1074"/>
      <c r="S583" s="1074"/>
      <c r="T583" s="1074"/>
      <c r="U583" s="1074"/>
      <c r="V583" s="1074"/>
      <c r="W583" s="1074"/>
      <c r="X583" s="1074"/>
      <c r="Y583" s="1074"/>
      <c r="Z583" s="1074"/>
      <c r="AA583" s="1074"/>
      <c r="AB583" s="1074"/>
      <c r="AC583" s="1074"/>
      <c r="AD583" s="1074"/>
      <c r="AE583" s="1074"/>
      <c r="AF583" s="1074"/>
      <c r="AG583" s="1074"/>
      <c r="AH583" s="1074"/>
      <c r="AI583" s="1074"/>
      <c r="AJ583" s="1074"/>
      <c r="AK583" s="1074"/>
      <c r="AL583" s="1074"/>
      <c r="AM583" s="1074"/>
      <c r="AN583" s="1074"/>
      <c r="AO583" s="1074"/>
      <c r="AP583" s="1074"/>
      <c r="AQ583" s="1074"/>
      <c r="AR583" s="1074"/>
      <c r="AS583" s="1074"/>
      <c r="AT583" s="1075"/>
    </row>
    <row r="584" ht="14.25" customHeight="1">
      <c r="A584" s="1116"/>
      <c r="B584" s="1120"/>
      <c r="C584" s="1100"/>
      <c r="D584" s="1100"/>
      <c r="E584" s="1100"/>
      <c r="F584" s="1100"/>
      <c r="G584" s="1100"/>
      <c r="H584" s="1100"/>
      <c r="I584" s="1100"/>
      <c r="J584" s="1100"/>
      <c r="K584" s="1074"/>
      <c r="L584" s="1074"/>
      <c r="M584" s="1074"/>
      <c r="N584" s="1074"/>
      <c r="O584" s="1074"/>
      <c r="P584" s="1074"/>
      <c r="Q584" s="1074"/>
      <c r="R584" s="1074"/>
      <c r="S584" s="1074"/>
      <c r="T584" s="1074"/>
      <c r="U584" s="1074"/>
      <c r="V584" s="1074"/>
      <c r="W584" s="1074"/>
      <c r="X584" s="1074"/>
      <c r="Y584" s="1074"/>
      <c r="Z584" s="1074"/>
      <c r="AA584" s="1074"/>
      <c r="AB584" s="1074"/>
      <c r="AC584" s="1074"/>
      <c r="AD584" s="1074"/>
      <c r="AE584" s="1074"/>
      <c r="AF584" s="1074"/>
      <c r="AG584" s="1074"/>
      <c r="AH584" s="1074"/>
      <c r="AI584" s="1074"/>
      <c r="AJ584" s="1074"/>
      <c r="AK584" s="1074"/>
      <c r="AL584" s="1074"/>
      <c r="AM584" s="1074"/>
      <c r="AN584" s="1074"/>
      <c r="AO584" s="1074"/>
      <c r="AP584" s="1074"/>
      <c r="AQ584" s="1074"/>
      <c r="AR584" s="1074"/>
      <c r="AS584" s="1074"/>
      <c r="AT584" s="1075"/>
    </row>
    <row r="585" ht="14.25" customHeight="1">
      <c r="A585" s="1116"/>
      <c r="B585" s="1120"/>
      <c r="C585" s="1100"/>
      <c r="D585" s="1100"/>
      <c r="E585" s="1100"/>
      <c r="F585" s="1100"/>
      <c r="G585" s="1100"/>
      <c r="H585" s="1100"/>
      <c r="I585" s="1100"/>
      <c r="J585" s="1100"/>
      <c r="K585" s="1074"/>
      <c r="L585" s="1074"/>
      <c r="M585" s="1074"/>
      <c r="N585" s="1074"/>
      <c r="O585" s="1074"/>
      <c r="P585" s="1074"/>
      <c r="Q585" s="1074"/>
      <c r="R585" s="1074"/>
      <c r="S585" s="1074"/>
      <c r="T585" s="1074"/>
      <c r="U585" s="1074"/>
      <c r="V585" s="1074"/>
      <c r="W585" s="1074"/>
      <c r="X585" s="1074"/>
      <c r="Y585" s="1074"/>
      <c r="Z585" s="1074"/>
      <c r="AA585" s="1074"/>
      <c r="AB585" s="1074"/>
      <c r="AC585" s="1074"/>
      <c r="AD585" s="1074"/>
      <c r="AE585" s="1074"/>
      <c r="AF585" s="1074"/>
      <c r="AG585" s="1074"/>
      <c r="AH585" s="1074"/>
      <c r="AI585" s="1074"/>
      <c r="AJ585" s="1074"/>
      <c r="AK585" s="1074"/>
      <c r="AL585" s="1074"/>
      <c r="AM585" s="1074"/>
      <c r="AN585" s="1074"/>
      <c r="AO585" s="1074"/>
      <c r="AP585" s="1074"/>
      <c r="AQ585" s="1074"/>
      <c r="AR585" s="1074"/>
      <c r="AS585" s="1074"/>
      <c r="AT585" s="1075"/>
    </row>
    <row r="586" ht="14.25" customHeight="1">
      <c r="A586" s="1116"/>
      <c r="B586" s="1120"/>
      <c r="C586" s="1100"/>
      <c r="D586" s="1100"/>
      <c r="E586" s="1100"/>
      <c r="F586" s="1100"/>
      <c r="G586" s="1100"/>
      <c r="H586" s="1100"/>
      <c r="I586" s="1100"/>
      <c r="J586" s="1100"/>
      <c r="K586" s="1074"/>
      <c r="L586" s="1074"/>
      <c r="M586" s="1074"/>
      <c r="N586" s="1074"/>
      <c r="O586" s="1074"/>
      <c r="P586" s="1074"/>
      <c r="Q586" s="1074"/>
      <c r="R586" s="1074"/>
      <c r="S586" s="1074"/>
      <c r="T586" s="1074"/>
      <c r="U586" s="1074"/>
      <c r="V586" s="1074"/>
      <c r="W586" s="1074"/>
      <c r="X586" s="1074"/>
      <c r="Y586" s="1074"/>
      <c r="Z586" s="1074"/>
      <c r="AA586" s="1074"/>
      <c r="AB586" s="1074"/>
      <c r="AC586" s="1074"/>
      <c r="AD586" s="1074"/>
      <c r="AE586" s="1074"/>
      <c r="AF586" s="1074"/>
      <c r="AG586" s="1074"/>
      <c r="AH586" s="1074"/>
      <c r="AI586" s="1074"/>
      <c r="AJ586" s="1074"/>
      <c r="AK586" s="1074"/>
      <c r="AL586" s="1074"/>
      <c r="AM586" s="1074"/>
      <c r="AN586" s="1074"/>
      <c r="AO586" s="1074"/>
      <c r="AP586" s="1074"/>
      <c r="AQ586" s="1074"/>
      <c r="AR586" s="1074"/>
      <c r="AS586" s="1074"/>
      <c r="AT586" s="1075"/>
    </row>
    <row r="587" ht="14.25" customHeight="1">
      <c r="A587" s="1116"/>
      <c r="B587" s="1120"/>
      <c r="C587" s="1100"/>
      <c r="D587" s="1100"/>
      <c r="E587" s="1100"/>
      <c r="F587" s="1100"/>
      <c r="G587" s="1100"/>
      <c r="H587" s="1100"/>
      <c r="I587" s="1100"/>
      <c r="J587" s="1100"/>
      <c r="K587" s="1074"/>
      <c r="L587" s="1074"/>
      <c r="M587" s="1074"/>
      <c r="N587" s="1074"/>
      <c r="O587" s="1074"/>
      <c r="P587" s="1074"/>
      <c r="Q587" s="1074"/>
      <c r="R587" s="1074"/>
      <c r="S587" s="1074"/>
      <c r="T587" s="1074"/>
      <c r="U587" s="1074"/>
      <c r="V587" s="1074"/>
      <c r="W587" s="1074"/>
      <c r="X587" s="1074"/>
      <c r="Y587" s="1074"/>
      <c r="Z587" s="1074"/>
      <c r="AA587" s="1074"/>
      <c r="AB587" s="1074"/>
      <c r="AC587" s="1074"/>
      <c r="AD587" s="1074"/>
      <c r="AE587" s="1074"/>
      <c r="AF587" s="1074"/>
      <c r="AG587" s="1074"/>
      <c r="AH587" s="1074"/>
      <c r="AI587" s="1074"/>
      <c r="AJ587" s="1074"/>
      <c r="AK587" s="1074"/>
      <c r="AL587" s="1074"/>
      <c r="AM587" s="1074"/>
      <c r="AN587" s="1074"/>
      <c r="AO587" s="1074"/>
      <c r="AP587" s="1074"/>
      <c r="AQ587" s="1074"/>
      <c r="AR587" s="1074"/>
      <c r="AS587" s="1074"/>
      <c r="AT587" s="1075"/>
    </row>
    <row r="588" ht="14.25" customHeight="1">
      <c r="A588" s="1116"/>
      <c r="B588" s="1120"/>
      <c r="C588" s="1100"/>
      <c r="D588" s="1100"/>
      <c r="E588" s="1100"/>
      <c r="F588" s="1100"/>
      <c r="G588" s="1100"/>
      <c r="H588" s="1100"/>
      <c r="I588" s="1100"/>
      <c r="J588" s="1100"/>
      <c r="K588" s="1074"/>
      <c r="L588" s="1074"/>
      <c r="M588" s="1074"/>
      <c r="N588" s="1074"/>
      <c r="O588" s="1074"/>
      <c r="P588" s="1074"/>
      <c r="Q588" s="1074"/>
      <c r="R588" s="1074"/>
      <c r="S588" s="1074"/>
      <c r="T588" s="1074"/>
      <c r="U588" s="1074"/>
      <c r="V588" s="1074"/>
      <c r="W588" s="1074"/>
      <c r="X588" s="1074"/>
      <c r="Y588" s="1074"/>
      <c r="Z588" s="1074"/>
      <c r="AA588" s="1074"/>
      <c r="AB588" s="1074"/>
      <c r="AC588" s="1074"/>
      <c r="AD588" s="1074"/>
      <c r="AE588" s="1074"/>
      <c r="AF588" s="1074"/>
      <c r="AG588" s="1074"/>
      <c r="AH588" s="1074"/>
      <c r="AI588" s="1074"/>
      <c r="AJ588" s="1074"/>
      <c r="AK588" s="1074"/>
      <c r="AL588" s="1074"/>
      <c r="AM588" s="1074"/>
      <c r="AN588" s="1074"/>
      <c r="AO588" s="1074"/>
      <c r="AP588" s="1074"/>
      <c r="AQ588" s="1074"/>
      <c r="AR588" s="1074"/>
      <c r="AS588" s="1074"/>
      <c r="AT588" s="1075"/>
    </row>
    <row r="589" ht="14.25" customHeight="1">
      <c r="A589" s="1116"/>
      <c r="B589" s="1120"/>
      <c r="C589" s="1100"/>
      <c r="D589" s="1100"/>
      <c r="E589" s="1100"/>
      <c r="F589" s="1100"/>
      <c r="G589" s="1100"/>
      <c r="H589" s="1100"/>
      <c r="I589" s="1100"/>
      <c r="J589" s="1100"/>
      <c r="K589" s="1074"/>
      <c r="L589" s="1074"/>
      <c r="M589" s="1074"/>
      <c r="N589" s="1074"/>
      <c r="O589" s="1074"/>
      <c r="P589" s="1074"/>
      <c r="Q589" s="1074"/>
      <c r="R589" s="1074"/>
      <c r="S589" s="1074"/>
      <c r="T589" s="1074"/>
      <c r="U589" s="1074"/>
      <c r="V589" s="1074"/>
      <c r="W589" s="1074"/>
      <c r="X589" s="1074"/>
      <c r="Y589" s="1074"/>
      <c r="Z589" s="1074"/>
      <c r="AA589" s="1074"/>
      <c r="AB589" s="1074"/>
      <c r="AC589" s="1074"/>
      <c r="AD589" s="1074"/>
      <c r="AE589" s="1074"/>
      <c r="AF589" s="1074"/>
      <c r="AG589" s="1074"/>
      <c r="AH589" s="1074"/>
      <c r="AI589" s="1074"/>
      <c r="AJ589" s="1074"/>
      <c r="AK589" s="1074"/>
      <c r="AL589" s="1074"/>
      <c r="AM589" s="1074"/>
      <c r="AN589" s="1074"/>
      <c r="AO589" s="1074"/>
      <c r="AP589" s="1074"/>
      <c r="AQ589" s="1074"/>
      <c r="AR589" s="1074"/>
      <c r="AS589" s="1074"/>
      <c r="AT589" s="1075"/>
    </row>
    <row r="590" ht="14.25" customHeight="1">
      <c r="A590" s="1116"/>
      <c r="B590" s="1120"/>
      <c r="C590" s="1100"/>
      <c r="D590" s="1100"/>
      <c r="E590" s="1100"/>
      <c r="F590" s="1100"/>
      <c r="G590" s="1100"/>
      <c r="H590" s="1100"/>
      <c r="I590" s="1100"/>
      <c r="J590" s="1100"/>
      <c r="K590" s="1074"/>
      <c r="L590" s="1074"/>
      <c r="M590" s="1074"/>
      <c r="N590" s="1074"/>
      <c r="O590" s="1074"/>
      <c r="P590" s="1074"/>
      <c r="Q590" s="1074"/>
      <c r="R590" s="1074"/>
      <c r="S590" s="1074"/>
      <c r="T590" s="1074"/>
      <c r="U590" s="1074"/>
      <c r="V590" s="1074"/>
      <c r="W590" s="1074"/>
      <c r="X590" s="1074"/>
      <c r="Y590" s="1074"/>
      <c r="Z590" s="1074"/>
      <c r="AA590" s="1074"/>
      <c r="AB590" s="1074"/>
      <c r="AC590" s="1074"/>
      <c r="AD590" s="1074"/>
      <c r="AE590" s="1074"/>
      <c r="AF590" s="1074"/>
      <c r="AG590" s="1074"/>
      <c r="AH590" s="1074"/>
      <c r="AI590" s="1074"/>
      <c r="AJ590" s="1074"/>
      <c r="AK590" s="1074"/>
      <c r="AL590" s="1074"/>
      <c r="AM590" s="1074"/>
      <c r="AN590" s="1074"/>
      <c r="AO590" s="1074"/>
      <c r="AP590" s="1074"/>
      <c r="AQ590" s="1074"/>
      <c r="AR590" s="1074"/>
      <c r="AS590" s="1074"/>
      <c r="AT590" s="1075"/>
    </row>
    <row r="591" ht="14.25" customHeight="1">
      <c r="A591" s="1116"/>
      <c r="B591" s="1120"/>
      <c r="C591" s="1100"/>
      <c r="D591" s="1100"/>
      <c r="E591" s="1100"/>
      <c r="F591" s="1100"/>
      <c r="G591" s="1100"/>
      <c r="H591" s="1100"/>
      <c r="I591" s="1100"/>
      <c r="J591" s="1100"/>
      <c r="K591" s="1074"/>
      <c r="L591" s="1074"/>
      <c r="M591" s="1074"/>
      <c r="N591" s="1074"/>
      <c r="O591" s="1074"/>
      <c r="P591" s="1074"/>
      <c r="Q591" s="1074"/>
      <c r="R591" s="1074"/>
      <c r="S591" s="1074"/>
      <c r="T591" s="1074"/>
      <c r="U591" s="1074"/>
      <c r="V591" s="1074"/>
      <c r="W591" s="1074"/>
      <c r="X591" s="1074"/>
      <c r="Y591" s="1074"/>
      <c r="Z591" s="1074"/>
      <c r="AA591" s="1074"/>
      <c r="AB591" s="1074"/>
      <c r="AC591" s="1074"/>
      <c r="AD591" s="1074"/>
      <c r="AE591" s="1074"/>
      <c r="AF591" s="1074"/>
      <c r="AG591" s="1074"/>
      <c r="AH591" s="1074"/>
      <c r="AI591" s="1074"/>
      <c r="AJ591" s="1074"/>
      <c r="AK591" s="1074"/>
      <c r="AL591" s="1074"/>
      <c r="AM591" s="1074"/>
      <c r="AN591" s="1074"/>
      <c r="AO591" s="1074"/>
      <c r="AP591" s="1074"/>
      <c r="AQ591" s="1074"/>
      <c r="AR591" s="1074"/>
      <c r="AS591" s="1074"/>
      <c r="AT591" s="1075"/>
    </row>
    <row r="592" ht="14.25" customHeight="1">
      <c r="A592" s="1116"/>
      <c r="B592" s="1120"/>
      <c r="C592" s="1100"/>
      <c r="D592" s="1100"/>
      <c r="E592" s="1100"/>
      <c r="F592" s="1100"/>
      <c r="G592" s="1100"/>
      <c r="H592" s="1100"/>
      <c r="I592" s="1100"/>
      <c r="J592" s="1100"/>
      <c r="K592" s="1074"/>
      <c r="L592" s="1074"/>
      <c r="M592" s="1074"/>
      <c r="N592" s="1074"/>
      <c r="O592" s="1074"/>
      <c r="P592" s="1074"/>
      <c r="Q592" s="1074"/>
      <c r="R592" s="1074"/>
      <c r="S592" s="1074"/>
      <c r="T592" s="1074"/>
      <c r="U592" s="1074"/>
      <c r="V592" s="1074"/>
      <c r="W592" s="1074"/>
      <c r="X592" s="1074"/>
      <c r="Y592" s="1074"/>
      <c r="Z592" s="1074"/>
      <c r="AA592" s="1074"/>
      <c r="AB592" s="1074"/>
      <c r="AC592" s="1074"/>
      <c r="AD592" s="1074"/>
      <c r="AE592" s="1074"/>
      <c r="AF592" s="1074"/>
      <c r="AG592" s="1074"/>
      <c r="AH592" s="1074"/>
      <c r="AI592" s="1074"/>
      <c r="AJ592" s="1074"/>
      <c r="AK592" s="1074"/>
      <c r="AL592" s="1074"/>
      <c r="AM592" s="1074"/>
      <c r="AN592" s="1074"/>
      <c r="AO592" s="1074"/>
      <c r="AP592" s="1074"/>
      <c r="AQ592" s="1074"/>
      <c r="AR592" s="1074"/>
      <c r="AS592" s="1074"/>
      <c r="AT592" s="1075"/>
    </row>
    <row r="593" ht="14.25" customHeight="1">
      <c r="A593" s="1116"/>
      <c r="B593" s="1120"/>
      <c r="C593" s="1100"/>
      <c r="D593" s="1100"/>
      <c r="E593" s="1100"/>
      <c r="F593" s="1100"/>
      <c r="G593" s="1100"/>
      <c r="H593" s="1100"/>
      <c r="I593" s="1100"/>
      <c r="J593" s="1100"/>
      <c r="K593" s="1074"/>
      <c r="L593" s="1074"/>
      <c r="M593" s="1074"/>
      <c r="N593" s="1074"/>
      <c r="O593" s="1074"/>
      <c r="P593" s="1074"/>
      <c r="Q593" s="1074"/>
      <c r="R593" s="1074"/>
      <c r="S593" s="1074"/>
      <c r="T593" s="1074"/>
      <c r="U593" s="1074"/>
      <c r="V593" s="1074"/>
      <c r="W593" s="1074"/>
      <c r="X593" s="1074"/>
      <c r="Y593" s="1074"/>
      <c r="Z593" s="1074"/>
      <c r="AA593" s="1074"/>
      <c r="AB593" s="1074"/>
      <c r="AC593" s="1074"/>
      <c r="AD593" s="1074"/>
      <c r="AE593" s="1074"/>
      <c r="AF593" s="1074"/>
      <c r="AG593" s="1074"/>
      <c r="AH593" s="1074"/>
      <c r="AI593" s="1074"/>
      <c r="AJ593" s="1074"/>
      <c r="AK593" s="1074"/>
      <c r="AL593" s="1074"/>
      <c r="AM593" s="1074"/>
      <c r="AN593" s="1074"/>
      <c r="AO593" s="1074"/>
      <c r="AP593" s="1074"/>
      <c r="AQ593" s="1074"/>
      <c r="AR593" s="1074"/>
      <c r="AS593" s="1074"/>
      <c r="AT593" s="1075"/>
    </row>
    <row r="594" ht="14.25" customHeight="1">
      <c r="A594" s="1116"/>
      <c r="B594" s="1120"/>
      <c r="C594" s="1100"/>
      <c r="D594" s="1100"/>
      <c r="E594" s="1100"/>
      <c r="F594" s="1100"/>
      <c r="G594" s="1100"/>
      <c r="H594" s="1100"/>
      <c r="I594" s="1100"/>
      <c r="J594" s="1100"/>
      <c r="K594" s="1074"/>
      <c r="L594" s="1074"/>
      <c r="M594" s="1074"/>
      <c r="N594" s="1074"/>
      <c r="O594" s="1074"/>
      <c r="P594" s="1074"/>
      <c r="Q594" s="1074"/>
      <c r="R594" s="1074"/>
      <c r="S594" s="1074"/>
      <c r="T594" s="1074"/>
      <c r="U594" s="1074"/>
      <c r="V594" s="1074"/>
      <c r="W594" s="1074"/>
      <c r="X594" s="1074"/>
      <c r="Y594" s="1074"/>
      <c r="Z594" s="1074"/>
      <c r="AA594" s="1074"/>
      <c r="AB594" s="1074"/>
      <c r="AC594" s="1074"/>
      <c r="AD594" s="1074"/>
      <c r="AE594" s="1074"/>
      <c r="AF594" s="1074"/>
      <c r="AG594" s="1074"/>
      <c r="AH594" s="1074"/>
      <c r="AI594" s="1074"/>
      <c r="AJ594" s="1074"/>
      <c r="AK594" s="1074"/>
      <c r="AL594" s="1074"/>
      <c r="AM594" s="1074"/>
      <c r="AN594" s="1074"/>
      <c r="AO594" s="1074"/>
      <c r="AP594" s="1074"/>
      <c r="AQ594" s="1074"/>
      <c r="AR594" s="1074"/>
      <c r="AS594" s="1074"/>
      <c r="AT594" s="1075"/>
    </row>
    <row r="595" ht="14.25" customHeight="1">
      <c r="A595" s="1116"/>
      <c r="B595" s="1120"/>
      <c r="C595" s="1100"/>
      <c r="D595" s="1100"/>
      <c r="E595" s="1100"/>
      <c r="F595" s="1100"/>
      <c r="G595" s="1100"/>
      <c r="H595" s="1100"/>
      <c r="I595" s="1100"/>
      <c r="J595" s="1100"/>
      <c r="K595" s="1074"/>
      <c r="L595" s="1074"/>
      <c r="M595" s="1074"/>
      <c r="N595" s="1074"/>
      <c r="O595" s="1074"/>
      <c r="P595" s="1074"/>
      <c r="Q595" s="1074"/>
      <c r="R595" s="1074"/>
      <c r="S595" s="1074"/>
      <c r="T595" s="1074"/>
      <c r="U595" s="1074"/>
      <c r="V595" s="1074"/>
      <c r="W595" s="1074"/>
      <c r="X595" s="1074"/>
      <c r="Y595" s="1074"/>
      <c r="Z595" s="1074"/>
      <c r="AA595" s="1074"/>
      <c r="AB595" s="1074"/>
      <c r="AC595" s="1074"/>
      <c r="AD595" s="1074"/>
      <c r="AE595" s="1074"/>
      <c r="AF595" s="1074"/>
      <c r="AG595" s="1074"/>
      <c r="AH595" s="1074"/>
      <c r="AI595" s="1074"/>
      <c r="AJ595" s="1074"/>
      <c r="AK595" s="1074"/>
      <c r="AL595" s="1074"/>
      <c r="AM595" s="1074"/>
      <c r="AN595" s="1074"/>
      <c r="AO595" s="1074"/>
      <c r="AP595" s="1074"/>
      <c r="AQ595" s="1074"/>
      <c r="AR595" s="1074"/>
      <c r="AS595" s="1074"/>
      <c r="AT595" s="1075"/>
    </row>
    <row r="596" ht="14.25" customHeight="1">
      <c r="A596" s="1116"/>
      <c r="B596" s="1120"/>
      <c r="C596" s="1100"/>
      <c r="D596" s="1100"/>
      <c r="E596" s="1100"/>
      <c r="F596" s="1100"/>
      <c r="G596" s="1100"/>
      <c r="H596" s="1100"/>
      <c r="I596" s="1100"/>
      <c r="J596" s="1100"/>
      <c r="K596" s="1074"/>
      <c r="L596" s="1074"/>
      <c r="M596" s="1074"/>
      <c r="N596" s="1074"/>
      <c r="O596" s="1074"/>
      <c r="P596" s="1074"/>
      <c r="Q596" s="1074"/>
      <c r="R596" s="1074"/>
      <c r="S596" s="1074"/>
      <c r="T596" s="1074"/>
      <c r="U596" s="1074"/>
      <c r="V596" s="1074"/>
      <c r="W596" s="1074"/>
      <c r="X596" s="1074"/>
      <c r="Y596" s="1074"/>
      <c r="Z596" s="1074"/>
      <c r="AA596" s="1074"/>
      <c r="AB596" s="1074"/>
      <c r="AC596" s="1074"/>
      <c r="AD596" s="1074"/>
      <c r="AE596" s="1074"/>
      <c r="AF596" s="1074"/>
      <c r="AG596" s="1074"/>
      <c r="AH596" s="1074"/>
      <c r="AI596" s="1074"/>
      <c r="AJ596" s="1074"/>
      <c r="AK596" s="1074"/>
      <c r="AL596" s="1074"/>
      <c r="AM596" s="1074"/>
      <c r="AN596" s="1074"/>
      <c r="AO596" s="1074"/>
      <c r="AP596" s="1074"/>
      <c r="AQ596" s="1074"/>
      <c r="AR596" s="1074"/>
      <c r="AS596" s="1074"/>
      <c r="AT596" s="1075"/>
    </row>
    <row r="597" ht="14.25" customHeight="1">
      <c r="A597" s="1116"/>
      <c r="B597" s="1120"/>
      <c r="C597" s="1100"/>
      <c r="D597" s="1100"/>
      <c r="E597" s="1100"/>
      <c r="F597" s="1100"/>
      <c r="G597" s="1100"/>
      <c r="H597" s="1100"/>
      <c r="I597" s="1100"/>
      <c r="J597" s="1100"/>
      <c r="K597" s="1074"/>
      <c r="L597" s="1074"/>
      <c r="M597" s="1074"/>
      <c r="N597" s="1074"/>
      <c r="O597" s="1074"/>
      <c r="P597" s="1074"/>
      <c r="Q597" s="1074"/>
      <c r="R597" s="1074"/>
      <c r="S597" s="1074"/>
      <c r="T597" s="1074"/>
      <c r="U597" s="1074"/>
      <c r="V597" s="1074"/>
      <c r="W597" s="1074"/>
      <c r="X597" s="1074"/>
      <c r="Y597" s="1074"/>
      <c r="Z597" s="1074"/>
      <c r="AA597" s="1074"/>
      <c r="AB597" s="1074"/>
      <c r="AC597" s="1074"/>
      <c r="AD597" s="1074"/>
      <c r="AE597" s="1074"/>
      <c r="AF597" s="1074"/>
      <c r="AG597" s="1074"/>
      <c r="AH597" s="1074"/>
      <c r="AI597" s="1074"/>
      <c r="AJ597" s="1074"/>
      <c r="AK597" s="1074"/>
      <c r="AL597" s="1074"/>
      <c r="AM597" s="1074"/>
      <c r="AN597" s="1074"/>
      <c r="AO597" s="1074"/>
      <c r="AP597" s="1074"/>
      <c r="AQ597" s="1074"/>
      <c r="AR597" s="1074"/>
      <c r="AS597" s="1074"/>
      <c r="AT597" s="1075"/>
    </row>
    <row r="598" ht="14.25" customHeight="1">
      <c r="A598" s="1116"/>
      <c r="B598" s="1120"/>
      <c r="C598" s="1100"/>
      <c r="D598" s="1100"/>
      <c r="E598" s="1100"/>
      <c r="F598" s="1100"/>
      <c r="G598" s="1100"/>
      <c r="H598" s="1100"/>
      <c r="I598" s="1100"/>
      <c r="J598" s="1100"/>
      <c r="K598" s="1074"/>
      <c r="L598" s="1074"/>
      <c r="M598" s="1074"/>
      <c r="N598" s="1074"/>
      <c r="O598" s="1074"/>
      <c r="P598" s="1074"/>
      <c r="Q598" s="1074"/>
      <c r="R598" s="1074"/>
      <c r="S598" s="1074"/>
      <c r="T598" s="1074"/>
      <c r="U598" s="1074"/>
      <c r="V598" s="1074"/>
      <c r="W598" s="1074"/>
      <c r="X598" s="1074"/>
      <c r="Y598" s="1074"/>
      <c r="Z598" s="1074"/>
      <c r="AA598" s="1074"/>
      <c r="AB598" s="1074"/>
      <c r="AC598" s="1074"/>
      <c r="AD598" s="1074"/>
      <c r="AE598" s="1074"/>
      <c r="AF598" s="1074"/>
      <c r="AG598" s="1074"/>
      <c r="AH598" s="1074"/>
      <c r="AI598" s="1074"/>
      <c r="AJ598" s="1074"/>
      <c r="AK598" s="1074"/>
      <c r="AL598" s="1074"/>
      <c r="AM598" s="1074"/>
      <c r="AN598" s="1074"/>
      <c r="AO598" s="1074"/>
      <c r="AP598" s="1074"/>
      <c r="AQ598" s="1074"/>
      <c r="AR598" s="1074"/>
      <c r="AS598" s="1074"/>
      <c r="AT598" s="1075"/>
    </row>
    <row r="599" ht="14.25" customHeight="1">
      <c r="A599" s="1116"/>
      <c r="B599" s="1120"/>
      <c r="C599" s="1100"/>
      <c r="D599" s="1100"/>
      <c r="E599" s="1100"/>
      <c r="F599" s="1100"/>
      <c r="G599" s="1100"/>
      <c r="H599" s="1100"/>
      <c r="I599" s="1100"/>
      <c r="J599" s="1100"/>
      <c r="K599" s="1074"/>
      <c r="L599" s="1074"/>
      <c r="M599" s="1074"/>
      <c r="N599" s="1074"/>
      <c r="O599" s="1074"/>
      <c r="P599" s="1074"/>
      <c r="Q599" s="1074"/>
      <c r="R599" s="1074"/>
      <c r="S599" s="1074"/>
      <c r="T599" s="1074"/>
      <c r="U599" s="1074"/>
      <c r="V599" s="1074"/>
      <c r="W599" s="1074"/>
      <c r="X599" s="1074"/>
      <c r="Y599" s="1074"/>
      <c r="Z599" s="1074"/>
      <c r="AA599" s="1074"/>
      <c r="AB599" s="1074"/>
      <c r="AC599" s="1074"/>
      <c r="AD599" s="1074"/>
      <c r="AE599" s="1074"/>
      <c r="AF599" s="1074"/>
      <c r="AG599" s="1074"/>
      <c r="AH599" s="1074"/>
      <c r="AI599" s="1074"/>
      <c r="AJ599" s="1074"/>
      <c r="AK599" s="1074"/>
      <c r="AL599" s="1074"/>
      <c r="AM599" s="1074"/>
      <c r="AN599" s="1074"/>
      <c r="AO599" s="1074"/>
      <c r="AP599" s="1074"/>
      <c r="AQ599" s="1074"/>
      <c r="AR599" s="1074"/>
      <c r="AS599" s="1074"/>
      <c r="AT599" s="1075"/>
    </row>
    <row r="600" ht="14.25" customHeight="1">
      <c r="A600" s="1116"/>
      <c r="B600" s="1120"/>
      <c r="C600" s="1100"/>
      <c r="D600" s="1100"/>
      <c r="E600" s="1100"/>
      <c r="F600" s="1100"/>
      <c r="G600" s="1100"/>
      <c r="H600" s="1100"/>
      <c r="I600" s="1100"/>
      <c r="J600" s="1100"/>
      <c r="K600" s="1074"/>
      <c r="L600" s="1074"/>
      <c r="M600" s="1074"/>
      <c r="N600" s="1074"/>
      <c r="O600" s="1074"/>
      <c r="P600" s="1074"/>
      <c r="Q600" s="1074"/>
      <c r="R600" s="1074"/>
      <c r="S600" s="1074"/>
      <c r="T600" s="1074"/>
      <c r="U600" s="1074"/>
      <c r="V600" s="1074"/>
      <c r="W600" s="1074"/>
      <c r="X600" s="1074"/>
      <c r="Y600" s="1074"/>
      <c r="Z600" s="1074"/>
      <c r="AA600" s="1074"/>
      <c r="AB600" s="1074"/>
      <c r="AC600" s="1074"/>
      <c r="AD600" s="1074"/>
      <c r="AE600" s="1074"/>
      <c r="AF600" s="1074"/>
      <c r="AG600" s="1074"/>
      <c r="AH600" s="1074"/>
      <c r="AI600" s="1074"/>
      <c r="AJ600" s="1074"/>
      <c r="AK600" s="1074"/>
      <c r="AL600" s="1074"/>
      <c r="AM600" s="1074"/>
      <c r="AN600" s="1074"/>
      <c r="AO600" s="1074"/>
      <c r="AP600" s="1074"/>
      <c r="AQ600" s="1074"/>
      <c r="AR600" s="1074"/>
      <c r="AS600" s="1074"/>
      <c r="AT600" s="1075"/>
    </row>
    <row r="601" ht="14.25" customHeight="1">
      <c r="A601" s="1116"/>
      <c r="B601" s="1120"/>
      <c r="C601" s="1100"/>
      <c r="D601" s="1100"/>
      <c r="E601" s="1100"/>
      <c r="F601" s="1100"/>
      <c r="G601" s="1100"/>
      <c r="H601" s="1100"/>
      <c r="I601" s="1100"/>
      <c r="J601" s="1100"/>
      <c r="K601" s="1074"/>
      <c r="L601" s="1074"/>
      <c r="M601" s="1074"/>
      <c r="N601" s="1074"/>
      <c r="O601" s="1074"/>
      <c r="P601" s="1074"/>
      <c r="Q601" s="1074"/>
      <c r="R601" s="1074"/>
      <c r="S601" s="1074"/>
      <c r="T601" s="1074"/>
      <c r="U601" s="1074"/>
      <c r="V601" s="1074"/>
      <c r="W601" s="1074"/>
      <c r="X601" s="1074"/>
      <c r="Y601" s="1074"/>
      <c r="Z601" s="1074"/>
      <c r="AA601" s="1074"/>
      <c r="AB601" s="1074"/>
      <c r="AC601" s="1074"/>
      <c r="AD601" s="1074"/>
      <c r="AE601" s="1074"/>
      <c r="AF601" s="1074"/>
      <c r="AG601" s="1074"/>
      <c r="AH601" s="1074"/>
      <c r="AI601" s="1074"/>
      <c r="AJ601" s="1074"/>
      <c r="AK601" s="1074"/>
      <c r="AL601" s="1074"/>
      <c r="AM601" s="1074"/>
      <c r="AN601" s="1074"/>
      <c r="AO601" s="1074"/>
      <c r="AP601" s="1074"/>
      <c r="AQ601" s="1074"/>
      <c r="AR601" s="1074"/>
      <c r="AS601" s="1074"/>
      <c r="AT601" s="1075"/>
    </row>
    <row r="602" ht="14.25" customHeight="1">
      <c r="A602" s="1116"/>
      <c r="B602" s="1120"/>
      <c r="C602" s="1100"/>
      <c r="D602" s="1100"/>
      <c r="E602" s="1100"/>
      <c r="F602" s="1100"/>
      <c r="G602" s="1100"/>
      <c r="H602" s="1100"/>
      <c r="I602" s="1100"/>
      <c r="J602" s="1100"/>
      <c r="K602" s="1074"/>
      <c r="L602" s="1074"/>
      <c r="M602" s="1074"/>
      <c r="N602" s="1074"/>
      <c r="O602" s="1074"/>
      <c r="P602" s="1074"/>
      <c r="Q602" s="1074"/>
      <c r="R602" s="1074"/>
      <c r="S602" s="1074"/>
      <c r="T602" s="1074"/>
      <c r="U602" s="1074"/>
      <c r="V602" s="1074"/>
      <c r="W602" s="1074"/>
      <c r="X602" s="1074"/>
      <c r="Y602" s="1074"/>
      <c r="Z602" s="1074"/>
      <c r="AA602" s="1074"/>
      <c r="AB602" s="1074"/>
      <c r="AC602" s="1074"/>
      <c r="AD602" s="1074"/>
      <c r="AE602" s="1074"/>
      <c r="AF602" s="1074"/>
      <c r="AG602" s="1074"/>
      <c r="AH602" s="1074"/>
      <c r="AI602" s="1074"/>
      <c r="AJ602" s="1074"/>
      <c r="AK602" s="1074"/>
      <c r="AL602" s="1074"/>
      <c r="AM602" s="1074"/>
      <c r="AN602" s="1074"/>
      <c r="AO602" s="1074"/>
      <c r="AP602" s="1074"/>
      <c r="AQ602" s="1074"/>
      <c r="AR602" s="1074"/>
      <c r="AS602" s="1074"/>
      <c r="AT602" s="1075"/>
    </row>
    <row r="603" ht="14.25" customHeight="1">
      <c r="A603" s="1116"/>
      <c r="B603" s="1120"/>
      <c r="C603" s="1100"/>
      <c r="D603" s="1100"/>
      <c r="E603" s="1100"/>
      <c r="F603" s="1100"/>
      <c r="G603" s="1100"/>
      <c r="H603" s="1100"/>
      <c r="I603" s="1100"/>
      <c r="J603" s="1100"/>
      <c r="K603" s="1074"/>
      <c r="L603" s="1074"/>
      <c r="M603" s="1074"/>
      <c r="N603" s="1074"/>
      <c r="O603" s="1074"/>
      <c r="P603" s="1074"/>
      <c r="Q603" s="1074"/>
      <c r="R603" s="1074"/>
      <c r="S603" s="1074"/>
      <c r="T603" s="1074"/>
      <c r="U603" s="1074"/>
      <c r="V603" s="1074"/>
      <c r="W603" s="1074"/>
      <c r="X603" s="1074"/>
      <c r="Y603" s="1074"/>
      <c r="Z603" s="1074"/>
      <c r="AA603" s="1074"/>
      <c r="AB603" s="1074"/>
      <c r="AC603" s="1074"/>
      <c r="AD603" s="1074"/>
      <c r="AE603" s="1074"/>
      <c r="AF603" s="1074"/>
      <c r="AG603" s="1074"/>
      <c r="AH603" s="1074"/>
      <c r="AI603" s="1074"/>
      <c r="AJ603" s="1074"/>
      <c r="AK603" s="1074"/>
      <c r="AL603" s="1074"/>
      <c r="AM603" s="1074"/>
      <c r="AN603" s="1074"/>
      <c r="AO603" s="1074"/>
      <c r="AP603" s="1074"/>
      <c r="AQ603" s="1074"/>
      <c r="AR603" s="1074"/>
      <c r="AS603" s="1074"/>
      <c r="AT603" s="1075"/>
    </row>
    <row r="604" ht="14.25" customHeight="1">
      <c r="A604" s="1116"/>
      <c r="B604" s="1120"/>
      <c r="C604" s="1100"/>
      <c r="D604" s="1100"/>
      <c r="E604" s="1100"/>
      <c r="F604" s="1100"/>
      <c r="G604" s="1100"/>
      <c r="H604" s="1100"/>
      <c r="I604" s="1100"/>
      <c r="J604" s="1100"/>
      <c r="K604" s="1074"/>
      <c r="L604" s="1074"/>
      <c r="M604" s="1074"/>
      <c r="N604" s="1074"/>
      <c r="O604" s="1074"/>
      <c r="P604" s="1074"/>
      <c r="Q604" s="1074"/>
      <c r="R604" s="1074"/>
      <c r="S604" s="1074"/>
      <c r="T604" s="1074"/>
      <c r="U604" s="1074"/>
      <c r="V604" s="1074"/>
      <c r="W604" s="1074"/>
      <c r="X604" s="1074"/>
      <c r="Y604" s="1074"/>
      <c r="Z604" s="1074"/>
      <c r="AA604" s="1074"/>
      <c r="AB604" s="1074"/>
      <c r="AC604" s="1074"/>
      <c r="AD604" s="1074"/>
      <c r="AE604" s="1074"/>
      <c r="AF604" s="1074"/>
      <c r="AG604" s="1074"/>
      <c r="AH604" s="1074"/>
      <c r="AI604" s="1074"/>
      <c r="AJ604" s="1074"/>
      <c r="AK604" s="1074"/>
      <c r="AL604" s="1074"/>
      <c r="AM604" s="1074"/>
      <c r="AN604" s="1074"/>
      <c r="AO604" s="1074"/>
      <c r="AP604" s="1074"/>
      <c r="AQ604" s="1074"/>
      <c r="AR604" s="1074"/>
      <c r="AS604" s="1074"/>
      <c r="AT604" s="1075"/>
    </row>
    <row r="605" ht="14.25" customHeight="1">
      <c r="A605" s="1116"/>
      <c r="B605" s="1120"/>
      <c r="C605" s="1100"/>
      <c r="D605" s="1100"/>
      <c r="E605" s="1100"/>
      <c r="F605" s="1100"/>
      <c r="G605" s="1100"/>
      <c r="H605" s="1100"/>
      <c r="I605" s="1100"/>
      <c r="J605" s="1100"/>
      <c r="K605" s="1074"/>
      <c r="L605" s="1074"/>
      <c r="M605" s="1074"/>
      <c r="N605" s="1074"/>
      <c r="O605" s="1074"/>
      <c r="P605" s="1074"/>
      <c r="Q605" s="1074"/>
      <c r="R605" s="1074"/>
      <c r="S605" s="1074"/>
      <c r="T605" s="1074"/>
      <c r="U605" s="1074"/>
      <c r="V605" s="1074"/>
      <c r="W605" s="1074"/>
      <c r="X605" s="1074"/>
      <c r="Y605" s="1074"/>
      <c r="Z605" s="1074"/>
      <c r="AA605" s="1074"/>
      <c r="AB605" s="1074"/>
      <c r="AC605" s="1074"/>
      <c r="AD605" s="1074"/>
      <c r="AE605" s="1074"/>
      <c r="AF605" s="1074"/>
      <c r="AG605" s="1074"/>
      <c r="AH605" s="1074"/>
      <c r="AI605" s="1074"/>
      <c r="AJ605" s="1074"/>
      <c r="AK605" s="1074"/>
      <c r="AL605" s="1074"/>
      <c r="AM605" s="1074"/>
      <c r="AN605" s="1074"/>
      <c r="AO605" s="1074"/>
      <c r="AP605" s="1074"/>
      <c r="AQ605" s="1074"/>
      <c r="AR605" s="1074"/>
      <c r="AS605" s="1074"/>
      <c r="AT605" s="1075"/>
    </row>
    <row r="606" ht="14.25" customHeight="1">
      <c r="A606" s="1116"/>
      <c r="B606" s="1120"/>
      <c r="C606" s="1100"/>
      <c r="D606" s="1100"/>
      <c r="E606" s="1100"/>
      <c r="F606" s="1100"/>
      <c r="G606" s="1100"/>
      <c r="H606" s="1100"/>
      <c r="I606" s="1100"/>
      <c r="J606" s="1100"/>
      <c r="K606" s="1074"/>
      <c r="L606" s="1074"/>
      <c r="M606" s="1074"/>
      <c r="N606" s="1074"/>
      <c r="O606" s="1074"/>
      <c r="P606" s="1074"/>
      <c r="Q606" s="1074"/>
      <c r="R606" s="1074"/>
      <c r="S606" s="1074"/>
      <c r="T606" s="1074"/>
      <c r="U606" s="1074"/>
      <c r="V606" s="1074"/>
      <c r="W606" s="1074"/>
      <c r="X606" s="1074"/>
      <c r="Y606" s="1074"/>
      <c r="Z606" s="1074"/>
      <c r="AA606" s="1074"/>
      <c r="AB606" s="1074"/>
      <c r="AC606" s="1074"/>
      <c r="AD606" s="1074"/>
      <c r="AE606" s="1074"/>
      <c r="AF606" s="1074"/>
      <c r="AG606" s="1074"/>
      <c r="AH606" s="1074"/>
      <c r="AI606" s="1074"/>
      <c r="AJ606" s="1074"/>
      <c r="AK606" s="1074"/>
      <c r="AL606" s="1074"/>
      <c r="AM606" s="1074"/>
      <c r="AN606" s="1074"/>
      <c r="AO606" s="1074"/>
      <c r="AP606" s="1074"/>
      <c r="AQ606" s="1074"/>
      <c r="AR606" s="1074"/>
      <c r="AS606" s="1074"/>
      <c r="AT606" s="1075"/>
    </row>
    <row r="607" ht="14.25" customHeight="1">
      <c r="A607" s="1116"/>
      <c r="B607" s="1120"/>
      <c r="C607" s="1100"/>
      <c r="D607" s="1100"/>
      <c r="E607" s="1100"/>
      <c r="F607" s="1100"/>
      <c r="G607" s="1100"/>
      <c r="H607" s="1100"/>
      <c r="I607" s="1100"/>
      <c r="J607" s="1100"/>
      <c r="K607" s="1074"/>
      <c r="L607" s="1074"/>
      <c r="M607" s="1074"/>
      <c r="N607" s="1074"/>
      <c r="O607" s="1074"/>
      <c r="P607" s="1074"/>
      <c r="Q607" s="1074"/>
      <c r="R607" s="1074"/>
      <c r="S607" s="1074"/>
      <c r="T607" s="1074"/>
      <c r="U607" s="1074"/>
      <c r="V607" s="1074"/>
      <c r="W607" s="1074"/>
      <c r="X607" s="1074"/>
      <c r="Y607" s="1074"/>
      <c r="Z607" s="1074"/>
      <c r="AA607" s="1074"/>
      <c r="AB607" s="1074"/>
      <c r="AC607" s="1074"/>
      <c r="AD607" s="1074"/>
      <c r="AE607" s="1074"/>
      <c r="AF607" s="1074"/>
      <c r="AG607" s="1074"/>
      <c r="AH607" s="1074"/>
      <c r="AI607" s="1074"/>
      <c r="AJ607" s="1074"/>
      <c r="AK607" s="1074"/>
      <c r="AL607" s="1074"/>
      <c r="AM607" s="1074"/>
      <c r="AN607" s="1074"/>
      <c r="AO607" s="1074"/>
      <c r="AP607" s="1074"/>
      <c r="AQ607" s="1074"/>
      <c r="AR607" s="1074"/>
      <c r="AS607" s="1074"/>
      <c r="AT607" s="1075"/>
    </row>
    <row r="608" ht="14.25" customHeight="1">
      <c r="A608" s="1116"/>
      <c r="B608" s="1120"/>
      <c r="C608" s="1100"/>
      <c r="D608" s="1100"/>
      <c r="E608" s="1100"/>
      <c r="F608" s="1100"/>
      <c r="G608" s="1100"/>
      <c r="H608" s="1100"/>
      <c r="I608" s="1100"/>
      <c r="J608" s="1100"/>
      <c r="K608" s="1074"/>
      <c r="L608" s="1074"/>
      <c r="M608" s="1074"/>
      <c r="N608" s="1074"/>
      <c r="O608" s="1074"/>
      <c r="P608" s="1074"/>
      <c r="Q608" s="1074"/>
      <c r="R608" s="1074"/>
      <c r="S608" s="1074"/>
      <c r="T608" s="1074"/>
      <c r="U608" s="1074"/>
      <c r="V608" s="1074"/>
      <c r="W608" s="1074"/>
      <c r="X608" s="1074"/>
      <c r="Y608" s="1074"/>
      <c r="Z608" s="1074"/>
      <c r="AA608" s="1074"/>
      <c r="AB608" s="1074"/>
      <c r="AC608" s="1074"/>
      <c r="AD608" s="1074"/>
      <c r="AE608" s="1074"/>
      <c r="AF608" s="1074"/>
      <c r="AG608" s="1074"/>
      <c r="AH608" s="1074"/>
      <c r="AI608" s="1074"/>
      <c r="AJ608" s="1074"/>
      <c r="AK608" s="1074"/>
      <c r="AL608" s="1074"/>
      <c r="AM608" s="1074"/>
      <c r="AN608" s="1074"/>
      <c r="AO608" s="1074"/>
      <c r="AP608" s="1074"/>
      <c r="AQ608" s="1074"/>
      <c r="AR608" s="1074"/>
      <c r="AS608" s="1074"/>
      <c r="AT608" s="1075"/>
    </row>
    <row r="609" ht="14.25" customHeight="1">
      <c r="A609" s="1116"/>
      <c r="B609" s="1120"/>
      <c r="C609" s="1100"/>
      <c r="D609" s="1100"/>
      <c r="E609" s="1100"/>
      <c r="F609" s="1100"/>
      <c r="G609" s="1100"/>
      <c r="H609" s="1100"/>
      <c r="I609" s="1100"/>
      <c r="J609" s="1100"/>
      <c r="K609" s="1074"/>
      <c r="L609" s="1074"/>
      <c r="M609" s="1074"/>
      <c r="N609" s="1074"/>
      <c r="O609" s="1074"/>
      <c r="P609" s="1074"/>
      <c r="Q609" s="1074"/>
      <c r="R609" s="1074"/>
      <c r="S609" s="1074"/>
      <c r="T609" s="1074"/>
      <c r="U609" s="1074"/>
      <c r="V609" s="1074"/>
      <c r="W609" s="1074"/>
      <c r="X609" s="1074"/>
      <c r="Y609" s="1074"/>
      <c r="Z609" s="1074"/>
      <c r="AA609" s="1074"/>
      <c r="AB609" s="1074"/>
      <c r="AC609" s="1074"/>
      <c r="AD609" s="1074"/>
      <c r="AE609" s="1074"/>
      <c r="AF609" s="1074"/>
      <c r="AG609" s="1074"/>
      <c r="AH609" s="1074"/>
      <c r="AI609" s="1074"/>
      <c r="AJ609" s="1074"/>
      <c r="AK609" s="1074"/>
      <c r="AL609" s="1074"/>
      <c r="AM609" s="1074"/>
      <c r="AN609" s="1074"/>
      <c r="AO609" s="1074"/>
      <c r="AP609" s="1074"/>
      <c r="AQ609" s="1074"/>
      <c r="AR609" s="1074"/>
      <c r="AS609" s="1074"/>
      <c r="AT609" s="1075"/>
    </row>
    <row r="610" ht="14.25" customHeight="1">
      <c r="A610" s="1116"/>
      <c r="B610" s="1120"/>
      <c r="C610" s="1100"/>
      <c r="D610" s="1100"/>
      <c r="E610" s="1100"/>
      <c r="F610" s="1100"/>
      <c r="G610" s="1100"/>
      <c r="H610" s="1100"/>
      <c r="I610" s="1100"/>
      <c r="J610" s="1100"/>
      <c r="K610" s="1074"/>
      <c r="L610" s="1074"/>
      <c r="M610" s="1074"/>
      <c r="N610" s="1074"/>
      <c r="O610" s="1074"/>
      <c r="P610" s="1074"/>
      <c r="Q610" s="1074"/>
      <c r="R610" s="1074"/>
      <c r="S610" s="1074"/>
      <c r="T610" s="1074"/>
      <c r="U610" s="1074"/>
      <c r="V610" s="1074"/>
      <c r="W610" s="1074"/>
      <c r="X610" s="1074"/>
      <c r="Y610" s="1074"/>
      <c r="Z610" s="1074"/>
      <c r="AA610" s="1074"/>
      <c r="AB610" s="1074"/>
      <c r="AC610" s="1074"/>
      <c r="AD610" s="1074"/>
      <c r="AE610" s="1074"/>
      <c r="AF610" s="1074"/>
      <c r="AG610" s="1074"/>
      <c r="AH610" s="1074"/>
      <c r="AI610" s="1074"/>
      <c r="AJ610" s="1074"/>
      <c r="AK610" s="1074"/>
      <c r="AL610" s="1074"/>
      <c r="AM610" s="1074"/>
      <c r="AN610" s="1074"/>
      <c r="AO610" s="1074"/>
      <c r="AP610" s="1074"/>
      <c r="AQ610" s="1074"/>
      <c r="AR610" s="1074"/>
      <c r="AS610" s="1074"/>
      <c r="AT610" s="1075"/>
    </row>
    <row r="611" ht="14.25" customHeight="1">
      <c r="A611" s="1116"/>
      <c r="B611" s="1120"/>
      <c r="C611" s="1100"/>
      <c r="D611" s="1100"/>
      <c r="E611" s="1100"/>
      <c r="F611" s="1100"/>
      <c r="G611" s="1100"/>
      <c r="H611" s="1100"/>
      <c r="I611" s="1100"/>
      <c r="J611" s="1100"/>
      <c r="K611" s="1074"/>
      <c r="L611" s="1074"/>
      <c r="M611" s="1074"/>
      <c r="N611" s="1074"/>
      <c r="O611" s="1074"/>
      <c r="P611" s="1074"/>
      <c r="Q611" s="1074"/>
      <c r="R611" s="1074"/>
      <c r="S611" s="1074"/>
      <c r="T611" s="1074"/>
      <c r="U611" s="1074"/>
      <c r="V611" s="1074"/>
      <c r="W611" s="1074"/>
      <c r="X611" s="1074"/>
      <c r="Y611" s="1074"/>
      <c r="Z611" s="1074"/>
      <c r="AA611" s="1074"/>
      <c r="AB611" s="1074"/>
      <c r="AC611" s="1074"/>
      <c r="AD611" s="1074"/>
      <c r="AE611" s="1074"/>
      <c r="AF611" s="1074"/>
      <c r="AG611" s="1074"/>
      <c r="AH611" s="1074"/>
      <c r="AI611" s="1074"/>
      <c r="AJ611" s="1074"/>
      <c r="AK611" s="1074"/>
      <c r="AL611" s="1074"/>
      <c r="AM611" s="1074"/>
      <c r="AN611" s="1074"/>
      <c r="AO611" s="1074"/>
      <c r="AP611" s="1074"/>
      <c r="AQ611" s="1074"/>
      <c r="AR611" s="1074"/>
      <c r="AS611" s="1074"/>
      <c r="AT611" s="1075"/>
    </row>
    <row r="612" ht="14.25" customHeight="1">
      <c r="A612" s="1116"/>
      <c r="B612" s="1120"/>
      <c r="C612" s="1100"/>
      <c r="D612" s="1100"/>
      <c r="E612" s="1100"/>
      <c r="F612" s="1100"/>
      <c r="G612" s="1100"/>
      <c r="H612" s="1100"/>
      <c r="I612" s="1100"/>
      <c r="J612" s="1100"/>
      <c r="K612" s="1074"/>
      <c r="L612" s="1074"/>
      <c r="M612" s="1074"/>
      <c r="N612" s="1074"/>
      <c r="O612" s="1074"/>
      <c r="P612" s="1074"/>
      <c r="Q612" s="1074"/>
      <c r="R612" s="1074"/>
      <c r="S612" s="1074"/>
      <c r="T612" s="1074"/>
      <c r="U612" s="1074"/>
      <c r="V612" s="1074"/>
      <c r="W612" s="1074"/>
      <c r="X612" s="1074"/>
      <c r="Y612" s="1074"/>
      <c r="Z612" s="1074"/>
      <c r="AA612" s="1074"/>
      <c r="AB612" s="1074"/>
      <c r="AC612" s="1074"/>
      <c r="AD612" s="1074"/>
      <c r="AE612" s="1074"/>
      <c r="AF612" s="1074"/>
      <c r="AG612" s="1074"/>
      <c r="AH612" s="1074"/>
      <c r="AI612" s="1074"/>
      <c r="AJ612" s="1074"/>
      <c r="AK612" s="1074"/>
      <c r="AL612" s="1074"/>
      <c r="AM612" s="1074"/>
      <c r="AN612" s="1074"/>
      <c r="AO612" s="1074"/>
      <c r="AP612" s="1074"/>
      <c r="AQ612" s="1074"/>
      <c r="AR612" s="1074"/>
      <c r="AS612" s="1074"/>
      <c r="AT612" s="1075"/>
    </row>
    <row r="613" ht="14.25" customHeight="1">
      <c r="A613" s="1116"/>
      <c r="B613" s="1120"/>
      <c r="C613" s="1100"/>
      <c r="D613" s="1100"/>
      <c r="E613" s="1100"/>
      <c r="F613" s="1100"/>
      <c r="G613" s="1100"/>
      <c r="H613" s="1100"/>
      <c r="I613" s="1100"/>
      <c r="J613" s="1100"/>
      <c r="K613" s="1074"/>
      <c r="L613" s="1074"/>
      <c r="M613" s="1074"/>
      <c r="N613" s="1074"/>
      <c r="O613" s="1074"/>
      <c r="P613" s="1074"/>
      <c r="Q613" s="1074"/>
      <c r="R613" s="1074"/>
      <c r="S613" s="1074"/>
      <c r="T613" s="1074"/>
      <c r="U613" s="1074"/>
      <c r="V613" s="1074"/>
      <c r="W613" s="1074"/>
      <c r="X613" s="1074"/>
      <c r="Y613" s="1074"/>
      <c r="Z613" s="1074"/>
      <c r="AA613" s="1074"/>
      <c r="AB613" s="1074"/>
      <c r="AC613" s="1074"/>
      <c r="AD613" s="1074"/>
      <c r="AE613" s="1074"/>
      <c r="AF613" s="1074"/>
      <c r="AG613" s="1074"/>
      <c r="AH613" s="1074"/>
      <c r="AI613" s="1074"/>
      <c r="AJ613" s="1074"/>
      <c r="AK613" s="1074"/>
      <c r="AL613" s="1074"/>
      <c r="AM613" s="1074"/>
      <c r="AN613" s="1074"/>
      <c r="AO613" s="1074"/>
      <c r="AP613" s="1074"/>
      <c r="AQ613" s="1074"/>
      <c r="AR613" s="1074"/>
      <c r="AS613" s="1074"/>
      <c r="AT613" s="1075"/>
    </row>
    <row r="614" ht="14.25" customHeight="1">
      <c r="A614" s="1116"/>
      <c r="B614" s="1120"/>
      <c r="C614" s="1100"/>
      <c r="D614" s="1100"/>
      <c r="E614" s="1100"/>
      <c r="F614" s="1100"/>
      <c r="G614" s="1100"/>
      <c r="H614" s="1100"/>
      <c r="I614" s="1100"/>
      <c r="J614" s="1100"/>
      <c r="K614" s="1074"/>
      <c r="L614" s="1074"/>
      <c r="M614" s="1074"/>
      <c r="N614" s="1074"/>
      <c r="O614" s="1074"/>
      <c r="P614" s="1074"/>
      <c r="Q614" s="1074"/>
      <c r="R614" s="1074"/>
      <c r="S614" s="1074"/>
      <c r="T614" s="1074"/>
      <c r="U614" s="1074"/>
      <c r="V614" s="1074"/>
      <c r="W614" s="1074"/>
      <c r="X614" s="1074"/>
      <c r="Y614" s="1074"/>
      <c r="Z614" s="1074"/>
      <c r="AA614" s="1074"/>
      <c r="AB614" s="1074"/>
      <c r="AC614" s="1074"/>
      <c r="AD614" s="1074"/>
      <c r="AE614" s="1074"/>
      <c r="AF614" s="1074"/>
      <c r="AG614" s="1074"/>
      <c r="AH614" s="1074"/>
      <c r="AI614" s="1074"/>
      <c r="AJ614" s="1074"/>
      <c r="AK614" s="1074"/>
      <c r="AL614" s="1074"/>
      <c r="AM614" s="1074"/>
      <c r="AN614" s="1074"/>
      <c r="AO614" s="1074"/>
      <c r="AP614" s="1074"/>
      <c r="AQ614" s="1074"/>
      <c r="AR614" s="1074"/>
      <c r="AS614" s="1074"/>
      <c r="AT614" s="1075"/>
    </row>
    <row r="615" ht="14.25" customHeight="1">
      <c r="A615" s="1116"/>
      <c r="B615" s="1120"/>
      <c r="C615" s="1100"/>
      <c r="D615" s="1100"/>
      <c r="E615" s="1100"/>
      <c r="F615" s="1100"/>
      <c r="G615" s="1100"/>
      <c r="H615" s="1100"/>
      <c r="I615" s="1100"/>
      <c r="J615" s="1100"/>
      <c r="K615" s="1074"/>
      <c r="L615" s="1074"/>
      <c r="M615" s="1074"/>
      <c r="N615" s="1074"/>
      <c r="O615" s="1074"/>
      <c r="P615" s="1074"/>
      <c r="Q615" s="1074"/>
      <c r="R615" s="1074"/>
      <c r="S615" s="1074"/>
      <c r="T615" s="1074"/>
      <c r="U615" s="1074"/>
      <c r="V615" s="1074"/>
      <c r="W615" s="1074"/>
      <c r="X615" s="1074"/>
      <c r="Y615" s="1074"/>
      <c r="Z615" s="1074"/>
      <c r="AA615" s="1074"/>
      <c r="AB615" s="1074"/>
      <c r="AC615" s="1074"/>
      <c r="AD615" s="1074"/>
      <c r="AE615" s="1074"/>
      <c r="AF615" s="1074"/>
      <c r="AG615" s="1074"/>
      <c r="AH615" s="1074"/>
      <c r="AI615" s="1074"/>
      <c r="AJ615" s="1074"/>
      <c r="AK615" s="1074"/>
      <c r="AL615" s="1074"/>
      <c r="AM615" s="1074"/>
      <c r="AN615" s="1074"/>
      <c r="AO615" s="1074"/>
      <c r="AP615" s="1074"/>
      <c r="AQ615" s="1074"/>
      <c r="AR615" s="1074"/>
      <c r="AS615" s="1074"/>
      <c r="AT615" s="1075"/>
    </row>
    <row r="616" ht="14.25" customHeight="1">
      <c r="A616" s="1116"/>
      <c r="B616" s="1120"/>
      <c r="C616" s="1100"/>
      <c r="D616" s="1100"/>
      <c r="E616" s="1100"/>
      <c r="F616" s="1100"/>
      <c r="G616" s="1100"/>
      <c r="H616" s="1100"/>
      <c r="I616" s="1100"/>
      <c r="J616" s="1100"/>
      <c r="K616" s="1074"/>
      <c r="L616" s="1074"/>
      <c r="M616" s="1074"/>
      <c r="N616" s="1074"/>
      <c r="O616" s="1074"/>
      <c r="P616" s="1074"/>
      <c r="Q616" s="1074"/>
      <c r="R616" s="1074"/>
      <c r="S616" s="1074"/>
      <c r="T616" s="1074"/>
      <c r="U616" s="1074"/>
      <c r="V616" s="1074"/>
      <c r="W616" s="1074"/>
      <c r="X616" s="1074"/>
      <c r="Y616" s="1074"/>
      <c r="Z616" s="1074"/>
      <c r="AA616" s="1074"/>
      <c r="AB616" s="1074"/>
      <c r="AC616" s="1074"/>
      <c r="AD616" s="1074"/>
      <c r="AE616" s="1074"/>
      <c r="AF616" s="1074"/>
      <c r="AG616" s="1074"/>
      <c r="AH616" s="1074"/>
      <c r="AI616" s="1074"/>
      <c r="AJ616" s="1074"/>
      <c r="AK616" s="1074"/>
      <c r="AL616" s="1074"/>
      <c r="AM616" s="1074"/>
      <c r="AN616" s="1074"/>
      <c r="AO616" s="1074"/>
      <c r="AP616" s="1074"/>
      <c r="AQ616" s="1074"/>
      <c r="AR616" s="1074"/>
      <c r="AS616" s="1074"/>
      <c r="AT616" s="1075"/>
    </row>
    <row r="617" ht="14.25" customHeight="1">
      <c r="A617" s="1116"/>
      <c r="B617" s="1120"/>
      <c r="C617" s="1100"/>
      <c r="D617" s="1100"/>
      <c r="E617" s="1100"/>
      <c r="F617" s="1100"/>
      <c r="G617" s="1100"/>
      <c r="H617" s="1100"/>
      <c r="I617" s="1100"/>
      <c r="J617" s="1100"/>
      <c r="K617" s="1074"/>
      <c r="L617" s="1074"/>
      <c r="M617" s="1074"/>
      <c r="N617" s="1074"/>
      <c r="O617" s="1074"/>
      <c r="P617" s="1074"/>
      <c r="Q617" s="1074"/>
      <c r="R617" s="1074"/>
      <c r="S617" s="1074"/>
      <c r="T617" s="1074"/>
      <c r="U617" s="1074"/>
      <c r="V617" s="1074"/>
      <c r="W617" s="1074"/>
      <c r="X617" s="1074"/>
      <c r="Y617" s="1074"/>
      <c r="Z617" s="1074"/>
      <c r="AA617" s="1074"/>
      <c r="AB617" s="1074"/>
      <c r="AC617" s="1074"/>
      <c r="AD617" s="1074"/>
      <c r="AE617" s="1074"/>
      <c r="AF617" s="1074"/>
      <c r="AG617" s="1074"/>
      <c r="AH617" s="1074"/>
      <c r="AI617" s="1074"/>
      <c r="AJ617" s="1074"/>
      <c r="AK617" s="1074"/>
      <c r="AL617" s="1074"/>
      <c r="AM617" s="1074"/>
      <c r="AN617" s="1074"/>
      <c r="AO617" s="1074"/>
      <c r="AP617" s="1074"/>
      <c r="AQ617" s="1074"/>
      <c r="AR617" s="1074"/>
      <c r="AS617" s="1074"/>
      <c r="AT617" s="1075"/>
    </row>
    <row r="618" ht="14.25" customHeight="1">
      <c r="A618" s="1116"/>
      <c r="B618" s="1120"/>
      <c r="C618" s="1100"/>
      <c r="D618" s="1100"/>
      <c r="E618" s="1100"/>
      <c r="F618" s="1100"/>
      <c r="G618" s="1100"/>
      <c r="H618" s="1100"/>
      <c r="I618" s="1100"/>
      <c r="J618" s="1100"/>
      <c r="K618" s="1074"/>
      <c r="L618" s="1074"/>
      <c r="M618" s="1074"/>
      <c r="N618" s="1074"/>
      <c r="O618" s="1074"/>
      <c r="P618" s="1074"/>
      <c r="Q618" s="1074"/>
      <c r="R618" s="1074"/>
      <c r="S618" s="1074"/>
      <c r="T618" s="1074"/>
      <c r="U618" s="1074"/>
      <c r="V618" s="1074"/>
      <c r="W618" s="1074"/>
      <c r="X618" s="1074"/>
      <c r="Y618" s="1074"/>
      <c r="Z618" s="1074"/>
      <c r="AA618" s="1074"/>
      <c r="AB618" s="1074"/>
      <c r="AC618" s="1074"/>
      <c r="AD618" s="1074"/>
      <c r="AE618" s="1074"/>
      <c r="AF618" s="1074"/>
      <c r="AG618" s="1074"/>
      <c r="AH618" s="1074"/>
      <c r="AI618" s="1074"/>
      <c r="AJ618" s="1074"/>
      <c r="AK618" s="1074"/>
      <c r="AL618" s="1074"/>
      <c r="AM618" s="1074"/>
      <c r="AN618" s="1074"/>
      <c r="AO618" s="1074"/>
      <c r="AP618" s="1074"/>
      <c r="AQ618" s="1074"/>
      <c r="AR618" s="1074"/>
      <c r="AS618" s="1074"/>
      <c r="AT618" s="1075"/>
    </row>
    <row r="619" ht="14.25" customHeight="1">
      <c r="A619" s="1116"/>
      <c r="B619" s="1120"/>
      <c r="C619" s="1100"/>
      <c r="D619" s="1100"/>
      <c r="E619" s="1100"/>
      <c r="F619" s="1100"/>
      <c r="G619" s="1100"/>
      <c r="H619" s="1100"/>
      <c r="I619" s="1100"/>
      <c r="J619" s="1100"/>
      <c r="K619" s="1074"/>
      <c r="L619" s="1074"/>
      <c r="M619" s="1074"/>
      <c r="N619" s="1074"/>
      <c r="O619" s="1074"/>
      <c r="P619" s="1074"/>
      <c r="Q619" s="1074"/>
      <c r="R619" s="1074"/>
      <c r="S619" s="1074"/>
      <c r="T619" s="1074"/>
      <c r="U619" s="1074"/>
      <c r="V619" s="1074"/>
      <c r="W619" s="1074"/>
      <c r="X619" s="1074"/>
      <c r="Y619" s="1074"/>
      <c r="Z619" s="1074"/>
      <c r="AA619" s="1074"/>
      <c r="AB619" s="1074"/>
      <c r="AC619" s="1074"/>
      <c r="AD619" s="1074"/>
      <c r="AE619" s="1074"/>
      <c r="AF619" s="1074"/>
      <c r="AG619" s="1074"/>
      <c r="AH619" s="1074"/>
      <c r="AI619" s="1074"/>
      <c r="AJ619" s="1074"/>
      <c r="AK619" s="1074"/>
      <c r="AL619" s="1074"/>
      <c r="AM619" s="1074"/>
      <c r="AN619" s="1074"/>
      <c r="AO619" s="1074"/>
      <c r="AP619" s="1074"/>
      <c r="AQ619" s="1074"/>
      <c r="AR619" s="1074"/>
      <c r="AS619" s="1074"/>
      <c r="AT619" s="1075"/>
    </row>
    <row r="620" ht="14.25" customHeight="1">
      <c r="A620" s="1116"/>
      <c r="B620" s="1120"/>
      <c r="C620" s="1100"/>
      <c r="D620" s="1100"/>
      <c r="E620" s="1100"/>
      <c r="F620" s="1100"/>
      <c r="G620" s="1100"/>
      <c r="H620" s="1100"/>
      <c r="I620" s="1100"/>
      <c r="J620" s="1100"/>
      <c r="K620" s="1074"/>
      <c r="L620" s="1074"/>
      <c r="M620" s="1074"/>
      <c r="N620" s="1074"/>
      <c r="O620" s="1074"/>
      <c r="P620" s="1074"/>
      <c r="Q620" s="1074"/>
      <c r="R620" s="1074"/>
      <c r="S620" s="1074"/>
      <c r="T620" s="1074"/>
      <c r="U620" s="1074"/>
      <c r="V620" s="1074"/>
      <c r="W620" s="1074"/>
      <c r="X620" s="1074"/>
      <c r="Y620" s="1074"/>
      <c r="Z620" s="1074"/>
      <c r="AA620" s="1074"/>
      <c r="AB620" s="1074"/>
      <c r="AC620" s="1074"/>
      <c r="AD620" s="1074"/>
      <c r="AE620" s="1074"/>
      <c r="AF620" s="1074"/>
      <c r="AG620" s="1074"/>
      <c r="AH620" s="1074"/>
      <c r="AI620" s="1074"/>
      <c r="AJ620" s="1074"/>
      <c r="AK620" s="1074"/>
      <c r="AL620" s="1074"/>
      <c r="AM620" s="1074"/>
      <c r="AN620" s="1074"/>
      <c r="AO620" s="1074"/>
      <c r="AP620" s="1074"/>
      <c r="AQ620" s="1074"/>
      <c r="AR620" s="1074"/>
      <c r="AS620" s="1074"/>
      <c r="AT620" s="1075"/>
    </row>
    <row r="621" ht="14.25" customHeight="1">
      <c r="A621" s="1116"/>
      <c r="B621" s="1120"/>
      <c r="C621" s="1100"/>
      <c r="D621" s="1100"/>
      <c r="E621" s="1100"/>
      <c r="F621" s="1100"/>
      <c r="G621" s="1100"/>
      <c r="H621" s="1100"/>
      <c r="I621" s="1100"/>
      <c r="J621" s="1100"/>
      <c r="K621" s="1074"/>
      <c r="L621" s="1074"/>
      <c r="M621" s="1074"/>
      <c r="N621" s="1074"/>
      <c r="O621" s="1074"/>
      <c r="P621" s="1074"/>
      <c r="Q621" s="1074"/>
      <c r="R621" s="1074"/>
      <c r="S621" s="1074"/>
      <c r="T621" s="1074"/>
      <c r="U621" s="1074"/>
      <c r="V621" s="1074"/>
      <c r="W621" s="1074"/>
      <c r="X621" s="1074"/>
      <c r="Y621" s="1074"/>
      <c r="Z621" s="1074"/>
      <c r="AA621" s="1074"/>
      <c r="AB621" s="1074"/>
      <c r="AC621" s="1074"/>
      <c r="AD621" s="1074"/>
      <c r="AE621" s="1074"/>
      <c r="AF621" s="1074"/>
      <c r="AG621" s="1074"/>
      <c r="AH621" s="1074"/>
      <c r="AI621" s="1074"/>
      <c r="AJ621" s="1074"/>
      <c r="AK621" s="1074"/>
      <c r="AL621" s="1074"/>
      <c r="AM621" s="1074"/>
      <c r="AN621" s="1074"/>
      <c r="AO621" s="1074"/>
      <c r="AP621" s="1074"/>
      <c r="AQ621" s="1074"/>
      <c r="AR621" s="1074"/>
      <c r="AS621" s="1074"/>
      <c r="AT621" s="1075"/>
    </row>
    <row r="622" ht="14.25" customHeight="1">
      <c r="A622" s="1116"/>
      <c r="B622" s="1120"/>
      <c r="C622" s="1100"/>
      <c r="D622" s="1100"/>
      <c r="E622" s="1100"/>
      <c r="F622" s="1100"/>
      <c r="G622" s="1100"/>
      <c r="H622" s="1100"/>
      <c r="I622" s="1100"/>
      <c r="J622" s="1100"/>
      <c r="K622" s="1074"/>
      <c r="L622" s="1074"/>
      <c r="M622" s="1074"/>
      <c r="N622" s="1074"/>
      <c r="O622" s="1074"/>
      <c r="P622" s="1074"/>
      <c r="Q622" s="1074"/>
      <c r="R622" s="1074"/>
      <c r="S622" s="1074"/>
      <c r="T622" s="1074"/>
      <c r="U622" s="1074"/>
      <c r="V622" s="1074"/>
      <c r="W622" s="1074"/>
      <c r="X622" s="1074"/>
      <c r="Y622" s="1074"/>
      <c r="Z622" s="1074"/>
      <c r="AA622" s="1074"/>
      <c r="AB622" s="1074"/>
      <c r="AC622" s="1074"/>
      <c r="AD622" s="1074"/>
      <c r="AE622" s="1074"/>
      <c r="AF622" s="1074"/>
      <c r="AG622" s="1074"/>
      <c r="AH622" s="1074"/>
      <c r="AI622" s="1074"/>
      <c r="AJ622" s="1074"/>
      <c r="AK622" s="1074"/>
      <c r="AL622" s="1074"/>
      <c r="AM622" s="1074"/>
      <c r="AN622" s="1074"/>
      <c r="AO622" s="1074"/>
      <c r="AP622" s="1074"/>
      <c r="AQ622" s="1074"/>
      <c r="AR622" s="1074"/>
      <c r="AS622" s="1074"/>
      <c r="AT622" s="1075"/>
    </row>
    <row r="623" ht="14.25" customHeight="1">
      <c r="A623" s="1116"/>
      <c r="B623" s="1120"/>
      <c r="C623" s="1100"/>
      <c r="D623" s="1100"/>
      <c r="E623" s="1100"/>
      <c r="F623" s="1100"/>
      <c r="G623" s="1100"/>
      <c r="H623" s="1100"/>
      <c r="I623" s="1100"/>
      <c r="J623" s="1100"/>
      <c r="K623" s="1074"/>
      <c r="L623" s="1074"/>
      <c r="M623" s="1074"/>
      <c r="N623" s="1074"/>
      <c r="O623" s="1074"/>
      <c r="P623" s="1074"/>
      <c r="Q623" s="1074"/>
      <c r="R623" s="1074"/>
      <c r="S623" s="1074"/>
      <c r="T623" s="1074"/>
      <c r="U623" s="1074"/>
      <c r="V623" s="1074"/>
      <c r="W623" s="1074"/>
      <c r="X623" s="1074"/>
      <c r="Y623" s="1074"/>
      <c r="Z623" s="1074"/>
      <c r="AA623" s="1074"/>
      <c r="AB623" s="1074"/>
      <c r="AC623" s="1074"/>
      <c r="AD623" s="1074"/>
      <c r="AE623" s="1074"/>
      <c r="AF623" s="1074"/>
      <c r="AG623" s="1074"/>
      <c r="AH623" s="1074"/>
      <c r="AI623" s="1074"/>
      <c r="AJ623" s="1074"/>
      <c r="AK623" s="1074"/>
      <c r="AL623" s="1074"/>
      <c r="AM623" s="1074"/>
      <c r="AN623" s="1074"/>
      <c r="AO623" s="1074"/>
      <c r="AP623" s="1074"/>
      <c r="AQ623" s="1074"/>
      <c r="AR623" s="1074"/>
      <c r="AS623" s="1074"/>
      <c r="AT623" s="1075"/>
    </row>
    <row r="624" ht="14.25" customHeight="1">
      <c r="A624" s="1116"/>
      <c r="B624" s="1120"/>
      <c r="C624" s="1100"/>
      <c r="D624" s="1100"/>
      <c r="E624" s="1100"/>
      <c r="F624" s="1100"/>
      <c r="G624" s="1100"/>
      <c r="H624" s="1100"/>
      <c r="I624" s="1100"/>
      <c r="J624" s="1100"/>
      <c r="K624" s="1074"/>
      <c r="L624" s="1074"/>
      <c r="M624" s="1074"/>
      <c r="N624" s="1074"/>
      <c r="O624" s="1074"/>
      <c r="P624" s="1074"/>
      <c r="Q624" s="1074"/>
      <c r="R624" s="1074"/>
      <c r="S624" s="1074"/>
      <c r="T624" s="1074"/>
      <c r="U624" s="1074"/>
      <c r="V624" s="1074"/>
      <c r="W624" s="1074"/>
      <c r="X624" s="1074"/>
      <c r="Y624" s="1074"/>
      <c r="Z624" s="1074"/>
      <c r="AA624" s="1074"/>
      <c r="AB624" s="1074"/>
      <c r="AC624" s="1074"/>
      <c r="AD624" s="1074"/>
      <c r="AE624" s="1074"/>
      <c r="AF624" s="1074"/>
      <c r="AG624" s="1074"/>
      <c r="AH624" s="1074"/>
      <c r="AI624" s="1074"/>
      <c r="AJ624" s="1074"/>
      <c r="AK624" s="1074"/>
      <c r="AL624" s="1074"/>
      <c r="AM624" s="1074"/>
      <c r="AN624" s="1074"/>
      <c r="AO624" s="1074"/>
      <c r="AP624" s="1074"/>
      <c r="AQ624" s="1074"/>
      <c r="AR624" s="1074"/>
      <c r="AS624" s="1074"/>
      <c r="AT624" s="1075"/>
    </row>
    <row r="625" ht="14.25" customHeight="1">
      <c r="A625" s="1116"/>
      <c r="B625" s="1120"/>
      <c r="C625" s="1100"/>
      <c r="D625" s="1100"/>
      <c r="E625" s="1100"/>
      <c r="F625" s="1100"/>
      <c r="G625" s="1100"/>
      <c r="H625" s="1100"/>
      <c r="I625" s="1100"/>
      <c r="J625" s="1100"/>
      <c r="K625" s="1074"/>
      <c r="L625" s="1074"/>
      <c r="M625" s="1074"/>
      <c r="N625" s="1074"/>
      <c r="O625" s="1074"/>
      <c r="P625" s="1074"/>
      <c r="Q625" s="1074"/>
      <c r="R625" s="1074"/>
      <c r="S625" s="1074"/>
      <c r="T625" s="1074"/>
      <c r="U625" s="1074"/>
      <c r="V625" s="1074"/>
      <c r="W625" s="1074"/>
      <c r="X625" s="1074"/>
      <c r="Y625" s="1074"/>
      <c r="Z625" s="1074"/>
      <c r="AA625" s="1074"/>
      <c r="AB625" s="1074"/>
      <c r="AC625" s="1074"/>
      <c r="AD625" s="1074"/>
      <c r="AE625" s="1074"/>
      <c r="AF625" s="1074"/>
      <c r="AG625" s="1074"/>
      <c r="AH625" s="1074"/>
      <c r="AI625" s="1074"/>
      <c r="AJ625" s="1074"/>
      <c r="AK625" s="1074"/>
      <c r="AL625" s="1074"/>
      <c r="AM625" s="1074"/>
      <c r="AN625" s="1074"/>
      <c r="AO625" s="1074"/>
      <c r="AP625" s="1074"/>
      <c r="AQ625" s="1074"/>
      <c r="AR625" s="1074"/>
      <c r="AS625" s="1074"/>
      <c r="AT625" s="1075"/>
    </row>
    <row r="626" ht="14.25" customHeight="1">
      <c r="A626" s="1116"/>
      <c r="B626" s="1120"/>
      <c r="C626" s="1100"/>
      <c r="D626" s="1100"/>
      <c r="E626" s="1100"/>
      <c r="F626" s="1100"/>
      <c r="G626" s="1100"/>
      <c r="H626" s="1100"/>
      <c r="I626" s="1100"/>
      <c r="J626" s="1100"/>
      <c r="K626" s="1074"/>
      <c r="L626" s="1074"/>
      <c r="M626" s="1074"/>
      <c r="N626" s="1074"/>
      <c r="O626" s="1074"/>
      <c r="P626" s="1074"/>
      <c r="Q626" s="1074"/>
      <c r="R626" s="1074"/>
      <c r="S626" s="1074"/>
      <c r="T626" s="1074"/>
      <c r="U626" s="1074"/>
      <c r="V626" s="1074"/>
      <c r="W626" s="1074"/>
      <c r="X626" s="1074"/>
      <c r="Y626" s="1074"/>
      <c r="Z626" s="1074"/>
      <c r="AA626" s="1074"/>
      <c r="AB626" s="1074"/>
      <c r="AC626" s="1074"/>
      <c r="AD626" s="1074"/>
      <c r="AE626" s="1074"/>
      <c r="AF626" s="1074"/>
      <c r="AG626" s="1074"/>
      <c r="AH626" s="1074"/>
      <c r="AI626" s="1074"/>
      <c r="AJ626" s="1074"/>
      <c r="AK626" s="1074"/>
      <c r="AL626" s="1074"/>
      <c r="AM626" s="1074"/>
      <c r="AN626" s="1074"/>
      <c r="AO626" s="1074"/>
      <c r="AP626" s="1074"/>
      <c r="AQ626" s="1074"/>
      <c r="AR626" s="1074"/>
      <c r="AS626" s="1074"/>
      <c r="AT626" s="1075"/>
    </row>
    <row r="627" ht="14.25" customHeight="1">
      <c r="A627" s="1116"/>
      <c r="B627" s="1120"/>
      <c r="C627" s="1100"/>
      <c r="D627" s="1100"/>
      <c r="E627" s="1100"/>
      <c r="F627" s="1100"/>
      <c r="G627" s="1100"/>
      <c r="H627" s="1100"/>
      <c r="I627" s="1100"/>
      <c r="J627" s="1100"/>
      <c r="K627" s="1074"/>
      <c r="L627" s="1074"/>
      <c r="M627" s="1074"/>
      <c r="N627" s="1074"/>
      <c r="O627" s="1074"/>
      <c r="P627" s="1074"/>
      <c r="Q627" s="1074"/>
      <c r="R627" s="1074"/>
      <c r="S627" s="1074"/>
      <c r="T627" s="1074"/>
      <c r="U627" s="1074"/>
      <c r="V627" s="1074"/>
      <c r="W627" s="1074"/>
      <c r="X627" s="1074"/>
      <c r="Y627" s="1074"/>
      <c r="Z627" s="1074"/>
      <c r="AA627" s="1074"/>
      <c r="AB627" s="1074"/>
      <c r="AC627" s="1074"/>
      <c r="AD627" s="1074"/>
      <c r="AE627" s="1074"/>
      <c r="AF627" s="1074"/>
      <c r="AG627" s="1074"/>
      <c r="AH627" s="1074"/>
      <c r="AI627" s="1074"/>
      <c r="AJ627" s="1074"/>
      <c r="AK627" s="1074"/>
      <c r="AL627" s="1074"/>
      <c r="AM627" s="1074"/>
      <c r="AN627" s="1074"/>
      <c r="AO627" s="1074"/>
      <c r="AP627" s="1074"/>
      <c r="AQ627" s="1074"/>
      <c r="AR627" s="1074"/>
      <c r="AS627" s="1074"/>
      <c r="AT627" s="1075"/>
    </row>
    <row r="628" ht="14.25" customHeight="1">
      <c r="A628" s="1116"/>
      <c r="B628" s="1120"/>
      <c r="C628" s="1100"/>
      <c r="D628" s="1100"/>
      <c r="E628" s="1100"/>
      <c r="F628" s="1100"/>
      <c r="G628" s="1100"/>
      <c r="H628" s="1100"/>
      <c r="I628" s="1100"/>
      <c r="J628" s="1100"/>
      <c r="K628" s="1074"/>
      <c r="L628" s="1074"/>
      <c r="M628" s="1074"/>
      <c r="N628" s="1074"/>
      <c r="O628" s="1074"/>
      <c r="P628" s="1074"/>
      <c r="Q628" s="1074"/>
      <c r="R628" s="1074"/>
      <c r="S628" s="1074"/>
      <c r="T628" s="1074"/>
      <c r="U628" s="1074"/>
      <c r="V628" s="1074"/>
      <c r="W628" s="1074"/>
      <c r="X628" s="1074"/>
      <c r="Y628" s="1074"/>
      <c r="Z628" s="1074"/>
      <c r="AA628" s="1074"/>
      <c r="AB628" s="1074"/>
      <c r="AC628" s="1074"/>
      <c r="AD628" s="1074"/>
      <c r="AE628" s="1074"/>
      <c r="AF628" s="1074"/>
      <c r="AG628" s="1074"/>
      <c r="AH628" s="1074"/>
      <c r="AI628" s="1074"/>
      <c r="AJ628" s="1074"/>
      <c r="AK628" s="1074"/>
      <c r="AL628" s="1074"/>
      <c r="AM628" s="1074"/>
      <c r="AN628" s="1074"/>
      <c r="AO628" s="1074"/>
      <c r="AP628" s="1074"/>
      <c r="AQ628" s="1074"/>
      <c r="AR628" s="1074"/>
      <c r="AS628" s="1074"/>
      <c r="AT628" s="1075"/>
    </row>
    <row r="629" ht="14.25" customHeight="1">
      <c r="A629" s="1116"/>
      <c r="B629" s="1120"/>
      <c r="C629" s="1100"/>
      <c r="D629" s="1100"/>
      <c r="E629" s="1100"/>
      <c r="F629" s="1100"/>
      <c r="G629" s="1100"/>
      <c r="H629" s="1100"/>
      <c r="I629" s="1100"/>
      <c r="J629" s="1100"/>
      <c r="K629" s="1074"/>
      <c r="L629" s="1074"/>
      <c r="M629" s="1074"/>
      <c r="N629" s="1074"/>
      <c r="O629" s="1074"/>
      <c r="P629" s="1074"/>
      <c r="Q629" s="1074"/>
      <c r="R629" s="1074"/>
      <c r="S629" s="1074"/>
      <c r="T629" s="1074"/>
      <c r="U629" s="1074"/>
      <c r="V629" s="1074"/>
      <c r="W629" s="1074"/>
      <c r="X629" s="1074"/>
      <c r="Y629" s="1074"/>
      <c r="Z629" s="1074"/>
      <c r="AA629" s="1074"/>
      <c r="AB629" s="1074"/>
      <c r="AC629" s="1074"/>
      <c r="AD629" s="1074"/>
      <c r="AE629" s="1074"/>
      <c r="AF629" s="1074"/>
      <c r="AG629" s="1074"/>
      <c r="AH629" s="1074"/>
      <c r="AI629" s="1074"/>
      <c r="AJ629" s="1074"/>
      <c r="AK629" s="1074"/>
      <c r="AL629" s="1074"/>
      <c r="AM629" s="1074"/>
      <c r="AN629" s="1074"/>
      <c r="AO629" s="1074"/>
      <c r="AP629" s="1074"/>
      <c r="AQ629" s="1074"/>
      <c r="AR629" s="1074"/>
      <c r="AS629" s="1074"/>
      <c r="AT629" s="1075"/>
    </row>
    <row r="630" ht="14.25" customHeight="1">
      <c r="A630" s="1116"/>
      <c r="B630" s="1120"/>
      <c r="C630" s="1100"/>
      <c r="D630" s="1100"/>
      <c r="E630" s="1100"/>
      <c r="F630" s="1100"/>
      <c r="G630" s="1100"/>
      <c r="H630" s="1100"/>
      <c r="I630" s="1100"/>
      <c r="J630" s="1100"/>
      <c r="K630" s="1074"/>
      <c r="L630" s="1074"/>
      <c r="M630" s="1074"/>
      <c r="N630" s="1074"/>
      <c r="O630" s="1074"/>
      <c r="P630" s="1074"/>
      <c r="Q630" s="1074"/>
      <c r="R630" s="1074"/>
      <c r="S630" s="1074"/>
      <c r="T630" s="1074"/>
      <c r="U630" s="1074"/>
      <c r="V630" s="1074"/>
      <c r="W630" s="1074"/>
      <c r="X630" s="1074"/>
      <c r="Y630" s="1074"/>
      <c r="Z630" s="1074"/>
      <c r="AA630" s="1074"/>
      <c r="AB630" s="1074"/>
      <c r="AC630" s="1074"/>
      <c r="AD630" s="1074"/>
      <c r="AE630" s="1074"/>
      <c r="AF630" s="1074"/>
      <c r="AG630" s="1074"/>
      <c r="AH630" s="1074"/>
      <c r="AI630" s="1074"/>
      <c r="AJ630" s="1074"/>
      <c r="AK630" s="1074"/>
      <c r="AL630" s="1074"/>
      <c r="AM630" s="1074"/>
      <c r="AN630" s="1074"/>
      <c r="AO630" s="1074"/>
      <c r="AP630" s="1074"/>
      <c r="AQ630" s="1074"/>
      <c r="AR630" s="1074"/>
      <c r="AS630" s="1074"/>
      <c r="AT630" s="1075"/>
    </row>
    <row r="631" ht="14.25" customHeight="1">
      <c r="A631" s="1116"/>
      <c r="B631" s="1120"/>
      <c r="C631" s="1100"/>
      <c r="D631" s="1100"/>
      <c r="E631" s="1100"/>
      <c r="F631" s="1100"/>
      <c r="G631" s="1100"/>
      <c r="H631" s="1100"/>
      <c r="I631" s="1100"/>
      <c r="J631" s="1100"/>
      <c r="K631" s="1074"/>
      <c r="L631" s="1074"/>
      <c r="M631" s="1074"/>
      <c r="N631" s="1074"/>
      <c r="O631" s="1074"/>
      <c r="P631" s="1074"/>
      <c r="Q631" s="1074"/>
      <c r="R631" s="1074"/>
      <c r="S631" s="1074"/>
      <c r="T631" s="1074"/>
      <c r="U631" s="1074"/>
      <c r="V631" s="1074"/>
      <c r="W631" s="1074"/>
      <c r="X631" s="1074"/>
      <c r="Y631" s="1074"/>
      <c r="Z631" s="1074"/>
      <c r="AA631" s="1074"/>
      <c r="AB631" s="1074"/>
      <c r="AC631" s="1074"/>
      <c r="AD631" s="1074"/>
      <c r="AE631" s="1074"/>
      <c r="AF631" s="1074"/>
      <c r="AG631" s="1074"/>
      <c r="AH631" s="1074"/>
      <c r="AI631" s="1074"/>
      <c r="AJ631" s="1074"/>
      <c r="AK631" s="1074"/>
      <c r="AL631" s="1074"/>
      <c r="AM631" s="1074"/>
      <c r="AN631" s="1074"/>
      <c r="AO631" s="1074"/>
      <c r="AP631" s="1074"/>
      <c r="AQ631" s="1074"/>
      <c r="AR631" s="1074"/>
      <c r="AS631" s="1074"/>
      <c r="AT631" s="1075"/>
    </row>
    <row r="632" ht="14.25" customHeight="1">
      <c r="A632" s="1116"/>
      <c r="B632" s="1120"/>
      <c r="C632" s="1100"/>
      <c r="D632" s="1100"/>
      <c r="E632" s="1100"/>
      <c r="F632" s="1100"/>
      <c r="G632" s="1100"/>
      <c r="H632" s="1100"/>
      <c r="I632" s="1100"/>
      <c r="J632" s="1100"/>
      <c r="K632" s="1074"/>
      <c r="L632" s="1074"/>
      <c r="M632" s="1074"/>
      <c r="N632" s="1074"/>
      <c r="O632" s="1074"/>
      <c r="P632" s="1074"/>
      <c r="Q632" s="1074"/>
      <c r="R632" s="1074"/>
      <c r="S632" s="1074"/>
      <c r="T632" s="1074"/>
      <c r="U632" s="1074"/>
      <c r="V632" s="1074"/>
      <c r="W632" s="1074"/>
      <c r="X632" s="1074"/>
      <c r="Y632" s="1074"/>
      <c r="Z632" s="1074"/>
      <c r="AA632" s="1074"/>
      <c r="AB632" s="1074"/>
      <c r="AC632" s="1074"/>
      <c r="AD632" s="1074"/>
      <c r="AE632" s="1074"/>
      <c r="AF632" s="1074"/>
      <c r="AG632" s="1074"/>
      <c r="AH632" s="1074"/>
      <c r="AI632" s="1074"/>
      <c r="AJ632" s="1074"/>
      <c r="AK632" s="1074"/>
      <c r="AL632" s="1074"/>
      <c r="AM632" s="1074"/>
      <c r="AN632" s="1074"/>
      <c r="AO632" s="1074"/>
      <c r="AP632" s="1074"/>
      <c r="AQ632" s="1074"/>
      <c r="AR632" s="1074"/>
      <c r="AS632" s="1074"/>
      <c r="AT632" s="1075"/>
    </row>
    <row r="633" ht="14.25" customHeight="1">
      <c r="A633" s="1116"/>
      <c r="B633" s="1120"/>
      <c r="C633" s="1100"/>
      <c r="D633" s="1100"/>
      <c r="E633" s="1100"/>
      <c r="F633" s="1100"/>
      <c r="G633" s="1100"/>
      <c r="H633" s="1100"/>
      <c r="I633" s="1100"/>
      <c r="J633" s="1100"/>
      <c r="K633" s="1074"/>
      <c r="L633" s="1074"/>
      <c r="M633" s="1074"/>
      <c r="N633" s="1074"/>
      <c r="O633" s="1074"/>
      <c r="P633" s="1074"/>
      <c r="Q633" s="1074"/>
      <c r="R633" s="1074"/>
      <c r="S633" s="1074"/>
      <c r="T633" s="1074"/>
      <c r="U633" s="1074"/>
      <c r="V633" s="1074"/>
      <c r="W633" s="1074"/>
      <c r="X633" s="1074"/>
      <c r="Y633" s="1074"/>
      <c r="Z633" s="1074"/>
      <c r="AA633" s="1074"/>
      <c r="AB633" s="1074"/>
      <c r="AC633" s="1074"/>
      <c r="AD633" s="1074"/>
      <c r="AE633" s="1074"/>
      <c r="AF633" s="1074"/>
      <c r="AG633" s="1074"/>
      <c r="AH633" s="1074"/>
      <c r="AI633" s="1074"/>
      <c r="AJ633" s="1074"/>
      <c r="AK633" s="1074"/>
      <c r="AL633" s="1074"/>
      <c r="AM633" s="1074"/>
      <c r="AN633" s="1074"/>
      <c r="AO633" s="1074"/>
      <c r="AP633" s="1074"/>
      <c r="AQ633" s="1074"/>
      <c r="AR633" s="1074"/>
      <c r="AS633" s="1074"/>
      <c r="AT633" s="1075"/>
    </row>
    <row r="634" ht="14.25" customHeight="1">
      <c r="A634" s="1116"/>
      <c r="B634" s="1120"/>
      <c r="C634" s="1100"/>
      <c r="D634" s="1100"/>
      <c r="E634" s="1100"/>
      <c r="F634" s="1100"/>
      <c r="G634" s="1100"/>
      <c r="H634" s="1100"/>
      <c r="I634" s="1100"/>
      <c r="J634" s="1100"/>
      <c r="K634" s="1074"/>
      <c r="L634" s="1074"/>
      <c r="M634" s="1074"/>
      <c r="N634" s="1074"/>
      <c r="O634" s="1074"/>
      <c r="P634" s="1074"/>
      <c r="Q634" s="1074"/>
      <c r="R634" s="1074"/>
      <c r="S634" s="1074"/>
      <c r="T634" s="1074"/>
      <c r="U634" s="1074"/>
      <c r="V634" s="1074"/>
      <c r="W634" s="1074"/>
      <c r="X634" s="1074"/>
      <c r="Y634" s="1074"/>
      <c r="Z634" s="1074"/>
      <c r="AA634" s="1074"/>
      <c r="AB634" s="1074"/>
      <c r="AC634" s="1074"/>
      <c r="AD634" s="1074"/>
      <c r="AE634" s="1074"/>
      <c r="AF634" s="1074"/>
      <c r="AG634" s="1074"/>
      <c r="AH634" s="1074"/>
      <c r="AI634" s="1074"/>
      <c r="AJ634" s="1074"/>
      <c r="AK634" s="1074"/>
      <c r="AL634" s="1074"/>
      <c r="AM634" s="1074"/>
      <c r="AN634" s="1074"/>
      <c r="AO634" s="1074"/>
      <c r="AP634" s="1074"/>
      <c r="AQ634" s="1074"/>
      <c r="AR634" s="1074"/>
      <c r="AS634" s="1074"/>
      <c r="AT634" s="1075"/>
    </row>
    <row r="635" ht="14.25" customHeight="1">
      <c r="A635" s="1116"/>
      <c r="B635" s="1120"/>
      <c r="C635" s="1100"/>
      <c r="D635" s="1100"/>
      <c r="E635" s="1100"/>
      <c r="F635" s="1100"/>
      <c r="G635" s="1100"/>
      <c r="H635" s="1100"/>
      <c r="I635" s="1100"/>
      <c r="J635" s="1100"/>
      <c r="K635" s="1074"/>
      <c r="L635" s="1074"/>
      <c r="M635" s="1074"/>
      <c r="N635" s="1074"/>
      <c r="O635" s="1074"/>
      <c r="P635" s="1074"/>
      <c r="Q635" s="1074"/>
      <c r="R635" s="1074"/>
      <c r="S635" s="1074"/>
      <c r="T635" s="1074"/>
      <c r="U635" s="1074"/>
      <c r="V635" s="1074"/>
      <c r="W635" s="1074"/>
      <c r="X635" s="1074"/>
      <c r="Y635" s="1074"/>
      <c r="Z635" s="1074"/>
      <c r="AA635" s="1074"/>
      <c r="AB635" s="1074"/>
      <c r="AC635" s="1074"/>
      <c r="AD635" s="1074"/>
      <c r="AE635" s="1074"/>
      <c r="AF635" s="1074"/>
      <c r="AG635" s="1074"/>
      <c r="AH635" s="1074"/>
      <c r="AI635" s="1074"/>
      <c r="AJ635" s="1074"/>
      <c r="AK635" s="1074"/>
      <c r="AL635" s="1074"/>
      <c r="AM635" s="1074"/>
      <c r="AN635" s="1074"/>
      <c r="AO635" s="1074"/>
      <c r="AP635" s="1074"/>
      <c r="AQ635" s="1074"/>
      <c r="AR635" s="1074"/>
      <c r="AS635" s="1074"/>
      <c r="AT635" s="1075"/>
    </row>
    <row r="636" ht="14.25" customHeight="1">
      <c r="A636" s="1116"/>
      <c r="B636" s="1120"/>
      <c r="C636" s="1100"/>
      <c r="D636" s="1100"/>
      <c r="E636" s="1100"/>
      <c r="F636" s="1100"/>
      <c r="G636" s="1100"/>
      <c r="H636" s="1100"/>
      <c r="I636" s="1100"/>
      <c r="J636" s="1100"/>
      <c r="K636" s="1074"/>
      <c r="L636" s="1074"/>
      <c r="M636" s="1074"/>
      <c r="N636" s="1074"/>
      <c r="O636" s="1074"/>
      <c r="P636" s="1074"/>
      <c r="Q636" s="1074"/>
      <c r="R636" s="1074"/>
      <c r="S636" s="1074"/>
      <c r="T636" s="1074"/>
      <c r="U636" s="1074"/>
      <c r="V636" s="1074"/>
      <c r="W636" s="1074"/>
      <c r="X636" s="1074"/>
      <c r="Y636" s="1074"/>
      <c r="Z636" s="1074"/>
      <c r="AA636" s="1074"/>
      <c r="AB636" s="1074"/>
      <c r="AC636" s="1074"/>
      <c r="AD636" s="1074"/>
      <c r="AE636" s="1074"/>
      <c r="AF636" s="1074"/>
      <c r="AG636" s="1074"/>
      <c r="AH636" s="1074"/>
      <c r="AI636" s="1074"/>
      <c r="AJ636" s="1074"/>
      <c r="AK636" s="1074"/>
      <c r="AL636" s="1074"/>
      <c r="AM636" s="1074"/>
      <c r="AN636" s="1074"/>
      <c r="AO636" s="1074"/>
      <c r="AP636" s="1074"/>
      <c r="AQ636" s="1074"/>
      <c r="AR636" s="1074"/>
      <c r="AS636" s="1074"/>
      <c r="AT636" s="1075"/>
    </row>
    <row r="637" ht="14.25" customHeight="1">
      <c r="A637" s="1116"/>
      <c r="B637" s="1120"/>
      <c r="C637" s="1100"/>
      <c r="D637" s="1100"/>
      <c r="E637" s="1100"/>
      <c r="F637" s="1100"/>
      <c r="G637" s="1100"/>
      <c r="H637" s="1100"/>
      <c r="I637" s="1100"/>
      <c r="J637" s="1100"/>
      <c r="K637" s="1074"/>
      <c r="L637" s="1074"/>
      <c r="M637" s="1074"/>
      <c r="N637" s="1074"/>
      <c r="O637" s="1074"/>
      <c r="P637" s="1074"/>
      <c r="Q637" s="1074"/>
      <c r="R637" s="1074"/>
      <c r="S637" s="1074"/>
      <c r="T637" s="1074"/>
      <c r="U637" s="1074"/>
      <c r="V637" s="1074"/>
      <c r="W637" s="1074"/>
      <c r="X637" s="1074"/>
      <c r="Y637" s="1074"/>
      <c r="Z637" s="1074"/>
      <c r="AA637" s="1074"/>
      <c r="AB637" s="1074"/>
      <c r="AC637" s="1074"/>
      <c r="AD637" s="1074"/>
      <c r="AE637" s="1074"/>
      <c r="AF637" s="1074"/>
      <c r="AG637" s="1074"/>
      <c r="AH637" s="1074"/>
      <c r="AI637" s="1074"/>
      <c r="AJ637" s="1074"/>
      <c r="AK637" s="1074"/>
      <c r="AL637" s="1074"/>
      <c r="AM637" s="1074"/>
      <c r="AN637" s="1074"/>
      <c r="AO637" s="1074"/>
      <c r="AP637" s="1074"/>
      <c r="AQ637" s="1074"/>
      <c r="AR637" s="1074"/>
      <c r="AS637" s="1074"/>
      <c r="AT637" s="1075"/>
    </row>
    <row r="638" ht="14.25" customHeight="1">
      <c r="A638" s="1116"/>
      <c r="B638" s="1120"/>
      <c r="C638" s="1100"/>
      <c r="D638" s="1100"/>
      <c r="E638" s="1100"/>
      <c r="F638" s="1100"/>
      <c r="G638" s="1100"/>
      <c r="H638" s="1100"/>
      <c r="I638" s="1100"/>
      <c r="J638" s="1100"/>
      <c r="K638" s="1074"/>
      <c r="L638" s="1074"/>
      <c r="M638" s="1074"/>
      <c r="N638" s="1074"/>
      <c r="O638" s="1074"/>
      <c r="P638" s="1074"/>
      <c r="Q638" s="1074"/>
      <c r="R638" s="1074"/>
      <c r="S638" s="1074"/>
      <c r="T638" s="1074"/>
      <c r="U638" s="1074"/>
      <c r="V638" s="1074"/>
      <c r="W638" s="1074"/>
      <c r="X638" s="1074"/>
      <c r="Y638" s="1074"/>
      <c r="Z638" s="1074"/>
      <c r="AA638" s="1074"/>
      <c r="AB638" s="1074"/>
      <c r="AC638" s="1074"/>
      <c r="AD638" s="1074"/>
      <c r="AE638" s="1074"/>
      <c r="AF638" s="1074"/>
      <c r="AG638" s="1074"/>
      <c r="AH638" s="1074"/>
      <c r="AI638" s="1074"/>
      <c r="AJ638" s="1074"/>
      <c r="AK638" s="1074"/>
      <c r="AL638" s="1074"/>
      <c r="AM638" s="1074"/>
      <c r="AN638" s="1074"/>
      <c r="AO638" s="1074"/>
      <c r="AP638" s="1074"/>
      <c r="AQ638" s="1074"/>
      <c r="AR638" s="1074"/>
      <c r="AS638" s="1074"/>
      <c r="AT638" s="1075"/>
    </row>
    <row r="639" ht="14.25" customHeight="1">
      <c r="A639" s="1116"/>
      <c r="B639" s="1120"/>
      <c r="C639" s="1100"/>
      <c r="D639" s="1100"/>
      <c r="E639" s="1100"/>
      <c r="F639" s="1100"/>
      <c r="G639" s="1100"/>
      <c r="H639" s="1100"/>
      <c r="I639" s="1100"/>
      <c r="J639" s="1100"/>
      <c r="K639" s="1074"/>
      <c r="L639" s="1074"/>
      <c r="M639" s="1074"/>
      <c r="N639" s="1074"/>
      <c r="O639" s="1074"/>
      <c r="P639" s="1074"/>
      <c r="Q639" s="1074"/>
      <c r="R639" s="1074"/>
      <c r="S639" s="1074"/>
      <c r="T639" s="1074"/>
      <c r="U639" s="1074"/>
      <c r="V639" s="1074"/>
      <c r="W639" s="1074"/>
      <c r="X639" s="1074"/>
      <c r="Y639" s="1074"/>
      <c r="Z639" s="1074"/>
      <c r="AA639" s="1074"/>
      <c r="AB639" s="1074"/>
      <c r="AC639" s="1074"/>
      <c r="AD639" s="1074"/>
      <c r="AE639" s="1074"/>
      <c r="AF639" s="1074"/>
      <c r="AG639" s="1074"/>
      <c r="AH639" s="1074"/>
      <c r="AI639" s="1074"/>
      <c r="AJ639" s="1074"/>
      <c r="AK639" s="1074"/>
      <c r="AL639" s="1074"/>
      <c r="AM639" s="1074"/>
      <c r="AN639" s="1074"/>
      <c r="AO639" s="1074"/>
      <c r="AP639" s="1074"/>
      <c r="AQ639" s="1074"/>
      <c r="AR639" s="1074"/>
      <c r="AS639" s="1074"/>
      <c r="AT639" s="1075"/>
    </row>
    <row r="640" ht="14.25" customHeight="1">
      <c r="A640" s="1116"/>
      <c r="B640" s="1120"/>
      <c r="C640" s="1100"/>
      <c r="D640" s="1100"/>
      <c r="E640" s="1100"/>
      <c r="F640" s="1100"/>
      <c r="G640" s="1100"/>
      <c r="H640" s="1100"/>
      <c r="I640" s="1100"/>
      <c r="J640" s="1100"/>
      <c r="K640" s="1074"/>
      <c r="L640" s="1074"/>
      <c r="M640" s="1074"/>
      <c r="N640" s="1074"/>
      <c r="O640" s="1074"/>
      <c r="P640" s="1074"/>
      <c r="Q640" s="1074"/>
      <c r="R640" s="1074"/>
      <c r="S640" s="1074"/>
      <c r="T640" s="1074"/>
      <c r="U640" s="1074"/>
      <c r="V640" s="1074"/>
      <c r="W640" s="1074"/>
      <c r="X640" s="1074"/>
      <c r="Y640" s="1074"/>
      <c r="Z640" s="1074"/>
      <c r="AA640" s="1074"/>
      <c r="AB640" s="1074"/>
      <c r="AC640" s="1074"/>
      <c r="AD640" s="1074"/>
      <c r="AE640" s="1074"/>
      <c r="AF640" s="1074"/>
      <c r="AG640" s="1074"/>
      <c r="AH640" s="1074"/>
      <c r="AI640" s="1074"/>
      <c r="AJ640" s="1074"/>
      <c r="AK640" s="1074"/>
      <c r="AL640" s="1074"/>
      <c r="AM640" s="1074"/>
      <c r="AN640" s="1074"/>
      <c r="AO640" s="1074"/>
      <c r="AP640" s="1074"/>
      <c r="AQ640" s="1074"/>
      <c r="AR640" s="1074"/>
      <c r="AS640" s="1074"/>
      <c r="AT640" s="1075"/>
    </row>
    <row r="641" ht="14.25" customHeight="1">
      <c r="A641" s="1116"/>
      <c r="B641" s="1120"/>
      <c r="C641" s="1100"/>
      <c r="D641" s="1100"/>
      <c r="E641" s="1100"/>
      <c r="F641" s="1100"/>
      <c r="G641" s="1100"/>
      <c r="H641" s="1100"/>
      <c r="I641" s="1100"/>
      <c r="J641" s="1100"/>
      <c r="K641" s="1074"/>
      <c r="L641" s="1074"/>
      <c r="M641" s="1074"/>
      <c r="N641" s="1074"/>
      <c r="O641" s="1074"/>
      <c r="P641" s="1074"/>
      <c r="Q641" s="1074"/>
      <c r="R641" s="1074"/>
      <c r="S641" s="1074"/>
      <c r="T641" s="1074"/>
      <c r="U641" s="1074"/>
      <c r="V641" s="1074"/>
      <c r="W641" s="1074"/>
      <c r="X641" s="1074"/>
      <c r="Y641" s="1074"/>
      <c r="Z641" s="1074"/>
      <c r="AA641" s="1074"/>
      <c r="AB641" s="1074"/>
      <c r="AC641" s="1074"/>
      <c r="AD641" s="1074"/>
      <c r="AE641" s="1074"/>
      <c r="AF641" s="1074"/>
      <c r="AG641" s="1074"/>
      <c r="AH641" s="1074"/>
      <c r="AI641" s="1074"/>
      <c r="AJ641" s="1074"/>
      <c r="AK641" s="1074"/>
      <c r="AL641" s="1074"/>
      <c r="AM641" s="1074"/>
      <c r="AN641" s="1074"/>
      <c r="AO641" s="1074"/>
      <c r="AP641" s="1074"/>
      <c r="AQ641" s="1074"/>
      <c r="AR641" s="1074"/>
      <c r="AS641" s="1074"/>
      <c r="AT641" s="1075"/>
    </row>
    <row r="642" ht="14.25" customHeight="1">
      <c r="A642" s="1116"/>
      <c r="B642" s="1120"/>
      <c r="C642" s="1100"/>
      <c r="D642" s="1100"/>
      <c r="E642" s="1100"/>
      <c r="F642" s="1100"/>
      <c r="G642" s="1100"/>
      <c r="H642" s="1100"/>
      <c r="I642" s="1100"/>
      <c r="J642" s="1100"/>
      <c r="K642" s="1074"/>
      <c r="L642" s="1074"/>
      <c r="M642" s="1074"/>
      <c r="N642" s="1074"/>
      <c r="O642" s="1074"/>
      <c r="P642" s="1074"/>
      <c r="Q642" s="1074"/>
      <c r="R642" s="1074"/>
      <c r="S642" s="1074"/>
      <c r="T642" s="1074"/>
      <c r="U642" s="1074"/>
      <c r="V642" s="1074"/>
      <c r="W642" s="1074"/>
      <c r="X642" s="1074"/>
      <c r="Y642" s="1074"/>
      <c r="Z642" s="1074"/>
      <c r="AA642" s="1074"/>
      <c r="AB642" s="1074"/>
      <c r="AC642" s="1074"/>
      <c r="AD642" s="1074"/>
      <c r="AE642" s="1074"/>
      <c r="AF642" s="1074"/>
      <c r="AG642" s="1074"/>
      <c r="AH642" s="1074"/>
      <c r="AI642" s="1074"/>
      <c r="AJ642" s="1074"/>
      <c r="AK642" s="1074"/>
      <c r="AL642" s="1074"/>
      <c r="AM642" s="1074"/>
      <c r="AN642" s="1074"/>
      <c r="AO642" s="1074"/>
      <c r="AP642" s="1074"/>
      <c r="AQ642" s="1074"/>
      <c r="AR642" s="1074"/>
      <c r="AS642" s="1074"/>
      <c r="AT642" s="1075"/>
    </row>
    <row r="643" ht="14.25" customHeight="1">
      <c r="A643" s="1116"/>
      <c r="B643" s="1120"/>
      <c r="C643" s="1100"/>
      <c r="D643" s="1100"/>
      <c r="E643" s="1100"/>
      <c r="F643" s="1100"/>
      <c r="G643" s="1100"/>
      <c r="H643" s="1100"/>
      <c r="I643" s="1100"/>
      <c r="J643" s="1100"/>
      <c r="K643" s="1074"/>
      <c r="L643" s="1074"/>
      <c r="M643" s="1074"/>
      <c r="N643" s="1074"/>
      <c r="O643" s="1074"/>
      <c r="P643" s="1074"/>
      <c r="Q643" s="1074"/>
      <c r="R643" s="1074"/>
      <c r="S643" s="1074"/>
      <c r="T643" s="1074"/>
      <c r="U643" s="1074"/>
      <c r="V643" s="1074"/>
      <c r="W643" s="1074"/>
      <c r="X643" s="1074"/>
      <c r="Y643" s="1074"/>
      <c r="Z643" s="1074"/>
      <c r="AA643" s="1074"/>
      <c r="AB643" s="1074"/>
      <c r="AC643" s="1074"/>
      <c r="AD643" s="1074"/>
      <c r="AE643" s="1074"/>
      <c r="AF643" s="1074"/>
      <c r="AG643" s="1074"/>
      <c r="AH643" s="1074"/>
      <c r="AI643" s="1074"/>
      <c r="AJ643" s="1074"/>
      <c r="AK643" s="1074"/>
      <c r="AL643" s="1074"/>
      <c r="AM643" s="1074"/>
      <c r="AN643" s="1074"/>
      <c r="AO643" s="1074"/>
      <c r="AP643" s="1074"/>
      <c r="AQ643" s="1074"/>
      <c r="AR643" s="1074"/>
      <c r="AS643" s="1074"/>
      <c r="AT643" s="1075"/>
    </row>
    <row r="644" ht="14.25" customHeight="1">
      <c r="A644" s="1116"/>
      <c r="B644" s="1120"/>
      <c r="C644" s="1100"/>
      <c r="D644" s="1100"/>
      <c r="E644" s="1100"/>
      <c r="F644" s="1100"/>
      <c r="G644" s="1100"/>
      <c r="H644" s="1100"/>
      <c r="I644" s="1100"/>
      <c r="J644" s="1100"/>
      <c r="K644" s="1074"/>
      <c r="L644" s="1074"/>
      <c r="M644" s="1074"/>
      <c r="N644" s="1074"/>
      <c r="O644" s="1074"/>
      <c r="P644" s="1074"/>
      <c r="Q644" s="1074"/>
      <c r="R644" s="1074"/>
      <c r="S644" s="1074"/>
      <c r="T644" s="1074"/>
      <c r="U644" s="1074"/>
      <c r="V644" s="1074"/>
      <c r="W644" s="1074"/>
      <c r="X644" s="1074"/>
      <c r="Y644" s="1074"/>
      <c r="Z644" s="1074"/>
      <c r="AA644" s="1074"/>
      <c r="AB644" s="1074"/>
      <c r="AC644" s="1074"/>
      <c r="AD644" s="1074"/>
      <c r="AE644" s="1074"/>
      <c r="AF644" s="1074"/>
      <c r="AG644" s="1074"/>
      <c r="AH644" s="1074"/>
      <c r="AI644" s="1074"/>
      <c r="AJ644" s="1074"/>
      <c r="AK644" s="1074"/>
      <c r="AL644" s="1074"/>
      <c r="AM644" s="1074"/>
      <c r="AN644" s="1074"/>
      <c r="AO644" s="1074"/>
      <c r="AP644" s="1074"/>
      <c r="AQ644" s="1074"/>
      <c r="AR644" s="1074"/>
      <c r="AS644" s="1074"/>
      <c r="AT644" s="1075"/>
    </row>
    <row r="645" ht="14.25" customHeight="1">
      <c r="A645" s="1116"/>
      <c r="B645" s="1120"/>
      <c r="C645" s="1100"/>
      <c r="D645" s="1100"/>
      <c r="E645" s="1100"/>
      <c r="F645" s="1100"/>
      <c r="G645" s="1100"/>
      <c r="H645" s="1100"/>
      <c r="I645" s="1100"/>
      <c r="J645" s="1100"/>
      <c r="K645" s="1074"/>
      <c r="L645" s="1074"/>
      <c r="M645" s="1074"/>
      <c r="N645" s="1074"/>
      <c r="O645" s="1074"/>
      <c r="P645" s="1074"/>
      <c r="Q645" s="1074"/>
      <c r="R645" s="1074"/>
      <c r="S645" s="1074"/>
      <c r="T645" s="1074"/>
      <c r="U645" s="1074"/>
      <c r="V645" s="1074"/>
      <c r="W645" s="1074"/>
      <c r="X645" s="1074"/>
      <c r="Y645" s="1074"/>
      <c r="Z645" s="1074"/>
      <c r="AA645" s="1074"/>
      <c r="AB645" s="1074"/>
      <c r="AC645" s="1074"/>
      <c r="AD645" s="1074"/>
      <c r="AE645" s="1074"/>
      <c r="AF645" s="1074"/>
      <c r="AG645" s="1074"/>
      <c r="AH645" s="1074"/>
      <c r="AI645" s="1074"/>
      <c r="AJ645" s="1074"/>
      <c r="AK645" s="1074"/>
      <c r="AL645" s="1074"/>
      <c r="AM645" s="1074"/>
      <c r="AN645" s="1074"/>
      <c r="AO645" s="1074"/>
      <c r="AP645" s="1074"/>
      <c r="AQ645" s="1074"/>
      <c r="AR645" s="1074"/>
      <c r="AS645" s="1074"/>
      <c r="AT645" s="1075"/>
    </row>
    <row r="646" ht="14.25" customHeight="1">
      <c r="A646" s="1116"/>
      <c r="B646" s="1120"/>
      <c r="C646" s="1100"/>
      <c r="D646" s="1100"/>
      <c r="E646" s="1100"/>
      <c r="F646" s="1100"/>
      <c r="G646" s="1100"/>
      <c r="H646" s="1100"/>
      <c r="I646" s="1100"/>
      <c r="J646" s="1100"/>
      <c r="K646" s="1074"/>
      <c r="L646" s="1074"/>
      <c r="M646" s="1074"/>
      <c r="N646" s="1074"/>
      <c r="O646" s="1074"/>
      <c r="P646" s="1074"/>
      <c r="Q646" s="1074"/>
      <c r="R646" s="1074"/>
      <c r="S646" s="1074"/>
      <c r="T646" s="1074"/>
      <c r="U646" s="1074"/>
      <c r="V646" s="1074"/>
      <c r="W646" s="1074"/>
      <c r="X646" s="1074"/>
      <c r="Y646" s="1074"/>
      <c r="Z646" s="1074"/>
      <c r="AA646" s="1074"/>
      <c r="AB646" s="1074"/>
      <c r="AC646" s="1074"/>
      <c r="AD646" s="1074"/>
      <c r="AE646" s="1074"/>
      <c r="AF646" s="1074"/>
      <c r="AG646" s="1074"/>
      <c r="AH646" s="1074"/>
      <c r="AI646" s="1074"/>
      <c r="AJ646" s="1074"/>
      <c r="AK646" s="1074"/>
      <c r="AL646" s="1074"/>
      <c r="AM646" s="1074"/>
      <c r="AN646" s="1074"/>
      <c r="AO646" s="1074"/>
      <c r="AP646" s="1074"/>
      <c r="AQ646" s="1074"/>
      <c r="AR646" s="1074"/>
      <c r="AS646" s="1074"/>
      <c r="AT646" s="1075"/>
    </row>
    <row r="647" ht="14.25" customHeight="1">
      <c r="A647" s="1116"/>
      <c r="B647" s="1120"/>
      <c r="C647" s="1100"/>
      <c r="D647" s="1100"/>
      <c r="E647" s="1100"/>
      <c r="F647" s="1100"/>
      <c r="G647" s="1100"/>
      <c r="H647" s="1100"/>
      <c r="I647" s="1100"/>
      <c r="J647" s="1100"/>
      <c r="K647" s="1074"/>
      <c r="L647" s="1074"/>
      <c r="M647" s="1074"/>
      <c r="N647" s="1074"/>
      <c r="O647" s="1074"/>
      <c r="P647" s="1074"/>
      <c r="Q647" s="1074"/>
      <c r="R647" s="1074"/>
      <c r="S647" s="1074"/>
      <c r="T647" s="1074"/>
      <c r="U647" s="1074"/>
      <c r="V647" s="1074"/>
      <c r="W647" s="1074"/>
      <c r="X647" s="1074"/>
      <c r="Y647" s="1074"/>
      <c r="Z647" s="1074"/>
      <c r="AA647" s="1074"/>
      <c r="AB647" s="1074"/>
      <c r="AC647" s="1074"/>
      <c r="AD647" s="1074"/>
      <c r="AE647" s="1074"/>
      <c r="AF647" s="1074"/>
      <c r="AG647" s="1074"/>
      <c r="AH647" s="1074"/>
      <c r="AI647" s="1074"/>
      <c r="AJ647" s="1074"/>
      <c r="AK647" s="1074"/>
      <c r="AL647" s="1074"/>
      <c r="AM647" s="1074"/>
      <c r="AN647" s="1074"/>
      <c r="AO647" s="1074"/>
      <c r="AP647" s="1074"/>
      <c r="AQ647" s="1074"/>
      <c r="AR647" s="1074"/>
      <c r="AS647" s="1074"/>
      <c r="AT647" s="1075"/>
    </row>
    <row r="648" ht="14.25" customHeight="1">
      <c r="A648" s="1116"/>
      <c r="B648" s="1120"/>
      <c r="C648" s="1100"/>
      <c r="D648" s="1100"/>
      <c r="E648" s="1100"/>
      <c r="F648" s="1100"/>
      <c r="G648" s="1100"/>
      <c r="H648" s="1100"/>
      <c r="I648" s="1100"/>
      <c r="J648" s="1100"/>
      <c r="K648" s="1074"/>
      <c r="L648" s="1074"/>
      <c r="M648" s="1074"/>
      <c r="N648" s="1074"/>
      <c r="O648" s="1074"/>
      <c r="P648" s="1074"/>
      <c r="Q648" s="1074"/>
      <c r="R648" s="1074"/>
      <c r="S648" s="1074"/>
      <c r="T648" s="1074"/>
      <c r="U648" s="1074"/>
      <c r="V648" s="1074"/>
      <c r="W648" s="1074"/>
      <c r="X648" s="1074"/>
      <c r="Y648" s="1074"/>
      <c r="Z648" s="1074"/>
      <c r="AA648" s="1074"/>
      <c r="AB648" s="1074"/>
      <c r="AC648" s="1074"/>
      <c r="AD648" s="1074"/>
      <c r="AE648" s="1074"/>
      <c r="AF648" s="1074"/>
      <c r="AG648" s="1074"/>
      <c r="AH648" s="1074"/>
      <c r="AI648" s="1074"/>
      <c r="AJ648" s="1074"/>
      <c r="AK648" s="1074"/>
      <c r="AL648" s="1074"/>
      <c r="AM648" s="1074"/>
      <c r="AN648" s="1074"/>
      <c r="AO648" s="1074"/>
      <c r="AP648" s="1074"/>
      <c r="AQ648" s="1074"/>
      <c r="AR648" s="1074"/>
      <c r="AS648" s="1074"/>
      <c r="AT648" s="1075"/>
    </row>
    <row r="649" ht="14.25" customHeight="1">
      <c r="A649" s="1116"/>
      <c r="B649" s="1120"/>
      <c r="C649" s="1100"/>
      <c r="D649" s="1100"/>
      <c r="E649" s="1100"/>
      <c r="F649" s="1100"/>
      <c r="G649" s="1100"/>
      <c r="H649" s="1100"/>
      <c r="I649" s="1100"/>
      <c r="J649" s="1100"/>
      <c r="K649" s="1074"/>
      <c r="L649" s="1074"/>
      <c r="M649" s="1074"/>
      <c r="N649" s="1074"/>
      <c r="O649" s="1074"/>
      <c r="P649" s="1074"/>
      <c r="Q649" s="1074"/>
      <c r="R649" s="1074"/>
      <c r="S649" s="1074"/>
      <c r="T649" s="1074"/>
      <c r="U649" s="1074"/>
      <c r="V649" s="1074"/>
      <c r="W649" s="1074"/>
      <c r="X649" s="1074"/>
      <c r="Y649" s="1074"/>
      <c r="Z649" s="1074"/>
      <c r="AA649" s="1074"/>
      <c r="AB649" s="1074"/>
      <c r="AC649" s="1074"/>
      <c r="AD649" s="1074"/>
      <c r="AE649" s="1074"/>
      <c r="AF649" s="1074"/>
      <c r="AG649" s="1074"/>
      <c r="AH649" s="1074"/>
      <c r="AI649" s="1074"/>
      <c r="AJ649" s="1074"/>
      <c r="AK649" s="1074"/>
      <c r="AL649" s="1074"/>
      <c r="AM649" s="1074"/>
      <c r="AN649" s="1074"/>
      <c r="AO649" s="1074"/>
      <c r="AP649" s="1074"/>
      <c r="AQ649" s="1074"/>
      <c r="AR649" s="1074"/>
      <c r="AS649" s="1074"/>
      <c r="AT649" s="1075"/>
    </row>
    <row r="650" ht="14.25" customHeight="1">
      <c r="A650" s="1116"/>
      <c r="B650" s="1120"/>
      <c r="C650" s="1100"/>
      <c r="D650" s="1100"/>
      <c r="E650" s="1100"/>
      <c r="F650" s="1100"/>
      <c r="G650" s="1100"/>
      <c r="H650" s="1100"/>
      <c r="I650" s="1100"/>
      <c r="J650" s="1100"/>
      <c r="K650" s="1074"/>
      <c r="L650" s="1074"/>
      <c r="M650" s="1074"/>
      <c r="N650" s="1074"/>
      <c r="O650" s="1074"/>
      <c r="P650" s="1074"/>
      <c r="Q650" s="1074"/>
      <c r="R650" s="1074"/>
      <c r="S650" s="1074"/>
      <c r="T650" s="1074"/>
      <c r="U650" s="1074"/>
      <c r="V650" s="1074"/>
      <c r="W650" s="1074"/>
      <c r="X650" s="1074"/>
      <c r="Y650" s="1074"/>
      <c r="Z650" s="1074"/>
      <c r="AA650" s="1074"/>
      <c r="AB650" s="1074"/>
      <c r="AC650" s="1074"/>
      <c r="AD650" s="1074"/>
      <c r="AE650" s="1074"/>
      <c r="AF650" s="1074"/>
      <c r="AG650" s="1074"/>
      <c r="AH650" s="1074"/>
      <c r="AI650" s="1074"/>
      <c r="AJ650" s="1074"/>
      <c r="AK650" s="1074"/>
      <c r="AL650" s="1074"/>
      <c r="AM650" s="1074"/>
      <c r="AN650" s="1074"/>
      <c r="AO650" s="1074"/>
      <c r="AP650" s="1074"/>
      <c r="AQ650" s="1074"/>
      <c r="AR650" s="1074"/>
      <c r="AS650" s="1074"/>
      <c r="AT650" s="1075"/>
    </row>
    <row r="651" ht="14.25" customHeight="1">
      <c r="A651" s="1116"/>
      <c r="B651" s="1120"/>
      <c r="C651" s="1100"/>
      <c r="D651" s="1100"/>
      <c r="E651" s="1100"/>
      <c r="F651" s="1100"/>
      <c r="G651" s="1100"/>
      <c r="H651" s="1100"/>
      <c r="I651" s="1100"/>
      <c r="J651" s="1100"/>
      <c r="K651" s="1074"/>
      <c r="L651" s="1074"/>
      <c r="M651" s="1074"/>
      <c r="N651" s="1074"/>
      <c r="O651" s="1074"/>
      <c r="P651" s="1074"/>
      <c r="Q651" s="1074"/>
      <c r="R651" s="1074"/>
      <c r="S651" s="1074"/>
      <c r="T651" s="1074"/>
      <c r="U651" s="1074"/>
      <c r="V651" s="1074"/>
      <c r="W651" s="1074"/>
      <c r="X651" s="1074"/>
      <c r="Y651" s="1074"/>
      <c r="Z651" s="1074"/>
      <c r="AA651" s="1074"/>
      <c r="AB651" s="1074"/>
      <c r="AC651" s="1074"/>
      <c r="AD651" s="1074"/>
      <c r="AE651" s="1074"/>
      <c r="AF651" s="1074"/>
      <c r="AG651" s="1074"/>
      <c r="AH651" s="1074"/>
      <c r="AI651" s="1074"/>
      <c r="AJ651" s="1074"/>
      <c r="AK651" s="1074"/>
      <c r="AL651" s="1074"/>
      <c r="AM651" s="1074"/>
      <c r="AN651" s="1074"/>
      <c r="AO651" s="1074"/>
      <c r="AP651" s="1074"/>
      <c r="AQ651" s="1074"/>
      <c r="AR651" s="1074"/>
      <c r="AS651" s="1074"/>
      <c r="AT651" s="1075"/>
    </row>
    <row r="652" ht="14.25" customHeight="1">
      <c r="A652" s="1116"/>
      <c r="B652" s="1120"/>
      <c r="C652" s="1100"/>
      <c r="D652" s="1100"/>
      <c r="E652" s="1100"/>
      <c r="F652" s="1100"/>
      <c r="G652" s="1100"/>
      <c r="H652" s="1100"/>
      <c r="I652" s="1100"/>
      <c r="J652" s="1100"/>
      <c r="K652" s="1074"/>
      <c r="L652" s="1074"/>
      <c r="M652" s="1074"/>
      <c r="N652" s="1074"/>
      <c r="O652" s="1074"/>
      <c r="P652" s="1074"/>
      <c r="Q652" s="1074"/>
      <c r="R652" s="1074"/>
      <c r="S652" s="1074"/>
      <c r="T652" s="1074"/>
      <c r="U652" s="1074"/>
      <c r="V652" s="1074"/>
      <c r="W652" s="1074"/>
      <c r="X652" s="1074"/>
      <c r="Y652" s="1074"/>
      <c r="Z652" s="1074"/>
      <c r="AA652" s="1074"/>
      <c r="AB652" s="1074"/>
      <c r="AC652" s="1074"/>
      <c r="AD652" s="1074"/>
      <c r="AE652" s="1074"/>
      <c r="AF652" s="1074"/>
      <c r="AG652" s="1074"/>
      <c r="AH652" s="1074"/>
      <c r="AI652" s="1074"/>
      <c r="AJ652" s="1074"/>
      <c r="AK652" s="1074"/>
      <c r="AL652" s="1074"/>
      <c r="AM652" s="1074"/>
      <c r="AN652" s="1074"/>
      <c r="AO652" s="1074"/>
      <c r="AP652" s="1074"/>
      <c r="AQ652" s="1074"/>
      <c r="AR652" s="1074"/>
      <c r="AS652" s="1074"/>
      <c r="AT652" s="1075"/>
    </row>
    <row r="653" ht="14.25" customHeight="1">
      <c r="A653" s="1116"/>
      <c r="B653" s="1120"/>
      <c r="C653" s="1100"/>
      <c r="D653" s="1100"/>
      <c r="E653" s="1100"/>
      <c r="F653" s="1100"/>
      <c r="G653" s="1100"/>
      <c r="H653" s="1100"/>
      <c r="I653" s="1100"/>
      <c r="J653" s="1100"/>
      <c r="K653" s="1074"/>
      <c r="L653" s="1074"/>
      <c r="M653" s="1074"/>
      <c r="N653" s="1074"/>
      <c r="O653" s="1074"/>
      <c r="P653" s="1074"/>
      <c r="Q653" s="1074"/>
      <c r="R653" s="1074"/>
      <c r="S653" s="1074"/>
      <c r="T653" s="1074"/>
      <c r="U653" s="1074"/>
      <c r="V653" s="1074"/>
      <c r="W653" s="1074"/>
      <c r="X653" s="1074"/>
      <c r="Y653" s="1074"/>
      <c r="Z653" s="1074"/>
      <c r="AA653" s="1074"/>
      <c r="AB653" s="1074"/>
      <c r="AC653" s="1074"/>
      <c r="AD653" s="1074"/>
      <c r="AE653" s="1074"/>
      <c r="AF653" s="1074"/>
      <c r="AG653" s="1074"/>
      <c r="AH653" s="1074"/>
      <c r="AI653" s="1074"/>
      <c r="AJ653" s="1074"/>
      <c r="AK653" s="1074"/>
      <c r="AL653" s="1074"/>
      <c r="AM653" s="1074"/>
      <c r="AN653" s="1074"/>
      <c r="AO653" s="1074"/>
      <c r="AP653" s="1074"/>
      <c r="AQ653" s="1074"/>
      <c r="AR653" s="1074"/>
      <c r="AS653" s="1074"/>
      <c r="AT653" s="1075"/>
    </row>
    <row r="654" ht="14.25" customHeight="1">
      <c r="A654" s="1116"/>
      <c r="B654" s="1120"/>
      <c r="C654" s="1100"/>
      <c r="D654" s="1100"/>
      <c r="E654" s="1100"/>
      <c r="F654" s="1100"/>
      <c r="G654" s="1100"/>
      <c r="H654" s="1100"/>
      <c r="I654" s="1100"/>
      <c r="J654" s="1100"/>
      <c r="K654" s="1074"/>
      <c r="L654" s="1074"/>
      <c r="M654" s="1074"/>
      <c r="N654" s="1074"/>
      <c r="O654" s="1074"/>
      <c r="P654" s="1074"/>
      <c r="Q654" s="1074"/>
      <c r="R654" s="1074"/>
      <c r="S654" s="1074"/>
      <c r="T654" s="1074"/>
      <c r="U654" s="1074"/>
      <c r="V654" s="1074"/>
      <c r="W654" s="1074"/>
      <c r="X654" s="1074"/>
      <c r="Y654" s="1074"/>
      <c r="Z654" s="1074"/>
      <c r="AA654" s="1074"/>
      <c r="AB654" s="1074"/>
      <c r="AC654" s="1074"/>
      <c r="AD654" s="1074"/>
      <c r="AE654" s="1074"/>
      <c r="AF654" s="1074"/>
      <c r="AG654" s="1074"/>
      <c r="AH654" s="1074"/>
      <c r="AI654" s="1074"/>
      <c r="AJ654" s="1074"/>
      <c r="AK654" s="1074"/>
      <c r="AL654" s="1074"/>
      <c r="AM654" s="1074"/>
      <c r="AN654" s="1074"/>
      <c r="AO654" s="1074"/>
      <c r="AP654" s="1074"/>
      <c r="AQ654" s="1074"/>
      <c r="AR654" s="1074"/>
      <c r="AS654" s="1074"/>
      <c r="AT654" s="1075"/>
    </row>
    <row r="655" ht="14.25" customHeight="1">
      <c r="A655" s="1116"/>
      <c r="B655" s="1120"/>
      <c r="C655" s="1100"/>
      <c r="D655" s="1100"/>
      <c r="E655" s="1100"/>
      <c r="F655" s="1100"/>
      <c r="G655" s="1100"/>
      <c r="H655" s="1100"/>
      <c r="I655" s="1100"/>
      <c r="J655" s="1100"/>
      <c r="K655" s="1074"/>
      <c r="L655" s="1074"/>
      <c r="M655" s="1074"/>
      <c r="N655" s="1074"/>
      <c r="O655" s="1074"/>
      <c r="P655" s="1074"/>
      <c r="Q655" s="1074"/>
      <c r="R655" s="1074"/>
      <c r="S655" s="1074"/>
      <c r="T655" s="1074"/>
      <c r="U655" s="1074"/>
      <c r="V655" s="1074"/>
      <c r="W655" s="1074"/>
      <c r="X655" s="1074"/>
      <c r="Y655" s="1074"/>
      <c r="Z655" s="1074"/>
      <c r="AA655" s="1074"/>
      <c r="AB655" s="1074"/>
      <c r="AC655" s="1074"/>
      <c r="AD655" s="1074"/>
      <c r="AE655" s="1074"/>
      <c r="AF655" s="1074"/>
      <c r="AG655" s="1074"/>
      <c r="AH655" s="1074"/>
      <c r="AI655" s="1074"/>
      <c r="AJ655" s="1074"/>
      <c r="AK655" s="1074"/>
      <c r="AL655" s="1074"/>
      <c r="AM655" s="1074"/>
      <c r="AN655" s="1074"/>
      <c r="AO655" s="1074"/>
      <c r="AP655" s="1074"/>
      <c r="AQ655" s="1074"/>
      <c r="AR655" s="1074"/>
      <c r="AS655" s="1074"/>
      <c r="AT655" s="1075"/>
    </row>
    <row r="656" ht="14.25" customHeight="1">
      <c r="A656" s="1116"/>
      <c r="B656" s="1120"/>
      <c r="C656" s="1100"/>
      <c r="D656" s="1100"/>
      <c r="E656" s="1100"/>
      <c r="F656" s="1100"/>
      <c r="G656" s="1100"/>
      <c r="H656" s="1100"/>
      <c r="I656" s="1100"/>
      <c r="J656" s="1100"/>
      <c r="K656" s="1074"/>
      <c r="L656" s="1074"/>
      <c r="M656" s="1074"/>
      <c r="N656" s="1074"/>
      <c r="O656" s="1074"/>
      <c r="P656" s="1074"/>
      <c r="Q656" s="1074"/>
      <c r="R656" s="1074"/>
      <c r="S656" s="1074"/>
      <c r="T656" s="1074"/>
      <c r="U656" s="1074"/>
      <c r="V656" s="1074"/>
      <c r="W656" s="1074"/>
      <c r="X656" s="1074"/>
      <c r="Y656" s="1074"/>
      <c r="Z656" s="1074"/>
      <c r="AA656" s="1074"/>
      <c r="AB656" s="1074"/>
      <c r="AC656" s="1074"/>
      <c r="AD656" s="1074"/>
      <c r="AE656" s="1074"/>
      <c r="AF656" s="1074"/>
      <c r="AG656" s="1074"/>
      <c r="AH656" s="1074"/>
      <c r="AI656" s="1074"/>
      <c r="AJ656" s="1074"/>
      <c r="AK656" s="1074"/>
      <c r="AL656" s="1074"/>
      <c r="AM656" s="1074"/>
      <c r="AN656" s="1074"/>
      <c r="AO656" s="1074"/>
      <c r="AP656" s="1074"/>
      <c r="AQ656" s="1074"/>
      <c r="AR656" s="1074"/>
      <c r="AS656" s="1074"/>
      <c r="AT656" s="1075"/>
    </row>
    <row r="657" ht="14.25" customHeight="1">
      <c r="A657" s="1116"/>
      <c r="B657" s="1120"/>
      <c r="C657" s="1100"/>
      <c r="D657" s="1100"/>
      <c r="E657" s="1100"/>
      <c r="F657" s="1100"/>
      <c r="G657" s="1100"/>
      <c r="H657" s="1100"/>
      <c r="I657" s="1100"/>
      <c r="J657" s="1100"/>
      <c r="K657" s="1074"/>
      <c r="L657" s="1074"/>
      <c r="M657" s="1074"/>
      <c r="N657" s="1074"/>
      <c r="O657" s="1074"/>
      <c r="P657" s="1074"/>
      <c r="Q657" s="1074"/>
      <c r="R657" s="1074"/>
      <c r="S657" s="1074"/>
      <c r="T657" s="1074"/>
      <c r="U657" s="1074"/>
      <c r="V657" s="1074"/>
      <c r="W657" s="1074"/>
      <c r="X657" s="1074"/>
      <c r="Y657" s="1074"/>
      <c r="Z657" s="1074"/>
      <c r="AA657" s="1074"/>
      <c r="AB657" s="1074"/>
      <c r="AC657" s="1074"/>
      <c r="AD657" s="1074"/>
      <c r="AE657" s="1074"/>
      <c r="AF657" s="1074"/>
      <c r="AG657" s="1074"/>
      <c r="AH657" s="1074"/>
      <c r="AI657" s="1074"/>
      <c r="AJ657" s="1074"/>
      <c r="AK657" s="1074"/>
      <c r="AL657" s="1074"/>
      <c r="AM657" s="1074"/>
      <c r="AN657" s="1074"/>
      <c r="AO657" s="1074"/>
      <c r="AP657" s="1074"/>
      <c r="AQ657" s="1074"/>
      <c r="AR657" s="1074"/>
      <c r="AS657" s="1074"/>
      <c r="AT657" s="1075"/>
    </row>
    <row r="658" ht="14.25" customHeight="1">
      <c r="A658" s="1116"/>
      <c r="B658" s="1120"/>
      <c r="C658" s="1100"/>
      <c r="D658" s="1100"/>
      <c r="E658" s="1100"/>
      <c r="F658" s="1100"/>
      <c r="G658" s="1100"/>
      <c r="H658" s="1100"/>
      <c r="I658" s="1100"/>
      <c r="J658" s="1100"/>
      <c r="K658" s="1074"/>
      <c r="L658" s="1074"/>
      <c r="M658" s="1074"/>
      <c r="N658" s="1074"/>
      <c r="O658" s="1074"/>
      <c r="P658" s="1074"/>
      <c r="Q658" s="1074"/>
      <c r="R658" s="1074"/>
      <c r="S658" s="1074"/>
      <c r="T658" s="1074"/>
      <c r="U658" s="1074"/>
      <c r="V658" s="1074"/>
      <c r="W658" s="1074"/>
      <c r="X658" s="1074"/>
      <c r="Y658" s="1074"/>
      <c r="Z658" s="1074"/>
      <c r="AA658" s="1074"/>
      <c r="AB658" s="1074"/>
      <c r="AC658" s="1074"/>
      <c r="AD658" s="1074"/>
      <c r="AE658" s="1074"/>
      <c r="AF658" s="1074"/>
      <c r="AG658" s="1074"/>
      <c r="AH658" s="1074"/>
      <c r="AI658" s="1074"/>
      <c r="AJ658" s="1074"/>
      <c r="AK658" s="1074"/>
      <c r="AL658" s="1074"/>
      <c r="AM658" s="1074"/>
      <c r="AN658" s="1074"/>
      <c r="AO658" s="1074"/>
      <c r="AP658" s="1074"/>
      <c r="AQ658" s="1074"/>
      <c r="AR658" s="1074"/>
      <c r="AS658" s="1074"/>
      <c r="AT658" s="1075"/>
    </row>
    <row r="659" ht="14.25" customHeight="1">
      <c r="A659" s="1116"/>
      <c r="B659" s="1120"/>
      <c r="C659" s="1100"/>
      <c r="D659" s="1100"/>
      <c r="E659" s="1100"/>
      <c r="F659" s="1100"/>
      <c r="G659" s="1100"/>
      <c r="H659" s="1100"/>
      <c r="I659" s="1100"/>
      <c r="J659" s="1100"/>
      <c r="K659" s="1074"/>
      <c r="L659" s="1074"/>
      <c r="M659" s="1074"/>
      <c r="N659" s="1074"/>
      <c r="O659" s="1074"/>
      <c r="P659" s="1074"/>
      <c r="Q659" s="1074"/>
      <c r="R659" s="1074"/>
      <c r="S659" s="1074"/>
      <c r="T659" s="1074"/>
      <c r="U659" s="1074"/>
      <c r="V659" s="1074"/>
      <c r="W659" s="1074"/>
      <c r="X659" s="1074"/>
      <c r="Y659" s="1074"/>
      <c r="Z659" s="1074"/>
      <c r="AA659" s="1074"/>
      <c r="AB659" s="1074"/>
      <c r="AC659" s="1074"/>
      <c r="AD659" s="1074"/>
      <c r="AE659" s="1074"/>
      <c r="AF659" s="1074"/>
      <c r="AG659" s="1074"/>
      <c r="AH659" s="1074"/>
      <c r="AI659" s="1074"/>
      <c r="AJ659" s="1074"/>
      <c r="AK659" s="1074"/>
      <c r="AL659" s="1074"/>
      <c r="AM659" s="1074"/>
      <c r="AN659" s="1074"/>
      <c r="AO659" s="1074"/>
      <c r="AP659" s="1074"/>
      <c r="AQ659" s="1074"/>
      <c r="AR659" s="1074"/>
      <c r="AS659" s="1074"/>
      <c r="AT659" s="1075"/>
    </row>
    <row r="660" ht="14.25" customHeight="1">
      <c r="A660" s="1116"/>
      <c r="B660" s="1120"/>
      <c r="C660" s="1100"/>
      <c r="D660" s="1100"/>
      <c r="E660" s="1100"/>
      <c r="F660" s="1100"/>
      <c r="G660" s="1100"/>
      <c r="H660" s="1100"/>
      <c r="I660" s="1100"/>
      <c r="J660" s="1100"/>
      <c r="K660" s="1074"/>
      <c r="L660" s="1074"/>
      <c r="M660" s="1074"/>
      <c r="N660" s="1074"/>
      <c r="O660" s="1074"/>
      <c r="P660" s="1074"/>
      <c r="Q660" s="1074"/>
      <c r="R660" s="1074"/>
      <c r="S660" s="1074"/>
      <c r="T660" s="1074"/>
      <c r="U660" s="1074"/>
      <c r="V660" s="1074"/>
      <c r="W660" s="1074"/>
      <c r="X660" s="1074"/>
      <c r="Y660" s="1074"/>
      <c r="Z660" s="1074"/>
      <c r="AA660" s="1074"/>
      <c r="AB660" s="1074"/>
      <c r="AC660" s="1074"/>
      <c r="AD660" s="1074"/>
      <c r="AE660" s="1074"/>
      <c r="AF660" s="1074"/>
      <c r="AG660" s="1074"/>
      <c r="AH660" s="1074"/>
      <c r="AI660" s="1074"/>
      <c r="AJ660" s="1074"/>
      <c r="AK660" s="1074"/>
      <c r="AL660" s="1074"/>
      <c r="AM660" s="1074"/>
      <c r="AN660" s="1074"/>
      <c r="AO660" s="1074"/>
      <c r="AP660" s="1074"/>
      <c r="AQ660" s="1074"/>
      <c r="AR660" s="1074"/>
      <c r="AS660" s="1074"/>
      <c r="AT660" s="1075"/>
    </row>
    <row r="661" ht="14.25" customHeight="1">
      <c r="A661" s="1116"/>
      <c r="B661" s="1120"/>
      <c r="C661" s="1100"/>
      <c r="D661" s="1100"/>
      <c r="E661" s="1100"/>
      <c r="F661" s="1100"/>
      <c r="G661" s="1100"/>
      <c r="H661" s="1100"/>
      <c r="I661" s="1100"/>
      <c r="J661" s="1100"/>
      <c r="K661" s="1074"/>
      <c r="L661" s="1074"/>
      <c r="M661" s="1074"/>
      <c r="N661" s="1074"/>
      <c r="O661" s="1074"/>
      <c r="P661" s="1074"/>
      <c r="Q661" s="1074"/>
      <c r="R661" s="1074"/>
      <c r="S661" s="1074"/>
      <c r="T661" s="1074"/>
      <c r="U661" s="1074"/>
      <c r="V661" s="1074"/>
      <c r="W661" s="1074"/>
      <c r="X661" s="1074"/>
      <c r="Y661" s="1074"/>
      <c r="Z661" s="1074"/>
      <c r="AA661" s="1074"/>
      <c r="AB661" s="1074"/>
      <c r="AC661" s="1074"/>
      <c r="AD661" s="1074"/>
      <c r="AE661" s="1074"/>
      <c r="AF661" s="1074"/>
      <c r="AG661" s="1074"/>
      <c r="AH661" s="1074"/>
      <c r="AI661" s="1074"/>
      <c r="AJ661" s="1074"/>
      <c r="AK661" s="1074"/>
      <c r="AL661" s="1074"/>
      <c r="AM661" s="1074"/>
      <c r="AN661" s="1074"/>
      <c r="AO661" s="1074"/>
      <c r="AP661" s="1074"/>
      <c r="AQ661" s="1074"/>
      <c r="AR661" s="1074"/>
      <c r="AS661" s="1074"/>
      <c r="AT661" s="1075"/>
    </row>
    <row r="662" ht="14.25" customHeight="1">
      <c r="A662" s="1116"/>
      <c r="B662" s="1120"/>
      <c r="C662" s="1100"/>
      <c r="D662" s="1100"/>
      <c r="E662" s="1100"/>
      <c r="F662" s="1100"/>
      <c r="G662" s="1100"/>
      <c r="H662" s="1100"/>
      <c r="I662" s="1100"/>
      <c r="J662" s="1100"/>
      <c r="K662" s="1074"/>
      <c r="L662" s="1074"/>
      <c r="M662" s="1074"/>
      <c r="N662" s="1074"/>
      <c r="O662" s="1074"/>
      <c r="P662" s="1074"/>
      <c r="Q662" s="1074"/>
      <c r="R662" s="1074"/>
      <c r="S662" s="1074"/>
      <c r="T662" s="1074"/>
      <c r="U662" s="1074"/>
      <c r="V662" s="1074"/>
      <c r="W662" s="1074"/>
      <c r="X662" s="1074"/>
      <c r="Y662" s="1074"/>
      <c r="Z662" s="1074"/>
      <c r="AA662" s="1074"/>
      <c r="AB662" s="1074"/>
      <c r="AC662" s="1074"/>
      <c r="AD662" s="1074"/>
      <c r="AE662" s="1074"/>
      <c r="AF662" s="1074"/>
      <c r="AG662" s="1074"/>
      <c r="AH662" s="1074"/>
      <c r="AI662" s="1074"/>
      <c r="AJ662" s="1074"/>
      <c r="AK662" s="1074"/>
      <c r="AL662" s="1074"/>
      <c r="AM662" s="1074"/>
      <c r="AN662" s="1074"/>
      <c r="AO662" s="1074"/>
      <c r="AP662" s="1074"/>
      <c r="AQ662" s="1074"/>
      <c r="AR662" s="1074"/>
      <c r="AS662" s="1074"/>
      <c r="AT662" s="1075"/>
    </row>
    <row r="663" ht="14.25" customHeight="1">
      <c r="A663" s="1116"/>
      <c r="B663" s="1120"/>
      <c r="C663" s="1100"/>
      <c r="D663" s="1100"/>
      <c r="E663" s="1100"/>
      <c r="F663" s="1100"/>
      <c r="G663" s="1100"/>
      <c r="H663" s="1100"/>
      <c r="I663" s="1100"/>
      <c r="J663" s="1100"/>
      <c r="K663" s="1074"/>
      <c r="L663" s="1074"/>
      <c r="M663" s="1074"/>
      <c r="N663" s="1074"/>
      <c r="O663" s="1074"/>
      <c r="P663" s="1074"/>
      <c r="Q663" s="1074"/>
      <c r="R663" s="1074"/>
      <c r="S663" s="1074"/>
      <c r="T663" s="1074"/>
      <c r="U663" s="1074"/>
      <c r="V663" s="1074"/>
      <c r="W663" s="1074"/>
      <c r="X663" s="1074"/>
      <c r="Y663" s="1074"/>
      <c r="Z663" s="1074"/>
      <c r="AA663" s="1074"/>
      <c r="AB663" s="1074"/>
      <c r="AC663" s="1074"/>
      <c r="AD663" s="1074"/>
      <c r="AE663" s="1074"/>
      <c r="AF663" s="1074"/>
      <c r="AG663" s="1074"/>
      <c r="AH663" s="1074"/>
      <c r="AI663" s="1074"/>
      <c r="AJ663" s="1074"/>
      <c r="AK663" s="1074"/>
      <c r="AL663" s="1074"/>
      <c r="AM663" s="1074"/>
      <c r="AN663" s="1074"/>
      <c r="AO663" s="1074"/>
      <c r="AP663" s="1074"/>
      <c r="AQ663" s="1074"/>
      <c r="AR663" s="1074"/>
      <c r="AS663" s="1074"/>
      <c r="AT663" s="1075"/>
    </row>
    <row r="664" ht="14.25" customHeight="1">
      <c r="A664" s="1116"/>
      <c r="B664" s="1120"/>
      <c r="C664" s="1100"/>
      <c r="D664" s="1100"/>
      <c r="E664" s="1100"/>
      <c r="F664" s="1100"/>
      <c r="G664" s="1100"/>
      <c r="H664" s="1100"/>
      <c r="I664" s="1100"/>
      <c r="J664" s="1100"/>
      <c r="K664" s="1074"/>
      <c r="L664" s="1074"/>
      <c r="M664" s="1074"/>
      <c r="N664" s="1074"/>
      <c r="O664" s="1074"/>
      <c r="P664" s="1074"/>
      <c r="Q664" s="1074"/>
      <c r="R664" s="1074"/>
      <c r="S664" s="1074"/>
      <c r="T664" s="1074"/>
      <c r="U664" s="1074"/>
      <c r="V664" s="1074"/>
      <c r="W664" s="1074"/>
      <c r="X664" s="1074"/>
      <c r="Y664" s="1074"/>
      <c r="Z664" s="1074"/>
      <c r="AA664" s="1074"/>
      <c r="AB664" s="1074"/>
      <c r="AC664" s="1074"/>
      <c r="AD664" s="1074"/>
      <c r="AE664" s="1074"/>
      <c r="AF664" s="1074"/>
      <c r="AG664" s="1074"/>
      <c r="AH664" s="1074"/>
      <c r="AI664" s="1074"/>
      <c r="AJ664" s="1074"/>
      <c r="AK664" s="1074"/>
      <c r="AL664" s="1074"/>
      <c r="AM664" s="1074"/>
      <c r="AN664" s="1074"/>
      <c r="AO664" s="1074"/>
      <c r="AP664" s="1074"/>
      <c r="AQ664" s="1074"/>
      <c r="AR664" s="1074"/>
      <c r="AS664" s="1074"/>
      <c r="AT664" s="1075"/>
    </row>
    <row r="665" ht="14.25" customHeight="1">
      <c r="A665" s="1116"/>
      <c r="B665" s="1120"/>
      <c r="C665" s="1100"/>
      <c r="D665" s="1100"/>
      <c r="E665" s="1100"/>
      <c r="F665" s="1100"/>
      <c r="G665" s="1100"/>
      <c r="H665" s="1100"/>
      <c r="I665" s="1100"/>
      <c r="J665" s="1100"/>
      <c r="K665" s="1074"/>
      <c r="L665" s="1074"/>
      <c r="M665" s="1074"/>
      <c r="N665" s="1074"/>
      <c r="O665" s="1074"/>
      <c r="P665" s="1074"/>
      <c r="Q665" s="1074"/>
      <c r="R665" s="1074"/>
      <c r="S665" s="1074"/>
      <c r="T665" s="1074"/>
      <c r="U665" s="1074"/>
      <c r="V665" s="1074"/>
      <c r="W665" s="1074"/>
      <c r="X665" s="1074"/>
      <c r="Y665" s="1074"/>
      <c r="Z665" s="1074"/>
      <c r="AA665" s="1074"/>
      <c r="AB665" s="1074"/>
      <c r="AC665" s="1074"/>
      <c r="AD665" s="1074"/>
      <c r="AE665" s="1074"/>
      <c r="AF665" s="1074"/>
      <c r="AG665" s="1074"/>
      <c r="AH665" s="1074"/>
      <c r="AI665" s="1074"/>
      <c r="AJ665" s="1074"/>
      <c r="AK665" s="1074"/>
      <c r="AL665" s="1074"/>
      <c r="AM665" s="1074"/>
      <c r="AN665" s="1074"/>
      <c r="AO665" s="1074"/>
      <c r="AP665" s="1074"/>
      <c r="AQ665" s="1074"/>
      <c r="AR665" s="1074"/>
      <c r="AS665" s="1074"/>
      <c r="AT665" s="1075"/>
    </row>
    <row r="666" ht="14.25" customHeight="1">
      <c r="A666" s="1116"/>
      <c r="B666" s="1120"/>
      <c r="C666" s="1100"/>
      <c r="D666" s="1100"/>
      <c r="E666" s="1100"/>
      <c r="F666" s="1100"/>
      <c r="G666" s="1100"/>
      <c r="H666" s="1100"/>
      <c r="I666" s="1100"/>
      <c r="J666" s="1100"/>
      <c r="K666" s="1074"/>
      <c r="L666" s="1074"/>
      <c r="M666" s="1074"/>
      <c r="N666" s="1074"/>
      <c r="O666" s="1074"/>
      <c r="P666" s="1074"/>
      <c r="Q666" s="1074"/>
      <c r="R666" s="1074"/>
      <c r="S666" s="1074"/>
      <c r="T666" s="1074"/>
      <c r="U666" s="1074"/>
      <c r="V666" s="1074"/>
      <c r="W666" s="1074"/>
      <c r="X666" s="1074"/>
      <c r="Y666" s="1074"/>
      <c r="Z666" s="1074"/>
      <c r="AA666" s="1074"/>
      <c r="AB666" s="1074"/>
      <c r="AC666" s="1074"/>
      <c r="AD666" s="1074"/>
      <c r="AE666" s="1074"/>
      <c r="AF666" s="1074"/>
      <c r="AG666" s="1074"/>
      <c r="AH666" s="1074"/>
      <c r="AI666" s="1074"/>
      <c r="AJ666" s="1074"/>
      <c r="AK666" s="1074"/>
      <c r="AL666" s="1074"/>
      <c r="AM666" s="1074"/>
      <c r="AN666" s="1074"/>
      <c r="AO666" s="1074"/>
      <c r="AP666" s="1074"/>
      <c r="AQ666" s="1074"/>
      <c r="AR666" s="1074"/>
      <c r="AS666" s="1074"/>
      <c r="AT666" s="1075"/>
    </row>
    <row r="667" ht="14.25" customHeight="1">
      <c r="A667" s="1116"/>
      <c r="B667" s="1120"/>
      <c r="C667" s="1100"/>
      <c r="D667" s="1100"/>
      <c r="E667" s="1100"/>
      <c r="F667" s="1100"/>
      <c r="G667" s="1100"/>
      <c r="H667" s="1100"/>
      <c r="I667" s="1100"/>
      <c r="J667" s="1100"/>
      <c r="K667" s="1074"/>
      <c r="L667" s="1074"/>
      <c r="M667" s="1074"/>
      <c r="N667" s="1074"/>
      <c r="O667" s="1074"/>
      <c r="P667" s="1074"/>
      <c r="Q667" s="1074"/>
      <c r="R667" s="1074"/>
      <c r="S667" s="1074"/>
      <c r="T667" s="1074"/>
      <c r="U667" s="1074"/>
      <c r="V667" s="1074"/>
      <c r="W667" s="1074"/>
      <c r="X667" s="1074"/>
      <c r="Y667" s="1074"/>
      <c r="Z667" s="1074"/>
      <c r="AA667" s="1074"/>
      <c r="AB667" s="1074"/>
      <c r="AC667" s="1074"/>
      <c r="AD667" s="1074"/>
      <c r="AE667" s="1074"/>
      <c r="AF667" s="1074"/>
      <c r="AG667" s="1074"/>
      <c r="AH667" s="1074"/>
      <c r="AI667" s="1074"/>
      <c r="AJ667" s="1074"/>
      <c r="AK667" s="1074"/>
      <c r="AL667" s="1074"/>
      <c r="AM667" s="1074"/>
      <c r="AN667" s="1074"/>
      <c r="AO667" s="1074"/>
      <c r="AP667" s="1074"/>
      <c r="AQ667" s="1074"/>
      <c r="AR667" s="1074"/>
      <c r="AS667" s="1074"/>
      <c r="AT667" s="1075"/>
    </row>
    <row r="668" ht="14.25" customHeight="1">
      <c r="A668" s="1116"/>
      <c r="B668" s="1120"/>
      <c r="C668" s="1100"/>
      <c r="D668" s="1100"/>
      <c r="E668" s="1100"/>
      <c r="F668" s="1100"/>
      <c r="G668" s="1100"/>
      <c r="H668" s="1100"/>
      <c r="I668" s="1100"/>
      <c r="J668" s="1100"/>
      <c r="K668" s="1074"/>
      <c r="L668" s="1074"/>
      <c r="M668" s="1074"/>
      <c r="N668" s="1074"/>
      <c r="O668" s="1074"/>
      <c r="P668" s="1074"/>
      <c r="Q668" s="1074"/>
      <c r="R668" s="1074"/>
      <c r="S668" s="1074"/>
      <c r="T668" s="1074"/>
      <c r="U668" s="1074"/>
      <c r="V668" s="1074"/>
      <c r="W668" s="1074"/>
      <c r="X668" s="1074"/>
      <c r="Y668" s="1074"/>
      <c r="Z668" s="1074"/>
      <c r="AA668" s="1074"/>
      <c r="AB668" s="1074"/>
      <c r="AC668" s="1074"/>
      <c r="AD668" s="1074"/>
      <c r="AE668" s="1074"/>
      <c r="AF668" s="1074"/>
      <c r="AG668" s="1074"/>
      <c r="AH668" s="1074"/>
      <c r="AI668" s="1074"/>
      <c r="AJ668" s="1074"/>
      <c r="AK668" s="1074"/>
      <c r="AL668" s="1074"/>
      <c r="AM668" s="1074"/>
      <c r="AN668" s="1074"/>
      <c r="AO668" s="1074"/>
      <c r="AP668" s="1074"/>
      <c r="AQ668" s="1074"/>
      <c r="AR668" s="1074"/>
      <c r="AS668" s="1074"/>
      <c r="AT668" s="1075"/>
    </row>
    <row r="669" ht="14.25" customHeight="1">
      <c r="A669" s="1116"/>
      <c r="B669" s="1120"/>
      <c r="C669" s="1100"/>
      <c r="D669" s="1100"/>
      <c r="E669" s="1100"/>
      <c r="F669" s="1100"/>
      <c r="G669" s="1100"/>
      <c r="H669" s="1100"/>
      <c r="I669" s="1100"/>
      <c r="J669" s="1100"/>
      <c r="K669" s="1074"/>
      <c r="L669" s="1074"/>
      <c r="M669" s="1074"/>
      <c r="N669" s="1074"/>
      <c r="O669" s="1074"/>
      <c r="P669" s="1074"/>
      <c r="Q669" s="1074"/>
      <c r="R669" s="1074"/>
      <c r="S669" s="1074"/>
      <c r="T669" s="1074"/>
      <c r="U669" s="1074"/>
      <c r="V669" s="1074"/>
      <c r="W669" s="1074"/>
      <c r="X669" s="1074"/>
      <c r="Y669" s="1074"/>
      <c r="Z669" s="1074"/>
      <c r="AA669" s="1074"/>
      <c r="AB669" s="1074"/>
      <c r="AC669" s="1074"/>
      <c r="AD669" s="1074"/>
      <c r="AE669" s="1074"/>
      <c r="AF669" s="1074"/>
      <c r="AG669" s="1074"/>
      <c r="AH669" s="1074"/>
      <c r="AI669" s="1074"/>
      <c r="AJ669" s="1074"/>
      <c r="AK669" s="1074"/>
      <c r="AL669" s="1074"/>
      <c r="AM669" s="1074"/>
      <c r="AN669" s="1074"/>
      <c r="AO669" s="1074"/>
      <c r="AP669" s="1074"/>
      <c r="AQ669" s="1074"/>
      <c r="AR669" s="1074"/>
      <c r="AS669" s="1074"/>
      <c r="AT669" s="1075"/>
    </row>
    <row r="670" ht="14.25" customHeight="1">
      <c r="A670" s="1116"/>
      <c r="B670" s="1120"/>
      <c r="C670" s="1100"/>
      <c r="D670" s="1100"/>
      <c r="E670" s="1100"/>
      <c r="F670" s="1100"/>
      <c r="G670" s="1100"/>
      <c r="H670" s="1100"/>
      <c r="I670" s="1100"/>
      <c r="J670" s="1100"/>
      <c r="K670" s="1074"/>
      <c r="L670" s="1074"/>
      <c r="M670" s="1074"/>
      <c r="N670" s="1074"/>
      <c r="O670" s="1074"/>
      <c r="P670" s="1074"/>
      <c r="Q670" s="1074"/>
      <c r="R670" s="1074"/>
      <c r="S670" s="1074"/>
      <c r="T670" s="1074"/>
      <c r="U670" s="1074"/>
      <c r="V670" s="1074"/>
      <c r="W670" s="1074"/>
      <c r="X670" s="1074"/>
      <c r="Y670" s="1074"/>
      <c r="Z670" s="1074"/>
      <c r="AA670" s="1074"/>
      <c r="AB670" s="1074"/>
      <c r="AC670" s="1074"/>
      <c r="AD670" s="1074"/>
      <c r="AE670" s="1074"/>
      <c r="AF670" s="1074"/>
      <c r="AG670" s="1074"/>
      <c r="AH670" s="1074"/>
      <c r="AI670" s="1074"/>
      <c r="AJ670" s="1074"/>
      <c r="AK670" s="1074"/>
      <c r="AL670" s="1074"/>
      <c r="AM670" s="1074"/>
      <c r="AN670" s="1074"/>
      <c r="AO670" s="1074"/>
      <c r="AP670" s="1074"/>
      <c r="AQ670" s="1074"/>
      <c r="AR670" s="1074"/>
      <c r="AS670" s="1074"/>
      <c r="AT670" s="1075"/>
    </row>
    <row r="671" ht="14.25" customHeight="1">
      <c r="A671" s="1116"/>
      <c r="B671" s="1120"/>
      <c r="C671" s="1100"/>
      <c r="D671" s="1100"/>
      <c r="E671" s="1100"/>
      <c r="F671" s="1100"/>
      <c r="G671" s="1100"/>
      <c r="H671" s="1100"/>
      <c r="I671" s="1100"/>
      <c r="J671" s="1100"/>
      <c r="K671" s="1074"/>
      <c r="L671" s="1074"/>
      <c r="M671" s="1074"/>
      <c r="N671" s="1074"/>
      <c r="O671" s="1074"/>
      <c r="P671" s="1074"/>
      <c r="Q671" s="1074"/>
      <c r="R671" s="1074"/>
      <c r="S671" s="1074"/>
      <c r="T671" s="1074"/>
      <c r="U671" s="1074"/>
      <c r="V671" s="1074"/>
      <c r="W671" s="1074"/>
      <c r="X671" s="1074"/>
      <c r="Y671" s="1074"/>
      <c r="Z671" s="1074"/>
      <c r="AA671" s="1074"/>
      <c r="AB671" s="1074"/>
      <c r="AC671" s="1074"/>
      <c r="AD671" s="1074"/>
      <c r="AE671" s="1074"/>
      <c r="AF671" s="1074"/>
      <c r="AG671" s="1074"/>
      <c r="AH671" s="1074"/>
      <c r="AI671" s="1074"/>
      <c r="AJ671" s="1074"/>
      <c r="AK671" s="1074"/>
      <c r="AL671" s="1074"/>
      <c r="AM671" s="1074"/>
      <c r="AN671" s="1074"/>
      <c r="AO671" s="1074"/>
      <c r="AP671" s="1074"/>
      <c r="AQ671" s="1074"/>
      <c r="AR671" s="1074"/>
      <c r="AS671" s="1074"/>
      <c r="AT671" s="1075"/>
    </row>
    <row r="672" ht="14.25" customHeight="1">
      <c r="A672" s="1116"/>
      <c r="B672" s="1120"/>
      <c r="C672" s="1100"/>
      <c r="D672" s="1100"/>
      <c r="E672" s="1100"/>
      <c r="F672" s="1100"/>
      <c r="G672" s="1100"/>
      <c r="H672" s="1100"/>
      <c r="I672" s="1100"/>
      <c r="J672" s="1100"/>
      <c r="K672" s="1074"/>
      <c r="L672" s="1074"/>
      <c r="M672" s="1074"/>
      <c r="N672" s="1074"/>
      <c r="O672" s="1074"/>
      <c r="P672" s="1074"/>
      <c r="Q672" s="1074"/>
      <c r="R672" s="1074"/>
      <c r="S672" s="1074"/>
      <c r="T672" s="1074"/>
      <c r="U672" s="1074"/>
      <c r="V672" s="1074"/>
      <c r="W672" s="1074"/>
      <c r="X672" s="1074"/>
      <c r="Y672" s="1074"/>
      <c r="Z672" s="1074"/>
      <c r="AA672" s="1074"/>
      <c r="AB672" s="1074"/>
      <c r="AC672" s="1074"/>
      <c r="AD672" s="1074"/>
      <c r="AE672" s="1074"/>
      <c r="AF672" s="1074"/>
      <c r="AG672" s="1074"/>
      <c r="AH672" s="1074"/>
      <c r="AI672" s="1074"/>
      <c r="AJ672" s="1074"/>
      <c r="AK672" s="1074"/>
      <c r="AL672" s="1074"/>
      <c r="AM672" s="1074"/>
      <c r="AN672" s="1074"/>
      <c r="AO672" s="1074"/>
      <c r="AP672" s="1074"/>
      <c r="AQ672" s="1074"/>
      <c r="AR672" s="1074"/>
      <c r="AS672" s="1074"/>
      <c r="AT672" s="1075"/>
    </row>
    <row r="673" ht="14.25" customHeight="1">
      <c r="A673" s="1116"/>
      <c r="B673" s="1120"/>
      <c r="C673" s="1100"/>
      <c r="D673" s="1100"/>
      <c r="E673" s="1100"/>
      <c r="F673" s="1100"/>
      <c r="G673" s="1100"/>
      <c r="H673" s="1100"/>
      <c r="I673" s="1100"/>
      <c r="J673" s="1100"/>
      <c r="K673" s="1074"/>
      <c r="L673" s="1074"/>
      <c r="M673" s="1074"/>
      <c r="N673" s="1074"/>
      <c r="O673" s="1074"/>
      <c r="P673" s="1074"/>
      <c r="Q673" s="1074"/>
      <c r="R673" s="1074"/>
      <c r="S673" s="1074"/>
      <c r="T673" s="1074"/>
      <c r="U673" s="1074"/>
      <c r="V673" s="1074"/>
      <c r="W673" s="1074"/>
      <c r="X673" s="1074"/>
      <c r="Y673" s="1074"/>
      <c r="Z673" s="1074"/>
      <c r="AA673" s="1074"/>
      <c r="AB673" s="1074"/>
      <c r="AC673" s="1074"/>
      <c r="AD673" s="1074"/>
      <c r="AE673" s="1074"/>
      <c r="AF673" s="1074"/>
      <c r="AG673" s="1074"/>
      <c r="AH673" s="1074"/>
      <c r="AI673" s="1074"/>
      <c r="AJ673" s="1074"/>
      <c r="AK673" s="1074"/>
      <c r="AL673" s="1074"/>
      <c r="AM673" s="1074"/>
      <c r="AN673" s="1074"/>
      <c r="AO673" s="1074"/>
      <c r="AP673" s="1074"/>
      <c r="AQ673" s="1074"/>
      <c r="AR673" s="1074"/>
      <c r="AS673" s="1074"/>
      <c r="AT673" s="1075"/>
    </row>
    <row r="674" ht="14.25" customHeight="1">
      <c r="A674" s="1116"/>
      <c r="B674" s="1120"/>
      <c r="C674" s="1100"/>
      <c r="D674" s="1100"/>
      <c r="E674" s="1100"/>
      <c r="F674" s="1100"/>
      <c r="G674" s="1100"/>
      <c r="H674" s="1100"/>
      <c r="I674" s="1100"/>
      <c r="J674" s="1100"/>
      <c r="K674" s="1074"/>
      <c r="L674" s="1074"/>
      <c r="M674" s="1074"/>
      <c r="N674" s="1074"/>
      <c r="O674" s="1074"/>
      <c r="P674" s="1074"/>
      <c r="Q674" s="1074"/>
      <c r="R674" s="1074"/>
      <c r="S674" s="1074"/>
      <c r="T674" s="1074"/>
      <c r="U674" s="1074"/>
      <c r="V674" s="1074"/>
      <c r="W674" s="1074"/>
      <c r="X674" s="1074"/>
      <c r="Y674" s="1074"/>
      <c r="Z674" s="1074"/>
      <c r="AA674" s="1074"/>
      <c r="AB674" s="1074"/>
      <c r="AC674" s="1074"/>
      <c r="AD674" s="1074"/>
      <c r="AE674" s="1074"/>
      <c r="AF674" s="1074"/>
      <c r="AG674" s="1074"/>
      <c r="AH674" s="1074"/>
      <c r="AI674" s="1074"/>
      <c r="AJ674" s="1074"/>
      <c r="AK674" s="1074"/>
      <c r="AL674" s="1074"/>
      <c r="AM674" s="1074"/>
      <c r="AN674" s="1074"/>
      <c r="AO674" s="1074"/>
      <c r="AP674" s="1074"/>
      <c r="AQ674" s="1074"/>
      <c r="AR674" s="1074"/>
      <c r="AS674" s="1074"/>
      <c r="AT674" s="1075"/>
    </row>
    <row r="675" ht="14.25" customHeight="1">
      <c r="A675" s="1116"/>
      <c r="B675" s="1120"/>
      <c r="C675" s="1100"/>
      <c r="D675" s="1100"/>
      <c r="E675" s="1100"/>
      <c r="F675" s="1100"/>
      <c r="G675" s="1100"/>
      <c r="H675" s="1100"/>
      <c r="I675" s="1100"/>
      <c r="J675" s="1100"/>
      <c r="K675" s="1074"/>
      <c r="L675" s="1074"/>
      <c r="M675" s="1074"/>
      <c r="N675" s="1074"/>
      <c r="O675" s="1074"/>
      <c r="P675" s="1074"/>
      <c r="Q675" s="1074"/>
      <c r="R675" s="1074"/>
      <c r="S675" s="1074"/>
      <c r="T675" s="1074"/>
      <c r="U675" s="1074"/>
      <c r="V675" s="1074"/>
      <c r="W675" s="1074"/>
      <c r="X675" s="1074"/>
      <c r="Y675" s="1074"/>
      <c r="Z675" s="1074"/>
      <c r="AA675" s="1074"/>
      <c r="AB675" s="1074"/>
      <c r="AC675" s="1074"/>
      <c r="AD675" s="1074"/>
      <c r="AE675" s="1074"/>
      <c r="AF675" s="1074"/>
      <c r="AG675" s="1074"/>
      <c r="AH675" s="1074"/>
      <c r="AI675" s="1074"/>
      <c r="AJ675" s="1074"/>
      <c r="AK675" s="1074"/>
      <c r="AL675" s="1074"/>
      <c r="AM675" s="1074"/>
      <c r="AN675" s="1074"/>
      <c r="AO675" s="1074"/>
      <c r="AP675" s="1074"/>
      <c r="AQ675" s="1074"/>
      <c r="AR675" s="1074"/>
      <c r="AS675" s="1074"/>
      <c r="AT675" s="1075"/>
    </row>
    <row r="676" ht="14.25" customHeight="1">
      <c r="A676" s="1116"/>
      <c r="B676" s="1120"/>
      <c r="C676" s="1100"/>
      <c r="D676" s="1100"/>
      <c r="E676" s="1100"/>
      <c r="F676" s="1100"/>
      <c r="G676" s="1100"/>
      <c r="H676" s="1100"/>
      <c r="I676" s="1100"/>
      <c r="J676" s="1100"/>
      <c r="K676" s="1074"/>
      <c r="L676" s="1074"/>
      <c r="M676" s="1074"/>
      <c r="N676" s="1074"/>
      <c r="O676" s="1074"/>
      <c r="P676" s="1074"/>
      <c r="Q676" s="1074"/>
      <c r="R676" s="1074"/>
      <c r="S676" s="1074"/>
      <c r="T676" s="1074"/>
      <c r="U676" s="1074"/>
      <c r="V676" s="1074"/>
      <c r="W676" s="1074"/>
      <c r="X676" s="1074"/>
      <c r="Y676" s="1074"/>
      <c r="Z676" s="1074"/>
      <c r="AA676" s="1074"/>
      <c r="AB676" s="1074"/>
      <c r="AC676" s="1074"/>
      <c r="AD676" s="1074"/>
      <c r="AE676" s="1074"/>
      <c r="AF676" s="1074"/>
      <c r="AG676" s="1074"/>
      <c r="AH676" s="1074"/>
      <c r="AI676" s="1074"/>
      <c r="AJ676" s="1074"/>
      <c r="AK676" s="1074"/>
      <c r="AL676" s="1074"/>
      <c r="AM676" s="1074"/>
      <c r="AN676" s="1074"/>
      <c r="AO676" s="1074"/>
      <c r="AP676" s="1074"/>
      <c r="AQ676" s="1074"/>
      <c r="AR676" s="1074"/>
      <c r="AS676" s="1074"/>
      <c r="AT676" s="1075"/>
    </row>
    <row r="677" ht="14.25" customHeight="1">
      <c r="A677" s="1116"/>
      <c r="B677" s="1120"/>
      <c r="C677" s="1100"/>
      <c r="D677" s="1100"/>
      <c r="E677" s="1100"/>
      <c r="F677" s="1100"/>
      <c r="G677" s="1100"/>
      <c r="H677" s="1100"/>
      <c r="I677" s="1100"/>
      <c r="J677" s="1100"/>
      <c r="K677" s="1074"/>
      <c r="L677" s="1074"/>
      <c r="M677" s="1074"/>
      <c r="N677" s="1074"/>
      <c r="O677" s="1074"/>
      <c r="P677" s="1074"/>
      <c r="Q677" s="1074"/>
      <c r="R677" s="1074"/>
      <c r="S677" s="1074"/>
      <c r="T677" s="1074"/>
      <c r="U677" s="1074"/>
      <c r="V677" s="1074"/>
      <c r="W677" s="1074"/>
      <c r="X677" s="1074"/>
      <c r="Y677" s="1074"/>
      <c r="Z677" s="1074"/>
      <c r="AA677" s="1074"/>
      <c r="AB677" s="1074"/>
      <c r="AC677" s="1074"/>
      <c r="AD677" s="1074"/>
      <c r="AE677" s="1074"/>
      <c r="AF677" s="1074"/>
      <c r="AG677" s="1074"/>
      <c r="AH677" s="1074"/>
      <c r="AI677" s="1074"/>
      <c r="AJ677" s="1074"/>
      <c r="AK677" s="1074"/>
      <c r="AL677" s="1074"/>
      <c r="AM677" s="1074"/>
      <c r="AN677" s="1074"/>
      <c r="AO677" s="1074"/>
      <c r="AP677" s="1074"/>
      <c r="AQ677" s="1074"/>
      <c r="AR677" s="1074"/>
      <c r="AS677" s="1074"/>
      <c r="AT677" s="1075"/>
    </row>
    <row r="678" ht="14.25" customHeight="1">
      <c r="A678" s="1116"/>
      <c r="B678" s="1120"/>
      <c r="C678" s="1100"/>
      <c r="D678" s="1100"/>
      <c r="E678" s="1100"/>
      <c r="F678" s="1100"/>
      <c r="G678" s="1100"/>
      <c r="H678" s="1100"/>
      <c r="I678" s="1100"/>
      <c r="J678" s="1100"/>
      <c r="K678" s="1074"/>
      <c r="L678" s="1074"/>
      <c r="M678" s="1074"/>
      <c r="N678" s="1074"/>
      <c r="O678" s="1074"/>
      <c r="P678" s="1074"/>
      <c r="Q678" s="1074"/>
      <c r="R678" s="1074"/>
      <c r="S678" s="1074"/>
      <c r="T678" s="1074"/>
      <c r="U678" s="1074"/>
      <c r="V678" s="1074"/>
      <c r="W678" s="1074"/>
      <c r="X678" s="1074"/>
      <c r="Y678" s="1074"/>
      <c r="Z678" s="1074"/>
      <c r="AA678" s="1074"/>
      <c r="AB678" s="1074"/>
      <c r="AC678" s="1074"/>
      <c r="AD678" s="1074"/>
      <c r="AE678" s="1074"/>
      <c r="AF678" s="1074"/>
      <c r="AG678" s="1074"/>
      <c r="AH678" s="1074"/>
      <c r="AI678" s="1074"/>
      <c r="AJ678" s="1074"/>
      <c r="AK678" s="1074"/>
      <c r="AL678" s="1074"/>
      <c r="AM678" s="1074"/>
      <c r="AN678" s="1074"/>
      <c r="AO678" s="1074"/>
      <c r="AP678" s="1074"/>
      <c r="AQ678" s="1074"/>
      <c r="AR678" s="1074"/>
      <c r="AS678" s="1074"/>
      <c r="AT678" s="1075"/>
    </row>
    <row r="679" ht="14.25" customHeight="1">
      <c r="A679" s="1116"/>
      <c r="B679" s="1120"/>
      <c r="C679" s="1100"/>
      <c r="D679" s="1100"/>
      <c r="E679" s="1100"/>
      <c r="F679" s="1100"/>
      <c r="G679" s="1100"/>
      <c r="H679" s="1100"/>
      <c r="I679" s="1100"/>
      <c r="J679" s="1100"/>
      <c r="K679" s="1074"/>
      <c r="L679" s="1074"/>
      <c r="M679" s="1074"/>
      <c r="N679" s="1074"/>
      <c r="O679" s="1074"/>
      <c r="P679" s="1074"/>
      <c r="Q679" s="1074"/>
      <c r="R679" s="1074"/>
      <c r="S679" s="1074"/>
      <c r="T679" s="1074"/>
      <c r="U679" s="1074"/>
      <c r="V679" s="1074"/>
      <c r="W679" s="1074"/>
      <c r="X679" s="1074"/>
      <c r="Y679" s="1074"/>
      <c r="Z679" s="1074"/>
      <c r="AA679" s="1074"/>
      <c r="AB679" s="1074"/>
      <c r="AC679" s="1074"/>
      <c r="AD679" s="1074"/>
      <c r="AE679" s="1074"/>
      <c r="AF679" s="1074"/>
      <c r="AG679" s="1074"/>
      <c r="AH679" s="1074"/>
      <c r="AI679" s="1074"/>
      <c r="AJ679" s="1074"/>
      <c r="AK679" s="1074"/>
      <c r="AL679" s="1074"/>
      <c r="AM679" s="1074"/>
      <c r="AN679" s="1074"/>
      <c r="AO679" s="1074"/>
      <c r="AP679" s="1074"/>
      <c r="AQ679" s="1074"/>
      <c r="AR679" s="1074"/>
      <c r="AS679" s="1074"/>
      <c r="AT679" s="1075"/>
    </row>
    <row r="680" ht="14.25" customHeight="1">
      <c r="A680" s="1116"/>
      <c r="B680" s="1120"/>
      <c r="C680" s="1100"/>
      <c r="D680" s="1100"/>
      <c r="E680" s="1100"/>
      <c r="F680" s="1100"/>
      <c r="G680" s="1100"/>
      <c r="H680" s="1100"/>
      <c r="I680" s="1100"/>
      <c r="J680" s="1100"/>
      <c r="K680" s="1074"/>
      <c r="L680" s="1074"/>
      <c r="M680" s="1074"/>
      <c r="N680" s="1074"/>
      <c r="O680" s="1074"/>
      <c r="P680" s="1074"/>
      <c r="Q680" s="1074"/>
      <c r="R680" s="1074"/>
      <c r="S680" s="1074"/>
      <c r="T680" s="1074"/>
      <c r="U680" s="1074"/>
      <c r="V680" s="1074"/>
      <c r="W680" s="1074"/>
      <c r="X680" s="1074"/>
      <c r="Y680" s="1074"/>
      <c r="Z680" s="1074"/>
      <c r="AA680" s="1074"/>
      <c r="AB680" s="1074"/>
      <c r="AC680" s="1074"/>
      <c r="AD680" s="1074"/>
      <c r="AE680" s="1074"/>
      <c r="AF680" s="1074"/>
      <c r="AG680" s="1074"/>
      <c r="AH680" s="1074"/>
      <c r="AI680" s="1074"/>
      <c r="AJ680" s="1074"/>
      <c r="AK680" s="1074"/>
      <c r="AL680" s="1074"/>
      <c r="AM680" s="1074"/>
      <c r="AN680" s="1074"/>
      <c r="AO680" s="1074"/>
      <c r="AP680" s="1074"/>
      <c r="AQ680" s="1074"/>
      <c r="AR680" s="1074"/>
      <c r="AS680" s="1074"/>
      <c r="AT680" s="1075"/>
    </row>
    <row r="681" ht="14.25" customHeight="1">
      <c r="A681" s="1116"/>
      <c r="B681" s="1120"/>
      <c r="C681" s="1100"/>
      <c r="D681" s="1100"/>
      <c r="E681" s="1100"/>
      <c r="F681" s="1100"/>
      <c r="G681" s="1100"/>
      <c r="H681" s="1100"/>
      <c r="I681" s="1100"/>
      <c r="J681" s="1100"/>
      <c r="K681" s="1074"/>
      <c r="L681" s="1074"/>
      <c r="M681" s="1074"/>
      <c r="N681" s="1074"/>
      <c r="O681" s="1074"/>
      <c r="P681" s="1074"/>
      <c r="Q681" s="1074"/>
      <c r="R681" s="1074"/>
      <c r="S681" s="1074"/>
      <c r="T681" s="1074"/>
      <c r="U681" s="1074"/>
      <c r="V681" s="1074"/>
      <c r="W681" s="1074"/>
      <c r="X681" s="1074"/>
      <c r="Y681" s="1074"/>
      <c r="Z681" s="1074"/>
      <c r="AA681" s="1074"/>
      <c r="AB681" s="1074"/>
      <c r="AC681" s="1074"/>
      <c r="AD681" s="1074"/>
      <c r="AE681" s="1074"/>
      <c r="AF681" s="1074"/>
      <c r="AG681" s="1074"/>
      <c r="AH681" s="1074"/>
      <c r="AI681" s="1074"/>
      <c r="AJ681" s="1074"/>
      <c r="AK681" s="1074"/>
      <c r="AL681" s="1074"/>
      <c r="AM681" s="1074"/>
      <c r="AN681" s="1074"/>
      <c r="AO681" s="1074"/>
      <c r="AP681" s="1074"/>
      <c r="AQ681" s="1074"/>
      <c r="AR681" s="1074"/>
      <c r="AS681" s="1074"/>
      <c r="AT681" s="1075"/>
    </row>
    <row r="682" ht="14.25" customHeight="1">
      <c r="A682" s="1116"/>
      <c r="B682" s="1120"/>
      <c r="C682" s="1100"/>
      <c r="D682" s="1100"/>
      <c r="E682" s="1100"/>
      <c r="F682" s="1100"/>
      <c r="G682" s="1100"/>
      <c r="H682" s="1100"/>
      <c r="I682" s="1100"/>
      <c r="J682" s="1100"/>
      <c r="K682" s="1074"/>
      <c r="L682" s="1074"/>
      <c r="M682" s="1074"/>
      <c r="N682" s="1074"/>
      <c r="O682" s="1074"/>
      <c r="P682" s="1074"/>
      <c r="Q682" s="1074"/>
      <c r="R682" s="1074"/>
      <c r="S682" s="1074"/>
      <c r="T682" s="1074"/>
      <c r="U682" s="1074"/>
      <c r="V682" s="1074"/>
      <c r="W682" s="1074"/>
      <c r="X682" s="1074"/>
      <c r="Y682" s="1074"/>
      <c r="Z682" s="1074"/>
      <c r="AA682" s="1074"/>
      <c r="AB682" s="1074"/>
      <c r="AC682" s="1074"/>
      <c r="AD682" s="1074"/>
      <c r="AE682" s="1074"/>
      <c r="AF682" s="1074"/>
      <c r="AG682" s="1074"/>
      <c r="AH682" s="1074"/>
      <c r="AI682" s="1074"/>
      <c r="AJ682" s="1074"/>
      <c r="AK682" s="1074"/>
      <c r="AL682" s="1074"/>
      <c r="AM682" s="1074"/>
      <c r="AN682" s="1074"/>
      <c r="AO682" s="1074"/>
      <c r="AP682" s="1074"/>
      <c r="AQ682" s="1074"/>
      <c r="AR682" s="1074"/>
      <c r="AS682" s="1074"/>
      <c r="AT682" s="1075"/>
    </row>
    <row r="683" ht="14.25" customHeight="1">
      <c r="A683" s="1116"/>
      <c r="B683" s="1120"/>
      <c r="C683" s="1100"/>
      <c r="D683" s="1100"/>
      <c r="E683" s="1100"/>
      <c r="F683" s="1100"/>
      <c r="G683" s="1100"/>
      <c r="H683" s="1100"/>
      <c r="I683" s="1100"/>
      <c r="J683" s="1100"/>
      <c r="K683" s="1074"/>
      <c r="L683" s="1074"/>
      <c r="M683" s="1074"/>
      <c r="N683" s="1074"/>
      <c r="O683" s="1074"/>
      <c r="P683" s="1074"/>
      <c r="Q683" s="1074"/>
      <c r="R683" s="1074"/>
      <c r="S683" s="1074"/>
      <c r="T683" s="1074"/>
      <c r="U683" s="1074"/>
      <c r="V683" s="1074"/>
      <c r="W683" s="1074"/>
      <c r="X683" s="1074"/>
      <c r="Y683" s="1074"/>
      <c r="Z683" s="1074"/>
      <c r="AA683" s="1074"/>
      <c r="AB683" s="1074"/>
      <c r="AC683" s="1074"/>
      <c r="AD683" s="1074"/>
      <c r="AE683" s="1074"/>
      <c r="AF683" s="1074"/>
      <c r="AG683" s="1074"/>
      <c r="AH683" s="1074"/>
      <c r="AI683" s="1074"/>
      <c r="AJ683" s="1074"/>
      <c r="AK683" s="1074"/>
      <c r="AL683" s="1074"/>
      <c r="AM683" s="1074"/>
      <c r="AN683" s="1074"/>
      <c r="AO683" s="1074"/>
      <c r="AP683" s="1074"/>
      <c r="AQ683" s="1074"/>
      <c r="AR683" s="1074"/>
      <c r="AS683" s="1074"/>
      <c r="AT683" s="1075"/>
    </row>
    <row r="684" ht="14.25" customHeight="1">
      <c r="A684" s="1116"/>
      <c r="B684" s="1120"/>
      <c r="C684" s="1100"/>
      <c r="D684" s="1100"/>
      <c r="E684" s="1100"/>
      <c r="F684" s="1100"/>
      <c r="G684" s="1100"/>
      <c r="H684" s="1100"/>
      <c r="I684" s="1100"/>
      <c r="J684" s="1100"/>
      <c r="K684" s="1074"/>
      <c r="L684" s="1074"/>
      <c r="M684" s="1074"/>
      <c r="N684" s="1074"/>
      <c r="O684" s="1074"/>
      <c r="P684" s="1074"/>
      <c r="Q684" s="1074"/>
      <c r="R684" s="1074"/>
      <c r="S684" s="1074"/>
      <c r="T684" s="1074"/>
      <c r="U684" s="1074"/>
      <c r="V684" s="1074"/>
      <c r="W684" s="1074"/>
      <c r="X684" s="1074"/>
      <c r="Y684" s="1074"/>
      <c r="Z684" s="1074"/>
      <c r="AA684" s="1074"/>
      <c r="AB684" s="1074"/>
      <c r="AC684" s="1074"/>
      <c r="AD684" s="1074"/>
      <c r="AE684" s="1074"/>
      <c r="AF684" s="1074"/>
      <c r="AG684" s="1074"/>
      <c r="AH684" s="1074"/>
      <c r="AI684" s="1074"/>
      <c r="AJ684" s="1074"/>
      <c r="AK684" s="1074"/>
      <c r="AL684" s="1074"/>
      <c r="AM684" s="1074"/>
      <c r="AN684" s="1074"/>
      <c r="AO684" s="1074"/>
      <c r="AP684" s="1074"/>
      <c r="AQ684" s="1074"/>
      <c r="AR684" s="1074"/>
      <c r="AS684" s="1074"/>
      <c r="AT684" s="1075"/>
    </row>
    <row r="685" ht="14.25" customHeight="1">
      <c r="A685" s="1116"/>
      <c r="B685" s="1120"/>
      <c r="C685" s="1100"/>
      <c r="D685" s="1100"/>
      <c r="E685" s="1100"/>
      <c r="F685" s="1100"/>
      <c r="G685" s="1100"/>
      <c r="H685" s="1100"/>
      <c r="I685" s="1100"/>
      <c r="J685" s="1100"/>
      <c r="K685" s="1074"/>
      <c r="L685" s="1074"/>
      <c r="M685" s="1074"/>
      <c r="N685" s="1074"/>
      <c r="O685" s="1074"/>
      <c r="P685" s="1074"/>
      <c r="Q685" s="1074"/>
      <c r="R685" s="1074"/>
      <c r="S685" s="1074"/>
      <c r="T685" s="1074"/>
      <c r="U685" s="1074"/>
      <c r="V685" s="1074"/>
      <c r="W685" s="1074"/>
      <c r="X685" s="1074"/>
      <c r="Y685" s="1074"/>
      <c r="Z685" s="1074"/>
      <c r="AA685" s="1074"/>
      <c r="AB685" s="1074"/>
      <c r="AC685" s="1074"/>
      <c r="AD685" s="1074"/>
      <c r="AE685" s="1074"/>
      <c r="AF685" s="1074"/>
      <c r="AG685" s="1074"/>
      <c r="AH685" s="1074"/>
      <c r="AI685" s="1074"/>
      <c r="AJ685" s="1074"/>
      <c r="AK685" s="1074"/>
      <c r="AL685" s="1074"/>
      <c r="AM685" s="1074"/>
      <c r="AN685" s="1074"/>
      <c r="AO685" s="1074"/>
      <c r="AP685" s="1074"/>
      <c r="AQ685" s="1074"/>
      <c r="AR685" s="1074"/>
      <c r="AS685" s="1074"/>
      <c r="AT685" s="1075"/>
    </row>
    <row r="686" ht="14.25" customHeight="1">
      <c r="A686" s="1116"/>
      <c r="B686" s="1120"/>
      <c r="C686" s="1100"/>
      <c r="D686" s="1100"/>
      <c r="E686" s="1100"/>
      <c r="F686" s="1100"/>
      <c r="G686" s="1100"/>
      <c r="H686" s="1100"/>
      <c r="I686" s="1100"/>
      <c r="J686" s="1100"/>
      <c r="K686" s="1074"/>
      <c r="L686" s="1074"/>
      <c r="M686" s="1074"/>
      <c r="N686" s="1074"/>
      <c r="O686" s="1074"/>
      <c r="P686" s="1074"/>
      <c r="Q686" s="1074"/>
      <c r="R686" s="1074"/>
      <c r="S686" s="1074"/>
      <c r="T686" s="1074"/>
      <c r="U686" s="1074"/>
      <c r="V686" s="1074"/>
      <c r="W686" s="1074"/>
      <c r="X686" s="1074"/>
      <c r="Y686" s="1074"/>
      <c r="Z686" s="1074"/>
      <c r="AA686" s="1074"/>
      <c r="AB686" s="1074"/>
      <c r="AC686" s="1074"/>
      <c r="AD686" s="1074"/>
      <c r="AE686" s="1074"/>
      <c r="AF686" s="1074"/>
      <c r="AG686" s="1074"/>
      <c r="AH686" s="1074"/>
      <c r="AI686" s="1074"/>
      <c r="AJ686" s="1074"/>
      <c r="AK686" s="1074"/>
      <c r="AL686" s="1074"/>
      <c r="AM686" s="1074"/>
      <c r="AN686" s="1074"/>
      <c r="AO686" s="1074"/>
      <c r="AP686" s="1074"/>
      <c r="AQ686" s="1074"/>
      <c r="AR686" s="1074"/>
      <c r="AS686" s="1074"/>
      <c r="AT686" s="1075"/>
    </row>
    <row r="687" ht="14.25" customHeight="1">
      <c r="A687" s="1116"/>
      <c r="B687" s="1120"/>
      <c r="C687" s="1100"/>
      <c r="D687" s="1100"/>
      <c r="E687" s="1100"/>
      <c r="F687" s="1100"/>
      <c r="G687" s="1100"/>
      <c r="H687" s="1100"/>
      <c r="I687" s="1100"/>
      <c r="J687" s="1100"/>
      <c r="K687" s="1074"/>
      <c r="L687" s="1074"/>
      <c r="M687" s="1074"/>
      <c r="N687" s="1074"/>
      <c r="O687" s="1074"/>
      <c r="P687" s="1074"/>
      <c r="Q687" s="1074"/>
      <c r="R687" s="1074"/>
      <c r="S687" s="1074"/>
      <c r="T687" s="1074"/>
      <c r="U687" s="1074"/>
      <c r="V687" s="1074"/>
      <c r="W687" s="1074"/>
      <c r="X687" s="1074"/>
      <c r="Y687" s="1074"/>
      <c r="Z687" s="1074"/>
      <c r="AA687" s="1074"/>
      <c r="AB687" s="1074"/>
      <c r="AC687" s="1074"/>
      <c r="AD687" s="1074"/>
      <c r="AE687" s="1074"/>
      <c r="AF687" s="1074"/>
      <c r="AG687" s="1074"/>
      <c r="AH687" s="1074"/>
      <c r="AI687" s="1074"/>
      <c r="AJ687" s="1074"/>
      <c r="AK687" s="1074"/>
      <c r="AL687" s="1074"/>
      <c r="AM687" s="1074"/>
      <c r="AN687" s="1074"/>
      <c r="AO687" s="1074"/>
      <c r="AP687" s="1074"/>
      <c r="AQ687" s="1074"/>
      <c r="AR687" s="1074"/>
      <c r="AS687" s="1074"/>
      <c r="AT687" s="1075"/>
    </row>
    <row r="688" ht="14.25" customHeight="1">
      <c r="A688" s="1116"/>
      <c r="B688" s="1120"/>
      <c r="C688" s="1100"/>
      <c r="D688" s="1100"/>
      <c r="E688" s="1100"/>
      <c r="F688" s="1100"/>
      <c r="G688" s="1100"/>
      <c r="H688" s="1100"/>
      <c r="I688" s="1100"/>
      <c r="J688" s="1100"/>
      <c r="K688" s="1074"/>
      <c r="L688" s="1074"/>
      <c r="M688" s="1074"/>
      <c r="N688" s="1074"/>
      <c r="O688" s="1074"/>
      <c r="P688" s="1074"/>
      <c r="Q688" s="1074"/>
      <c r="R688" s="1074"/>
      <c r="S688" s="1074"/>
      <c r="T688" s="1074"/>
      <c r="U688" s="1074"/>
      <c r="V688" s="1074"/>
      <c r="W688" s="1074"/>
      <c r="X688" s="1074"/>
      <c r="Y688" s="1074"/>
      <c r="Z688" s="1074"/>
      <c r="AA688" s="1074"/>
      <c r="AB688" s="1074"/>
      <c r="AC688" s="1074"/>
      <c r="AD688" s="1074"/>
      <c r="AE688" s="1074"/>
      <c r="AF688" s="1074"/>
      <c r="AG688" s="1074"/>
      <c r="AH688" s="1074"/>
      <c r="AI688" s="1074"/>
      <c r="AJ688" s="1074"/>
      <c r="AK688" s="1074"/>
      <c r="AL688" s="1074"/>
      <c r="AM688" s="1074"/>
      <c r="AN688" s="1074"/>
      <c r="AO688" s="1074"/>
      <c r="AP688" s="1074"/>
      <c r="AQ688" s="1074"/>
      <c r="AR688" s="1074"/>
      <c r="AS688" s="1074"/>
      <c r="AT688" s="1075"/>
    </row>
    <row r="689" ht="14.25" customHeight="1">
      <c r="A689" s="1116"/>
      <c r="B689" s="1120"/>
      <c r="C689" s="1100"/>
      <c r="D689" s="1100"/>
      <c r="E689" s="1100"/>
      <c r="F689" s="1100"/>
      <c r="G689" s="1100"/>
      <c r="H689" s="1100"/>
      <c r="I689" s="1100"/>
      <c r="J689" s="1100"/>
      <c r="K689" s="1074"/>
      <c r="L689" s="1074"/>
      <c r="M689" s="1074"/>
      <c r="N689" s="1074"/>
      <c r="O689" s="1074"/>
      <c r="P689" s="1074"/>
      <c r="Q689" s="1074"/>
      <c r="R689" s="1074"/>
      <c r="S689" s="1074"/>
      <c r="T689" s="1074"/>
      <c r="U689" s="1074"/>
      <c r="V689" s="1074"/>
      <c r="W689" s="1074"/>
      <c r="X689" s="1074"/>
      <c r="Y689" s="1074"/>
      <c r="Z689" s="1074"/>
      <c r="AA689" s="1074"/>
      <c r="AB689" s="1074"/>
      <c r="AC689" s="1074"/>
      <c r="AD689" s="1074"/>
      <c r="AE689" s="1074"/>
      <c r="AF689" s="1074"/>
      <c r="AG689" s="1074"/>
      <c r="AH689" s="1074"/>
      <c r="AI689" s="1074"/>
      <c r="AJ689" s="1074"/>
      <c r="AK689" s="1074"/>
      <c r="AL689" s="1074"/>
      <c r="AM689" s="1074"/>
      <c r="AN689" s="1074"/>
      <c r="AO689" s="1074"/>
      <c r="AP689" s="1074"/>
      <c r="AQ689" s="1074"/>
      <c r="AR689" s="1074"/>
      <c r="AS689" s="1074"/>
      <c r="AT689" s="1075"/>
    </row>
    <row r="690" ht="14.25" customHeight="1">
      <c r="A690" s="1116"/>
      <c r="B690" s="1120"/>
      <c r="C690" s="1100"/>
      <c r="D690" s="1100"/>
      <c r="E690" s="1100"/>
      <c r="F690" s="1100"/>
      <c r="G690" s="1100"/>
      <c r="H690" s="1100"/>
      <c r="I690" s="1100"/>
      <c r="J690" s="1100"/>
      <c r="K690" s="1074"/>
      <c r="L690" s="1074"/>
      <c r="M690" s="1074"/>
      <c r="N690" s="1074"/>
      <c r="O690" s="1074"/>
      <c r="P690" s="1074"/>
      <c r="Q690" s="1074"/>
      <c r="R690" s="1074"/>
      <c r="S690" s="1074"/>
      <c r="T690" s="1074"/>
      <c r="U690" s="1074"/>
      <c r="V690" s="1074"/>
      <c r="W690" s="1074"/>
      <c r="X690" s="1074"/>
      <c r="Y690" s="1074"/>
      <c r="Z690" s="1074"/>
      <c r="AA690" s="1074"/>
      <c r="AB690" s="1074"/>
      <c r="AC690" s="1074"/>
      <c r="AD690" s="1074"/>
      <c r="AE690" s="1074"/>
      <c r="AF690" s="1074"/>
      <c r="AG690" s="1074"/>
      <c r="AH690" s="1074"/>
      <c r="AI690" s="1074"/>
      <c r="AJ690" s="1074"/>
      <c r="AK690" s="1074"/>
      <c r="AL690" s="1074"/>
      <c r="AM690" s="1074"/>
      <c r="AN690" s="1074"/>
      <c r="AO690" s="1074"/>
      <c r="AP690" s="1074"/>
      <c r="AQ690" s="1074"/>
      <c r="AR690" s="1074"/>
      <c r="AS690" s="1074"/>
      <c r="AT690" s="1075"/>
    </row>
    <row r="691" ht="14.25" customHeight="1">
      <c r="A691" s="1116"/>
      <c r="B691" s="1120"/>
      <c r="C691" s="1100"/>
      <c r="D691" s="1100"/>
      <c r="E691" s="1100"/>
      <c r="F691" s="1100"/>
      <c r="G691" s="1100"/>
      <c r="H691" s="1100"/>
      <c r="I691" s="1100"/>
      <c r="J691" s="1100"/>
      <c r="K691" s="1074"/>
      <c r="L691" s="1074"/>
      <c r="M691" s="1074"/>
      <c r="N691" s="1074"/>
      <c r="O691" s="1074"/>
      <c r="P691" s="1074"/>
      <c r="Q691" s="1074"/>
      <c r="R691" s="1074"/>
      <c r="S691" s="1074"/>
      <c r="T691" s="1074"/>
      <c r="U691" s="1074"/>
      <c r="V691" s="1074"/>
      <c r="W691" s="1074"/>
      <c r="X691" s="1074"/>
      <c r="Y691" s="1074"/>
      <c r="Z691" s="1074"/>
      <c r="AA691" s="1074"/>
      <c r="AB691" s="1074"/>
      <c r="AC691" s="1074"/>
      <c r="AD691" s="1074"/>
      <c r="AE691" s="1074"/>
      <c r="AF691" s="1074"/>
      <c r="AG691" s="1074"/>
      <c r="AH691" s="1074"/>
      <c r="AI691" s="1074"/>
      <c r="AJ691" s="1074"/>
      <c r="AK691" s="1074"/>
      <c r="AL691" s="1074"/>
      <c r="AM691" s="1074"/>
      <c r="AN691" s="1074"/>
      <c r="AO691" s="1074"/>
      <c r="AP691" s="1074"/>
      <c r="AQ691" s="1074"/>
      <c r="AR691" s="1074"/>
      <c r="AS691" s="1074"/>
      <c r="AT691" s="1075"/>
    </row>
    <row r="692" ht="14.25" customHeight="1">
      <c r="A692" s="1116"/>
      <c r="B692" s="1120"/>
      <c r="C692" s="1100"/>
      <c r="D692" s="1100"/>
      <c r="E692" s="1100"/>
      <c r="F692" s="1100"/>
      <c r="G692" s="1100"/>
      <c r="H692" s="1100"/>
      <c r="I692" s="1100"/>
      <c r="J692" s="1100"/>
      <c r="K692" s="1074"/>
      <c r="L692" s="1074"/>
      <c r="M692" s="1074"/>
      <c r="N692" s="1074"/>
      <c r="O692" s="1074"/>
      <c r="P692" s="1074"/>
      <c r="Q692" s="1074"/>
      <c r="R692" s="1074"/>
      <c r="S692" s="1074"/>
      <c r="T692" s="1074"/>
      <c r="U692" s="1074"/>
      <c r="V692" s="1074"/>
      <c r="W692" s="1074"/>
      <c r="X692" s="1074"/>
      <c r="Y692" s="1074"/>
      <c r="Z692" s="1074"/>
      <c r="AA692" s="1074"/>
      <c r="AB692" s="1074"/>
      <c r="AC692" s="1074"/>
      <c r="AD692" s="1074"/>
      <c r="AE692" s="1074"/>
      <c r="AF692" s="1074"/>
      <c r="AG692" s="1074"/>
      <c r="AH692" s="1074"/>
      <c r="AI692" s="1074"/>
      <c r="AJ692" s="1074"/>
      <c r="AK692" s="1074"/>
      <c r="AL692" s="1074"/>
      <c r="AM692" s="1074"/>
      <c r="AN692" s="1074"/>
      <c r="AO692" s="1074"/>
      <c r="AP692" s="1074"/>
      <c r="AQ692" s="1074"/>
      <c r="AR692" s="1074"/>
      <c r="AS692" s="1074"/>
      <c r="AT692" s="1075"/>
    </row>
    <row r="693" ht="14.25" customHeight="1">
      <c r="A693" s="1116"/>
      <c r="B693" s="1120"/>
      <c r="C693" s="1100"/>
      <c r="D693" s="1100"/>
      <c r="E693" s="1100"/>
      <c r="F693" s="1100"/>
      <c r="G693" s="1100"/>
      <c r="H693" s="1100"/>
      <c r="I693" s="1100"/>
      <c r="J693" s="1100"/>
      <c r="K693" s="1074"/>
      <c r="L693" s="1074"/>
      <c r="M693" s="1074"/>
      <c r="N693" s="1074"/>
      <c r="O693" s="1074"/>
      <c r="P693" s="1074"/>
      <c r="Q693" s="1074"/>
      <c r="R693" s="1074"/>
      <c r="S693" s="1074"/>
      <c r="T693" s="1074"/>
      <c r="U693" s="1074"/>
      <c r="V693" s="1074"/>
      <c r="W693" s="1074"/>
      <c r="X693" s="1074"/>
      <c r="Y693" s="1074"/>
      <c r="Z693" s="1074"/>
      <c r="AA693" s="1074"/>
      <c r="AB693" s="1074"/>
      <c r="AC693" s="1074"/>
      <c r="AD693" s="1074"/>
      <c r="AE693" s="1074"/>
      <c r="AF693" s="1074"/>
      <c r="AG693" s="1074"/>
      <c r="AH693" s="1074"/>
      <c r="AI693" s="1074"/>
      <c r="AJ693" s="1074"/>
      <c r="AK693" s="1074"/>
      <c r="AL693" s="1074"/>
      <c r="AM693" s="1074"/>
      <c r="AN693" s="1074"/>
      <c r="AO693" s="1074"/>
      <c r="AP693" s="1074"/>
      <c r="AQ693" s="1074"/>
      <c r="AR693" s="1074"/>
      <c r="AS693" s="1074"/>
      <c r="AT693" s="1075"/>
    </row>
    <row r="694" ht="14.25" customHeight="1">
      <c r="A694" s="1116"/>
      <c r="B694" s="1120"/>
      <c r="C694" s="1100"/>
      <c r="D694" s="1100"/>
      <c r="E694" s="1100"/>
      <c r="F694" s="1100"/>
      <c r="G694" s="1100"/>
      <c r="H694" s="1100"/>
      <c r="I694" s="1100"/>
      <c r="J694" s="1100"/>
      <c r="K694" s="1074"/>
      <c r="L694" s="1074"/>
      <c r="M694" s="1074"/>
      <c r="N694" s="1074"/>
      <c r="O694" s="1074"/>
      <c r="P694" s="1074"/>
      <c r="Q694" s="1074"/>
      <c r="R694" s="1074"/>
      <c r="S694" s="1074"/>
      <c r="T694" s="1074"/>
      <c r="U694" s="1074"/>
      <c r="V694" s="1074"/>
      <c r="W694" s="1074"/>
      <c r="X694" s="1074"/>
      <c r="Y694" s="1074"/>
      <c r="Z694" s="1074"/>
      <c r="AA694" s="1074"/>
      <c r="AB694" s="1074"/>
      <c r="AC694" s="1074"/>
      <c r="AD694" s="1074"/>
      <c r="AE694" s="1074"/>
      <c r="AF694" s="1074"/>
      <c r="AG694" s="1074"/>
      <c r="AH694" s="1074"/>
      <c r="AI694" s="1074"/>
      <c r="AJ694" s="1074"/>
      <c r="AK694" s="1074"/>
      <c r="AL694" s="1074"/>
      <c r="AM694" s="1074"/>
      <c r="AN694" s="1074"/>
      <c r="AO694" s="1074"/>
      <c r="AP694" s="1074"/>
      <c r="AQ694" s="1074"/>
      <c r="AR694" s="1074"/>
      <c r="AS694" s="1074"/>
      <c r="AT694" s="1075"/>
    </row>
    <row r="695" ht="14.25" customHeight="1">
      <c r="A695" s="1116"/>
      <c r="B695" s="1120"/>
      <c r="C695" s="1100"/>
      <c r="D695" s="1100"/>
      <c r="E695" s="1100"/>
      <c r="F695" s="1100"/>
      <c r="G695" s="1100"/>
      <c r="H695" s="1100"/>
      <c r="I695" s="1100"/>
      <c r="J695" s="1100"/>
      <c r="K695" s="1074"/>
      <c r="L695" s="1074"/>
      <c r="M695" s="1074"/>
      <c r="N695" s="1074"/>
      <c r="O695" s="1074"/>
      <c r="P695" s="1074"/>
      <c r="Q695" s="1074"/>
      <c r="R695" s="1074"/>
      <c r="S695" s="1074"/>
      <c r="T695" s="1074"/>
      <c r="U695" s="1074"/>
      <c r="V695" s="1074"/>
      <c r="W695" s="1074"/>
      <c r="X695" s="1074"/>
      <c r="Y695" s="1074"/>
      <c r="Z695" s="1074"/>
      <c r="AA695" s="1074"/>
      <c r="AB695" s="1074"/>
      <c r="AC695" s="1074"/>
      <c r="AD695" s="1074"/>
      <c r="AE695" s="1074"/>
      <c r="AF695" s="1074"/>
      <c r="AG695" s="1074"/>
      <c r="AH695" s="1074"/>
      <c r="AI695" s="1074"/>
      <c r="AJ695" s="1074"/>
      <c r="AK695" s="1074"/>
      <c r="AL695" s="1074"/>
      <c r="AM695" s="1074"/>
      <c r="AN695" s="1074"/>
      <c r="AO695" s="1074"/>
      <c r="AP695" s="1074"/>
      <c r="AQ695" s="1074"/>
      <c r="AR695" s="1074"/>
      <c r="AS695" s="1074"/>
      <c r="AT695" s="1075"/>
    </row>
    <row r="696" ht="14.25" customHeight="1">
      <c r="A696" s="1116"/>
      <c r="B696" s="1120"/>
      <c r="C696" s="1100"/>
      <c r="D696" s="1100"/>
      <c r="E696" s="1100"/>
      <c r="F696" s="1100"/>
      <c r="G696" s="1100"/>
      <c r="H696" s="1100"/>
      <c r="I696" s="1100"/>
      <c r="J696" s="1100"/>
      <c r="K696" s="1074"/>
      <c r="L696" s="1074"/>
      <c r="M696" s="1074"/>
      <c r="N696" s="1074"/>
      <c r="O696" s="1074"/>
      <c r="P696" s="1074"/>
      <c r="Q696" s="1074"/>
      <c r="R696" s="1074"/>
      <c r="S696" s="1074"/>
      <c r="T696" s="1074"/>
      <c r="U696" s="1074"/>
      <c r="V696" s="1074"/>
      <c r="W696" s="1074"/>
      <c r="X696" s="1074"/>
      <c r="Y696" s="1074"/>
      <c r="Z696" s="1074"/>
      <c r="AA696" s="1074"/>
      <c r="AB696" s="1074"/>
      <c r="AC696" s="1074"/>
      <c r="AD696" s="1074"/>
      <c r="AE696" s="1074"/>
      <c r="AF696" s="1074"/>
      <c r="AG696" s="1074"/>
      <c r="AH696" s="1074"/>
      <c r="AI696" s="1074"/>
      <c r="AJ696" s="1074"/>
      <c r="AK696" s="1074"/>
      <c r="AL696" s="1074"/>
      <c r="AM696" s="1074"/>
      <c r="AN696" s="1074"/>
      <c r="AO696" s="1074"/>
      <c r="AP696" s="1074"/>
      <c r="AQ696" s="1074"/>
      <c r="AR696" s="1074"/>
      <c r="AS696" s="1074"/>
      <c r="AT696" s="1075"/>
    </row>
    <row r="697" ht="14.25" customHeight="1">
      <c r="A697" s="1116"/>
      <c r="B697" s="1120"/>
      <c r="C697" s="1100"/>
      <c r="D697" s="1100"/>
      <c r="E697" s="1100"/>
      <c r="F697" s="1100"/>
      <c r="G697" s="1100"/>
      <c r="H697" s="1100"/>
      <c r="I697" s="1100"/>
      <c r="J697" s="1100"/>
      <c r="K697" s="1074"/>
      <c r="L697" s="1074"/>
      <c r="M697" s="1074"/>
      <c r="N697" s="1074"/>
      <c r="O697" s="1074"/>
      <c r="P697" s="1074"/>
      <c r="Q697" s="1074"/>
      <c r="R697" s="1074"/>
      <c r="S697" s="1074"/>
      <c r="T697" s="1074"/>
      <c r="U697" s="1074"/>
      <c r="V697" s="1074"/>
      <c r="W697" s="1074"/>
      <c r="X697" s="1074"/>
      <c r="Y697" s="1074"/>
      <c r="Z697" s="1074"/>
      <c r="AA697" s="1074"/>
      <c r="AB697" s="1074"/>
      <c r="AC697" s="1074"/>
      <c r="AD697" s="1074"/>
      <c r="AE697" s="1074"/>
      <c r="AF697" s="1074"/>
      <c r="AG697" s="1074"/>
      <c r="AH697" s="1074"/>
      <c r="AI697" s="1074"/>
      <c r="AJ697" s="1074"/>
      <c r="AK697" s="1074"/>
      <c r="AL697" s="1074"/>
      <c r="AM697" s="1074"/>
      <c r="AN697" s="1074"/>
      <c r="AO697" s="1074"/>
      <c r="AP697" s="1074"/>
      <c r="AQ697" s="1074"/>
      <c r="AR697" s="1074"/>
      <c r="AS697" s="1074"/>
      <c r="AT697" s="1075"/>
    </row>
    <row r="698" ht="14.25" customHeight="1">
      <c r="A698" s="1116"/>
      <c r="B698" s="1120"/>
      <c r="C698" s="1100"/>
      <c r="D698" s="1100"/>
      <c r="E698" s="1100"/>
      <c r="F698" s="1100"/>
      <c r="G698" s="1100"/>
      <c r="H698" s="1100"/>
      <c r="I698" s="1100"/>
      <c r="J698" s="1100"/>
      <c r="K698" s="1074"/>
      <c r="L698" s="1074"/>
      <c r="M698" s="1074"/>
      <c r="N698" s="1074"/>
      <c r="O698" s="1074"/>
      <c r="P698" s="1074"/>
      <c r="Q698" s="1074"/>
      <c r="R698" s="1074"/>
      <c r="S698" s="1074"/>
      <c r="T698" s="1074"/>
      <c r="U698" s="1074"/>
      <c r="V698" s="1074"/>
      <c r="W698" s="1074"/>
      <c r="X698" s="1074"/>
      <c r="Y698" s="1074"/>
      <c r="Z698" s="1074"/>
      <c r="AA698" s="1074"/>
      <c r="AB698" s="1074"/>
      <c r="AC698" s="1074"/>
      <c r="AD698" s="1074"/>
      <c r="AE698" s="1074"/>
      <c r="AF698" s="1074"/>
      <c r="AG698" s="1074"/>
      <c r="AH698" s="1074"/>
      <c r="AI698" s="1074"/>
      <c r="AJ698" s="1074"/>
      <c r="AK698" s="1074"/>
      <c r="AL698" s="1074"/>
      <c r="AM698" s="1074"/>
      <c r="AN698" s="1074"/>
      <c r="AO698" s="1074"/>
      <c r="AP698" s="1074"/>
      <c r="AQ698" s="1074"/>
      <c r="AR698" s="1074"/>
      <c r="AS698" s="1074"/>
      <c r="AT698" s="1075"/>
    </row>
    <row r="699" ht="14.25" customHeight="1">
      <c r="A699" s="1116"/>
      <c r="B699" s="1120"/>
      <c r="C699" s="1100"/>
      <c r="D699" s="1100"/>
      <c r="E699" s="1100"/>
      <c r="F699" s="1100"/>
      <c r="G699" s="1100"/>
      <c r="H699" s="1100"/>
      <c r="I699" s="1100"/>
      <c r="J699" s="1100"/>
      <c r="K699" s="1074"/>
      <c r="L699" s="1074"/>
      <c r="M699" s="1074"/>
      <c r="N699" s="1074"/>
      <c r="O699" s="1074"/>
      <c r="P699" s="1074"/>
      <c r="Q699" s="1074"/>
      <c r="R699" s="1074"/>
      <c r="S699" s="1074"/>
      <c r="T699" s="1074"/>
      <c r="U699" s="1074"/>
      <c r="V699" s="1074"/>
      <c r="W699" s="1074"/>
      <c r="X699" s="1074"/>
      <c r="Y699" s="1074"/>
      <c r="Z699" s="1074"/>
      <c r="AA699" s="1074"/>
      <c r="AB699" s="1074"/>
      <c r="AC699" s="1074"/>
      <c r="AD699" s="1074"/>
      <c r="AE699" s="1074"/>
      <c r="AF699" s="1074"/>
      <c r="AG699" s="1074"/>
      <c r="AH699" s="1074"/>
      <c r="AI699" s="1074"/>
      <c r="AJ699" s="1074"/>
      <c r="AK699" s="1074"/>
      <c r="AL699" s="1074"/>
      <c r="AM699" s="1074"/>
      <c r="AN699" s="1074"/>
      <c r="AO699" s="1074"/>
      <c r="AP699" s="1074"/>
      <c r="AQ699" s="1074"/>
      <c r="AR699" s="1074"/>
      <c r="AS699" s="1074"/>
      <c r="AT699" s="1075"/>
    </row>
    <row r="700" ht="14.25" customHeight="1">
      <c r="A700" s="1116"/>
      <c r="B700" s="1120"/>
      <c r="C700" s="1100"/>
      <c r="D700" s="1100"/>
      <c r="E700" s="1100"/>
      <c r="F700" s="1100"/>
      <c r="G700" s="1100"/>
      <c r="H700" s="1100"/>
      <c r="I700" s="1100"/>
      <c r="J700" s="1100"/>
      <c r="K700" s="1074"/>
      <c r="L700" s="1074"/>
      <c r="M700" s="1074"/>
      <c r="N700" s="1074"/>
      <c r="O700" s="1074"/>
      <c r="P700" s="1074"/>
      <c r="Q700" s="1074"/>
      <c r="R700" s="1074"/>
      <c r="S700" s="1074"/>
      <c r="T700" s="1074"/>
      <c r="U700" s="1074"/>
      <c r="V700" s="1074"/>
      <c r="W700" s="1074"/>
      <c r="X700" s="1074"/>
      <c r="Y700" s="1074"/>
      <c r="Z700" s="1074"/>
      <c r="AA700" s="1074"/>
      <c r="AB700" s="1074"/>
      <c r="AC700" s="1074"/>
      <c r="AD700" s="1074"/>
      <c r="AE700" s="1074"/>
      <c r="AF700" s="1074"/>
      <c r="AG700" s="1074"/>
      <c r="AH700" s="1074"/>
      <c r="AI700" s="1074"/>
      <c r="AJ700" s="1074"/>
      <c r="AK700" s="1074"/>
      <c r="AL700" s="1074"/>
      <c r="AM700" s="1074"/>
      <c r="AN700" s="1074"/>
      <c r="AO700" s="1074"/>
      <c r="AP700" s="1074"/>
      <c r="AQ700" s="1074"/>
      <c r="AR700" s="1074"/>
      <c r="AS700" s="1074"/>
      <c r="AT700" s="1075"/>
    </row>
    <row r="701" ht="14.25" customHeight="1">
      <c r="A701" s="1116"/>
      <c r="B701" s="1120"/>
      <c r="C701" s="1100"/>
      <c r="D701" s="1100"/>
      <c r="E701" s="1100"/>
      <c r="F701" s="1100"/>
      <c r="G701" s="1100"/>
      <c r="H701" s="1100"/>
      <c r="I701" s="1100"/>
      <c r="J701" s="1100"/>
      <c r="K701" s="1074"/>
      <c r="L701" s="1074"/>
      <c r="M701" s="1074"/>
      <c r="N701" s="1074"/>
      <c r="O701" s="1074"/>
      <c r="P701" s="1074"/>
      <c r="Q701" s="1074"/>
      <c r="R701" s="1074"/>
      <c r="S701" s="1074"/>
      <c r="T701" s="1074"/>
      <c r="U701" s="1074"/>
      <c r="V701" s="1074"/>
      <c r="W701" s="1074"/>
      <c r="X701" s="1074"/>
      <c r="Y701" s="1074"/>
      <c r="Z701" s="1074"/>
      <c r="AA701" s="1074"/>
      <c r="AB701" s="1074"/>
      <c r="AC701" s="1074"/>
      <c r="AD701" s="1074"/>
      <c r="AE701" s="1074"/>
      <c r="AF701" s="1074"/>
      <c r="AG701" s="1074"/>
      <c r="AH701" s="1074"/>
      <c r="AI701" s="1074"/>
      <c r="AJ701" s="1074"/>
      <c r="AK701" s="1074"/>
      <c r="AL701" s="1074"/>
      <c r="AM701" s="1074"/>
      <c r="AN701" s="1074"/>
      <c r="AO701" s="1074"/>
      <c r="AP701" s="1074"/>
      <c r="AQ701" s="1074"/>
      <c r="AR701" s="1074"/>
      <c r="AS701" s="1074"/>
      <c r="AT701" s="1075"/>
    </row>
    <row r="702" ht="14.25" customHeight="1">
      <c r="A702" s="1116"/>
      <c r="B702" s="1120"/>
      <c r="C702" s="1100"/>
      <c r="D702" s="1100"/>
      <c r="E702" s="1100"/>
      <c r="F702" s="1100"/>
      <c r="G702" s="1100"/>
      <c r="H702" s="1100"/>
      <c r="I702" s="1100"/>
      <c r="J702" s="1100"/>
      <c r="K702" s="1074"/>
      <c r="L702" s="1074"/>
      <c r="M702" s="1074"/>
      <c r="N702" s="1074"/>
      <c r="O702" s="1074"/>
      <c r="P702" s="1074"/>
      <c r="Q702" s="1074"/>
      <c r="R702" s="1074"/>
      <c r="S702" s="1074"/>
      <c r="T702" s="1074"/>
      <c r="U702" s="1074"/>
      <c r="V702" s="1074"/>
      <c r="W702" s="1074"/>
      <c r="X702" s="1074"/>
      <c r="Y702" s="1074"/>
      <c r="Z702" s="1074"/>
      <c r="AA702" s="1074"/>
      <c r="AB702" s="1074"/>
      <c r="AC702" s="1074"/>
      <c r="AD702" s="1074"/>
      <c r="AE702" s="1074"/>
      <c r="AF702" s="1074"/>
      <c r="AG702" s="1074"/>
      <c r="AH702" s="1074"/>
      <c r="AI702" s="1074"/>
      <c r="AJ702" s="1074"/>
      <c r="AK702" s="1074"/>
      <c r="AL702" s="1074"/>
      <c r="AM702" s="1074"/>
      <c r="AN702" s="1074"/>
      <c r="AO702" s="1074"/>
      <c r="AP702" s="1074"/>
      <c r="AQ702" s="1074"/>
      <c r="AR702" s="1074"/>
      <c r="AS702" s="1074"/>
      <c r="AT702" s="1075"/>
    </row>
    <row r="703" ht="14.25" customHeight="1">
      <c r="A703" s="1116"/>
      <c r="B703" s="1120"/>
      <c r="C703" s="1100"/>
      <c r="D703" s="1100"/>
      <c r="E703" s="1100"/>
      <c r="F703" s="1100"/>
      <c r="G703" s="1100"/>
      <c r="H703" s="1100"/>
      <c r="I703" s="1100"/>
      <c r="J703" s="1100"/>
      <c r="K703" s="1074"/>
      <c r="L703" s="1074"/>
      <c r="M703" s="1074"/>
      <c r="N703" s="1074"/>
      <c r="O703" s="1074"/>
      <c r="P703" s="1074"/>
      <c r="Q703" s="1074"/>
      <c r="R703" s="1074"/>
      <c r="S703" s="1074"/>
      <c r="T703" s="1074"/>
      <c r="U703" s="1074"/>
      <c r="V703" s="1074"/>
      <c r="W703" s="1074"/>
      <c r="X703" s="1074"/>
      <c r="Y703" s="1074"/>
      <c r="Z703" s="1074"/>
      <c r="AA703" s="1074"/>
      <c r="AB703" s="1074"/>
      <c r="AC703" s="1074"/>
      <c r="AD703" s="1074"/>
      <c r="AE703" s="1074"/>
      <c r="AF703" s="1074"/>
      <c r="AG703" s="1074"/>
      <c r="AH703" s="1074"/>
      <c r="AI703" s="1074"/>
      <c r="AJ703" s="1074"/>
      <c r="AK703" s="1074"/>
      <c r="AL703" s="1074"/>
      <c r="AM703" s="1074"/>
      <c r="AN703" s="1074"/>
      <c r="AO703" s="1074"/>
      <c r="AP703" s="1074"/>
      <c r="AQ703" s="1074"/>
      <c r="AR703" s="1074"/>
      <c r="AS703" s="1074"/>
      <c r="AT703" s="1075"/>
    </row>
    <row r="704" ht="14.25" customHeight="1">
      <c r="A704" s="1116"/>
      <c r="B704" s="1120"/>
      <c r="C704" s="1100"/>
      <c r="D704" s="1100"/>
      <c r="E704" s="1100"/>
      <c r="F704" s="1100"/>
      <c r="G704" s="1100"/>
      <c r="H704" s="1100"/>
      <c r="I704" s="1100"/>
      <c r="J704" s="1100"/>
      <c r="K704" s="1074"/>
      <c r="L704" s="1074"/>
      <c r="M704" s="1074"/>
      <c r="N704" s="1074"/>
      <c r="O704" s="1074"/>
      <c r="P704" s="1074"/>
      <c r="Q704" s="1074"/>
      <c r="R704" s="1074"/>
      <c r="S704" s="1074"/>
      <c r="T704" s="1074"/>
      <c r="U704" s="1074"/>
      <c r="V704" s="1074"/>
      <c r="W704" s="1074"/>
      <c r="X704" s="1074"/>
      <c r="Y704" s="1074"/>
      <c r="Z704" s="1074"/>
      <c r="AA704" s="1074"/>
      <c r="AB704" s="1074"/>
      <c r="AC704" s="1074"/>
      <c r="AD704" s="1074"/>
      <c r="AE704" s="1074"/>
      <c r="AF704" s="1074"/>
      <c r="AG704" s="1074"/>
      <c r="AH704" s="1074"/>
      <c r="AI704" s="1074"/>
      <c r="AJ704" s="1074"/>
      <c r="AK704" s="1074"/>
      <c r="AL704" s="1074"/>
      <c r="AM704" s="1074"/>
      <c r="AN704" s="1074"/>
      <c r="AO704" s="1074"/>
      <c r="AP704" s="1074"/>
      <c r="AQ704" s="1074"/>
      <c r="AR704" s="1074"/>
      <c r="AS704" s="1074"/>
      <c r="AT704" s="1075"/>
    </row>
    <row r="705" ht="14.25" customHeight="1">
      <c r="A705" s="1116"/>
      <c r="B705" s="1120"/>
      <c r="C705" s="1100"/>
      <c r="D705" s="1100"/>
      <c r="E705" s="1100"/>
      <c r="F705" s="1100"/>
      <c r="G705" s="1100"/>
      <c r="H705" s="1100"/>
      <c r="I705" s="1100"/>
      <c r="J705" s="1100"/>
      <c r="K705" s="1074"/>
      <c r="L705" s="1074"/>
      <c r="M705" s="1074"/>
      <c r="N705" s="1074"/>
      <c r="O705" s="1074"/>
      <c r="P705" s="1074"/>
      <c r="Q705" s="1074"/>
      <c r="R705" s="1074"/>
      <c r="S705" s="1074"/>
      <c r="T705" s="1074"/>
      <c r="U705" s="1074"/>
      <c r="V705" s="1074"/>
      <c r="W705" s="1074"/>
      <c r="X705" s="1074"/>
      <c r="Y705" s="1074"/>
      <c r="Z705" s="1074"/>
      <c r="AA705" s="1074"/>
      <c r="AB705" s="1074"/>
      <c r="AC705" s="1074"/>
      <c r="AD705" s="1074"/>
      <c r="AE705" s="1074"/>
      <c r="AF705" s="1074"/>
      <c r="AG705" s="1074"/>
      <c r="AH705" s="1074"/>
      <c r="AI705" s="1074"/>
      <c r="AJ705" s="1074"/>
      <c r="AK705" s="1074"/>
      <c r="AL705" s="1074"/>
      <c r="AM705" s="1074"/>
      <c r="AN705" s="1074"/>
      <c r="AO705" s="1074"/>
      <c r="AP705" s="1074"/>
      <c r="AQ705" s="1074"/>
      <c r="AR705" s="1074"/>
      <c r="AS705" s="1074"/>
      <c r="AT705" s="1075"/>
    </row>
    <row r="706" ht="14.25" customHeight="1">
      <c r="A706" s="1116"/>
      <c r="B706" s="1120"/>
      <c r="C706" s="1100"/>
      <c r="D706" s="1100"/>
      <c r="E706" s="1100"/>
      <c r="F706" s="1100"/>
      <c r="G706" s="1100"/>
      <c r="H706" s="1100"/>
      <c r="I706" s="1100"/>
      <c r="J706" s="1100"/>
      <c r="K706" s="1074"/>
      <c r="L706" s="1074"/>
      <c r="M706" s="1074"/>
      <c r="N706" s="1074"/>
      <c r="O706" s="1074"/>
      <c r="P706" s="1074"/>
      <c r="Q706" s="1074"/>
      <c r="R706" s="1074"/>
      <c r="S706" s="1074"/>
      <c r="T706" s="1074"/>
      <c r="U706" s="1074"/>
      <c r="V706" s="1074"/>
      <c r="W706" s="1074"/>
      <c r="X706" s="1074"/>
      <c r="Y706" s="1074"/>
      <c r="Z706" s="1074"/>
      <c r="AA706" s="1074"/>
      <c r="AB706" s="1074"/>
      <c r="AC706" s="1074"/>
      <c r="AD706" s="1074"/>
      <c r="AE706" s="1074"/>
      <c r="AF706" s="1074"/>
      <c r="AG706" s="1074"/>
      <c r="AH706" s="1074"/>
      <c r="AI706" s="1074"/>
      <c r="AJ706" s="1074"/>
      <c r="AK706" s="1074"/>
      <c r="AL706" s="1074"/>
      <c r="AM706" s="1074"/>
      <c r="AN706" s="1074"/>
      <c r="AO706" s="1074"/>
      <c r="AP706" s="1074"/>
      <c r="AQ706" s="1074"/>
      <c r="AR706" s="1074"/>
      <c r="AS706" s="1074"/>
      <c r="AT706" s="1075"/>
    </row>
    <row r="707" ht="14.25" customHeight="1">
      <c r="A707" s="1116"/>
      <c r="B707" s="1120"/>
      <c r="C707" s="1100"/>
      <c r="D707" s="1100"/>
      <c r="E707" s="1100"/>
      <c r="F707" s="1100"/>
      <c r="G707" s="1100"/>
      <c r="H707" s="1100"/>
      <c r="I707" s="1100"/>
      <c r="J707" s="1100"/>
      <c r="K707" s="1074"/>
      <c r="L707" s="1074"/>
      <c r="M707" s="1074"/>
      <c r="N707" s="1074"/>
      <c r="O707" s="1074"/>
      <c r="P707" s="1074"/>
      <c r="Q707" s="1074"/>
      <c r="R707" s="1074"/>
      <c r="S707" s="1074"/>
      <c r="T707" s="1074"/>
      <c r="U707" s="1074"/>
      <c r="V707" s="1074"/>
      <c r="W707" s="1074"/>
      <c r="X707" s="1074"/>
      <c r="Y707" s="1074"/>
      <c r="Z707" s="1074"/>
      <c r="AA707" s="1074"/>
      <c r="AB707" s="1074"/>
      <c r="AC707" s="1074"/>
      <c r="AD707" s="1074"/>
      <c r="AE707" s="1074"/>
      <c r="AF707" s="1074"/>
      <c r="AG707" s="1074"/>
      <c r="AH707" s="1074"/>
      <c r="AI707" s="1074"/>
      <c r="AJ707" s="1074"/>
      <c r="AK707" s="1074"/>
      <c r="AL707" s="1074"/>
      <c r="AM707" s="1074"/>
      <c r="AN707" s="1074"/>
      <c r="AO707" s="1074"/>
      <c r="AP707" s="1074"/>
      <c r="AQ707" s="1074"/>
      <c r="AR707" s="1074"/>
      <c r="AS707" s="1074"/>
      <c r="AT707" s="1075"/>
    </row>
    <row r="708" ht="14.25" customHeight="1">
      <c r="A708" s="1116"/>
      <c r="B708" s="1120"/>
      <c r="C708" s="1100"/>
      <c r="D708" s="1100"/>
      <c r="E708" s="1100"/>
      <c r="F708" s="1100"/>
      <c r="G708" s="1100"/>
      <c r="H708" s="1100"/>
      <c r="I708" s="1100"/>
      <c r="J708" s="1100"/>
      <c r="K708" s="1074"/>
      <c r="L708" s="1074"/>
      <c r="M708" s="1074"/>
      <c r="N708" s="1074"/>
      <c r="O708" s="1074"/>
      <c r="P708" s="1074"/>
      <c r="Q708" s="1074"/>
      <c r="R708" s="1074"/>
      <c r="S708" s="1074"/>
      <c r="T708" s="1074"/>
      <c r="U708" s="1074"/>
      <c r="V708" s="1074"/>
      <c r="W708" s="1074"/>
      <c r="X708" s="1074"/>
      <c r="Y708" s="1074"/>
      <c r="Z708" s="1074"/>
      <c r="AA708" s="1074"/>
      <c r="AB708" s="1074"/>
      <c r="AC708" s="1074"/>
      <c r="AD708" s="1074"/>
      <c r="AE708" s="1074"/>
      <c r="AF708" s="1074"/>
      <c r="AG708" s="1074"/>
      <c r="AH708" s="1074"/>
      <c r="AI708" s="1074"/>
      <c r="AJ708" s="1074"/>
      <c r="AK708" s="1074"/>
      <c r="AL708" s="1074"/>
      <c r="AM708" s="1074"/>
      <c r="AN708" s="1074"/>
      <c r="AO708" s="1074"/>
      <c r="AP708" s="1074"/>
      <c r="AQ708" s="1074"/>
      <c r="AR708" s="1074"/>
      <c r="AS708" s="1074"/>
      <c r="AT708" s="1075"/>
    </row>
    <row r="709" ht="14.25" customHeight="1">
      <c r="A709" s="1116"/>
      <c r="B709" s="1120"/>
      <c r="C709" s="1100"/>
      <c r="D709" s="1100"/>
      <c r="E709" s="1100"/>
      <c r="F709" s="1100"/>
      <c r="G709" s="1100"/>
      <c r="H709" s="1100"/>
      <c r="I709" s="1100"/>
      <c r="J709" s="1100"/>
      <c r="K709" s="1074"/>
      <c r="L709" s="1074"/>
      <c r="M709" s="1074"/>
      <c r="N709" s="1074"/>
      <c r="O709" s="1074"/>
      <c r="P709" s="1074"/>
      <c r="Q709" s="1074"/>
      <c r="R709" s="1074"/>
      <c r="S709" s="1074"/>
      <c r="T709" s="1074"/>
      <c r="U709" s="1074"/>
      <c r="V709" s="1074"/>
      <c r="W709" s="1074"/>
      <c r="X709" s="1074"/>
      <c r="Y709" s="1074"/>
      <c r="Z709" s="1074"/>
      <c r="AA709" s="1074"/>
      <c r="AB709" s="1074"/>
      <c r="AC709" s="1074"/>
      <c r="AD709" s="1074"/>
      <c r="AE709" s="1074"/>
      <c r="AF709" s="1074"/>
      <c r="AG709" s="1074"/>
      <c r="AH709" s="1074"/>
      <c r="AI709" s="1074"/>
      <c r="AJ709" s="1074"/>
      <c r="AK709" s="1074"/>
      <c r="AL709" s="1074"/>
      <c r="AM709" s="1074"/>
      <c r="AN709" s="1074"/>
      <c r="AO709" s="1074"/>
      <c r="AP709" s="1074"/>
      <c r="AQ709" s="1074"/>
      <c r="AR709" s="1074"/>
      <c r="AS709" s="1074"/>
      <c r="AT709" s="1075"/>
    </row>
    <row r="710" ht="14.25" customHeight="1">
      <c r="A710" s="1116"/>
      <c r="B710" s="1120"/>
      <c r="C710" s="1100"/>
      <c r="D710" s="1100"/>
      <c r="E710" s="1100"/>
      <c r="F710" s="1100"/>
      <c r="G710" s="1100"/>
      <c r="H710" s="1100"/>
      <c r="I710" s="1100"/>
      <c r="J710" s="1100"/>
      <c r="K710" s="1074"/>
      <c r="L710" s="1074"/>
      <c r="M710" s="1074"/>
      <c r="N710" s="1074"/>
      <c r="O710" s="1074"/>
      <c r="P710" s="1074"/>
      <c r="Q710" s="1074"/>
      <c r="R710" s="1074"/>
      <c r="S710" s="1074"/>
      <c r="T710" s="1074"/>
      <c r="U710" s="1074"/>
      <c r="V710" s="1074"/>
      <c r="W710" s="1074"/>
      <c r="X710" s="1074"/>
      <c r="Y710" s="1074"/>
      <c r="Z710" s="1074"/>
      <c r="AA710" s="1074"/>
      <c r="AB710" s="1074"/>
      <c r="AC710" s="1074"/>
      <c r="AD710" s="1074"/>
      <c r="AE710" s="1074"/>
      <c r="AF710" s="1074"/>
      <c r="AG710" s="1074"/>
      <c r="AH710" s="1074"/>
      <c r="AI710" s="1074"/>
      <c r="AJ710" s="1074"/>
      <c r="AK710" s="1074"/>
      <c r="AL710" s="1074"/>
      <c r="AM710" s="1074"/>
      <c r="AN710" s="1074"/>
      <c r="AO710" s="1074"/>
      <c r="AP710" s="1074"/>
      <c r="AQ710" s="1074"/>
      <c r="AR710" s="1074"/>
      <c r="AS710" s="1074"/>
      <c r="AT710" s="1075"/>
    </row>
    <row r="711" ht="14.25" customHeight="1">
      <c r="A711" s="1116"/>
      <c r="B711" s="1120"/>
      <c r="C711" s="1100"/>
      <c r="D711" s="1100"/>
      <c r="E711" s="1100"/>
      <c r="F711" s="1100"/>
      <c r="G711" s="1100"/>
      <c r="H711" s="1100"/>
      <c r="I711" s="1100"/>
      <c r="J711" s="1100"/>
      <c r="K711" s="1074"/>
      <c r="L711" s="1074"/>
      <c r="M711" s="1074"/>
      <c r="N711" s="1074"/>
      <c r="O711" s="1074"/>
      <c r="P711" s="1074"/>
      <c r="Q711" s="1074"/>
      <c r="R711" s="1074"/>
      <c r="S711" s="1074"/>
      <c r="T711" s="1074"/>
      <c r="U711" s="1074"/>
      <c r="V711" s="1074"/>
      <c r="W711" s="1074"/>
      <c r="X711" s="1074"/>
      <c r="Y711" s="1074"/>
      <c r="Z711" s="1074"/>
      <c r="AA711" s="1074"/>
      <c r="AB711" s="1074"/>
      <c r="AC711" s="1074"/>
      <c r="AD711" s="1074"/>
      <c r="AE711" s="1074"/>
      <c r="AF711" s="1074"/>
      <c r="AG711" s="1074"/>
      <c r="AH711" s="1074"/>
      <c r="AI711" s="1074"/>
      <c r="AJ711" s="1074"/>
      <c r="AK711" s="1074"/>
      <c r="AL711" s="1074"/>
      <c r="AM711" s="1074"/>
      <c r="AN711" s="1074"/>
      <c r="AO711" s="1074"/>
      <c r="AP711" s="1074"/>
      <c r="AQ711" s="1074"/>
      <c r="AR711" s="1074"/>
      <c r="AS711" s="1074"/>
      <c r="AT711" s="1075"/>
    </row>
    <row r="712" ht="14.25" customHeight="1">
      <c r="A712" s="1116"/>
      <c r="B712" s="1120"/>
      <c r="C712" s="1100"/>
      <c r="D712" s="1100"/>
      <c r="E712" s="1100"/>
      <c r="F712" s="1100"/>
      <c r="G712" s="1100"/>
      <c r="H712" s="1100"/>
      <c r="I712" s="1100"/>
      <c r="J712" s="1100"/>
      <c r="K712" s="1074"/>
      <c r="L712" s="1074"/>
      <c r="M712" s="1074"/>
      <c r="N712" s="1074"/>
      <c r="O712" s="1074"/>
      <c r="P712" s="1074"/>
      <c r="Q712" s="1074"/>
      <c r="R712" s="1074"/>
      <c r="S712" s="1074"/>
      <c r="T712" s="1074"/>
      <c r="U712" s="1074"/>
      <c r="V712" s="1074"/>
      <c r="W712" s="1074"/>
      <c r="X712" s="1074"/>
      <c r="Y712" s="1074"/>
      <c r="Z712" s="1074"/>
      <c r="AA712" s="1074"/>
      <c r="AB712" s="1074"/>
      <c r="AC712" s="1074"/>
      <c r="AD712" s="1074"/>
      <c r="AE712" s="1074"/>
      <c r="AF712" s="1074"/>
      <c r="AG712" s="1074"/>
      <c r="AH712" s="1074"/>
      <c r="AI712" s="1074"/>
      <c r="AJ712" s="1074"/>
      <c r="AK712" s="1074"/>
      <c r="AL712" s="1074"/>
      <c r="AM712" s="1074"/>
      <c r="AN712" s="1074"/>
      <c r="AO712" s="1074"/>
      <c r="AP712" s="1074"/>
      <c r="AQ712" s="1074"/>
      <c r="AR712" s="1074"/>
      <c r="AS712" s="1074"/>
      <c r="AT712" s="1075"/>
    </row>
    <row r="713" ht="14.25" customHeight="1">
      <c r="A713" s="1116"/>
      <c r="B713" s="1120"/>
      <c r="C713" s="1100"/>
      <c r="D713" s="1100"/>
      <c r="E713" s="1100"/>
      <c r="F713" s="1100"/>
      <c r="G713" s="1100"/>
      <c r="H713" s="1100"/>
      <c r="I713" s="1100"/>
      <c r="J713" s="1100"/>
      <c r="K713" s="1074"/>
      <c r="L713" s="1074"/>
      <c r="M713" s="1074"/>
      <c r="N713" s="1074"/>
      <c r="O713" s="1074"/>
      <c r="P713" s="1074"/>
      <c r="Q713" s="1074"/>
      <c r="R713" s="1074"/>
      <c r="S713" s="1074"/>
      <c r="T713" s="1074"/>
      <c r="U713" s="1074"/>
      <c r="V713" s="1074"/>
      <c r="W713" s="1074"/>
      <c r="X713" s="1074"/>
      <c r="Y713" s="1074"/>
      <c r="Z713" s="1074"/>
      <c r="AA713" s="1074"/>
      <c r="AB713" s="1074"/>
      <c r="AC713" s="1074"/>
      <c r="AD713" s="1074"/>
      <c r="AE713" s="1074"/>
      <c r="AF713" s="1074"/>
      <c r="AG713" s="1074"/>
      <c r="AH713" s="1074"/>
      <c r="AI713" s="1074"/>
      <c r="AJ713" s="1074"/>
      <c r="AK713" s="1074"/>
      <c r="AL713" s="1074"/>
      <c r="AM713" s="1074"/>
      <c r="AN713" s="1074"/>
      <c r="AO713" s="1074"/>
      <c r="AP713" s="1074"/>
      <c r="AQ713" s="1074"/>
      <c r="AR713" s="1074"/>
      <c r="AS713" s="1074"/>
      <c r="AT713" s="1075"/>
    </row>
    <row r="714" ht="14.25" customHeight="1">
      <c r="A714" s="1116"/>
      <c r="B714" s="1120"/>
      <c r="C714" s="1100"/>
      <c r="D714" s="1100"/>
      <c r="E714" s="1100"/>
      <c r="F714" s="1100"/>
      <c r="G714" s="1100"/>
      <c r="H714" s="1100"/>
      <c r="I714" s="1100"/>
      <c r="J714" s="1100"/>
      <c r="K714" s="1074"/>
      <c r="L714" s="1074"/>
      <c r="M714" s="1074"/>
      <c r="N714" s="1074"/>
      <c r="O714" s="1074"/>
      <c r="P714" s="1074"/>
      <c r="Q714" s="1074"/>
      <c r="R714" s="1074"/>
      <c r="S714" s="1074"/>
      <c r="T714" s="1074"/>
      <c r="U714" s="1074"/>
      <c r="V714" s="1074"/>
      <c r="W714" s="1074"/>
      <c r="X714" s="1074"/>
      <c r="Y714" s="1074"/>
      <c r="Z714" s="1074"/>
      <c r="AA714" s="1074"/>
      <c r="AB714" s="1074"/>
      <c r="AC714" s="1074"/>
      <c r="AD714" s="1074"/>
      <c r="AE714" s="1074"/>
      <c r="AF714" s="1074"/>
      <c r="AG714" s="1074"/>
      <c r="AH714" s="1074"/>
      <c r="AI714" s="1074"/>
      <c r="AJ714" s="1074"/>
      <c r="AK714" s="1074"/>
      <c r="AL714" s="1074"/>
      <c r="AM714" s="1074"/>
      <c r="AN714" s="1074"/>
      <c r="AO714" s="1074"/>
      <c r="AP714" s="1074"/>
      <c r="AQ714" s="1074"/>
      <c r="AR714" s="1074"/>
      <c r="AS714" s="1074"/>
      <c r="AT714" s="1075"/>
    </row>
    <row r="715" ht="14.25" customHeight="1">
      <c r="A715" s="1116"/>
      <c r="B715" s="1120"/>
      <c r="C715" s="1100"/>
      <c r="D715" s="1100"/>
      <c r="E715" s="1100"/>
      <c r="F715" s="1100"/>
      <c r="G715" s="1100"/>
      <c r="H715" s="1100"/>
      <c r="I715" s="1100"/>
      <c r="J715" s="1100"/>
      <c r="K715" s="1074"/>
      <c r="L715" s="1074"/>
      <c r="M715" s="1074"/>
      <c r="N715" s="1074"/>
      <c r="O715" s="1074"/>
      <c r="P715" s="1074"/>
      <c r="Q715" s="1074"/>
      <c r="R715" s="1074"/>
      <c r="S715" s="1074"/>
      <c r="T715" s="1074"/>
      <c r="U715" s="1074"/>
      <c r="V715" s="1074"/>
      <c r="W715" s="1074"/>
      <c r="X715" s="1074"/>
      <c r="Y715" s="1074"/>
      <c r="Z715" s="1074"/>
      <c r="AA715" s="1074"/>
      <c r="AB715" s="1074"/>
      <c r="AC715" s="1074"/>
      <c r="AD715" s="1074"/>
      <c r="AE715" s="1074"/>
      <c r="AF715" s="1074"/>
      <c r="AG715" s="1074"/>
      <c r="AH715" s="1074"/>
      <c r="AI715" s="1074"/>
      <c r="AJ715" s="1074"/>
      <c r="AK715" s="1074"/>
      <c r="AL715" s="1074"/>
      <c r="AM715" s="1074"/>
      <c r="AN715" s="1074"/>
      <c r="AO715" s="1074"/>
      <c r="AP715" s="1074"/>
      <c r="AQ715" s="1074"/>
      <c r="AR715" s="1074"/>
      <c r="AS715" s="1074"/>
      <c r="AT715" s="1075"/>
    </row>
    <row r="716" ht="14.25" customHeight="1">
      <c r="A716" s="1116"/>
      <c r="B716" s="1120"/>
      <c r="C716" s="1100"/>
      <c r="D716" s="1100"/>
      <c r="E716" s="1100"/>
      <c r="F716" s="1100"/>
      <c r="G716" s="1100"/>
      <c r="H716" s="1100"/>
      <c r="I716" s="1100"/>
      <c r="J716" s="1100"/>
      <c r="K716" s="1074"/>
      <c r="L716" s="1074"/>
      <c r="M716" s="1074"/>
      <c r="N716" s="1074"/>
      <c r="O716" s="1074"/>
      <c r="P716" s="1074"/>
      <c r="Q716" s="1074"/>
      <c r="R716" s="1074"/>
      <c r="S716" s="1074"/>
      <c r="T716" s="1074"/>
      <c r="U716" s="1074"/>
      <c r="V716" s="1074"/>
      <c r="W716" s="1074"/>
      <c r="X716" s="1074"/>
      <c r="Y716" s="1074"/>
      <c r="Z716" s="1074"/>
      <c r="AA716" s="1074"/>
      <c r="AB716" s="1074"/>
      <c r="AC716" s="1074"/>
      <c r="AD716" s="1074"/>
      <c r="AE716" s="1074"/>
      <c r="AF716" s="1074"/>
      <c r="AG716" s="1074"/>
      <c r="AH716" s="1074"/>
      <c r="AI716" s="1074"/>
      <c r="AJ716" s="1074"/>
      <c r="AK716" s="1074"/>
      <c r="AL716" s="1074"/>
      <c r="AM716" s="1074"/>
      <c r="AN716" s="1074"/>
      <c r="AO716" s="1074"/>
      <c r="AP716" s="1074"/>
      <c r="AQ716" s="1074"/>
      <c r="AR716" s="1074"/>
      <c r="AS716" s="1074"/>
      <c r="AT716" s="1075"/>
    </row>
    <row r="717" ht="14.25" customHeight="1">
      <c r="A717" s="1116"/>
      <c r="B717" s="1120"/>
      <c r="C717" s="1100"/>
      <c r="D717" s="1100"/>
      <c r="E717" s="1100"/>
      <c r="F717" s="1100"/>
      <c r="G717" s="1100"/>
      <c r="H717" s="1100"/>
      <c r="I717" s="1100"/>
      <c r="J717" s="1100"/>
      <c r="K717" s="1074"/>
      <c r="L717" s="1074"/>
      <c r="M717" s="1074"/>
      <c r="N717" s="1074"/>
      <c r="O717" s="1074"/>
      <c r="P717" s="1074"/>
      <c r="Q717" s="1074"/>
      <c r="R717" s="1074"/>
      <c r="S717" s="1074"/>
      <c r="T717" s="1074"/>
      <c r="U717" s="1074"/>
      <c r="V717" s="1074"/>
      <c r="W717" s="1074"/>
      <c r="X717" s="1074"/>
      <c r="Y717" s="1074"/>
      <c r="Z717" s="1074"/>
      <c r="AA717" s="1074"/>
      <c r="AB717" s="1074"/>
      <c r="AC717" s="1074"/>
      <c r="AD717" s="1074"/>
      <c r="AE717" s="1074"/>
      <c r="AF717" s="1074"/>
      <c r="AG717" s="1074"/>
      <c r="AH717" s="1074"/>
      <c r="AI717" s="1074"/>
      <c r="AJ717" s="1074"/>
      <c r="AK717" s="1074"/>
      <c r="AL717" s="1074"/>
      <c r="AM717" s="1074"/>
      <c r="AN717" s="1074"/>
      <c r="AO717" s="1074"/>
      <c r="AP717" s="1074"/>
      <c r="AQ717" s="1074"/>
      <c r="AR717" s="1074"/>
      <c r="AS717" s="1074"/>
      <c r="AT717" s="1075"/>
    </row>
    <row r="718" ht="14.25" customHeight="1">
      <c r="A718" s="1116"/>
      <c r="B718" s="1120"/>
      <c r="C718" s="1100"/>
      <c r="D718" s="1100"/>
      <c r="E718" s="1100"/>
      <c r="F718" s="1100"/>
      <c r="G718" s="1100"/>
      <c r="H718" s="1100"/>
      <c r="I718" s="1100"/>
      <c r="J718" s="1100"/>
      <c r="K718" s="1074"/>
      <c r="L718" s="1074"/>
      <c r="M718" s="1074"/>
      <c r="N718" s="1074"/>
      <c r="O718" s="1074"/>
      <c r="P718" s="1074"/>
      <c r="Q718" s="1074"/>
      <c r="R718" s="1074"/>
      <c r="S718" s="1074"/>
      <c r="T718" s="1074"/>
      <c r="U718" s="1074"/>
      <c r="V718" s="1074"/>
      <c r="W718" s="1074"/>
      <c r="X718" s="1074"/>
      <c r="Y718" s="1074"/>
      <c r="Z718" s="1074"/>
      <c r="AA718" s="1074"/>
      <c r="AB718" s="1074"/>
      <c r="AC718" s="1074"/>
      <c r="AD718" s="1074"/>
      <c r="AE718" s="1074"/>
      <c r="AF718" s="1074"/>
      <c r="AG718" s="1074"/>
      <c r="AH718" s="1074"/>
      <c r="AI718" s="1074"/>
      <c r="AJ718" s="1074"/>
      <c r="AK718" s="1074"/>
      <c r="AL718" s="1074"/>
      <c r="AM718" s="1074"/>
      <c r="AN718" s="1074"/>
      <c r="AO718" s="1074"/>
      <c r="AP718" s="1074"/>
      <c r="AQ718" s="1074"/>
      <c r="AR718" s="1074"/>
      <c r="AS718" s="1074"/>
      <c r="AT718" s="1075"/>
    </row>
    <row r="719" ht="14.25" customHeight="1">
      <c r="A719" s="1116"/>
      <c r="B719" s="1120"/>
      <c r="C719" s="1100"/>
      <c r="D719" s="1100"/>
      <c r="E719" s="1100"/>
      <c r="F719" s="1100"/>
      <c r="G719" s="1100"/>
      <c r="H719" s="1100"/>
      <c r="I719" s="1100"/>
      <c r="J719" s="1100"/>
      <c r="K719" s="1074"/>
      <c r="L719" s="1074"/>
      <c r="M719" s="1074"/>
      <c r="N719" s="1074"/>
      <c r="O719" s="1074"/>
      <c r="P719" s="1074"/>
      <c r="Q719" s="1074"/>
      <c r="R719" s="1074"/>
      <c r="S719" s="1074"/>
      <c r="T719" s="1074"/>
      <c r="U719" s="1074"/>
      <c r="V719" s="1074"/>
      <c r="W719" s="1074"/>
      <c r="X719" s="1074"/>
      <c r="Y719" s="1074"/>
      <c r="Z719" s="1074"/>
      <c r="AA719" s="1074"/>
      <c r="AB719" s="1074"/>
      <c r="AC719" s="1074"/>
      <c r="AD719" s="1074"/>
      <c r="AE719" s="1074"/>
      <c r="AF719" s="1074"/>
      <c r="AG719" s="1074"/>
      <c r="AH719" s="1074"/>
      <c r="AI719" s="1074"/>
      <c r="AJ719" s="1074"/>
      <c r="AK719" s="1074"/>
      <c r="AL719" s="1074"/>
      <c r="AM719" s="1074"/>
      <c r="AN719" s="1074"/>
      <c r="AO719" s="1074"/>
      <c r="AP719" s="1074"/>
      <c r="AQ719" s="1074"/>
      <c r="AR719" s="1074"/>
      <c r="AS719" s="1074"/>
      <c r="AT719" s="1075"/>
    </row>
    <row r="720" ht="14.25" customHeight="1">
      <c r="A720" s="1116"/>
      <c r="B720" s="1120"/>
      <c r="C720" s="1100"/>
      <c r="D720" s="1100"/>
      <c r="E720" s="1100"/>
      <c r="F720" s="1100"/>
      <c r="G720" s="1100"/>
      <c r="H720" s="1100"/>
      <c r="I720" s="1100"/>
      <c r="J720" s="1100"/>
      <c r="K720" s="1074"/>
      <c r="L720" s="1074"/>
      <c r="M720" s="1074"/>
      <c r="N720" s="1074"/>
      <c r="O720" s="1074"/>
      <c r="P720" s="1074"/>
      <c r="Q720" s="1074"/>
      <c r="R720" s="1074"/>
      <c r="S720" s="1074"/>
      <c r="T720" s="1074"/>
      <c r="U720" s="1074"/>
      <c r="V720" s="1074"/>
      <c r="W720" s="1074"/>
      <c r="X720" s="1074"/>
      <c r="Y720" s="1074"/>
      <c r="Z720" s="1074"/>
      <c r="AA720" s="1074"/>
      <c r="AB720" s="1074"/>
      <c r="AC720" s="1074"/>
      <c r="AD720" s="1074"/>
      <c r="AE720" s="1074"/>
      <c r="AF720" s="1074"/>
      <c r="AG720" s="1074"/>
      <c r="AH720" s="1074"/>
      <c r="AI720" s="1074"/>
      <c r="AJ720" s="1074"/>
      <c r="AK720" s="1074"/>
      <c r="AL720" s="1074"/>
      <c r="AM720" s="1074"/>
      <c r="AN720" s="1074"/>
      <c r="AO720" s="1074"/>
      <c r="AP720" s="1074"/>
      <c r="AQ720" s="1074"/>
      <c r="AR720" s="1074"/>
      <c r="AS720" s="1074"/>
      <c r="AT720" s="1075"/>
    </row>
    <row r="721" ht="14.25" customHeight="1">
      <c r="A721" s="1116"/>
      <c r="B721" s="1120"/>
      <c r="C721" s="1100"/>
      <c r="D721" s="1100"/>
      <c r="E721" s="1100"/>
      <c r="F721" s="1100"/>
      <c r="G721" s="1100"/>
      <c r="H721" s="1100"/>
      <c r="I721" s="1100"/>
      <c r="J721" s="1100"/>
      <c r="K721" s="1074"/>
      <c r="L721" s="1074"/>
      <c r="M721" s="1074"/>
      <c r="N721" s="1074"/>
      <c r="O721" s="1074"/>
      <c r="P721" s="1074"/>
      <c r="Q721" s="1074"/>
      <c r="R721" s="1074"/>
      <c r="S721" s="1074"/>
      <c r="T721" s="1074"/>
      <c r="U721" s="1074"/>
      <c r="V721" s="1074"/>
      <c r="W721" s="1074"/>
      <c r="X721" s="1074"/>
      <c r="Y721" s="1074"/>
      <c r="Z721" s="1074"/>
      <c r="AA721" s="1074"/>
      <c r="AB721" s="1074"/>
      <c r="AC721" s="1074"/>
      <c r="AD721" s="1074"/>
      <c r="AE721" s="1074"/>
      <c r="AF721" s="1074"/>
      <c r="AG721" s="1074"/>
      <c r="AH721" s="1074"/>
      <c r="AI721" s="1074"/>
      <c r="AJ721" s="1074"/>
      <c r="AK721" s="1074"/>
      <c r="AL721" s="1074"/>
      <c r="AM721" s="1074"/>
      <c r="AN721" s="1074"/>
      <c r="AO721" s="1074"/>
      <c r="AP721" s="1074"/>
      <c r="AQ721" s="1074"/>
      <c r="AR721" s="1074"/>
      <c r="AS721" s="1074"/>
      <c r="AT721" s="1075"/>
    </row>
    <row r="722" ht="14.25" customHeight="1">
      <c r="A722" s="1116"/>
      <c r="B722" s="1120"/>
      <c r="C722" s="1100"/>
      <c r="D722" s="1100"/>
      <c r="E722" s="1100"/>
      <c r="F722" s="1100"/>
      <c r="G722" s="1100"/>
      <c r="H722" s="1100"/>
      <c r="I722" s="1100"/>
      <c r="J722" s="1100"/>
      <c r="K722" s="1074"/>
      <c r="L722" s="1074"/>
      <c r="M722" s="1074"/>
      <c r="N722" s="1074"/>
      <c r="O722" s="1074"/>
      <c r="P722" s="1074"/>
      <c r="Q722" s="1074"/>
      <c r="R722" s="1074"/>
      <c r="S722" s="1074"/>
      <c r="T722" s="1074"/>
      <c r="U722" s="1074"/>
      <c r="V722" s="1074"/>
      <c r="W722" s="1074"/>
      <c r="X722" s="1074"/>
      <c r="Y722" s="1074"/>
      <c r="Z722" s="1074"/>
      <c r="AA722" s="1074"/>
      <c r="AB722" s="1074"/>
      <c r="AC722" s="1074"/>
      <c r="AD722" s="1074"/>
      <c r="AE722" s="1074"/>
      <c r="AF722" s="1074"/>
      <c r="AG722" s="1074"/>
      <c r="AH722" s="1074"/>
      <c r="AI722" s="1074"/>
      <c r="AJ722" s="1074"/>
      <c r="AK722" s="1074"/>
      <c r="AL722" s="1074"/>
      <c r="AM722" s="1074"/>
      <c r="AN722" s="1074"/>
      <c r="AO722" s="1074"/>
      <c r="AP722" s="1074"/>
      <c r="AQ722" s="1074"/>
      <c r="AR722" s="1074"/>
      <c r="AS722" s="1074"/>
      <c r="AT722" s="1075"/>
    </row>
    <row r="723" ht="14.25" customHeight="1">
      <c r="A723" s="1116"/>
      <c r="B723" s="1120"/>
      <c r="C723" s="1100"/>
      <c r="D723" s="1100"/>
      <c r="E723" s="1100"/>
      <c r="F723" s="1100"/>
      <c r="G723" s="1100"/>
      <c r="H723" s="1100"/>
      <c r="I723" s="1100"/>
      <c r="J723" s="1100"/>
      <c r="K723" s="1074"/>
      <c r="L723" s="1074"/>
      <c r="M723" s="1074"/>
      <c r="N723" s="1074"/>
      <c r="O723" s="1074"/>
      <c r="P723" s="1074"/>
      <c r="Q723" s="1074"/>
      <c r="R723" s="1074"/>
      <c r="S723" s="1074"/>
      <c r="T723" s="1074"/>
      <c r="U723" s="1074"/>
      <c r="V723" s="1074"/>
      <c r="W723" s="1074"/>
      <c r="X723" s="1074"/>
      <c r="Y723" s="1074"/>
      <c r="Z723" s="1074"/>
      <c r="AA723" s="1074"/>
      <c r="AB723" s="1074"/>
      <c r="AC723" s="1074"/>
      <c r="AD723" s="1074"/>
      <c r="AE723" s="1074"/>
      <c r="AF723" s="1074"/>
      <c r="AG723" s="1074"/>
      <c r="AH723" s="1074"/>
      <c r="AI723" s="1074"/>
      <c r="AJ723" s="1074"/>
      <c r="AK723" s="1074"/>
      <c r="AL723" s="1074"/>
      <c r="AM723" s="1074"/>
      <c r="AN723" s="1074"/>
      <c r="AO723" s="1074"/>
      <c r="AP723" s="1074"/>
      <c r="AQ723" s="1074"/>
      <c r="AR723" s="1074"/>
      <c r="AS723" s="1074"/>
      <c r="AT723" s="1075"/>
    </row>
    <row r="724" ht="14.25" customHeight="1">
      <c r="A724" s="1116"/>
      <c r="B724" s="1120"/>
      <c r="C724" s="1100"/>
      <c r="D724" s="1100"/>
      <c r="E724" s="1100"/>
      <c r="F724" s="1100"/>
      <c r="G724" s="1100"/>
      <c r="H724" s="1100"/>
      <c r="I724" s="1100"/>
      <c r="J724" s="1100"/>
      <c r="K724" s="1074"/>
      <c r="L724" s="1074"/>
      <c r="M724" s="1074"/>
      <c r="N724" s="1074"/>
      <c r="O724" s="1074"/>
      <c r="P724" s="1074"/>
      <c r="Q724" s="1074"/>
      <c r="R724" s="1074"/>
      <c r="S724" s="1074"/>
      <c r="T724" s="1074"/>
      <c r="U724" s="1074"/>
      <c r="V724" s="1074"/>
      <c r="W724" s="1074"/>
      <c r="X724" s="1074"/>
      <c r="Y724" s="1074"/>
      <c r="Z724" s="1074"/>
      <c r="AA724" s="1074"/>
      <c r="AB724" s="1074"/>
      <c r="AC724" s="1074"/>
      <c r="AD724" s="1074"/>
      <c r="AE724" s="1074"/>
      <c r="AF724" s="1074"/>
      <c r="AG724" s="1074"/>
      <c r="AH724" s="1074"/>
      <c r="AI724" s="1074"/>
      <c r="AJ724" s="1074"/>
      <c r="AK724" s="1074"/>
      <c r="AL724" s="1074"/>
      <c r="AM724" s="1074"/>
      <c r="AN724" s="1074"/>
      <c r="AO724" s="1074"/>
      <c r="AP724" s="1074"/>
      <c r="AQ724" s="1074"/>
      <c r="AR724" s="1074"/>
      <c r="AS724" s="1074"/>
      <c r="AT724" s="1075"/>
    </row>
    <row r="725" ht="14.25" customHeight="1">
      <c r="A725" s="1116"/>
      <c r="B725" s="1120"/>
      <c r="C725" s="1100"/>
      <c r="D725" s="1100"/>
      <c r="E725" s="1100"/>
      <c r="F725" s="1100"/>
      <c r="G725" s="1100"/>
      <c r="H725" s="1100"/>
      <c r="I725" s="1100"/>
      <c r="J725" s="1100"/>
      <c r="K725" s="1074"/>
      <c r="L725" s="1074"/>
      <c r="M725" s="1074"/>
      <c r="N725" s="1074"/>
      <c r="O725" s="1074"/>
      <c r="P725" s="1074"/>
      <c r="Q725" s="1074"/>
      <c r="R725" s="1074"/>
      <c r="S725" s="1074"/>
      <c r="T725" s="1074"/>
      <c r="U725" s="1074"/>
      <c r="V725" s="1074"/>
      <c r="W725" s="1074"/>
      <c r="X725" s="1074"/>
      <c r="Y725" s="1074"/>
      <c r="Z725" s="1074"/>
      <c r="AA725" s="1074"/>
      <c r="AB725" s="1074"/>
      <c r="AC725" s="1074"/>
      <c r="AD725" s="1074"/>
      <c r="AE725" s="1074"/>
      <c r="AF725" s="1074"/>
      <c r="AG725" s="1074"/>
      <c r="AH725" s="1074"/>
      <c r="AI725" s="1074"/>
      <c r="AJ725" s="1074"/>
      <c r="AK725" s="1074"/>
      <c r="AL725" s="1074"/>
      <c r="AM725" s="1074"/>
      <c r="AN725" s="1074"/>
      <c r="AO725" s="1074"/>
      <c r="AP725" s="1074"/>
      <c r="AQ725" s="1074"/>
      <c r="AR725" s="1074"/>
      <c r="AS725" s="1074"/>
      <c r="AT725" s="1075"/>
    </row>
    <row r="726" ht="14.25" customHeight="1">
      <c r="A726" s="1116"/>
      <c r="B726" s="1120"/>
      <c r="C726" s="1100"/>
      <c r="D726" s="1100"/>
      <c r="E726" s="1100"/>
      <c r="F726" s="1100"/>
      <c r="G726" s="1100"/>
      <c r="H726" s="1100"/>
      <c r="I726" s="1100"/>
      <c r="J726" s="1100"/>
      <c r="K726" s="1074"/>
      <c r="L726" s="1074"/>
      <c r="M726" s="1074"/>
      <c r="N726" s="1074"/>
      <c r="O726" s="1074"/>
      <c r="P726" s="1074"/>
      <c r="Q726" s="1074"/>
      <c r="R726" s="1074"/>
      <c r="S726" s="1074"/>
      <c r="T726" s="1074"/>
      <c r="U726" s="1074"/>
      <c r="V726" s="1074"/>
      <c r="W726" s="1074"/>
      <c r="X726" s="1074"/>
      <c r="Y726" s="1074"/>
      <c r="Z726" s="1074"/>
      <c r="AA726" s="1074"/>
      <c r="AB726" s="1074"/>
      <c r="AC726" s="1074"/>
      <c r="AD726" s="1074"/>
      <c r="AE726" s="1074"/>
      <c r="AF726" s="1074"/>
      <c r="AG726" s="1074"/>
      <c r="AH726" s="1074"/>
      <c r="AI726" s="1074"/>
      <c r="AJ726" s="1074"/>
      <c r="AK726" s="1074"/>
      <c r="AL726" s="1074"/>
      <c r="AM726" s="1074"/>
      <c r="AN726" s="1074"/>
      <c r="AO726" s="1074"/>
      <c r="AP726" s="1074"/>
      <c r="AQ726" s="1074"/>
      <c r="AR726" s="1074"/>
      <c r="AS726" s="1074"/>
      <c r="AT726" s="1075"/>
    </row>
    <row r="727" ht="14.25" customHeight="1">
      <c r="A727" s="1116"/>
      <c r="B727" s="1120"/>
      <c r="C727" s="1100"/>
      <c r="D727" s="1100"/>
      <c r="E727" s="1100"/>
      <c r="F727" s="1100"/>
      <c r="G727" s="1100"/>
      <c r="H727" s="1100"/>
      <c r="I727" s="1100"/>
      <c r="J727" s="1100"/>
      <c r="K727" s="1074"/>
      <c r="L727" s="1074"/>
      <c r="M727" s="1074"/>
      <c r="N727" s="1074"/>
      <c r="O727" s="1074"/>
      <c r="P727" s="1074"/>
      <c r="Q727" s="1074"/>
      <c r="R727" s="1074"/>
      <c r="S727" s="1074"/>
      <c r="T727" s="1074"/>
      <c r="U727" s="1074"/>
      <c r="V727" s="1074"/>
      <c r="W727" s="1074"/>
      <c r="X727" s="1074"/>
      <c r="Y727" s="1074"/>
      <c r="Z727" s="1074"/>
      <c r="AA727" s="1074"/>
      <c r="AB727" s="1074"/>
      <c r="AC727" s="1074"/>
      <c r="AD727" s="1074"/>
      <c r="AE727" s="1074"/>
      <c r="AF727" s="1074"/>
      <c r="AG727" s="1074"/>
      <c r="AH727" s="1074"/>
      <c r="AI727" s="1074"/>
      <c r="AJ727" s="1074"/>
      <c r="AK727" s="1074"/>
      <c r="AL727" s="1074"/>
      <c r="AM727" s="1074"/>
      <c r="AN727" s="1074"/>
      <c r="AO727" s="1074"/>
      <c r="AP727" s="1074"/>
      <c r="AQ727" s="1074"/>
      <c r="AR727" s="1074"/>
      <c r="AS727" s="1074"/>
      <c r="AT727" s="1075"/>
    </row>
    <row r="728" ht="14.25" customHeight="1">
      <c r="A728" s="1116"/>
      <c r="B728" s="1120"/>
      <c r="C728" s="1100"/>
      <c r="D728" s="1100"/>
      <c r="E728" s="1100"/>
      <c r="F728" s="1100"/>
      <c r="G728" s="1100"/>
      <c r="H728" s="1100"/>
      <c r="I728" s="1100"/>
      <c r="J728" s="1100"/>
      <c r="K728" s="1074"/>
      <c r="L728" s="1074"/>
      <c r="M728" s="1074"/>
      <c r="N728" s="1074"/>
      <c r="O728" s="1074"/>
      <c r="P728" s="1074"/>
      <c r="Q728" s="1074"/>
      <c r="R728" s="1074"/>
      <c r="S728" s="1074"/>
      <c r="T728" s="1074"/>
      <c r="U728" s="1074"/>
      <c r="V728" s="1074"/>
      <c r="W728" s="1074"/>
      <c r="X728" s="1074"/>
      <c r="Y728" s="1074"/>
      <c r="Z728" s="1074"/>
      <c r="AA728" s="1074"/>
      <c r="AB728" s="1074"/>
      <c r="AC728" s="1074"/>
      <c r="AD728" s="1074"/>
      <c r="AE728" s="1074"/>
      <c r="AF728" s="1074"/>
      <c r="AG728" s="1074"/>
      <c r="AH728" s="1074"/>
      <c r="AI728" s="1074"/>
      <c r="AJ728" s="1074"/>
      <c r="AK728" s="1074"/>
      <c r="AL728" s="1074"/>
      <c r="AM728" s="1074"/>
      <c r="AN728" s="1074"/>
      <c r="AO728" s="1074"/>
      <c r="AP728" s="1074"/>
      <c r="AQ728" s="1074"/>
      <c r="AR728" s="1074"/>
      <c r="AS728" s="1074"/>
      <c r="AT728" s="1075"/>
    </row>
    <row r="729" ht="14.25" customHeight="1">
      <c r="A729" s="1116"/>
      <c r="B729" s="1120"/>
      <c r="C729" s="1100"/>
      <c r="D729" s="1100"/>
      <c r="E729" s="1100"/>
      <c r="F729" s="1100"/>
      <c r="G729" s="1100"/>
      <c r="H729" s="1100"/>
      <c r="I729" s="1100"/>
      <c r="J729" s="1100"/>
      <c r="K729" s="1074"/>
      <c r="L729" s="1074"/>
      <c r="M729" s="1074"/>
      <c r="N729" s="1074"/>
      <c r="O729" s="1074"/>
      <c r="P729" s="1074"/>
      <c r="Q729" s="1074"/>
      <c r="R729" s="1074"/>
      <c r="S729" s="1074"/>
      <c r="T729" s="1074"/>
      <c r="U729" s="1074"/>
      <c r="V729" s="1074"/>
      <c r="W729" s="1074"/>
      <c r="X729" s="1074"/>
      <c r="Y729" s="1074"/>
      <c r="Z729" s="1074"/>
      <c r="AA729" s="1074"/>
      <c r="AB729" s="1074"/>
      <c r="AC729" s="1074"/>
      <c r="AD729" s="1074"/>
      <c r="AE729" s="1074"/>
      <c r="AF729" s="1074"/>
      <c r="AG729" s="1074"/>
      <c r="AH729" s="1074"/>
      <c r="AI729" s="1074"/>
      <c r="AJ729" s="1074"/>
      <c r="AK729" s="1074"/>
      <c r="AL729" s="1074"/>
      <c r="AM729" s="1074"/>
      <c r="AN729" s="1074"/>
      <c r="AO729" s="1074"/>
      <c r="AP729" s="1074"/>
      <c r="AQ729" s="1074"/>
      <c r="AR729" s="1074"/>
      <c r="AS729" s="1074"/>
      <c r="AT729" s="1075"/>
    </row>
    <row r="730" ht="14.25" customHeight="1">
      <c r="A730" s="1116"/>
      <c r="B730" s="1120"/>
      <c r="C730" s="1100"/>
      <c r="D730" s="1100"/>
      <c r="E730" s="1100"/>
      <c r="F730" s="1100"/>
      <c r="G730" s="1100"/>
      <c r="H730" s="1100"/>
      <c r="I730" s="1100"/>
      <c r="J730" s="1100"/>
      <c r="K730" s="1074"/>
      <c r="L730" s="1074"/>
      <c r="M730" s="1074"/>
      <c r="N730" s="1074"/>
      <c r="O730" s="1074"/>
      <c r="P730" s="1074"/>
      <c r="Q730" s="1074"/>
      <c r="R730" s="1074"/>
      <c r="S730" s="1074"/>
      <c r="T730" s="1074"/>
      <c r="U730" s="1074"/>
      <c r="V730" s="1074"/>
      <c r="W730" s="1074"/>
      <c r="X730" s="1074"/>
      <c r="Y730" s="1074"/>
      <c r="Z730" s="1074"/>
      <c r="AA730" s="1074"/>
      <c r="AB730" s="1074"/>
      <c r="AC730" s="1074"/>
      <c r="AD730" s="1074"/>
      <c r="AE730" s="1074"/>
      <c r="AF730" s="1074"/>
      <c r="AG730" s="1074"/>
      <c r="AH730" s="1074"/>
      <c r="AI730" s="1074"/>
      <c r="AJ730" s="1074"/>
      <c r="AK730" s="1074"/>
      <c r="AL730" s="1074"/>
      <c r="AM730" s="1074"/>
      <c r="AN730" s="1074"/>
      <c r="AO730" s="1074"/>
      <c r="AP730" s="1074"/>
      <c r="AQ730" s="1074"/>
      <c r="AR730" s="1074"/>
      <c r="AS730" s="1074"/>
      <c r="AT730" s="1075"/>
    </row>
    <row r="731" ht="14.25" customHeight="1">
      <c r="A731" s="1116"/>
      <c r="B731" s="1120"/>
      <c r="C731" s="1100"/>
      <c r="D731" s="1100"/>
      <c r="E731" s="1100"/>
      <c r="F731" s="1100"/>
      <c r="G731" s="1100"/>
      <c r="H731" s="1100"/>
      <c r="I731" s="1100"/>
      <c r="J731" s="1100"/>
      <c r="K731" s="1074"/>
      <c r="L731" s="1074"/>
      <c r="M731" s="1074"/>
      <c r="N731" s="1074"/>
      <c r="O731" s="1074"/>
      <c r="P731" s="1074"/>
      <c r="Q731" s="1074"/>
      <c r="R731" s="1074"/>
      <c r="S731" s="1074"/>
      <c r="T731" s="1074"/>
      <c r="U731" s="1074"/>
      <c r="V731" s="1074"/>
      <c r="W731" s="1074"/>
      <c r="X731" s="1074"/>
      <c r="Y731" s="1074"/>
      <c r="Z731" s="1074"/>
      <c r="AA731" s="1074"/>
      <c r="AB731" s="1074"/>
      <c r="AC731" s="1074"/>
      <c r="AD731" s="1074"/>
      <c r="AE731" s="1074"/>
      <c r="AF731" s="1074"/>
      <c r="AG731" s="1074"/>
      <c r="AH731" s="1074"/>
      <c r="AI731" s="1074"/>
      <c r="AJ731" s="1074"/>
      <c r="AK731" s="1074"/>
      <c r="AL731" s="1074"/>
      <c r="AM731" s="1074"/>
      <c r="AN731" s="1074"/>
      <c r="AO731" s="1074"/>
      <c r="AP731" s="1074"/>
      <c r="AQ731" s="1074"/>
      <c r="AR731" s="1074"/>
      <c r="AS731" s="1074"/>
      <c r="AT731" s="1075"/>
    </row>
    <row r="732" ht="14.25" customHeight="1">
      <c r="A732" s="1116"/>
      <c r="B732" s="1120"/>
      <c r="C732" s="1100"/>
      <c r="D732" s="1100"/>
      <c r="E732" s="1100"/>
      <c r="F732" s="1100"/>
      <c r="G732" s="1100"/>
      <c r="H732" s="1100"/>
      <c r="I732" s="1100"/>
      <c r="J732" s="1100"/>
      <c r="K732" s="1074"/>
      <c r="L732" s="1074"/>
      <c r="M732" s="1074"/>
      <c r="N732" s="1074"/>
      <c r="O732" s="1074"/>
      <c r="P732" s="1074"/>
      <c r="Q732" s="1074"/>
      <c r="R732" s="1074"/>
      <c r="S732" s="1074"/>
      <c r="T732" s="1074"/>
      <c r="U732" s="1074"/>
      <c r="V732" s="1074"/>
      <c r="W732" s="1074"/>
      <c r="X732" s="1074"/>
      <c r="Y732" s="1074"/>
      <c r="Z732" s="1074"/>
      <c r="AA732" s="1074"/>
      <c r="AB732" s="1074"/>
      <c r="AC732" s="1074"/>
      <c r="AD732" s="1074"/>
      <c r="AE732" s="1074"/>
      <c r="AF732" s="1074"/>
      <c r="AG732" s="1074"/>
      <c r="AH732" s="1074"/>
      <c r="AI732" s="1074"/>
      <c r="AJ732" s="1074"/>
      <c r="AK732" s="1074"/>
      <c r="AL732" s="1074"/>
      <c r="AM732" s="1074"/>
      <c r="AN732" s="1074"/>
      <c r="AO732" s="1074"/>
      <c r="AP732" s="1074"/>
      <c r="AQ732" s="1074"/>
      <c r="AR732" s="1074"/>
      <c r="AS732" s="1074"/>
      <c r="AT732" s="1075"/>
    </row>
    <row r="733" ht="14.25" customHeight="1">
      <c r="A733" s="1116"/>
      <c r="B733" s="1120"/>
      <c r="C733" s="1100"/>
      <c r="D733" s="1100"/>
      <c r="E733" s="1100"/>
      <c r="F733" s="1100"/>
      <c r="G733" s="1100"/>
      <c r="H733" s="1100"/>
      <c r="I733" s="1100"/>
      <c r="J733" s="1100"/>
      <c r="K733" s="1074"/>
      <c r="L733" s="1074"/>
      <c r="M733" s="1074"/>
      <c r="N733" s="1074"/>
      <c r="O733" s="1074"/>
      <c r="P733" s="1074"/>
      <c r="Q733" s="1074"/>
      <c r="R733" s="1074"/>
      <c r="S733" s="1074"/>
      <c r="T733" s="1074"/>
      <c r="U733" s="1074"/>
      <c r="V733" s="1074"/>
      <c r="W733" s="1074"/>
      <c r="X733" s="1074"/>
      <c r="Y733" s="1074"/>
      <c r="Z733" s="1074"/>
      <c r="AA733" s="1074"/>
      <c r="AB733" s="1074"/>
      <c r="AC733" s="1074"/>
      <c r="AD733" s="1074"/>
      <c r="AE733" s="1074"/>
      <c r="AF733" s="1074"/>
      <c r="AG733" s="1074"/>
      <c r="AH733" s="1074"/>
      <c r="AI733" s="1074"/>
      <c r="AJ733" s="1074"/>
      <c r="AK733" s="1074"/>
      <c r="AL733" s="1074"/>
      <c r="AM733" s="1074"/>
      <c r="AN733" s="1074"/>
      <c r="AO733" s="1074"/>
      <c r="AP733" s="1074"/>
      <c r="AQ733" s="1074"/>
      <c r="AR733" s="1074"/>
      <c r="AS733" s="1074"/>
      <c r="AT733" s="1075"/>
    </row>
    <row r="734" ht="14.25" customHeight="1">
      <c r="A734" s="1116"/>
      <c r="B734" s="1120"/>
      <c r="C734" s="1100"/>
      <c r="D734" s="1100"/>
      <c r="E734" s="1100"/>
      <c r="F734" s="1100"/>
      <c r="G734" s="1100"/>
      <c r="H734" s="1100"/>
      <c r="I734" s="1100"/>
      <c r="J734" s="1100"/>
      <c r="K734" s="1074"/>
      <c r="L734" s="1074"/>
      <c r="M734" s="1074"/>
      <c r="N734" s="1074"/>
      <c r="O734" s="1074"/>
      <c r="P734" s="1074"/>
      <c r="Q734" s="1074"/>
      <c r="R734" s="1074"/>
      <c r="S734" s="1074"/>
      <c r="T734" s="1074"/>
      <c r="U734" s="1074"/>
      <c r="V734" s="1074"/>
      <c r="W734" s="1074"/>
      <c r="X734" s="1074"/>
      <c r="Y734" s="1074"/>
      <c r="Z734" s="1074"/>
      <c r="AA734" s="1074"/>
      <c r="AB734" s="1074"/>
      <c r="AC734" s="1074"/>
      <c r="AD734" s="1074"/>
      <c r="AE734" s="1074"/>
      <c r="AF734" s="1074"/>
      <c r="AG734" s="1074"/>
      <c r="AH734" s="1074"/>
      <c r="AI734" s="1074"/>
      <c r="AJ734" s="1074"/>
      <c r="AK734" s="1074"/>
      <c r="AL734" s="1074"/>
      <c r="AM734" s="1074"/>
      <c r="AN734" s="1074"/>
      <c r="AO734" s="1074"/>
      <c r="AP734" s="1074"/>
      <c r="AQ734" s="1074"/>
      <c r="AR734" s="1074"/>
      <c r="AS734" s="1074"/>
      <c r="AT734" s="1075"/>
    </row>
    <row r="735" ht="14.25" customHeight="1">
      <c r="A735" s="1116"/>
      <c r="B735" s="1120"/>
      <c r="C735" s="1100"/>
      <c r="D735" s="1100"/>
      <c r="E735" s="1100"/>
      <c r="F735" s="1100"/>
      <c r="G735" s="1100"/>
      <c r="H735" s="1100"/>
      <c r="I735" s="1100"/>
      <c r="J735" s="1100"/>
      <c r="K735" s="1074"/>
      <c r="L735" s="1074"/>
      <c r="M735" s="1074"/>
      <c r="N735" s="1074"/>
      <c r="O735" s="1074"/>
      <c r="P735" s="1074"/>
      <c r="Q735" s="1074"/>
      <c r="R735" s="1074"/>
      <c r="S735" s="1074"/>
      <c r="T735" s="1074"/>
      <c r="U735" s="1074"/>
      <c r="V735" s="1074"/>
      <c r="W735" s="1074"/>
      <c r="X735" s="1074"/>
      <c r="Y735" s="1074"/>
      <c r="Z735" s="1074"/>
      <c r="AA735" s="1074"/>
      <c r="AB735" s="1074"/>
      <c r="AC735" s="1074"/>
      <c r="AD735" s="1074"/>
      <c r="AE735" s="1074"/>
      <c r="AF735" s="1074"/>
      <c r="AG735" s="1074"/>
      <c r="AH735" s="1074"/>
      <c r="AI735" s="1074"/>
      <c r="AJ735" s="1074"/>
      <c r="AK735" s="1074"/>
      <c r="AL735" s="1074"/>
      <c r="AM735" s="1074"/>
      <c r="AN735" s="1074"/>
      <c r="AO735" s="1074"/>
      <c r="AP735" s="1074"/>
      <c r="AQ735" s="1074"/>
      <c r="AR735" s="1074"/>
      <c r="AS735" s="1074"/>
      <c r="AT735" s="1075"/>
    </row>
    <row r="736" ht="14.25" customHeight="1">
      <c r="A736" s="1116"/>
      <c r="B736" s="1120"/>
      <c r="C736" s="1100"/>
      <c r="D736" s="1100"/>
      <c r="E736" s="1100"/>
      <c r="F736" s="1100"/>
      <c r="G736" s="1100"/>
      <c r="H736" s="1100"/>
      <c r="I736" s="1100"/>
      <c r="J736" s="1100"/>
      <c r="K736" s="1074"/>
      <c r="L736" s="1074"/>
      <c r="M736" s="1074"/>
      <c r="N736" s="1074"/>
      <c r="O736" s="1074"/>
      <c r="P736" s="1074"/>
      <c r="Q736" s="1074"/>
      <c r="R736" s="1074"/>
      <c r="S736" s="1074"/>
      <c r="T736" s="1074"/>
      <c r="U736" s="1074"/>
      <c r="V736" s="1074"/>
      <c r="W736" s="1074"/>
      <c r="X736" s="1074"/>
      <c r="Y736" s="1074"/>
      <c r="Z736" s="1074"/>
      <c r="AA736" s="1074"/>
      <c r="AB736" s="1074"/>
      <c r="AC736" s="1074"/>
      <c r="AD736" s="1074"/>
      <c r="AE736" s="1074"/>
      <c r="AF736" s="1074"/>
      <c r="AG736" s="1074"/>
      <c r="AH736" s="1074"/>
      <c r="AI736" s="1074"/>
      <c r="AJ736" s="1074"/>
      <c r="AK736" s="1074"/>
      <c r="AL736" s="1074"/>
      <c r="AM736" s="1074"/>
      <c r="AN736" s="1074"/>
      <c r="AO736" s="1074"/>
      <c r="AP736" s="1074"/>
      <c r="AQ736" s="1074"/>
      <c r="AR736" s="1074"/>
      <c r="AS736" s="1074"/>
      <c r="AT736" s="1075"/>
    </row>
    <row r="737" ht="14.25" customHeight="1">
      <c r="A737" s="1116"/>
      <c r="B737" s="1120"/>
      <c r="C737" s="1100"/>
      <c r="D737" s="1100"/>
      <c r="E737" s="1100"/>
      <c r="F737" s="1100"/>
      <c r="G737" s="1100"/>
      <c r="H737" s="1100"/>
      <c r="I737" s="1100"/>
      <c r="J737" s="1100"/>
      <c r="K737" s="1074"/>
      <c r="L737" s="1074"/>
      <c r="M737" s="1074"/>
      <c r="N737" s="1074"/>
      <c r="O737" s="1074"/>
      <c r="P737" s="1074"/>
      <c r="Q737" s="1074"/>
      <c r="R737" s="1074"/>
      <c r="S737" s="1074"/>
      <c r="T737" s="1074"/>
      <c r="U737" s="1074"/>
      <c r="V737" s="1074"/>
      <c r="W737" s="1074"/>
      <c r="X737" s="1074"/>
      <c r="Y737" s="1074"/>
      <c r="Z737" s="1074"/>
      <c r="AA737" s="1074"/>
      <c r="AB737" s="1074"/>
      <c r="AC737" s="1074"/>
      <c r="AD737" s="1074"/>
      <c r="AE737" s="1074"/>
      <c r="AF737" s="1074"/>
      <c r="AG737" s="1074"/>
      <c r="AH737" s="1074"/>
      <c r="AI737" s="1074"/>
      <c r="AJ737" s="1074"/>
      <c r="AK737" s="1074"/>
      <c r="AL737" s="1074"/>
      <c r="AM737" s="1074"/>
      <c r="AN737" s="1074"/>
      <c r="AO737" s="1074"/>
      <c r="AP737" s="1074"/>
      <c r="AQ737" s="1074"/>
      <c r="AR737" s="1074"/>
      <c r="AS737" s="1074"/>
      <c r="AT737" s="1075"/>
    </row>
    <row r="738" ht="14.25" customHeight="1">
      <c r="A738" s="1116"/>
      <c r="B738" s="1120"/>
      <c r="C738" s="1100"/>
      <c r="D738" s="1100"/>
      <c r="E738" s="1100"/>
      <c r="F738" s="1100"/>
      <c r="G738" s="1100"/>
      <c r="H738" s="1100"/>
      <c r="I738" s="1100"/>
      <c r="J738" s="1100"/>
      <c r="K738" s="1074"/>
      <c r="L738" s="1074"/>
      <c r="M738" s="1074"/>
      <c r="N738" s="1074"/>
      <c r="O738" s="1074"/>
      <c r="P738" s="1074"/>
      <c r="Q738" s="1074"/>
      <c r="R738" s="1074"/>
      <c r="S738" s="1074"/>
      <c r="T738" s="1074"/>
      <c r="U738" s="1074"/>
      <c r="V738" s="1074"/>
      <c r="W738" s="1074"/>
      <c r="X738" s="1074"/>
      <c r="Y738" s="1074"/>
      <c r="Z738" s="1074"/>
      <c r="AA738" s="1074"/>
      <c r="AB738" s="1074"/>
      <c r="AC738" s="1074"/>
      <c r="AD738" s="1074"/>
      <c r="AE738" s="1074"/>
      <c r="AF738" s="1074"/>
      <c r="AG738" s="1074"/>
      <c r="AH738" s="1074"/>
      <c r="AI738" s="1074"/>
      <c r="AJ738" s="1074"/>
      <c r="AK738" s="1074"/>
      <c r="AL738" s="1074"/>
      <c r="AM738" s="1074"/>
      <c r="AN738" s="1074"/>
      <c r="AO738" s="1074"/>
      <c r="AP738" s="1074"/>
      <c r="AQ738" s="1074"/>
      <c r="AR738" s="1074"/>
      <c r="AS738" s="1074"/>
      <c r="AT738" s="1075"/>
    </row>
    <row r="739" ht="14.25" customHeight="1">
      <c r="A739" s="1116"/>
      <c r="B739" s="1120"/>
      <c r="C739" s="1100"/>
      <c r="D739" s="1100"/>
      <c r="E739" s="1100"/>
      <c r="F739" s="1100"/>
      <c r="G739" s="1100"/>
      <c r="H739" s="1100"/>
      <c r="I739" s="1100"/>
      <c r="J739" s="1100"/>
      <c r="K739" s="1074"/>
      <c r="L739" s="1074"/>
      <c r="M739" s="1074"/>
      <c r="N739" s="1074"/>
      <c r="O739" s="1074"/>
      <c r="P739" s="1074"/>
      <c r="Q739" s="1074"/>
      <c r="R739" s="1074"/>
      <c r="S739" s="1074"/>
      <c r="T739" s="1074"/>
      <c r="U739" s="1074"/>
      <c r="V739" s="1074"/>
      <c r="W739" s="1074"/>
      <c r="X739" s="1074"/>
      <c r="Y739" s="1074"/>
      <c r="Z739" s="1074"/>
      <c r="AA739" s="1074"/>
      <c r="AB739" s="1074"/>
      <c r="AC739" s="1074"/>
      <c r="AD739" s="1074"/>
      <c r="AE739" s="1074"/>
      <c r="AF739" s="1074"/>
      <c r="AG739" s="1074"/>
      <c r="AH739" s="1074"/>
      <c r="AI739" s="1074"/>
      <c r="AJ739" s="1074"/>
      <c r="AK739" s="1074"/>
      <c r="AL739" s="1074"/>
      <c r="AM739" s="1074"/>
      <c r="AN739" s="1074"/>
      <c r="AO739" s="1074"/>
      <c r="AP739" s="1074"/>
      <c r="AQ739" s="1074"/>
      <c r="AR739" s="1074"/>
      <c r="AS739" s="1074"/>
      <c r="AT739" s="1075"/>
    </row>
    <row r="740" ht="14.25" customHeight="1">
      <c r="A740" s="1116"/>
      <c r="B740" s="1120"/>
      <c r="C740" s="1100"/>
      <c r="D740" s="1100"/>
      <c r="E740" s="1100"/>
      <c r="F740" s="1100"/>
      <c r="G740" s="1100"/>
      <c r="H740" s="1100"/>
      <c r="I740" s="1100"/>
      <c r="J740" s="1100"/>
      <c r="K740" s="1074"/>
      <c r="L740" s="1074"/>
      <c r="M740" s="1074"/>
      <c r="N740" s="1074"/>
      <c r="O740" s="1074"/>
      <c r="P740" s="1074"/>
      <c r="Q740" s="1074"/>
      <c r="R740" s="1074"/>
      <c r="S740" s="1074"/>
      <c r="T740" s="1074"/>
      <c r="U740" s="1074"/>
      <c r="V740" s="1074"/>
      <c r="W740" s="1074"/>
      <c r="X740" s="1074"/>
      <c r="Y740" s="1074"/>
      <c r="Z740" s="1074"/>
      <c r="AA740" s="1074"/>
      <c r="AB740" s="1074"/>
      <c r="AC740" s="1074"/>
      <c r="AD740" s="1074"/>
      <c r="AE740" s="1074"/>
      <c r="AF740" s="1074"/>
      <c r="AG740" s="1074"/>
      <c r="AH740" s="1074"/>
      <c r="AI740" s="1074"/>
      <c r="AJ740" s="1074"/>
      <c r="AK740" s="1074"/>
      <c r="AL740" s="1074"/>
      <c r="AM740" s="1074"/>
      <c r="AN740" s="1074"/>
      <c r="AO740" s="1074"/>
      <c r="AP740" s="1074"/>
      <c r="AQ740" s="1074"/>
      <c r="AR740" s="1074"/>
      <c r="AS740" s="1074"/>
      <c r="AT740" s="1075"/>
    </row>
    <row r="741" ht="14.25" customHeight="1">
      <c r="A741" s="1116"/>
      <c r="B741" s="1120"/>
      <c r="C741" s="1100"/>
      <c r="D741" s="1100"/>
      <c r="E741" s="1100"/>
      <c r="F741" s="1100"/>
      <c r="G741" s="1100"/>
      <c r="H741" s="1100"/>
      <c r="I741" s="1100"/>
      <c r="J741" s="1100"/>
      <c r="K741" s="1074"/>
      <c r="L741" s="1074"/>
      <c r="M741" s="1074"/>
      <c r="N741" s="1074"/>
      <c r="O741" s="1074"/>
      <c r="P741" s="1074"/>
      <c r="Q741" s="1074"/>
      <c r="R741" s="1074"/>
      <c r="S741" s="1074"/>
      <c r="T741" s="1074"/>
      <c r="U741" s="1074"/>
      <c r="V741" s="1074"/>
      <c r="W741" s="1074"/>
      <c r="X741" s="1074"/>
      <c r="Y741" s="1074"/>
      <c r="Z741" s="1074"/>
      <c r="AA741" s="1074"/>
      <c r="AB741" s="1074"/>
      <c r="AC741" s="1074"/>
      <c r="AD741" s="1074"/>
      <c r="AE741" s="1074"/>
      <c r="AF741" s="1074"/>
      <c r="AG741" s="1074"/>
      <c r="AH741" s="1074"/>
      <c r="AI741" s="1074"/>
      <c r="AJ741" s="1074"/>
      <c r="AK741" s="1074"/>
      <c r="AL741" s="1074"/>
      <c r="AM741" s="1074"/>
      <c r="AN741" s="1074"/>
      <c r="AO741" s="1074"/>
      <c r="AP741" s="1074"/>
      <c r="AQ741" s="1074"/>
      <c r="AR741" s="1074"/>
      <c r="AS741" s="1074"/>
      <c r="AT741" s="1075"/>
    </row>
    <row r="742" ht="14.25" customHeight="1">
      <c r="A742" s="1116"/>
      <c r="B742" s="1120"/>
      <c r="C742" s="1100"/>
      <c r="D742" s="1100"/>
      <c r="E742" s="1100"/>
      <c r="F742" s="1100"/>
      <c r="G742" s="1100"/>
      <c r="H742" s="1100"/>
      <c r="I742" s="1100"/>
      <c r="J742" s="1100"/>
      <c r="K742" s="1074"/>
      <c r="L742" s="1074"/>
      <c r="M742" s="1074"/>
      <c r="N742" s="1074"/>
      <c r="O742" s="1074"/>
      <c r="P742" s="1074"/>
      <c r="Q742" s="1074"/>
      <c r="R742" s="1074"/>
      <c r="S742" s="1074"/>
      <c r="T742" s="1074"/>
      <c r="U742" s="1074"/>
      <c r="V742" s="1074"/>
      <c r="W742" s="1074"/>
      <c r="X742" s="1074"/>
      <c r="Y742" s="1074"/>
      <c r="Z742" s="1074"/>
      <c r="AA742" s="1074"/>
      <c r="AB742" s="1074"/>
      <c r="AC742" s="1074"/>
      <c r="AD742" s="1074"/>
      <c r="AE742" s="1074"/>
      <c r="AF742" s="1074"/>
      <c r="AG742" s="1074"/>
      <c r="AH742" s="1074"/>
      <c r="AI742" s="1074"/>
      <c r="AJ742" s="1074"/>
      <c r="AK742" s="1074"/>
      <c r="AL742" s="1074"/>
      <c r="AM742" s="1074"/>
      <c r="AN742" s="1074"/>
      <c r="AO742" s="1074"/>
      <c r="AP742" s="1074"/>
      <c r="AQ742" s="1074"/>
      <c r="AR742" s="1074"/>
      <c r="AS742" s="1074"/>
      <c r="AT742" s="1075"/>
    </row>
    <row r="743" ht="14.25" customHeight="1">
      <c r="A743" s="1116"/>
      <c r="B743" s="1120"/>
      <c r="C743" s="1100"/>
      <c r="D743" s="1100"/>
      <c r="E743" s="1100"/>
      <c r="F743" s="1100"/>
      <c r="G743" s="1100"/>
      <c r="H743" s="1100"/>
      <c r="I743" s="1100"/>
      <c r="J743" s="1100"/>
      <c r="K743" s="1074"/>
      <c r="L743" s="1074"/>
      <c r="M743" s="1074"/>
      <c r="N743" s="1074"/>
      <c r="O743" s="1074"/>
      <c r="P743" s="1074"/>
      <c r="Q743" s="1074"/>
      <c r="R743" s="1074"/>
      <c r="S743" s="1074"/>
      <c r="T743" s="1074"/>
      <c r="U743" s="1074"/>
      <c r="V743" s="1074"/>
      <c r="W743" s="1074"/>
      <c r="X743" s="1074"/>
      <c r="Y743" s="1074"/>
      <c r="Z743" s="1074"/>
      <c r="AA743" s="1074"/>
      <c r="AB743" s="1074"/>
      <c r="AC743" s="1074"/>
      <c r="AD743" s="1074"/>
      <c r="AE743" s="1074"/>
      <c r="AF743" s="1074"/>
      <c r="AG743" s="1074"/>
      <c r="AH743" s="1074"/>
      <c r="AI743" s="1074"/>
      <c r="AJ743" s="1074"/>
      <c r="AK743" s="1074"/>
      <c r="AL743" s="1074"/>
      <c r="AM743" s="1074"/>
      <c r="AN743" s="1074"/>
      <c r="AO743" s="1074"/>
      <c r="AP743" s="1074"/>
      <c r="AQ743" s="1074"/>
      <c r="AR743" s="1074"/>
      <c r="AS743" s="1074"/>
      <c r="AT743" s="1075"/>
    </row>
    <row r="744" ht="14.25" customHeight="1">
      <c r="A744" s="1116"/>
      <c r="B744" s="1120"/>
      <c r="C744" s="1100"/>
      <c r="D744" s="1100"/>
      <c r="E744" s="1100"/>
      <c r="F744" s="1100"/>
      <c r="G744" s="1100"/>
      <c r="H744" s="1100"/>
      <c r="I744" s="1100"/>
      <c r="J744" s="1100"/>
      <c r="K744" s="1074"/>
      <c r="L744" s="1074"/>
      <c r="M744" s="1074"/>
      <c r="N744" s="1074"/>
      <c r="O744" s="1074"/>
      <c r="P744" s="1074"/>
      <c r="Q744" s="1074"/>
      <c r="R744" s="1074"/>
      <c r="S744" s="1074"/>
      <c r="T744" s="1074"/>
      <c r="U744" s="1074"/>
      <c r="V744" s="1074"/>
      <c r="W744" s="1074"/>
      <c r="X744" s="1074"/>
      <c r="Y744" s="1074"/>
      <c r="Z744" s="1074"/>
      <c r="AA744" s="1074"/>
      <c r="AB744" s="1074"/>
      <c r="AC744" s="1074"/>
      <c r="AD744" s="1074"/>
      <c r="AE744" s="1074"/>
      <c r="AF744" s="1074"/>
      <c r="AG744" s="1074"/>
      <c r="AH744" s="1074"/>
      <c r="AI744" s="1074"/>
      <c r="AJ744" s="1074"/>
      <c r="AK744" s="1074"/>
      <c r="AL744" s="1074"/>
      <c r="AM744" s="1074"/>
      <c r="AN744" s="1074"/>
      <c r="AO744" s="1074"/>
      <c r="AP744" s="1074"/>
      <c r="AQ744" s="1074"/>
      <c r="AR744" s="1074"/>
      <c r="AS744" s="1074"/>
      <c r="AT744" s="1075"/>
    </row>
    <row r="745" ht="14.25" customHeight="1">
      <c r="A745" s="1116"/>
      <c r="B745" s="1120"/>
      <c r="C745" s="1100"/>
      <c r="D745" s="1100"/>
      <c r="E745" s="1100"/>
      <c r="F745" s="1100"/>
      <c r="G745" s="1100"/>
      <c r="H745" s="1100"/>
      <c r="I745" s="1100"/>
      <c r="J745" s="1100"/>
      <c r="K745" s="1074"/>
      <c r="L745" s="1074"/>
      <c r="M745" s="1074"/>
      <c r="N745" s="1074"/>
      <c r="O745" s="1074"/>
      <c r="P745" s="1074"/>
      <c r="Q745" s="1074"/>
      <c r="R745" s="1074"/>
      <c r="S745" s="1074"/>
      <c r="T745" s="1074"/>
      <c r="U745" s="1074"/>
      <c r="V745" s="1074"/>
      <c r="W745" s="1074"/>
      <c r="X745" s="1074"/>
      <c r="Y745" s="1074"/>
      <c r="Z745" s="1074"/>
      <c r="AA745" s="1074"/>
      <c r="AB745" s="1074"/>
      <c r="AC745" s="1074"/>
      <c r="AD745" s="1074"/>
      <c r="AE745" s="1074"/>
      <c r="AF745" s="1074"/>
      <c r="AG745" s="1074"/>
      <c r="AH745" s="1074"/>
      <c r="AI745" s="1074"/>
      <c r="AJ745" s="1074"/>
      <c r="AK745" s="1074"/>
      <c r="AL745" s="1074"/>
      <c r="AM745" s="1074"/>
      <c r="AN745" s="1074"/>
      <c r="AO745" s="1074"/>
      <c r="AP745" s="1074"/>
      <c r="AQ745" s="1074"/>
      <c r="AR745" s="1074"/>
      <c r="AS745" s="1074"/>
      <c r="AT745" s="1075"/>
    </row>
    <row r="746" ht="14.25" customHeight="1">
      <c r="A746" s="1116"/>
      <c r="B746" s="1120"/>
      <c r="C746" s="1100"/>
      <c r="D746" s="1100"/>
      <c r="E746" s="1100"/>
      <c r="F746" s="1100"/>
      <c r="G746" s="1100"/>
      <c r="H746" s="1100"/>
      <c r="I746" s="1100"/>
      <c r="J746" s="1100"/>
      <c r="K746" s="1074"/>
      <c r="L746" s="1074"/>
      <c r="M746" s="1074"/>
      <c r="N746" s="1074"/>
      <c r="O746" s="1074"/>
      <c r="P746" s="1074"/>
      <c r="Q746" s="1074"/>
      <c r="R746" s="1074"/>
      <c r="S746" s="1074"/>
      <c r="T746" s="1074"/>
      <c r="U746" s="1074"/>
      <c r="V746" s="1074"/>
      <c r="W746" s="1074"/>
      <c r="X746" s="1074"/>
      <c r="Y746" s="1074"/>
      <c r="Z746" s="1074"/>
      <c r="AA746" s="1074"/>
      <c r="AB746" s="1074"/>
      <c r="AC746" s="1074"/>
      <c r="AD746" s="1074"/>
      <c r="AE746" s="1074"/>
      <c r="AF746" s="1074"/>
      <c r="AG746" s="1074"/>
      <c r="AH746" s="1074"/>
      <c r="AI746" s="1074"/>
      <c r="AJ746" s="1074"/>
      <c r="AK746" s="1074"/>
      <c r="AL746" s="1074"/>
      <c r="AM746" s="1074"/>
      <c r="AN746" s="1074"/>
      <c r="AO746" s="1074"/>
      <c r="AP746" s="1074"/>
      <c r="AQ746" s="1074"/>
      <c r="AR746" s="1074"/>
      <c r="AS746" s="1074"/>
      <c r="AT746" s="1075"/>
    </row>
    <row r="747" ht="14.25" customHeight="1">
      <c r="A747" s="1116"/>
      <c r="B747" s="1120"/>
      <c r="C747" s="1100"/>
      <c r="D747" s="1100"/>
      <c r="E747" s="1100"/>
      <c r="F747" s="1100"/>
      <c r="G747" s="1100"/>
      <c r="H747" s="1100"/>
      <c r="I747" s="1100"/>
      <c r="J747" s="1100"/>
      <c r="K747" s="1074"/>
      <c r="L747" s="1074"/>
      <c r="M747" s="1074"/>
      <c r="N747" s="1074"/>
      <c r="O747" s="1074"/>
      <c r="P747" s="1074"/>
      <c r="Q747" s="1074"/>
      <c r="R747" s="1074"/>
      <c r="S747" s="1074"/>
      <c r="T747" s="1074"/>
      <c r="U747" s="1074"/>
      <c r="V747" s="1074"/>
      <c r="W747" s="1074"/>
      <c r="X747" s="1074"/>
      <c r="Y747" s="1074"/>
      <c r="Z747" s="1074"/>
      <c r="AA747" s="1074"/>
      <c r="AB747" s="1074"/>
      <c r="AC747" s="1074"/>
      <c r="AD747" s="1074"/>
      <c r="AE747" s="1074"/>
      <c r="AF747" s="1074"/>
      <c r="AG747" s="1074"/>
      <c r="AH747" s="1074"/>
      <c r="AI747" s="1074"/>
      <c r="AJ747" s="1074"/>
      <c r="AK747" s="1074"/>
      <c r="AL747" s="1074"/>
      <c r="AM747" s="1074"/>
      <c r="AN747" s="1074"/>
      <c r="AO747" s="1074"/>
      <c r="AP747" s="1074"/>
      <c r="AQ747" s="1074"/>
      <c r="AR747" s="1074"/>
      <c r="AS747" s="1074"/>
      <c r="AT747" s="1075"/>
    </row>
    <row r="748" ht="14.25" customHeight="1">
      <c r="A748" s="1116"/>
      <c r="B748" s="1120"/>
      <c r="C748" s="1100"/>
      <c r="D748" s="1100"/>
      <c r="E748" s="1100"/>
      <c r="F748" s="1100"/>
      <c r="G748" s="1100"/>
      <c r="H748" s="1100"/>
      <c r="I748" s="1100"/>
      <c r="J748" s="1100"/>
      <c r="K748" s="1074"/>
      <c r="L748" s="1074"/>
      <c r="M748" s="1074"/>
      <c r="N748" s="1074"/>
      <c r="O748" s="1074"/>
      <c r="P748" s="1074"/>
      <c r="Q748" s="1074"/>
      <c r="R748" s="1074"/>
      <c r="S748" s="1074"/>
      <c r="T748" s="1074"/>
      <c r="U748" s="1074"/>
      <c r="V748" s="1074"/>
      <c r="W748" s="1074"/>
      <c r="X748" s="1074"/>
      <c r="Y748" s="1074"/>
      <c r="Z748" s="1074"/>
      <c r="AA748" s="1074"/>
      <c r="AB748" s="1074"/>
      <c r="AC748" s="1074"/>
      <c r="AD748" s="1074"/>
      <c r="AE748" s="1074"/>
      <c r="AF748" s="1074"/>
      <c r="AG748" s="1074"/>
      <c r="AH748" s="1074"/>
      <c r="AI748" s="1074"/>
      <c r="AJ748" s="1074"/>
      <c r="AK748" s="1074"/>
      <c r="AL748" s="1074"/>
      <c r="AM748" s="1074"/>
      <c r="AN748" s="1074"/>
      <c r="AO748" s="1074"/>
      <c r="AP748" s="1074"/>
      <c r="AQ748" s="1074"/>
      <c r="AR748" s="1074"/>
      <c r="AS748" s="1074"/>
      <c r="AT748" s="1075"/>
    </row>
    <row r="749" ht="14.25" customHeight="1">
      <c r="A749" s="1116"/>
      <c r="B749" s="1120"/>
      <c r="C749" s="1100"/>
      <c r="D749" s="1100"/>
      <c r="E749" s="1100"/>
      <c r="F749" s="1100"/>
      <c r="G749" s="1100"/>
      <c r="H749" s="1100"/>
      <c r="I749" s="1100"/>
      <c r="J749" s="1100"/>
      <c r="K749" s="1074"/>
      <c r="L749" s="1074"/>
      <c r="M749" s="1074"/>
      <c r="N749" s="1074"/>
      <c r="O749" s="1074"/>
      <c r="P749" s="1074"/>
      <c r="Q749" s="1074"/>
      <c r="R749" s="1074"/>
      <c r="S749" s="1074"/>
      <c r="T749" s="1074"/>
      <c r="U749" s="1074"/>
      <c r="V749" s="1074"/>
      <c r="W749" s="1074"/>
      <c r="X749" s="1074"/>
      <c r="Y749" s="1074"/>
      <c r="Z749" s="1074"/>
      <c r="AA749" s="1074"/>
      <c r="AB749" s="1074"/>
      <c r="AC749" s="1074"/>
      <c r="AD749" s="1074"/>
      <c r="AE749" s="1074"/>
      <c r="AF749" s="1074"/>
      <c r="AG749" s="1074"/>
      <c r="AH749" s="1074"/>
      <c r="AI749" s="1074"/>
      <c r="AJ749" s="1074"/>
      <c r="AK749" s="1074"/>
      <c r="AL749" s="1074"/>
      <c r="AM749" s="1074"/>
      <c r="AN749" s="1074"/>
      <c r="AO749" s="1074"/>
      <c r="AP749" s="1074"/>
      <c r="AQ749" s="1074"/>
      <c r="AR749" s="1074"/>
      <c r="AS749" s="1074"/>
      <c r="AT749" s="1075"/>
    </row>
    <row r="750" ht="14.25" customHeight="1">
      <c r="A750" s="1116"/>
      <c r="B750" s="1120"/>
      <c r="C750" s="1100"/>
      <c r="D750" s="1100"/>
      <c r="E750" s="1100"/>
      <c r="F750" s="1100"/>
      <c r="G750" s="1100"/>
      <c r="H750" s="1100"/>
      <c r="I750" s="1100"/>
      <c r="J750" s="1100"/>
      <c r="K750" s="1074"/>
      <c r="L750" s="1074"/>
      <c r="M750" s="1074"/>
      <c r="N750" s="1074"/>
      <c r="O750" s="1074"/>
      <c r="P750" s="1074"/>
      <c r="Q750" s="1074"/>
      <c r="R750" s="1074"/>
      <c r="S750" s="1074"/>
      <c r="T750" s="1074"/>
      <c r="U750" s="1074"/>
      <c r="V750" s="1074"/>
      <c r="W750" s="1074"/>
      <c r="X750" s="1074"/>
      <c r="Y750" s="1074"/>
      <c r="Z750" s="1074"/>
      <c r="AA750" s="1074"/>
      <c r="AB750" s="1074"/>
      <c r="AC750" s="1074"/>
      <c r="AD750" s="1074"/>
      <c r="AE750" s="1074"/>
      <c r="AF750" s="1074"/>
      <c r="AG750" s="1074"/>
      <c r="AH750" s="1074"/>
      <c r="AI750" s="1074"/>
      <c r="AJ750" s="1074"/>
      <c r="AK750" s="1074"/>
      <c r="AL750" s="1074"/>
      <c r="AM750" s="1074"/>
      <c r="AN750" s="1074"/>
      <c r="AO750" s="1074"/>
      <c r="AP750" s="1074"/>
      <c r="AQ750" s="1074"/>
      <c r="AR750" s="1074"/>
      <c r="AS750" s="1074"/>
      <c r="AT750" s="1075"/>
    </row>
    <row r="751" ht="14.25" customHeight="1">
      <c r="A751" s="1116"/>
      <c r="B751" s="1120"/>
      <c r="C751" s="1100"/>
      <c r="D751" s="1100"/>
      <c r="E751" s="1100"/>
      <c r="F751" s="1100"/>
      <c r="G751" s="1100"/>
      <c r="H751" s="1100"/>
      <c r="I751" s="1100"/>
      <c r="J751" s="1100"/>
      <c r="K751" s="1074"/>
      <c r="L751" s="1074"/>
      <c r="M751" s="1074"/>
      <c r="N751" s="1074"/>
      <c r="O751" s="1074"/>
      <c r="P751" s="1074"/>
      <c r="Q751" s="1074"/>
      <c r="R751" s="1074"/>
      <c r="S751" s="1074"/>
      <c r="T751" s="1074"/>
      <c r="U751" s="1074"/>
      <c r="V751" s="1074"/>
      <c r="W751" s="1074"/>
      <c r="X751" s="1074"/>
      <c r="Y751" s="1074"/>
      <c r="Z751" s="1074"/>
      <c r="AA751" s="1074"/>
      <c r="AB751" s="1074"/>
      <c r="AC751" s="1074"/>
      <c r="AD751" s="1074"/>
      <c r="AE751" s="1074"/>
      <c r="AF751" s="1074"/>
      <c r="AG751" s="1074"/>
      <c r="AH751" s="1074"/>
      <c r="AI751" s="1074"/>
      <c r="AJ751" s="1074"/>
      <c r="AK751" s="1074"/>
      <c r="AL751" s="1074"/>
      <c r="AM751" s="1074"/>
      <c r="AN751" s="1074"/>
      <c r="AO751" s="1074"/>
      <c r="AP751" s="1074"/>
      <c r="AQ751" s="1074"/>
      <c r="AR751" s="1074"/>
      <c r="AS751" s="1074"/>
      <c r="AT751" s="1075"/>
    </row>
    <row r="752" ht="14.25" customHeight="1">
      <c r="A752" s="1116"/>
      <c r="B752" s="1120"/>
      <c r="C752" s="1100"/>
      <c r="D752" s="1100"/>
      <c r="E752" s="1100"/>
      <c r="F752" s="1100"/>
      <c r="G752" s="1100"/>
      <c r="H752" s="1100"/>
      <c r="I752" s="1100"/>
      <c r="J752" s="1100"/>
      <c r="K752" s="1074"/>
      <c r="L752" s="1074"/>
      <c r="M752" s="1074"/>
      <c r="N752" s="1074"/>
      <c r="O752" s="1074"/>
      <c r="P752" s="1074"/>
      <c r="Q752" s="1074"/>
      <c r="R752" s="1074"/>
      <c r="S752" s="1074"/>
      <c r="T752" s="1074"/>
      <c r="U752" s="1074"/>
      <c r="V752" s="1074"/>
      <c r="W752" s="1074"/>
      <c r="X752" s="1074"/>
      <c r="Y752" s="1074"/>
      <c r="Z752" s="1074"/>
      <c r="AA752" s="1074"/>
      <c r="AB752" s="1074"/>
      <c r="AC752" s="1074"/>
      <c r="AD752" s="1074"/>
      <c r="AE752" s="1074"/>
      <c r="AF752" s="1074"/>
      <c r="AG752" s="1074"/>
      <c r="AH752" s="1074"/>
      <c r="AI752" s="1074"/>
      <c r="AJ752" s="1074"/>
      <c r="AK752" s="1074"/>
      <c r="AL752" s="1074"/>
      <c r="AM752" s="1074"/>
      <c r="AN752" s="1074"/>
      <c r="AO752" s="1074"/>
      <c r="AP752" s="1074"/>
      <c r="AQ752" s="1074"/>
      <c r="AR752" s="1074"/>
      <c r="AS752" s="1074"/>
      <c r="AT752" s="1075"/>
    </row>
    <row r="753" ht="14.25" customHeight="1">
      <c r="A753" s="1116"/>
      <c r="B753" s="1120"/>
      <c r="C753" s="1100"/>
      <c r="D753" s="1100"/>
      <c r="E753" s="1100"/>
      <c r="F753" s="1100"/>
      <c r="G753" s="1100"/>
      <c r="H753" s="1100"/>
      <c r="I753" s="1100"/>
      <c r="J753" s="1100"/>
      <c r="K753" s="1074"/>
      <c r="L753" s="1074"/>
      <c r="M753" s="1074"/>
      <c r="N753" s="1074"/>
      <c r="O753" s="1074"/>
      <c r="P753" s="1074"/>
      <c r="Q753" s="1074"/>
      <c r="R753" s="1074"/>
      <c r="S753" s="1074"/>
      <c r="T753" s="1074"/>
      <c r="U753" s="1074"/>
      <c r="V753" s="1074"/>
      <c r="W753" s="1074"/>
      <c r="X753" s="1074"/>
      <c r="Y753" s="1074"/>
      <c r="Z753" s="1074"/>
      <c r="AA753" s="1074"/>
      <c r="AB753" s="1074"/>
      <c r="AC753" s="1074"/>
      <c r="AD753" s="1074"/>
      <c r="AE753" s="1074"/>
      <c r="AF753" s="1074"/>
      <c r="AG753" s="1074"/>
      <c r="AH753" s="1074"/>
      <c r="AI753" s="1074"/>
      <c r="AJ753" s="1074"/>
      <c r="AK753" s="1074"/>
      <c r="AL753" s="1074"/>
      <c r="AM753" s="1074"/>
      <c r="AN753" s="1074"/>
      <c r="AO753" s="1074"/>
      <c r="AP753" s="1074"/>
      <c r="AQ753" s="1074"/>
      <c r="AR753" s="1074"/>
      <c r="AS753" s="1074"/>
      <c r="AT753" s="1075"/>
    </row>
    <row r="754" ht="14.25" customHeight="1">
      <c r="A754" s="1116"/>
      <c r="B754" s="1120"/>
      <c r="C754" s="1100"/>
      <c r="D754" s="1100"/>
      <c r="E754" s="1100"/>
      <c r="F754" s="1100"/>
      <c r="G754" s="1100"/>
      <c r="H754" s="1100"/>
      <c r="I754" s="1100"/>
      <c r="J754" s="1100"/>
      <c r="K754" s="1074"/>
      <c r="L754" s="1074"/>
      <c r="M754" s="1074"/>
      <c r="N754" s="1074"/>
      <c r="O754" s="1074"/>
      <c r="P754" s="1074"/>
      <c r="Q754" s="1074"/>
      <c r="R754" s="1074"/>
      <c r="S754" s="1074"/>
      <c r="T754" s="1074"/>
      <c r="U754" s="1074"/>
      <c r="V754" s="1074"/>
      <c r="W754" s="1074"/>
      <c r="X754" s="1074"/>
      <c r="Y754" s="1074"/>
      <c r="Z754" s="1074"/>
      <c r="AA754" s="1074"/>
      <c r="AB754" s="1074"/>
      <c r="AC754" s="1074"/>
      <c r="AD754" s="1074"/>
      <c r="AE754" s="1074"/>
      <c r="AF754" s="1074"/>
      <c r="AG754" s="1074"/>
      <c r="AH754" s="1074"/>
      <c r="AI754" s="1074"/>
      <c r="AJ754" s="1074"/>
      <c r="AK754" s="1074"/>
      <c r="AL754" s="1074"/>
      <c r="AM754" s="1074"/>
      <c r="AN754" s="1074"/>
      <c r="AO754" s="1074"/>
      <c r="AP754" s="1074"/>
      <c r="AQ754" s="1074"/>
      <c r="AR754" s="1074"/>
      <c r="AS754" s="1074"/>
      <c r="AT754" s="1075"/>
    </row>
    <row r="755" ht="14.25" customHeight="1">
      <c r="A755" s="1116"/>
      <c r="B755" s="1120"/>
      <c r="C755" s="1100"/>
      <c r="D755" s="1100"/>
      <c r="E755" s="1100"/>
      <c r="F755" s="1100"/>
      <c r="G755" s="1100"/>
      <c r="H755" s="1100"/>
      <c r="I755" s="1100"/>
      <c r="J755" s="1100"/>
      <c r="K755" s="1074"/>
      <c r="L755" s="1074"/>
      <c r="M755" s="1074"/>
      <c r="N755" s="1074"/>
      <c r="O755" s="1074"/>
      <c r="P755" s="1074"/>
      <c r="Q755" s="1074"/>
      <c r="R755" s="1074"/>
      <c r="S755" s="1074"/>
      <c r="T755" s="1074"/>
      <c r="U755" s="1074"/>
      <c r="V755" s="1074"/>
      <c r="W755" s="1074"/>
      <c r="X755" s="1074"/>
      <c r="Y755" s="1074"/>
      <c r="Z755" s="1074"/>
      <c r="AA755" s="1074"/>
      <c r="AB755" s="1074"/>
      <c r="AC755" s="1074"/>
      <c r="AD755" s="1074"/>
      <c r="AE755" s="1074"/>
      <c r="AF755" s="1074"/>
      <c r="AG755" s="1074"/>
      <c r="AH755" s="1074"/>
      <c r="AI755" s="1074"/>
      <c r="AJ755" s="1074"/>
      <c r="AK755" s="1074"/>
      <c r="AL755" s="1074"/>
      <c r="AM755" s="1074"/>
      <c r="AN755" s="1074"/>
      <c r="AO755" s="1074"/>
      <c r="AP755" s="1074"/>
      <c r="AQ755" s="1074"/>
      <c r="AR755" s="1074"/>
      <c r="AS755" s="1074"/>
      <c r="AT755" s="1075"/>
    </row>
    <row r="756" ht="14.25" customHeight="1">
      <c r="A756" s="1116"/>
      <c r="B756" s="1120"/>
      <c r="C756" s="1100"/>
      <c r="D756" s="1100"/>
      <c r="E756" s="1100"/>
      <c r="F756" s="1100"/>
      <c r="G756" s="1100"/>
      <c r="H756" s="1100"/>
      <c r="I756" s="1100"/>
      <c r="J756" s="1100"/>
      <c r="K756" s="1074"/>
      <c r="L756" s="1074"/>
      <c r="M756" s="1074"/>
      <c r="N756" s="1074"/>
      <c r="O756" s="1074"/>
      <c r="P756" s="1074"/>
      <c r="Q756" s="1074"/>
      <c r="R756" s="1074"/>
      <c r="S756" s="1074"/>
      <c r="T756" s="1074"/>
      <c r="U756" s="1074"/>
      <c r="V756" s="1074"/>
      <c r="W756" s="1074"/>
      <c r="X756" s="1074"/>
      <c r="Y756" s="1074"/>
      <c r="Z756" s="1074"/>
      <c r="AA756" s="1074"/>
      <c r="AB756" s="1074"/>
      <c r="AC756" s="1074"/>
      <c r="AD756" s="1074"/>
      <c r="AE756" s="1074"/>
      <c r="AF756" s="1074"/>
      <c r="AG756" s="1074"/>
      <c r="AH756" s="1074"/>
      <c r="AI756" s="1074"/>
      <c r="AJ756" s="1074"/>
      <c r="AK756" s="1074"/>
      <c r="AL756" s="1074"/>
      <c r="AM756" s="1074"/>
      <c r="AN756" s="1074"/>
      <c r="AO756" s="1074"/>
      <c r="AP756" s="1074"/>
      <c r="AQ756" s="1074"/>
      <c r="AR756" s="1074"/>
      <c r="AS756" s="1074"/>
      <c r="AT756" s="1075"/>
    </row>
    <row r="757" ht="14.25" customHeight="1">
      <c r="A757" s="1116"/>
      <c r="B757" s="1120"/>
      <c r="C757" s="1100"/>
      <c r="D757" s="1100"/>
      <c r="E757" s="1100"/>
      <c r="F757" s="1100"/>
      <c r="G757" s="1100"/>
      <c r="H757" s="1100"/>
      <c r="I757" s="1100"/>
      <c r="J757" s="1100"/>
      <c r="K757" s="1074"/>
      <c r="L757" s="1074"/>
      <c r="M757" s="1074"/>
      <c r="N757" s="1074"/>
      <c r="O757" s="1074"/>
      <c r="P757" s="1074"/>
      <c r="Q757" s="1074"/>
      <c r="R757" s="1074"/>
      <c r="S757" s="1074"/>
      <c r="T757" s="1074"/>
      <c r="U757" s="1074"/>
      <c r="V757" s="1074"/>
      <c r="W757" s="1074"/>
      <c r="X757" s="1074"/>
      <c r="Y757" s="1074"/>
      <c r="Z757" s="1074"/>
      <c r="AA757" s="1074"/>
      <c r="AB757" s="1074"/>
      <c r="AC757" s="1074"/>
      <c r="AD757" s="1074"/>
      <c r="AE757" s="1074"/>
      <c r="AF757" s="1074"/>
      <c r="AG757" s="1074"/>
      <c r="AH757" s="1074"/>
      <c r="AI757" s="1074"/>
      <c r="AJ757" s="1074"/>
      <c r="AK757" s="1074"/>
      <c r="AL757" s="1074"/>
      <c r="AM757" s="1074"/>
      <c r="AN757" s="1074"/>
      <c r="AO757" s="1074"/>
      <c r="AP757" s="1074"/>
      <c r="AQ757" s="1074"/>
      <c r="AR757" s="1074"/>
      <c r="AS757" s="1074"/>
      <c r="AT757" s="1075"/>
    </row>
    <row r="758" ht="14.25" customHeight="1">
      <c r="A758" s="1116"/>
      <c r="B758" s="1120"/>
      <c r="C758" s="1100"/>
      <c r="D758" s="1100"/>
      <c r="E758" s="1100"/>
      <c r="F758" s="1100"/>
      <c r="G758" s="1100"/>
      <c r="H758" s="1100"/>
      <c r="I758" s="1100"/>
      <c r="J758" s="1100"/>
      <c r="K758" s="1074"/>
      <c r="L758" s="1074"/>
      <c r="M758" s="1074"/>
      <c r="N758" s="1074"/>
      <c r="O758" s="1074"/>
      <c r="P758" s="1074"/>
      <c r="Q758" s="1074"/>
      <c r="R758" s="1074"/>
      <c r="S758" s="1074"/>
      <c r="T758" s="1074"/>
      <c r="U758" s="1074"/>
      <c r="V758" s="1074"/>
      <c r="W758" s="1074"/>
      <c r="X758" s="1074"/>
      <c r="Y758" s="1074"/>
      <c r="Z758" s="1074"/>
      <c r="AA758" s="1074"/>
      <c r="AB758" s="1074"/>
      <c r="AC758" s="1074"/>
      <c r="AD758" s="1074"/>
      <c r="AE758" s="1074"/>
      <c r="AF758" s="1074"/>
      <c r="AG758" s="1074"/>
      <c r="AH758" s="1074"/>
      <c r="AI758" s="1074"/>
      <c r="AJ758" s="1074"/>
      <c r="AK758" s="1074"/>
      <c r="AL758" s="1074"/>
      <c r="AM758" s="1074"/>
      <c r="AN758" s="1074"/>
      <c r="AO758" s="1074"/>
      <c r="AP758" s="1074"/>
      <c r="AQ758" s="1074"/>
      <c r="AR758" s="1074"/>
      <c r="AS758" s="1074"/>
      <c r="AT758" s="1075"/>
    </row>
    <row r="759" ht="14.25" customHeight="1">
      <c r="A759" s="1116"/>
      <c r="B759" s="1120"/>
      <c r="C759" s="1100"/>
      <c r="D759" s="1100"/>
      <c r="E759" s="1100"/>
      <c r="F759" s="1100"/>
      <c r="G759" s="1100"/>
      <c r="H759" s="1100"/>
      <c r="I759" s="1100"/>
      <c r="J759" s="1100"/>
      <c r="K759" s="1074"/>
      <c r="L759" s="1074"/>
      <c r="M759" s="1074"/>
      <c r="N759" s="1074"/>
      <c r="O759" s="1074"/>
      <c r="P759" s="1074"/>
      <c r="Q759" s="1074"/>
      <c r="R759" s="1074"/>
      <c r="S759" s="1074"/>
      <c r="T759" s="1074"/>
      <c r="U759" s="1074"/>
      <c r="V759" s="1074"/>
      <c r="W759" s="1074"/>
      <c r="X759" s="1074"/>
      <c r="Y759" s="1074"/>
      <c r="Z759" s="1074"/>
      <c r="AA759" s="1074"/>
      <c r="AB759" s="1074"/>
      <c r="AC759" s="1074"/>
      <c r="AD759" s="1074"/>
      <c r="AE759" s="1074"/>
      <c r="AF759" s="1074"/>
      <c r="AG759" s="1074"/>
      <c r="AH759" s="1074"/>
      <c r="AI759" s="1074"/>
      <c r="AJ759" s="1074"/>
      <c r="AK759" s="1074"/>
      <c r="AL759" s="1074"/>
      <c r="AM759" s="1074"/>
      <c r="AN759" s="1074"/>
      <c r="AO759" s="1074"/>
      <c r="AP759" s="1074"/>
      <c r="AQ759" s="1074"/>
      <c r="AR759" s="1074"/>
      <c r="AS759" s="1074"/>
      <c r="AT759" s="1075"/>
    </row>
    <row r="760" ht="14.25" customHeight="1">
      <c r="A760" s="1116"/>
      <c r="B760" s="1120"/>
      <c r="C760" s="1100"/>
      <c r="D760" s="1100"/>
      <c r="E760" s="1100"/>
      <c r="F760" s="1100"/>
      <c r="G760" s="1100"/>
      <c r="H760" s="1100"/>
      <c r="I760" s="1100"/>
      <c r="J760" s="1100"/>
      <c r="K760" s="1074"/>
      <c r="L760" s="1074"/>
      <c r="M760" s="1074"/>
      <c r="N760" s="1074"/>
      <c r="O760" s="1074"/>
      <c r="P760" s="1074"/>
      <c r="Q760" s="1074"/>
      <c r="R760" s="1074"/>
      <c r="S760" s="1074"/>
      <c r="T760" s="1074"/>
      <c r="U760" s="1074"/>
      <c r="V760" s="1074"/>
      <c r="W760" s="1074"/>
      <c r="X760" s="1074"/>
      <c r="Y760" s="1074"/>
      <c r="Z760" s="1074"/>
      <c r="AA760" s="1074"/>
      <c r="AB760" s="1074"/>
      <c r="AC760" s="1074"/>
      <c r="AD760" s="1074"/>
      <c r="AE760" s="1074"/>
      <c r="AF760" s="1074"/>
      <c r="AG760" s="1074"/>
      <c r="AH760" s="1074"/>
      <c r="AI760" s="1074"/>
      <c r="AJ760" s="1074"/>
      <c r="AK760" s="1074"/>
      <c r="AL760" s="1074"/>
      <c r="AM760" s="1074"/>
      <c r="AN760" s="1074"/>
      <c r="AO760" s="1074"/>
      <c r="AP760" s="1074"/>
      <c r="AQ760" s="1074"/>
      <c r="AR760" s="1074"/>
      <c r="AS760" s="1074"/>
      <c r="AT760" s="1075"/>
    </row>
    <row r="761" ht="14.25" customHeight="1">
      <c r="A761" s="1116"/>
      <c r="B761" s="1120"/>
      <c r="C761" s="1100"/>
      <c r="D761" s="1100"/>
      <c r="E761" s="1100"/>
      <c r="F761" s="1100"/>
      <c r="G761" s="1100"/>
      <c r="H761" s="1100"/>
      <c r="I761" s="1100"/>
      <c r="J761" s="1100"/>
      <c r="K761" s="1074"/>
      <c r="L761" s="1074"/>
      <c r="M761" s="1074"/>
      <c r="N761" s="1074"/>
      <c r="O761" s="1074"/>
      <c r="P761" s="1074"/>
      <c r="Q761" s="1074"/>
      <c r="R761" s="1074"/>
      <c r="S761" s="1074"/>
      <c r="T761" s="1074"/>
      <c r="U761" s="1074"/>
      <c r="V761" s="1074"/>
      <c r="W761" s="1074"/>
      <c r="X761" s="1074"/>
      <c r="Y761" s="1074"/>
      <c r="Z761" s="1074"/>
      <c r="AA761" s="1074"/>
      <c r="AB761" s="1074"/>
      <c r="AC761" s="1074"/>
      <c r="AD761" s="1074"/>
      <c r="AE761" s="1074"/>
      <c r="AF761" s="1074"/>
      <c r="AG761" s="1074"/>
      <c r="AH761" s="1074"/>
      <c r="AI761" s="1074"/>
      <c r="AJ761" s="1074"/>
      <c r="AK761" s="1074"/>
      <c r="AL761" s="1074"/>
      <c r="AM761" s="1074"/>
      <c r="AN761" s="1074"/>
      <c r="AO761" s="1074"/>
      <c r="AP761" s="1074"/>
      <c r="AQ761" s="1074"/>
      <c r="AR761" s="1074"/>
      <c r="AS761" s="1074"/>
      <c r="AT761" s="1075"/>
    </row>
    <row r="762" ht="14.25" customHeight="1">
      <c r="A762" s="1116"/>
      <c r="B762" s="1120"/>
      <c r="C762" s="1100"/>
      <c r="D762" s="1100"/>
      <c r="E762" s="1100"/>
      <c r="F762" s="1100"/>
      <c r="G762" s="1100"/>
      <c r="H762" s="1100"/>
      <c r="I762" s="1100"/>
      <c r="J762" s="1100"/>
      <c r="K762" s="1074"/>
      <c r="L762" s="1074"/>
      <c r="M762" s="1074"/>
      <c r="N762" s="1074"/>
      <c r="O762" s="1074"/>
      <c r="P762" s="1074"/>
      <c r="Q762" s="1074"/>
      <c r="R762" s="1074"/>
      <c r="S762" s="1074"/>
      <c r="T762" s="1074"/>
      <c r="U762" s="1074"/>
      <c r="V762" s="1074"/>
      <c r="W762" s="1074"/>
      <c r="X762" s="1074"/>
      <c r="Y762" s="1074"/>
      <c r="Z762" s="1074"/>
      <c r="AA762" s="1074"/>
      <c r="AB762" s="1074"/>
      <c r="AC762" s="1074"/>
      <c r="AD762" s="1074"/>
      <c r="AE762" s="1074"/>
      <c r="AF762" s="1074"/>
      <c r="AG762" s="1074"/>
      <c r="AH762" s="1074"/>
      <c r="AI762" s="1074"/>
      <c r="AJ762" s="1074"/>
      <c r="AK762" s="1074"/>
      <c r="AL762" s="1074"/>
      <c r="AM762" s="1074"/>
      <c r="AN762" s="1074"/>
      <c r="AO762" s="1074"/>
      <c r="AP762" s="1074"/>
      <c r="AQ762" s="1074"/>
      <c r="AR762" s="1074"/>
      <c r="AS762" s="1074"/>
      <c r="AT762" s="1075"/>
    </row>
    <row r="763" ht="14.25" customHeight="1">
      <c r="A763" s="1116"/>
      <c r="B763" s="1120"/>
      <c r="C763" s="1100"/>
      <c r="D763" s="1100"/>
      <c r="E763" s="1100"/>
      <c r="F763" s="1100"/>
      <c r="G763" s="1100"/>
      <c r="H763" s="1100"/>
      <c r="I763" s="1100"/>
      <c r="J763" s="1100"/>
      <c r="K763" s="1074"/>
      <c r="L763" s="1074"/>
      <c r="M763" s="1074"/>
      <c r="N763" s="1074"/>
      <c r="O763" s="1074"/>
      <c r="P763" s="1074"/>
      <c r="Q763" s="1074"/>
      <c r="R763" s="1074"/>
      <c r="S763" s="1074"/>
      <c r="T763" s="1074"/>
      <c r="U763" s="1074"/>
      <c r="V763" s="1074"/>
      <c r="W763" s="1074"/>
      <c r="X763" s="1074"/>
      <c r="Y763" s="1074"/>
      <c r="Z763" s="1074"/>
      <c r="AA763" s="1074"/>
      <c r="AB763" s="1074"/>
      <c r="AC763" s="1074"/>
      <c r="AD763" s="1074"/>
      <c r="AE763" s="1074"/>
      <c r="AF763" s="1074"/>
      <c r="AG763" s="1074"/>
      <c r="AH763" s="1074"/>
      <c r="AI763" s="1074"/>
      <c r="AJ763" s="1074"/>
      <c r="AK763" s="1074"/>
      <c r="AL763" s="1074"/>
      <c r="AM763" s="1074"/>
      <c r="AN763" s="1074"/>
      <c r="AO763" s="1074"/>
      <c r="AP763" s="1074"/>
      <c r="AQ763" s="1074"/>
      <c r="AR763" s="1074"/>
      <c r="AS763" s="1074"/>
      <c r="AT763" s="1075"/>
    </row>
    <row r="764" ht="14.25" customHeight="1">
      <c r="A764" s="1116"/>
      <c r="B764" s="1120"/>
      <c r="C764" s="1100"/>
      <c r="D764" s="1100"/>
      <c r="E764" s="1100"/>
      <c r="F764" s="1100"/>
      <c r="G764" s="1100"/>
      <c r="H764" s="1100"/>
      <c r="I764" s="1100"/>
      <c r="J764" s="1100"/>
      <c r="K764" s="1074"/>
      <c r="L764" s="1074"/>
      <c r="M764" s="1074"/>
      <c r="N764" s="1074"/>
      <c r="O764" s="1074"/>
      <c r="P764" s="1074"/>
      <c r="Q764" s="1074"/>
      <c r="R764" s="1074"/>
      <c r="S764" s="1074"/>
      <c r="T764" s="1074"/>
      <c r="U764" s="1074"/>
      <c r="V764" s="1074"/>
      <c r="W764" s="1074"/>
      <c r="X764" s="1074"/>
      <c r="Y764" s="1074"/>
      <c r="Z764" s="1074"/>
      <c r="AA764" s="1074"/>
      <c r="AB764" s="1074"/>
      <c r="AC764" s="1074"/>
      <c r="AD764" s="1074"/>
      <c r="AE764" s="1074"/>
      <c r="AF764" s="1074"/>
      <c r="AG764" s="1074"/>
      <c r="AH764" s="1074"/>
      <c r="AI764" s="1074"/>
      <c r="AJ764" s="1074"/>
      <c r="AK764" s="1074"/>
      <c r="AL764" s="1074"/>
      <c r="AM764" s="1074"/>
      <c r="AN764" s="1074"/>
      <c r="AO764" s="1074"/>
      <c r="AP764" s="1074"/>
      <c r="AQ764" s="1074"/>
      <c r="AR764" s="1074"/>
      <c r="AS764" s="1074"/>
      <c r="AT764" s="1075"/>
    </row>
    <row r="765" ht="14.25" customHeight="1">
      <c r="A765" s="1116"/>
      <c r="B765" s="1120"/>
      <c r="C765" s="1100"/>
      <c r="D765" s="1100"/>
      <c r="E765" s="1100"/>
      <c r="F765" s="1100"/>
      <c r="G765" s="1100"/>
      <c r="H765" s="1100"/>
      <c r="I765" s="1100"/>
      <c r="J765" s="1100"/>
      <c r="K765" s="1074"/>
      <c r="L765" s="1074"/>
      <c r="M765" s="1074"/>
      <c r="N765" s="1074"/>
      <c r="O765" s="1074"/>
      <c r="P765" s="1074"/>
      <c r="Q765" s="1074"/>
      <c r="R765" s="1074"/>
      <c r="S765" s="1074"/>
      <c r="T765" s="1074"/>
      <c r="U765" s="1074"/>
      <c r="V765" s="1074"/>
      <c r="W765" s="1074"/>
      <c r="X765" s="1074"/>
      <c r="Y765" s="1074"/>
      <c r="Z765" s="1074"/>
      <c r="AA765" s="1074"/>
      <c r="AB765" s="1074"/>
      <c r="AC765" s="1074"/>
      <c r="AD765" s="1074"/>
      <c r="AE765" s="1074"/>
      <c r="AF765" s="1074"/>
      <c r="AG765" s="1074"/>
      <c r="AH765" s="1074"/>
      <c r="AI765" s="1074"/>
      <c r="AJ765" s="1074"/>
      <c r="AK765" s="1074"/>
      <c r="AL765" s="1074"/>
      <c r="AM765" s="1074"/>
      <c r="AN765" s="1074"/>
      <c r="AO765" s="1074"/>
      <c r="AP765" s="1074"/>
      <c r="AQ765" s="1074"/>
      <c r="AR765" s="1074"/>
      <c r="AS765" s="1074"/>
      <c r="AT765" s="1075"/>
    </row>
    <row r="766" ht="14.25" customHeight="1">
      <c r="A766" s="1116"/>
      <c r="B766" s="1120"/>
      <c r="C766" s="1100"/>
      <c r="D766" s="1100"/>
      <c r="E766" s="1100"/>
      <c r="F766" s="1100"/>
      <c r="G766" s="1100"/>
      <c r="H766" s="1100"/>
      <c r="I766" s="1100"/>
      <c r="J766" s="1100"/>
      <c r="K766" s="1074"/>
      <c r="L766" s="1074"/>
      <c r="M766" s="1074"/>
      <c r="N766" s="1074"/>
      <c r="O766" s="1074"/>
      <c r="P766" s="1074"/>
      <c r="Q766" s="1074"/>
      <c r="R766" s="1074"/>
      <c r="S766" s="1074"/>
      <c r="T766" s="1074"/>
      <c r="U766" s="1074"/>
      <c r="V766" s="1074"/>
      <c r="W766" s="1074"/>
      <c r="X766" s="1074"/>
      <c r="Y766" s="1074"/>
      <c r="Z766" s="1074"/>
      <c r="AA766" s="1074"/>
      <c r="AB766" s="1074"/>
      <c r="AC766" s="1074"/>
      <c r="AD766" s="1074"/>
      <c r="AE766" s="1074"/>
      <c r="AF766" s="1074"/>
      <c r="AG766" s="1074"/>
      <c r="AH766" s="1074"/>
      <c r="AI766" s="1074"/>
      <c r="AJ766" s="1074"/>
      <c r="AK766" s="1074"/>
      <c r="AL766" s="1074"/>
      <c r="AM766" s="1074"/>
      <c r="AN766" s="1074"/>
      <c r="AO766" s="1074"/>
      <c r="AP766" s="1074"/>
      <c r="AQ766" s="1074"/>
      <c r="AR766" s="1074"/>
      <c r="AS766" s="1074"/>
      <c r="AT766" s="1075"/>
    </row>
    <row r="767" ht="14.25" customHeight="1">
      <c r="A767" s="1116"/>
      <c r="B767" s="1120"/>
      <c r="C767" s="1100"/>
      <c r="D767" s="1100"/>
      <c r="E767" s="1100"/>
      <c r="F767" s="1100"/>
      <c r="G767" s="1100"/>
      <c r="H767" s="1100"/>
      <c r="I767" s="1100"/>
      <c r="J767" s="1100"/>
      <c r="K767" s="1074"/>
      <c r="L767" s="1074"/>
      <c r="M767" s="1074"/>
      <c r="N767" s="1074"/>
      <c r="O767" s="1074"/>
      <c r="P767" s="1074"/>
      <c r="Q767" s="1074"/>
      <c r="R767" s="1074"/>
      <c r="S767" s="1074"/>
      <c r="T767" s="1074"/>
      <c r="U767" s="1074"/>
      <c r="V767" s="1074"/>
      <c r="W767" s="1074"/>
      <c r="X767" s="1074"/>
      <c r="Y767" s="1074"/>
      <c r="Z767" s="1074"/>
      <c r="AA767" s="1074"/>
      <c r="AB767" s="1074"/>
      <c r="AC767" s="1074"/>
      <c r="AD767" s="1074"/>
      <c r="AE767" s="1074"/>
      <c r="AF767" s="1074"/>
      <c r="AG767" s="1074"/>
      <c r="AH767" s="1074"/>
      <c r="AI767" s="1074"/>
      <c r="AJ767" s="1074"/>
      <c r="AK767" s="1074"/>
      <c r="AL767" s="1074"/>
      <c r="AM767" s="1074"/>
      <c r="AN767" s="1074"/>
      <c r="AO767" s="1074"/>
      <c r="AP767" s="1074"/>
      <c r="AQ767" s="1074"/>
      <c r="AR767" s="1074"/>
      <c r="AS767" s="1074"/>
      <c r="AT767" s="1075"/>
    </row>
    <row r="768" ht="14.25" customHeight="1">
      <c r="A768" s="1116"/>
      <c r="B768" s="1120"/>
      <c r="C768" s="1100"/>
      <c r="D768" s="1100"/>
      <c r="E768" s="1100"/>
      <c r="F768" s="1100"/>
      <c r="G768" s="1100"/>
      <c r="H768" s="1100"/>
      <c r="I768" s="1100"/>
      <c r="J768" s="1100"/>
      <c r="K768" s="1074"/>
      <c r="L768" s="1074"/>
      <c r="M768" s="1074"/>
      <c r="N768" s="1074"/>
      <c r="O768" s="1074"/>
      <c r="P768" s="1074"/>
      <c r="Q768" s="1074"/>
      <c r="R768" s="1074"/>
      <c r="S768" s="1074"/>
      <c r="T768" s="1074"/>
      <c r="U768" s="1074"/>
      <c r="V768" s="1074"/>
      <c r="W768" s="1074"/>
      <c r="X768" s="1074"/>
      <c r="Y768" s="1074"/>
      <c r="Z768" s="1074"/>
      <c r="AA768" s="1074"/>
      <c r="AB768" s="1074"/>
      <c r="AC768" s="1074"/>
      <c r="AD768" s="1074"/>
      <c r="AE768" s="1074"/>
      <c r="AF768" s="1074"/>
      <c r="AG768" s="1074"/>
      <c r="AH768" s="1074"/>
      <c r="AI768" s="1074"/>
      <c r="AJ768" s="1074"/>
      <c r="AK768" s="1074"/>
      <c r="AL768" s="1074"/>
      <c r="AM768" s="1074"/>
      <c r="AN768" s="1074"/>
      <c r="AO768" s="1074"/>
      <c r="AP768" s="1074"/>
      <c r="AQ768" s="1074"/>
      <c r="AR768" s="1074"/>
      <c r="AS768" s="1074"/>
      <c r="AT768" s="1075"/>
    </row>
    <row r="769" ht="14.25" customHeight="1">
      <c r="A769" s="1116"/>
      <c r="B769" s="1120"/>
      <c r="C769" s="1100"/>
      <c r="D769" s="1100"/>
      <c r="E769" s="1100"/>
      <c r="F769" s="1100"/>
      <c r="G769" s="1100"/>
      <c r="H769" s="1100"/>
      <c r="I769" s="1100"/>
      <c r="J769" s="1100"/>
      <c r="K769" s="1074"/>
      <c r="L769" s="1074"/>
      <c r="M769" s="1074"/>
      <c r="N769" s="1074"/>
      <c r="O769" s="1074"/>
      <c r="P769" s="1074"/>
      <c r="Q769" s="1074"/>
      <c r="R769" s="1074"/>
      <c r="S769" s="1074"/>
      <c r="T769" s="1074"/>
      <c r="U769" s="1074"/>
      <c r="V769" s="1074"/>
      <c r="W769" s="1074"/>
      <c r="X769" s="1074"/>
      <c r="Y769" s="1074"/>
      <c r="Z769" s="1074"/>
      <c r="AA769" s="1074"/>
      <c r="AB769" s="1074"/>
      <c r="AC769" s="1074"/>
      <c r="AD769" s="1074"/>
      <c r="AE769" s="1074"/>
      <c r="AF769" s="1074"/>
      <c r="AG769" s="1074"/>
      <c r="AH769" s="1074"/>
      <c r="AI769" s="1074"/>
      <c r="AJ769" s="1074"/>
      <c r="AK769" s="1074"/>
      <c r="AL769" s="1074"/>
      <c r="AM769" s="1074"/>
      <c r="AN769" s="1074"/>
      <c r="AO769" s="1074"/>
      <c r="AP769" s="1074"/>
      <c r="AQ769" s="1074"/>
      <c r="AR769" s="1074"/>
      <c r="AS769" s="1074"/>
      <c r="AT769" s="1075"/>
    </row>
    <row r="770" ht="14.25" customHeight="1">
      <c r="A770" s="1116"/>
      <c r="B770" s="1120"/>
      <c r="C770" s="1100"/>
      <c r="D770" s="1100"/>
      <c r="E770" s="1100"/>
      <c r="F770" s="1100"/>
      <c r="G770" s="1100"/>
      <c r="H770" s="1100"/>
      <c r="I770" s="1100"/>
      <c r="J770" s="1100"/>
      <c r="K770" s="1074"/>
      <c r="L770" s="1074"/>
      <c r="M770" s="1074"/>
      <c r="N770" s="1074"/>
      <c r="O770" s="1074"/>
      <c r="P770" s="1074"/>
      <c r="Q770" s="1074"/>
      <c r="R770" s="1074"/>
      <c r="S770" s="1074"/>
      <c r="T770" s="1074"/>
      <c r="U770" s="1074"/>
      <c r="V770" s="1074"/>
      <c r="W770" s="1074"/>
      <c r="X770" s="1074"/>
      <c r="Y770" s="1074"/>
      <c r="Z770" s="1074"/>
      <c r="AA770" s="1074"/>
      <c r="AB770" s="1074"/>
      <c r="AC770" s="1074"/>
      <c r="AD770" s="1074"/>
      <c r="AE770" s="1074"/>
      <c r="AF770" s="1074"/>
      <c r="AG770" s="1074"/>
      <c r="AH770" s="1074"/>
      <c r="AI770" s="1074"/>
      <c r="AJ770" s="1074"/>
      <c r="AK770" s="1074"/>
      <c r="AL770" s="1074"/>
      <c r="AM770" s="1074"/>
      <c r="AN770" s="1074"/>
      <c r="AO770" s="1074"/>
      <c r="AP770" s="1074"/>
      <c r="AQ770" s="1074"/>
      <c r="AR770" s="1074"/>
      <c r="AS770" s="1074"/>
      <c r="AT770" s="1075"/>
    </row>
    <row r="771" ht="14.25" customHeight="1">
      <c r="A771" s="1116"/>
      <c r="B771" s="1120"/>
      <c r="C771" s="1100"/>
      <c r="D771" s="1100"/>
      <c r="E771" s="1100"/>
      <c r="F771" s="1100"/>
      <c r="G771" s="1100"/>
      <c r="H771" s="1100"/>
      <c r="I771" s="1100"/>
      <c r="J771" s="1100"/>
      <c r="K771" s="1074"/>
      <c r="L771" s="1074"/>
      <c r="M771" s="1074"/>
      <c r="N771" s="1074"/>
      <c r="O771" s="1074"/>
      <c r="P771" s="1074"/>
      <c r="Q771" s="1074"/>
      <c r="R771" s="1074"/>
      <c r="S771" s="1074"/>
      <c r="T771" s="1074"/>
      <c r="U771" s="1074"/>
      <c r="V771" s="1074"/>
      <c r="W771" s="1074"/>
      <c r="X771" s="1074"/>
      <c r="Y771" s="1074"/>
      <c r="Z771" s="1074"/>
      <c r="AA771" s="1074"/>
      <c r="AB771" s="1074"/>
      <c r="AC771" s="1074"/>
      <c r="AD771" s="1074"/>
      <c r="AE771" s="1074"/>
      <c r="AF771" s="1074"/>
      <c r="AG771" s="1074"/>
      <c r="AH771" s="1074"/>
      <c r="AI771" s="1074"/>
      <c r="AJ771" s="1074"/>
      <c r="AK771" s="1074"/>
      <c r="AL771" s="1074"/>
      <c r="AM771" s="1074"/>
      <c r="AN771" s="1074"/>
      <c r="AO771" s="1074"/>
      <c r="AP771" s="1074"/>
      <c r="AQ771" s="1074"/>
      <c r="AR771" s="1074"/>
      <c r="AS771" s="1074"/>
      <c r="AT771" s="1075"/>
    </row>
    <row r="772" ht="14.25" customHeight="1">
      <c r="A772" s="1116"/>
      <c r="B772" s="1120"/>
      <c r="C772" s="1100"/>
      <c r="D772" s="1100"/>
      <c r="E772" s="1100"/>
      <c r="F772" s="1100"/>
      <c r="G772" s="1100"/>
      <c r="H772" s="1100"/>
      <c r="I772" s="1100"/>
      <c r="J772" s="1100"/>
      <c r="K772" s="1074"/>
      <c r="L772" s="1074"/>
      <c r="M772" s="1074"/>
      <c r="N772" s="1074"/>
      <c r="O772" s="1074"/>
      <c r="P772" s="1074"/>
      <c r="Q772" s="1074"/>
      <c r="R772" s="1074"/>
      <c r="S772" s="1074"/>
      <c r="T772" s="1074"/>
      <c r="U772" s="1074"/>
      <c r="V772" s="1074"/>
      <c r="W772" s="1074"/>
      <c r="X772" s="1074"/>
      <c r="Y772" s="1074"/>
      <c r="Z772" s="1074"/>
      <c r="AA772" s="1074"/>
      <c r="AB772" s="1074"/>
      <c r="AC772" s="1074"/>
      <c r="AD772" s="1074"/>
      <c r="AE772" s="1074"/>
      <c r="AF772" s="1074"/>
      <c r="AG772" s="1074"/>
      <c r="AH772" s="1074"/>
      <c r="AI772" s="1074"/>
      <c r="AJ772" s="1074"/>
      <c r="AK772" s="1074"/>
      <c r="AL772" s="1074"/>
      <c r="AM772" s="1074"/>
      <c r="AN772" s="1074"/>
      <c r="AO772" s="1074"/>
      <c r="AP772" s="1074"/>
      <c r="AQ772" s="1074"/>
      <c r="AR772" s="1074"/>
      <c r="AS772" s="1074"/>
      <c r="AT772" s="1075"/>
    </row>
    <row r="773" ht="14.25" customHeight="1">
      <c r="A773" s="1116"/>
      <c r="B773" s="1120"/>
      <c r="C773" s="1100"/>
      <c r="D773" s="1100"/>
      <c r="E773" s="1100"/>
      <c r="F773" s="1100"/>
      <c r="G773" s="1100"/>
      <c r="H773" s="1100"/>
      <c r="I773" s="1100"/>
      <c r="J773" s="1100"/>
      <c r="K773" s="1074"/>
      <c r="L773" s="1074"/>
      <c r="M773" s="1074"/>
      <c r="N773" s="1074"/>
      <c r="O773" s="1074"/>
      <c r="P773" s="1074"/>
      <c r="Q773" s="1074"/>
      <c r="R773" s="1074"/>
      <c r="S773" s="1074"/>
      <c r="T773" s="1074"/>
      <c r="U773" s="1074"/>
      <c r="V773" s="1074"/>
      <c r="W773" s="1074"/>
      <c r="X773" s="1074"/>
      <c r="Y773" s="1074"/>
      <c r="Z773" s="1074"/>
      <c r="AA773" s="1074"/>
      <c r="AB773" s="1074"/>
      <c r="AC773" s="1074"/>
      <c r="AD773" s="1074"/>
      <c r="AE773" s="1074"/>
      <c r="AF773" s="1074"/>
      <c r="AG773" s="1074"/>
      <c r="AH773" s="1074"/>
      <c r="AI773" s="1074"/>
      <c r="AJ773" s="1074"/>
      <c r="AK773" s="1074"/>
      <c r="AL773" s="1074"/>
      <c r="AM773" s="1074"/>
      <c r="AN773" s="1074"/>
      <c r="AO773" s="1074"/>
      <c r="AP773" s="1074"/>
      <c r="AQ773" s="1074"/>
      <c r="AR773" s="1074"/>
      <c r="AS773" s="1074"/>
      <c r="AT773" s="1075"/>
    </row>
    <row r="774" ht="14.25" customHeight="1">
      <c r="A774" s="1116"/>
      <c r="B774" s="1120"/>
      <c r="C774" s="1100"/>
      <c r="D774" s="1100"/>
      <c r="E774" s="1100"/>
      <c r="F774" s="1100"/>
      <c r="G774" s="1100"/>
      <c r="H774" s="1100"/>
      <c r="I774" s="1100"/>
      <c r="J774" s="1100"/>
      <c r="K774" s="1074"/>
      <c r="L774" s="1074"/>
      <c r="M774" s="1074"/>
      <c r="N774" s="1074"/>
      <c r="O774" s="1074"/>
      <c r="P774" s="1074"/>
      <c r="Q774" s="1074"/>
      <c r="R774" s="1074"/>
      <c r="S774" s="1074"/>
      <c r="T774" s="1074"/>
      <c r="U774" s="1074"/>
      <c r="V774" s="1074"/>
      <c r="W774" s="1074"/>
      <c r="X774" s="1074"/>
      <c r="Y774" s="1074"/>
      <c r="Z774" s="1074"/>
      <c r="AA774" s="1074"/>
      <c r="AB774" s="1074"/>
      <c r="AC774" s="1074"/>
      <c r="AD774" s="1074"/>
      <c r="AE774" s="1074"/>
      <c r="AF774" s="1074"/>
      <c r="AG774" s="1074"/>
      <c r="AH774" s="1074"/>
      <c r="AI774" s="1074"/>
      <c r="AJ774" s="1074"/>
      <c r="AK774" s="1074"/>
      <c r="AL774" s="1074"/>
      <c r="AM774" s="1074"/>
      <c r="AN774" s="1074"/>
      <c r="AO774" s="1074"/>
      <c r="AP774" s="1074"/>
      <c r="AQ774" s="1074"/>
      <c r="AR774" s="1074"/>
      <c r="AS774" s="1074"/>
      <c r="AT774" s="1075"/>
    </row>
    <row r="775" ht="14.25" customHeight="1">
      <c r="A775" s="1116"/>
      <c r="B775" s="1120"/>
      <c r="C775" s="1100"/>
      <c r="D775" s="1100"/>
      <c r="E775" s="1100"/>
      <c r="F775" s="1100"/>
      <c r="G775" s="1100"/>
      <c r="H775" s="1100"/>
      <c r="I775" s="1100"/>
      <c r="J775" s="1100"/>
      <c r="K775" s="1074"/>
      <c r="L775" s="1074"/>
      <c r="M775" s="1074"/>
      <c r="N775" s="1074"/>
      <c r="O775" s="1074"/>
      <c r="P775" s="1074"/>
      <c r="Q775" s="1074"/>
      <c r="R775" s="1074"/>
      <c r="S775" s="1074"/>
      <c r="T775" s="1074"/>
      <c r="U775" s="1074"/>
      <c r="V775" s="1074"/>
      <c r="W775" s="1074"/>
      <c r="X775" s="1074"/>
      <c r="Y775" s="1074"/>
      <c r="Z775" s="1074"/>
      <c r="AA775" s="1074"/>
      <c r="AB775" s="1074"/>
      <c r="AC775" s="1074"/>
      <c r="AD775" s="1074"/>
      <c r="AE775" s="1074"/>
      <c r="AF775" s="1074"/>
      <c r="AG775" s="1074"/>
      <c r="AH775" s="1074"/>
      <c r="AI775" s="1074"/>
      <c r="AJ775" s="1074"/>
      <c r="AK775" s="1074"/>
      <c r="AL775" s="1074"/>
      <c r="AM775" s="1074"/>
      <c r="AN775" s="1074"/>
      <c r="AO775" s="1074"/>
      <c r="AP775" s="1074"/>
      <c r="AQ775" s="1074"/>
      <c r="AR775" s="1074"/>
      <c r="AS775" s="1074"/>
      <c r="AT775" s="1075"/>
    </row>
    <row r="776" ht="14.25" customHeight="1">
      <c r="A776" s="1116"/>
      <c r="B776" s="1120"/>
      <c r="C776" s="1100"/>
      <c r="D776" s="1100"/>
      <c r="E776" s="1100"/>
      <c r="F776" s="1100"/>
      <c r="G776" s="1100"/>
      <c r="H776" s="1100"/>
      <c r="I776" s="1100"/>
      <c r="J776" s="1100"/>
      <c r="K776" s="1074"/>
      <c r="L776" s="1074"/>
      <c r="M776" s="1074"/>
      <c r="N776" s="1074"/>
      <c r="O776" s="1074"/>
      <c r="P776" s="1074"/>
      <c r="Q776" s="1074"/>
      <c r="R776" s="1074"/>
      <c r="S776" s="1074"/>
      <c r="T776" s="1074"/>
      <c r="U776" s="1074"/>
      <c r="V776" s="1074"/>
      <c r="W776" s="1074"/>
      <c r="X776" s="1074"/>
      <c r="Y776" s="1074"/>
      <c r="Z776" s="1074"/>
      <c r="AA776" s="1074"/>
      <c r="AB776" s="1074"/>
      <c r="AC776" s="1074"/>
      <c r="AD776" s="1074"/>
      <c r="AE776" s="1074"/>
      <c r="AF776" s="1074"/>
      <c r="AG776" s="1074"/>
      <c r="AH776" s="1074"/>
      <c r="AI776" s="1074"/>
      <c r="AJ776" s="1074"/>
      <c r="AK776" s="1074"/>
      <c r="AL776" s="1074"/>
      <c r="AM776" s="1074"/>
      <c r="AN776" s="1074"/>
      <c r="AO776" s="1074"/>
      <c r="AP776" s="1074"/>
      <c r="AQ776" s="1074"/>
      <c r="AR776" s="1074"/>
      <c r="AS776" s="1074"/>
      <c r="AT776" s="1075"/>
    </row>
    <row r="777" ht="14.25" customHeight="1">
      <c r="A777" s="1116"/>
      <c r="B777" s="1120"/>
      <c r="C777" s="1100"/>
      <c r="D777" s="1100"/>
      <c r="E777" s="1100"/>
      <c r="F777" s="1100"/>
      <c r="G777" s="1100"/>
      <c r="H777" s="1100"/>
      <c r="I777" s="1100"/>
      <c r="J777" s="1100"/>
      <c r="K777" s="1074"/>
      <c r="L777" s="1074"/>
      <c r="M777" s="1074"/>
      <c r="N777" s="1074"/>
      <c r="O777" s="1074"/>
      <c r="P777" s="1074"/>
      <c r="Q777" s="1074"/>
      <c r="R777" s="1074"/>
      <c r="S777" s="1074"/>
      <c r="T777" s="1074"/>
      <c r="U777" s="1074"/>
      <c r="V777" s="1074"/>
      <c r="W777" s="1074"/>
      <c r="X777" s="1074"/>
      <c r="Y777" s="1074"/>
      <c r="Z777" s="1074"/>
      <c r="AA777" s="1074"/>
      <c r="AB777" s="1074"/>
      <c r="AC777" s="1074"/>
      <c r="AD777" s="1074"/>
      <c r="AE777" s="1074"/>
      <c r="AF777" s="1074"/>
      <c r="AG777" s="1074"/>
      <c r="AH777" s="1074"/>
      <c r="AI777" s="1074"/>
      <c r="AJ777" s="1074"/>
      <c r="AK777" s="1074"/>
      <c r="AL777" s="1074"/>
      <c r="AM777" s="1074"/>
      <c r="AN777" s="1074"/>
      <c r="AO777" s="1074"/>
      <c r="AP777" s="1074"/>
      <c r="AQ777" s="1074"/>
      <c r="AR777" s="1074"/>
      <c r="AS777" s="1074"/>
      <c r="AT777" s="1075"/>
    </row>
    <row r="778" ht="14.25" customHeight="1">
      <c r="A778" s="1116"/>
      <c r="B778" s="1120"/>
      <c r="C778" s="1100"/>
      <c r="D778" s="1100"/>
      <c r="E778" s="1100"/>
      <c r="F778" s="1100"/>
      <c r="G778" s="1100"/>
      <c r="H778" s="1100"/>
      <c r="I778" s="1100"/>
      <c r="J778" s="1100"/>
      <c r="K778" s="1074"/>
      <c r="L778" s="1074"/>
      <c r="M778" s="1074"/>
      <c r="N778" s="1074"/>
      <c r="O778" s="1074"/>
      <c r="P778" s="1074"/>
      <c r="Q778" s="1074"/>
      <c r="R778" s="1074"/>
      <c r="S778" s="1074"/>
      <c r="T778" s="1074"/>
      <c r="U778" s="1074"/>
      <c r="V778" s="1074"/>
      <c r="W778" s="1074"/>
      <c r="X778" s="1074"/>
      <c r="Y778" s="1074"/>
      <c r="Z778" s="1074"/>
      <c r="AA778" s="1074"/>
      <c r="AB778" s="1074"/>
      <c r="AC778" s="1074"/>
      <c r="AD778" s="1074"/>
      <c r="AE778" s="1074"/>
      <c r="AF778" s="1074"/>
      <c r="AG778" s="1074"/>
      <c r="AH778" s="1074"/>
      <c r="AI778" s="1074"/>
      <c r="AJ778" s="1074"/>
      <c r="AK778" s="1074"/>
      <c r="AL778" s="1074"/>
      <c r="AM778" s="1074"/>
      <c r="AN778" s="1074"/>
      <c r="AO778" s="1074"/>
      <c r="AP778" s="1074"/>
      <c r="AQ778" s="1074"/>
      <c r="AR778" s="1074"/>
      <c r="AS778" s="1074"/>
      <c r="AT778" s="1075"/>
    </row>
    <row r="779" ht="14.25" customHeight="1">
      <c r="A779" s="1116"/>
      <c r="B779" s="1120"/>
      <c r="C779" s="1100"/>
      <c r="D779" s="1100"/>
      <c r="E779" s="1100"/>
      <c r="F779" s="1100"/>
      <c r="G779" s="1100"/>
      <c r="H779" s="1100"/>
      <c r="I779" s="1100"/>
      <c r="J779" s="1100"/>
      <c r="K779" s="1074"/>
      <c r="L779" s="1074"/>
      <c r="M779" s="1074"/>
      <c r="N779" s="1074"/>
      <c r="O779" s="1074"/>
      <c r="P779" s="1074"/>
      <c r="Q779" s="1074"/>
      <c r="R779" s="1074"/>
      <c r="S779" s="1074"/>
      <c r="T779" s="1074"/>
      <c r="U779" s="1074"/>
      <c r="V779" s="1074"/>
      <c r="W779" s="1074"/>
      <c r="X779" s="1074"/>
      <c r="Y779" s="1074"/>
      <c r="Z779" s="1074"/>
      <c r="AA779" s="1074"/>
      <c r="AB779" s="1074"/>
      <c r="AC779" s="1074"/>
      <c r="AD779" s="1074"/>
      <c r="AE779" s="1074"/>
      <c r="AF779" s="1074"/>
      <c r="AG779" s="1074"/>
      <c r="AH779" s="1074"/>
      <c r="AI779" s="1074"/>
      <c r="AJ779" s="1074"/>
      <c r="AK779" s="1074"/>
      <c r="AL779" s="1074"/>
      <c r="AM779" s="1074"/>
      <c r="AN779" s="1074"/>
      <c r="AO779" s="1074"/>
      <c r="AP779" s="1074"/>
      <c r="AQ779" s="1074"/>
      <c r="AR779" s="1074"/>
      <c r="AS779" s="1074"/>
      <c r="AT779" s="1075"/>
    </row>
    <row r="780" ht="14.25" customHeight="1">
      <c r="A780" s="1116"/>
      <c r="B780" s="1120"/>
      <c r="C780" s="1100"/>
      <c r="D780" s="1100"/>
      <c r="E780" s="1100"/>
      <c r="F780" s="1100"/>
      <c r="G780" s="1100"/>
      <c r="H780" s="1100"/>
      <c r="I780" s="1100"/>
      <c r="J780" s="1100"/>
      <c r="K780" s="1074"/>
      <c r="L780" s="1074"/>
      <c r="M780" s="1074"/>
      <c r="N780" s="1074"/>
      <c r="O780" s="1074"/>
      <c r="P780" s="1074"/>
      <c r="Q780" s="1074"/>
      <c r="R780" s="1074"/>
      <c r="S780" s="1074"/>
      <c r="T780" s="1074"/>
      <c r="U780" s="1074"/>
      <c r="V780" s="1074"/>
      <c r="W780" s="1074"/>
      <c r="X780" s="1074"/>
      <c r="Y780" s="1074"/>
      <c r="Z780" s="1074"/>
      <c r="AA780" s="1074"/>
      <c r="AB780" s="1074"/>
      <c r="AC780" s="1074"/>
      <c r="AD780" s="1074"/>
      <c r="AE780" s="1074"/>
      <c r="AF780" s="1074"/>
      <c r="AG780" s="1074"/>
      <c r="AH780" s="1074"/>
      <c r="AI780" s="1074"/>
      <c r="AJ780" s="1074"/>
      <c r="AK780" s="1074"/>
      <c r="AL780" s="1074"/>
      <c r="AM780" s="1074"/>
      <c r="AN780" s="1074"/>
      <c r="AO780" s="1074"/>
      <c r="AP780" s="1074"/>
      <c r="AQ780" s="1074"/>
      <c r="AR780" s="1074"/>
      <c r="AS780" s="1074"/>
      <c r="AT780" s="1075"/>
    </row>
    <row r="781" ht="14.25" customHeight="1">
      <c r="A781" s="1116"/>
      <c r="B781" s="1120"/>
      <c r="C781" s="1100"/>
      <c r="D781" s="1100"/>
      <c r="E781" s="1100"/>
      <c r="F781" s="1100"/>
      <c r="G781" s="1100"/>
      <c r="H781" s="1100"/>
      <c r="I781" s="1100"/>
      <c r="J781" s="1100"/>
      <c r="K781" s="1074"/>
      <c r="L781" s="1074"/>
      <c r="M781" s="1074"/>
      <c r="N781" s="1074"/>
      <c r="O781" s="1074"/>
      <c r="P781" s="1074"/>
      <c r="Q781" s="1074"/>
      <c r="R781" s="1074"/>
      <c r="S781" s="1074"/>
      <c r="T781" s="1074"/>
      <c r="U781" s="1074"/>
      <c r="V781" s="1074"/>
      <c r="W781" s="1074"/>
      <c r="X781" s="1074"/>
      <c r="Y781" s="1074"/>
      <c r="Z781" s="1074"/>
      <c r="AA781" s="1074"/>
      <c r="AB781" s="1074"/>
      <c r="AC781" s="1074"/>
      <c r="AD781" s="1074"/>
      <c r="AE781" s="1074"/>
      <c r="AF781" s="1074"/>
      <c r="AG781" s="1074"/>
      <c r="AH781" s="1074"/>
      <c r="AI781" s="1074"/>
      <c r="AJ781" s="1074"/>
      <c r="AK781" s="1074"/>
      <c r="AL781" s="1074"/>
      <c r="AM781" s="1074"/>
      <c r="AN781" s="1074"/>
      <c r="AO781" s="1074"/>
      <c r="AP781" s="1074"/>
      <c r="AQ781" s="1074"/>
      <c r="AR781" s="1074"/>
      <c r="AS781" s="1074"/>
      <c r="AT781" s="1075"/>
    </row>
    <row r="782" ht="14.25" customHeight="1">
      <c r="A782" s="1116"/>
      <c r="B782" s="1120"/>
      <c r="C782" s="1100"/>
      <c r="D782" s="1100"/>
      <c r="E782" s="1100"/>
      <c r="F782" s="1100"/>
      <c r="G782" s="1100"/>
      <c r="H782" s="1100"/>
      <c r="I782" s="1100"/>
      <c r="J782" s="1100"/>
      <c r="K782" s="1074"/>
      <c r="L782" s="1074"/>
      <c r="M782" s="1074"/>
      <c r="N782" s="1074"/>
      <c r="O782" s="1074"/>
      <c r="P782" s="1074"/>
      <c r="Q782" s="1074"/>
      <c r="R782" s="1074"/>
      <c r="S782" s="1074"/>
      <c r="T782" s="1074"/>
      <c r="U782" s="1074"/>
      <c r="V782" s="1074"/>
      <c r="W782" s="1074"/>
      <c r="X782" s="1074"/>
      <c r="Y782" s="1074"/>
      <c r="Z782" s="1074"/>
      <c r="AA782" s="1074"/>
      <c r="AB782" s="1074"/>
      <c r="AC782" s="1074"/>
      <c r="AD782" s="1074"/>
      <c r="AE782" s="1074"/>
      <c r="AF782" s="1074"/>
      <c r="AG782" s="1074"/>
      <c r="AH782" s="1074"/>
      <c r="AI782" s="1074"/>
      <c r="AJ782" s="1074"/>
      <c r="AK782" s="1074"/>
      <c r="AL782" s="1074"/>
      <c r="AM782" s="1074"/>
      <c r="AN782" s="1074"/>
      <c r="AO782" s="1074"/>
      <c r="AP782" s="1074"/>
      <c r="AQ782" s="1074"/>
      <c r="AR782" s="1074"/>
      <c r="AS782" s="1074"/>
      <c r="AT782" s="1075"/>
    </row>
    <row r="783" ht="14.25" customHeight="1">
      <c r="A783" s="1116"/>
      <c r="B783" s="1120"/>
      <c r="C783" s="1100"/>
      <c r="D783" s="1100"/>
      <c r="E783" s="1100"/>
      <c r="F783" s="1100"/>
      <c r="G783" s="1100"/>
      <c r="H783" s="1100"/>
      <c r="I783" s="1100"/>
      <c r="J783" s="1100"/>
      <c r="K783" s="1074"/>
      <c r="L783" s="1074"/>
      <c r="M783" s="1074"/>
      <c r="N783" s="1074"/>
      <c r="O783" s="1074"/>
      <c r="P783" s="1074"/>
      <c r="Q783" s="1074"/>
      <c r="R783" s="1074"/>
      <c r="S783" s="1074"/>
      <c r="T783" s="1074"/>
      <c r="U783" s="1074"/>
      <c r="V783" s="1074"/>
      <c r="W783" s="1074"/>
      <c r="X783" s="1074"/>
      <c r="Y783" s="1074"/>
      <c r="Z783" s="1074"/>
      <c r="AA783" s="1074"/>
      <c r="AB783" s="1074"/>
      <c r="AC783" s="1074"/>
      <c r="AD783" s="1074"/>
      <c r="AE783" s="1074"/>
      <c r="AF783" s="1074"/>
      <c r="AG783" s="1074"/>
      <c r="AH783" s="1074"/>
      <c r="AI783" s="1074"/>
      <c r="AJ783" s="1074"/>
      <c r="AK783" s="1074"/>
      <c r="AL783" s="1074"/>
      <c r="AM783" s="1074"/>
      <c r="AN783" s="1074"/>
      <c r="AO783" s="1074"/>
      <c r="AP783" s="1074"/>
      <c r="AQ783" s="1074"/>
      <c r="AR783" s="1074"/>
      <c r="AS783" s="1074"/>
      <c r="AT783" s="1075"/>
    </row>
    <row r="784" ht="14.25" customHeight="1">
      <c r="A784" s="1116"/>
      <c r="B784" s="1120"/>
      <c r="C784" s="1100"/>
      <c r="D784" s="1100"/>
      <c r="E784" s="1100"/>
      <c r="F784" s="1100"/>
      <c r="G784" s="1100"/>
      <c r="H784" s="1100"/>
      <c r="I784" s="1100"/>
      <c r="J784" s="1100"/>
      <c r="K784" s="1074"/>
      <c r="L784" s="1074"/>
      <c r="M784" s="1074"/>
      <c r="N784" s="1074"/>
      <c r="O784" s="1074"/>
      <c r="P784" s="1074"/>
      <c r="Q784" s="1074"/>
      <c r="R784" s="1074"/>
      <c r="S784" s="1074"/>
      <c r="T784" s="1074"/>
      <c r="U784" s="1074"/>
      <c r="V784" s="1074"/>
      <c r="W784" s="1074"/>
      <c r="X784" s="1074"/>
      <c r="Y784" s="1074"/>
      <c r="Z784" s="1074"/>
      <c r="AA784" s="1074"/>
      <c r="AB784" s="1074"/>
      <c r="AC784" s="1074"/>
      <c r="AD784" s="1074"/>
      <c r="AE784" s="1074"/>
      <c r="AF784" s="1074"/>
      <c r="AG784" s="1074"/>
      <c r="AH784" s="1074"/>
      <c r="AI784" s="1074"/>
      <c r="AJ784" s="1074"/>
      <c r="AK784" s="1074"/>
      <c r="AL784" s="1074"/>
      <c r="AM784" s="1074"/>
      <c r="AN784" s="1074"/>
      <c r="AO784" s="1074"/>
      <c r="AP784" s="1074"/>
      <c r="AQ784" s="1074"/>
      <c r="AR784" s="1074"/>
      <c r="AS784" s="1074"/>
      <c r="AT784" s="1075"/>
    </row>
    <row r="785" ht="14.25" customHeight="1">
      <c r="A785" s="1116"/>
      <c r="B785" s="1120"/>
      <c r="C785" s="1100"/>
      <c r="D785" s="1100"/>
      <c r="E785" s="1100"/>
      <c r="F785" s="1100"/>
      <c r="G785" s="1100"/>
      <c r="H785" s="1100"/>
      <c r="I785" s="1100"/>
      <c r="J785" s="1100"/>
      <c r="K785" s="1074"/>
      <c r="L785" s="1074"/>
      <c r="M785" s="1074"/>
      <c r="N785" s="1074"/>
      <c r="O785" s="1074"/>
      <c r="P785" s="1074"/>
      <c r="Q785" s="1074"/>
      <c r="R785" s="1074"/>
      <c r="S785" s="1074"/>
      <c r="T785" s="1074"/>
      <c r="U785" s="1074"/>
      <c r="V785" s="1074"/>
      <c r="W785" s="1074"/>
      <c r="X785" s="1074"/>
      <c r="Y785" s="1074"/>
      <c r="Z785" s="1074"/>
      <c r="AA785" s="1074"/>
      <c r="AB785" s="1074"/>
      <c r="AC785" s="1074"/>
      <c r="AD785" s="1074"/>
      <c r="AE785" s="1074"/>
      <c r="AF785" s="1074"/>
      <c r="AG785" s="1074"/>
      <c r="AH785" s="1074"/>
      <c r="AI785" s="1074"/>
      <c r="AJ785" s="1074"/>
      <c r="AK785" s="1074"/>
      <c r="AL785" s="1074"/>
      <c r="AM785" s="1074"/>
      <c r="AN785" s="1074"/>
      <c r="AO785" s="1074"/>
      <c r="AP785" s="1074"/>
      <c r="AQ785" s="1074"/>
      <c r="AR785" s="1074"/>
      <c r="AS785" s="1074"/>
      <c r="AT785" s="1075"/>
    </row>
    <row r="786" ht="14.25" customHeight="1">
      <c r="A786" s="1116"/>
      <c r="B786" s="1120"/>
      <c r="C786" s="1100"/>
      <c r="D786" s="1100"/>
      <c r="E786" s="1100"/>
      <c r="F786" s="1100"/>
      <c r="G786" s="1100"/>
      <c r="H786" s="1100"/>
      <c r="I786" s="1100"/>
      <c r="J786" s="1100"/>
      <c r="K786" s="1074"/>
      <c r="L786" s="1074"/>
      <c r="M786" s="1074"/>
      <c r="N786" s="1074"/>
      <c r="O786" s="1074"/>
      <c r="P786" s="1074"/>
      <c r="Q786" s="1074"/>
      <c r="R786" s="1074"/>
      <c r="S786" s="1074"/>
      <c r="T786" s="1074"/>
      <c r="U786" s="1074"/>
      <c r="V786" s="1074"/>
      <c r="W786" s="1074"/>
      <c r="X786" s="1074"/>
      <c r="Y786" s="1074"/>
      <c r="Z786" s="1074"/>
      <c r="AA786" s="1074"/>
      <c r="AB786" s="1074"/>
      <c r="AC786" s="1074"/>
      <c r="AD786" s="1074"/>
      <c r="AE786" s="1074"/>
      <c r="AF786" s="1074"/>
      <c r="AG786" s="1074"/>
      <c r="AH786" s="1074"/>
      <c r="AI786" s="1074"/>
      <c r="AJ786" s="1074"/>
      <c r="AK786" s="1074"/>
      <c r="AL786" s="1074"/>
      <c r="AM786" s="1074"/>
      <c r="AN786" s="1074"/>
      <c r="AO786" s="1074"/>
      <c r="AP786" s="1074"/>
      <c r="AQ786" s="1074"/>
      <c r="AR786" s="1074"/>
      <c r="AS786" s="1074"/>
      <c r="AT786" s="1075"/>
    </row>
    <row r="787" ht="14.25" customHeight="1">
      <c r="A787" s="1116"/>
      <c r="B787" s="1120"/>
      <c r="C787" s="1100"/>
      <c r="D787" s="1100"/>
      <c r="E787" s="1100"/>
      <c r="F787" s="1100"/>
      <c r="G787" s="1100"/>
      <c r="H787" s="1100"/>
      <c r="I787" s="1100"/>
      <c r="J787" s="1100"/>
      <c r="K787" s="1074"/>
      <c r="L787" s="1074"/>
      <c r="M787" s="1074"/>
      <c r="N787" s="1074"/>
      <c r="O787" s="1074"/>
      <c r="P787" s="1074"/>
      <c r="Q787" s="1074"/>
      <c r="R787" s="1074"/>
      <c r="S787" s="1074"/>
      <c r="T787" s="1074"/>
      <c r="U787" s="1074"/>
      <c r="V787" s="1074"/>
      <c r="W787" s="1074"/>
      <c r="X787" s="1074"/>
      <c r="Y787" s="1074"/>
      <c r="Z787" s="1074"/>
      <c r="AA787" s="1074"/>
      <c r="AB787" s="1074"/>
      <c r="AC787" s="1074"/>
      <c r="AD787" s="1074"/>
      <c r="AE787" s="1074"/>
      <c r="AF787" s="1074"/>
      <c r="AG787" s="1074"/>
      <c r="AH787" s="1074"/>
      <c r="AI787" s="1074"/>
      <c r="AJ787" s="1074"/>
      <c r="AK787" s="1074"/>
      <c r="AL787" s="1074"/>
      <c r="AM787" s="1074"/>
      <c r="AN787" s="1074"/>
      <c r="AO787" s="1074"/>
      <c r="AP787" s="1074"/>
      <c r="AQ787" s="1074"/>
      <c r="AR787" s="1074"/>
      <c r="AS787" s="1074"/>
      <c r="AT787" s="1075"/>
    </row>
    <row r="788" ht="14.25" customHeight="1">
      <c r="A788" s="1116"/>
      <c r="B788" s="1120"/>
      <c r="C788" s="1100"/>
      <c r="D788" s="1100"/>
      <c r="E788" s="1100"/>
      <c r="F788" s="1100"/>
      <c r="G788" s="1100"/>
      <c r="H788" s="1100"/>
      <c r="I788" s="1100"/>
      <c r="J788" s="1100"/>
      <c r="K788" s="1074"/>
      <c r="L788" s="1074"/>
      <c r="M788" s="1074"/>
      <c r="N788" s="1074"/>
      <c r="O788" s="1074"/>
      <c r="P788" s="1074"/>
      <c r="Q788" s="1074"/>
      <c r="R788" s="1074"/>
      <c r="S788" s="1074"/>
      <c r="T788" s="1074"/>
      <c r="U788" s="1074"/>
      <c r="V788" s="1074"/>
      <c r="W788" s="1074"/>
      <c r="X788" s="1074"/>
      <c r="Y788" s="1074"/>
      <c r="Z788" s="1074"/>
      <c r="AA788" s="1074"/>
      <c r="AB788" s="1074"/>
      <c r="AC788" s="1074"/>
      <c r="AD788" s="1074"/>
      <c r="AE788" s="1074"/>
      <c r="AF788" s="1074"/>
      <c r="AG788" s="1074"/>
      <c r="AH788" s="1074"/>
      <c r="AI788" s="1074"/>
      <c r="AJ788" s="1074"/>
      <c r="AK788" s="1074"/>
      <c r="AL788" s="1074"/>
      <c r="AM788" s="1074"/>
      <c r="AN788" s="1074"/>
      <c r="AO788" s="1074"/>
      <c r="AP788" s="1074"/>
      <c r="AQ788" s="1074"/>
      <c r="AR788" s="1074"/>
      <c r="AS788" s="1074"/>
      <c r="AT788" s="1075"/>
    </row>
    <row r="789" ht="14.25" customHeight="1">
      <c r="A789" s="1116"/>
      <c r="B789" s="1120"/>
      <c r="C789" s="1100"/>
      <c r="D789" s="1100"/>
      <c r="E789" s="1100"/>
      <c r="F789" s="1100"/>
      <c r="G789" s="1100"/>
      <c r="H789" s="1100"/>
      <c r="I789" s="1100"/>
      <c r="J789" s="1100"/>
      <c r="K789" s="1074"/>
      <c r="L789" s="1074"/>
      <c r="M789" s="1074"/>
      <c r="N789" s="1074"/>
      <c r="O789" s="1074"/>
      <c r="P789" s="1074"/>
      <c r="Q789" s="1074"/>
      <c r="R789" s="1074"/>
      <c r="S789" s="1074"/>
      <c r="T789" s="1074"/>
      <c r="U789" s="1074"/>
      <c r="V789" s="1074"/>
      <c r="W789" s="1074"/>
      <c r="X789" s="1074"/>
      <c r="Y789" s="1074"/>
      <c r="Z789" s="1074"/>
      <c r="AA789" s="1074"/>
      <c r="AB789" s="1074"/>
      <c r="AC789" s="1074"/>
      <c r="AD789" s="1074"/>
      <c r="AE789" s="1074"/>
      <c r="AF789" s="1074"/>
      <c r="AG789" s="1074"/>
      <c r="AH789" s="1074"/>
      <c r="AI789" s="1074"/>
      <c r="AJ789" s="1074"/>
      <c r="AK789" s="1074"/>
      <c r="AL789" s="1074"/>
      <c r="AM789" s="1074"/>
      <c r="AN789" s="1074"/>
      <c r="AO789" s="1074"/>
      <c r="AP789" s="1074"/>
      <c r="AQ789" s="1074"/>
      <c r="AR789" s="1074"/>
      <c r="AS789" s="1074"/>
      <c r="AT789" s="1075"/>
    </row>
    <row r="790" ht="14.25" customHeight="1">
      <c r="A790" s="1116"/>
      <c r="B790" s="1120"/>
      <c r="C790" s="1100"/>
      <c r="D790" s="1100"/>
      <c r="E790" s="1100"/>
      <c r="F790" s="1100"/>
      <c r="G790" s="1100"/>
      <c r="H790" s="1100"/>
      <c r="I790" s="1100"/>
      <c r="J790" s="1100"/>
      <c r="K790" s="1074"/>
      <c r="L790" s="1074"/>
      <c r="M790" s="1074"/>
      <c r="N790" s="1074"/>
      <c r="O790" s="1074"/>
      <c r="P790" s="1074"/>
      <c r="Q790" s="1074"/>
      <c r="R790" s="1074"/>
      <c r="S790" s="1074"/>
      <c r="T790" s="1074"/>
      <c r="U790" s="1074"/>
      <c r="V790" s="1074"/>
      <c r="W790" s="1074"/>
      <c r="X790" s="1074"/>
      <c r="Y790" s="1074"/>
      <c r="Z790" s="1074"/>
      <c r="AA790" s="1074"/>
      <c r="AB790" s="1074"/>
      <c r="AC790" s="1074"/>
      <c r="AD790" s="1074"/>
      <c r="AE790" s="1074"/>
      <c r="AF790" s="1074"/>
      <c r="AG790" s="1074"/>
      <c r="AH790" s="1074"/>
      <c r="AI790" s="1074"/>
      <c r="AJ790" s="1074"/>
      <c r="AK790" s="1074"/>
      <c r="AL790" s="1074"/>
      <c r="AM790" s="1074"/>
      <c r="AN790" s="1074"/>
      <c r="AO790" s="1074"/>
      <c r="AP790" s="1074"/>
      <c r="AQ790" s="1074"/>
      <c r="AR790" s="1074"/>
      <c r="AS790" s="1074"/>
      <c r="AT790" s="1075"/>
    </row>
    <row r="791" ht="14.25" customHeight="1">
      <c r="A791" s="1116"/>
      <c r="B791" s="1120"/>
      <c r="C791" s="1100"/>
      <c r="D791" s="1100"/>
      <c r="E791" s="1100"/>
      <c r="F791" s="1100"/>
      <c r="G791" s="1100"/>
      <c r="H791" s="1100"/>
      <c r="I791" s="1100"/>
      <c r="J791" s="1100"/>
      <c r="K791" s="1074"/>
      <c r="L791" s="1074"/>
      <c r="M791" s="1074"/>
      <c r="N791" s="1074"/>
      <c r="O791" s="1074"/>
      <c r="P791" s="1074"/>
      <c r="Q791" s="1074"/>
      <c r="R791" s="1074"/>
      <c r="S791" s="1074"/>
      <c r="T791" s="1074"/>
      <c r="U791" s="1074"/>
      <c r="V791" s="1074"/>
      <c r="W791" s="1074"/>
      <c r="X791" s="1074"/>
      <c r="Y791" s="1074"/>
      <c r="Z791" s="1074"/>
      <c r="AA791" s="1074"/>
      <c r="AB791" s="1074"/>
      <c r="AC791" s="1074"/>
      <c r="AD791" s="1074"/>
      <c r="AE791" s="1074"/>
      <c r="AF791" s="1074"/>
      <c r="AG791" s="1074"/>
      <c r="AH791" s="1074"/>
      <c r="AI791" s="1074"/>
      <c r="AJ791" s="1074"/>
      <c r="AK791" s="1074"/>
      <c r="AL791" s="1074"/>
      <c r="AM791" s="1074"/>
      <c r="AN791" s="1074"/>
      <c r="AO791" s="1074"/>
      <c r="AP791" s="1074"/>
      <c r="AQ791" s="1074"/>
      <c r="AR791" s="1074"/>
      <c r="AS791" s="1074"/>
      <c r="AT791" s="1075"/>
    </row>
    <row r="792" ht="14.25" customHeight="1">
      <c r="A792" s="1116"/>
      <c r="B792" s="1120"/>
      <c r="C792" s="1100"/>
      <c r="D792" s="1100"/>
      <c r="E792" s="1100"/>
      <c r="F792" s="1100"/>
      <c r="G792" s="1100"/>
      <c r="H792" s="1100"/>
      <c r="I792" s="1100"/>
      <c r="J792" s="1100"/>
      <c r="K792" s="1074"/>
      <c r="L792" s="1074"/>
      <c r="M792" s="1074"/>
      <c r="N792" s="1074"/>
      <c r="O792" s="1074"/>
      <c r="P792" s="1074"/>
      <c r="Q792" s="1074"/>
      <c r="R792" s="1074"/>
      <c r="S792" s="1074"/>
      <c r="T792" s="1074"/>
      <c r="U792" s="1074"/>
      <c r="V792" s="1074"/>
      <c r="W792" s="1074"/>
      <c r="X792" s="1074"/>
      <c r="Y792" s="1074"/>
      <c r="Z792" s="1074"/>
      <c r="AA792" s="1074"/>
      <c r="AB792" s="1074"/>
      <c r="AC792" s="1074"/>
      <c r="AD792" s="1074"/>
      <c r="AE792" s="1074"/>
      <c r="AF792" s="1074"/>
      <c r="AG792" s="1074"/>
      <c r="AH792" s="1074"/>
      <c r="AI792" s="1074"/>
      <c r="AJ792" s="1074"/>
      <c r="AK792" s="1074"/>
      <c r="AL792" s="1074"/>
      <c r="AM792" s="1074"/>
      <c r="AN792" s="1074"/>
      <c r="AO792" s="1074"/>
      <c r="AP792" s="1074"/>
      <c r="AQ792" s="1074"/>
      <c r="AR792" s="1074"/>
      <c r="AS792" s="1074"/>
      <c r="AT792" s="1075"/>
    </row>
    <row r="793" ht="14.25" customHeight="1">
      <c r="A793" s="1116"/>
      <c r="B793" s="1120"/>
      <c r="C793" s="1100"/>
      <c r="D793" s="1100"/>
      <c r="E793" s="1100"/>
      <c r="F793" s="1100"/>
      <c r="G793" s="1100"/>
      <c r="H793" s="1100"/>
      <c r="I793" s="1100"/>
      <c r="J793" s="1100"/>
      <c r="K793" s="1074"/>
      <c r="L793" s="1074"/>
      <c r="M793" s="1074"/>
      <c r="N793" s="1074"/>
      <c r="O793" s="1074"/>
      <c r="P793" s="1074"/>
      <c r="Q793" s="1074"/>
      <c r="R793" s="1074"/>
      <c r="S793" s="1074"/>
      <c r="T793" s="1074"/>
      <c r="U793" s="1074"/>
      <c r="V793" s="1074"/>
      <c r="W793" s="1074"/>
      <c r="X793" s="1074"/>
      <c r="Y793" s="1074"/>
      <c r="Z793" s="1074"/>
      <c r="AA793" s="1074"/>
      <c r="AB793" s="1074"/>
      <c r="AC793" s="1074"/>
      <c r="AD793" s="1074"/>
      <c r="AE793" s="1074"/>
      <c r="AF793" s="1074"/>
      <c r="AG793" s="1074"/>
      <c r="AH793" s="1074"/>
      <c r="AI793" s="1074"/>
      <c r="AJ793" s="1074"/>
      <c r="AK793" s="1074"/>
      <c r="AL793" s="1074"/>
      <c r="AM793" s="1074"/>
      <c r="AN793" s="1074"/>
      <c r="AO793" s="1074"/>
      <c r="AP793" s="1074"/>
      <c r="AQ793" s="1074"/>
      <c r="AR793" s="1074"/>
      <c r="AS793" s="1074"/>
      <c r="AT793" s="1075"/>
    </row>
    <row r="794" ht="14.25" customHeight="1">
      <c r="A794" s="1116"/>
      <c r="B794" s="1120"/>
      <c r="C794" s="1100"/>
      <c r="D794" s="1100"/>
      <c r="E794" s="1100"/>
      <c r="F794" s="1100"/>
      <c r="G794" s="1100"/>
      <c r="H794" s="1100"/>
      <c r="I794" s="1100"/>
      <c r="J794" s="1100"/>
      <c r="K794" s="1074"/>
      <c r="L794" s="1074"/>
      <c r="M794" s="1074"/>
      <c r="N794" s="1074"/>
      <c r="O794" s="1074"/>
      <c r="P794" s="1074"/>
      <c r="Q794" s="1074"/>
      <c r="R794" s="1074"/>
      <c r="S794" s="1074"/>
      <c r="T794" s="1074"/>
      <c r="U794" s="1074"/>
      <c r="V794" s="1074"/>
      <c r="W794" s="1074"/>
      <c r="X794" s="1074"/>
      <c r="Y794" s="1074"/>
      <c r="Z794" s="1074"/>
      <c r="AA794" s="1074"/>
      <c r="AB794" s="1074"/>
      <c r="AC794" s="1074"/>
      <c r="AD794" s="1074"/>
      <c r="AE794" s="1074"/>
      <c r="AF794" s="1074"/>
      <c r="AG794" s="1074"/>
      <c r="AH794" s="1074"/>
      <c r="AI794" s="1074"/>
      <c r="AJ794" s="1074"/>
      <c r="AK794" s="1074"/>
      <c r="AL794" s="1074"/>
      <c r="AM794" s="1074"/>
      <c r="AN794" s="1074"/>
      <c r="AO794" s="1074"/>
      <c r="AP794" s="1074"/>
      <c r="AQ794" s="1074"/>
      <c r="AR794" s="1074"/>
      <c r="AS794" s="1074"/>
      <c r="AT794" s="1075"/>
    </row>
    <row r="795" ht="14.25" customHeight="1">
      <c r="A795" s="1116"/>
      <c r="B795" s="1120"/>
      <c r="C795" s="1100"/>
      <c r="D795" s="1100"/>
      <c r="E795" s="1100"/>
      <c r="F795" s="1100"/>
      <c r="G795" s="1100"/>
      <c r="H795" s="1100"/>
      <c r="I795" s="1100"/>
      <c r="J795" s="1100"/>
      <c r="K795" s="1074"/>
      <c r="L795" s="1074"/>
      <c r="M795" s="1074"/>
      <c r="N795" s="1074"/>
      <c r="O795" s="1074"/>
      <c r="P795" s="1074"/>
      <c r="Q795" s="1074"/>
      <c r="R795" s="1074"/>
      <c r="S795" s="1074"/>
      <c r="T795" s="1074"/>
      <c r="U795" s="1074"/>
      <c r="V795" s="1074"/>
      <c r="W795" s="1074"/>
      <c r="X795" s="1074"/>
      <c r="Y795" s="1074"/>
      <c r="Z795" s="1074"/>
      <c r="AA795" s="1074"/>
      <c r="AB795" s="1074"/>
      <c r="AC795" s="1074"/>
      <c r="AD795" s="1074"/>
      <c r="AE795" s="1074"/>
      <c r="AF795" s="1074"/>
      <c r="AG795" s="1074"/>
      <c r="AH795" s="1074"/>
      <c r="AI795" s="1074"/>
      <c r="AJ795" s="1074"/>
      <c r="AK795" s="1074"/>
      <c r="AL795" s="1074"/>
      <c r="AM795" s="1074"/>
      <c r="AN795" s="1074"/>
      <c r="AO795" s="1074"/>
      <c r="AP795" s="1074"/>
      <c r="AQ795" s="1074"/>
      <c r="AR795" s="1074"/>
      <c r="AS795" s="1074"/>
      <c r="AT795" s="1075"/>
    </row>
    <row r="796" ht="14.25" customHeight="1">
      <c r="A796" s="1116"/>
      <c r="B796" s="1120"/>
      <c r="C796" s="1100"/>
      <c r="D796" s="1100"/>
      <c r="E796" s="1100"/>
      <c r="F796" s="1100"/>
      <c r="G796" s="1100"/>
      <c r="H796" s="1100"/>
      <c r="I796" s="1100"/>
      <c r="J796" s="1100"/>
      <c r="K796" s="1074"/>
      <c r="L796" s="1074"/>
      <c r="M796" s="1074"/>
      <c r="N796" s="1074"/>
      <c r="O796" s="1074"/>
      <c r="P796" s="1074"/>
      <c r="Q796" s="1074"/>
      <c r="R796" s="1074"/>
      <c r="S796" s="1074"/>
      <c r="T796" s="1074"/>
      <c r="U796" s="1074"/>
      <c r="V796" s="1074"/>
      <c r="W796" s="1074"/>
      <c r="X796" s="1074"/>
      <c r="Y796" s="1074"/>
      <c r="Z796" s="1074"/>
      <c r="AA796" s="1074"/>
      <c r="AB796" s="1074"/>
      <c r="AC796" s="1074"/>
      <c r="AD796" s="1074"/>
      <c r="AE796" s="1074"/>
      <c r="AF796" s="1074"/>
      <c r="AG796" s="1074"/>
      <c r="AH796" s="1074"/>
      <c r="AI796" s="1074"/>
      <c r="AJ796" s="1074"/>
      <c r="AK796" s="1074"/>
      <c r="AL796" s="1074"/>
      <c r="AM796" s="1074"/>
      <c r="AN796" s="1074"/>
      <c r="AO796" s="1074"/>
      <c r="AP796" s="1074"/>
      <c r="AQ796" s="1074"/>
      <c r="AR796" s="1074"/>
      <c r="AS796" s="1074"/>
      <c r="AT796" s="1075"/>
    </row>
    <row r="797" ht="14.25" customHeight="1">
      <c r="A797" s="1116"/>
      <c r="B797" s="1120"/>
      <c r="C797" s="1100"/>
      <c r="D797" s="1100"/>
      <c r="E797" s="1100"/>
      <c r="F797" s="1100"/>
      <c r="G797" s="1100"/>
      <c r="H797" s="1100"/>
      <c r="I797" s="1100"/>
      <c r="J797" s="1100"/>
      <c r="K797" s="1074"/>
      <c r="L797" s="1074"/>
      <c r="M797" s="1074"/>
      <c r="N797" s="1074"/>
      <c r="O797" s="1074"/>
      <c r="P797" s="1074"/>
      <c r="Q797" s="1074"/>
      <c r="R797" s="1074"/>
      <c r="S797" s="1074"/>
      <c r="T797" s="1074"/>
      <c r="U797" s="1074"/>
      <c r="V797" s="1074"/>
      <c r="W797" s="1074"/>
      <c r="X797" s="1074"/>
      <c r="Y797" s="1074"/>
      <c r="Z797" s="1074"/>
      <c r="AA797" s="1074"/>
      <c r="AB797" s="1074"/>
      <c r="AC797" s="1074"/>
      <c r="AD797" s="1074"/>
      <c r="AE797" s="1074"/>
      <c r="AF797" s="1074"/>
      <c r="AG797" s="1074"/>
      <c r="AH797" s="1074"/>
      <c r="AI797" s="1074"/>
      <c r="AJ797" s="1074"/>
      <c r="AK797" s="1074"/>
      <c r="AL797" s="1074"/>
      <c r="AM797" s="1074"/>
      <c r="AN797" s="1074"/>
      <c r="AO797" s="1074"/>
      <c r="AP797" s="1074"/>
      <c r="AQ797" s="1074"/>
      <c r="AR797" s="1074"/>
      <c r="AS797" s="1074"/>
      <c r="AT797" s="1075"/>
    </row>
    <row r="798" ht="14.25" customHeight="1">
      <c r="A798" s="1116"/>
      <c r="B798" s="1120"/>
      <c r="C798" s="1100"/>
      <c r="D798" s="1100"/>
      <c r="E798" s="1100"/>
      <c r="F798" s="1100"/>
      <c r="G798" s="1100"/>
      <c r="H798" s="1100"/>
      <c r="I798" s="1100"/>
      <c r="J798" s="1100"/>
      <c r="K798" s="1074"/>
      <c r="L798" s="1074"/>
      <c r="M798" s="1074"/>
      <c r="N798" s="1074"/>
      <c r="O798" s="1074"/>
      <c r="P798" s="1074"/>
      <c r="Q798" s="1074"/>
      <c r="R798" s="1074"/>
      <c r="S798" s="1074"/>
      <c r="T798" s="1074"/>
      <c r="U798" s="1074"/>
      <c r="V798" s="1074"/>
      <c r="W798" s="1074"/>
      <c r="X798" s="1074"/>
      <c r="Y798" s="1074"/>
      <c r="Z798" s="1074"/>
      <c r="AA798" s="1074"/>
      <c r="AB798" s="1074"/>
      <c r="AC798" s="1074"/>
      <c r="AD798" s="1074"/>
      <c r="AE798" s="1074"/>
      <c r="AF798" s="1074"/>
      <c r="AG798" s="1074"/>
      <c r="AH798" s="1074"/>
      <c r="AI798" s="1074"/>
      <c r="AJ798" s="1074"/>
      <c r="AK798" s="1074"/>
      <c r="AL798" s="1074"/>
      <c r="AM798" s="1074"/>
      <c r="AN798" s="1074"/>
      <c r="AO798" s="1074"/>
      <c r="AP798" s="1074"/>
      <c r="AQ798" s="1074"/>
      <c r="AR798" s="1074"/>
      <c r="AS798" s="1074"/>
      <c r="AT798" s="1075"/>
    </row>
    <row r="799" ht="14.25" customHeight="1">
      <c r="A799" s="1116"/>
      <c r="B799" s="1120"/>
      <c r="C799" s="1100"/>
      <c r="D799" s="1100"/>
      <c r="E799" s="1100"/>
      <c r="F799" s="1100"/>
      <c r="G799" s="1100"/>
      <c r="H799" s="1100"/>
      <c r="I799" s="1100"/>
      <c r="J799" s="1100"/>
      <c r="K799" s="1074"/>
      <c r="L799" s="1074"/>
      <c r="M799" s="1074"/>
      <c r="N799" s="1074"/>
      <c r="O799" s="1074"/>
      <c r="P799" s="1074"/>
      <c r="Q799" s="1074"/>
      <c r="R799" s="1074"/>
      <c r="S799" s="1074"/>
      <c r="T799" s="1074"/>
      <c r="U799" s="1074"/>
      <c r="V799" s="1074"/>
      <c r="W799" s="1074"/>
      <c r="X799" s="1074"/>
      <c r="Y799" s="1074"/>
      <c r="Z799" s="1074"/>
      <c r="AA799" s="1074"/>
      <c r="AB799" s="1074"/>
      <c r="AC799" s="1074"/>
      <c r="AD799" s="1074"/>
      <c r="AE799" s="1074"/>
      <c r="AF799" s="1074"/>
      <c r="AG799" s="1074"/>
      <c r="AH799" s="1074"/>
      <c r="AI799" s="1074"/>
      <c r="AJ799" s="1074"/>
      <c r="AK799" s="1074"/>
      <c r="AL799" s="1074"/>
      <c r="AM799" s="1074"/>
      <c r="AN799" s="1074"/>
      <c r="AO799" s="1074"/>
      <c r="AP799" s="1074"/>
      <c r="AQ799" s="1074"/>
      <c r="AR799" s="1074"/>
      <c r="AS799" s="1074"/>
      <c r="AT799" s="1075"/>
    </row>
    <row r="800" ht="14.25" customHeight="1">
      <c r="A800" s="1116"/>
      <c r="B800" s="1120"/>
      <c r="C800" s="1100"/>
      <c r="D800" s="1100"/>
      <c r="E800" s="1100"/>
      <c r="F800" s="1100"/>
      <c r="G800" s="1100"/>
      <c r="H800" s="1100"/>
      <c r="I800" s="1100"/>
      <c r="J800" s="1100"/>
      <c r="K800" s="1074"/>
      <c r="L800" s="1074"/>
      <c r="M800" s="1074"/>
      <c r="N800" s="1074"/>
      <c r="O800" s="1074"/>
      <c r="P800" s="1074"/>
      <c r="Q800" s="1074"/>
      <c r="R800" s="1074"/>
      <c r="S800" s="1074"/>
      <c r="T800" s="1074"/>
      <c r="U800" s="1074"/>
      <c r="V800" s="1074"/>
      <c r="W800" s="1074"/>
      <c r="X800" s="1074"/>
      <c r="Y800" s="1074"/>
      <c r="Z800" s="1074"/>
      <c r="AA800" s="1074"/>
      <c r="AB800" s="1074"/>
      <c r="AC800" s="1074"/>
      <c r="AD800" s="1074"/>
      <c r="AE800" s="1074"/>
      <c r="AF800" s="1074"/>
      <c r="AG800" s="1074"/>
      <c r="AH800" s="1074"/>
      <c r="AI800" s="1074"/>
      <c r="AJ800" s="1074"/>
      <c r="AK800" s="1074"/>
      <c r="AL800" s="1074"/>
      <c r="AM800" s="1074"/>
      <c r="AN800" s="1074"/>
      <c r="AO800" s="1074"/>
      <c r="AP800" s="1074"/>
      <c r="AQ800" s="1074"/>
      <c r="AR800" s="1074"/>
      <c r="AS800" s="1074"/>
      <c r="AT800" s="1075"/>
    </row>
    <row r="801" ht="14.25" customHeight="1">
      <c r="A801" s="1116"/>
      <c r="B801" s="1120"/>
      <c r="C801" s="1100"/>
      <c r="D801" s="1100"/>
      <c r="E801" s="1100"/>
      <c r="F801" s="1100"/>
      <c r="G801" s="1100"/>
      <c r="H801" s="1100"/>
      <c r="I801" s="1100"/>
      <c r="J801" s="1100"/>
      <c r="K801" s="1074"/>
      <c r="L801" s="1074"/>
      <c r="M801" s="1074"/>
      <c r="N801" s="1074"/>
      <c r="O801" s="1074"/>
      <c r="P801" s="1074"/>
      <c r="Q801" s="1074"/>
      <c r="R801" s="1074"/>
      <c r="S801" s="1074"/>
      <c r="T801" s="1074"/>
      <c r="U801" s="1074"/>
      <c r="V801" s="1074"/>
      <c r="W801" s="1074"/>
      <c r="X801" s="1074"/>
      <c r="Y801" s="1074"/>
      <c r="Z801" s="1074"/>
      <c r="AA801" s="1074"/>
      <c r="AB801" s="1074"/>
      <c r="AC801" s="1074"/>
      <c r="AD801" s="1074"/>
      <c r="AE801" s="1074"/>
      <c r="AF801" s="1074"/>
      <c r="AG801" s="1074"/>
      <c r="AH801" s="1074"/>
      <c r="AI801" s="1074"/>
      <c r="AJ801" s="1074"/>
      <c r="AK801" s="1074"/>
      <c r="AL801" s="1074"/>
      <c r="AM801" s="1074"/>
      <c r="AN801" s="1074"/>
      <c r="AO801" s="1074"/>
      <c r="AP801" s="1074"/>
      <c r="AQ801" s="1074"/>
      <c r="AR801" s="1074"/>
      <c r="AS801" s="1074"/>
      <c r="AT801" s="1075"/>
    </row>
    <row r="802" ht="14.25" customHeight="1">
      <c r="A802" s="1116"/>
      <c r="B802" s="1120"/>
      <c r="C802" s="1100"/>
      <c r="D802" s="1100"/>
      <c r="E802" s="1100"/>
      <c r="F802" s="1100"/>
      <c r="G802" s="1100"/>
      <c r="H802" s="1100"/>
      <c r="I802" s="1100"/>
      <c r="J802" s="1100"/>
      <c r="K802" s="1074"/>
      <c r="L802" s="1074"/>
      <c r="M802" s="1074"/>
      <c r="N802" s="1074"/>
      <c r="O802" s="1074"/>
      <c r="P802" s="1074"/>
      <c r="Q802" s="1074"/>
      <c r="R802" s="1074"/>
      <c r="S802" s="1074"/>
      <c r="T802" s="1074"/>
      <c r="U802" s="1074"/>
      <c r="V802" s="1074"/>
      <c r="W802" s="1074"/>
      <c r="X802" s="1074"/>
      <c r="Y802" s="1074"/>
      <c r="Z802" s="1074"/>
      <c r="AA802" s="1074"/>
      <c r="AB802" s="1074"/>
      <c r="AC802" s="1074"/>
      <c r="AD802" s="1074"/>
      <c r="AE802" s="1074"/>
      <c r="AF802" s="1074"/>
      <c r="AG802" s="1074"/>
      <c r="AH802" s="1074"/>
      <c r="AI802" s="1074"/>
      <c r="AJ802" s="1074"/>
      <c r="AK802" s="1074"/>
      <c r="AL802" s="1074"/>
      <c r="AM802" s="1074"/>
      <c r="AN802" s="1074"/>
      <c r="AO802" s="1074"/>
      <c r="AP802" s="1074"/>
      <c r="AQ802" s="1074"/>
      <c r="AR802" s="1074"/>
      <c r="AS802" s="1074"/>
      <c r="AT802" s="1075"/>
    </row>
    <row r="803" ht="14.25" customHeight="1">
      <c r="A803" s="1116"/>
      <c r="B803" s="1120"/>
      <c r="C803" s="1100"/>
      <c r="D803" s="1100"/>
      <c r="E803" s="1100"/>
      <c r="F803" s="1100"/>
      <c r="G803" s="1100"/>
      <c r="H803" s="1100"/>
      <c r="I803" s="1100"/>
      <c r="J803" s="1100"/>
      <c r="K803" s="1074"/>
      <c r="L803" s="1074"/>
      <c r="M803" s="1074"/>
      <c r="N803" s="1074"/>
      <c r="O803" s="1074"/>
      <c r="P803" s="1074"/>
      <c r="Q803" s="1074"/>
      <c r="R803" s="1074"/>
      <c r="S803" s="1074"/>
      <c r="T803" s="1074"/>
      <c r="U803" s="1074"/>
      <c r="V803" s="1074"/>
      <c r="W803" s="1074"/>
      <c r="X803" s="1074"/>
      <c r="Y803" s="1074"/>
      <c r="Z803" s="1074"/>
      <c r="AA803" s="1074"/>
      <c r="AB803" s="1074"/>
      <c r="AC803" s="1074"/>
      <c r="AD803" s="1074"/>
      <c r="AE803" s="1074"/>
      <c r="AF803" s="1074"/>
      <c r="AG803" s="1074"/>
      <c r="AH803" s="1074"/>
      <c r="AI803" s="1074"/>
      <c r="AJ803" s="1074"/>
      <c r="AK803" s="1074"/>
      <c r="AL803" s="1074"/>
      <c r="AM803" s="1074"/>
      <c r="AN803" s="1074"/>
      <c r="AO803" s="1074"/>
      <c r="AP803" s="1074"/>
      <c r="AQ803" s="1074"/>
      <c r="AR803" s="1074"/>
      <c r="AS803" s="1074"/>
      <c r="AT803" s="1075"/>
    </row>
    <row r="804" ht="14.25" customHeight="1">
      <c r="A804" s="1116"/>
      <c r="B804" s="1120"/>
      <c r="C804" s="1100"/>
      <c r="D804" s="1100"/>
      <c r="E804" s="1100"/>
      <c r="F804" s="1100"/>
      <c r="G804" s="1100"/>
      <c r="H804" s="1100"/>
      <c r="I804" s="1100"/>
      <c r="J804" s="1100"/>
      <c r="K804" s="1074"/>
      <c r="L804" s="1074"/>
      <c r="M804" s="1074"/>
      <c r="N804" s="1074"/>
      <c r="O804" s="1074"/>
      <c r="P804" s="1074"/>
      <c r="Q804" s="1074"/>
      <c r="R804" s="1074"/>
      <c r="S804" s="1074"/>
      <c r="T804" s="1074"/>
      <c r="U804" s="1074"/>
      <c r="V804" s="1074"/>
      <c r="W804" s="1074"/>
      <c r="X804" s="1074"/>
      <c r="Y804" s="1074"/>
      <c r="Z804" s="1074"/>
      <c r="AA804" s="1074"/>
      <c r="AB804" s="1074"/>
      <c r="AC804" s="1074"/>
      <c r="AD804" s="1074"/>
      <c r="AE804" s="1074"/>
      <c r="AF804" s="1074"/>
      <c r="AG804" s="1074"/>
      <c r="AH804" s="1074"/>
      <c r="AI804" s="1074"/>
      <c r="AJ804" s="1074"/>
      <c r="AK804" s="1074"/>
      <c r="AL804" s="1074"/>
      <c r="AM804" s="1074"/>
      <c r="AN804" s="1074"/>
      <c r="AO804" s="1074"/>
      <c r="AP804" s="1074"/>
      <c r="AQ804" s="1074"/>
      <c r="AR804" s="1074"/>
      <c r="AS804" s="1074"/>
      <c r="AT804" s="1075"/>
    </row>
    <row r="805" ht="14.25" customHeight="1">
      <c r="A805" s="1116"/>
      <c r="B805" s="1120"/>
      <c r="C805" s="1100"/>
      <c r="D805" s="1100"/>
      <c r="E805" s="1100"/>
      <c r="F805" s="1100"/>
      <c r="G805" s="1100"/>
      <c r="H805" s="1100"/>
      <c r="I805" s="1100"/>
      <c r="J805" s="1100"/>
      <c r="K805" s="1074"/>
      <c r="L805" s="1074"/>
      <c r="M805" s="1074"/>
      <c r="N805" s="1074"/>
      <c r="O805" s="1074"/>
      <c r="P805" s="1074"/>
      <c r="Q805" s="1074"/>
      <c r="R805" s="1074"/>
      <c r="S805" s="1074"/>
      <c r="T805" s="1074"/>
      <c r="U805" s="1074"/>
      <c r="V805" s="1074"/>
      <c r="W805" s="1074"/>
      <c r="X805" s="1074"/>
      <c r="Y805" s="1074"/>
      <c r="Z805" s="1074"/>
      <c r="AA805" s="1074"/>
      <c r="AB805" s="1074"/>
      <c r="AC805" s="1074"/>
      <c r="AD805" s="1074"/>
      <c r="AE805" s="1074"/>
      <c r="AF805" s="1074"/>
      <c r="AG805" s="1074"/>
      <c r="AH805" s="1074"/>
      <c r="AI805" s="1074"/>
      <c r="AJ805" s="1074"/>
      <c r="AK805" s="1074"/>
      <c r="AL805" s="1074"/>
      <c r="AM805" s="1074"/>
      <c r="AN805" s="1074"/>
      <c r="AO805" s="1074"/>
      <c r="AP805" s="1074"/>
      <c r="AQ805" s="1074"/>
      <c r="AR805" s="1074"/>
      <c r="AS805" s="1074"/>
      <c r="AT805" s="1075"/>
    </row>
    <row r="806" ht="14.25" customHeight="1">
      <c r="A806" s="1116"/>
      <c r="B806" s="1120"/>
      <c r="C806" s="1100"/>
      <c r="D806" s="1100"/>
      <c r="E806" s="1100"/>
      <c r="F806" s="1100"/>
      <c r="G806" s="1100"/>
      <c r="H806" s="1100"/>
      <c r="I806" s="1100"/>
      <c r="J806" s="1100"/>
      <c r="K806" s="1074"/>
      <c r="L806" s="1074"/>
      <c r="M806" s="1074"/>
      <c r="N806" s="1074"/>
      <c r="O806" s="1074"/>
      <c r="P806" s="1074"/>
      <c r="Q806" s="1074"/>
      <c r="R806" s="1074"/>
      <c r="S806" s="1074"/>
      <c r="T806" s="1074"/>
      <c r="U806" s="1074"/>
      <c r="V806" s="1074"/>
      <c r="W806" s="1074"/>
      <c r="X806" s="1074"/>
      <c r="Y806" s="1074"/>
      <c r="Z806" s="1074"/>
      <c r="AA806" s="1074"/>
      <c r="AB806" s="1074"/>
      <c r="AC806" s="1074"/>
      <c r="AD806" s="1074"/>
      <c r="AE806" s="1074"/>
      <c r="AF806" s="1074"/>
      <c r="AG806" s="1074"/>
      <c r="AH806" s="1074"/>
      <c r="AI806" s="1074"/>
      <c r="AJ806" s="1074"/>
      <c r="AK806" s="1074"/>
      <c r="AL806" s="1074"/>
      <c r="AM806" s="1074"/>
      <c r="AN806" s="1074"/>
      <c r="AO806" s="1074"/>
      <c r="AP806" s="1074"/>
      <c r="AQ806" s="1074"/>
      <c r="AR806" s="1074"/>
      <c r="AS806" s="1074"/>
      <c r="AT806" s="1075"/>
    </row>
    <row r="807" ht="14.25" customHeight="1">
      <c r="A807" s="1116"/>
      <c r="B807" s="1120"/>
      <c r="C807" s="1100"/>
      <c r="D807" s="1100"/>
      <c r="E807" s="1100"/>
      <c r="F807" s="1100"/>
      <c r="G807" s="1100"/>
      <c r="H807" s="1100"/>
      <c r="I807" s="1100"/>
      <c r="J807" s="1100"/>
      <c r="K807" s="1074"/>
      <c r="L807" s="1074"/>
      <c r="M807" s="1074"/>
      <c r="N807" s="1074"/>
      <c r="O807" s="1074"/>
      <c r="P807" s="1074"/>
      <c r="Q807" s="1074"/>
      <c r="R807" s="1074"/>
      <c r="S807" s="1074"/>
      <c r="T807" s="1074"/>
      <c r="U807" s="1074"/>
      <c r="V807" s="1074"/>
      <c r="W807" s="1074"/>
      <c r="X807" s="1074"/>
      <c r="Y807" s="1074"/>
      <c r="Z807" s="1074"/>
      <c r="AA807" s="1074"/>
      <c r="AB807" s="1074"/>
      <c r="AC807" s="1074"/>
      <c r="AD807" s="1074"/>
      <c r="AE807" s="1074"/>
      <c r="AF807" s="1074"/>
      <c r="AG807" s="1074"/>
      <c r="AH807" s="1074"/>
      <c r="AI807" s="1074"/>
      <c r="AJ807" s="1074"/>
      <c r="AK807" s="1074"/>
      <c r="AL807" s="1074"/>
      <c r="AM807" s="1074"/>
      <c r="AN807" s="1074"/>
      <c r="AO807" s="1074"/>
      <c r="AP807" s="1074"/>
      <c r="AQ807" s="1074"/>
      <c r="AR807" s="1074"/>
      <c r="AS807" s="1074"/>
      <c r="AT807" s="1075"/>
    </row>
    <row r="808" ht="14.25" customHeight="1">
      <c r="A808" s="1116"/>
      <c r="B808" s="1120"/>
      <c r="C808" s="1100"/>
      <c r="D808" s="1100"/>
      <c r="E808" s="1100"/>
      <c r="F808" s="1100"/>
      <c r="G808" s="1100"/>
      <c r="H808" s="1100"/>
      <c r="I808" s="1100"/>
      <c r="J808" s="1100"/>
      <c r="K808" s="1074"/>
      <c r="L808" s="1074"/>
      <c r="M808" s="1074"/>
      <c r="N808" s="1074"/>
      <c r="O808" s="1074"/>
      <c r="P808" s="1074"/>
      <c r="Q808" s="1074"/>
      <c r="R808" s="1074"/>
      <c r="S808" s="1074"/>
      <c r="T808" s="1074"/>
      <c r="U808" s="1074"/>
      <c r="V808" s="1074"/>
      <c r="W808" s="1074"/>
      <c r="X808" s="1074"/>
      <c r="Y808" s="1074"/>
      <c r="Z808" s="1074"/>
      <c r="AA808" s="1074"/>
      <c r="AB808" s="1074"/>
      <c r="AC808" s="1074"/>
      <c r="AD808" s="1074"/>
      <c r="AE808" s="1074"/>
      <c r="AF808" s="1074"/>
      <c r="AG808" s="1074"/>
      <c r="AH808" s="1074"/>
      <c r="AI808" s="1074"/>
      <c r="AJ808" s="1074"/>
      <c r="AK808" s="1074"/>
      <c r="AL808" s="1074"/>
      <c r="AM808" s="1074"/>
      <c r="AN808" s="1074"/>
      <c r="AO808" s="1074"/>
      <c r="AP808" s="1074"/>
      <c r="AQ808" s="1074"/>
      <c r="AR808" s="1074"/>
      <c r="AS808" s="1074"/>
      <c r="AT808" s="1075"/>
    </row>
    <row r="809" ht="14.25" customHeight="1">
      <c r="A809" s="1116"/>
      <c r="B809" s="1120"/>
      <c r="C809" s="1100"/>
      <c r="D809" s="1100"/>
      <c r="E809" s="1100"/>
      <c r="F809" s="1100"/>
      <c r="G809" s="1100"/>
      <c r="H809" s="1100"/>
      <c r="I809" s="1100"/>
      <c r="J809" s="1100"/>
      <c r="K809" s="1074"/>
      <c r="L809" s="1074"/>
      <c r="M809" s="1074"/>
      <c r="N809" s="1074"/>
      <c r="O809" s="1074"/>
      <c r="P809" s="1074"/>
      <c r="Q809" s="1074"/>
      <c r="R809" s="1074"/>
      <c r="S809" s="1074"/>
      <c r="T809" s="1074"/>
      <c r="U809" s="1074"/>
      <c r="V809" s="1074"/>
      <c r="W809" s="1074"/>
      <c r="X809" s="1074"/>
      <c r="Y809" s="1074"/>
      <c r="Z809" s="1074"/>
      <c r="AA809" s="1074"/>
      <c r="AB809" s="1074"/>
      <c r="AC809" s="1074"/>
      <c r="AD809" s="1074"/>
      <c r="AE809" s="1074"/>
      <c r="AF809" s="1074"/>
      <c r="AG809" s="1074"/>
      <c r="AH809" s="1074"/>
      <c r="AI809" s="1074"/>
      <c r="AJ809" s="1074"/>
      <c r="AK809" s="1074"/>
      <c r="AL809" s="1074"/>
      <c r="AM809" s="1074"/>
      <c r="AN809" s="1074"/>
      <c r="AO809" s="1074"/>
      <c r="AP809" s="1074"/>
      <c r="AQ809" s="1074"/>
      <c r="AR809" s="1074"/>
      <c r="AS809" s="1074"/>
      <c r="AT809" s="1075"/>
    </row>
    <row r="810" ht="14.25" customHeight="1">
      <c r="A810" s="1116"/>
      <c r="B810" s="1120"/>
      <c r="C810" s="1100"/>
      <c r="D810" s="1100"/>
      <c r="E810" s="1100"/>
      <c r="F810" s="1100"/>
      <c r="G810" s="1100"/>
      <c r="H810" s="1100"/>
      <c r="I810" s="1100"/>
      <c r="J810" s="1100"/>
      <c r="K810" s="1074"/>
      <c r="L810" s="1074"/>
      <c r="M810" s="1074"/>
      <c r="N810" s="1074"/>
      <c r="O810" s="1074"/>
      <c r="P810" s="1074"/>
      <c r="Q810" s="1074"/>
      <c r="R810" s="1074"/>
      <c r="S810" s="1074"/>
      <c r="T810" s="1074"/>
      <c r="U810" s="1074"/>
      <c r="V810" s="1074"/>
      <c r="W810" s="1074"/>
      <c r="X810" s="1074"/>
      <c r="Y810" s="1074"/>
      <c r="Z810" s="1074"/>
      <c r="AA810" s="1074"/>
      <c r="AB810" s="1074"/>
      <c r="AC810" s="1074"/>
      <c r="AD810" s="1074"/>
      <c r="AE810" s="1074"/>
      <c r="AF810" s="1074"/>
      <c r="AG810" s="1074"/>
      <c r="AH810" s="1074"/>
      <c r="AI810" s="1074"/>
      <c r="AJ810" s="1074"/>
      <c r="AK810" s="1074"/>
      <c r="AL810" s="1074"/>
      <c r="AM810" s="1074"/>
      <c r="AN810" s="1074"/>
      <c r="AO810" s="1074"/>
      <c r="AP810" s="1074"/>
      <c r="AQ810" s="1074"/>
      <c r="AR810" s="1074"/>
      <c r="AS810" s="1074"/>
      <c r="AT810" s="1075"/>
    </row>
    <row r="811" ht="14.25" customHeight="1">
      <c r="A811" s="1116"/>
      <c r="B811" s="1120"/>
      <c r="C811" s="1100"/>
      <c r="D811" s="1100"/>
      <c r="E811" s="1100"/>
      <c r="F811" s="1100"/>
      <c r="G811" s="1100"/>
      <c r="H811" s="1100"/>
      <c r="I811" s="1100"/>
      <c r="J811" s="1100"/>
      <c r="K811" s="1074"/>
      <c r="L811" s="1074"/>
      <c r="M811" s="1074"/>
      <c r="N811" s="1074"/>
      <c r="O811" s="1074"/>
      <c r="P811" s="1074"/>
      <c r="Q811" s="1074"/>
      <c r="R811" s="1074"/>
      <c r="S811" s="1074"/>
      <c r="T811" s="1074"/>
      <c r="U811" s="1074"/>
      <c r="V811" s="1074"/>
      <c r="W811" s="1074"/>
      <c r="X811" s="1074"/>
      <c r="Y811" s="1074"/>
      <c r="Z811" s="1074"/>
      <c r="AA811" s="1074"/>
      <c r="AB811" s="1074"/>
      <c r="AC811" s="1074"/>
      <c r="AD811" s="1074"/>
      <c r="AE811" s="1074"/>
      <c r="AF811" s="1074"/>
      <c r="AG811" s="1074"/>
      <c r="AH811" s="1074"/>
      <c r="AI811" s="1074"/>
      <c r="AJ811" s="1074"/>
      <c r="AK811" s="1074"/>
      <c r="AL811" s="1074"/>
      <c r="AM811" s="1074"/>
      <c r="AN811" s="1074"/>
      <c r="AO811" s="1074"/>
      <c r="AP811" s="1074"/>
      <c r="AQ811" s="1074"/>
      <c r="AR811" s="1074"/>
      <c r="AS811" s="1074"/>
      <c r="AT811" s="1075"/>
    </row>
    <row r="812" ht="14.25" customHeight="1">
      <c r="A812" s="1116"/>
      <c r="B812" s="1120"/>
      <c r="C812" s="1100"/>
      <c r="D812" s="1100"/>
      <c r="E812" s="1100"/>
      <c r="F812" s="1100"/>
      <c r="G812" s="1100"/>
      <c r="H812" s="1100"/>
      <c r="I812" s="1100"/>
      <c r="J812" s="1100"/>
      <c r="K812" s="1074"/>
      <c r="L812" s="1074"/>
      <c r="M812" s="1074"/>
      <c r="N812" s="1074"/>
      <c r="O812" s="1074"/>
      <c r="P812" s="1074"/>
      <c r="Q812" s="1074"/>
      <c r="R812" s="1074"/>
      <c r="S812" s="1074"/>
      <c r="T812" s="1074"/>
      <c r="U812" s="1074"/>
      <c r="V812" s="1074"/>
      <c r="W812" s="1074"/>
      <c r="X812" s="1074"/>
      <c r="Y812" s="1074"/>
      <c r="Z812" s="1074"/>
      <c r="AA812" s="1074"/>
      <c r="AB812" s="1074"/>
      <c r="AC812" s="1074"/>
      <c r="AD812" s="1074"/>
      <c r="AE812" s="1074"/>
      <c r="AF812" s="1074"/>
      <c r="AG812" s="1074"/>
      <c r="AH812" s="1074"/>
      <c r="AI812" s="1074"/>
      <c r="AJ812" s="1074"/>
      <c r="AK812" s="1074"/>
      <c r="AL812" s="1074"/>
      <c r="AM812" s="1074"/>
      <c r="AN812" s="1074"/>
      <c r="AO812" s="1074"/>
      <c r="AP812" s="1074"/>
      <c r="AQ812" s="1074"/>
      <c r="AR812" s="1074"/>
      <c r="AS812" s="1074"/>
      <c r="AT812" s="1075"/>
    </row>
    <row r="813" ht="14.25" customHeight="1">
      <c r="A813" s="1116"/>
      <c r="B813" s="1120"/>
      <c r="C813" s="1100"/>
      <c r="D813" s="1100"/>
      <c r="E813" s="1100"/>
      <c r="F813" s="1100"/>
      <c r="G813" s="1100"/>
      <c r="H813" s="1100"/>
      <c r="I813" s="1100"/>
      <c r="J813" s="1100"/>
      <c r="K813" s="1074"/>
      <c r="L813" s="1074"/>
      <c r="M813" s="1074"/>
      <c r="N813" s="1074"/>
      <c r="O813" s="1074"/>
      <c r="P813" s="1074"/>
      <c r="Q813" s="1074"/>
      <c r="R813" s="1074"/>
      <c r="S813" s="1074"/>
      <c r="T813" s="1074"/>
      <c r="U813" s="1074"/>
      <c r="V813" s="1074"/>
      <c r="W813" s="1074"/>
      <c r="X813" s="1074"/>
      <c r="Y813" s="1074"/>
      <c r="Z813" s="1074"/>
      <c r="AA813" s="1074"/>
      <c r="AB813" s="1074"/>
      <c r="AC813" s="1074"/>
      <c r="AD813" s="1074"/>
      <c r="AE813" s="1074"/>
      <c r="AF813" s="1074"/>
      <c r="AG813" s="1074"/>
      <c r="AH813" s="1074"/>
      <c r="AI813" s="1074"/>
      <c r="AJ813" s="1074"/>
      <c r="AK813" s="1074"/>
      <c r="AL813" s="1074"/>
      <c r="AM813" s="1074"/>
      <c r="AN813" s="1074"/>
      <c r="AO813" s="1074"/>
      <c r="AP813" s="1074"/>
      <c r="AQ813" s="1074"/>
      <c r="AR813" s="1074"/>
      <c r="AS813" s="1074"/>
      <c r="AT813" s="1075"/>
    </row>
    <row r="814" ht="14.25" customHeight="1">
      <c r="A814" s="1116"/>
      <c r="B814" s="1120"/>
      <c r="C814" s="1100"/>
      <c r="D814" s="1100"/>
      <c r="E814" s="1100"/>
      <c r="F814" s="1100"/>
      <c r="G814" s="1100"/>
      <c r="H814" s="1100"/>
      <c r="I814" s="1100"/>
      <c r="J814" s="1100"/>
      <c r="K814" s="1074"/>
      <c r="L814" s="1074"/>
      <c r="M814" s="1074"/>
      <c r="N814" s="1074"/>
      <c r="O814" s="1074"/>
      <c r="P814" s="1074"/>
      <c r="Q814" s="1074"/>
      <c r="R814" s="1074"/>
      <c r="S814" s="1074"/>
      <c r="T814" s="1074"/>
      <c r="U814" s="1074"/>
      <c r="V814" s="1074"/>
      <c r="W814" s="1074"/>
      <c r="X814" s="1074"/>
      <c r="Y814" s="1074"/>
      <c r="Z814" s="1074"/>
      <c r="AA814" s="1074"/>
      <c r="AB814" s="1074"/>
      <c r="AC814" s="1074"/>
      <c r="AD814" s="1074"/>
      <c r="AE814" s="1074"/>
      <c r="AF814" s="1074"/>
      <c r="AG814" s="1074"/>
      <c r="AH814" s="1074"/>
      <c r="AI814" s="1074"/>
      <c r="AJ814" s="1074"/>
      <c r="AK814" s="1074"/>
      <c r="AL814" s="1074"/>
      <c r="AM814" s="1074"/>
      <c r="AN814" s="1074"/>
      <c r="AO814" s="1074"/>
      <c r="AP814" s="1074"/>
      <c r="AQ814" s="1074"/>
      <c r="AR814" s="1074"/>
      <c r="AS814" s="1074"/>
      <c r="AT814" s="1075"/>
    </row>
    <row r="815" ht="14.25" customHeight="1">
      <c r="A815" s="1116"/>
      <c r="B815" s="1120"/>
      <c r="C815" s="1100"/>
      <c r="D815" s="1100"/>
      <c r="E815" s="1100"/>
      <c r="F815" s="1100"/>
      <c r="G815" s="1100"/>
      <c r="H815" s="1100"/>
      <c r="I815" s="1100"/>
      <c r="J815" s="1100"/>
      <c r="K815" s="1074"/>
      <c r="L815" s="1074"/>
      <c r="M815" s="1074"/>
      <c r="N815" s="1074"/>
      <c r="O815" s="1074"/>
      <c r="P815" s="1074"/>
      <c r="Q815" s="1074"/>
      <c r="R815" s="1074"/>
      <c r="S815" s="1074"/>
      <c r="T815" s="1074"/>
      <c r="U815" s="1074"/>
      <c r="V815" s="1074"/>
      <c r="W815" s="1074"/>
      <c r="X815" s="1074"/>
      <c r="Y815" s="1074"/>
      <c r="Z815" s="1074"/>
      <c r="AA815" s="1074"/>
      <c r="AB815" s="1074"/>
      <c r="AC815" s="1074"/>
      <c r="AD815" s="1074"/>
      <c r="AE815" s="1074"/>
      <c r="AF815" s="1074"/>
      <c r="AG815" s="1074"/>
      <c r="AH815" s="1074"/>
      <c r="AI815" s="1074"/>
      <c r="AJ815" s="1074"/>
      <c r="AK815" s="1074"/>
      <c r="AL815" s="1074"/>
      <c r="AM815" s="1074"/>
      <c r="AN815" s="1074"/>
      <c r="AO815" s="1074"/>
      <c r="AP815" s="1074"/>
      <c r="AQ815" s="1074"/>
      <c r="AR815" s="1074"/>
      <c r="AS815" s="1074"/>
      <c r="AT815" s="1075"/>
    </row>
    <row r="816" ht="14.25" customHeight="1">
      <c r="A816" s="1116"/>
      <c r="B816" s="1120"/>
      <c r="C816" s="1100"/>
      <c r="D816" s="1100"/>
      <c r="E816" s="1100"/>
      <c r="F816" s="1100"/>
      <c r="G816" s="1100"/>
      <c r="H816" s="1100"/>
      <c r="I816" s="1100"/>
      <c r="J816" s="1100"/>
      <c r="K816" s="1074"/>
      <c r="L816" s="1074"/>
      <c r="M816" s="1074"/>
      <c r="N816" s="1074"/>
      <c r="O816" s="1074"/>
      <c r="P816" s="1074"/>
      <c r="Q816" s="1074"/>
      <c r="R816" s="1074"/>
      <c r="S816" s="1074"/>
      <c r="T816" s="1074"/>
      <c r="U816" s="1074"/>
      <c r="V816" s="1074"/>
      <c r="W816" s="1074"/>
      <c r="X816" s="1074"/>
      <c r="Y816" s="1074"/>
      <c r="Z816" s="1074"/>
      <c r="AA816" s="1074"/>
      <c r="AB816" s="1074"/>
      <c r="AC816" s="1074"/>
      <c r="AD816" s="1074"/>
      <c r="AE816" s="1074"/>
      <c r="AF816" s="1074"/>
      <c r="AG816" s="1074"/>
      <c r="AH816" s="1074"/>
      <c r="AI816" s="1074"/>
      <c r="AJ816" s="1074"/>
      <c r="AK816" s="1074"/>
      <c r="AL816" s="1074"/>
      <c r="AM816" s="1074"/>
      <c r="AN816" s="1074"/>
      <c r="AO816" s="1074"/>
      <c r="AP816" s="1074"/>
      <c r="AQ816" s="1074"/>
      <c r="AR816" s="1074"/>
      <c r="AS816" s="1074"/>
      <c r="AT816" s="1075"/>
    </row>
    <row r="817" ht="14.25" customHeight="1">
      <c r="A817" s="1116"/>
      <c r="B817" s="1120"/>
      <c r="C817" s="1100"/>
      <c r="D817" s="1100"/>
      <c r="E817" s="1100"/>
      <c r="F817" s="1100"/>
      <c r="G817" s="1100"/>
      <c r="H817" s="1100"/>
      <c r="I817" s="1100"/>
      <c r="J817" s="1100"/>
      <c r="K817" s="1074"/>
      <c r="L817" s="1074"/>
      <c r="M817" s="1074"/>
      <c r="N817" s="1074"/>
      <c r="O817" s="1074"/>
      <c r="P817" s="1074"/>
      <c r="Q817" s="1074"/>
      <c r="R817" s="1074"/>
      <c r="S817" s="1074"/>
      <c r="T817" s="1074"/>
      <c r="U817" s="1074"/>
      <c r="V817" s="1074"/>
      <c r="W817" s="1074"/>
      <c r="X817" s="1074"/>
      <c r="Y817" s="1074"/>
      <c r="Z817" s="1074"/>
      <c r="AA817" s="1074"/>
      <c r="AB817" s="1074"/>
      <c r="AC817" s="1074"/>
      <c r="AD817" s="1074"/>
      <c r="AE817" s="1074"/>
      <c r="AF817" s="1074"/>
      <c r="AG817" s="1074"/>
      <c r="AH817" s="1074"/>
      <c r="AI817" s="1074"/>
      <c r="AJ817" s="1074"/>
      <c r="AK817" s="1074"/>
      <c r="AL817" s="1074"/>
      <c r="AM817" s="1074"/>
      <c r="AN817" s="1074"/>
      <c r="AO817" s="1074"/>
      <c r="AP817" s="1074"/>
      <c r="AQ817" s="1074"/>
      <c r="AR817" s="1074"/>
      <c r="AS817" s="1074"/>
      <c r="AT817" s="1075"/>
    </row>
    <row r="818" ht="14.25" customHeight="1">
      <c r="A818" s="1116"/>
      <c r="B818" s="1120"/>
      <c r="C818" s="1100"/>
      <c r="D818" s="1100"/>
      <c r="E818" s="1100"/>
      <c r="F818" s="1100"/>
      <c r="G818" s="1100"/>
      <c r="H818" s="1100"/>
      <c r="I818" s="1100"/>
      <c r="J818" s="1100"/>
      <c r="K818" s="1074"/>
      <c r="L818" s="1074"/>
      <c r="M818" s="1074"/>
      <c r="N818" s="1074"/>
      <c r="O818" s="1074"/>
      <c r="P818" s="1074"/>
      <c r="Q818" s="1074"/>
      <c r="R818" s="1074"/>
      <c r="S818" s="1074"/>
      <c r="T818" s="1074"/>
      <c r="U818" s="1074"/>
      <c r="V818" s="1074"/>
      <c r="W818" s="1074"/>
      <c r="X818" s="1074"/>
      <c r="Y818" s="1074"/>
      <c r="Z818" s="1074"/>
      <c r="AA818" s="1074"/>
      <c r="AB818" s="1074"/>
      <c r="AC818" s="1074"/>
      <c r="AD818" s="1074"/>
      <c r="AE818" s="1074"/>
      <c r="AF818" s="1074"/>
      <c r="AG818" s="1074"/>
      <c r="AH818" s="1074"/>
      <c r="AI818" s="1074"/>
      <c r="AJ818" s="1074"/>
      <c r="AK818" s="1074"/>
      <c r="AL818" s="1074"/>
      <c r="AM818" s="1074"/>
      <c r="AN818" s="1074"/>
      <c r="AO818" s="1074"/>
      <c r="AP818" s="1074"/>
      <c r="AQ818" s="1074"/>
      <c r="AR818" s="1074"/>
      <c r="AS818" s="1074"/>
      <c r="AT818" s="1075"/>
    </row>
    <row r="819" ht="14.25" customHeight="1">
      <c r="A819" s="1116"/>
      <c r="B819" s="1120"/>
      <c r="C819" s="1100"/>
      <c r="D819" s="1100"/>
      <c r="E819" s="1100"/>
      <c r="F819" s="1100"/>
      <c r="G819" s="1100"/>
      <c r="H819" s="1100"/>
      <c r="I819" s="1100"/>
      <c r="J819" s="1100"/>
      <c r="K819" s="1074"/>
      <c r="L819" s="1074"/>
      <c r="M819" s="1074"/>
      <c r="N819" s="1074"/>
      <c r="O819" s="1074"/>
      <c r="P819" s="1074"/>
      <c r="Q819" s="1074"/>
      <c r="R819" s="1074"/>
      <c r="S819" s="1074"/>
      <c r="T819" s="1074"/>
      <c r="U819" s="1074"/>
      <c r="V819" s="1074"/>
      <c r="W819" s="1074"/>
      <c r="X819" s="1074"/>
      <c r="Y819" s="1074"/>
      <c r="Z819" s="1074"/>
      <c r="AA819" s="1074"/>
      <c r="AB819" s="1074"/>
      <c r="AC819" s="1074"/>
      <c r="AD819" s="1074"/>
      <c r="AE819" s="1074"/>
      <c r="AF819" s="1074"/>
      <c r="AG819" s="1074"/>
      <c r="AH819" s="1074"/>
      <c r="AI819" s="1074"/>
      <c r="AJ819" s="1074"/>
      <c r="AK819" s="1074"/>
      <c r="AL819" s="1074"/>
      <c r="AM819" s="1074"/>
      <c r="AN819" s="1074"/>
      <c r="AO819" s="1074"/>
      <c r="AP819" s="1074"/>
      <c r="AQ819" s="1074"/>
      <c r="AR819" s="1074"/>
      <c r="AS819" s="1074"/>
      <c r="AT819" s="1075"/>
    </row>
    <row r="820" ht="14.25" customHeight="1">
      <c r="A820" s="1116"/>
      <c r="B820" s="1120"/>
      <c r="C820" s="1100"/>
      <c r="D820" s="1100"/>
      <c r="E820" s="1100"/>
      <c r="F820" s="1100"/>
      <c r="G820" s="1100"/>
      <c r="H820" s="1100"/>
      <c r="I820" s="1100"/>
      <c r="J820" s="1100"/>
      <c r="K820" s="1074"/>
      <c r="L820" s="1074"/>
      <c r="M820" s="1074"/>
      <c r="N820" s="1074"/>
      <c r="O820" s="1074"/>
      <c r="P820" s="1074"/>
      <c r="Q820" s="1074"/>
      <c r="R820" s="1074"/>
      <c r="S820" s="1074"/>
      <c r="T820" s="1074"/>
      <c r="U820" s="1074"/>
      <c r="V820" s="1074"/>
      <c r="W820" s="1074"/>
      <c r="X820" s="1074"/>
      <c r="Y820" s="1074"/>
      <c r="Z820" s="1074"/>
      <c r="AA820" s="1074"/>
      <c r="AB820" s="1074"/>
      <c r="AC820" s="1074"/>
      <c r="AD820" s="1074"/>
      <c r="AE820" s="1074"/>
      <c r="AF820" s="1074"/>
      <c r="AG820" s="1074"/>
      <c r="AH820" s="1074"/>
      <c r="AI820" s="1074"/>
      <c r="AJ820" s="1074"/>
      <c r="AK820" s="1074"/>
      <c r="AL820" s="1074"/>
      <c r="AM820" s="1074"/>
      <c r="AN820" s="1074"/>
      <c r="AO820" s="1074"/>
      <c r="AP820" s="1074"/>
      <c r="AQ820" s="1074"/>
      <c r="AR820" s="1074"/>
      <c r="AS820" s="1074"/>
      <c r="AT820" s="1075"/>
    </row>
    <row r="821" ht="14.25" customHeight="1">
      <c r="A821" s="1116"/>
      <c r="B821" s="1120"/>
      <c r="C821" s="1100"/>
      <c r="D821" s="1100"/>
      <c r="E821" s="1100"/>
      <c r="F821" s="1100"/>
      <c r="G821" s="1100"/>
      <c r="H821" s="1100"/>
      <c r="I821" s="1100"/>
      <c r="J821" s="1100"/>
      <c r="K821" s="1074"/>
      <c r="L821" s="1074"/>
      <c r="M821" s="1074"/>
      <c r="N821" s="1074"/>
      <c r="O821" s="1074"/>
      <c r="P821" s="1074"/>
      <c r="Q821" s="1074"/>
      <c r="R821" s="1074"/>
      <c r="S821" s="1074"/>
      <c r="T821" s="1074"/>
      <c r="U821" s="1074"/>
      <c r="V821" s="1074"/>
      <c r="W821" s="1074"/>
      <c r="X821" s="1074"/>
      <c r="Y821" s="1074"/>
      <c r="Z821" s="1074"/>
      <c r="AA821" s="1074"/>
      <c r="AB821" s="1074"/>
      <c r="AC821" s="1074"/>
      <c r="AD821" s="1074"/>
      <c r="AE821" s="1074"/>
      <c r="AF821" s="1074"/>
      <c r="AG821" s="1074"/>
      <c r="AH821" s="1074"/>
      <c r="AI821" s="1074"/>
      <c r="AJ821" s="1074"/>
      <c r="AK821" s="1074"/>
      <c r="AL821" s="1074"/>
      <c r="AM821" s="1074"/>
      <c r="AN821" s="1074"/>
      <c r="AO821" s="1074"/>
      <c r="AP821" s="1074"/>
      <c r="AQ821" s="1074"/>
      <c r="AR821" s="1074"/>
      <c r="AS821" s="1074"/>
      <c r="AT821" s="1075"/>
    </row>
    <row r="822" ht="14.25" customHeight="1">
      <c r="A822" s="1116"/>
      <c r="B822" s="1120"/>
      <c r="C822" s="1100"/>
      <c r="D822" s="1100"/>
      <c r="E822" s="1100"/>
      <c r="F822" s="1100"/>
      <c r="G822" s="1100"/>
      <c r="H822" s="1100"/>
      <c r="I822" s="1100"/>
      <c r="J822" s="1100"/>
      <c r="K822" s="1074"/>
      <c r="L822" s="1074"/>
      <c r="M822" s="1074"/>
      <c r="N822" s="1074"/>
      <c r="O822" s="1074"/>
      <c r="P822" s="1074"/>
      <c r="Q822" s="1074"/>
      <c r="R822" s="1074"/>
      <c r="S822" s="1074"/>
      <c r="T822" s="1074"/>
      <c r="U822" s="1074"/>
      <c r="V822" s="1074"/>
      <c r="W822" s="1074"/>
      <c r="X822" s="1074"/>
      <c r="Y822" s="1074"/>
      <c r="Z822" s="1074"/>
      <c r="AA822" s="1074"/>
      <c r="AB822" s="1074"/>
      <c r="AC822" s="1074"/>
      <c r="AD822" s="1074"/>
      <c r="AE822" s="1074"/>
      <c r="AF822" s="1074"/>
      <c r="AG822" s="1074"/>
      <c r="AH822" s="1074"/>
      <c r="AI822" s="1074"/>
      <c r="AJ822" s="1074"/>
      <c r="AK822" s="1074"/>
      <c r="AL822" s="1074"/>
      <c r="AM822" s="1074"/>
      <c r="AN822" s="1074"/>
      <c r="AO822" s="1074"/>
      <c r="AP822" s="1074"/>
      <c r="AQ822" s="1074"/>
      <c r="AR822" s="1074"/>
      <c r="AS822" s="1074"/>
      <c r="AT822" s="1075"/>
    </row>
    <row r="823" ht="14.25" customHeight="1">
      <c r="A823" s="1116"/>
      <c r="B823" s="1120"/>
      <c r="C823" s="1100"/>
      <c r="D823" s="1100"/>
      <c r="E823" s="1100"/>
      <c r="F823" s="1100"/>
      <c r="G823" s="1100"/>
      <c r="H823" s="1100"/>
      <c r="I823" s="1100"/>
      <c r="J823" s="1100"/>
      <c r="K823" s="1074"/>
      <c r="L823" s="1074"/>
      <c r="M823" s="1074"/>
      <c r="N823" s="1074"/>
      <c r="O823" s="1074"/>
      <c r="P823" s="1074"/>
      <c r="Q823" s="1074"/>
      <c r="R823" s="1074"/>
      <c r="S823" s="1074"/>
      <c r="T823" s="1074"/>
      <c r="U823" s="1074"/>
      <c r="V823" s="1074"/>
      <c r="W823" s="1074"/>
      <c r="X823" s="1074"/>
      <c r="Y823" s="1074"/>
      <c r="Z823" s="1074"/>
      <c r="AA823" s="1074"/>
      <c r="AB823" s="1074"/>
      <c r="AC823" s="1074"/>
      <c r="AD823" s="1074"/>
      <c r="AE823" s="1074"/>
      <c r="AF823" s="1074"/>
      <c r="AG823" s="1074"/>
      <c r="AH823" s="1074"/>
      <c r="AI823" s="1074"/>
      <c r="AJ823" s="1074"/>
      <c r="AK823" s="1074"/>
      <c r="AL823" s="1074"/>
      <c r="AM823" s="1074"/>
      <c r="AN823" s="1074"/>
      <c r="AO823" s="1074"/>
      <c r="AP823" s="1074"/>
      <c r="AQ823" s="1074"/>
      <c r="AR823" s="1074"/>
      <c r="AS823" s="1074"/>
      <c r="AT823" s="1075"/>
    </row>
    <row r="824" ht="14.25" customHeight="1">
      <c r="A824" s="1116"/>
      <c r="B824" s="1120"/>
      <c r="C824" s="1100"/>
      <c r="D824" s="1100"/>
      <c r="E824" s="1100"/>
      <c r="F824" s="1100"/>
      <c r="G824" s="1100"/>
      <c r="H824" s="1100"/>
      <c r="I824" s="1100"/>
      <c r="J824" s="1100"/>
      <c r="K824" s="1074"/>
      <c r="L824" s="1074"/>
      <c r="M824" s="1074"/>
      <c r="N824" s="1074"/>
      <c r="O824" s="1074"/>
      <c r="P824" s="1074"/>
      <c r="Q824" s="1074"/>
      <c r="R824" s="1074"/>
      <c r="S824" s="1074"/>
      <c r="T824" s="1074"/>
      <c r="U824" s="1074"/>
      <c r="V824" s="1074"/>
      <c r="W824" s="1074"/>
      <c r="X824" s="1074"/>
      <c r="Y824" s="1074"/>
      <c r="Z824" s="1074"/>
      <c r="AA824" s="1074"/>
      <c r="AB824" s="1074"/>
      <c r="AC824" s="1074"/>
      <c r="AD824" s="1074"/>
      <c r="AE824" s="1074"/>
      <c r="AF824" s="1074"/>
      <c r="AG824" s="1074"/>
      <c r="AH824" s="1074"/>
      <c r="AI824" s="1074"/>
      <c r="AJ824" s="1074"/>
      <c r="AK824" s="1074"/>
      <c r="AL824" s="1074"/>
      <c r="AM824" s="1074"/>
      <c r="AN824" s="1074"/>
      <c r="AO824" s="1074"/>
      <c r="AP824" s="1074"/>
      <c r="AQ824" s="1074"/>
      <c r="AR824" s="1074"/>
      <c r="AS824" s="1074"/>
      <c r="AT824" s="1075"/>
    </row>
    <row r="825" ht="14.25" customHeight="1">
      <c r="A825" s="1116"/>
      <c r="B825" s="1120"/>
      <c r="C825" s="1100"/>
      <c r="D825" s="1100"/>
      <c r="E825" s="1100"/>
      <c r="F825" s="1100"/>
      <c r="G825" s="1100"/>
      <c r="H825" s="1100"/>
      <c r="I825" s="1100"/>
      <c r="J825" s="1100"/>
      <c r="K825" s="1074"/>
      <c r="L825" s="1074"/>
      <c r="M825" s="1074"/>
      <c r="N825" s="1074"/>
      <c r="O825" s="1074"/>
      <c r="P825" s="1074"/>
      <c r="Q825" s="1074"/>
      <c r="R825" s="1074"/>
      <c r="S825" s="1074"/>
      <c r="T825" s="1074"/>
      <c r="U825" s="1074"/>
      <c r="V825" s="1074"/>
      <c r="W825" s="1074"/>
      <c r="X825" s="1074"/>
      <c r="Y825" s="1074"/>
      <c r="Z825" s="1074"/>
      <c r="AA825" s="1074"/>
      <c r="AB825" s="1074"/>
      <c r="AC825" s="1074"/>
      <c r="AD825" s="1074"/>
      <c r="AE825" s="1074"/>
      <c r="AF825" s="1074"/>
      <c r="AG825" s="1074"/>
      <c r="AH825" s="1074"/>
      <c r="AI825" s="1074"/>
      <c r="AJ825" s="1074"/>
      <c r="AK825" s="1074"/>
      <c r="AL825" s="1074"/>
      <c r="AM825" s="1074"/>
      <c r="AN825" s="1074"/>
      <c r="AO825" s="1074"/>
      <c r="AP825" s="1074"/>
      <c r="AQ825" s="1074"/>
      <c r="AR825" s="1074"/>
      <c r="AS825" s="1074"/>
      <c r="AT825" s="1075"/>
    </row>
    <row r="826" ht="14.25" customHeight="1">
      <c r="A826" s="1116"/>
      <c r="B826" s="1120"/>
      <c r="C826" s="1100"/>
      <c r="D826" s="1100"/>
      <c r="E826" s="1100"/>
      <c r="F826" s="1100"/>
      <c r="G826" s="1100"/>
      <c r="H826" s="1100"/>
      <c r="I826" s="1100"/>
      <c r="J826" s="1100"/>
      <c r="K826" s="1074"/>
      <c r="L826" s="1074"/>
      <c r="M826" s="1074"/>
      <c r="N826" s="1074"/>
      <c r="O826" s="1074"/>
      <c r="P826" s="1074"/>
      <c r="Q826" s="1074"/>
      <c r="R826" s="1074"/>
      <c r="S826" s="1074"/>
      <c r="T826" s="1074"/>
      <c r="U826" s="1074"/>
      <c r="V826" s="1074"/>
      <c r="W826" s="1074"/>
      <c r="X826" s="1074"/>
      <c r="Y826" s="1074"/>
      <c r="Z826" s="1074"/>
      <c r="AA826" s="1074"/>
      <c r="AB826" s="1074"/>
      <c r="AC826" s="1074"/>
      <c r="AD826" s="1074"/>
      <c r="AE826" s="1074"/>
      <c r="AF826" s="1074"/>
      <c r="AG826" s="1074"/>
      <c r="AH826" s="1074"/>
      <c r="AI826" s="1074"/>
      <c r="AJ826" s="1074"/>
      <c r="AK826" s="1074"/>
      <c r="AL826" s="1074"/>
      <c r="AM826" s="1074"/>
      <c r="AN826" s="1074"/>
      <c r="AO826" s="1074"/>
      <c r="AP826" s="1074"/>
      <c r="AQ826" s="1074"/>
      <c r="AR826" s="1074"/>
      <c r="AS826" s="1074"/>
      <c r="AT826" s="1075"/>
    </row>
    <row r="827" ht="14.25" customHeight="1">
      <c r="A827" s="1116"/>
      <c r="B827" s="1120"/>
      <c r="C827" s="1100"/>
      <c r="D827" s="1100"/>
      <c r="E827" s="1100"/>
      <c r="F827" s="1100"/>
      <c r="G827" s="1100"/>
      <c r="H827" s="1100"/>
      <c r="I827" s="1100"/>
      <c r="J827" s="1100"/>
      <c r="K827" s="1074"/>
      <c r="L827" s="1074"/>
      <c r="M827" s="1074"/>
      <c r="N827" s="1074"/>
      <c r="O827" s="1074"/>
      <c r="P827" s="1074"/>
      <c r="Q827" s="1074"/>
      <c r="R827" s="1074"/>
      <c r="S827" s="1074"/>
      <c r="T827" s="1074"/>
      <c r="U827" s="1074"/>
      <c r="V827" s="1074"/>
      <c r="W827" s="1074"/>
      <c r="X827" s="1074"/>
      <c r="Y827" s="1074"/>
      <c r="Z827" s="1074"/>
      <c r="AA827" s="1074"/>
      <c r="AB827" s="1074"/>
      <c r="AC827" s="1074"/>
      <c r="AD827" s="1074"/>
      <c r="AE827" s="1074"/>
      <c r="AF827" s="1074"/>
      <c r="AG827" s="1074"/>
      <c r="AH827" s="1074"/>
      <c r="AI827" s="1074"/>
      <c r="AJ827" s="1074"/>
      <c r="AK827" s="1074"/>
      <c r="AL827" s="1074"/>
      <c r="AM827" s="1074"/>
      <c r="AN827" s="1074"/>
      <c r="AO827" s="1074"/>
      <c r="AP827" s="1074"/>
      <c r="AQ827" s="1074"/>
      <c r="AR827" s="1074"/>
      <c r="AS827" s="1074"/>
      <c r="AT827" s="1075"/>
    </row>
    <row r="828" ht="14.25" customHeight="1">
      <c r="A828" s="1116"/>
      <c r="B828" s="1120"/>
      <c r="C828" s="1100"/>
      <c r="D828" s="1100"/>
      <c r="E828" s="1100"/>
      <c r="F828" s="1100"/>
      <c r="G828" s="1100"/>
      <c r="H828" s="1100"/>
      <c r="I828" s="1100"/>
      <c r="J828" s="1100"/>
      <c r="K828" s="1074"/>
      <c r="L828" s="1074"/>
      <c r="M828" s="1074"/>
      <c r="N828" s="1074"/>
      <c r="O828" s="1074"/>
      <c r="P828" s="1074"/>
      <c r="Q828" s="1074"/>
      <c r="R828" s="1074"/>
      <c r="S828" s="1074"/>
      <c r="T828" s="1074"/>
      <c r="U828" s="1074"/>
      <c r="V828" s="1074"/>
      <c r="W828" s="1074"/>
      <c r="X828" s="1074"/>
      <c r="Y828" s="1074"/>
      <c r="Z828" s="1074"/>
      <c r="AA828" s="1074"/>
      <c r="AB828" s="1074"/>
      <c r="AC828" s="1074"/>
      <c r="AD828" s="1074"/>
      <c r="AE828" s="1074"/>
      <c r="AF828" s="1074"/>
      <c r="AG828" s="1074"/>
      <c r="AH828" s="1074"/>
      <c r="AI828" s="1074"/>
      <c r="AJ828" s="1074"/>
      <c r="AK828" s="1074"/>
      <c r="AL828" s="1074"/>
      <c r="AM828" s="1074"/>
      <c r="AN828" s="1074"/>
      <c r="AO828" s="1074"/>
      <c r="AP828" s="1074"/>
      <c r="AQ828" s="1074"/>
      <c r="AR828" s="1074"/>
      <c r="AS828" s="1074"/>
      <c r="AT828" s="1075"/>
    </row>
    <row r="829" ht="14.25" customHeight="1">
      <c r="A829" s="1116"/>
      <c r="B829" s="1120"/>
      <c r="C829" s="1100"/>
      <c r="D829" s="1100"/>
      <c r="E829" s="1100"/>
      <c r="F829" s="1100"/>
      <c r="G829" s="1100"/>
      <c r="H829" s="1100"/>
      <c r="I829" s="1100"/>
      <c r="J829" s="1100"/>
      <c r="K829" s="1074"/>
      <c r="L829" s="1074"/>
      <c r="M829" s="1074"/>
      <c r="N829" s="1074"/>
      <c r="O829" s="1074"/>
      <c r="P829" s="1074"/>
      <c r="Q829" s="1074"/>
      <c r="R829" s="1074"/>
      <c r="S829" s="1074"/>
      <c r="T829" s="1074"/>
      <c r="U829" s="1074"/>
      <c r="V829" s="1074"/>
      <c r="W829" s="1074"/>
      <c r="X829" s="1074"/>
      <c r="Y829" s="1074"/>
      <c r="Z829" s="1074"/>
      <c r="AA829" s="1074"/>
      <c r="AB829" s="1074"/>
      <c r="AC829" s="1074"/>
      <c r="AD829" s="1074"/>
      <c r="AE829" s="1074"/>
      <c r="AF829" s="1074"/>
      <c r="AG829" s="1074"/>
      <c r="AH829" s="1074"/>
      <c r="AI829" s="1074"/>
      <c r="AJ829" s="1074"/>
      <c r="AK829" s="1074"/>
      <c r="AL829" s="1074"/>
      <c r="AM829" s="1074"/>
      <c r="AN829" s="1074"/>
      <c r="AO829" s="1074"/>
      <c r="AP829" s="1074"/>
      <c r="AQ829" s="1074"/>
      <c r="AR829" s="1074"/>
      <c r="AS829" s="1074"/>
      <c r="AT829" s="1075"/>
    </row>
    <row r="830" ht="14.25" customHeight="1">
      <c r="A830" s="1116"/>
      <c r="B830" s="1120"/>
      <c r="C830" s="1100"/>
      <c r="D830" s="1100"/>
      <c r="E830" s="1100"/>
      <c r="F830" s="1100"/>
      <c r="G830" s="1100"/>
      <c r="H830" s="1100"/>
      <c r="I830" s="1100"/>
      <c r="J830" s="1100"/>
      <c r="K830" s="1074"/>
      <c r="L830" s="1074"/>
      <c r="M830" s="1074"/>
      <c r="N830" s="1074"/>
      <c r="O830" s="1074"/>
      <c r="P830" s="1074"/>
      <c r="Q830" s="1074"/>
      <c r="R830" s="1074"/>
      <c r="S830" s="1074"/>
      <c r="T830" s="1074"/>
      <c r="U830" s="1074"/>
      <c r="V830" s="1074"/>
      <c r="W830" s="1074"/>
      <c r="X830" s="1074"/>
      <c r="Y830" s="1074"/>
      <c r="Z830" s="1074"/>
      <c r="AA830" s="1074"/>
      <c r="AB830" s="1074"/>
      <c r="AC830" s="1074"/>
      <c r="AD830" s="1074"/>
      <c r="AE830" s="1074"/>
      <c r="AF830" s="1074"/>
      <c r="AG830" s="1074"/>
      <c r="AH830" s="1074"/>
      <c r="AI830" s="1074"/>
      <c r="AJ830" s="1074"/>
      <c r="AK830" s="1074"/>
      <c r="AL830" s="1074"/>
      <c r="AM830" s="1074"/>
      <c r="AN830" s="1074"/>
      <c r="AO830" s="1074"/>
      <c r="AP830" s="1074"/>
      <c r="AQ830" s="1074"/>
      <c r="AR830" s="1074"/>
      <c r="AS830" s="1074"/>
      <c r="AT830" s="1075"/>
    </row>
    <row r="831" ht="14.25" customHeight="1">
      <c r="A831" s="1116"/>
      <c r="B831" s="1120"/>
      <c r="C831" s="1100"/>
      <c r="D831" s="1100"/>
      <c r="E831" s="1100"/>
      <c r="F831" s="1100"/>
      <c r="G831" s="1100"/>
      <c r="H831" s="1100"/>
      <c r="I831" s="1100"/>
      <c r="J831" s="1100"/>
      <c r="K831" s="1074"/>
      <c r="L831" s="1074"/>
      <c r="M831" s="1074"/>
      <c r="N831" s="1074"/>
      <c r="O831" s="1074"/>
      <c r="P831" s="1074"/>
      <c r="Q831" s="1074"/>
      <c r="R831" s="1074"/>
      <c r="S831" s="1074"/>
      <c r="T831" s="1074"/>
      <c r="U831" s="1074"/>
      <c r="V831" s="1074"/>
      <c r="W831" s="1074"/>
      <c r="X831" s="1074"/>
      <c r="Y831" s="1074"/>
      <c r="Z831" s="1074"/>
      <c r="AA831" s="1074"/>
      <c r="AB831" s="1074"/>
      <c r="AC831" s="1074"/>
      <c r="AD831" s="1074"/>
      <c r="AE831" s="1074"/>
      <c r="AF831" s="1074"/>
      <c r="AG831" s="1074"/>
      <c r="AH831" s="1074"/>
      <c r="AI831" s="1074"/>
      <c r="AJ831" s="1074"/>
      <c r="AK831" s="1074"/>
      <c r="AL831" s="1074"/>
      <c r="AM831" s="1074"/>
      <c r="AN831" s="1074"/>
      <c r="AO831" s="1074"/>
      <c r="AP831" s="1074"/>
      <c r="AQ831" s="1074"/>
      <c r="AR831" s="1074"/>
      <c r="AS831" s="1074"/>
      <c r="AT831" s="1075"/>
    </row>
    <row r="832" ht="14.25" customHeight="1">
      <c r="A832" s="1116"/>
      <c r="B832" s="1120"/>
      <c r="C832" s="1100"/>
      <c r="D832" s="1100"/>
      <c r="E832" s="1100"/>
      <c r="F832" s="1100"/>
      <c r="G832" s="1100"/>
      <c r="H832" s="1100"/>
      <c r="I832" s="1100"/>
      <c r="J832" s="1100"/>
      <c r="K832" s="1074"/>
      <c r="L832" s="1074"/>
      <c r="M832" s="1074"/>
      <c r="N832" s="1074"/>
      <c r="O832" s="1074"/>
      <c r="P832" s="1074"/>
      <c r="Q832" s="1074"/>
      <c r="R832" s="1074"/>
      <c r="S832" s="1074"/>
      <c r="T832" s="1074"/>
      <c r="U832" s="1074"/>
      <c r="V832" s="1074"/>
      <c r="W832" s="1074"/>
      <c r="X832" s="1074"/>
      <c r="Y832" s="1074"/>
      <c r="Z832" s="1074"/>
      <c r="AA832" s="1074"/>
      <c r="AB832" s="1074"/>
      <c r="AC832" s="1074"/>
      <c r="AD832" s="1074"/>
      <c r="AE832" s="1074"/>
      <c r="AF832" s="1074"/>
      <c r="AG832" s="1074"/>
      <c r="AH832" s="1074"/>
      <c r="AI832" s="1074"/>
      <c r="AJ832" s="1074"/>
      <c r="AK832" s="1074"/>
      <c r="AL832" s="1074"/>
      <c r="AM832" s="1074"/>
      <c r="AN832" s="1074"/>
      <c r="AO832" s="1074"/>
      <c r="AP832" s="1074"/>
      <c r="AQ832" s="1074"/>
      <c r="AR832" s="1074"/>
      <c r="AS832" s="1074"/>
      <c r="AT832" s="1075"/>
    </row>
    <row r="833" ht="14.25" customHeight="1">
      <c r="A833" s="1116"/>
      <c r="B833" s="1120"/>
      <c r="C833" s="1100"/>
      <c r="D833" s="1100"/>
      <c r="E833" s="1100"/>
      <c r="F833" s="1100"/>
      <c r="G833" s="1100"/>
      <c r="H833" s="1100"/>
      <c r="I833" s="1100"/>
      <c r="J833" s="1100"/>
      <c r="K833" s="1074"/>
      <c r="L833" s="1074"/>
      <c r="M833" s="1074"/>
      <c r="N833" s="1074"/>
      <c r="O833" s="1074"/>
      <c r="P833" s="1074"/>
      <c r="Q833" s="1074"/>
      <c r="R833" s="1074"/>
      <c r="S833" s="1074"/>
      <c r="T833" s="1074"/>
      <c r="U833" s="1074"/>
      <c r="V833" s="1074"/>
      <c r="W833" s="1074"/>
      <c r="X833" s="1074"/>
      <c r="Y833" s="1074"/>
      <c r="Z833" s="1074"/>
      <c r="AA833" s="1074"/>
      <c r="AB833" s="1074"/>
      <c r="AC833" s="1074"/>
      <c r="AD833" s="1074"/>
      <c r="AE833" s="1074"/>
      <c r="AF833" s="1074"/>
      <c r="AG833" s="1074"/>
      <c r="AH833" s="1074"/>
      <c r="AI833" s="1074"/>
      <c r="AJ833" s="1074"/>
      <c r="AK833" s="1074"/>
      <c r="AL833" s="1074"/>
      <c r="AM833" s="1074"/>
      <c r="AN833" s="1074"/>
      <c r="AO833" s="1074"/>
      <c r="AP833" s="1074"/>
      <c r="AQ833" s="1074"/>
      <c r="AR833" s="1074"/>
      <c r="AS833" s="1074"/>
      <c r="AT833" s="1075"/>
    </row>
    <row r="834" ht="14.25" customHeight="1">
      <c r="A834" s="1116"/>
      <c r="B834" s="1120"/>
      <c r="C834" s="1100"/>
      <c r="D834" s="1100"/>
      <c r="E834" s="1100"/>
      <c r="F834" s="1100"/>
      <c r="G834" s="1100"/>
      <c r="H834" s="1100"/>
      <c r="I834" s="1100"/>
      <c r="J834" s="1100"/>
      <c r="K834" s="1074"/>
      <c r="L834" s="1074"/>
      <c r="M834" s="1074"/>
      <c r="N834" s="1074"/>
      <c r="O834" s="1074"/>
      <c r="P834" s="1074"/>
      <c r="Q834" s="1074"/>
      <c r="R834" s="1074"/>
      <c r="S834" s="1074"/>
      <c r="T834" s="1074"/>
      <c r="U834" s="1074"/>
      <c r="V834" s="1074"/>
      <c r="W834" s="1074"/>
      <c r="X834" s="1074"/>
      <c r="Y834" s="1074"/>
      <c r="Z834" s="1074"/>
      <c r="AA834" s="1074"/>
      <c r="AB834" s="1074"/>
      <c r="AC834" s="1074"/>
      <c r="AD834" s="1074"/>
      <c r="AE834" s="1074"/>
      <c r="AF834" s="1074"/>
      <c r="AG834" s="1074"/>
      <c r="AH834" s="1074"/>
      <c r="AI834" s="1074"/>
      <c r="AJ834" s="1074"/>
      <c r="AK834" s="1074"/>
      <c r="AL834" s="1074"/>
      <c r="AM834" s="1074"/>
      <c r="AN834" s="1074"/>
      <c r="AO834" s="1074"/>
      <c r="AP834" s="1074"/>
      <c r="AQ834" s="1074"/>
      <c r="AR834" s="1074"/>
      <c r="AS834" s="1074"/>
      <c r="AT834" s="1075"/>
    </row>
    <row r="835" ht="14.25" customHeight="1">
      <c r="A835" s="1116"/>
      <c r="B835" s="1120"/>
      <c r="C835" s="1100"/>
      <c r="D835" s="1100"/>
      <c r="E835" s="1100"/>
      <c r="F835" s="1100"/>
      <c r="G835" s="1100"/>
      <c r="H835" s="1100"/>
      <c r="I835" s="1100"/>
      <c r="J835" s="1100"/>
      <c r="K835" s="1074"/>
      <c r="L835" s="1074"/>
      <c r="M835" s="1074"/>
      <c r="N835" s="1074"/>
      <c r="O835" s="1074"/>
      <c r="P835" s="1074"/>
      <c r="Q835" s="1074"/>
      <c r="R835" s="1074"/>
      <c r="S835" s="1074"/>
      <c r="T835" s="1074"/>
      <c r="U835" s="1074"/>
      <c r="V835" s="1074"/>
      <c r="W835" s="1074"/>
      <c r="X835" s="1074"/>
      <c r="Y835" s="1074"/>
      <c r="Z835" s="1074"/>
      <c r="AA835" s="1074"/>
      <c r="AB835" s="1074"/>
      <c r="AC835" s="1074"/>
      <c r="AD835" s="1074"/>
      <c r="AE835" s="1074"/>
      <c r="AF835" s="1074"/>
      <c r="AG835" s="1074"/>
      <c r="AH835" s="1074"/>
      <c r="AI835" s="1074"/>
      <c r="AJ835" s="1074"/>
      <c r="AK835" s="1074"/>
      <c r="AL835" s="1074"/>
      <c r="AM835" s="1074"/>
      <c r="AN835" s="1074"/>
      <c r="AO835" s="1074"/>
      <c r="AP835" s="1074"/>
      <c r="AQ835" s="1074"/>
      <c r="AR835" s="1074"/>
      <c r="AS835" s="1074"/>
      <c r="AT835" s="1075"/>
    </row>
    <row r="836" ht="14.25" customHeight="1">
      <c r="A836" s="1116"/>
      <c r="B836" s="1120"/>
      <c r="C836" s="1100"/>
      <c r="D836" s="1100"/>
      <c r="E836" s="1100"/>
      <c r="F836" s="1100"/>
      <c r="G836" s="1100"/>
      <c r="H836" s="1100"/>
      <c r="I836" s="1100"/>
      <c r="J836" s="1100"/>
      <c r="K836" s="1074"/>
      <c r="L836" s="1074"/>
      <c r="M836" s="1074"/>
      <c r="N836" s="1074"/>
      <c r="O836" s="1074"/>
      <c r="P836" s="1074"/>
      <c r="Q836" s="1074"/>
      <c r="R836" s="1074"/>
      <c r="S836" s="1074"/>
      <c r="T836" s="1074"/>
      <c r="U836" s="1074"/>
      <c r="V836" s="1074"/>
      <c r="W836" s="1074"/>
      <c r="X836" s="1074"/>
      <c r="Y836" s="1074"/>
      <c r="Z836" s="1074"/>
      <c r="AA836" s="1074"/>
      <c r="AB836" s="1074"/>
      <c r="AC836" s="1074"/>
      <c r="AD836" s="1074"/>
      <c r="AE836" s="1074"/>
      <c r="AF836" s="1074"/>
      <c r="AG836" s="1074"/>
      <c r="AH836" s="1074"/>
      <c r="AI836" s="1074"/>
      <c r="AJ836" s="1074"/>
      <c r="AK836" s="1074"/>
      <c r="AL836" s="1074"/>
      <c r="AM836" s="1074"/>
      <c r="AN836" s="1074"/>
      <c r="AO836" s="1074"/>
      <c r="AP836" s="1074"/>
      <c r="AQ836" s="1074"/>
      <c r="AR836" s="1074"/>
      <c r="AS836" s="1074"/>
      <c r="AT836" s="1075"/>
    </row>
    <row r="837" ht="14.25" customHeight="1">
      <c r="A837" s="1116"/>
      <c r="B837" s="1120"/>
      <c r="C837" s="1100"/>
      <c r="D837" s="1100"/>
      <c r="E837" s="1100"/>
      <c r="F837" s="1100"/>
      <c r="G837" s="1100"/>
      <c r="H837" s="1100"/>
      <c r="I837" s="1100"/>
      <c r="J837" s="1100"/>
      <c r="K837" s="1074"/>
      <c r="L837" s="1074"/>
      <c r="M837" s="1074"/>
      <c r="N837" s="1074"/>
      <c r="O837" s="1074"/>
      <c r="P837" s="1074"/>
      <c r="Q837" s="1074"/>
      <c r="R837" s="1074"/>
      <c r="S837" s="1074"/>
      <c r="T837" s="1074"/>
      <c r="U837" s="1074"/>
      <c r="V837" s="1074"/>
      <c r="W837" s="1074"/>
      <c r="X837" s="1074"/>
      <c r="Y837" s="1074"/>
      <c r="Z837" s="1074"/>
      <c r="AA837" s="1074"/>
      <c r="AB837" s="1074"/>
      <c r="AC837" s="1074"/>
      <c r="AD837" s="1074"/>
      <c r="AE837" s="1074"/>
      <c r="AF837" s="1074"/>
      <c r="AG837" s="1074"/>
      <c r="AH837" s="1074"/>
      <c r="AI837" s="1074"/>
      <c r="AJ837" s="1074"/>
      <c r="AK837" s="1074"/>
      <c r="AL837" s="1074"/>
      <c r="AM837" s="1074"/>
      <c r="AN837" s="1074"/>
      <c r="AO837" s="1074"/>
      <c r="AP837" s="1074"/>
      <c r="AQ837" s="1074"/>
      <c r="AR837" s="1074"/>
      <c r="AS837" s="1074"/>
      <c r="AT837" s="1075"/>
    </row>
    <row r="838" ht="14.25" customHeight="1">
      <c r="A838" s="1116"/>
      <c r="B838" s="1120"/>
      <c r="C838" s="1100"/>
      <c r="D838" s="1100"/>
      <c r="E838" s="1100"/>
      <c r="F838" s="1100"/>
      <c r="G838" s="1100"/>
      <c r="H838" s="1100"/>
      <c r="I838" s="1100"/>
      <c r="J838" s="1100"/>
      <c r="K838" s="1074"/>
      <c r="L838" s="1074"/>
      <c r="M838" s="1074"/>
      <c r="N838" s="1074"/>
      <c r="O838" s="1074"/>
      <c r="P838" s="1074"/>
      <c r="Q838" s="1074"/>
      <c r="R838" s="1074"/>
      <c r="S838" s="1074"/>
      <c r="T838" s="1074"/>
      <c r="U838" s="1074"/>
      <c r="V838" s="1074"/>
      <c r="W838" s="1074"/>
      <c r="X838" s="1074"/>
      <c r="Y838" s="1074"/>
      <c r="Z838" s="1074"/>
      <c r="AA838" s="1074"/>
      <c r="AB838" s="1074"/>
      <c r="AC838" s="1074"/>
      <c r="AD838" s="1074"/>
      <c r="AE838" s="1074"/>
      <c r="AF838" s="1074"/>
      <c r="AG838" s="1074"/>
      <c r="AH838" s="1074"/>
      <c r="AI838" s="1074"/>
      <c r="AJ838" s="1074"/>
      <c r="AK838" s="1074"/>
      <c r="AL838" s="1074"/>
      <c r="AM838" s="1074"/>
      <c r="AN838" s="1074"/>
      <c r="AO838" s="1074"/>
      <c r="AP838" s="1074"/>
      <c r="AQ838" s="1074"/>
      <c r="AR838" s="1074"/>
      <c r="AS838" s="1074"/>
      <c r="AT838" s="1075"/>
    </row>
    <row r="839" ht="14.25" customHeight="1">
      <c r="A839" s="1116"/>
      <c r="B839" s="1120"/>
      <c r="C839" s="1100"/>
      <c r="D839" s="1100"/>
      <c r="E839" s="1100"/>
      <c r="F839" s="1100"/>
      <c r="G839" s="1100"/>
      <c r="H839" s="1100"/>
      <c r="I839" s="1100"/>
      <c r="J839" s="1100"/>
      <c r="K839" s="1074"/>
      <c r="L839" s="1074"/>
      <c r="M839" s="1074"/>
      <c r="N839" s="1074"/>
      <c r="O839" s="1074"/>
      <c r="P839" s="1074"/>
      <c r="Q839" s="1074"/>
      <c r="R839" s="1074"/>
      <c r="S839" s="1074"/>
      <c r="T839" s="1074"/>
      <c r="U839" s="1074"/>
      <c r="V839" s="1074"/>
      <c r="W839" s="1074"/>
      <c r="X839" s="1074"/>
      <c r="Y839" s="1074"/>
      <c r="Z839" s="1074"/>
      <c r="AA839" s="1074"/>
      <c r="AB839" s="1074"/>
      <c r="AC839" s="1074"/>
      <c r="AD839" s="1074"/>
      <c r="AE839" s="1074"/>
      <c r="AF839" s="1074"/>
      <c r="AG839" s="1074"/>
      <c r="AH839" s="1074"/>
      <c r="AI839" s="1074"/>
      <c r="AJ839" s="1074"/>
      <c r="AK839" s="1074"/>
      <c r="AL839" s="1074"/>
      <c r="AM839" s="1074"/>
      <c r="AN839" s="1074"/>
      <c r="AO839" s="1074"/>
      <c r="AP839" s="1074"/>
      <c r="AQ839" s="1074"/>
      <c r="AR839" s="1074"/>
      <c r="AS839" s="1074"/>
      <c r="AT839" s="1075"/>
    </row>
    <row r="840" ht="14.25" customHeight="1">
      <c r="A840" s="1116"/>
      <c r="B840" s="1120"/>
      <c r="C840" s="1100"/>
      <c r="D840" s="1100"/>
      <c r="E840" s="1100"/>
      <c r="F840" s="1100"/>
      <c r="G840" s="1100"/>
      <c r="H840" s="1100"/>
      <c r="I840" s="1100"/>
      <c r="J840" s="1100"/>
      <c r="K840" s="1074"/>
      <c r="L840" s="1074"/>
      <c r="M840" s="1074"/>
      <c r="N840" s="1074"/>
      <c r="O840" s="1074"/>
      <c r="P840" s="1074"/>
      <c r="Q840" s="1074"/>
      <c r="R840" s="1074"/>
      <c r="S840" s="1074"/>
      <c r="T840" s="1074"/>
      <c r="U840" s="1074"/>
      <c r="V840" s="1074"/>
      <c r="W840" s="1074"/>
      <c r="X840" s="1074"/>
      <c r="Y840" s="1074"/>
      <c r="Z840" s="1074"/>
      <c r="AA840" s="1074"/>
      <c r="AB840" s="1074"/>
      <c r="AC840" s="1074"/>
      <c r="AD840" s="1074"/>
      <c r="AE840" s="1074"/>
      <c r="AF840" s="1074"/>
      <c r="AG840" s="1074"/>
      <c r="AH840" s="1074"/>
      <c r="AI840" s="1074"/>
      <c r="AJ840" s="1074"/>
      <c r="AK840" s="1074"/>
      <c r="AL840" s="1074"/>
      <c r="AM840" s="1074"/>
      <c r="AN840" s="1074"/>
      <c r="AO840" s="1074"/>
      <c r="AP840" s="1074"/>
      <c r="AQ840" s="1074"/>
      <c r="AR840" s="1074"/>
      <c r="AS840" s="1074"/>
      <c r="AT840" s="1075"/>
    </row>
    <row r="841" ht="14.25" customHeight="1">
      <c r="A841" s="1116"/>
      <c r="B841" s="1120"/>
      <c r="C841" s="1100"/>
      <c r="D841" s="1100"/>
      <c r="E841" s="1100"/>
      <c r="F841" s="1100"/>
      <c r="G841" s="1100"/>
      <c r="H841" s="1100"/>
      <c r="I841" s="1100"/>
      <c r="J841" s="1100"/>
      <c r="K841" s="1074"/>
      <c r="L841" s="1074"/>
      <c r="M841" s="1074"/>
      <c r="N841" s="1074"/>
      <c r="O841" s="1074"/>
      <c r="P841" s="1074"/>
      <c r="Q841" s="1074"/>
      <c r="R841" s="1074"/>
      <c r="S841" s="1074"/>
      <c r="T841" s="1074"/>
      <c r="U841" s="1074"/>
      <c r="V841" s="1074"/>
      <c r="W841" s="1074"/>
      <c r="X841" s="1074"/>
      <c r="Y841" s="1074"/>
      <c r="Z841" s="1074"/>
      <c r="AA841" s="1074"/>
      <c r="AB841" s="1074"/>
      <c r="AC841" s="1074"/>
      <c r="AD841" s="1074"/>
      <c r="AE841" s="1074"/>
      <c r="AF841" s="1074"/>
      <c r="AG841" s="1074"/>
      <c r="AH841" s="1074"/>
      <c r="AI841" s="1074"/>
      <c r="AJ841" s="1074"/>
      <c r="AK841" s="1074"/>
      <c r="AL841" s="1074"/>
      <c r="AM841" s="1074"/>
      <c r="AN841" s="1074"/>
      <c r="AO841" s="1074"/>
      <c r="AP841" s="1074"/>
      <c r="AQ841" s="1074"/>
      <c r="AR841" s="1074"/>
      <c r="AS841" s="1074"/>
      <c r="AT841" s="1075"/>
    </row>
    <row r="842" ht="14.25" customHeight="1">
      <c r="A842" s="1116"/>
      <c r="B842" s="1120"/>
      <c r="C842" s="1100"/>
      <c r="D842" s="1100"/>
      <c r="E842" s="1100"/>
      <c r="F842" s="1100"/>
      <c r="G842" s="1100"/>
      <c r="H842" s="1100"/>
      <c r="I842" s="1100"/>
      <c r="J842" s="1100"/>
      <c r="K842" s="1074"/>
      <c r="L842" s="1074"/>
      <c r="M842" s="1074"/>
      <c r="N842" s="1074"/>
      <c r="O842" s="1074"/>
      <c r="P842" s="1074"/>
      <c r="Q842" s="1074"/>
      <c r="R842" s="1074"/>
      <c r="S842" s="1074"/>
      <c r="T842" s="1074"/>
      <c r="U842" s="1074"/>
      <c r="V842" s="1074"/>
      <c r="W842" s="1074"/>
      <c r="X842" s="1074"/>
      <c r="Y842" s="1074"/>
      <c r="Z842" s="1074"/>
      <c r="AA842" s="1074"/>
      <c r="AB842" s="1074"/>
      <c r="AC842" s="1074"/>
      <c r="AD842" s="1074"/>
      <c r="AE842" s="1074"/>
      <c r="AF842" s="1074"/>
      <c r="AG842" s="1074"/>
      <c r="AH842" s="1074"/>
      <c r="AI842" s="1074"/>
      <c r="AJ842" s="1074"/>
      <c r="AK842" s="1074"/>
      <c r="AL842" s="1074"/>
      <c r="AM842" s="1074"/>
      <c r="AN842" s="1074"/>
      <c r="AO842" s="1074"/>
      <c r="AP842" s="1074"/>
      <c r="AQ842" s="1074"/>
      <c r="AR842" s="1074"/>
      <c r="AS842" s="1074"/>
      <c r="AT842" s="1075"/>
    </row>
    <row r="843" ht="14.25" customHeight="1">
      <c r="A843" s="1116"/>
      <c r="B843" s="1120"/>
      <c r="C843" s="1100"/>
      <c r="D843" s="1100"/>
      <c r="E843" s="1100"/>
      <c r="F843" s="1100"/>
      <c r="G843" s="1100"/>
      <c r="H843" s="1100"/>
      <c r="I843" s="1100"/>
      <c r="J843" s="1100"/>
      <c r="K843" s="1074"/>
      <c r="L843" s="1074"/>
      <c r="M843" s="1074"/>
      <c r="N843" s="1074"/>
      <c r="O843" s="1074"/>
      <c r="P843" s="1074"/>
      <c r="Q843" s="1074"/>
      <c r="R843" s="1074"/>
      <c r="S843" s="1074"/>
      <c r="T843" s="1074"/>
      <c r="U843" s="1074"/>
      <c r="V843" s="1074"/>
      <c r="W843" s="1074"/>
      <c r="X843" s="1074"/>
      <c r="Y843" s="1074"/>
      <c r="Z843" s="1074"/>
      <c r="AA843" s="1074"/>
      <c r="AB843" s="1074"/>
      <c r="AC843" s="1074"/>
      <c r="AD843" s="1074"/>
      <c r="AE843" s="1074"/>
      <c r="AF843" s="1074"/>
      <c r="AG843" s="1074"/>
      <c r="AH843" s="1074"/>
      <c r="AI843" s="1074"/>
      <c r="AJ843" s="1074"/>
      <c r="AK843" s="1074"/>
      <c r="AL843" s="1074"/>
      <c r="AM843" s="1074"/>
      <c r="AN843" s="1074"/>
      <c r="AO843" s="1074"/>
      <c r="AP843" s="1074"/>
      <c r="AQ843" s="1074"/>
      <c r="AR843" s="1074"/>
      <c r="AS843" s="1074"/>
      <c r="AT843" s="1075"/>
    </row>
    <row r="844" ht="14.25" customHeight="1">
      <c r="A844" s="1116"/>
      <c r="B844" s="1120"/>
      <c r="C844" s="1100"/>
      <c r="D844" s="1100"/>
      <c r="E844" s="1100"/>
      <c r="F844" s="1100"/>
      <c r="G844" s="1100"/>
      <c r="H844" s="1100"/>
      <c r="I844" s="1100"/>
      <c r="J844" s="1100"/>
      <c r="K844" s="1074"/>
      <c r="L844" s="1074"/>
      <c r="M844" s="1074"/>
      <c r="N844" s="1074"/>
      <c r="O844" s="1074"/>
      <c r="P844" s="1074"/>
      <c r="Q844" s="1074"/>
      <c r="R844" s="1074"/>
      <c r="S844" s="1074"/>
      <c r="T844" s="1074"/>
      <c r="U844" s="1074"/>
      <c r="V844" s="1074"/>
      <c r="W844" s="1074"/>
      <c r="X844" s="1074"/>
      <c r="Y844" s="1074"/>
      <c r="Z844" s="1074"/>
      <c r="AA844" s="1074"/>
      <c r="AB844" s="1074"/>
      <c r="AC844" s="1074"/>
      <c r="AD844" s="1074"/>
      <c r="AE844" s="1074"/>
      <c r="AF844" s="1074"/>
      <c r="AG844" s="1074"/>
      <c r="AH844" s="1074"/>
      <c r="AI844" s="1074"/>
      <c r="AJ844" s="1074"/>
      <c r="AK844" s="1074"/>
      <c r="AL844" s="1074"/>
      <c r="AM844" s="1074"/>
      <c r="AN844" s="1074"/>
      <c r="AO844" s="1074"/>
      <c r="AP844" s="1074"/>
      <c r="AQ844" s="1074"/>
      <c r="AR844" s="1074"/>
      <c r="AS844" s="1074"/>
      <c r="AT844" s="1075"/>
    </row>
    <row r="845" ht="14.25" customHeight="1">
      <c r="A845" s="1116"/>
      <c r="B845" s="1120"/>
      <c r="C845" s="1100"/>
      <c r="D845" s="1100"/>
      <c r="E845" s="1100"/>
      <c r="F845" s="1100"/>
      <c r="G845" s="1100"/>
      <c r="H845" s="1100"/>
      <c r="I845" s="1100"/>
      <c r="J845" s="1100"/>
      <c r="K845" s="1074"/>
      <c r="L845" s="1074"/>
      <c r="M845" s="1074"/>
      <c r="N845" s="1074"/>
      <c r="O845" s="1074"/>
      <c r="P845" s="1074"/>
      <c r="Q845" s="1074"/>
      <c r="R845" s="1074"/>
      <c r="S845" s="1074"/>
      <c r="T845" s="1074"/>
      <c r="U845" s="1074"/>
      <c r="V845" s="1074"/>
      <c r="W845" s="1074"/>
      <c r="X845" s="1074"/>
      <c r="Y845" s="1074"/>
      <c r="Z845" s="1074"/>
      <c r="AA845" s="1074"/>
      <c r="AB845" s="1074"/>
      <c r="AC845" s="1074"/>
      <c r="AD845" s="1074"/>
      <c r="AE845" s="1074"/>
      <c r="AF845" s="1074"/>
      <c r="AG845" s="1074"/>
      <c r="AH845" s="1074"/>
      <c r="AI845" s="1074"/>
      <c r="AJ845" s="1074"/>
      <c r="AK845" s="1074"/>
      <c r="AL845" s="1074"/>
      <c r="AM845" s="1074"/>
      <c r="AN845" s="1074"/>
      <c r="AO845" s="1074"/>
      <c r="AP845" s="1074"/>
      <c r="AQ845" s="1074"/>
      <c r="AR845" s="1074"/>
      <c r="AS845" s="1074"/>
      <c r="AT845" s="1075"/>
    </row>
    <row r="846" ht="14.25" customHeight="1">
      <c r="A846" s="1116"/>
      <c r="B846" s="1120"/>
      <c r="C846" s="1100"/>
      <c r="D846" s="1100"/>
      <c r="E846" s="1100"/>
      <c r="F846" s="1100"/>
      <c r="G846" s="1100"/>
      <c r="H846" s="1100"/>
      <c r="I846" s="1100"/>
      <c r="J846" s="1100"/>
      <c r="K846" s="1074"/>
      <c r="L846" s="1074"/>
      <c r="M846" s="1074"/>
      <c r="N846" s="1074"/>
      <c r="O846" s="1074"/>
      <c r="P846" s="1074"/>
      <c r="Q846" s="1074"/>
      <c r="R846" s="1074"/>
      <c r="S846" s="1074"/>
      <c r="T846" s="1074"/>
      <c r="U846" s="1074"/>
      <c r="V846" s="1074"/>
      <c r="W846" s="1074"/>
      <c r="X846" s="1074"/>
      <c r="Y846" s="1074"/>
      <c r="Z846" s="1074"/>
      <c r="AA846" s="1074"/>
      <c r="AB846" s="1074"/>
      <c r="AC846" s="1074"/>
      <c r="AD846" s="1074"/>
      <c r="AE846" s="1074"/>
      <c r="AF846" s="1074"/>
      <c r="AG846" s="1074"/>
      <c r="AH846" s="1074"/>
      <c r="AI846" s="1074"/>
      <c r="AJ846" s="1074"/>
      <c r="AK846" s="1074"/>
      <c r="AL846" s="1074"/>
      <c r="AM846" s="1074"/>
      <c r="AN846" s="1074"/>
      <c r="AO846" s="1074"/>
      <c r="AP846" s="1074"/>
      <c r="AQ846" s="1074"/>
      <c r="AR846" s="1074"/>
      <c r="AS846" s="1074"/>
      <c r="AT846" s="1075"/>
    </row>
    <row r="847" ht="14.25" customHeight="1">
      <c r="A847" s="1116"/>
      <c r="B847" s="1120"/>
      <c r="C847" s="1100"/>
      <c r="D847" s="1100"/>
      <c r="E847" s="1100"/>
      <c r="F847" s="1100"/>
      <c r="G847" s="1100"/>
      <c r="H847" s="1100"/>
      <c r="I847" s="1100"/>
      <c r="J847" s="1100"/>
      <c r="K847" s="1074"/>
      <c r="L847" s="1074"/>
      <c r="M847" s="1074"/>
      <c r="N847" s="1074"/>
      <c r="O847" s="1074"/>
      <c r="P847" s="1074"/>
      <c r="Q847" s="1074"/>
      <c r="R847" s="1074"/>
      <c r="S847" s="1074"/>
      <c r="T847" s="1074"/>
      <c r="U847" s="1074"/>
      <c r="V847" s="1074"/>
      <c r="W847" s="1074"/>
      <c r="X847" s="1074"/>
      <c r="Y847" s="1074"/>
      <c r="Z847" s="1074"/>
      <c r="AA847" s="1074"/>
      <c r="AB847" s="1074"/>
      <c r="AC847" s="1074"/>
      <c r="AD847" s="1074"/>
      <c r="AE847" s="1074"/>
      <c r="AF847" s="1074"/>
      <c r="AG847" s="1074"/>
      <c r="AH847" s="1074"/>
      <c r="AI847" s="1074"/>
      <c r="AJ847" s="1074"/>
      <c r="AK847" s="1074"/>
      <c r="AL847" s="1074"/>
      <c r="AM847" s="1074"/>
      <c r="AN847" s="1074"/>
      <c r="AO847" s="1074"/>
      <c r="AP847" s="1074"/>
      <c r="AQ847" s="1074"/>
      <c r="AR847" s="1074"/>
      <c r="AS847" s="1074"/>
      <c r="AT847" s="1075"/>
    </row>
    <row r="848" ht="14.25" customHeight="1">
      <c r="A848" s="1116"/>
      <c r="B848" s="1120"/>
      <c r="C848" s="1100"/>
      <c r="D848" s="1100"/>
      <c r="E848" s="1100"/>
      <c r="F848" s="1100"/>
      <c r="G848" s="1100"/>
      <c r="H848" s="1100"/>
      <c r="I848" s="1100"/>
      <c r="J848" s="1100"/>
      <c r="K848" s="1074"/>
      <c r="L848" s="1074"/>
      <c r="M848" s="1074"/>
      <c r="N848" s="1074"/>
      <c r="O848" s="1074"/>
      <c r="P848" s="1074"/>
      <c r="Q848" s="1074"/>
      <c r="R848" s="1074"/>
      <c r="S848" s="1074"/>
      <c r="T848" s="1074"/>
      <c r="U848" s="1074"/>
      <c r="V848" s="1074"/>
      <c r="W848" s="1074"/>
      <c r="X848" s="1074"/>
      <c r="Y848" s="1074"/>
      <c r="Z848" s="1074"/>
      <c r="AA848" s="1074"/>
      <c r="AB848" s="1074"/>
      <c r="AC848" s="1074"/>
      <c r="AD848" s="1074"/>
      <c r="AE848" s="1074"/>
      <c r="AF848" s="1074"/>
      <c r="AG848" s="1074"/>
      <c r="AH848" s="1074"/>
      <c r="AI848" s="1074"/>
      <c r="AJ848" s="1074"/>
      <c r="AK848" s="1074"/>
      <c r="AL848" s="1074"/>
      <c r="AM848" s="1074"/>
      <c r="AN848" s="1074"/>
      <c r="AO848" s="1074"/>
      <c r="AP848" s="1074"/>
      <c r="AQ848" s="1074"/>
      <c r="AR848" s="1074"/>
      <c r="AS848" s="1074"/>
      <c r="AT848" s="1075"/>
    </row>
    <row r="849" ht="14.25" customHeight="1">
      <c r="A849" s="1116"/>
      <c r="B849" s="1120"/>
      <c r="C849" s="1100"/>
      <c r="D849" s="1100"/>
      <c r="E849" s="1100"/>
      <c r="F849" s="1100"/>
      <c r="G849" s="1100"/>
      <c r="H849" s="1100"/>
      <c r="I849" s="1100"/>
      <c r="J849" s="1100"/>
      <c r="K849" s="1074"/>
      <c r="L849" s="1074"/>
      <c r="M849" s="1074"/>
      <c r="N849" s="1074"/>
      <c r="O849" s="1074"/>
      <c r="P849" s="1074"/>
      <c r="Q849" s="1074"/>
      <c r="R849" s="1074"/>
      <c r="S849" s="1074"/>
      <c r="T849" s="1074"/>
      <c r="U849" s="1074"/>
      <c r="V849" s="1074"/>
      <c r="W849" s="1074"/>
      <c r="X849" s="1074"/>
      <c r="Y849" s="1074"/>
      <c r="Z849" s="1074"/>
      <c r="AA849" s="1074"/>
      <c r="AB849" s="1074"/>
      <c r="AC849" s="1074"/>
      <c r="AD849" s="1074"/>
      <c r="AE849" s="1074"/>
      <c r="AF849" s="1074"/>
      <c r="AG849" s="1074"/>
      <c r="AH849" s="1074"/>
      <c r="AI849" s="1074"/>
      <c r="AJ849" s="1074"/>
      <c r="AK849" s="1074"/>
      <c r="AL849" s="1074"/>
      <c r="AM849" s="1074"/>
      <c r="AN849" s="1074"/>
      <c r="AO849" s="1074"/>
      <c r="AP849" s="1074"/>
      <c r="AQ849" s="1074"/>
      <c r="AR849" s="1074"/>
      <c r="AS849" s="1074"/>
      <c r="AT849" s="1075"/>
    </row>
    <row r="850" ht="14.25" customHeight="1">
      <c r="A850" s="1116"/>
      <c r="B850" s="1120"/>
      <c r="C850" s="1100"/>
      <c r="D850" s="1100"/>
      <c r="E850" s="1100"/>
      <c r="F850" s="1100"/>
      <c r="G850" s="1100"/>
      <c r="H850" s="1100"/>
      <c r="I850" s="1100"/>
      <c r="J850" s="1100"/>
      <c r="K850" s="1074"/>
      <c r="L850" s="1074"/>
      <c r="M850" s="1074"/>
      <c r="N850" s="1074"/>
      <c r="O850" s="1074"/>
      <c r="P850" s="1074"/>
      <c r="Q850" s="1074"/>
      <c r="R850" s="1074"/>
      <c r="S850" s="1074"/>
      <c r="T850" s="1074"/>
      <c r="U850" s="1074"/>
      <c r="V850" s="1074"/>
      <c r="W850" s="1074"/>
      <c r="X850" s="1074"/>
      <c r="Y850" s="1074"/>
      <c r="Z850" s="1074"/>
      <c r="AA850" s="1074"/>
      <c r="AB850" s="1074"/>
      <c r="AC850" s="1074"/>
      <c r="AD850" s="1074"/>
      <c r="AE850" s="1074"/>
      <c r="AF850" s="1074"/>
      <c r="AG850" s="1074"/>
      <c r="AH850" s="1074"/>
      <c r="AI850" s="1074"/>
      <c r="AJ850" s="1074"/>
      <c r="AK850" s="1074"/>
      <c r="AL850" s="1074"/>
      <c r="AM850" s="1074"/>
      <c r="AN850" s="1074"/>
      <c r="AO850" s="1074"/>
      <c r="AP850" s="1074"/>
      <c r="AQ850" s="1074"/>
      <c r="AR850" s="1074"/>
      <c r="AS850" s="1074"/>
      <c r="AT850" s="1075"/>
    </row>
    <row r="851" ht="14.25" customHeight="1">
      <c r="A851" s="1116"/>
      <c r="B851" s="1120"/>
      <c r="C851" s="1100"/>
      <c r="D851" s="1100"/>
      <c r="E851" s="1100"/>
      <c r="F851" s="1100"/>
      <c r="G851" s="1100"/>
      <c r="H851" s="1100"/>
      <c r="I851" s="1100"/>
      <c r="J851" s="1100"/>
      <c r="K851" s="1074"/>
      <c r="L851" s="1074"/>
      <c r="M851" s="1074"/>
      <c r="N851" s="1074"/>
      <c r="O851" s="1074"/>
      <c r="P851" s="1074"/>
      <c r="Q851" s="1074"/>
      <c r="R851" s="1074"/>
      <c r="S851" s="1074"/>
      <c r="T851" s="1074"/>
      <c r="U851" s="1074"/>
      <c r="V851" s="1074"/>
      <c r="W851" s="1074"/>
      <c r="X851" s="1074"/>
      <c r="Y851" s="1074"/>
      <c r="Z851" s="1074"/>
      <c r="AA851" s="1074"/>
      <c r="AB851" s="1074"/>
      <c r="AC851" s="1074"/>
      <c r="AD851" s="1074"/>
      <c r="AE851" s="1074"/>
      <c r="AF851" s="1074"/>
      <c r="AG851" s="1074"/>
      <c r="AH851" s="1074"/>
      <c r="AI851" s="1074"/>
      <c r="AJ851" s="1074"/>
      <c r="AK851" s="1074"/>
      <c r="AL851" s="1074"/>
      <c r="AM851" s="1074"/>
      <c r="AN851" s="1074"/>
      <c r="AO851" s="1074"/>
      <c r="AP851" s="1074"/>
      <c r="AQ851" s="1074"/>
      <c r="AR851" s="1074"/>
      <c r="AS851" s="1074"/>
      <c r="AT851" s="1075"/>
    </row>
    <row r="852" ht="14.25" customHeight="1">
      <c r="A852" s="1116"/>
      <c r="B852" s="1120"/>
      <c r="C852" s="1100"/>
      <c r="D852" s="1100"/>
      <c r="E852" s="1100"/>
      <c r="F852" s="1100"/>
      <c r="G852" s="1100"/>
      <c r="H852" s="1100"/>
      <c r="I852" s="1100"/>
      <c r="J852" s="1100"/>
      <c r="K852" s="1074"/>
      <c r="L852" s="1074"/>
      <c r="M852" s="1074"/>
      <c r="N852" s="1074"/>
      <c r="O852" s="1074"/>
      <c r="P852" s="1074"/>
      <c r="Q852" s="1074"/>
      <c r="R852" s="1074"/>
      <c r="S852" s="1074"/>
      <c r="T852" s="1074"/>
      <c r="U852" s="1074"/>
      <c r="V852" s="1074"/>
      <c r="W852" s="1074"/>
      <c r="X852" s="1074"/>
      <c r="Y852" s="1074"/>
      <c r="Z852" s="1074"/>
      <c r="AA852" s="1074"/>
      <c r="AB852" s="1074"/>
      <c r="AC852" s="1074"/>
      <c r="AD852" s="1074"/>
      <c r="AE852" s="1074"/>
      <c r="AF852" s="1074"/>
      <c r="AG852" s="1074"/>
      <c r="AH852" s="1074"/>
      <c r="AI852" s="1074"/>
      <c r="AJ852" s="1074"/>
      <c r="AK852" s="1074"/>
      <c r="AL852" s="1074"/>
      <c r="AM852" s="1074"/>
      <c r="AN852" s="1074"/>
      <c r="AO852" s="1074"/>
      <c r="AP852" s="1074"/>
      <c r="AQ852" s="1074"/>
      <c r="AR852" s="1074"/>
      <c r="AS852" s="1074"/>
      <c r="AT852" s="1075"/>
    </row>
    <row r="853" ht="14.25" customHeight="1">
      <c r="A853" s="1116"/>
      <c r="B853" s="1120"/>
      <c r="C853" s="1100"/>
      <c r="D853" s="1100"/>
      <c r="E853" s="1100"/>
      <c r="F853" s="1100"/>
      <c r="G853" s="1100"/>
      <c r="H853" s="1100"/>
      <c r="I853" s="1100"/>
      <c r="J853" s="1100"/>
      <c r="K853" s="1074"/>
      <c r="L853" s="1074"/>
      <c r="M853" s="1074"/>
      <c r="N853" s="1074"/>
      <c r="O853" s="1074"/>
      <c r="P853" s="1074"/>
      <c r="Q853" s="1074"/>
      <c r="R853" s="1074"/>
      <c r="S853" s="1074"/>
      <c r="T853" s="1074"/>
      <c r="U853" s="1074"/>
      <c r="V853" s="1074"/>
      <c r="W853" s="1074"/>
      <c r="X853" s="1074"/>
      <c r="Y853" s="1074"/>
      <c r="Z853" s="1074"/>
      <c r="AA853" s="1074"/>
      <c r="AB853" s="1074"/>
      <c r="AC853" s="1074"/>
      <c r="AD853" s="1074"/>
      <c r="AE853" s="1074"/>
      <c r="AF853" s="1074"/>
      <c r="AG853" s="1074"/>
      <c r="AH853" s="1074"/>
      <c r="AI853" s="1074"/>
      <c r="AJ853" s="1074"/>
      <c r="AK853" s="1074"/>
      <c r="AL853" s="1074"/>
      <c r="AM853" s="1074"/>
      <c r="AN853" s="1074"/>
      <c r="AO853" s="1074"/>
      <c r="AP853" s="1074"/>
      <c r="AQ853" s="1074"/>
      <c r="AR853" s="1074"/>
      <c r="AS853" s="1074"/>
      <c r="AT853" s="1075"/>
    </row>
    <row r="854" ht="14.25" customHeight="1">
      <c r="A854" s="1116"/>
      <c r="B854" s="1120"/>
      <c r="C854" s="1100"/>
      <c r="D854" s="1100"/>
      <c r="E854" s="1100"/>
      <c r="F854" s="1100"/>
      <c r="G854" s="1100"/>
      <c r="H854" s="1100"/>
      <c r="I854" s="1100"/>
      <c r="J854" s="1100"/>
      <c r="K854" s="1074"/>
      <c r="L854" s="1074"/>
      <c r="M854" s="1074"/>
      <c r="N854" s="1074"/>
      <c r="O854" s="1074"/>
      <c r="P854" s="1074"/>
      <c r="Q854" s="1074"/>
      <c r="R854" s="1074"/>
      <c r="S854" s="1074"/>
      <c r="T854" s="1074"/>
      <c r="U854" s="1074"/>
      <c r="V854" s="1074"/>
      <c r="W854" s="1074"/>
      <c r="X854" s="1074"/>
      <c r="Y854" s="1074"/>
      <c r="Z854" s="1074"/>
      <c r="AA854" s="1074"/>
      <c r="AB854" s="1074"/>
      <c r="AC854" s="1074"/>
      <c r="AD854" s="1074"/>
      <c r="AE854" s="1074"/>
      <c r="AF854" s="1074"/>
      <c r="AG854" s="1074"/>
      <c r="AH854" s="1074"/>
      <c r="AI854" s="1074"/>
      <c r="AJ854" s="1074"/>
      <c r="AK854" s="1074"/>
      <c r="AL854" s="1074"/>
      <c r="AM854" s="1074"/>
      <c r="AN854" s="1074"/>
      <c r="AO854" s="1074"/>
      <c r="AP854" s="1074"/>
      <c r="AQ854" s="1074"/>
      <c r="AR854" s="1074"/>
      <c r="AS854" s="1074"/>
      <c r="AT854" s="1075"/>
    </row>
    <row r="855" ht="14.25" customHeight="1">
      <c r="A855" s="1116"/>
      <c r="B855" s="1120"/>
      <c r="C855" s="1100"/>
      <c r="D855" s="1100"/>
      <c r="E855" s="1100"/>
      <c r="F855" s="1100"/>
      <c r="G855" s="1100"/>
      <c r="H855" s="1100"/>
      <c r="I855" s="1100"/>
      <c r="J855" s="1100"/>
      <c r="K855" s="1074"/>
      <c r="L855" s="1074"/>
      <c r="M855" s="1074"/>
      <c r="N855" s="1074"/>
      <c r="O855" s="1074"/>
      <c r="P855" s="1074"/>
      <c r="Q855" s="1074"/>
      <c r="R855" s="1074"/>
      <c r="S855" s="1074"/>
      <c r="T855" s="1074"/>
      <c r="U855" s="1074"/>
      <c r="V855" s="1074"/>
      <c r="W855" s="1074"/>
      <c r="X855" s="1074"/>
      <c r="Y855" s="1074"/>
      <c r="Z855" s="1074"/>
      <c r="AA855" s="1074"/>
      <c r="AB855" s="1074"/>
      <c r="AC855" s="1074"/>
      <c r="AD855" s="1074"/>
      <c r="AE855" s="1074"/>
      <c r="AF855" s="1074"/>
      <c r="AG855" s="1074"/>
      <c r="AH855" s="1074"/>
      <c r="AI855" s="1074"/>
      <c r="AJ855" s="1074"/>
      <c r="AK855" s="1074"/>
      <c r="AL855" s="1074"/>
      <c r="AM855" s="1074"/>
      <c r="AN855" s="1074"/>
      <c r="AO855" s="1074"/>
      <c r="AP855" s="1074"/>
      <c r="AQ855" s="1074"/>
      <c r="AR855" s="1074"/>
      <c r="AS855" s="1074"/>
      <c r="AT855" s="1075"/>
    </row>
    <row r="856" ht="14.25" customHeight="1">
      <c r="A856" s="1116"/>
      <c r="B856" s="1120"/>
      <c r="C856" s="1100"/>
      <c r="D856" s="1100"/>
      <c r="E856" s="1100"/>
      <c r="F856" s="1100"/>
      <c r="G856" s="1100"/>
      <c r="H856" s="1100"/>
      <c r="I856" s="1100"/>
      <c r="J856" s="1100"/>
      <c r="K856" s="1074"/>
      <c r="L856" s="1074"/>
      <c r="M856" s="1074"/>
      <c r="N856" s="1074"/>
      <c r="O856" s="1074"/>
      <c r="P856" s="1074"/>
      <c r="Q856" s="1074"/>
      <c r="R856" s="1074"/>
      <c r="S856" s="1074"/>
      <c r="T856" s="1074"/>
      <c r="U856" s="1074"/>
      <c r="V856" s="1074"/>
      <c r="W856" s="1074"/>
      <c r="X856" s="1074"/>
      <c r="Y856" s="1074"/>
      <c r="Z856" s="1074"/>
      <c r="AA856" s="1074"/>
      <c r="AB856" s="1074"/>
      <c r="AC856" s="1074"/>
      <c r="AD856" s="1074"/>
      <c r="AE856" s="1074"/>
      <c r="AF856" s="1074"/>
      <c r="AG856" s="1074"/>
      <c r="AH856" s="1074"/>
      <c r="AI856" s="1074"/>
      <c r="AJ856" s="1074"/>
      <c r="AK856" s="1074"/>
      <c r="AL856" s="1074"/>
      <c r="AM856" s="1074"/>
      <c r="AN856" s="1074"/>
      <c r="AO856" s="1074"/>
      <c r="AP856" s="1074"/>
      <c r="AQ856" s="1074"/>
      <c r="AR856" s="1074"/>
      <c r="AS856" s="1074"/>
      <c r="AT856" s="1075"/>
    </row>
    <row r="857" ht="14.25" customHeight="1">
      <c r="A857" s="1116"/>
      <c r="B857" s="1120"/>
      <c r="C857" s="1100"/>
      <c r="D857" s="1100"/>
      <c r="E857" s="1100"/>
      <c r="F857" s="1100"/>
      <c r="G857" s="1100"/>
      <c r="H857" s="1100"/>
      <c r="I857" s="1100"/>
      <c r="J857" s="1100"/>
      <c r="K857" s="1074"/>
      <c r="L857" s="1074"/>
      <c r="M857" s="1074"/>
      <c r="N857" s="1074"/>
      <c r="O857" s="1074"/>
      <c r="P857" s="1074"/>
      <c r="Q857" s="1074"/>
      <c r="R857" s="1074"/>
      <c r="S857" s="1074"/>
      <c r="T857" s="1074"/>
      <c r="U857" s="1074"/>
      <c r="V857" s="1074"/>
      <c r="W857" s="1074"/>
      <c r="X857" s="1074"/>
      <c r="Y857" s="1074"/>
      <c r="Z857" s="1074"/>
      <c r="AA857" s="1074"/>
      <c r="AB857" s="1074"/>
      <c r="AC857" s="1074"/>
      <c r="AD857" s="1074"/>
      <c r="AE857" s="1074"/>
      <c r="AF857" s="1074"/>
      <c r="AG857" s="1074"/>
      <c r="AH857" s="1074"/>
      <c r="AI857" s="1074"/>
      <c r="AJ857" s="1074"/>
      <c r="AK857" s="1074"/>
      <c r="AL857" s="1074"/>
      <c r="AM857" s="1074"/>
      <c r="AN857" s="1074"/>
      <c r="AO857" s="1074"/>
      <c r="AP857" s="1074"/>
      <c r="AQ857" s="1074"/>
      <c r="AR857" s="1074"/>
      <c r="AS857" s="1074"/>
      <c r="AT857" s="1075"/>
    </row>
    <row r="858" ht="14.25" customHeight="1">
      <c r="A858" s="1116"/>
      <c r="B858" s="1120"/>
      <c r="C858" s="1100"/>
      <c r="D858" s="1100"/>
      <c r="E858" s="1100"/>
      <c r="F858" s="1100"/>
      <c r="G858" s="1100"/>
      <c r="H858" s="1100"/>
      <c r="I858" s="1100"/>
      <c r="J858" s="1100"/>
      <c r="K858" s="1074"/>
      <c r="L858" s="1074"/>
      <c r="M858" s="1074"/>
      <c r="N858" s="1074"/>
      <c r="O858" s="1074"/>
      <c r="P858" s="1074"/>
      <c r="Q858" s="1074"/>
      <c r="R858" s="1074"/>
      <c r="S858" s="1074"/>
      <c r="T858" s="1074"/>
      <c r="U858" s="1074"/>
      <c r="V858" s="1074"/>
      <c r="W858" s="1074"/>
      <c r="X858" s="1074"/>
      <c r="Y858" s="1074"/>
      <c r="Z858" s="1074"/>
      <c r="AA858" s="1074"/>
      <c r="AB858" s="1074"/>
      <c r="AC858" s="1074"/>
      <c r="AD858" s="1074"/>
      <c r="AE858" s="1074"/>
      <c r="AF858" s="1074"/>
      <c r="AG858" s="1074"/>
      <c r="AH858" s="1074"/>
      <c r="AI858" s="1074"/>
      <c r="AJ858" s="1074"/>
      <c r="AK858" s="1074"/>
      <c r="AL858" s="1074"/>
      <c r="AM858" s="1074"/>
      <c r="AN858" s="1074"/>
      <c r="AO858" s="1074"/>
      <c r="AP858" s="1074"/>
      <c r="AQ858" s="1074"/>
      <c r="AR858" s="1074"/>
      <c r="AS858" s="1074"/>
      <c r="AT858" s="1075"/>
    </row>
    <row r="859" ht="14.25" customHeight="1">
      <c r="A859" s="1116"/>
      <c r="B859" s="1120"/>
      <c r="C859" s="1100"/>
      <c r="D859" s="1100"/>
      <c r="E859" s="1100"/>
      <c r="F859" s="1100"/>
      <c r="G859" s="1100"/>
      <c r="H859" s="1100"/>
      <c r="I859" s="1100"/>
      <c r="J859" s="1100"/>
      <c r="K859" s="1074"/>
      <c r="L859" s="1074"/>
      <c r="M859" s="1074"/>
      <c r="N859" s="1074"/>
      <c r="O859" s="1074"/>
      <c r="P859" s="1074"/>
      <c r="Q859" s="1074"/>
      <c r="R859" s="1074"/>
      <c r="S859" s="1074"/>
      <c r="T859" s="1074"/>
      <c r="U859" s="1074"/>
      <c r="V859" s="1074"/>
      <c r="W859" s="1074"/>
      <c r="X859" s="1074"/>
      <c r="Y859" s="1074"/>
      <c r="Z859" s="1074"/>
      <c r="AA859" s="1074"/>
      <c r="AB859" s="1074"/>
      <c r="AC859" s="1074"/>
      <c r="AD859" s="1074"/>
      <c r="AE859" s="1074"/>
      <c r="AF859" s="1074"/>
      <c r="AG859" s="1074"/>
      <c r="AH859" s="1074"/>
      <c r="AI859" s="1074"/>
      <c r="AJ859" s="1074"/>
      <c r="AK859" s="1074"/>
      <c r="AL859" s="1074"/>
      <c r="AM859" s="1074"/>
      <c r="AN859" s="1074"/>
      <c r="AO859" s="1074"/>
      <c r="AP859" s="1074"/>
      <c r="AQ859" s="1074"/>
      <c r="AR859" s="1074"/>
      <c r="AS859" s="1074"/>
      <c r="AT859" s="1075"/>
    </row>
    <row r="860" ht="14.25" customHeight="1">
      <c r="A860" s="1116"/>
      <c r="B860" s="1120"/>
      <c r="C860" s="1100"/>
      <c r="D860" s="1100"/>
      <c r="E860" s="1100"/>
      <c r="F860" s="1100"/>
      <c r="G860" s="1100"/>
      <c r="H860" s="1100"/>
      <c r="I860" s="1100"/>
      <c r="J860" s="1100"/>
      <c r="K860" s="1074"/>
      <c r="L860" s="1074"/>
      <c r="M860" s="1074"/>
      <c r="N860" s="1074"/>
      <c r="O860" s="1074"/>
      <c r="P860" s="1074"/>
      <c r="Q860" s="1074"/>
      <c r="R860" s="1074"/>
      <c r="S860" s="1074"/>
      <c r="T860" s="1074"/>
      <c r="U860" s="1074"/>
      <c r="V860" s="1074"/>
      <c r="W860" s="1074"/>
      <c r="X860" s="1074"/>
      <c r="Y860" s="1074"/>
      <c r="Z860" s="1074"/>
      <c r="AA860" s="1074"/>
      <c r="AB860" s="1074"/>
      <c r="AC860" s="1074"/>
      <c r="AD860" s="1074"/>
      <c r="AE860" s="1074"/>
      <c r="AF860" s="1074"/>
      <c r="AG860" s="1074"/>
      <c r="AH860" s="1074"/>
      <c r="AI860" s="1074"/>
      <c r="AJ860" s="1074"/>
      <c r="AK860" s="1074"/>
      <c r="AL860" s="1074"/>
      <c r="AM860" s="1074"/>
      <c r="AN860" s="1074"/>
      <c r="AO860" s="1074"/>
      <c r="AP860" s="1074"/>
      <c r="AQ860" s="1074"/>
      <c r="AR860" s="1074"/>
      <c r="AS860" s="1074"/>
      <c r="AT860" s="1075"/>
    </row>
    <row r="861" ht="14.25" customHeight="1">
      <c r="A861" s="1116"/>
      <c r="B861" s="1120"/>
      <c r="C861" s="1100"/>
      <c r="D861" s="1100"/>
      <c r="E861" s="1100"/>
      <c r="F861" s="1100"/>
      <c r="G861" s="1100"/>
      <c r="H861" s="1100"/>
      <c r="I861" s="1100"/>
      <c r="J861" s="1100"/>
      <c r="K861" s="1074"/>
      <c r="L861" s="1074"/>
      <c r="M861" s="1074"/>
      <c r="N861" s="1074"/>
      <c r="O861" s="1074"/>
      <c r="P861" s="1074"/>
      <c r="Q861" s="1074"/>
      <c r="R861" s="1074"/>
      <c r="S861" s="1074"/>
      <c r="T861" s="1074"/>
      <c r="U861" s="1074"/>
      <c r="V861" s="1074"/>
      <c r="W861" s="1074"/>
      <c r="X861" s="1074"/>
      <c r="Y861" s="1074"/>
      <c r="Z861" s="1074"/>
      <c r="AA861" s="1074"/>
      <c r="AB861" s="1074"/>
      <c r="AC861" s="1074"/>
      <c r="AD861" s="1074"/>
      <c r="AE861" s="1074"/>
      <c r="AF861" s="1074"/>
      <c r="AG861" s="1074"/>
      <c r="AH861" s="1074"/>
      <c r="AI861" s="1074"/>
      <c r="AJ861" s="1074"/>
      <c r="AK861" s="1074"/>
      <c r="AL861" s="1074"/>
      <c r="AM861" s="1074"/>
      <c r="AN861" s="1074"/>
      <c r="AO861" s="1074"/>
      <c r="AP861" s="1074"/>
      <c r="AQ861" s="1074"/>
      <c r="AR861" s="1074"/>
      <c r="AS861" s="1074"/>
      <c r="AT861" s="1075"/>
    </row>
    <row r="862" ht="14.25" customHeight="1">
      <c r="A862" s="1116"/>
      <c r="B862" s="1120"/>
      <c r="C862" s="1100"/>
      <c r="D862" s="1100"/>
      <c r="E862" s="1100"/>
      <c r="F862" s="1100"/>
      <c r="G862" s="1100"/>
      <c r="H862" s="1100"/>
      <c r="I862" s="1100"/>
      <c r="J862" s="1100"/>
      <c r="K862" s="1074"/>
      <c r="L862" s="1074"/>
      <c r="M862" s="1074"/>
      <c r="N862" s="1074"/>
      <c r="O862" s="1074"/>
      <c r="P862" s="1074"/>
      <c r="Q862" s="1074"/>
      <c r="R862" s="1074"/>
      <c r="S862" s="1074"/>
      <c r="T862" s="1074"/>
      <c r="U862" s="1074"/>
      <c r="V862" s="1074"/>
      <c r="W862" s="1074"/>
      <c r="X862" s="1074"/>
      <c r="Y862" s="1074"/>
      <c r="Z862" s="1074"/>
      <c r="AA862" s="1074"/>
      <c r="AB862" s="1074"/>
      <c r="AC862" s="1074"/>
      <c r="AD862" s="1074"/>
      <c r="AE862" s="1074"/>
      <c r="AF862" s="1074"/>
      <c r="AG862" s="1074"/>
      <c r="AH862" s="1074"/>
      <c r="AI862" s="1074"/>
      <c r="AJ862" s="1074"/>
      <c r="AK862" s="1074"/>
      <c r="AL862" s="1074"/>
      <c r="AM862" s="1074"/>
      <c r="AN862" s="1074"/>
      <c r="AO862" s="1074"/>
      <c r="AP862" s="1074"/>
      <c r="AQ862" s="1074"/>
      <c r="AR862" s="1074"/>
      <c r="AS862" s="1074"/>
      <c r="AT862" s="1075"/>
    </row>
    <row r="863" ht="14.25" customHeight="1">
      <c r="A863" s="1116"/>
      <c r="B863" s="1120"/>
      <c r="C863" s="1100"/>
      <c r="D863" s="1100"/>
      <c r="E863" s="1100"/>
      <c r="F863" s="1100"/>
      <c r="G863" s="1100"/>
      <c r="H863" s="1100"/>
      <c r="I863" s="1100"/>
      <c r="J863" s="1100"/>
      <c r="K863" s="1074"/>
      <c r="L863" s="1074"/>
      <c r="M863" s="1074"/>
      <c r="N863" s="1074"/>
      <c r="O863" s="1074"/>
      <c r="P863" s="1074"/>
      <c r="Q863" s="1074"/>
      <c r="R863" s="1074"/>
      <c r="S863" s="1074"/>
      <c r="T863" s="1074"/>
      <c r="U863" s="1074"/>
      <c r="V863" s="1074"/>
      <c r="W863" s="1074"/>
      <c r="X863" s="1074"/>
      <c r="Y863" s="1074"/>
      <c r="Z863" s="1074"/>
      <c r="AA863" s="1074"/>
      <c r="AB863" s="1074"/>
      <c r="AC863" s="1074"/>
      <c r="AD863" s="1074"/>
      <c r="AE863" s="1074"/>
      <c r="AF863" s="1074"/>
      <c r="AG863" s="1074"/>
      <c r="AH863" s="1074"/>
      <c r="AI863" s="1074"/>
      <c r="AJ863" s="1074"/>
      <c r="AK863" s="1074"/>
      <c r="AL863" s="1074"/>
      <c r="AM863" s="1074"/>
      <c r="AN863" s="1074"/>
      <c r="AO863" s="1074"/>
      <c r="AP863" s="1074"/>
      <c r="AQ863" s="1074"/>
      <c r="AR863" s="1074"/>
      <c r="AS863" s="1074"/>
      <c r="AT863" s="1075"/>
    </row>
    <row r="864" ht="14.25" customHeight="1">
      <c r="A864" s="1116"/>
      <c r="B864" s="1120"/>
      <c r="C864" s="1100"/>
      <c r="D864" s="1100"/>
      <c r="E864" s="1100"/>
      <c r="F864" s="1100"/>
      <c r="G864" s="1100"/>
      <c r="H864" s="1100"/>
      <c r="I864" s="1100"/>
      <c r="J864" s="1100"/>
      <c r="K864" s="1074"/>
      <c r="L864" s="1074"/>
      <c r="M864" s="1074"/>
      <c r="N864" s="1074"/>
      <c r="O864" s="1074"/>
      <c r="P864" s="1074"/>
      <c r="Q864" s="1074"/>
      <c r="R864" s="1074"/>
      <c r="S864" s="1074"/>
      <c r="T864" s="1074"/>
      <c r="U864" s="1074"/>
      <c r="V864" s="1074"/>
      <c r="W864" s="1074"/>
      <c r="X864" s="1074"/>
      <c r="Y864" s="1074"/>
      <c r="Z864" s="1074"/>
      <c r="AA864" s="1074"/>
      <c r="AB864" s="1074"/>
      <c r="AC864" s="1074"/>
      <c r="AD864" s="1074"/>
      <c r="AE864" s="1074"/>
      <c r="AF864" s="1074"/>
      <c r="AG864" s="1074"/>
      <c r="AH864" s="1074"/>
      <c r="AI864" s="1074"/>
      <c r="AJ864" s="1074"/>
      <c r="AK864" s="1074"/>
      <c r="AL864" s="1074"/>
      <c r="AM864" s="1074"/>
      <c r="AN864" s="1074"/>
      <c r="AO864" s="1074"/>
      <c r="AP864" s="1074"/>
      <c r="AQ864" s="1074"/>
      <c r="AR864" s="1074"/>
      <c r="AS864" s="1074"/>
      <c r="AT864" s="1075"/>
    </row>
    <row r="865" ht="14.25" customHeight="1">
      <c r="A865" s="1116"/>
      <c r="B865" s="1120"/>
      <c r="C865" s="1100"/>
      <c r="D865" s="1100"/>
      <c r="E865" s="1100"/>
      <c r="F865" s="1100"/>
      <c r="G865" s="1100"/>
      <c r="H865" s="1100"/>
      <c r="I865" s="1100"/>
      <c r="J865" s="1100"/>
      <c r="K865" s="1074"/>
      <c r="L865" s="1074"/>
      <c r="M865" s="1074"/>
      <c r="N865" s="1074"/>
      <c r="O865" s="1074"/>
      <c r="P865" s="1074"/>
      <c r="Q865" s="1074"/>
      <c r="R865" s="1074"/>
      <c r="S865" s="1074"/>
      <c r="T865" s="1074"/>
      <c r="U865" s="1074"/>
      <c r="V865" s="1074"/>
      <c r="W865" s="1074"/>
      <c r="X865" s="1074"/>
      <c r="Y865" s="1074"/>
      <c r="Z865" s="1074"/>
      <c r="AA865" s="1074"/>
      <c r="AB865" s="1074"/>
      <c r="AC865" s="1074"/>
      <c r="AD865" s="1074"/>
      <c r="AE865" s="1074"/>
      <c r="AF865" s="1074"/>
      <c r="AG865" s="1074"/>
      <c r="AH865" s="1074"/>
      <c r="AI865" s="1074"/>
      <c r="AJ865" s="1074"/>
      <c r="AK865" s="1074"/>
      <c r="AL865" s="1074"/>
      <c r="AM865" s="1074"/>
      <c r="AN865" s="1074"/>
      <c r="AO865" s="1074"/>
      <c r="AP865" s="1074"/>
      <c r="AQ865" s="1074"/>
      <c r="AR865" s="1074"/>
      <c r="AS865" s="1074"/>
      <c r="AT865" s="1075"/>
    </row>
    <row r="866" ht="14.25" customHeight="1">
      <c r="A866" s="1116"/>
      <c r="B866" s="1120"/>
      <c r="C866" s="1100"/>
      <c r="D866" s="1100"/>
      <c r="E866" s="1100"/>
      <c r="F866" s="1100"/>
      <c r="G866" s="1100"/>
      <c r="H866" s="1100"/>
      <c r="I866" s="1100"/>
      <c r="J866" s="1100"/>
      <c r="K866" s="1074"/>
      <c r="L866" s="1074"/>
      <c r="M866" s="1074"/>
      <c r="N866" s="1074"/>
      <c r="O866" s="1074"/>
      <c r="P866" s="1074"/>
      <c r="Q866" s="1074"/>
      <c r="R866" s="1074"/>
      <c r="S866" s="1074"/>
      <c r="T866" s="1074"/>
      <c r="U866" s="1074"/>
      <c r="V866" s="1074"/>
      <c r="W866" s="1074"/>
      <c r="X866" s="1074"/>
      <c r="Y866" s="1074"/>
      <c r="Z866" s="1074"/>
      <c r="AA866" s="1074"/>
      <c r="AB866" s="1074"/>
      <c r="AC866" s="1074"/>
      <c r="AD866" s="1074"/>
      <c r="AE866" s="1074"/>
      <c r="AF866" s="1074"/>
      <c r="AG866" s="1074"/>
      <c r="AH866" s="1074"/>
      <c r="AI866" s="1074"/>
      <c r="AJ866" s="1074"/>
      <c r="AK866" s="1074"/>
      <c r="AL866" s="1074"/>
      <c r="AM866" s="1074"/>
      <c r="AN866" s="1074"/>
      <c r="AO866" s="1074"/>
      <c r="AP866" s="1074"/>
      <c r="AQ866" s="1074"/>
      <c r="AR866" s="1074"/>
      <c r="AS866" s="1074"/>
      <c r="AT866" s="1075"/>
    </row>
    <row r="867" ht="14.25" customHeight="1">
      <c r="A867" s="1116"/>
      <c r="B867" s="1120"/>
      <c r="C867" s="1100"/>
      <c r="D867" s="1100"/>
      <c r="E867" s="1100"/>
      <c r="F867" s="1100"/>
      <c r="G867" s="1100"/>
      <c r="H867" s="1100"/>
      <c r="I867" s="1100"/>
      <c r="J867" s="1100"/>
      <c r="K867" s="1074"/>
      <c r="L867" s="1074"/>
      <c r="M867" s="1074"/>
      <c r="N867" s="1074"/>
      <c r="O867" s="1074"/>
      <c r="P867" s="1074"/>
      <c r="Q867" s="1074"/>
      <c r="R867" s="1074"/>
      <c r="S867" s="1074"/>
      <c r="T867" s="1074"/>
      <c r="U867" s="1074"/>
      <c r="V867" s="1074"/>
      <c r="W867" s="1074"/>
      <c r="X867" s="1074"/>
      <c r="Y867" s="1074"/>
      <c r="Z867" s="1074"/>
      <c r="AA867" s="1074"/>
      <c r="AB867" s="1074"/>
      <c r="AC867" s="1074"/>
      <c r="AD867" s="1074"/>
      <c r="AE867" s="1074"/>
      <c r="AF867" s="1074"/>
      <c r="AG867" s="1074"/>
      <c r="AH867" s="1074"/>
      <c r="AI867" s="1074"/>
      <c r="AJ867" s="1074"/>
      <c r="AK867" s="1074"/>
      <c r="AL867" s="1074"/>
      <c r="AM867" s="1074"/>
      <c r="AN867" s="1074"/>
      <c r="AO867" s="1074"/>
      <c r="AP867" s="1074"/>
      <c r="AQ867" s="1074"/>
      <c r="AR867" s="1074"/>
      <c r="AS867" s="1074"/>
      <c r="AT867" s="1075"/>
    </row>
    <row r="868" ht="14.25" customHeight="1">
      <c r="A868" s="1116"/>
      <c r="B868" s="1120"/>
      <c r="C868" s="1100"/>
      <c r="D868" s="1100"/>
      <c r="E868" s="1100"/>
      <c r="F868" s="1100"/>
      <c r="G868" s="1100"/>
      <c r="H868" s="1100"/>
      <c r="I868" s="1100"/>
      <c r="J868" s="1100"/>
      <c r="K868" s="1074"/>
      <c r="L868" s="1074"/>
      <c r="M868" s="1074"/>
      <c r="N868" s="1074"/>
      <c r="O868" s="1074"/>
      <c r="P868" s="1074"/>
      <c r="Q868" s="1074"/>
      <c r="R868" s="1074"/>
      <c r="S868" s="1074"/>
      <c r="T868" s="1074"/>
      <c r="U868" s="1074"/>
      <c r="V868" s="1074"/>
      <c r="W868" s="1074"/>
      <c r="X868" s="1074"/>
      <c r="Y868" s="1074"/>
      <c r="Z868" s="1074"/>
      <c r="AA868" s="1074"/>
      <c r="AB868" s="1074"/>
      <c r="AC868" s="1074"/>
      <c r="AD868" s="1074"/>
      <c r="AE868" s="1074"/>
      <c r="AF868" s="1074"/>
      <c r="AG868" s="1074"/>
      <c r="AH868" s="1074"/>
      <c r="AI868" s="1074"/>
      <c r="AJ868" s="1074"/>
      <c r="AK868" s="1074"/>
      <c r="AL868" s="1074"/>
      <c r="AM868" s="1074"/>
      <c r="AN868" s="1074"/>
      <c r="AO868" s="1074"/>
      <c r="AP868" s="1074"/>
      <c r="AQ868" s="1074"/>
      <c r="AR868" s="1074"/>
      <c r="AS868" s="1074"/>
      <c r="AT868" s="1075"/>
    </row>
    <row r="869" ht="14.25" customHeight="1">
      <c r="A869" s="1116"/>
      <c r="B869" s="1120"/>
      <c r="C869" s="1100"/>
      <c r="D869" s="1100"/>
      <c r="E869" s="1100"/>
      <c r="F869" s="1100"/>
      <c r="G869" s="1100"/>
      <c r="H869" s="1100"/>
      <c r="I869" s="1100"/>
      <c r="J869" s="1100"/>
      <c r="K869" s="1074"/>
      <c r="L869" s="1074"/>
      <c r="M869" s="1074"/>
      <c r="N869" s="1074"/>
      <c r="O869" s="1074"/>
      <c r="P869" s="1074"/>
      <c r="Q869" s="1074"/>
      <c r="R869" s="1074"/>
      <c r="S869" s="1074"/>
      <c r="T869" s="1074"/>
      <c r="U869" s="1074"/>
      <c r="V869" s="1074"/>
      <c r="W869" s="1074"/>
      <c r="X869" s="1074"/>
      <c r="Y869" s="1074"/>
      <c r="Z869" s="1074"/>
      <c r="AA869" s="1074"/>
      <c r="AB869" s="1074"/>
      <c r="AC869" s="1074"/>
      <c r="AD869" s="1074"/>
      <c r="AE869" s="1074"/>
      <c r="AF869" s="1074"/>
      <c r="AG869" s="1074"/>
      <c r="AH869" s="1074"/>
      <c r="AI869" s="1074"/>
      <c r="AJ869" s="1074"/>
      <c r="AK869" s="1074"/>
      <c r="AL869" s="1074"/>
      <c r="AM869" s="1074"/>
      <c r="AN869" s="1074"/>
      <c r="AO869" s="1074"/>
      <c r="AP869" s="1074"/>
      <c r="AQ869" s="1074"/>
      <c r="AR869" s="1074"/>
      <c r="AS869" s="1074"/>
      <c r="AT869" s="1075"/>
    </row>
    <row r="870" ht="14.25" customHeight="1">
      <c r="A870" s="1116"/>
      <c r="B870" s="1120"/>
      <c r="C870" s="1100"/>
      <c r="D870" s="1100"/>
      <c r="E870" s="1100"/>
      <c r="F870" s="1100"/>
      <c r="G870" s="1100"/>
      <c r="H870" s="1100"/>
      <c r="I870" s="1100"/>
      <c r="J870" s="1100"/>
      <c r="K870" s="1074"/>
      <c r="L870" s="1074"/>
      <c r="M870" s="1074"/>
      <c r="N870" s="1074"/>
      <c r="O870" s="1074"/>
      <c r="P870" s="1074"/>
      <c r="Q870" s="1074"/>
      <c r="R870" s="1074"/>
      <c r="S870" s="1074"/>
      <c r="T870" s="1074"/>
      <c r="U870" s="1074"/>
      <c r="V870" s="1074"/>
      <c r="W870" s="1074"/>
      <c r="X870" s="1074"/>
      <c r="Y870" s="1074"/>
      <c r="Z870" s="1074"/>
      <c r="AA870" s="1074"/>
      <c r="AB870" s="1074"/>
      <c r="AC870" s="1074"/>
      <c r="AD870" s="1074"/>
      <c r="AE870" s="1074"/>
      <c r="AF870" s="1074"/>
      <c r="AG870" s="1074"/>
      <c r="AH870" s="1074"/>
      <c r="AI870" s="1074"/>
      <c r="AJ870" s="1074"/>
      <c r="AK870" s="1074"/>
      <c r="AL870" s="1074"/>
      <c r="AM870" s="1074"/>
      <c r="AN870" s="1074"/>
      <c r="AO870" s="1074"/>
      <c r="AP870" s="1074"/>
      <c r="AQ870" s="1074"/>
      <c r="AR870" s="1074"/>
      <c r="AS870" s="1074"/>
      <c r="AT870" s="1075"/>
    </row>
    <row r="871" ht="14.25" customHeight="1">
      <c r="A871" s="1116"/>
      <c r="B871" s="1120"/>
      <c r="C871" s="1100"/>
      <c r="D871" s="1100"/>
      <c r="E871" s="1100"/>
      <c r="F871" s="1100"/>
      <c r="G871" s="1100"/>
      <c r="H871" s="1100"/>
      <c r="I871" s="1100"/>
      <c r="J871" s="1100"/>
      <c r="K871" s="1074"/>
      <c r="L871" s="1074"/>
      <c r="M871" s="1074"/>
      <c r="N871" s="1074"/>
      <c r="O871" s="1074"/>
      <c r="P871" s="1074"/>
      <c r="Q871" s="1074"/>
      <c r="R871" s="1074"/>
      <c r="S871" s="1074"/>
      <c r="T871" s="1074"/>
      <c r="U871" s="1074"/>
      <c r="V871" s="1074"/>
      <c r="W871" s="1074"/>
      <c r="X871" s="1074"/>
      <c r="Y871" s="1074"/>
      <c r="Z871" s="1074"/>
      <c r="AA871" s="1074"/>
      <c r="AB871" s="1074"/>
      <c r="AC871" s="1074"/>
      <c r="AD871" s="1074"/>
      <c r="AE871" s="1074"/>
      <c r="AF871" s="1074"/>
      <c r="AG871" s="1074"/>
      <c r="AH871" s="1074"/>
      <c r="AI871" s="1074"/>
      <c r="AJ871" s="1074"/>
      <c r="AK871" s="1074"/>
      <c r="AL871" s="1074"/>
      <c r="AM871" s="1074"/>
      <c r="AN871" s="1074"/>
      <c r="AO871" s="1074"/>
      <c r="AP871" s="1074"/>
      <c r="AQ871" s="1074"/>
      <c r="AR871" s="1074"/>
      <c r="AS871" s="1074"/>
      <c r="AT871" s="1075"/>
    </row>
    <row r="872" ht="14.25" customHeight="1">
      <c r="A872" s="1116"/>
      <c r="B872" s="1120"/>
      <c r="C872" s="1100"/>
      <c r="D872" s="1100"/>
      <c r="E872" s="1100"/>
      <c r="F872" s="1100"/>
      <c r="G872" s="1100"/>
      <c r="H872" s="1100"/>
      <c r="I872" s="1100"/>
      <c r="J872" s="1100"/>
      <c r="K872" s="1074"/>
      <c r="L872" s="1074"/>
      <c r="M872" s="1074"/>
      <c r="N872" s="1074"/>
      <c r="O872" s="1074"/>
      <c r="P872" s="1074"/>
      <c r="Q872" s="1074"/>
      <c r="R872" s="1074"/>
      <c r="S872" s="1074"/>
      <c r="T872" s="1074"/>
      <c r="U872" s="1074"/>
      <c r="V872" s="1074"/>
      <c r="W872" s="1074"/>
      <c r="X872" s="1074"/>
      <c r="Y872" s="1074"/>
      <c r="Z872" s="1074"/>
      <c r="AA872" s="1074"/>
      <c r="AB872" s="1074"/>
      <c r="AC872" s="1074"/>
      <c r="AD872" s="1074"/>
      <c r="AE872" s="1074"/>
      <c r="AF872" s="1074"/>
      <c r="AG872" s="1074"/>
      <c r="AH872" s="1074"/>
      <c r="AI872" s="1074"/>
      <c r="AJ872" s="1074"/>
      <c r="AK872" s="1074"/>
      <c r="AL872" s="1074"/>
      <c r="AM872" s="1074"/>
      <c r="AN872" s="1074"/>
      <c r="AO872" s="1074"/>
      <c r="AP872" s="1074"/>
      <c r="AQ872" s="1074"/>
      <c r="AR872" s="1074"/>
      <c r="AS872" s="1074"/>
      <c r="AT872" s="1075"/>
    </row>
    <row r="873" ht="14.25" customHeight="1">
      <c r="A873" s="1116"/>
      <c r="B873" s="1120"/>
      <c r="C873" s="1100"/>
      <c r="D873" s="1100"/>
      <c r="E873" s="1100"/>
      <c r="F873" s="1100"/>
      <c r="G873" s="1100"/>
      <c r="H873" s="1100"/>
      <c r="I873" s="1100"/>
      <c r="J873" s="1100"/>
      <c r="K873" s="1074"/>
      <c r="L873" s="1074"/>
      <c r="M873" s="1074"/>
      <c r="N873" s="1074"/>
      <c r="O873" s="1074"/>
      <c r="P873" s="1074"/>
      <c r="Q873" s="1074"/>
      <c r="R873" s="1074"/>
      <c r="S873" s="1074"/>
      <c r="T873" s="1074"/>
      <c r="U873" s="1074"/>
      <c r="V873" s="1074"/>
      <c r="W873" s="1074"/>
      <c r="X873" s="1074"/>
      <c r="Y873" s="1074"/>
      <c r="Z873" s="1074"/>
      <c r="AA873" s="1074"/>
      <c r="AB873" s="1074"/>
      <c r="AC873" s="1074"/>
      <c r="AD873" s="1074"/>
      <c r="AE873" s="1074"/>
      <c r="AF873" s="1074"/>
      <c r="AG873" s="1074"/>
      <c r="AH873" s="1074"/>
      <c r="AI873" s="1074"/>
      <c r="AJ873" s="1074"/>
      <c r="AK873" s="1074"/>
      <c r="AL873" s="1074"/>
      <c r="AM873" s="1074"/>
      <c r="AN873" s="1074"/>
      <c r="AO873" s="1074"/>
      <c r="AP873" s="1074"/>
      <c r="AQ873" s="1074"/>
      <c r="AR873" s="1074"/>
      <c r="AS873" s="1074"/>
      <c r="AT873" s="1075"/>
    </row>
    <row r="874" ht="14.25" customHeight="1">
      <c r="A874" s="1116"/>
      <c r="B874" s="1120"/>
      <c r="C874" s="1100"/>
      <c r="D874" s="1100"/>
      <c r="E874" s="1100"/>
      <c r="F874" s="1100"/>
      <c r="G874" s="1100"/>
      <c r="H874" s="1100"/>
      <c r="I874" s="1100"/>
      <c r="J874" s="1100"/>
      <c r="K874" s="1074"/>
      <c r="L874" s="1074"/>
      <c r="M874" s="1074"/>
      <c r="N874" s="1074"/>
      <c r="O874" s="1074"/>
      <c r="P874" s="1074"/>
      <c r="Q874" s="1074"/>
      <c r="R874" s="1074"/>
      <c r="S874" s="1074"/>
      <c r="T874" s="1074"/>
      <c r="U874" s="1074"/>
      <c r="V874" s="1074"/>
      <c r="W874" s="1074"/>
      <c r="X874" s="1074"/>
      <c r="Y874" s="1074"/>
      <c r="Z874" s="1074"/>
      <c r="AA874" s="1074"/>
      <c r="AB874" s="1074"/>
      <c r="AC874" s="1074"/>
      <c r="AD874" s="1074"/>
      <c r="AE874" s="1074"/>
      <c r="AF874" s="1074"/>
      <c r="AG874" s="1074"/>
      <c r="AH874" s="1074"/>
      <c r="AI874" s="1074"/>
      <c r="AJ874" s="1074"/>
      <c r="AK874" s="1074"/>
      <c r="AL874" s="1074"/>
      <c r="AM874" s="1074"/>
      <c r="AN874" s="1074"/>
      <c r="AO874" s="1074"/>
      <c r="AP874" s="1074"/>
      <c r="AQ874" s="1074"/>
      <c r="AR874" s="1074"/>
      <c r="AS874" s="1074"/>
      <c r="AT874" s="1075"/>
    </row>
    <row r="875" ht="14.25" customHeight="1">
      <c r="A875" s="1116"/>
      <c r="B875" s="1120"/>
      <c r="C875" s="1100"/>
      <c r="D875" s="1100"/>
      <c r="E875" s="1100"/>
      <c r="F875" s="1100"/>
      <c r="G875" s="1100"/>
      <c r="H875" s="1100"/>
      <c r="I875" s="1100"/>
      <c r="J875" s="1100"/>
      <c r="K875" s="1074"/>
      <c r="L875" s="1074"/>
      <c r="M875" s="1074"/>
      <c r="N875" s="1074"/>
      <c r="O875" s="1074"/>
      <c r="P875" s="1074"/>
      <c r="Q875" s="1074"/>
      <c r="R875" s="1074"/>
      <c r="S875" s="1074"/>
      <c r="T875" s="1074"/>
      <c r="U875" s="1074"/>
      <c r="V875" s="1074"/>
      <c r="W875" s="1074"/>
      <c r="X875" s="1074"/>
      <c r="Y875" s="1074"/>
      <c r="Z875" s="1074"/>
      <c r="AA875" s="1074"/>
      <c r="AB875" s="1074"/>
      <c r="AC875" s="1074"/>
      <c r="AD875" s="1074"/>
      <c r="AE875" s="1074"/>
      <c r="AF875" s="1074"/>
      <c r="AG875" s="1074"/>
      <c r="AH875" s="1074"/>
      <c r="AI875" s="1074"/>
      <c r="AJ875" s="1074"/>
      <c r="AK875" s="1074"/>
      <c r="AL875" s="1074"/>
      <c r="AM875" s="1074"/>
      <c r="AN875" s="1074"/>
      <c r="AO875" s="1074"/>
      <c r="AP875" s="1074"/>
      <c r="AQ875" s="1074"/>
      <c r="AR875" s="1074"/>
      <c r="AS875" s="1074"/>
      <c r="AT875" s="1075"/>
    </row>
    <row r="876" ht="14.25" customHeight="1">
      <c r="A876" s="1116"/>
      <c r="B876" s="1120"/>
      <c r="C876" s="1100"/>
      <c r="D876" s="1100"/>
      <c r="E876" s="1100"/>
      <c r="F876" s="1100"/>
      <c r="G876" s="1100"/>
      <c r="H876" s="1100"/>
      <c r="I876" s="1100"/>
      <c r="J876" s="1100"/>
      <c r="K876" s="1074"/>
      <c r="L876" s="1074"/>
      <c r="M876" s="1074"/>
      <c r="N876" s="1074"/>
      <c r="O876" s="1074"/>
      <c r="P876" s="1074"/>
      <c r="Q876" s="1074"/>
      <c r="R876" s="1074"/>
      <c r="S876" s="1074"/>
      <c r="T876" s="1074"/>
      <c r="U876" s="1074"/>
      <c r="V876" s="1074"/>
      <c r="W876" s="1074"/>
      <c r="X876" s="1074"/>
      <c r="Y876" s="1074"/>
      <c r="Z876" s="1074"/>
      <c r="AA876" s="1074"/>
      <c r="AB876" s="1074"/>
      <c r="AC876" s="1074"/>
      <c r="AD876" s="1074"/>
      <c r="AE876" s="1074"/>
      <c r="AF876" s="1074"/>
      <c r="AG876" s="1074"/>
      <c r="AH876" s="1074"/>
      <c r="AI876" s="1074"/>
      <c r="AJ876" s="1074"/>
      <c r="AK876" s="1074"/>
      <c r="AL876" s="1074"/>
      <c r="AM876" s="1074"/>
      <c r="AN876" s="1074"/>
      <c r="AO876" s="1074"/>
      <c r="AP876" s="1074"/>
      <c r="AQ876" s="1074"/>
      <c r="AR876" s="1074"/>
      <c r="AS876" s="1074"/>
      <c r="AT876" s="1075"/>
    </row>
    <row r="877" ht="14.25" customHeight="1">
      <c r="A877" s="1116"/>
      <c r="B877" s="1120"/>
      <c r="C877" s="1100"/>
      <c r="D877" s="1100"/>
      <c r="E877" s="1100"/>
      <c r="F877" s="1100"/>
      <c r="G877" s="1100"/>
      <c r="H877" s="1100"/>
      <c r="I877" s="1100"/>
      <c r="J877" s="1100"/>
      <c r="K877" s="1074"/>
      <c r="L877" s="1074"/>
      <c r="M877" s="1074"/>
      <c r="N877" s="1074"/>
      <c r="O877" s="1074"/>
      <c r="P877" s="1074"/>
      <c r="Q877" s="1074"/>
      <c r="R877" s="1074"/>
      <c r="S877" s="1074"/>
      <c r="T877" s="1074"/>
      <c r="U877" s="1074"/>
      <c r="V877" s="1074"/>
      <c r="W877" s="1074"/>
      <c r="X877" s="1074"/>
      <c r="Y877" s="1074"/>
      <c r="Z877" s="1074"/>
      <c r="AA877" s="1074"/>
      <c r="AB877" s="1074"/>
      <c r="AC877" s="1074"/>
      <c r="AD877" s="1074"/>
      <c r="AE877" s="1074"/>
      <c r="AF877" s="1074"/>
      <c r="AG877" s="1074"/>
      <c r="AH877" s="1074"/>
      <c r="AI877" s="1074"/>
      <c r="AJ877" s="1074"/>
      <c r="AK877" s="1074"/>
      <c r="AL877" s="1074"/>
      <c r="AM877" s="1074"/>
      <c r="AN877" s="1074"/>
      <c r="AO877" s="1074"/>
      <c r="AP877" s="1074"/>
      <c r="AQ877" s="1074"/>
      <c r="AR877" s="1074"/>
      <c r="AS877" s="1074"/>
      <c r="AT877" s="1075"/>
    </row>
    <row r="878" ht="14.25" customHeight="1">
      <c r="A878" s="1116"/>
      <c r="B878" s="1120"/>
      <c r="C878" s="1100"/>
      <c r="D878" s="1100"/>
      <c r="E878" s="1100"/>
      <c r="F878" s="1100"/>
      <c r="G878" s="1100"/>
      <c r="H878" s="1100"/>
      <c r="I878" s="1100"/>
      <c r="J878" s="1100"/>
      <c r="K878" s="1074"/>
      <c r="L878" s="1074"/>
      <c r="M878" s="1074"/>
      <c r="N878" s="1074"/>
      <c r="O878" s="1074"/>
      <c r="P878" s="1074"/>
      <c r="Q878" s="1074"/>
      <c r="R878" s="1074"/>
      <c r="S878" s="1074"/>
      <c r="T878" s="1074"/>
      <c r="U878" s="1074"/>
      <c r="V878" s="1074"/>
      <c r="W878" s="1074"/>
      <c r="X878" s="1074"/>
      <c r="Y878" s="1074"/>
      <c r="Z878" s="1074"/>
      <c r="AA878" s="1074"/>
      <c r="AB878" s="1074"/>
      <c r="AC878" s="1074"/>
      <c r="AD878" s="1074"/>
      <c r="AE878" s="1074"/>
      <c r="AF878" s="1074"/>
      <c r="AG878" s="1074"/>
      <c r="AH878" s="1074"/>
      <c r="AI878" s="1074"/>
      <c r="AJ878" s="1074"/>
      <c r="AK878" s="1074"/>
      <c r="AL878" s="1074"/>
      <c r="AM878" s="1074"/>
      <c r="AN878" s="1074"/>
      <c r="AO878" s="1074"/>
      <c r="AP878" s="1074"/>
      <c r="AQ878" s="1074"/>
      <c r="AR878" s="1074"/>
      <c r="AS878" s="1074"/>
      <c r="AT878" s="1075"/>
    </row>
    <row r="879" ht="14.25" customHeight="1">
      <c r="A879" s="1116"/>
      <c r="B879" s="1120"/>
      <c r="C879" s="1100"/>
      <c r="D879" s="1100"/>
      <c r="E879" s="1100"/>
      <c r="F879" s="1100"/>
      <c r="G879" s="1100"/>
      <c r="H879" s="1100"/>
      <c r="I879" s="1100"/>
      <c r="J879" s="1100"/>
      <c r="K879" s="1074"/>
      <c r="L879" s="1074"/>
      <c r="M879" s="1074"/>
      <c r="N879" s="1074"/>
      <c r="O879" s="1074"/>
      <c r="P879" s="1074"/>
      <c r="Q879" s="1074"/>
      <c r="R879" s="1074"/>
      <c r="S879" s="1074"/>
      <c r="T879" s="1074"/>
      <c r="U879" s="1074"/>
      <c r="V879" s="1074"/>
      <c r="W879" s="1074"/>
      <c r="X879" s="1074"/>
      <c r="Y879" s="1074"/>
      <c r="Z879" s="1074"/>
      <c r="AA879" s="1074"/>
      <c r="AB879" s="1074"/>
      <c r="AC879" s="1074"/>
      <c r="AD879" s="1074"/>
      <c r="AE879" s="1074"/>
      <c r="AF879" s="1074"/>
      <c r="AG879" s="1074"/>
      <c r="AH879" s="1074"/>
      <c r="AI879" s="1074"/>
      <c r="AJ879" s="1074"/>
      <c r="AK879" s="1074"/>
      <c r="AL879" s="1074"/>
      <c r="AM879" s="1074"/>
      <c r="AN879" s="1074"/>
      <c r="AO879" s="1074"/>
      <c r="AP879" s="1074"/>
      <c r="AQ879" s="1074"/>
      <c r="AR879" s="1074"/>
      <c r="AS879" s="1074"/>
      <c r="AT879" s="1075"/>
    </row>
    <row r="880" ht="14.25" customHeight="1">
      <c r="A880" s="1116"/>
      <c r="B880" s="1120"/>
      <c r="C880" s="1100"/>
      <c r="D880" s="1100"/>
      <c r="E880" s="1100"/>
      <c r="F880" s="1100"/>
      <c r="G880" s="1100"/>
      <c r="H880" s="1100"/>
      <c r="I880" s="1100"/>
      <c r="J880" s="1100"/>
      <c r="K880" s="1074"/>
      <c r="L880" s="1074"/>
      <c r="M880" s="1074"/>
      <c r="N880" s="1074"/>
      <c r="O880" s="1074"/>
      <c r="P880" s="1074"/>
      <c r="Q880" s="1074"/>
      <c r="R880" s="1074"/>
      <c r="S880" s="1074"/>
      <c r="T880" s="1074"/>
      <c r="U880" s="1074"/>
      <c r="V880" s="1074"/>
      <c r="W880" s="1074"/>
      <c r="X880" s="1074"/>
      <c r="Y880" s="1074"/>
      <c r="Z880" s="1074"/>
      <c r="AA880" s="1074"/>
      <c r="AB880" s="1074"/>
      <c r="AC880" s="1074"/>
      <c r="AD880" s="1074"/>
      <c r="AE880" s="1074"/>
      <c r="AF880" s="1074"/>
      <c r="AG880" s="1074"/>
      <c r="AH880" s="1074"/>
      <c r="AI880" s="1074"/>
      <c r="AJ880" s="1074"/>
      <c r="AK880" s="1074"/>
      <c r="AL880" s="1074"/>
      <c r="AM880" s="1074"/>
      <c r="AN880" s="1074"/>
      <c r="AO880" s="1074"/>
      <c r="AP880" s="1074"/>
      <c r="AQ880" s="1074"/>
      <c r="AR880" s="1074"/>
      <c r="AS880" s="1074"/>
      <c r="AT880" s="1075"/>
    </row>
    <row r="881" ht="14.25" customHeight="1">
      <c r="A881" s="1116"/>
      <c r="B881" s="1120"/>
      <c r="C881" s="1100"/>
      <c r="D881" s="1100"/>
      <c r="E881" s="1100"/>
      <c r="F881" s="1100"/>
      <c r="G881" s="1100"/>
      <c r="H881" s="1100"/>
      <c r="I881" s="1100"/>
      <c r="J881" s="1100"/>
      <c r="K881" s="1074"/>
      <c r="L881" s="1074"/>
      <c r="M881" s="1074"/>
      <c r="N881" s="1074"/>
      <c r="O881" s="1074"/>
      <c r="P881" s="1074"/>
      <c r="Q881" s="1074"/>
      <c r="R881" s="1074"/>
      <c r="S881" s="1074"/>
      <c r="T881" s="1074"/>
      <c r="U881" s="1074"/>
      <c r="V881" s="1074"/>
      <c r="W881" s="1074"/>
      <c r="X881" s="1074"/>
      <c r="Y881" s="1074"/>
      <c r="Z881" s="1074"/>
      <c r="AA881" s="1074"/>
      <c r="AB881" s="1074"/>
      <c r="AC881" s="1074"/>
      <c r="AD881" s="1074"/>
      <c r="AE881" s="1074"/>
      <c r="AF881" s="1074"/>
      <c r="AG881" s="1074"/>
      <c r="AH881" s="1074"/>
      <c r="AI881" s="1074"/>
      <c r="AJ881" s="1074"/>
      <c r="AK881" s="1074"/>
      <c r="AL881" s="1074"/>
      <c r="AM881" s="1074"/>
      <c r="AN881" s="1074"/>
      <c r="AO881" s="1074"/>
      <c r="AP881" s="1074"/>
      <c r="AQ881" s="1074"/>
      <c r="AR881" s="1074"/>
      <c r="AS881" s="1074"/>
      <c r="AT881" s="1075"/>
    </row>
    <row r="882" ht="14.25" customHeight="1">
      <c r="A882" s="1116"/>
      <c r="B882" s="1120"/>
      <c r="C882" s="1100"/>
      <c r="D882" s="1100"/>
      <c r="E882" s="1100"/>
      <c r="F882" s="1100"/>
      <c r="G882" s="1100"/>
      <c r="H882" s="1100"/>
      <c r="I882" s="1100"/>
      <c r="J882" s="1100"/>
      <c r="K882" s="1074"/>
      <c r="L882" s="1074"/>
      <c r="M882" s="1074"/>
      <c r="N882" s="1074"/>
      <c r="O882" s="1074"/>
      <c r="P882" s="1074"/>
      <c r="Q882" s="1074"/>
      <c r="R882" s="1074"/>
      <c r="S882" s="1074"/>
      <c r="T882" s="1074"/>
      <c r="U882" s="1074"/>
      <c r="V882" s="1074"/>
      <c r="W882" s="1074"/>
      <c r="X882" s="1074"/>
      <c r="Y882" s="1074"/>
      <c r="Z882" s="1074"/>
      <c r="AA882" s="1074"/>
      <c r="AB882" s="1074"/>
      <c r="AC882" s="1074"/>
      <c r="AD882" s="1074"/>
      <c r="AE882" s="1074"/>
      <c r="AF882" s="1074"/>
      <c r="AG882" s="1074"/>
      <c r="AH882" s="1074"/>
      <c r="AI882" s="1074"/>
      <c r="AJ882" s="1074"/>
      <c r="AK882" s="1074"/>
      <c r="AL882" s="1074"/>
      <c r="AM882" s="1074"/>
      <c r="AN882" s="1074"/>
      <c r="AO882" s="1074"/>
      <c r="AP882" s="1074"/>
      <c r="AQ882" s="1074"/>
      <c r="AR882" s="1074"/>
      <c r="AS882" s="1074"/>
      <c r="AT882" s="1075"/>
    </row>
    <row r="883" ht="14.25" customHeight="1">
      <c r="A883" s="1116"/>
      <c r="B883" s="1120"/>
      <c r="C883" s="1100"/>
      <c r="D883" s="1100"/>
      <c r="E883" s="1100"/>
      <c r="F883" s="1100"/>
      <c r="G883" s="1100"/>
      <c r="H883" s="1100"/>
      <c r="I883" s="1100"/>
      <c r="J883" s="1100"/>
      <c r="K883" s="1074"/>
      <c r="L883" s="1074"/>
      <c r="M883" s="1074"/>
      <c r="N883" s="1074"/>
      <c r="O883" s="1074"/>
      <c r="P883" s="1074"/>
      <c r="Q883" s="1074"/>
      <c r="R883" s="1074"/>
      <c r="S883" s="1074"/>
      <c r="T883" s="1074"/>
      <c r="U883" s="1074"/>
      <c r="V883" s="1074"/>
      <c r="W883" s="1074"/>
      <c r="X883" s="1074"/>
      <c r="Y883" s="1074"/>
      <c r="Z883" s="1074"/>
      <c r="AA883" s="1074"/>
      <c r="AB883" s="1074"/>
      <c r="AC883" s="1074"/>
      <c r="AD883" s="1074"/>
      <c r="AE883" s="1074"/>
      <c r="AF883" s="1074"/>
      <c r="AG883" s="1074"/>
      <c r="AH883" s="1074"/>
      <c r="AI883" s="1074"/>
      <c r="AJ883" s="1074"/>
      <c r="AK883" s="1074"/>
      <c r="AL883" s="1074"/>
      <c r="AM883" s="1074"/>
      <c r="AN883" s="1074"/>
      <c r="AO883" s="1074"/>
      <c r="AP883" s="1074"/>
      <c r="AQ883" s="1074"/>
      <c r="AR883" s="1074"/>
      <c r="AS883" s="1074"/>
      <c r="AT883" s="1075"/>
    </row>
    <row r="884" ht="14.25" customHeight="1">
      <c r="A884" s="1116"/>
      <c r="B884" s="1120"/>
      <c r="C884" s="1100"/>
      <c r="D884" s="1100"/>
      <c r="E884" s="1100"/>
      <c r="F884" s="1100"/>
      <c r="G884" s="1100"/>
      <c r="H884" s="1100"/>
      <c r="I884" s="1100"/>
      <c r="J884" s="1100"/>
      <c r="K884" s="1074"/>
      <c r="L884" s="1074"/>
      <c r="M884" s="1074"/>
      <c r="N884" s="1074"/>
      <c r="O884" s="1074"/>
      <c r="P884" s="1074"/>
      <c r="Q884" s="1074"/>
      <c r="R884" s="1074"/>
      <c r="S884" s="1074"/>
      <c r="T884" s="1074"/>
      <c r="U884" s="1074"/>
      <c r="V884" s="1074"/>
      <c r="W884" s="1074"/>
      <c r="X884" s="1074"/>
      <c r="Y884" s="1074"/>
      <c r="Z884" s="1074"/>
      <c r="AA884" s="1074"/>
      <c r="AB884" s="1074"/>
      <c r="AC884" s="1074"/>
      <c r="AD884" s="1074"/>
      <c r="AE884" s="1074"/>
      <c r="AF884" s="1074"/>
      <c r="AG884" s="1074"/>
      <c r="AH884" s="1074"/>
      <c r="AI884" s="1074"/>
      <c r="AJ884" s="1074"/>
      <c r="AK884" s="1074"/>
      <c r="AL884" s="1074"/>
      <c r="AM884" s="1074"/>
      <c r="AN884" s="1074"/>
      <c r="AO884" s="1074"/>
      <c r="AP884" s="1074"/>
      <c r="AQ884" s="1074"/>
      <c r="AR884" s="1074"/>
      <c r="AS884" s="1074"/>
      <c r="AT884" s="1075"/>
    </row>
    <row r="885" ht="14.25" customHeight="1">
      <c r="A885" s="1116"/>
      <c r="B885" s="1120"/>
      <c r="C885" s="1100"/>
      <c r="D885" s="1100"/>
      <c r="E885" s="1100"/>
      <c r="F885" s="1100"/>
      <c r="G885" s="1100"/>
      <c r="H885" s="1100"/>
      <c r="I885" s="1100"/>
      <c r="J885" s="1100"/>
      <c r="K885" s="1074"/>
      <c r="L885" s="1074"/>
      <c r="M885" s="1074"/>
      <c r="N885" s="1074"/>
      <c r="O885" s="1074"/>
      <c r="P885" s="1074"/>
      <c r="Q885" s="1074"/>
      <c r="R885" s="1074"/>
      <c r="S885" s="1074"/>
      <c r="T885" s="1074"/>
      <c r="U885" s="1074"/>
      <c r="V885" s="1074"/>
      <c r="W885" s="1074"/>
      <c r="X885" s="1074"/>
      <c r="Y885" s="1074"/>
      <c r="Z885" s="1074"/>
      <c r="AA885" s="1074"/>
      <c r="AB885" s="1074"/>
      <c r="AC885" s="1074"/>
      <c r="AD885" s="1074"/>
      <c r="AE885" s="1074"/>
      <c r="AF885" s="1074"/>
      <c r="AG885" s="1074"/>
      <c r="AH885" s="1074"/>
      <c r="AI885" s="1074"/>
      <c r="AJ885" s="1074"/>
      <c r="AK885" s="1074"/>
      <c r="AL885" s="1074"/>
      <c r="AM885" s="1074"/>
      <c r="AN885" s="1074"/>
      <c r="AO885" s="1074"/>
      <c r="AP885" s="1074"/>
      <c r="AQ885" s="1074"/>
      <c r="AR885" s="1074"/>
      <c r="AS885" s="1074"/>
      <c r="AT885" s="1075"/>
    </row>
    <row r="886" ht="14.25" customHeight="1">
      <c r="A886" s="1116"/>
      <c r="B886" s="1120"/>
      <c r="C886" s="1100"/>
      <c r="D886" s="1100"/>
      <c r="E886" s="1100"/>
      <c r="F886" s="1100"/>
      <c r="G886" s="1100"/>
      <c r="H886" s="1100"/>
      <c r="I886" s="1100"/>
      <c r="J886" s="1100"/>
      <c r="K886" s="1074"/>
      <c r="L886" s="1074"/>
      <c r="M886" s="1074"/>
      <c r="N886" s="1074"/>
      <c r="O886" s="1074"/>
      <c r="P886" s="1074"/>
      <c r="Q886" s="1074"/>
      <c r="R886" s="1074"/>
      <c r="S886" s="1074"/>
      <c r="T886" s="1074"/>
      <c r="U886" s="1074"/>
      <c r="V886" s="1074"/>
      <c r="W886" s="1074"/>
      <c r="X886" s="1074"/>
      <c r="Y886" s="1074"/>
      <c r="Z886" s="1074"/>
      <c r="AA886" s="1074"/>
      <c r="AB886" s="1074"/>
      <c r="AC886" s="1074"/>
      <c r="AD886" s="1074"/>
      <c r="AE886" s="1074"/>
      <c r="AF886" s="1074"/>
      <c r="AG886" s="1074"/>
      <c r="AH886" s="1074"/>
      <c r="AI886" s="1074"/>
      <c r="AJ886" s="1074"/>
      <c r="AK886" s="1074"/>
      <c r="AL886" s="1074"/>
      <c r="AM886" s="1074"/>
      <c r="AN886" s="1074"/>
      <c r="AO886" s="1074"/>
      <c r="AP886" s="1074"/>
      <c r="AQ886" s="1074"/>
      <c r="AR886" s="1074"/>
      <c r="AS886" s="1074"/>
      <c r="AT886" s="1075"/>
    </row>
    <row r="887" ht="14.25" customHeight="1">
      <c r="A887" s="1116"/>
      <c r="B887" s="1120"/>
      <c r="C887" s="1100"/>
      <c r="D887" s="1100"/>
      <c r="E887" s="1100"/>
      <c r="F887" s="1100"/>
      <c r="G887" s="1100"/>
      <c r="H887" s="1100"/>
      <c r="I887" s="1100"/>
      <c r="J887" s="1100"/>
      <c r="K887" s="1074"/>
      <c r="L887" s="1074"/>
      <c r="M887" s="1074"/>
      <c r="N887" s="1074"/>
      <c r="O887" s="1074"/>
      <c r="P887" s="1074"/>
      <c r="Q887" s="1074"/>
      <c r="R887" s="1074"/>
      <c r="S887" s="1074"/>
      <c r="T887" s="1074"/>
      <c r="U887" s="1074"/>
      <c r="V887" s="1074"/>
      <c r="W887" s="1074"/>
      <c r="X887" s="1074"/>
      <c r="Y887" s="1074"/>
      <c r="Z887" s="1074"/>
      <c r="AA887" s="1074"/>
      <c r="AB887" s="1074"/>
      <c r="AC887" s="1074"/>
      <c r="AD887" s="1074"/>
      <c r="AE887" s="1074"/>
      <c r="AF887" s="1074"/>
      <c r="AG887" s="1074"/>
      <c r="AH887" s="1074"/>
      <c r="AI887" s="1074"/>
      <c r="AJ887" s="1074"/>
      <c r="AK887" s="1074"/>
      <c r="AL887" s="1074"/>
      <c r="AM887" s="1074"/>
      <c r="AN887" s="1074"/>
      <c r="AO887" s="1074"/>
      <c r="AP887" s="1074"/>
      <c r="AQ887" s="1074"/>
      <c r="AR887" s="1074"/>
      <c r="AS887" s="1074"/>
      <c r="AT887" s="1075"/>
    </row>
    <row r="888" ht="14.25" customHeight="1">
      <c r="A888" s="1116"/>
      <c r="B888" s="1120"/>
      <c r="C888" s="1100"/>
      <c r="D888" s="1100"/>
      <c r="E888" s="1100"/>
      <c r="F888" s="1100"/>
      <c r="G888" s="1100"/>
      <c r="H888" s="1100"/>
      <c r="I888" s="1100"/>
      <c r="J888" s="1100"/>
      <c r="K888" s="1074"/>
      <c r="L888" s="1074"/>
      <c r="M888" s="1074"/>
      <c r="N888" s="1074"/>
      <c r="O888" s="1074"/>
      <c r="P888" s="1074"/>
      <c r="Q888" s="1074"/>
      <c r="R888" s="1074"/>
      <c r="S888" s="1074"/>
      <c r="T888" s="1074"/>
      <c r="U888" s="1074"/>
      <c r="V888" s="1074"/>
      <c r="W888" s="1074"/>
      <c r="X888" s="1074"/>
      <c r="Y888" s="1074"/>
      <c r="Z888" s="1074"/>
      <c r="AA888" s="1074"/>
      <c r="AB888" s="1074"/>
      <c r="AC888" s="1074"/>
      <c r="AD888" s="1074"/>
      <c r="AE888" s="1074"/>
      <c r="AF888" s="1074"/>
      <c r="AG888" s="1074"/>
      <c r="AH888" s="1074"/>
      <c r="AI888" s="1074"/>
      <c r="AJ888" s="1074"/>
      <c r="AK888" s="1074"/>
      <c r="AL888" s="1074"/>
      <c r="AM888" s="1074"/>
      <c r="AN888" s="1074"/>
      <c r="AO888" s="1074"/>
      <c r="AP888" s="1074"/>
      <c r="AQ888" s="1074"/>
      <c r="AR888" s="1074"/>
      <c r="AS888" s="1074"/>
      <c r="AT888" s="1075"/>
    </row>
    <row r="889" ht="14.25" customHeight="1">
      <c r="A889" s="1116"/>
      <c r="B889" s="1120"/>
      <c r="C889" s="1100"/>
      <c r="D889" s="1100"/>
      <c r="E889" s="1100"/>
      <c r="F889" s="1100"/>
      <c r="G889" s="1100"/>
      <c r="H889" s="1100"/>
      <c r="I889" s="1100"/>
      <c r="J889" s="1100"/>
      <c r="K889" s="1074"/>
      <c r="L889" s="1074"/>
      <c r="M889" s="1074"/>
      <c r="N889" s="1074"/>
      <c r="O889" s="1074"/>
      <c r="P889" s="1074"/>
      <c r="Q889" s="1074"/>
      <c r="R889" s="1074"/>
      <c r="S889" s="1074"/>
      <c r="T889" s="1074"/>
      <c r="U889" s="1074"/>
      <c r="V889" s="1074"/>
      <c r="W889" s="1074"/>
      <c r="X889" s="1074"/>
      <c r="Y889" s="1074"/>
      <c r="Z889" s="1074"/>
      <c r="AA889" s="1074"/>
      <c r="AB889" s="1074"/>
      <c r="AC889" s="1074"/>
      <c r="AD889" s="1074"/>
      <c r="AE889" s="1074"/>
      <c r="AF889" s="1074"/>
      <c r="AG889" s="1074"/>
      <c r="AH889" s="1074"/>
      <c r="AI889" s="1074"/>
      <c r="AJ889" s="1074"/>
      <c r="AK889" s="1074"/>
      <c r="AL889" s="1074"/>
      <c r="AM889" s="1074"/>
      <c r="AN889" s="1074"/>
      <c r="AO889" s="1074"/>
      <c r="AP889" s="1074"/>
      <c r="AQ889" s="1074"/>
      <c r="AR889" s="1074"/>
      <c r="AS889" s="1074"/>
      <c r="AT889" s="1075"/>
    </row>
    <row r="890" ht="14.25" customHeight="1">
      <c r="A890" s="1116"/>
      <c r="B890" s="1120"/>
      <c r="C890" s="1100"/>
      <c r="D890" s="1100"/>
      <c r="E890" s="1100"/>
      <c r="F890" s="1100"/>
      <c r="G890" s="1100"/>
      <c r="H890" s="1100"/>
      <c r="I890" s="1100"/>
      <c r="J890" s="1100"/>
      <c r="K890" s="1074"/>
      <c r="L890" s="1074"/>
      <c r="M890" s="1074"/>
      <c r="N890" s="1074"/>
      <c r="O890" s="1074"/>
      <c r="P890" s="1074"/>
      <c r="Q890" s="1074"/>
      <c r="R890" s="1074"/>
      <c r="S890" s="1074"/>
      <c r="T890" s="1074"/>
      <c r="U890" s="1074"/>
      <c r="V890" s="1074"/>
      <c r="W890" s="1074"/>
      <c r="X890" s="1074"/>
      <c r="Y890" s="1074"/>
      <c r="Z890" s="1074"/>
      <c r="AA890" s="1074"/>
      <c r="AB890" s="1074"/>
      <c r="AC890" s="1074"/>
      <c r="AD890" s="1074"/>
      <c r="AE890" s="1074"/>
      <c r="AF890" s="1074"/>
      <c r="AG890" s="1074"/>
      <c r="AH890" s="1074"/>
      <c r="AI890" s="1074"/>
      <c r="AJ890" s="1074"/>
      <c r="AK890" s="1074"/>
      <c r="AL890" s="1074"/>
      <c r="AM890" s="1074"/>
      <c r="AN890" s="1074"/>
      <c r="AO890" s="1074"/>
      <c r="AP890" s="1074"/>
      <c r="AQ890" s="1074"/>
      <c r="AR890" s="1074"/>
      <c r="AS890" s="1074"/>
      <c r="AT890" s="1075"/>
    </row>
    <row r="891" ht="14.25" customHeight="1">
      <c r="A891" s="1116"/>
      <c r="B891" s="1120"/>
      <c r="C891" s="1100"/>
      <c r="D891" s="1100"/>
      <c r="E891" s="1100"/>
      <c r="F891" s="1100"/>
      <c r="G891" s="1100"/>
      <c r="H891" s="1100"/>
      <c r="I891" s="1100"/>
      <c r="J891" s="1100"/>
      <c r="K891" s="1074"/>
      <c r="L891" s="1074"/>
      <c r="M891" s="1074"/>
      <c r="N891" s="1074"/>
      <c r="O891" s="1074"/>
      <c r="P891" s="1074"/>
      <c r="Q891" s="1074"/>
      <c r="R891" s="1074"/>
      <c r="S891" s="1074"/>
      <c r="T891" s="1074"/>
      <c r="U891" s="1074"/>
      <c r="V891" s="1074"/>
      <c r="W891" s="1074"/>
      <c r="X891" s="1074"/>
      <c r="Y891" s="1074"/>
      <c r="Z891" s="1074"/>
      <c r="AA891" s="1074"/>
      <c r="AB891" s="1074"/>
      <c r="AC891" s="1074"/>
      <c r="AD891" s="1074"/>
      <c r="AE891" s="1074"/>
      <c r="AF891" s="1074"/>
      <c r="AG891" s="1074"/>
      <c r="AH891" s="1074"/>
      <c r="AI891" s="1074"/>
      <c r="AJ891" s="1074"/>
      <c r="AK891" s="1074"/>
      <c r="AL891" s="1074"/>
      <c r="AM891" s="1074"/>
      <c r="AN891" s="1074"/>
      <c r="AO891" s="1074"/>
      <c r="AP891" s="1074"/>
      <c r="AQ891" s="1074"/>
      <c r="AR891" s="1074"/>
      <c r="AS891" s="1074"/>
      <c r="AT891" s="1075"/>
    </row>
    <row r="892" ht="14.25" customHeight="1">
      <c r="A892" s="1116"/>
      <c r="B892" s="1120"/>
      <c r="C892" s="1100"/>
      <c r="D892" s="1100"/>
      <c r="E892" s="1100"/>
      <c r="F892" s="1100"/>
      <c r="G892" s="1100"/>
      <c r="H892" s="1100"/>
      <c r="I892" s="1100"/>
      <c r="J892" s="1100"/>
      <c r="K892" s="1074"/>
      <c r="L892" s="1074"/>
      <c r="M892" s="1074"/>
      <c r="N892" s="1074"/>
      <c r="O892" s="1074"/>
      <c r="P892" s="1074"/>
      <c r="Q892" s="1074"/>
      <c r="R892" s="1074"/>
      <c r="S892" s="1074"/>
      <c r="T892" s="1074"/>
      <c r="U892" s="1074"/>
      <c r="V892" s="1074"/>
      <c r="W892" s="1074"/>
      <c r="X892" s="1074"/>
      <c r="Y892" s="1074"/>
      <c r="Z892" s="1074"/>
      <c r="AA892" s="1074"/>
      <c r="AB892" s="1074"/>
      <c r="AC892" s="1074"/>
      <c r="AD892" s="1074"/>
      <c r="AE892" s="1074"/>
      <c r="AF892" s="1074"/>
      <c r="AG892" s="1074"/>
      <c r="AH892" s="1074"/>
      <c r="AI892" s="1074"/>
      <c r="AJ892" s="1074"/>
      <c r="AK892" s="1074"/>
      <c r="AL892" s="1074"/>
      <c r="AM892" s="1074"/>
      <c r="AN892" s="1074"/>
      <c r="AO892" s="1074"/>
      <c r="AP892" s="1074"/>
      <c r="AQ892" s="1074"/>
      <c r="AR892" s="1074"/>
      <c r="AS892" s="1074"/>
      <c r="AT892" s="1075"/>
    </row>
    <row r="893" ht="14.25" customHeight="1">
      <c r="A893" s="1116"/>
      <c r="B893" s="1120"/>
      <c r="C893" s="1100"/>
      <c r="D893" s="1100"/>
      <c r="E893" s="1100"/>
      <c r="F893" s="1100"/>
      <c r="G893" s="1100"/>
      <c r="H893" s="1100"/>
      <c r="I893" s="1100"/>
      <c r="J893" s="1100"/>
      <c r="K893" s="1074"/>
      <c r="L893" s="1074"/>
      <c r="M893" s="1074"/>
      <c r="N893" s="1074"/>
      <c r="O893" s="1074"/>
      <c r="P893" s="1074"/>
      <c r="Q893" s="1074"/>
      <c r="R893" s="1074"/>
      <c r="S893" s="1074"/>
      <c r="T893" s="1074"/>
      <c r="U893" s="1074"/>
      <c r="V893" s="1074"/>
      <c r="W893" s="1074"/>
      <c r="X893" s="1074"/>
      <c r="Y893" s="1074"/>
      <c r="Z893" s="1074"/>
      <c r="AA893" s="1074"/>
      <c r="AB893" s="1074"/>
      <c r="AC893" s="1074"/>
      <c r="AD893" s="1074"/>
      <c r="AE893" s="1074"/>
      <c r="AF893" s="1074"/>
      <c r="AG893" s="1074"/>
      <c r="AH893" s="1074"/>
      <c r="AI893" s="1074"/>
      <c r="AJ893" s="1074"/>
      <c r="AK893" s="1074"/>
      <c r="AL893" s="1074"/>
      <c r="AM893" s="1074"/>
      <c r="AN893" s="1074"/>
      <c r="AO893" s="1074"/>
      <c r="AP893" s="1074"/>
      <c r="AQ893" s="1074"/>
      <c r="AR893" s="1074"/>
      <c r="AS893" s="1074"/>
      <c r="AT893" s="1075"/>
    </row>
    <row r="894" ht="14.25" customHeight="1">
      <c r="A894" s="1116"/>
      <c r="B894" s="1120"/>
      <c r="C894" s="1100"/>
      <c r="D894" s="1100"/>
      <c r="E894" s="1100"/>
      <c r="F894" s="1100"/>
      <c r="G894" s="1100"/>
      <c r="H894" s="1100"/>
      <c r="I894" s="1100"/>
      <c r="J894" s="1100"/>
      <c r="K894" s="1074"/>
      <c r="L894" s="1074"/>
      <c r="M894" s="1074"/>
      <c r="N894" s="1074"/>
      <c r="O894" s="1074"/>
      <c r="P894" s="1074"/>
      <c r="Q894" s="1074"/>
      <c r="R894" s="1074"/>
      <c r="S894" s="1074"/>
      <c r="T894" s="1074"/>
      <c r="U894" s="1074"/>
      <c r="V894" s="1074"/>
      <c r="W894" s="1074"/>
      <c r="X894" s="1074"/>
      <c r="Y894" s="1074"/>
      <c r="Z894" s="1074"/>
      <c r="AA894" s="1074"/>
      <c r="AB894" s="1074"/>
      <c r="AC894" s="1074"/>
      <c r="AD894" s="1074"/>
      <c r="AE894" s="1074"/>
      <c r="AF894" s="1074"/>
      <c r="AG894" s="1074"/>
      <c r="AH894" s="1074"/>
      <c r="AI894" s="1074"/>
      <c r="AJ894" s="1074"/>
      <c r="AK894" s="1074"/>
      <c r="AL894" s="1074"/>
      <c r="AM894" s="1074"/>
      <c r="AN894" s="1074"/>
      <c r="AO894" s="1074"/>
      <c r="AP894" s="1074"/>
      <c r="AQ894" s="1074"/>
      <c r="AR894" s="1074"/>
      <c r="AS894" s="1074"/>
      <c r="AT894" s="1075"/>
    </row>
    <row r="895" ht="14.25" customHeight="1">
      <c r="A895" s="1116"/>
      <c r="B895" s="1120"/>
      <c r="C895" s="1100"/>
      <c r="D895" s="1100"/>
      <c r="E895" s="1100"/>
      <c r="F895" s="1100"/>
      <c r="G895" s="1100"/>
      <c r="H895" s="1100"/>
      <c r="I895" s="1100"/>
      <c r="J895" s="1100"/>
      <c r="K895" s="1074"/>
      <c r="L895" s="1074"/>
      <c r="M895" s="1074"/>
      <c r="N895" s="1074"/>
      <c r="O895" s="1074"/>
      <c r="P895" s="1074"/>
      <c r="Q895" s="1074"/>
      <c r="R895" s="1074"/>
      <c r="S895" s="1074"/>
      <c r="T895" s="1074"/>
      <c r="U895" s="1074"/>
      <c r="V895" s="1074"/>
      <c r="W895" s="1074"/>
      <c r="X895" s="1074"/>
      <c r="Y895" s="1074"/>
      <c r="Z895" s="1074"/>
      <c r="AA895" s="1074"/>
      <c r="AB895" s="1074"/>
      <c r="AC895" s="1074"/>
      <c r="AD895" s="1074"/>
      <c r="AE895" s="1074"/>
      <c r="AF895" s="1074"/>
      <c r="AG895" s="1074"/>
      <c r="AH895" s="1074"/>
      <c r="AI895" s="1074"/>
      <c r="AJ895" s="1074"/>
      <c r="AK895" s="1074"/>
      <c r="AL895" s="1074"/>
      <c r="AM895" s="1074"/>
      <c r="AN895" s="1074"/>
      <c r="AO895" s="1074"/>
      <c r="AP895" s="1074"/>
      <c r="AQ895" s="1074"/>
      <c r="AR895" s="1074"/>
      <c r="AS895" s="1074"/>
      <c r="AT895" s="1075"/>
    </row>
    <row r="896" ht="14.25" customHeight="1">
      <c r="A896" s="1116"/>
      <c r="B896" s="1120"/>
      <c r="C896" s="1100"/>
      <c r="D896" s="1100"/>
      <c r="E896" s="1100"/>
      <c r="F896" s="1100"/>
      <c r="G896" s="1100"/>
      <c r="H896" s="1100"/>
      <c r="I896" s="1100"/>
      <c r="J896" s="1100"/>
      <c r="K896" s="1074"/>
      <c r="L896" s="1074"/>
      <c r="M896" s="1074"/>
      <c r="N896" s="1074"/>
      <c r="O896" s="1074"/>
      <c r="P896" s="1074"/>
      <c r="Q896" s="1074"/>
      <c r="R896" s="1074"/>
      <c r="S896" s="1074"/>
      <c r="T896" s="1074"/>
      <c r="U896" s="1074"/>
      <c r="V896" s="1074"/>
      <c r="W896" s="1074"/>
      <c r="X896" s="1074"/>
      <c r="Y896" s="1074"/>
      <c r="Z896" s="1074"/>
      <c r="AA896" s="1074"/>
      <c r="AB896" s="1074"/>
      <c r="AC896" s="1074"/>
      <c r="AD896" s="1074"/>
      <c r="AE896" s="1074"/>
      <c r="AF896" s="1074"/>
      <c r="AG896" s="1074"/>
      <c r="AH896" s="1074"/>
      <c r="AI896" s="1074"/>
      <c r="AJ896" s="1074"/>
      <c r="AK896" s="1074"/>
      <c r="AL896" s="1074"/>
      <c r="AM896" s="1074"/>
      <c r="AN896" s="1074"/>
      <c r="AO896" s="1074"/>
      <c r="AP896" s="1074"/>
      <c r="AQ896" s="1074"/>
      <c r="AR896" s="1074"/>
      <c r="AS896" s="1074"/>
      <c r="AT896" s="1075"/>
    </row>
    <row r="897" ht="14.25" customHeight="1">
      <c r="A897" s="1116"/>
      <c r="B897" s="1120"/>
      <c r="C897" s="1100"/>
      <c r="D897" s="1100"/>
      <c r="E897" s="1100"/>
      <c r="F897" s="1100"/>
      <c r="G897" s="1100"/>
      <c r="H897" s="1100"/>
      <c r="I897" s="1100"/>
      <c r="J897" s="1100"/>
      <c r="K897" s="1074"/>
      <c r="L897" s="1074"/>
      <c r="M897" s="1074"/>
      <c r="N897" s="1074"/>
      <c r="O897" s="1074"/>
      <c r="P897" s="1074"/>
      <c r="Q897" s="1074"/>
      <c r="R897" s="1074"/>
      <c r="S897" s="1074"/>
      <c r="T897" s="1074"/>
      <c r="U897" s="1074"/>
      <c r="V897" s="1074"/>
      <c r="W897" s="1074"/>
      <c r="X897" s="1074"/>
      <c r="Y897" s="1074"/>
      <c r="Z897" s="1074"/>
      <c r="AA897" s="1074"/>
      <c r="AB897" s="1074"/>
      <c r="AC897" s="1074"/>
      <c r="AD897" s="1074"/>
      <c r="AE897" s="1074"/>
      <c r="AF897" s="1074"/>
      <c r="AG897" s="1074"/>
      <c r="AH897" s="1074"/>
      <c r="AI897" s="1074"/>
      <c r="AJ897" s="1074"/>
      <c r="AK897" s="1074"/>
      <c r="AL897" s="1074"/>
      <c r="AM897" s="1074"/>
      <c r="AN897" s="1074"/>
      <c r="AO897" s="1074"/>
      <c r="AP897" s="1074"/>
      <c r="AQ897" s="1074"/>
      <c r="AR897" s="1074"/>
      <c r="AS897" s="1074"/>
      <c r="AT897" s="1075"/>
    </row>
    <row r="898" ht="14.25" customHeight="1">
      <c r="A898" s="1116"/>
      <c r="B898" s="1120"/>
      <c r="C898" s="1100"/>
      <c r="D898" s="1100"/>
      <c r="E898" s="1100"/>
      <c r="F898" s="1100"/>
      <c r="G898" s="1100"/>
      <c r="H898" s="1100"/>
      <c r="I898" s="1100"/>
      <c r="J898" s="1100"/>
      <c r="K898" s="1074"/>
      <c r="L898" s="1074"/>
      <c r="M898" s="1074"/>
      <c r="N898" s="1074"/>
      <c r="O898" s="1074"/>
      <c r="P898" s="1074"/>
      <c r="Q898" s="1074"/>
      <c r="R898" s="1074"/>
      <c r="S898" s="1074"/>
      <c r="T898" s="1074"/>
      <c r="U898" s="1074"/>
      <c r="V898" s="1074"/>
      <c r="W898" s="1074"/>
      <c r="X898" s="1074"/>
      <c r="Y898" s="1074"/>
      <c r="Z898" s="1074"/>
      <c r="AA898" s="1074"/>
      <c r="AB898" s="1074"/>
      <c r="AC898" s="1074"/>
      <c r="AD898" s="1074"/>
      <c r="AE898" s="1074"/>
      <c r="AF898" s="1074"/>
      <c r="AG898" s="1074"/>
      <c r="AH898" s="1074"/>
      <c r="AI898" s="1074"/>
      <c r="AJ898" s="1074"/>
      <c r="AK898" s="1074"/>
      <c r="AL898" s="1074"/>
      <c r="AM898" s="1074"/>
      <c r="AN898" s="1074"/>
      <c r="AO898" s="1074"/>
      <c r="AP898" s="1074"/>
      <c r="AQ898" s="1074"/>
      <c r="AR898" s="1074"/>
      <c r="AS898" s="1074"/>
      <c r="AT898" s="1075"/>
    </row>
    <row r="899" ht="14.25" customHeight="1">
      <c r="A899" s="1116"/>
      <c r="B899" s="1120"/>
      <c r="C899" s="1100"/>
      <c r="D899" s="1100"/>
      <c r="E899" s="1100"/>
      <c r="F899" s="1100"/>
      <c r="G899" s="1100"/>
      <c r="H899" s="1100"/>
      <c r="I899" s="1100"/>
      <c r="J899" s="1100"/>
      <c r="K899" s="1074"/>
      <c r="L899" s="1074"/>
      <c r="M899" s="1074"/>
      <c r="N899" s="1074"/>
      <c r="O899" s="1074"/>
      <c r="P899" s="1074"/>
      <c r="Q899" s="1074"/>
      <c r="R899" s="1074"/>
      <c r="S899" s="1074"/>
      <c r="T899" s="1074"/>
      <c r="U899" s="1074"/>
      <c r="V899" s="1074"/>
      <c r="W899" s="1074"/>
      <c r="X899" s="1074"/>
      <c r="Y899" s="1074"/>
      <c r="Z899" s="1074"/>
      <c r="AA899" s="1074"/>
      <c r="AB899" s="1074"/>
      <c r="AC899" s="1074"/>
      <c r="AD899" s="1074"/>
      <c r="AE899" s="1074"/>
      <c r="AF899" s="1074"/>
      <c r="AG899" s="1074"/>
      <c r="AH899" s="1074"/>
      <c r="AI899" s="1074"/>
      <c r="AJ899" s="1074"/>
      <c r="AK899" s="1074"/>
      <c r="AL899" s="1074"/>
      <c r="AM899" s="1074"/>
      <c r="AN899" s="1074"/>
      <c r="AO899" s="1074"/>
      <c r="AP899" s="1074"/>
      <c r="AQ899" s="1074"/>
      <c r="AR899" s="1074"/>
      <c r="AS899" s="1074"/>
      <c r="AT899" s="1075"/>
    </row>
    <row r="900" ht="14.25" customHeight="1">
      <c r="A900" s="1116"/>
      <c r="B900" s="1120"/>
      <c r="C900" s="1100"/>
      <c r="D900" s="1100"/>
      <c r="E900" s="1100"/>
      <c r="F900" s="1100"/>
      <c r="G900" s="1100"/>
      <c r="H900" s="1100"/>
      <c r="I900" s="1100"/>
      <c r="J900" s="1100"/>
      <c r="K900" s="1074"/>
      <c r="L900" s="1074"/>
      <c r="M900" s="1074"/>
      <c r="N900" s="1074"/>
      <c r="O900" s="1074"/>
      <c r="P900" s="1074"/>
      <c r="Q900" s="1074"/>
      <c r="R900" s="1074"/>
      <c r="S900" s="1074"/>
      <c r="T900" s="1074"/>
      <c r="U900" s="1074"/>
      <c r="V900" s="1074"/>
      <c r="W900" s="1074"/>
      <c r="X900" s="1074"/>
      <c r="Y900" s="1074"/>
      <c r="Z900" s="1074"/>
      <c r="AA900" s="1074"/>
      <c r="AB900" s="1074"/>
      <c r="AC900" s="1074"/>
      <c r="AD900" s="1074"/>
      <c r="AE900" s="1074"/>
      <c r="AF900" s="1074"/>
      <c r="AG900" s="1074"/>
      <c r="AH900" s="1074"/>
      <c r="AI900" s="1074"/>
      <c r="AJ900" s="1074"/>
      <c r="AK900" s="1074"/>
      <c r="AL900" s="1074"/>
      <c r="AM900" s="1074"/>
      <c r="AN900" s="1074"/>
      <c r="AO900" s="1074"/>
      <c r="AP900" s="1074"/>
      <c r="AQ900" s="1074"/>
      <c r="AR900" s="1074"/>
      <c r="AS900" s="1074"/>
      <c r="AT900" s="1075"/>
    </row>
    <row r="901" ht="14.25" customHeight="1">
      <c r="A901" s="1116"/>
      <c r="B901" s="1120"/>
      <c r="C901" s="1100"/>
      <c r="D901" s="1100"/>
      <c r="E901" s="1100"/>
      <c r="F901" s="1100"/>
      <c r="G901" s="1100"/>
      <c r="H901" s="1100"/>
      <c r="I901" s="1100"/>
      <c r="J901" s="1100"/>
      <c r="K901" s="1074"/>
      <c r="L901" s="1074"/>
      <c r="M901" s="1074"/>
      <c r="N901" s="1074"/>
      <c r="O901" s="1074"/>
      <c r="P901" s="1074"/>
      <c r="Q901" s="1074"/>
      <c r="R901" s="1074"/>
      <c r="S901" s="1074"/>
      <c r="T901" s="1074"/>
      <c r="U901" s="1074"/>
      <c r="V901" s="1074"/>
      <c r="W901" s="1074"/>
      <c r="X901" s="1074"/>
      <c r="Y901" s="1074"/>
      <c r="Z901" s="1074"/>
      <c r="AA901" s="1074"/>
      <c r="AB901" s="1074"/>
      <c r="AC901" s="1074"/>
      <c r="AD901" s="1074"/>
      <c r="AE901" s="1074"/>
      <c r="AF901" s="1074"/>
      <c r="AG901" s="1074"/>
      <c r="AH901" s="1074"/>
      <c r="AI901" s="1074"/>
      <c r="AJ901" s="1074"/>
      <c r="AK901" s="1074"/>
      <c r="AL901" s="1074"/>
      <c r="AM901" s="1074"/>
      <c r="AN901" s="1074"/>
      <c r="AO901" s="1074"/>
      <c r="AP901" s="1074"/>
      <c r="AQ901" s="1074"/>
      <c r="AR901" s="1074"/>
      <c r="AS901" s="1074"/>
      <c r="AT901" s="1075"/>
    </row>
    <row r="902" ht="14.25" customHeight="1">
      <c r="A902" s="1116"/>
      <c r="B902" s="1120"/>
      <c r="C902" s="1100"/>
      <c r="D902" s="1100"/>
      <c r="E902" s="1100"/>
      <c r="F902" s="1100"/>
      <c r="G902" s="1100"/>
      <c r="H902" s="1100"/>
      <c r="I902" s="1100"/>
      <c r="J902" s="1100"/>
      <c r="K902" s="1074"/>
      <c r="L902" s="1074"/>
      <c r="M902" s="1074"/>
      <c r="N902" s="1074"/>
      <c r="O902" s="1074"/>
      <c r="P902" s="1074"/>
      <c r="Q902" s="1074"/>
      <c r="R902" s="1074"/>
      <c r="S902" s="1074"/>
      <c r="T902" s="1074"/>
      <c r="U902" s="1074"/>
      <c r="V902" s="1074"/>
      <c r="W902" s="1074"/>
      <c r="X902" s="1074"/>
      <c r="Y902" s="1074"/>
      <c r="Z902" s="1074"/>
      <c r="AA902" s="1074"/>
      <c r="AB902" s="1074"/>
      <c r="AC902" s="1074"/>
      <c r="AD902" s="1074"/>
      <c r="AE902" s="1074"/>
      <c r="AF902" s="1074"/>
      <c r="AG902" s="1074"/>
      <c r="AH902" s="1074"/>
      <c r="AI902" s="1074"/>
      <c r="AJ902" s="1074"/>
      <c r="AK902" s="1074"/>
      <c r="AL902" s="1074"/>
      <c r="AM902" s="1074"/>
      <c r="AN902" s="1074"/>
      <c r="AO902" s="1074"/>
      <c r="AP902" s="1074"/>
      <c r="AQ902" s="1074"/>
      <c r="AR902" s="1074"/>
      <c r="AS902" s="1074"/>
      <c r="AT902" s="1075"/>
    </row>
    <row r="903" ht="14.25" customHeight="1">
      <c r="A903" s="1116"/>
      <c r="B903" s="1120"/>
      <c r="C903" s="1100"/>
      <c r="D903" s="1100"/>
      <c r="E903" s="1100"/>
      <c r="F903" s="1100"/>
      <c r="G903" s="1100"/>
      <c r="H903" s="1100"/>
      <c r="I903" s="1100"/>
      <c r="J903" s="1100"/>
      <c r="K903" s="1074"/>
      <c r="L903" s="1074"/>
      <c r="M903" s="1074"/>
      <c r="N903" s="1074"/>
      <c r="O903" s="1074"/>
      <c r="P903" s="1074"/>
      <c r="Q903" s="1074"/>
      <c r="R903" s="1074"/>
      <c r="S903" s="1074"/>
      <c r="T903" s="1074"/>
      <c r="U903" s="1074"/>
      <c r="V903" s="1074"/>
      <c r="W903" s="1074"/>
      <c r="X903" s="1074"/>
      <c r="Y903" s="1074"/>
      <c r="Z903" s="1074"/>
      <c r="AA903" s="1074"/>
      <c r="AB903" s="1074"/>
      <c r="AC903" s="1074"/>
      <c r="AD903" s="1074"/>
      <c r="AE903" s="1074"/>
      <c r="AF903" s="1074"/>
      <c r="AG903" s="1074"/>
      <c r="AH903" s="1074"/>
      <c r="AI903" s="1074"/>
      <c r="AJ903" s="1074"/>
      <c r="AK903" s="1074"/>
      <c r="AL903" s="1074"/>
      <c r="AM903" s="1074"/>
      <c r="AN903" s="1074"/>
      <c r="AO903" s="1074"/>
      <c r="AP903" s="1074"/>
      <c r="AQ903" s="1074"/>
      <c r="AR903" s="1074"/>
      <c r="AS903" s="1074"/>
      <c r="AT903" s="1075"/>
    </row>
    <row r="904" ht="14.25" customHeight="1">
      <c r="A904" s="1116"/>
      <c r="B904" s="1120"/>
      <c r="C904" s="1100"/>
      <c r="D904" s="1100"/>
      <c r="E904" s="1100"/>
      <c r="F904" s="1100"/>
      <c r="G904" s="1100"/>
      <c r="H904" s="1100"/>
      <c r="I904" s="1100"/>
      <c r="J904" s="1100"/>
      <c r="K904" s="1074"/>
      <c r="L904" s="1074"/>
      <c r="M904" s="1074"/>
      <c r="N904" s="1074"/>
      <c r="O904" s="1074"/>
      <c r="P904" s="1074"/>
      <c r="Q904" s="1074"/>
      <c r="R904" s="1074"/>
      <c r="S904" s="1074"/>
      <c r="T904" s="1074"/>
      <c r="U904" s="1074"/>
      <c r="V904" s="1074"/>
      <c r="W904" s="1074"/>
      <c r="X904" s="1074"/>
      <c r="Y904" s="1074"/>
      <c r="Z904" s="1074"/>
      <c r="AA904" s="1074"/>
      <c r="AB904" s="1074"/>
      <c r="AC904" s="1074"/>
      <c r="AD904" s="1074"/>
      <c r="AE904" s="1074"/>
      <c r="AF904" s="1074"/>
      <c r="AG904" s="1074"/>
      <c r="AH904" s="1074"/>
      <c r="AI904" s="1074"/>
      <c r="AJ904" s="1074"/>
      <c r="AK904" s="1074"/>
      <c r="AL904" s="1074"/>
      <c r="AM904" s="1074"/>
      <c r="AN904" s="1074"/>
      <c r="AO904" s="1074"/>
      <c r="AP904" s="1074"/>
      <c r="AQ904" s="1074"/>
      <c r="AR904" s="1074"/>
      <c r="AS904" s="1074"/>
      <c r="AT904" s="1075"/>
    </row>
    <row r="905" ht="14.25" customHeight="1">
      <c r="A905" s="1116"/>
      <c r="B905" s="1120"/>
      <c r="C905" s="1100"/>
      <c r="D905" s="1100"/>
      <c r="E905" s="1100"/>
      <c r="F905" s="1100"/>
      <c r="G905" s="1100"/>
      <c r="H905" s="1100"/>
      <c r="I905" s="1100"/>
      <c r="J905" s="1100"/>
      <c r="K905" s="1074"/>
      <c r="L905" s="1074"/>
      <c r="M905" s="1074"/>
      <c r="N905" s="1074"/>
      <c r="O905" s="1074"/>
      <c r="P905" s="1074"/>
      <c r="Q905" s="1074"/>
      <c r="R905" s="1074"/>
      <c r="S905" s="1074"/>
      <c r="T905" s="1074"/>
      <c r="U905" s="1074"/>
      <c r="V905" s="1074"/>
      <c r="W905" s="1074"/>
      <c r="X905" s="1074"/>
      <c r="Y905" s="1074"/>
      <c r="Z905" s="1074"/>
      <c r="AA905" s="1074"/>
      <c r="AB905" s="1074"/>
      <c r="AC905" s="1074"/>
      <c r="AD905" s="1074"/>
      <c r="AE905" s="1074"/>
      <c r="AF905" s="1074"/>
      <c r="AG905" s="1074"/>
      <c r="AH905" s="1074"/>
      <c r="AI905" s="1074"/>
      <c r="AJ905" s="1074"/>
      <c r="AK905" s="1074"/>
      <c r="AL905" s="1074"/>
      <c r="AM905" s="1074"/>
      <c r="AN905" s="1074"/>
      <c r="AO905" s="1074"/>
      <c r="AP905" s="1074"/>
      <c r="AQ905" s="1074"/>
      <c r="AR905" s="1074"/>
      <c r="AS905" s="1074"/>
      <c r="AT905" s="1075"/>
    </row>
    <row r="906" ht="14.25" customHeight="1">
      <c r="A906" s="1116"/>
      <c r="B906" s="1120"/>
      <c r="C906" s="1100"/>
      <c r="D906" s="1100"/>
      <c r="E906" s="1100"/>
      <c r="F906" s="1100"/>
      <c r="G906" s="1100"/>
      <c r="H906" s="1100"/>
      <c r="I906" s="1100"/>
      <c r="J906" s="1100"/>
      <c r="K906" s="1074"/>
      <c r="L906" s="1074"/>
      <c r="M906" s="1074"/>
      <c r="N906" s="1074"/>
      <c r="O906" s="1074"/>
      <c r="P906" s="1074"/>
      <c r="Q906" s="1074"/>
      <c r="R906" s="1074"/>
      <c r="S906" s="1074"/>
      <c r="T906" s="1074"/>
      <c r="U906" s="1074"/>
      <c r="V906" s="1074"/>
      <c r="W906" s="1074"/>
      <c r="X906" s="1074"/>
      <c r="Y906" s="1074"/>
      <c r="Z906" s="1074"/>
      <c r="AA906" s="1074"/>
      <c r="AB906" s="1074"/>
      <c r="AC906" s="1074"/>
      <c r="AD906" s="1074"/>
      <c r="AE906" s="1074"/>
      <c r="AF906" s="1074"/>
      <c r="AG906" s="1074"/>
      <c r="AH906" s="1074"/>
      <c r="AI906" s="1074"/>
      <c r="AJ906" s="1074"/>
      <c r="AK906" s="1074"/>
      <c r="AL906" s="1074"/>
      <c r="AM906" s="1074"/>
      <c r="AN906" s="1074"/>
      <c r="AO906" s="1074"/>
      <c r="AP906" s="1074"/>
      <c r="AQ906" s="1074"/>
      <c r="AR906" s="1074"/>
      <c r="AS906" s="1074"/>
      <c r="AT906" s="1075"/>
    </row>
    <row r="907" ht="14.25" customHeight="1">
      <c r="A907" s="1116"/>
      <c r="B907" s="1120"/>
      <c r="C907" s="1100"/>
      <c r="D907" s="1100"/>
      <c r="E907" s="1100"/>
      <c r="F907" s="1100"/>
      <c r="G907" s="1100"/>
      <c r="H907" s="1100"/>
      <c r="I907" s="1100"/>
      <c r="J907" s="1100"/>
      <c r="K907" s="1074"/>
      <c r="L907" s="1074"/>
      <c r="M907" s="1074"/>
      <c r="N907" s="1074"/>
      <c r="O907" s="1074"/>
      <c r="P907" s="1074"/>
      <c r="Q907" s="1074"/>
      <c r="R907" s="1074"/>
      <c r="S907" s="1074"/>
      <c r="T907" s="1074"/>
      <c r="U907" s="1074"/>
      <c r="V907" s="1074"/>
      <c r="W907" s="1074"/>
      <c r="X907" s="1074"/>
      <c r="Y907" s="1074"/>
      <c r="Z907" s="1074"/>
      <c r="AA907" s="1074"/>
      <c r="AB907" s="1074"/>
      <c r="AC907" s="1074"/>
      <c r="AD907" s="1074"/>
      <c r="AE907" s="1074"/>
      <c r="AF907" s="1074"/>
      <c r="AG907" s="1074"/>
      <c r="AH907" s="1074"/>
      <c r="AI907" s="1074"/>
      <c r="AJ907" s="1074"/>
      <c r="AK907" s="1074"/>
      <c r="AL907" s="1074"/>
      <c r="AM907" s="1074"/>
      <c r="AN907" s="1074"/>
      <c r="AO907" s="1074"/>
      <c r="AP907" s="1074"/>
      <c r="AQ907" s="1074"/>
      <c r="AR907" s="1074"/>
      <c r="AS907" s="1074"/>
      <c r="AT907" s="1075"/>
    </row>
    <row r="908" ht="14.25" customHeight="1">
      <c r="A908" s="1116"/>
      <c r="B908" s="1120"/>
      <c r="C908" s="1100"/>
      <c r="D908" s="1100"/>
      <c r="E908" s="1100"/>
      <c r="F908" s="1100"/>
      <c r="G908" s="1100"/>
      <c r="H908" s="1100"/>
      <c r="I908" s="1100"/>
      <c r="J908" s="1100"/>
      <c r="K908" s="1074"/>
      <c r="L908" s="1074"/>
      <c r="M908" s="1074"/>
      <c r="N908" s="1074"/>
      <c r="O908" s="1074"/>
      <c r="P908" s="1074"/>
      <c r="Q908" s="1074"/>
      <c r="R908" s="1074"/>
      <c r="S908" s="1074"/>
      <c r="T908" s="1074"/>
      <c r="U908" s="1074"/>
      <c r="V908" s="1074"/>
      <c r="W908" s="1074"/>
      <c r="X908" s="1074"/>
      <c r="Y908" s="1074"/>
      <c r="Z908" s="1074"/>
      <c r="AA908" s="1074"/>
      <c r="AB908" s="1074"/>
      <c r="AC908" s="1074"/>
      <c r="AD908" s="1074"/>
      <c r="AE908" s="1074"/>
      <c r="AF908" s="1074"/>
      <c r="AG908" s="1074"/>
      <c r="AH908" s="1074"/>
      <c r="AI908" s="1074"/>
      <c r="AJ908" s="1074"/>
      <c r="AK908" s="1074"/>
      <c r="AL908" s="1074"/>
      <c r="AM908" s="1074"/>
      <c r="AN908" s="1074"/>
      <c r="AO908" s="1074"/>
      <c r="AP908" s="1074"/>
      <c r="AQ908" s="1074"/>
      <c r="AR908" s="1074"/>
      <c r="AS908" s="1074"/>
      <c r="AT908" s="1075"/>
    </row>
    <row r="909" ht="14.25" customHeight="1">
      <c r="A909" s="1116"/>
      <c r="B909" s="1120"/>
      <c r="C909" s="1100"/>
      <c r="D909" s="1100"/>
      <c r="E909" s="1100"/>
      <c r="F909" s="1100"/>
      <c r="G909" s="1100"/>
      <c r="H909" s="1100"/>
      <c r="I909" s="1100"/>
      <c r="J909" s="1100"/>
      <c r="K909" s="1074"/>
      <c r="L909" s="1074"/>
      <c r="M909" s="1074"/>
      <c r="N909" s="1074"/>
      <c r="O909" s="1074"/>
      <c r="P909" s="1074"/>
      <c r="Q909" s="1074"/>
      <c r="R909" s="1074"/>
      <c r="S909" s="1074"/>
      <c r="T909" s="1074"/>
      <c r="U909" s="1074"/>
      <c r="V909" s="1074"/>
      <c r="W909" s="1074"/>
      <c r="X909" s="1074"/>
      <c r="Y909" s="1074"/>
      <c r="Z909" s="1074"/>
      <c r="AA909" s="1074"/>
      <c r="AB909" s="1074"/>
      <c r="AC909" s="1074"/>
      <c r="AD909" s="1074"/>
      <c r="AE909" s="1074"/>
      <c r="AF909" s="1074"/>
      <c r="AG909" s="1074"/>
      <c r="AH909" s="1074"/>
      <c r="AI909" s="1074"/>
      <c r="AJ909" s="1074"/>
      <c r="AK909" s="1074"/>
      <c r="AL909" s="1074"/>
      <c r="AM909" s="1074"/>
      <c r="AN909" s="1074"/>
      <c r="AO909" s="1074"/>
      <c r="AP909" s="1074"/>
      <c r="AQ909" s="1074"/>
      <c r="AR909" s="1074"/>
      <c r="AS909" s="1074"/>
      <c r="AT909" s="1075"/>
    </row>
    <row r="910" ht="14.25" customHeight="1">
      <c r="A910" s="1116"/>
      <c r="B910" s="1120"/>
      <c r="C910" s="1100"/>
      <c r="D910" s="1100"/>
      <c r="E910" s="1100"/>
      <c r="F910" s="1100"/>
      <c r="G910" s="1100"/>
      <c r="H910" s="1100"/>
      <c r="I910" s="1100"/>
      <c r="J910" s="1100"/>
      <c r="K910" s="1074"/>
      <c r="L910" s="1074"/>
      <c r="M910" s="1074"/>
      <c r="N910" s="1074"/>
      <c r="O910" s="1074"/>
      <c r="P910" s="1074"/>
      <c r="Q910" s="1074"/>
      <c r="R910" s="1074"/>
      <c r="S910" s="1074"/>
      <c r="T910" s="1074"/>
      <c r="U910" s="1074"/>
      <c r="V910" s="1074"/>
      <c r="W910" s="1074"/>
      <c r="X910" s="1074"/>
      <c r="Y910" s="1074"/>
      <c r="Z910" s="1074"/>
      <c r="AA910" s="1074"/>
      <c r="AB910" s="1074"/>
      <c r="AC910" s="1074"/>
      <c r="AD910" s="1074"/>
      <c r="AE910" s="1074"/>
      <c r="AF910" s="1074"/>
      <c r="AG910" s="1074"/>
      <c r="AH910" s="1074"/>
      <c r="AI910" s="1074"/>
      <c r="AJ910" s="1074"/>
      <c r="AK910" s="1074"/>
      <c r="AL910" s="1074"/>
      <c r="AM910" s="1074"/>
      <c r="AN910" s="1074"/>
      <c r="AO910" s="1074"/>
      <c r="AP910" s="1074"/>
      <c r="AQ910" s="1074"/>
      <c r="AR910" s="1074"/>
      <c r="AS910" s="1074"/>
      <c r="AT910" s="1075"/>
    </row>
    <row r="911" ht="14.25" customHeight="1">
      <c r="A911" s="1116"/>
      <c r="B911" s="1120"/>
      <c r="C911" s="1100"/>
      <c r="D911" s="1100"/>
      <c r="E911" s="1100"/>
      <c r="F911" s="1100"/>
      <c r="G911" s="1100"/>
      <c r="H911" s="1100"/>
      <c r="I911" s="1100"/>
      <c r="J911" s="1100"/>
      <c r="K911" s="1074"/>
      <c r="L911" s="1074"/>
      <c r="M911" s="1074"/>
      <c r="N911" s="1074"/>
      <c r="O911" s="1074"/>
      <c r="P911" s="1074"/>
      <c r="Q911" s="1074"/>
      <c r="R911" s="1074"/>
      <c r="S911" s="1074"/>
      <c r="T911" s="1074"/>
      <c r="U911" s="1074"/>
      <c r="V911" s="1074"/>
      <c r="W911" s="1074"/>
      <c r="X911" s="1074"/>
      <c r="Y911" s="1074"/>
      <c r="Z911" s="1074"/>
      <c r="AA911" s="1074"/>
      <c r="AB911" s="1074"/>
      <c r="AC911" s="1074"/>
      <c r="AD911" s="1074"/>
      <c r="AE911" s="1074"/>
      <c r="AF911" s="1074"/>
      <c r="AG911" s="1074"/>
      <c r="AH911" s="1074"/>
      <c r="AI911" s="1074"/>
      <c r="AJ911" s="1074"/>
      <c r="AK911" s="1074"/>
      <c r="AL911" s="1074"/>
      <c r="AM911" s="1074"/>
      <c r="AN911" s="1074"/>
      <c r="AO911" s="1074"/>
      <c r="AP911" s="1074"/>
      <c r="AQ911" s="1074"/>
      <c r="AR911" s="1074"/>
      <c r="AS911" s="1074"/>
      <c r="AT911" s="1075"/>
    </row>
    <row r="912" ht="14.25" customHeight="1">
      <c r="A912" s="1116"/>
      <c r="B912" s="1120"/>
      <c r="C912" s="1100"/>
      <c r="D912" s="1100"/>
      <c r="E912" s="1100"/>
      <c r="F912" s="1100"/>
      <c r="G912" s="1100"/>
      <c r="H912" s="1100"/>
      <c r="I912" s="1100"/>
      <c r="J912" s="1100"/>
      <c r="K912" s="1074"/>
      <c r="L912" s="1074"/>
      <c r="M912" s="1074"/>
      <c r="N912" s="1074"/>
      <c r="O912" s="1074"/>
      <c r="P912" s="1074"/>
      <c r="Q912" s="1074"/>
      <c r="R912" s="1074"/>
      <c r="S912" s="1074"/>
      <c r="T912" s="1074"/>
      <c r="U912" s="1074"/>
      <c r="V912" s="1074"/>
      <c r="W912" s="1074"/>
      <c r="X912" s="1074"/>
      <c r="Y912" s="1074"/>
      <c r="Z912" s="1074"/>
      <c r="AA912" s="1074"/>
      <c r="AB912" s="1074"/>
      <c r="AC912" s="1074"/>
      <c r="AD912" s="1074"/>
      <c r="AE912" s="1074"/>
      <c r="AF912" s="1074"/>
      <c r="AG912" s="1074"/>
      <c r="AH912" s="1074"/>
      <c r="AI912" s="1074"/>
      <c r="AJ912" s="1074"/>
      <c r="AK912" s="1074"/>
      <c r="AL912" s="1074"/>
      <c r="AM912" s="1074"/>
      <c r="AN912" s="1074"/>
      <c r="AO912" s="1074"/>
      <c r="AP912" s="1074"/>
      <c r="AQ912" s="1074"/>
      <c r="AR912" s="1074"/>
      <c r="AS912" s="1074"/>
      <c r="AT912" s="1075"/>
    </row>
    <row r="913" ht="14.25" customHeight="1">
      <c r="A913" s="1116"/>
      <c r="B913" s="1120"/>
      <c r="C913" s="1100"/>
      <c r="D913" s="1100"/>
      <c r="E913" s="1100"/>
      <c r="F913" s="1100"/>
      <c r="G913" s="1100"/>
      <c r="H913" s="1100"/>
      <c r="I913" s="1100"/>
      <c r="J913" s="1100"/>
      <c r="K913" s="1074"/>
      <c r="L913" s="1074"/>
      <c r="M913" s="1074"/>
      <c r="N913" s="1074"/>
      <c r="O913" s="1074"/>
      <c r="P913" s="1074"/>
      <c r="Q913" s="1074"/>
      <c r="R913" s="1074"/>
      <c r="S913" s="1074"/>
      <c r="T913" s="1074"/>
      <c r="U913" s="1074"/>
      <c r="V913" s="1074"/>
      <c r="W913" s="1074"/>
      <c r="X913" s="1074"/>
      <c r="Y913" s="1074"/>
      <c r="Z913" s="1074"/>
      <c r="AA913" s="1074"/>
      <c r="AB913" s="1074"/>
      <c r="AC913" s="1074"/>
      <c r="AD913" s="1074"/>
      <c r="AE913" s="1074"/>
      <c r="AF913" s="1074"/>
      <c r="AG913" s="1074"/>
      <c r="AH913" s="1074"/>
      <c r="AI913" s="1074"/>
      <c r="AJ913" s="1074"/>
      <c r="AK913" s="1074"/>
      <c r="AL913" s="1074"/>
      <c r="AM913" s="1074"/>
      <c r="AN913" s="1074"/>
      <c r="AO913" s="1074"/>
      <c r="AP913" s="1074"/>
      <c r="AQ913" s="1074"/>
      <c r="AR913" s="1074"/>
      <c r="AS913" s="1074"/>
      <c r="AT913" s="1075"/>
    </row>
    <row r="914" ht="14.25" customHeight="1">
      <c r="A914" s="1116"/>
      <c r="B914" s="1120"/>
      <c r="C914" s="1100"/>
      <c r="D914" s="1100"/>
      <c r="E914" s="1100"/>
      <c r="F914" s="1100"/>
      <c r="G914" s="1100"/>
      <c r="H914" s="1100"/>
      <c r="I914" s="1100"/>
      <c r="J914" s="1100"/>
      <c r="K914" s="1074"/>
      <c r="L914" s="1074"/>
      <c r="M914" s="1074"/>
      <c r="N914" s="1074"/>
      <c r="O914" s="1074"/>
      <c r="P914" s="1074"/>
      <c r="Q914" s="1074"/>
      <c r="R914" s="1074"/>
      <c r="S914" s="1074"/>
      <c r="T914" s="1074"/>
      <c r="U914" s="1074"/>
      <c r="V914" s="1074"/>
      <c r="W914" s="1074"/>
      <c r="X914" s="1074"/>
      <c r="Y914" s="1074"/>
      <c r="Z914" s="1074"/>
      <c r="AA914" s="1074"/>
      <c r="AB914" s="1074"/>
      <c r="AC914" s="1074"/>
      <c r="AD914" s="1074"/>
      <c r="AE914" s="1074"/>
      <c r="AF914" s="1074"/>
      <c r="AG914" s="1074"/>
      <c r="AH914" s="1074"/>
      <c r="AI914" s="1074"/>
      <c r="AJ914" s="1074"/>
      <c r="AK914" s="1074"/>
      <c r="AL914" s="1074"/>
      <c r="AM914" s="1074"/>
      <c r="AN914" s="1074"/>
      <c r="AO914" s="1074"/>
      <c r="AP914" s="1074"/>
      <c r="AQ914" s="1074"/>
      <c r="AR914" s="1074"/>
      <c r="AS914" s="1074"/>
      <c r="AT914" s="1075"/>
    </row>
    <row r="915" ht="14.25" customHeight="1">
      <c r="A915" s="1116"/>
      <c r="B915" s="1120"/>
      <c r="C915" s="1100"/>
      <c r="D915" s="1100"/>
      <c r="E915" s="1100"/>
      <c r="F915" s="1100"/>
      <c r="G915" s="1100"/>
      <c r="H915" s="1100"/>
      <c r="I915" s="1100"/>
      <c r="J915" s="1100"/>
      <c r="K915" s="1074"/>
      <c r="L915" s="1074"/>
      <c r="M915" s="1074"/>
      <c r="N915" s="1074"/>
      <c r="O915" s="1074"/>
      <c r="P915" s="1074"/>
      <c r="Q915" s="1074"/>
      <c r="R915" s="1074"/>
      <c r="S915" s="1074"/>
      <c r="T915" s="1074"/>
      <c r="U915" s="1074"/>
      <c r="V915" s="1074"/>
      <c r="W915" s="1074"/>
      <c r="X915" s="1074"/>
      <c r="Y915" s="1074"/>
      <c r="Z915" s="1074"/>
      <c r="AA915" s="1074"/>
      <c r="AB915" s="1074"/>
      <c r="AC915" s="1074"/>
      <c r="AD915" s="1074"/>
      <c r="AE915" s="1074"/>
      <c r="AF915" s="1074"/>
      <c r="AG915" s="1074"/>
      <c r="AH915" s="1074"/>
      <c r="AI915" s="1074"/>
      <c r="AJ915" s="1074"/>
      <c r="AK915" s="1074"/>
      <c r="AL915" s="1074"/>
      <c r="AM915" s="1074"/>
      <c r="AN915" s="1074"/>
      <c r="AO915" s="1074"/>
      <c r="AP915" s="1074"/>
      <c r="AQ915" s="1074"/>
      <c r="AR915" s="1074"/>
      <c r="AS915" s="1074"/>
      <c r="AT915" s="1075"/>
    </row>
    <row r="916" ht="14.25" customHeight="1">
      <c r="A916" s="1116"/>
      <c r="B916" s="1120"/>
      <c r="C916" s="1100"/>
      <c r="D916" s="1100"/>
      <c r="E916" s="1100"/>
      <c r="F916" s="1100"/>
      <c r="G916" s="1100"/>
      <c r="H916" s="1100"/>
      <c r="I916" s="1100"/>
      <c r="J916" s="1100"/>
      <c r="K916" s="1074"/>
      <c r="L916" s="1074"/>
      <c r="M916" s="1074"/>
      <c r="N916" s="1074"/>
      <c r="O916" s="1074"/>
      <c r="P916" s="1074"/>
      <c r="Q916" s="1074"/>
      <c r="R916" s="1074"/>
      <c r="S916" s="1074"/>
      <c r="T916" s="1074"/>
      <c r="U916" s="1074"/>
      <c r="V916" s="1074"/>
      <c r="W916" s="1074"/>
      <c r="X916" s="1074"/>
      <c r="Y916" s="1074"/>
      <c r="Z916" s="1074"/>
      <c r="AA916" s="1074"/>
      <c r="AB916" s="1074"/>
      <c r="AC916" s="1074"/>
      <c r="AD916" s="1074"/>
      <c r="AE916" s="1074"/>
      <c r="AF916" s="1074"/>
      <c r="AG916" s="1074"/>
      <c r="AH916" s="1074"/>
      <c r="AI916" s="1074"/>
      <c r="AJ916" s="1074"/>
      <c r="AK916" s="1074"/>
      <c r="AL916" s="1074"/>
      <c r="AM916" s="1074"/>
      <c r="AN916" s="1074"/>
      <c r="AO916" s="1074"/>
      <c r="AP916" s="1074"/>
      <c r="AQ916" s="1074"/>
      <c r="AR916" s="1074"/>
      <c r="AS916" s="1074"/>
      <c r="AT916" s="1075"/>
    </row>
    <row r="917" ht="14.25" customHeight="1">
      <c r="A917" s="1116"/>
      <c r="B917" s="1120"/>
      <c r="C917" s="1100"/>
      <c r="D917" s="1100"/>
      <c r="E917" s="1100"/>
      <c r="F917" s="1100"/>
      <c r="G917" s="1100"/>
      <c r="H917" s="1100"/>
      <c r="I917" s="1100"/>
      <c r="J917" s="1100"/>
      <c r="K917" s="1074"/>
      <c r="L917" s="1074"/>
      <c r="M917" s="1074"/>
      <c r="N917" s="1074"/>
      <c r="O917" s="1074"/>
      <c r="P917" s="1074"/>
      <c r="Q917" s="1074"/>
      <c r="R917" s="1074"/>
      <c r="S917" s="1074"/>
      <c r="T917" s="1074"/>
      <c r="U917" s="1074"/>
      <c r="V917" s="1074"/>
      <c r="W917" s="1074"/>
      <c r="X917" s="1074"/>
      <c r="Y917" s="1074"/>
      <c r="Z917" s="1074"/>
      <c r="AA917" s="1074"/>
      <c r="AB917" s="1074"/>
      <c r="AC917" s="1074"/>
      <c r="AD917" s="1074"/>
      <c r="AE917" s="1074"/>
      <c r="AF917" s="1074"/>
      <c r="AG917" s="1074"/>
      <c r="AH917" s="1074"/>
      <c r="AI917" s="1074"/>
      <c r="AJ917" s="1074"/>
      <c r="AK917" s="1074"/>
      <c r="AL917" s="1074"/>
      <c r="AM917" s="1074"/>
      <c r="AN917" s="1074"/>
      <c r="AO917" s="1074"/>
      <c r="AP917" s="1074"/>
      <c r="AQ917" s="1074"/>
      <c r="AR917" s="1074"/>
      <c r="AS917" s="1074"/>
      <c r="AT917" s="1075"/>
    </row>
    <row r="918" ht="14.25" customHeight="1">
      <c r="A918" s="1116"/>
      <c r="B918" s="1120"/>
      <c r="C918" s="1100"/>
      <c r="D918" s="1100"/>
      <c r="E918" s="1100"/>
      <c r="F918" s="1100"/>
      <c r="G918" s="1100"/>
      <c r="H918" s="1100"/>
      <c r="I918" s="1100"/>
      <c r="J918" s="1100"/>
      <c r="K918" s="1074"/>
      <c r="L918" s="1074"/>
      <c r="M918" s="1074"/>
      <c r="N918" s="1074"/>
      <c r="O918" s="1074"/>
      <c r="P918" s="1074"/>
      <c r="Q918" s="1074"/>
      <c r="R918" s="1074"/>
      <c r="S918" s="1074"/>
      <c r="T918" s="1074"/>
      <c r="U918" s="1074"/>
      <c r="V918" s="1074"/>
      <c r="W918" s="1074"/>
      <c r="X918" s="1074"/>
      <c r="Y918" s="1074"/>
      <c r="Z918" s="1074"/>
      <c r="AA918" s="1074"/>
      <c r="AB918" s="1074"/>
      <c r="AC918" s="1074"/>
      <c r="AD918" s="1074"/>
      <c r="AE918" s="1074"/>
      <c r="AF918" s="1074"/>
      <c r="AG918" s="1074"/>
      <c r="AH918" s="1074"/>
      <c r="AI918" s="1074"/>
      <c r="AJ918" s="1074"/>
      <c r="AK918" s="1074"/>
      <c r="AL918" s="1074"/>
      <c r="AM918" s="1074"/>
      <c r="AN918" s="1074"/>
      <c r="AO918" s="1074"/>
      <c r="AP918" s="1074"/>
      <c r="AQ918" s="1074"/>
      <c r="AR918" s="1074"/>
      <c r="AS918" s="1074"/>
      <c r="AT918" s="1075"/>
    </row>
    <row r="919" ht="14.25" customHeight="1">
      <c r="A919" s="1116"/>
      <c r="B919" s="1120"/>
      <c r="C919" s="1100"/>
      <c r="D919" s="1100"/>
      <c r="E919" s="1100"/>
      <c r="F919" s="1100"/>
      <c r="G919" s="1100"/>
      <c r="H919" s="1100"/>
      <c r="I919" s="1100"/>
      <c r="J919" s="1100"/>
      <c r="K919" s="1074"/>
      <c r="L919" s="1074"/>
      <c r="M919" s="1074"/>
      <c r="N919" s="1074"/>
      <c r="O919" s="1074"/>
      <c r="P919" s="1074"/>
      <c r="Q919" s="1074"/>
      <c r="R919" s="1074"/>
      <c r="S919" s="1074"/>
      <c r="T919" s="1074"/>
      <c r="U919" s="1074"/>
      <c r="V919" s="1074"/>
      <c r="W919" s="1074"/>
      <c r="X919" s="1074"/>
      <c r="Y919" s="1074"/>
      <c r="Z919" s="1074"/>
      <c r="AA919" s="1074"/>
      <c r="AB919" s="1074"/>
      <c r="AC919" s="1074"/>
      <c r="AD919" s="1074"/>
      <c r="AE919" s="1074"/>
      <c r="AF919" s="1074"/>
      <c r="AG919" s="1074"/>
      <c r="AH919" s="1074"/>
      <c r="AI919" s="1074"/>
      <c r="AJ919" s="1074"/>
      <c r="AK919" s="1074"/>
      <c r="AL919" s="1074"/>
      <c r="AM919" s="1074"/>
      <c r="AN919" s="1074"/>
      <c r="AO919" s="1074"/>
      <c r="AP919" s="1074"/>
      <c r="AQ919" s="1074"/>
      <c r="AR919" s="1074"/>
      <c r="AS919" s="1074"/>
      <c r="AT919" s="1075"/>
    </row>
    <row r="920" ht="14.25" customHeight="1">
      <c r="A920" s="1116"/>
      <c r="B920" s="1120"/>
      <c r="C920" s="1100"/>
      <c r="D920" s="1100"/>
      <c r="E920" s="1100"/>
      <c r="F920" s="1100"/>
      <c r="G920" s="1100"/>
      <c r="H920" s="1100"/>
      <c r="I920" s="1100"/>
      <c r="J920" s="1100"/>
      <c r="K920" s="1074"/>
      <c r="L920" s="1074"/>
      <c r="M920" s="1074"/>
      <c r="N920" s="1074"/>
      <c r="O920" s="1074"/>
      <c r="P920" s="1074"/>
      <c r="Q920" s="1074"/>
      <c r="R920" s="1074"/>
      <c r="S920" s="1074"/>
      <c r="T920" s="1074"/>
      <c r="U920" s="1074"/>
      <c r="V920" s="1074"/>
      <c r="W920" s="1074"/>
      <c r="X920" s="1074"/>
      <c r="Y920" s="1074"/>
      <c r="Z920" s="1074"/>
      <c r="AA920" s="1074"/>
      <c r="AB920" s="1074"/>
      <c r="AC920" s="1074"/>
      <c r="AD920" s="1074"/>
      <c r="AE920" s="1074"/>
      <c r="AF920" s="1074"/>
      <c r="AG920" s="1074"/>
      <c r="AH920" s="1074"/>
      <c r="AI920" s="1074"/>
      <c r="AJ920" s="1074"/>
      <c r="AK920" s="1074"/>
      <c r="AL920" s="1074"/>
      <c r="AM920" s="1074"/>
      <c r="AN920" s="1074"/>
      <c r="AO920" s="1074"/>
      <c r="AP920" s="1074"/>
      <c r="AQ920" s="1074"/>
      <c r="AR920" s="1074"/>
      <c r="AS920" s="1074"/>
      <c r="AT920" s="1075"/>
    </row>
    <row r="921" ht="14.25" customHeight="1">
      <c r="A921" s="1116"/>
      <c r="B921" s="1120"/>
      <c r="C921" s="1100"/>
      <c r="D921" s="1100"/>
      <c r="E921" s="1100"/>
      <c r="F921" s="1100"/>
      <c r="G921" s="1100"/>
      <c r="H921" s="1100"/>
      <c r="I921" s="1100"/>
      <c r="J921" s="1100"/>
      <c r="K921" s="1074"/>
      <c r="L921" s="1074"/>
      <c r="M921" s="1074"/>
      <c r="N921" s="1074"/>
      <c r="O921" s="1074"/>
      <c r="P921" s="1074"/>
      <c r="Q921" s="1074"/>
      <c r="R921" s="1074"/>
      <c r="S921" s="1074"/>
      <c r="T921" s="1074"/>
      <c r="U921" s="1074"/>
      <c r="V921" s="1074"/>
      <c r="W921" s="1074"/>
      <c r="X921" s="1074"/>
      <c r="Y921" s="1074"/>
      <c r="Z921" s="1074"/>
      <c r="AA921" s="1074"/>
      <c r="AB921" s="1074"/>
      <c r="AC921" s="1074"/>
      <c r="AD921" s="1074"/>
      <c r="AE921" s="1074"/>
      <c r="AF921" s="1074"/>
      <c r="AG921" s="1074"/>
      <c r="AH921" s="1074"/>
      <c r="AI921" s="1074"/>
      <c r="AJ921" s="1074"/>
      <c r="AK921" s="1074"/>
      <c r="AL921" s="1074"/>
      <c r="AM921" s="1074"/>
      <c r="AN921" s="1074"/>
      <c r="AO921" s="1074"/>
      <c r="AP921" s="1074"/>
      <c r="AQ921" s="1074"/>
      <c r="AR921" s="1074"/>
      <c r="AS921" s="1074"/>
      <c r="AT921" s="1075"/>
    </row>
    <row r="922" ht="14.25" customHeight="1">
      <c r="A922" s="1116"/>
      <c r="B922" s="1120"/>
      <c r="C922" s="1100"/>
      <c r="D922" s="1100"/>
      <c r="E922" s="1100"/>
      <c r="F922" s="1100"/>
      <c r="G922" s="1100"/>
      <c r="H922" s="1100"/>
      <c r="I922" s="1100"/>
      <c r="J922" s="1100"/>
      <c r="K922" s="1074"/>
      <c r="L922" s="1074"/>
      <c r="M922" s="1074"/>
      <c r="N922" s="1074"/>
      <c r="O922" s="1074"/>
      <c r="P922" s="1074"/>
      <c r="Q922" s="1074"/>
      <c r="R922" s="1074"/>
      <c r="S922" s="1074"/>
      <c r="T922" s="1074"/>
      <c r="U922" s="1074"/>
      <c r="V922" s="1074"/>
      <c r="W922" s="1074"/>
      <c r="X922" s="1074"/>
      <c r="Y922" s="1074"/>
      <c r="Z922" s="1074"/>
      <c r="AA922" s="1074"/>
      <c r="AB922" s="1074"/>
      <c r="AC922" s="1074"/>
      <c r="AD922" s="1074"/>
      <c r="AE922" s="1074"/>
      <c r="AF922" s="1074"/>
      <c r="AG922" s="1074"/>
      <c r="AH922" s="1074"/>
      <c r="AI922" s="1074"/>
      <c r="AJ922" s="1074"/>
      <c r="AK922" s="1074"/>
      <c r="AL922" s="1074"/>
      <c r="AM922" s="1074"/>
      <c r="AN922" s="1074"/>
      <c r="AO922" s="1074"/>
      <c r="AP922" s="1074"/>
      <c r="AQ922" s="1074"/>
      <c r="AR922" s="1074"/>
      <c r="AS922" s="1074"/>
      <c r="AT922" s="1075"/>
    </row>
    <row r="923" ht="14.25" customHeight="1">
      <c r="A923" s="1116"/>
      <c r="B923" s="1120"/>
      <c r="C923" s="1100"/>
      <c r="D923" s="1100"/>
      <c r="E923" s="1100"/>
      <c r="F923" s="1100"/>
      <c r="G923" s="1100"/>
      <c r="H923" s="1100"/>
      <c r="I923" s="1100"/>
      <c r="J923" s="1100"/>
      <c r="K923" s="1074"/>
      <c r="L923" s="1074"/>
      <c r="M923" s="1074"/>
      <c r="N923" s="1074"/>
      <c r="O923" s="1074"/>
      <c r="P923" s="1074"/>
      <c r="Q923" s="1074"/>
      <c r="R923" s="1074"/>
      <c r="S923" s="1074"/>
      <c r="T923" s="1074"/>
      <c r="U923" s="1074"/>
      <c r="V923" s="1074"/>
      <c r="W923" s="1074"/>
      <c r="X923" s="1074"/>
      <c r="Y923" s="1074"/>
      <c r="Z923" s="1074"/>
      <c r="AA923" s="1074"/>
      <c r="AB923" s="1074"/>
      <c r="AC923" s="1074"/>
      <c r="AD923" s="1074"/>
      <c r="AE923" s="1074"/>
      <c r="AF923" s="1074"/>
      <c r="AG923" s="1074"/>
      <c r="AH923" s="1074"/>
      <c r="AI923" s="1074"/>
      <c r="AJ923" s="1074"/>
      <c r="AK923" s="1074"/>
      <c r="AL923" s="1074"/>
      <c r="AM923" s="1074"/>
      <c r="AN923" s="1074"/>
      <c r="AO923" s="1074"/>
      <c r="AP923" s="1074"/>
      <c r="AQ923" s="1074"/>
      <c r="AR923" s="1074"/>
      <c r="AS923" s="1074"/>
      <c r="AT923" s="1075"/>
    </row>
    <row r="924" ht="14.25" customHeight="1">
      <c r="A924" s="1116"/>
      <c r="B924" s="1120"/>
      <c r="C924" s="1100"/>
      <c r="D924" s="1100"/>
      <c r="E924" s="1100"/>
      <c r="F924" s="1100"/>
      <c r="G924" s="1100"/>
      <c r="H924" s="1100"/>
      <c r="I924" s="1100"/>
      <c r="J924" s="1100"/>
      <c r="K924" s="1074"/>
      <c r="L924" s="1074"/>
      <c r="M924" s="1074"/>
      <c r="N924" s="1074"/>
      <c r="O924" s="1074"/>
      <c r="P924" s="1074"/>
      <c r="Q924" s="1074"/>
      <c r="R924" s="1074"/>
      <c r="S924" s="1074"/>
      <c r="T924" s="1074"/>
      <c r="U924" s="1074"/>
      <c r="V924" s="1074"/>
      <c r="W924" s="1074"/>
      <c r="X924" s="1074"/>
      <c r="Y924" s="1074"/>
      <c r="Z924" s="1074"/>
      <c r="AA924" s="1074"/>
      <c r="AB924" s="1074"/>
      <c r="AC924" s="1074"/>
      <c r="AD924" s="1074"/>
      <c r="AE924" s="1074"/>
      <c r="AF924" s="1074"/>
      <c r="AG924" s="1074"/>
      <c r="AH924" s="1074"/>
      <c r="AI924" s="1074"/>
      <c r="AJ924" s="1074"/>
      <c r="AK924" s="1074"/>
      <c r="AL924" s="1074"/>
      <c r="AM924" s="1074"/>
      <c r="AN924" s="1074"/>
      <c r="AO924" s="1074"/>
      <c r="AP924" s="1074"/>
      <c r="AQ924" s="1074"/>
      <c r="AR924" s="1074"/>
      <c r="AS924" s="1074"/>
      <c r="AT924" s="1075"/>
    </row>
    <row r="925" ht="14.25" customHeight="1">
      <c r="A925" s="1116"/>
      <c r="B925" s="1120"/>
      <c r="C925" s="1100"/>
      <c r="D925" s="1100"/>
      <c r="E925" s="1100"/>
      <c r="F925" s="1100"/>
      <c r="G925" s="1100"/>
      <c r="H925" s="1100"/>
      <c r="I925" s="1100"/>
      <c r="J925" s="1100"/>
      <c r="K925" s="1074"/>
      <c r="L925" s="1074"/>
      <c r="M925" s="1074"/>
      <c r="N925" s="1074"/>
      <c r="O925" s="1074"/>
      <c r="P925" s="1074"/>
      <c r="Q925" s="1074"/>
      <c r="R925" s="1074"/>
      <c r="S925" s="1074"/>
      <c r="T925" s="1074"/>
      <c r="U925" s="1074"/>
      <c r="V925" s="1074"/>
      <c r="W925" s="1074"/>
      <c r="X925" s="1074"/>
      <c r="Y925" s="1074"/>
      <c r="Z925" s="1074"/>
      <c r="AA925" s="1074"/>
      <c r="AB925" s="1074"/>
      <c r="AC925" s="1074"/>
      <c r="AD925" s="1074"/>
      <c r="AE925" s="1074"/>
      <c r="AF925" s="1074"/>
      <c r="AG925" s="1074"/>
      <c r="AH925" s="1074"/>
      <c r="AI925" s="1074"/>
      <c r="AJ925" s="1074"/>
      <c r="AK925" s="1074"/>
      <c r="AL925" s="1074"/>
      <c r="AM925" s="1074"/>
      <c r="AN925" s="1074"/>
      <c r="AO925" s="1074"/>
      <c r="AP925" s="1074"/>
      <c r="AQ925" s="1074"/>
      <c r="AR925" s="1074"/>
      <c r="AS925" s="1074"/>
      <c r="AT925" s="1075"/>
    </row>
    <row r="926" ht="14.25" customHeight="1">
      <c r="A926" s="1116"/>
      <c r="B926" s="1120"/>
      <c r="C926" s="1100"/>
      <c r="D926" s="1100"/>
      <c r="E926" s="1100"/>
      <c r="F926" s="1100"/>
      <c r="G926" s="1100"/>
      <c r="H926" s="1100"/>
      <c r="I926" s="1100"/>
      <c r="J926" s="1100"/>
      <c r="K926" s="1074"/>
      <c r="L926" s="1074"/>
      <c r="M926" s="1074"/>
      <c r="N926" s="1074"/>
      <c r="O926" s="1074"/>
      <c r="P926" s="1074"/>
      <c r="Q926" s="1074"/>
      <c r="R926" s="1074"/>
      <c r="S926" s="1074"/>
      <c r="T926" s="1074"/>
      <c r="U926" s="1074"/>
      <c r="V926" s="1074"/>
      <c r="W926" s="1074"/>
      <c r="X926" s="1074"/>
      <c r="Y926" s="1074"/>
      <c r="Z926" s="1074"/>
      <c r="AA926" s="1074"/>
      <c r="AB926" s="1074"/>
      <c r="AC926" s="1074"/>
      <c r="AD926" s="1074"/>
      <c r="AE926" s="1074"/>
      <c r="AF926" s="1074"/>
      <c r="AG926" s="1074"/>
      <c r="AH926" s="1074"/>
      <c r="AI926" s="1074"/>
      <c r="AJ926" s="1074"/>
      <c r="AK926" s="1074"/>
      <c r="AL926" s="1074"/>
      <c r="AM926" s="1074"/>
      <c r="AN926" s="1074"/>
      <c r="AO926" s="1074"/>
      <c r="AP926" s="1074"/>
      <c r="AQ926" s="1074"/>
      <c r="AR926" s="1074"/>
      <c r="AS926" s="1074"/>
      <c r="AT926" s="1075"/>
    </row>
    <row r="927" ht="14.25" customHeight="1">
      <c r="A927" s="1116"/>
      <c r="B927" s="1120"/>
      <c r="C927" s="1100"/>
      <c r="D927" s="1100"/>
      <c r="E927" s="1100"/>
      <c r="F927" s="1100"/>
      <c r="G927" s="1100"/>
      <c r="H927" s="1100"/>
      <c r="I927" s="1100"/>
      <c r="J927" s="1100"/>
      <c r="K927" s="1074"/>
      <c r="L927" s="1074"/>
      <c r="M927" s="1074"/>
      <c r="N927" s="1074"/>
      <c r="O927" s="1074"/>
      <c r="P927" s="1074"/>
      <c r="Q927" s="1074"/>
      <c r="R927" s="1074"/>
      <c r="S927" s="1074"/>
      <c r="T927" s="1074"/>
      <c r="U927" s="1074"/>
      <c r="V927" s="1074"/>
      <c r="W927" s="1074"/>
      <c r="X927" s="1074"/>
      <c r="Y927" s="1074"/>
      <c r="Z927" s="1074"/>
      <c r="AA927" s="1074"/>
      <c r="AB927" s="1074"/>
      <c r="AC927" s="1074"/>
      <c r="AD927" s="1074"/>
      <c r="AE927" s="1074"/>
      <c r="AF927" s="1074"/>
      <c r="AG927" s="1074"/>
      <c r="AH927" s="1074"/>
      <c r="AI927" s="1074"/>
      <c r="AJ927" s="1074"/>
      <c r="AK927" s="1074"/>
      <c r="AL927" s="1074"/>
      <c r="AM927" s="1074"/>
      <c r="AN927" s="1074"/>
      <c r="AO927" s="1074"/>
      <c r="AP927" s="1074"/>
      <c r="AQ927" s="1074"/>
      <c r="AR927" s="1074"/>
      <c r="AS927" s="1074"/>
      <c r="AT927" s="1075"/>
    </row>
    <row r="928" ht="14.25" customHeight="1">
      <c r="A928" s="1116"/>
      <c r="B928" s="1120"/>
      <c r="C928" s="1100"/>
      <c r="D928" s="1100"/>
      <c r="E928" s="1100"/>
      <c r="F928" s="1100"/>
      <c r="G928" s="1100"/>
      <c r="H928" s="1100"/>
      <c r="I928" s="1100"/>
      <c r="J928" s="1100"/>
      <c r="K928" s="1074"/>
      <c r="L928" s="1074"/>
      <c r="M928" s="1074"/>
      <c r="N928" s="1074"/>
      <c r="O928" s="1074"/>
      <c r="P928" s="1074"/>
      <c r="Q928" s="1074"/>
      <c r="R928" s="1074"/>
      <c r="S928" s="1074"/>
      <c r="T928" s="1074"/>
      <c r="U928" s="1074"/>
      <c r="V928" s="1074"/>
      <c r="W928" s="1074"/>
      <c r="X928" s="1074"/>
      <c r="Y928" s="1074"/>
      <c r="Z928" s="1074"/>
      <c r="AA928" s="1074"/>
      <c r="AB928" s="1074"/>
      <c r="AC928" s="1074"/>
      <c r="AD928" s="1074"/>
      <c r="AE928" s="1074"/>
      <c r="AF928" s="1074"/>
      <c r="AG928" s="1074"/>
      <c r="AH928" s="1074"/>
      <c r="AI928" s="1074"/>
      <c r="AJ928" s="1074"/>
      <c r="AK928" s="1074"/>
      <c r="AL928" s="1074"/>
      <c r="AM928" s="1074"/>
      <c r="AN928" s="1074"/>
      <c r="AO928" s="1074"/>
      <c r="AP928" s="1074"/>
      <c r="AQ928" s="1074"/>
      <c r="AR928" s="1074"/>
      <c r="AS928" s="1074"/>
      <c r="AT928" s="1075"/>
    </row>
    <row r="929" ht="14.25" customHeight="1">
      <c r="A929" s="1116"/>
      <c r="B929" s="1120"/>
      <c r="C929" s="1100"/>
      <c r="D929" s="1100"/>
      <c r="E929" s="1100"/>
      <c r="F929" s="1100"/>
      <c r="G929" s="1100"/>
      <c r="H929" s="1100"/>
      <c r="I929" s="1100"/>
      <c r="J929" s="1100"/>
      <c r="K929" s="1074"/>
      <c r="L929" s="1074"/>
      <c r="M929" s="1074"/>
      <c r="N929" s="1074"/>
      <c r="O929" s="1074"/>
      <c r="P929" s="1074"/>
      <c r="Q929" s="1074"/>
      <c r="R929" s="1074"/>
      <c r="S929" s="1074"/>
      <c r="T929" s="1074"/>
      <c r="U929" s="1074"/>
      <c r="V929" s="1074"/>
      <c r="W929" s="1074"/>
      <c r="X929" s="1074"/>
      <c r="Y929" s="1074"/>
      <c r="Z929" s="1074"/>
      <c r="AA929" s="1074"/>
      <c r="AB929" s="1074"/>
      <c r="AC929" s="1074"/>
      <c r="AD929" s="1074"/>
      <c r="AE929" s="1074"/>
      <c r="AF929" s="1074"/>
      <c r="AG929" s="1074"/>
      <c r="AH929" s="1074"/>
      <c r="AI929" s="1074"/>
      <c r="AJ929" s="1074"/>
      <c r="AK929" s="1074"/>
      <c r="AL929" s="1074"/>
      <c r="AM929" s="1074"/>
      <c r="AN929" s="1074"/>
      <c r="AO929" s="1074"/>
      <c r="AP929" s="1074"/>
      <c r="AQ929" s="1074"/>
      <c r="AR929" s="1074"/>
      <c r="AS929" s="1074"/>
      <c r="AT929" s="1075"/>
    </row>
    <row r="930" ht="14.25" customHeight="1">
      <c r="A930" s="1116"/>
      <c r="B930" s="1120"/>
      <c r="C930" s="1100"/>
      <c r="D930" s="1100"/>
      <c r="E930" s="1100"/>
      <c r="F930" s="1100"/>
      <c r="G930" s="1100"/>
      <c r="H930" s="1100"/>
      <c r="I930" s="1100"/>
      <c r="J930" s="1100"/>
      <c r="K930" s="1074"/>
      <c r="L930" s="1074"/>
      <c r="M930" s="1074"/>
      <c r="N930" s="1074"/>
      <c r="O930" s="1074"/>
      <c r="P930" s="1074"/>
      <c r="Q930" s="1074"/>
      <c r="R930" s="1074"/>
      <c r="S930" s="1074"/>
      <c r="T930" s="1074"/>
      <c r="U930" s="1074"/>
      <c r="V930" s="1074"/>
      <c r="W930" s="1074"/>
      <c r="X930" s="1074"/>
      <c r="Y930" s="1074"/>
      <c r="Z930" s="1074"/>
      <c r="AA930" s="1074"/>
      <c r="AB930" s="1074"/>
      <c r="AC930" s="1074"/>
      <c r="AD930" s="1074"/>
      <c r="AE930" s="1074"/>
      <c r="AF930" s="1074"/>
      <c r="AG930" s="1074"/>
      <c r="AH930" s="1074"/>
      <c r="AI930" s="1074"/>
      <c r="AJ930" s="1074"/>
      <c r="AK930" s="1074"/>
      <c r="AL930" s="1074"/>
      <c r="AM930" s="1074"/>
      <c r="AN930" s="1074"/>
      <c r="AO930" s="1074"/>
      <c r="AP930" s="1074"/>
      <c r="AQ930" s="1074"/>
      <c r="AR930" s="1074"/>
      <c r="AS930" s="1074"/>
      <c r="AT930" s="1075"/>
    </row>
    <row r="931" ht="14.25" customHeight="1">
      <c r="A931" s="1116"/>
      <c r="B931" s="1120"/>
      <c r="C931" s="1100"/>
      <c r="D931" s="1100"/>
      <c r="E931" s="1100"/>
      <c r="F931" s="1100"/>
      <c r="G931" s="1100"/>
      <c r="H931" s="1100"/>
      <c r="I931" s="1100"/>
      <c r="J931" s="1100"/>
      <c r="K931" s="1074"/>
      <c r="L931" s="1074"/>
      <c r="M931" s="1074"/>
      <c r="N931" s="1074"/>
      <c r="O931" s="1074"/>
      <c r="P931" s="1074"/>
      <c r="Q931" s="1074"/>
      <c r="R931" s="1074"/>
      <c r="S931" s="1074"/>
      <c r="T931" s="1074"/>
      <c r="U931" s="1074"/>
      <c r="V931" s="1074"/>
      <c r="W931" s="1074"/>
      <c r="X931" s="1074"/>
      <c r="Y931" s="1074"/>
      <c r="Z931" s="1074"/>
      <c r="AA931" s="1074"/>
      <c r="AB931" s="1074"/>
      <c r="AC931" s="1074"/>
      <c r="AD931" s="1074"/>
      <c r="AE931" s="1074"/>
      <c r="AF931" s="1074"/>
      <c r="AG931" s="1074"/>
      <c r="AH931" s="1074"/>
      <c r="AI931" s="1074"/>
      <c r="AJ931" s="1074"/>
      <c r="AK931" s="1074"/>
      <c r="AL931" s="1074"/>
      <c r="AM931" s="1074"/>
      <c r="AN931" s="1074"/>
      <c r="AO931" s="1074"/>
      <c r="AP931" s="1074"/>
      <c r="AQ931" s="1074"/>
      <c r="AR931" s="1074"/>
      <c r="AS931" s="1074"/>
      <c r="AT931" s="1075"/>
    </row>
    <row r="932" ht="14.25" customHeight="1">
      <c r="A932" s="1116"/>
      <c r="B932" s="1120"/>
      <c r="C932" s="1100"/>
      <c r="D932" s="1100"/>
      <c r="E932" s="1100"/>
      <c r="F932" s="1100"/>
      <c r="G932" s="1100"/>
      <c r="H932" s="1100"/>
      <c r="I932" s="1100"/>
      <c r="J932" s="1100"/>
      <c r="K932" s="1074"/>
      <c r="L932" s="1074"/>
      <c r="M932" s="1074"/>
      <c r="N932" s="1074"/>
      <c r="O932" s="1074"/>
      <c r="P932" s="1074"/>
      <c r="Q932" s="1074"/>
      <c r="R932" s="1074"/>
      <c r="S932" s="1074"/>
      <c r="T932" s="1074"/>
      <c r="U932" s="1074"/>
      <c r="V932" s="1074"/>
      <c r="W932" s="1074"/>
      <c r="X932" s="1074"/>
      <c r="Y932" s="1074"/>
      <c r="Z932" s="1074"/>
      <c r="AA932" s="1074"/>
      <c r="AB932" s="1074"/>
      <c r="AC932" s="1074"/>
      <c r="AD932" s="1074"/>
      <c r="AE932" s="1074"/>
      <c r="AF932" s="1074"/>
      <c r="AG932" s="1074"/>
      <c r="AH932" s="1074"/>
      <c r="AI932" s="1074"/>
      <c r="AJ932" s="1074"/>
      <c r="AK932" s="1074"/>
      <c r="AL932" s="1074"/>
      <c r="AM932" s="1074"/>
      <c r="AN932" s="1074"/>
      <c r="AO932" s="1074"/>
      <c r="AP932" s="1074"/>
      <c r="AQ932" s="1074"/>
      <c r="AR932" s="1074"/>
      <c r="AS932" s="1074"/>
      <c r="AT932" s="1075"/>
    </row>
    <row r="933" ht="14.25" customHeight="1">
      <c r="A933" s="1116"/>
      <c r="B933" s="1120"/>
      <c r="C933" s="1100"/>
      <c r="D933" s="1100"/>
      <c r="E933" s="1100"/>
      <c r="F933" s="1100"/>
      <c r="G933" s="1100"/>
      <c r="H933" s="1100"/>
      <c r="I933" s="1100"/>
      <c r="J933" s="1100"/>
      <c r="K933" s="1074"/>
      <c r="L933" s="1074"/>
      <c r="M933" s="1074"/>
      <c r="N933" s="1074"/>
      <c r="O933" s="1074"/>
      <c r="P933" s="1074"/>
      <c r="Q933" s="1074"/>
      <c r="R933" s="1074"/>
      <c r="S933" s="1074"/>
      <c r="T933" s="1074"/>
      <c r="U933" s="1074"/>
      <c r="V933" s="1074"/>
      <c r="W933" s="1074"/>
      <c r="X933" s="1074"/>
      <c r="Y933" s="1074"/>
      <c r="Z933" s="1074"/>
      <c r="AA933" s="1074"/>
      <c r="AB933" s="1074"/>
      <c r="AC933" s="1074"/>
      <c r="AD933" s="1074"/>
      <c r="AE933" s="1074"/>
      <c r="AF933" s="1074"/>
      <c r="AG933" s="1074"/>
      <c r="AH933" s="1074"/>
      <c r="AI933" s="1074"/>
      <c r="AJ933" s="1074"/>
      <c r="AK933" s="1074"/>
      <c r="AL933" s="1074"/>
      <c r="AM933" s="1074"/>
      <c r="AN933" s="1074"/>
      <c r="AO933" s="1074"/>
      <c r="AP933" s="1074"/>
      <c r="AQ933" s="1074"/>
      <c r="AR933" s="1074"/>
      <c r="AS933" s="1074"/>
      <c r="AT933" s="1075"/>
    </row>
    <row r="934" ht="14.25" customHeight="1">
      <c r="A934" s="1116"/>
      <c r="B934" s="1120"/>
      <c r="C934" s="1100"/>
      <c r="D934" s="1100"/>
      <c r="E934" s="1100"/>
      <c r="F934" s="1100"/>
      <c r="G934" s="1100"/>
      <c r="H934" s="1100"/>
      <c r="I934" s="1100"/>
      <c r="J934" s="1100"/>
      <c r="K934" s="1074"/>
      <c r="L934" s="1074"/>
      <c r="M934" s="1074"/>
      <c r="N934" s="1074"/>
      <c r="O934" s="1074"/>
      <c r="P934" s="1074"/>
      <c r="Q934" s="1074"/>
      <c r="R934" s="1074"/>
      <c r="S934" s="1074"/>
      <c r="T934" s="1074"/>
      <c r="U934" s="1074"/>
      <c r="V934" s="1074"/>
      <c r="W934" s="1074"/>
      <c r="X934" s="1074"/>
      <c r="Y934" s="1074"/>
      <c r="Z934" s="1074"/>
      <c r="AA934" s="1074"/>
      <c r="AB934" s="1074"/>
      <c r="AC934" s="1074"/>
      <c r="AD934" s="1074"/>
      <c r="AE934" s="1074"/>
      <c r="AF934" s="1074"/>
      <c r="AG934" s="1074"/>
      <c r="AH934" s="1074"/>
      <c r="AI934" s="1074"/>
      <c r="AJ934" s="1074"/>
      <c r="AK934" s="1074"/>
      <c r="AL934" s="1074"/>
      <c r="AM934" s="1074"/>
      <c r="AN934" s="1074"/>
      <c r="AO934" s="1074"/>
      <c r="AP934" s="1074"/>
      <c r="AQ934" s="1074"/>
      <c r="AR934" s="1074"/>
      <c r="AS934" s="1074"/>
      <c r="AT934" s="1075"/>
    </row>
    <row r="935" ht="14.25" customHeight="1">
      <c r="A935" s="1116"/>
      <c r="B935" s="1120"/>
      <c r="C935" s="1100"/>
      <c r="D935" s="1100"/>
      <c r="E935" s="1100"/>
      <c r="F935" s="1100"/>
      <c r="G935" s="1100"/>
      <c r="H935" s="1100"/>
      <c r="I935" s="1100"/>
      <c r="J935" s="1100"/>
      <c r="K935" s="1074"/>
      <c r="L935" s="1074"/>
      <c r="M935" s="1074"/>
      <c r="N935" s="1074"/>
      <c r="O935" s="1074"/>
      <c r="P935" s="1074"/>
      <c r="Q935" s="1074"/>
      <c r="R935" s="1074"/>
      <c r="S935" s="1074"/>
      <c r="T935" s="1074"/>
      <c r="U935" s="1074"/>
      <c r="V935" s="1074"/>
      <c r="W935" s="1074"/>
      <c r="X935" s="1074"/>
      <c r="Y935" s="1074"/>
      <c r="Z935" s="1074"/>
      <c r="AA935" s="1074"/>
      <c r="AB935" s="1074"/>
      <c r="AC935" s="1074"/>
      <c r="AD935" s="1074"/>
      <c r="AE935" s="1074"/>
      <c r="AF935" s="1074"/>
      <c r="AG935" s="1074"/>
      <c r="AH935" s="1074"/>
      <c r="AI935" s="1074"/>
      <c r="AJ935" s="1074"/>
      <c r="AK935" s="1074"/>
      <c r="AL935" s="1074"/>
      <c r="AM935" s="1074"/>
      <c r="AN935" s="1074"/>
      <c r="AO935" s="1074"/>
      <c r="AP935" s="1074"/>
      <c r="AQ935" s="1074"/>
      <c r="AR935" s="1074"/>
      <c r="AS935" s="1074"/>
      <c r="AT935" s="1075"/>
    </row>
    <row r="936" ht="14.25" customHeight="1">
      <c r="A936" s="1116"/>
      <c r="B936" s="1120"/>
      <c r="C936" s="1100"/>
      <c r="D936" s="1100"/>
      <c r="E936" s="1100"/>
      <c r="F936" s="1100"/>
      <c r="G936" s="1100"/>
      <c r="H936" s="1100"/>
      <c r="I936" s="1100"/>
      <c r="J936" s="1100"/>
      <c r="K936" s="1074"/>
      <c r="L936" s="1074"/>
      <c r="M936" s="1074"/>
      <c r="N936" s="1074"/>
      <c r="O936" s="1074"/>
      <c r="P936" s="1074"/>
      <c r="Q936" s="1074"/>
      <c r="R936" s="1074"/>
      <c r="S936" s="1074"/>
      <c r="T936" s="1074"/>
      <c r="U936" s="1074"/>
      <c r="V936" s="1074"/>
      <c r="W936" s="1074"/>
      <c r="X936" s="1074"/>
      <c r="Y936" s="1074"/>
      <c r="Z936" s="1074"/>
      <c r="AA936" s="1074"/>
      <c r="AB936" s="1074"/>
      <c r="AC936" s="1074"/>
      <c r="AD936" s="1074"/>
      <c r="AE936" s="1074"/>
      <c r="AF936" s="1074"/>
      <c r="AG936" s="1074"/>
      <c r="AH936" s="1074"/>
      <c r="AI936" s="1074"/>
      <c r="AJ936" s="1074"/>
      <c r="AK936" s="1074"/>
      <c r="AL936" s="1074"/>
      <c r="AM936" s="1074"/>
      <c r="AN936" s="1074"/>
      <c r="AO936" s="1074"/>
      <c r="AP936" s="1074"/>
      <c r="AQ936" s="1074"/>
      <c r="AR936" s="1074"/>
      <c r="AS936" s="1074"/>
      <c r="AT936" s="1075"/>
    </row>
    <row r="937" ht="14.25" customHeight="1">
      <c r="A937" s="1116"/>
      <c r="B937" s="1120"/>
      <c r="C937" s="1100"/>
      <c r="D937" s="1100"/>
      <c r="E937" s="1100"/>
      <c r="F937" s="1100"/>
      <c r="G937" s="1100"/>
      <c r="H937" s="1100"/>
      <c r="I937" s="1100"/>
      <c r="J937" s="1100"/>
      <c r="K937" s="1074"/>
      <c r="L937" s="1074"/>
      <c r="M937" s="1074"/>
      <c r="N937" s="1074"/>
      <c r="O937" s="1074"/>
      <c r="P937" s="1074"/>
      <c r="Q937" s="1074"/>
      <c r="R937" s="1074"/>
      <c r="S937" s="1074"/>
      <c r="T937" s="1074"/>
      <c r="U937" s="1074"/>
      <c r="V937" s="1074"/>
      <c r="W937" s="1074"/>
      <c r="X937" s="1074"/>
      <c r="Y937" s="1074"/>
      <c r="Z937" s="1074"/>
      <c r="AA937" s="1074"/>
      <c r="AB937" s="1074"/>
      <c r="AC937" s="1074"/>
      <c r="AD937" s="1074"/>
      <c r="AE937" s="1074"/>
      <c r="AF937" s="1074"/>
      <c r="AG937" s="1074"/>
      <c r="AH937" s="1074"/>
      <c r="AI937" s="1074"/>
      <c r="AJ937" s="1074"/>
      <c r="AK937" s="1074"/>
      <c r="AL937" s="1074"/>
      <c r="AM937" s="1074"/>
      <c r="AN937" s="1074"/>
      <c r="AO937" s="1074"/>
      <c r="AP937" s="1074"/>
      <c r="AQ937" s="1074"/>
      <c r="AR937" s="1074"/>
      <c r="AS937" s="1074"/>
      <c r="AT937" s="1075"/>
    </row>
    <row r="938" ht="14.25" customHeight="1">
      <c r="A938" s="1116"/>
      <c r="B938" s="1120"/>
      <c r="C938" s="1100"/>
      <c r="D938" s="1100"/>
      <c r="E938" s="1100"/>
      <c r="F938" s="1100"/>
      <c r="G938" s="1100"/>
      <c r="H938" s="1100"/>
      <c r="I938" s="1100"/>
      <c r="J938" s="1100"/>
      <c r="K938" s="1074"/>
      <c r="L938" s="1074"/>
      <c r="M938" s="1074"/>
      <c r="N938" s="1074"/>
      <c r="O938" s="1074"/>
      <c r="P938" s="1074"/>
      <c r="Q938" s="1074"/>
      <c r="R938" s="1074"/>
      <c r="S938" s="1074"/>
      <c r="T938" s="1074"/>
      <c r="U938" s="1074"/>
      <c r="V938" s="1074"/>
      <c r="W938" s="1074"/>
      <c r="X938" s="1074"/>
      <c r="Y938" s="1074"/>
      <c r="Z938" s="1074"/>
      <c r="AA938" s="1074"/>
      <c r="AB938" s="1074"/>
      <c r="AC938" s="1074"/>
      <c r="AD938" s="1074"/>
      <c r="AE938" s="1074"/>
      <c r="AF938" s="1074"/>
      <c r="AG938" s="1074"/>
      <c r="AH938" s="1074"/>
      <c r="AI938" s="1074"/>
      <c r="AJ938" s="1074"/>
      <c r="AK938" s="1074"/>
      <c r="AL938" s="1074"/>
      <c r="AM938" s="1074"/>
      <c r="AN938" s="1074"/>
      <c r="AO938" s="1074"/>
      <c r="AP938" s="1074"/>
      <c r="AQ938" s="1074"/>
      <c r="AR938" s="1074"/>
      <c r="AS938" s="1074"/>
      <c r="AT938" s="1075"/>
    </row>
    <row r="939" ht="14.25" customHeight="1">
      <c r="A939" s="1116"/>
      <c r="B939" s="1120"/>
      <c r="C939" s="1100"/>
      <c r="D939" s="1100"/>
      <c r="E939" s="1100"/>
      <c r="F939" s="1100"/>
      <c r="G939" s="1100"/>
      <c r="H939" s="1100"/>
      <c r="I939" s="1100"/>
      <c r="J939" s="1100"/>
      <c r="K939" s="1074"/>
      <c r="L939" s="1074"/>
      <c r="M939" s="1074"/>
      <c r="N939" s="1074"/>
      <c r="O939" s="1074"/>
      <c r="P939" s="1074"/>
      <c r="Q939" s="1074"/>
      <c r="R939" s="1074"/>
      <c r="S939" s="1074"/>
      <c r="T939" s="1074"/>
      <c r="U939" s="1074"/>
      <c r="V939" s="1074"/>
      <c r="W939" s="1074"/>
      <c r="X939" s="1074"/>
      <c r="Y939" s="1074"/>
      <c r="Z939" s="1074"/>
      <c r="AA939" s="1074"/>
      <c r="AB939" s="1074"/>
      <c r="AC939" s="1074"/>
      <c r="AD939" s="1074"/>
      <c r="AE939" s="1074"/>
      <c r="AF939" s="1074"/>
      <c r="AG939" s="1074"/>
      <c r="AH939" s="1074"/>
      <c r="AI939" s="1074"/>
      <c r="AJ939" s="1074"/>
      <c r="AK939" s="1074"/>
      <c r="AL939" s="1074"/>
      <c r="AM939" s="1074"/>
      <c r="AN939" s="1074"/>
      <c r="AO939" s="1074"/>
      <c r="AP939" s="1074"/>
      <c r="AQ939" s="1074"/>
      <c r="AR939" s="1074"/>
      <c r="AS939" s="1074"/>
      <c r="AT939" s="1075"/>
    </row>
    <row r="940" ht="14.25" customHeight="1">
      <c r="A940" s="1116"/>
      <c r="B940" s="1120"/>
      <c r="C940" s="1100"/>
      <c r="D940" s="1100"/>
      <c r="E940" s="1100"/>
      <c r="F940" s="1100"/>
      <c r="G940" s="1100"/>
      <c r="H940" s="1100"/>
      <c r="I940" s="1100"/>
      <c r="J940" s="1100"/>
      <c r="K940" s="1074"/>
      <c r="L940" s="1074"/>
      <c r="M940" s="1074"/>
      <c r="N940" s="1074"/>
      <c r="O940" s="1074"/>
      <c r="P940" s="1074"/>
      <c r="Q940" s="1074"/>
      <c r="R940" s="1074"/>
      <c r="S940" s="1074"/>
      <c r="T940" s="1074"/>
      <c r="U940" s="1074"/>
      <c r="V940" s="1074"/>
      <c r="W940" s="1074"/>
      <c r="X940" s="1074"/>
      <c r="Y940" s="1074"/>
      <c r="Z940" s="1074"/>
      <c r="AA940" s="1074"/>
      <c r="AB940" s="1074"/>
      <c r="AC940" s="1074"/>
      <c r="AD940" s="1074"/>
      <c r="AE940" s="1074"/>
      <c r="AF940" s="1074"/>
      <c r="AG940" s="1074"/>
      <c r="AH940" s="1074"/>
      <c r="AI940" s="1074"/>
      <c r="AJ940" s="1074"/>
      <c r="AK940" s="1074"/>
      <c r="AL940" s="1074"/>
      <c r="AM940" s="1074"/>
      <c r="AN940" s="1074"/>
      <c r="AO940" s="1074"/>
      <c r="AP940" s="1074"/>
      <c r="AQ940" s="1074"/>
      <c r="AR940" s="1074"/>
      <c r="AS940" s="1074"/>
      <c r="AT940" s="1075"/>
    </row>
    <row r="941" ht="14.25" customHeight="1">
      <c r="A941" s="1116"/>
      <c r="B941" s="1120"/>
      <c r="C941" s="1100"/>
      <c r="D941" s="1100"/>
      <c r="E941" s="1100"/>
      <c r="F941" s="1100"/>
      <c r="G941" s="1100"/>
      <c r="H941" s="1100"/>
      <c r="I941" s="1100"/>
      <c r="J941" s="1100"/>
      <c r="K941" s="1074"/>
      <c r="L941" s="1074"/>
      <c r="M941" s="1074"/>
      <c r="N941" s="1074"/>
      <c r="O941" s="1074"/>
      <c r="P941" s="1074"/>
      <c r="Q941" s="1074"/>
      <c r="R941" s="1074"/>
      <c r="S941" s="1074"/>
      <c r="T941" s="1074"/>
      <c r="U941" s="1074"/>
      <c r="V941" s="1074"/>
      <c r="W941" s="1074"/>
      <c r="X941" s="1074"/>
      <c r="Y941" s="1074"/>
      <c r="Z941" s="1074"/>
      <c r="AA941" s="1074"/>
      <c r="AB941" s="1074"/>
      <c r="AC941" s="1074"/>
      <c r="AD941" s="1074"/>
      <c r="AE941" s="1074"/>
      <c r="AF941" s="1074"/>
      <c r="AG941" s="1074"/>
      <c r="AH941" s="1074"/>
      <c r="AI941" s="1074"/>
      <c r="AJ941" s="1074"/>
      <c r="AK941" s="1074"/>
      <c r="AL941" s="1074"/>
      <c r="AM941" s="1074"/>
      <c r="AN941" s="1074"/>
      <c r="AO941" s="1074"/>
      <c r="AP941" s="1074"/>
      <c r="AQ941" s="1074"/>
      <c r="AR941" s="1074"/>
      <c r="AS941" s="1074"/>
      <c r="AT941" s="1075"/>
    </row>
    <row r="942" ht="14.25" customHeight="1">
      <c r="A942" s="1116"/>
      <c r="B942" s="1120"/>
      <c r="C942" s="1100"/>
      <c r="D942" s="1100"/>
      <c r="E942" s="1100"/>
      <c r="F942" s="1100"/>
      <c r="G942" s="1100"/>
      <c r="H942" s="1100"/>
      <c r="I942" s="1100"/>
      <c r="J942" s="1100"/>
      <c r="K942" s="1074"/>
      <c r="L942" s="1074"/>
      <c r="M942" s="1074"/>
      <c r="N942" s="1074"/>
      <c r="O942" s="1074"/>
      <c r="P942" s="1074"/>
      <c r="Q942" s="1074"/>
      <c r="R942" s="1074"/>
      <c r="S942" s="1074"/>
      <c r="T942" s="1074"/>
      <c r="U942" s="1074"/>
      <c r="V942" s="1074"/>
      <c r="W942" s="1074"/>
      <c r="X942" s="1074"/>
      <c r="Y942" s="1074"/>
      <c r="Z942" s="1074"/>
      <c r="AA942" s="1074"/>
      <c r="AB942" s="1074"/>
      <c r="AC942" s="1074"/>
      <c r="AD942" s="1074"/>
      <c r="AE942" s="1074"/>
      <c r="AF942" s="1074"/>
      <c r="AG942" s="1074"/>
      <c r="AH942" s="1074"/>
      <c r="AI942" s="1074"/>
      <c r="AJ942" s="1074"/>
      <c r="AK942" s="1074"/>
      <c r="AL942" s="1074"/>
      <c r="AM942" s="1074"/>
      <c r="AN942" s="1074"/>
      <c r="AO942" s="1074"/>
      <c r="AP942" s="1074"/>
      <c r="AQ942" s="1074"/>
      <c r="AR942" s="1074"/>
      <c r="AS942" s="1074"/>
      <c r="AT942" s="1075"/>
    </row>
    <row r="943" ht="14.25" customHeight="1">
      <c r="A943" s="1116"/>
      <c r="B943" s="1120"/>
      <c r="C943" s="1100"/>
      <c r="D943" s="1100"/>
      <c r="E943" s="1100"/>
      <c r="F943" s="1100"/>
      <c r="G943" s="1100"/>
      <c r="H943" s="1100"/>
      <c r="I943" s="1100"/>
      <c r="J943" s="1100"/>
      <c r="K943" s="1074"/>
      <c r="L943" s="1074"/>
      <c r="M943" s="1074"/>
      <c r="N943" s="1074"/>
      <c r="O943" s="1074"/>
      <c r="P943" s="1074"/>
      <c r="Q943" s="1074"/>
      <c r="R943" s="1074"/>
      <c r="S943" s="1074"/>
      <c r="T943" s="1074"/>
      <c r="U943" s="1074"/>
      <c r="V943" s="1074"/>
      <c r="W943" s="1074"/>
      <c r="X943" s="1074"/>
      <c r="Y943" s="1074"/>
      <c r="Z943" s="1074"/>
      <c r="AA943" s="1074"/>
      <c r="AB943" s="1074"/>
      <c r="AC943" s="1074"/>
      <c r="AD943" s="1074"/>
      <c r="AE943" s="1074"/>
      <c r="AF943" s="1074"/>
      <c r="AG943" s="1074"/>
      <c r="AH943" s="1074"/>
      <c r="AI943" s="1074"/>
      <c r="AJ943" s="1074"/>
      <c r="AK943" s="1074"/>
      <c r="AL943" s="1074"/>
      <c r="AM943" s="1074"/>
      <c r="AN943" s="1074"/>
      <c r="AO943" s="1074"/>
      <c r="AP943" s="1074"/>
      <c r="AQ943" s="1074"/>
      <c r="AR943" s="1074"/>
      <c r="AS943" s="1074"/>
      <c r="AT943" s="1075"/>
    </row>
    <row r="944" ht="14.25" customHeight="1">
      <c r="A944" s="1116"/>
      <c r="B944" s="1120"/>
      <c r="C944" s="1100"/>
      <c r="D944" s="1100"/>
      <c r="E944" s="1100"/>
      <c r="F944" s="1100"/>
      <c r="G944" s="1100"/>
      <c r="H944" s="1100"/>
      <c r="I944" s="1100"/>
      <c r="J944" s="1100"/>
      <c r="K944" s="1074"/>
      <c r="L944" s="1074"/>
      <c r="M944" s="1074"/>
      <c r="N944" s="1074"/>
      <c r="O944" s="1074"/>
      <c r="P944" s="1074"/>
      <c r="Q944" s="1074"/>
      <c r="R944" s="1074"/>
      <c r="S944" s="1074"/>
      <c r="T944" s="1074"/>
      <c r="U944" s="1074"/>
      <c r="V944" s="1074"/>
      <c r="W944" s="1074"/>
      <c r="X944" s="1074"/>
      <c r="Y944" s="1074"/>
      <c r="Z944" s="1074"/>
      <c r="AA944" s="1074"/>
      <c r="AB944" s="1074"/>
      <c r="AC944" s="1074"/>
      <c r="AD944" s="1074"/>
      <c r="AE944" s="1074"/>
      <c r="AF944" s="1074"/>
      <c r="AG944" s="1074"/>
      <c r="AH944" s="1074"/>
      <c r="AI944" s="1074"/>
      <c r="AJ944" s="1074"/>
      <c r="AK944" s="1074"/>
      <c r="AL944" s="1074"/>
      <c r="AM944" s="1074"/>
      <c r="AN944" s="1074"/>
      <c r="AO944" s="1074"/>
      <c r="AP944" s="1074"/>
      <c r="AQ944" s="1074"/>
      <c r="AR944" s="1074"/>
      <c r="AS944" s="1074"/>
      <c r="AT944" s="1075"/>
    </row>
    <row r="945" ht="14.25" customHeight="1">
      <c r="A945" s="1116"/>
      <c r="B945" s="1120"/>
      <c r="C945" s="1100"/>
      <c r="D945" s="1100"/>
      <c r="E945" s="1100"/>
      <c r="F945" s="1100"/>
      <c r="G945" s="1100"/>
      <c r="H945" s="1100"/>
      <c r="I945" s="1100"/>
      <c r="J945" s="1100"/>
      <c r="K945" s="1074"/>
      <c r="L945" s="1074"/>
      <c r="M945" s="1074"/>
      <c r="N945" s="1074"/>
      <c r="O945" s="1074"/>
      <c r="P945" s="1074"/>
      <c r="Q945" s="1074"/>
      <c r="R945" s="1074"/>
      <c r="S945" s="1074"/>
      <c r="T945" s="1074"/>
      <c r="U945" s="1074"/>
      <c r="V945" s="1074"/>
      <c r="W945" s="1074"/>
      <c r="X945" s="1074"/>
      <c r="Y945" s="1074"/>
      <c r="Z945" s="1074"/>
      <c r="AA945" s="1074"/>
      <c r="AB945" s="1074"/>
      <c r="AC945" s="1074"/>
      <c r="AD945" s="1074"/>
      <c r="AE945" s="1074"/>
      <c r="AF945" s="1074"/>
      <c r="AG945" s="1074"/>
      <c r="AH945" s="1074"/>
      <c r="AI945" s="1074"/>
      <c r="AJ945" s="1074"/>
      <c r="AK945" s="1074"/>
      <c r="AL945" s="1074"/>
      <c r="AM945" s="1074"/>
      <c r="AN945" s="1074"/>
      <c r="AO945" s="1074"/>
      <c r="AP945" s="1074"/>
      <c r="AQ945" s="1074"/>
      <c r="AR945" s="1074"/>
      <c r="AS945" s="1074"/>
      <c r="AT945" s="1075"/>
    </row>
    <row r="946" ht="14.25" customHeight="1">
      <c r="A946" s="1116"/>
      <c r="B946" s="1120"/>
      <c r="C946" s="1100"/>
      <c r="D946" s="1100"/>
      <c r="E946" s="1100"/>
      <c r="F946" s="1100"/>
      <c r="G946" s="1100"/>
      <c r="H946" s="1100"/>
      <c r="I946" s="1100"/>
      <c r="J946" s="1100"/>
      <c r="K946" s="1074"/>
      <c r="L946" s="1074"/>
      <c r="M946" s="1074"/>
      <c r="N946" s="1074"/>
      <c r="O946" s="1074"/>
      <c r="P946" s="1074"/>
      <c r="Q946" s="1074"/>
      <c r="R946" s="1074"/>
      <c r="S946" s="1074"/>
      <c r="T946" s="1074"/>
      <c r="U946" s="1074"/>
      <c r="V946" s="1074"/>
      <c r="W946" s="1074"/>
      <c r="X946" s="1074"/>
      <c r="Y946" s="1074"/>
      <c r="Z946" s="1074"/>
      <c r="AA946" s="1074"/>
      <c r="AB946" s="1074"/>
      <c r="AC946" s="1074"/>
      <c r="AD946" s="1074"/>
      <c r="AE946" s="1074"/>
      <c r="AF946" s="1074"/>
      <c r="AG946" s="1074"/>
      <c r="AH946" s="1074"/>
      <c r="AI946" s="1074"/>
      <c r="AJ946" s="1074"/>
      <c r="AK946" s="1074"/>
      <c r="AL946" s="1074"/>
      <c r="AM946" s="1074"/>
      <c r="AN946" s="1074"/>
      <c r="AO946" s="1074"/>
      <c r="AP946" s="1074"/>
      <c r="AQ946" s="1074"/>
      <c r="AR946" s="1074"/>
      <c r="AS946" s="1074"/>
      <c r="AT946" s="1075"/>
    </row>
    <row r="947" ht="14.25" customHeight="1">
      <c r="A947" s="1116"/>
      <c r="B947" s="1120"/>
      <c r="C947" s="1100"/>
      <c r="D947" s="1100"/>
      <c r="E947" s="1100"/>
      <c r="F947" s="1100"/>
      <c r="G947" s="1100"/>
      <c r="H947" s="1100"/>
      <c r="I947" s="1100"/>
      <c r="J947" s="1100"/>
      <c r="K947" s="1074"/>
      <c r="L947" s="1074"/>
      <c r="M947" s="1074"/>
      <c r="N947" s="1074"/>
      <c r="O947" s="1074"/>
      <c r="P947" s="1074"/>
      <c r="Q947" s="1074"/>
      <c r="R947" s="1074"/>
      <c r="S947" s="1074"/>
      <c r="T947" s="1074"/>
      <c r="U947" s="1074"/>
      <c r="V947" s="1074"/>
      <c r="W947" s="1074"/>
      <c r="X947" s="1074"/>
      <c r="Y947" s="1074"/>
      <c r="Z947" s="1074"/>
      <c r="AA947" s="1074"/>
      <c r="AB947" s="1074"/>
      <c r="AC947" s="1074"/>
      <c r="AD947" s="1074"/>
      <c r="AE947" s="1074"/>
      <c r="AF947" s="1074"/>
      <c r="AG947" s="1074"/>
      <c r="AH947" s="1074"/>
      <c r="AI947" s="1074"/>
      <c r="AJ947" s="1074"/>
      <c r="AK947" s="1074"/>
      <c r="AL947" s="1074"/>
      <c r="AM947" s="1074"/>
      <c r="AN947" s="1074"/>
      <c r="AO947" s="1074"/>
      <c r="AP947" s="1074"/>
      <c r="AQ947" s="1074"/>
      <c r="AR947" s="1074"/>
      <c r="AS947" s="1074"/>
      <c r="AT947" s="1075"/>
    </row>
    <row r="948" ht="14.25" customHeight="1">
      <c r="A948" s="1116"/>
      <c r="B948" s="1120"/>
      <c r="C948" s="1100"/>
      <c r="D948" s="1100"/>
      <c r="E948" s="1100"/>
      <c r="F948" s="1100"/>
      <c r="G948" s="1100"/>
      <c r="H948" s="1100"/>
      <c r="I948" s="1100"/>
      <c r="J948" s="1100"/>
      <c r="K948" s="1074"/>
      <c r="L948" s="1074"/>
      <c r="M948" s="1074"/>
      <c r="N948" s="1074"/>
      <c r="O948" s="1074"/>
      <c r="P948" s="1074"/>
      <c r="Q948" s="1074"/>
      <c r="R948" s="1074"/>
      <c r="S948" s="1074"/>
      <c r="T948" s="1074"/>
      <c r="U948" s="1074"/>
      <c r="V948" s="1074"/>
      <c r="W948" s="1074"/>
      <c r="X948" s="1074"/>
      <c r="Y948" s="1074"/>
      <c r="Z948" s="1074"/>
      <c r="AA948" s="1074"/>
      <c r="AB948" s="1074"/>
      <c r="AC948" s="1074"/>
      <c r="AD948" s="1074"/>
      <c r="AE948" s="1074"/>
      <c r="AF948" s="1074"/>
      <c r="AG948" s="1074"/>
      <c r="AH948" s="1074"/>
      <c r="AI948" s="1074"/>
      <c r="AJ948" s="1074"/>
      <c r="AK948" s="1074"/>
      <c r="AL948" s="1074"/>
      <c r="AM948" s="1074"/>
      <c r="AN948" s="1074"/>
      <c r="AO948" s="1074"/>
      <c r="AP948" s="1074"/>
      <c r="AQ948" s="1074"/>
      <c r="AR948" s="1074"/>
      <c r="AS948" s="1074"/>
      <c r="AT948" s="1075"/>
    </row>
    <row r="949" ht="14.25" customHeight="1">
      <c r="A949" s="1116"/>
      <c r="B949" s="1120"/>
      <c r="C949" s="1100"/>
      <c r="D949" s="1100"/>
      <c r="E949" s="1100"/>
      <c r="F949" s="1100"/>
      <c r="G949" s="1100"/>
      <c r="H949" s="1100"/>
      <c r="I949" s="1100"/>
      <c r="J949" s="1100"/>
      <c r="K949" s="1074"/>
      <c r="L949" s="1074"/>
      <c r="M949" s="1074"/>
      <c r="N949" s="1074"/>
      <c r="O949" s="1074"/>
      <c r="P949" s="1074"/>
      <c r="Q949" s="1074"/>
      <c r="R949" s="1074"/>
      <c r="S949" s="1074"/>
      <c r="T949" s="1074"/>
      <c r="U949" s="1074"/>
      <c r="V949" s="1074"/>
      <c r="W949" s="1074"/>
      <c r="X949" s="1074"/>
      <c r="Y949" s="1074"/>
      <c r="Z949" s="1074"/>
      <c r="AA949" s="1074"/>
      <c r="AB949" s="1074"/>
      <c r="AC949" s="1074"/>
      <c r="AD949" s="1074"/>
      <c r="AE949" s="1074"/>
      <c r="AF949" s="1074"/>
      <c r="AG949" s="1074"/>
      <c r="AH949" s="1074"/>
      <c r="AI949" s="1074"/>
      <c r="AJ949" s="1074"/>
      <c r="AK949" s="1074"/>
      <c r="AL949" s="1074"/>
      <c r="AM949" s="1074"/>
      <c r="AN949" s="1074"/>
      <c r="AO949" s="1074"/>
      <c r="AP949" s="1074"/>
      <c r="AQ949" s="1074"/>
      <c r="AR949" s="1074"/>
      <c r="AS949" s="1074"/>
      <c r="AT949" s="1075"/>
    </row>
    <row r="950" ht="14.25" customHeight="1">
      <c r="A950" s="1116"/>
      <c r="B950" s="1120"/>
      <c r="C950" s="1100"/>
      <c r="D950" s="1100"/>
      <c r="E950" s="1100"/>
      <c r="F950" s="1100"/>
      <c r="G950" s="1100"/>
      <c r="H950" s="1100"/>
      <c r="I950" s="1100"/>
      <c r="J950" s="1100"/>
      <c r="K950" s="1074"/>
      <c r="L950" s="1074"/>
      <c r="M950" s="1074"/>
      <c r="N950" s="1074"/>
      <c r="O950" s="1074"/>
      <c r="P950" s="1074"/>
      <c r="Q950" s="1074"/>
      <c r="R950" s="1074"/>
      <c r="S950" s="1074"/>
      <c r="T950" s="1074"/>
      <c r="U950" s="1074"/>
      <c r="V950" s="1074"/>
      <c r="W950" s="1074"/>
      <c r="X950" s="1074"/>
      <c r="Y950" s="1074"/>
      <c r="Z950" s="1074"/>
      <c r="AA950" s="1074"/>
      <c r="AB950" s="1074"/>
      <c r="AC950" s="1074"/>
      <c r="AD950" s="1074"/>
      <c r="AE950" s="1074"/>
      <c r="AF950" s="1074"/>
      <c r="AG950" s="1074"/>
      <c r="AH950" s="1074"/>
      <c r="AI950" s="1074"/>
      <c r="AJ950" s="1074"/>
      <c r="AK950" s="1074"/>
      <c r="AL950" s="1074"/>
      <c r="AM950" s="1074"/>
      <c r="AN950" s="1074"/>
      <c r="AO950" s="1074"/>
      <c r="AP950" s="1074"/>
      <c r="AQ950" s="1074"/>
      <c r="AR950" s="1074"/>
      <c r="AS950" s="1074"/>
      <c r="AT950" s="1075"/>
    </row>
    <row r="951" ht="14.25" customHeight="1">
      <c r="A951" s="1116"/>
      <c r="B951" s="1120"/>
      <c r="C951" s="1100"/>
      <c r="D951" s="1100"/>
      <c r="E951" s="1100"/>
      <c r="F951" s="1100"/>
      <c r="G951" s="1100"/>
      <c r="H951" s="1100"/>
      <c r="I951" s="1100"/>
      <c r="J951" s="1100"/>
      <c r="K951" s="1074"/>
      <c r="L951" s="1074"/>
      <c r="M951" s="1074"/>
      <c r="N951" s="1074"/>
      <c r="O951" s="1074"/>
      <c r="P951" s="1074"/>
      <c r="Q951" s="1074"/>
      <c r="R951" s="1074"/>
      <c r="S951" s="1074"/>
      <c r="T951" s="1074"/>
      <c r="U951" s="1074"/>
      <c r="V951" s="1074"/>
      <c r="W951" s="1074"/>
      <c r="X951" s="1074"/>
      <c r="Y951" s="1074"/>
      <c r="Z951" s="1074"/>
      <c r="AA951" s="1074"/>
      <c r="AB951" s="1074"/>
      <c r="AC951" s="1074"/>
      <c r="AD951" s="1074"/>
      <c r="AE951" s="1074"/>
      <c r="AF951" s="1074"/>
      <c r="AG951" s="1074"/>
      <c r="AH951" s="1074"/>
      <c r="AI951" s="1074"/>
      <c r="AJ951" s="1074"/>
      <c r="AK951" s="1074"/>
      <c r="AL951" s="1074"/>
      <c r="AM951" s="1074"/>
      <c r="AN951" s="1074"/>
      <c r="AO951" s="1074"/>
      <c r="AP951" s="1074"/>
      <c r="AQ951" s="1074"/>
      <c r="AR951" s="1074"/>
      <c r="AS951" s="1074"/>
      <c r="AT951" s="1075"/>
    </row>
    <row r="952" ht="14.25" customHeight="1">
      <c r="A952" s="1116"/>
      <c r="B952" s="1120"/>
      <c r="C952" s="1100"/>
      <c r="D952" s="1100"/>
      <c r="E952" s="1100"/>
      <c r="F952" s="1100"/>
      <c r="G952" s="1100"/>
      <c r="H952" s="1100"/>
      <c r="I952" s="1100"/>
      <c r="J952" s="1100"/>
      <c r="K952" s="1074"/>
      <c r="L952" s="1074"/>
      <c r="M952" s="1074"/>
      <c r="N952" s="1074"/>
      <c r="O952" s="1074"/>
      <c r="P952" s="1074"/>
      <c r="Q952" s="1074"/>
      <c r="R952" s="1074"/>
      <c r="S952" s="1074"/>
      <c r="T952" s="1074"/>
      <c r="U952" s="1074"/>
      <c r="V952" s="1074"/>
      <c r="W952" s="1074"/>
      <c r="X952" s="1074"/>
      <c r="Y952" s="1074"/>
      <c r="Z952" s="1074"/>
      <c r="AA952" s="1074"/>
      <c r="AB952" s="1074"/>
      <c r="AC952" s="1074"/>
      <c r="AD952" s="1074"/>
      <c r="AE952" s="1074"/>
      <c r="AF952" s="1074"/>
      <c r="AG952" s="1074"/>
      <c r="AH952" s="1074"/>
      <c r="AI952" s="1074"/>
      <c r="AJ952" s="1074"/>
      <c r="AK952" s="1074"/>
      <c r="AL952" s="1074"/>
      <c r="AM952" s="1074"/>
      <c r="AN952" s="1074"/>
      <c r="AO952" s="1074"/>
      <c r="AP952" s="1074"/>
      <c r="AQ952" s="1074"/>
      <c r="AR952" s="1074"/>
      <c r="AS952" s="1074"/>
      <c r="AT952" s="1075"/>
    </row>
    <row r="953" ht="14.25" customHeight="1">
      <c r="A953" s="1116"/>
      <c r="B953" s="1120"/>
      <c r="C953" s="1100"/>
      <c r="D953" s="1100"/>
      <c r="E953" s="1100"/>
      <c r="F953" s="1100"/>
      <c r="G953" s="1100"/>
      <c r="H953" s="1100"/>
      <c r="I953" s="1100"/>
      <c r="J953" s="1100"/>
      <c r="K953" s="1074"/>
      <c r="L953" s="1074"/>
      <c r="M953" s="1074"/>
      <c r="N953" s="1074"/>
      <c r="O953" s="1074"/>
      <c r="P953" s="1074"/>
      <c r="Q953" s="1074"/>
      <c r="R953" s="1074"/>
      <c r="S953" s="1074"/>
      <c r="T953" s="1074"/>
      <c r="U953" s="1074"/>
      <c r="V953" s="1074"/>
      <c r="W953" s="1074"/>
      <c r="X953" s="1074"/>
      <c r="Y953" s="1074"/>
      <c r="Z953" s="1074"/>
      <c r="AA953" s="1074"/>
      <c r="AB953" s="1074"/>
      <c r="AC953" s="1074"/>
      <c r="AD953" s="1074"/>
      <c r="AE953" s="1074"/>
      <c r="AF953" s="1074"/>
      <c r="AG953" s="1074"/>
      <c r="AH953" s="1074"/>
      <c r="AI953" s="1074"/>
      <c r="AJ953" s="1074"/>
      <c r="AK953" s="1074"/>
      <c r="AL953" s="1074"/>
      <c r="AM953" s="1074"/>
      <c r="AN953" s="1074"/>
      <c r="AO953" s="1074"/>
      <c r="AP953" s="1074"/>
      <c r="AQ953" s="1074"/>
      <c r="AR953" s="1074"/>
      <c r="AS953" s="1074"/>
      <c r="AT953" s="1075"/>
    </row>
    <row r="954" ht="14.25" customHeight="1">
      <c r="A954" s="1116"/>
      <c r="B954" s="1120"/>
      <c r="C954" s="1100"/>
      <c r="D954" s="1100"/>
      <c r="E954" s="1100"/>
      <c r="F954" s="1100"/>
      <c r="G954" s="1100"/>
      <c r="H954" s="1100"/>
      <c r="I954" s="1100"/>
      <c r="J954" s="1100"/>
      <c r="K954" s="1074"/>
      <c r="L954" s="1074"/>
      <c r="M954" s="1074"/>
      <c r="N954" s="1074"/>
      <c r="O954" s="1074"/>
      <c r="P954" s="1074"/>
      <c r="Q954" s="1074"/>
      <c r="R954" s="1074"/>
      <c r="S954" s="1074"/>
      <c r="T954" s="1074"/>
      <c r="U954" s="1074"/>
      <c r="V954" s="1074"/>
      <c r="W954" s="1074"/>
      <c r="X954" s="1074"/>
      <c r="Y954" s="1074"/>
      <c r="Z954" s="1074"/>
      <c r="AA954" s="1074"/>
      <c r="AB954" s="1074"/>
      <c r="AC954" s="1074"/>
      <c r="AD954" s="1074"/>
      <c r="AE954" s="1074"/>
      <c r="AF954" s="1074"/>
      <c r="AG954" s="1074"/>
      <c r="AH954" s="1074"/>
      <c r="AI954" s="1074"/>
      <c r="AJ954" s="1074"/>
      <c r="AK954" s="1074"/>
      <c r="AL954" s="1074"/>
      <c r="AM954" s="1074"/>
      <c r="AN954" s="1074"/>
      <c r="AO954" s="1074"/>
      <c r="AP954" s="1074"/>
      <c r="AQ954" s="1074"/>
      <c r="AR954" s="1074"/>
      <c r="AS954" s="1074"/>
      <c r="AT954" s="1075"/>
    </row>
    <row r="955" ht="14.25" customHeight="1">
      <c r="A955" s="1116"/>
      <c r="B955" s="1120"/>
      <c r="C955" s="1100"/>
      <c r="D955" s="1100"/>
      <c r="E955" s="1100"/>
      <c r="F955" s="1100"/>
      <c r="G955" s="1100"/>
      <c r="H955" s="1100"/>
      <c r="I955" s="1100"/>
      <c r="J955" s="1100"/>
      <c r="K955" s="1074"/>
      <c r="L955" s="1074"/>
      <c r="M955" s="1074"/>
      <c r="N955" s="1074"/>
      <c r="O955" s="1074"/>
      <c r="P955" s="1074"/>
      <c r="Q955" s="1074"/>
      <c r="R955" s="1074"/>
      <c r="S955" s="1074"/>
      <c r="T955" s="1074"/>
      <c r="U955" s="1074"/>
      <c r="V955" s="1074"/>
      <c r="W955" s="1074"/>
      <c r="X955" s="1074"/>
      <c r="Y955" s="1074"/>
      <c r="Z955" s="1074"/>
      <c r="AA955" s="1074"/>
      <c r="AB955" s="1074"/>
      <c r="AC955" s="1074"/>
      <c r="AD955" s="1074"/>
      <c r="AE955" s="1074"/>
      <c r="AF955" s="1074"/>
      <c r="AG955" s="1074"/>
      <c r="AH955" s="1074"/>
      <c r="AI955" s="1074"/>
      <c r="AJ955" s="1074"/>
      <c r="AK955" s="1074"/>
      <c r="AL955" s="1074"/>
      <c r="AM955" s="1074"/>
      <c r="AN955" s="1074"/>
      <c r="AO955" s="1074"/>
      <c r="AP955" s="1074"/>
      <c r="AQ955" s="1074"/>
      <c r="AR955" s="1074"/>
      <c r="AS955" s="1074"/>
      <c r="AT955" s="1075"/>
    </row>
    <row r="956" ht="14.25" customHeight="1">
      <c r="A956" s="1116"/>
      <c r="B956" s="1120"/>
      <c r="C956" s="1100"/>
      <c r="D956" s="1100"/>
      <c r="E956" s="1100"/>
      <c r="F956" s="1100"/>
      <c r="G956" s="1100"/>
      <c r="H956" s="1100"/>
      <c r="I956" s="1100"/>
      <c r="J956" s="1100"/>
      <c r="K956" s="1074"/>
      <c r="L956" s="1074"/>
      <c r="M956" s="1074"/>
      <c r="N956" s="1074"/>
      <c r="O956" s="1074"/>
      <c r="P956" s="1074"/>
      <c r="Q956" s="1074"/>
      <c r="R956" s="1074"/>
      <c r="S956" s="1074"/>
      <c r="T956" s="1074"/>
      <c r="U956" s="1074"/>
      <c r="V956" s="1074"/>
      <c r="W956" s="1074"/>
      <c r="X956" s="1074"/>
      <c r="Y956" s="1074"/>
      <c r="Z956" s="1074"/>
      <c r="AA956" s="1074"/>
      <c r="AB956" s="1074"/>
      <c r="AC956" s="1074"/>
      <c r="AD956" s="1074"/>
      <c r="AE956" s="1074"/>
      <c r="AF956" s="1074"/>
      <c r="AG956" s="1074"/>
      <c r="AH956" s="1074"/>
      <c r="AI956" s="1074"/>
      <c r="AJ956" s="1074"/>
      <c r="AK956" s="1074"/>
      <c r="AL956" s="1074"/>
      <c r="AM956" s="1074"/>
      <c r="AN956" s="1074"/>
      <c r="AO956" s="1074"/>
      <c r="AP956" s="1074"/>
      <c r="AQ956" s="1074"/>
      <c r="AR956" s="1074"/>
      <c r="AS956" s="1074"/>
      <c r="AT956" s="1075"/>
    </row>
    <row r="957" ht="14.25" customHeight="1">
      <c r="A957" s="1116"/>
      <c r="B957" s="1120"/>
      <c r="C957" s="1100"/>
      <c r="D957" s="1100"/>
      <c r="E957" s="1100"/>
      <c r="F957" s="1100"/>
      <c r="G957" s="1100"/>
      <c r="H957" s="1100"/>
      <c r="I957" s="1100"/>
      <c r="J957" s="1100"/>
      <c r="K957" s="1074"/>
      <c r="L957" s="1074"/>
      <c r="M957" s="1074"/>
      <c r="N957" s="1074"/>
      <c r="O957" s="1074"/>
      <c r="P957" s="1074"/>
      <c r="Q957" s="1074"/>
      <c r="R957" s="1074"/>
      <c r="S957" s="1074"/>
      <c r="T957" s="1074"/>
      <c r="U957" s="1074"/>
      <c r="V957" s="1074"/>
      <c r="W957" s="1074"/>
      <c r="X957" s="1074"/>
      <c r="Y957" s="1074"/>
      <c r="Z957" s="1074"/>
      <c r="AA957" s="1074"/>
      <c r="AB957" s="1074"/>
      <c r="AC957" s="1074"/>
      <c r="AD957" s="1074"/>
      <c r="AE957" s="1074"/>
      <c r="AF957" s="1074"/>
      <c r="AG957" s="1074"/>
      <c r="AH957" s="1074"/>
      <c r="AI957" s="1074"/>
      <c r="AJ957" s="1074"/>
      <c r="AK957" s="1074"/>
      <c r="AL957" s="1074"/>
      <c r="AM957" s="1074"/>
      <c r="AN957" s="1074"/>
      <c r="AO957" s="1074"/>
      <c r="AP957" s="1074"/>
      <c r="AQ957" s="1074"/>
      <c r="AR957" s="1074"/>
      <c r="AS957" s="1074"/>
      <c r="AT957" s="1075"/>
    </row>
    <row r="958" ht="14.25" customHeight="1">
      <c r="A958" s="1116"/>
      <c r="B958" s="1120"/>
      <c r="C958" s="1100"/>
      <c r="D958" s="1100"/>
      <c r="E958" s="1100"/>
      <c r="F958" s="1100"/>
      <c r="G958" s="1100"/>
      <c r="H958" s="1100"/>
      <c r="I958" s="1100"/>
      <c r="J958" s="1100"/>
      <c r="K958" s="1074"/>
      <c r="L958" s="1074"/>
      <c r="M958" s="1074"/>
      <c r="N958" s="1074"/>
      <c r="O958" s="1074"/>
      <c r="P958" s="1074"/>
      <c r="Q958" s="1074"/>
      <c r="R958" s="1074"/>
      <c r="S958" s="1074"/>
      <c r="T958" s="1074"/>
      <c r="U958" s="1074"/>
      <c r="V958" s="1074"/>
      <c r="W958" s="1074"/>
      <c r="X958" s="1074"/>
      <c r="Y958" s="1074"/>
      <c r="Z958" s="1074"/>
      <c r="AA958" s="1074"/>
      <c r="AB958" s="1074"/>
      <c r="AC958" s="1074"/>
      <c r="AD958" s="1074"/>
      <c r="AE958" s="1074"/>
      <c r="AF958" s="1074"/>
      <c r="AG958" s="1074"/>
      <c r="AH958" s="1074"/>
      <c r="AI958" s="1074"/>
      <c r="AJ958" s="1074"/>
      <c r="AK958" s="1074"/>
      <c r="AL958" s="1074"/>
      <c r="AM958" s="1074"/>
      <c r="AN958" s="1074"/>
      <c r="AO958" s="1074"/>
      <c r="AP958" s="1074"/>
      <c r="AQ958" s="1074"/>
      <c r="AR958" s="1074"/>
      <c r="AS958" s="1074"/>
      <c r="AT958" s="1075"/>
    </row>
    <row r="959" ht="14.25" customHeight="1">
      <c r="A959" s="1116"/>
      <c r="B959" s="1120"/>
      <c r="C959" s="1100"/>
      <c r="D959" s="1100"/>
      <c r="E959" s="1100"/>
      <c r="F959" s="1100"/>
      <c r="G959" s="1100"/>
      <c r="H959" s="1100"/>
      <c r="I959" s="1100"/>
      <c r="J959" s="1100"/>
      <c r="K959" s="1074"/>
      <c r="L959" s="1074"/>
      <c r="M959" s="1074"/>
      <c r="N959" s="1074"/>
      <c r="O959" s="1074"/>
      <c r="P959" s="1074"/>
      <c r="Q959" s="1074"/>
      <c r="R959" s="1074"/>
      <c r="S959" s="1074"/>
      <c r="T959" s="1074"/>
      <c r="U959" s="1074"/>
      <c r="V959" s="1074"/>
      <c r="W959" s="1074"/>
      <c r="X959" s="1074"/>
      <c r="Y959" s="1074"/>
      <c r="Z959" s="1074"/>
      <c r="AA959" s="1074"/>
      <c r="AB959" s="1074"/>
      <c r="AC959" s="1074"/>
      <c r="AD959" s="1074"/>
      <c r="AE959" s="1074"/>
      <c r="AF959" s="1074"/>
      <c r="AG959" s="1074"/>
      <c r="AH959" s="1074"/>
      <c r="AI959" s="1074"/>
      <c r="AJ959" s="1074"/>
      <c r="AK959" s="1074"/>
      <c r="AL959" s="1074"/>
      <c r="AM959" s="1074"/>
      <c r="AN959" s="1074"/>
      <c r="AO959" s="1074"/>
      <c r="AP959" s="1074"/>
      <c r="AQ959" s="1074"/>
      <c r="AR959" s="1074"/>
      <c r="AS959" s="1074"/>
      <c r="AT959" s="1075"/>
    </row>
    <row r="960" ht="14.25" customHeight="1">
      <c r="A960" s="1116"/>
      <c r="B960" s="1120"/>
      <c r="C960" s="1100"/>
      <c r="D960" s="1100"/>
      <c r="E960" s="1100"/>
      <c r="F960" s="1100"/>
      <c r="G960" s="1100"/>
      <c r="H960" s="1100"/>
      <c r="I960" s="1100"/>
      <c r="J960" s="1100"/>
      <c r="K960" s="1074"/>
      <c r="L960" s="1074"/>
      <c r="M960" s="1074"/>
      <c r="N960" s="1074"/>
      <c r="O960" s="1074"/>
      <c r="P960" s="1074"/>
      <c r="Q960" s="1074"/>
      <c r="R960" s="1074"/>
      <c r="S960" s="1074"/>
      <c r="T960" s="1074"/>
      <c r="U960" s="1074"/>
      <c r="V960" s="1074"/>
      <c r="W960" s="1074"/>
      <c r="X960" s="1074"/>
      <c r="Y960" s="1074"/>
      <c r="Z960" s="1074"/>
      <c r="AA960" s="1074"/>
      <c r="AB960" s="1074"/>
      <c r="AC960" s="1074"/>
      <c r="AD960" s="1074"/>
      <c r="AE960" s="1074"/>
      <c r="AF960" s="1074"/>
      <c r="AG960" s="1074"/>
      <c r="AH960" s="1074"/>
      <c r="AI960" s="1074"/>
      <c r="AJ960" s="1074"/>
      <c r="AK960" s="1074"/>
      <c r="AL960" s="1074"/>
      <c r="AM960" s="1074"/>
      <c r="AN960" s="1074"/>
      <c r="AO960" s="1074"/>
      <c r="AP960" s="1074"/>
      <c r="AQ960" s="1074"/>
      <c r="AR960" s="1074"/>
      <c r="AS960" s="1074"/>
      <c r="AT960" s="1075"/>
    </row>
    <row r="961" ht="14.25" customHeight="1">
      <c r="A961" s="1116"/>
      <c r="B961" s="1120"/>
      <c r="C961" s="1100"/>
      <c r="D961" s="1100"/>
      <c r="E961" s="1100"/>
      <c r="F961" s="1100"/>
      <c r="G961" s="1100"/>
      <c r="H961" s="1100"/>
      <c r="I961" s="1100"/>
      <c r="J961" s="1100"/>
      <c r="K961" s="1074"/>
      <c r="L961" s="1074"/>
      <c r="M961" s="1074"/>
      <c r="N961" s="1074"/>
      <c r="O961" s="1074"/>
      <c r="P961" s="1074"/>
      <c r="Q961" s="1074"/>
      <c r="R961" s="1074"/>
      <c r="S961" s="1074"/>
      <c r="T961" s="1074"/>
      <c r="U961" s="1074"/>
      <c r="V961" s="1074"/>
      <c r="W961" s="1074"/>
      <c r="X961" s="1074"/>
      <c r="Y961" s="1074"/>
      <c r="Z961" s="1074"/>
      <c r="AA961" s="1074"/>
      <c r="AB961" s="1074"/>
      <c r="AC961" s="1074"/>
      <c r="AD961" s="1074"/>
      <c r="AE961" s="1074"/>
      <c r="AF961" s="1074"/>
      <c r="AG961" s="1074"/>
      <c r="AH961" s="1074"/>
      <c r="AI961" s="1074"/>
      <c r="AJ961" s="1074"/>
      <c r="AK961" s="1074"/>
      <c r="AL961" s="1074"/>
      <c r="AM961" s="1074"/>
      <c r="AN961" s="1074"/>
      <c r="AO961" s="1074"/>
      <c r="AP961" s="1074"/>
      <c r="AQ961" s="1074"/>
      <c r="AR961" s="1074"/>
      <c r="AS961" s="1074"/>
      <c r="AT961" s="1075"/>
    </row>
    <row r="962" ht="14.25" customHeight="1">
      <c r="A962" s="1116"/>
      <c r="B962" s="1120"/>
      <c r="C962" s="1100"/>
      <c r="D962" s="1100"/>
      <c r="E962" s="1100"/>
      <c r="F962" s="1100"/>
      <c r="G962" s="1100"/>
      <c r="H962" s="1100"/>
      <c r="I962" s="1100"/>
      <c r="J962" s="1100"/>
      <c r="K962" s="1074"/>
      <c r="L962" s="1074"/>
      <c r="M962" s="1074"/>
      <c r="N962" s="1074"/>
      <c r="O962" s="1074"/>
      <c r="P962" s="1074"/>
      <c r="Q962" s="1074"/>
      <c r="R962" s="1074"/>
      <c r="S962" s="1074"/>
      <c r="T962" s="1074"/>
      <c r="U962" s="1074"/>
      <c r="V962" s="1074"/>
      <c r="W962" s="1074"/>
      <c r="X962" s="1074"/>
      <c r="Y962" s="1074"/>
      <c r="Z962" s="1074"/>
      <c r="AA962" s="1074"/>
      <c r="AB962" s="1074"/>
      <c r="AC962" s="1074"/>
      <c r="AD962" s="1074"/>
      <c r="AE962" s="1074"/>
      <c r="AF962" s="1074"/>
      <c r="AG962" s="1074"/>
      <c r="AH962" s="1074"/>
      <c r="AI962" s="1074"/>
      <c r="AJ962" s="1074"/>
      <c r="AK962" s="1074"/>
      <c r="AL962" s="1074"/>
      <c r="AM962" s="1074"/>
      <c r="AN962" s="1074"/>
      <c r="AO962" s="1074"/>
      <c r="AP962" s="1074"/>
      <c r="AQ962" s="1074"/>
      <c r="AR962" s="1074"/>
      <c r="AS962" s="1074"/>
      <c r="AT962" s="1075"/>
    </row>
    <row r="963" ht="14.25" customHeight="1">
      <c r="A963" s="1116"/>
      <c r="B963" s="1120"/>
      <c r="C963" s="1100"/>
      <c r="D963" s="1100"/>
      <c r="E963" s="1100"/>
      <c r="F963" s="1100"/>
      <c r="G963" s="1100"/>
      <c r="H963" s="1100"/>
      <c r="I963" s="1100"/>
      <c r="J963" s="1100"/>
      <c r="K963" s="1074"/>
      <c r="L963" s="1074"/>
      <c r="M963" s="1074"/>
      <c r="N963" s="1074"/>
      <c r="O963" s="1074"/>
      <c r="P963" s="1074"/>
      <c r="Q963" s="1074"/>
      <c r="R963" s="1074"/>
      <c r="S963" s="1074"/>
      <c r="T963" s="1074"/>
      <c r="U963" s="1074"/>
      <c r="V963" s="1074"/>
      <c r="W963" s="1074"/>
      <c r="X963" s="1074"/>
      <c r="Y963" s="1074"/>
      <c r="Z963" s="1074"/>
      <c r="AA963" s="1074"/>
      <c r="AB963" s="1074"/>
      <c r="AC963" s="1074"/>
      <c r="AD963" s="1074"/>
      <c r="AE963" s="1074"/>
      <c r="AF963" s="1074"/>
      <c r="AG963" s="1074"/>
      <c r="AH963" s="1074"/>
      <c r="AI963" s="1074"/>
      <c r="AJ963" s="1074"/>
      <c r="AK963" s="1074"/>
      <c r="AL963" s="1074"/>
      <c r="AM963" s="1074"/>
      <c r="AN963" s="1074"/>
      <c r="AO963" s="1074"/>
      <c r="AP963" s="1074"/>
      <c r="AQ963" s="1074"/>
      <c r="AR963" s="1074"/>
      <c r="AS963" s="1074"/>
      <c r="AT963" s="1075"/>
    </row>
    <row r="964" ht="14.25" customHeight="1">
      <c r="A964" s="1116"/>
      <c r="B964" s="1120"/>
      <c r="C964" s="1100"/>
      <c r="D964" s="1100"/>
      <c r="E964" s="1100"/>
      <c r="F964" s="1100"/>
      <c r="G964" s="1100"/>
      <c r="H964" s="1100"/>
      <c r="I964" s="1100"/>
      <c r="J964" s="1100"/>
      <c r="K964" s="1074"/>
      <c r="L964" s="1074"/>
      <c r="M964" s="1074"/>
      <c r="N964" s="1074"/>
      <c r="O964" s="1074"/>
      <c r="P964" s="1074"/>
      <c r="Q964" s="1074"/>
      <c r="R964" s="1074"/>
      <c r="S964" s="1074"/>
      <c r="T964" s="1074"/>
      <c r="U964" s="1074"/>
      <c r="V964" s="1074"/>
      <c r="W964" s="1074"/>
      <c r="X964" s="1074"/>
      <c r="Y964" s="1074"/>
      <c r="Z964" s="1074"/>
      <c r="AA964" s="1074"/>
      <c r="AB964" s="1074"/>
      <c r="AC964" s="1074"/>
      <c r="AD964" s="1074"/>
      <c r="AE964" s="1074"/>
      <c r="AF964" s="1074"/>
      <c r="AG964" s="1074"/>
      <c r="AH964" s="1074"/>
      <c r="AI964" s="1074"/>
      <c r="AJ964" s="1074"/>
      <c r="AK964" s="1074"/>
      <c r="AL964" s="1074"/>
      <c r="AM964" s="1074"/>
      <c r="AN964" s="1074"/>
      <c r="AO964" s="1074"/>
      <c r="AP964" s="1074"/>
      <c r="AQ964" s="1074"/>
      <c r="AR964" s="1074"/>
      <c r="AS964" s="1074"/>
      <c r="AT964" s="1075"/>
    </row>
    <row r="965" ht="14.25" customHeight="1">
      <c r="A965" s="1116"/>
      <c r="B965" s="1120"/>
      <c r="C965" s="1100"/>
      <c r="D965" s="1100"/>
      <c r="E965" s="1100"/>
      <c r="F965" s="1100"/>
      <c r="G965" s="1100"/>
      <c r="H965" s="1100"/>
      <c r="I965" s="1100"/>
      <c r="J965" s="1100"/>
      <c r="K965" s="1074"/>
      <c r="L965" s="1074"/>
      <c r="M965" s="1074"/>
      <c r="N965" s="1074"/>
      <c r="O965" s="1074"/>
      <c r="P965" s="1074"/>
      <c r="Q965" s="1074"/>
      <c r="R965" s="1074"/>
      <c r="S965" s="1074"/>
      <c r="T965" s="1074"/>
      <c r="U965" s="1074"/>
      <c r="V965" s="1074"/>
      <c r="W965" s="1074"/>
      <c r="X965" s="1074"/>
      <c r="Y965" s="1074"/>
      <c r="Z965" s="1074"/>
      <c r="AA965" s="1074"/>
      <c r="AB965" s="1074"/>
      <c r="AC965" s="1074"/>
      <c r="AD965" s="1074"/>
      <c r="AE965" s="1074"/>
      <c r="AF965" s="1074"/>
      <c r="AG965" s="1074"/>
      <c r="AH965" s="1074"/>
      <c r="AI965" s="1074"/>
      <c r="AJ965" s="1074"/>
      <c r="AK965" s="1074"/>
      <c r="AL965" s="1074"/>
      <c r="AM965" s="1074"/>
      <c r="AN965" s="1074"/>
      <c r="AO965" s="1074"/>
      <c r="AP965" s="1074"/>
      <c r="AQ965" s="1074"/>
      <c r="AR965" s="1074"/>
      <c r="AS965" s="1074"/>
      <c r="AT965" s="1075"/>
    </row>
    <row r="966" ht="14.25" customHeight="1">
      <c r="A966" s="1116"/>
      <c r="B966" s="1120"/>
      <c r="C966" s="1100"/>
      <c r="D966" s="1100"/>
      <c r="E966" s="1100"/>
      <c r="F966" s="1100"/>
      <c r="G966" s="1100"/>
      <c r="H966" s="1100"/>
      <c r="I966" s="1100"/>
      <c r="J966" s="1100"/>
      <c r="K966" s="1074"/>
      <c r="L966" s="1074"/>
      <c r="M966" s="1074"/>
      <c r="N966" s="1074"/>
      <c r="O966" s="1074"/>
      <c r="P966" s="1074"/>
      <c r="Q966" s="1074"/>
      <c r="R966" s="1074"/>
      <c r="S966" s="1074"/>
      <c r="T966" s="1074"/>
      <c r="U966" s="1074"/>
      <c r="V966" s="1074"/>
      <c r="W966" s="1074"/>
      <c r="X966" s="1074"/>
      <c r="Y966" s="1074"/>
      <c r="Z966" s="1074"/>
      <c r="AA966" s="1074"/>
      <c r="AB966" s="1074"/>
      <c r="AC966" s="1074"/>
      <c r="AD966" s="1074"/>
      <c r="AE966" s="1074"/>
      <c r="AF966" s="1074"/>
      <c r="AG966" s="1074"/>
      <c r="AH966" s="1074"/>
      <c r="AI966" s="1074"/>
      <c r="AJ966" s="1074"/>
      <c r="AK966" s="1074"/>
      <c r="AL966" s="1074"/>
      <c r="AM966" s="1074"/>
      <c r="AN966" s="1074"/>
      <c r="AO966" s="1074"/>
      <c r="AP966" s="1074"/>
      <c r="AQ966" s="1074"/>
      <c r="AR966" s="1074"/>
      <c r="AS966" s="1074"/>
      <c r="AT966" s="1075"/>
    </row>
    <row r="967" ht="14.25" customHeight="1">
      <c r="A967" s="1116"/>
      <c r="B967" s="1120"/>
      <c r="C967" s="1100"/>
      <c r="D967" s="1100"/>
      <c r="E967" s="1100"/>
      <c r="F967" s="1100"/>
      <c r="G967" s="1100"/>
      <c r="H967" s="1100"/>
      <c r="I967" s="1100"/>
      <c r="J967" s="1100"/>
      <c r="K967" s="1074"/>
      <c r="L967" s="1074"/>
      <c r="M967" s="1074"/>
      <c r="N967" s="1074"/>
      <c r="O967" s="1074"/>
      <c r="P967" s="1074"/>
      <c r="Q967" s="1074"/>
      <c r="R967" s="1074"/>
      <c r="S967" s="1074"/>
      <c r="T967" s="1074"/>
      <c r="U967" s="1074"/>
      <c r="V967" s="1074"/>
      <c r="W967" s="1074"/>
      <c r="X967" s="1074"/>
      <c r="Y967" s="1074"/>
      <c r="Z967" s="1074"/>
      <c r="AA967" s="1074"/>
      <c r="AB967" s="1074"/>
      <c r="AC967" s="1074"/>
      <c r="AD967" s="1074"/>
      <c r="AE967" s="1074"/>
      <c r="AF967" s="1074"/>
      <c r="AG967" s="1074"/>
      <c r="AH967" s="1074"/>
      <c r="AI967" s="1074"/>
      <c r="AJ967" s="1074"/>
      <c r="AK967" s="1074"/>
      <c r="AL967" s="1074"/>
      <c r="AM967" s="1074"/>
      <c r="AN967" s="1074"/>
      <c r="AO967" s="1074"/>
      <c r="AP967" s="1074"/>
      <c r="AQ967" s="1074"/>
      <c r="AR967" s="1074"/>
      <c r="AS967" s="1074"/>
      <c r="AT967" s="1075"/>
    </row>
    <row r="968" ht="14.25" customHeight="1">
      <c r="A968" s="1116"/>
      <c r="B968" s="1120"/>
      <c r="C968" s="1100"/>
      <c r="D968" s="1100"/>
      <c r="E968" s="1100"/>
      <c r="F968" s="1100"/>
      <c r="G968" s="1100"/>
      <c r="H968" s="1100"/>
      <c r="I968" s="1100"/>
      <c r="J968" s="1100"/>
      <c r="K968" s="1074"/>
      <c r="L968" s="1074"/>
      <c r="M968" s="1074"/>
      <c r="N968" s="1074"/>
      <c r="O968" s="1074"/>
      <c r="P968" s="1074"/>
      <c r="Q968" s="1074"/>
      <c r="R968" s="1074"/>
      <c r="S968" s="1074"/>
      <c r="T968" s="1074"/>
      <c r="U968" s="1074"/>
      <c r="V968" s="1074"/>
      <c r="W968" s="1074"/>
      <c r="X968" s="1074"/>
      <c r="Y968" s="1074"/>
      <c r="Z968" s="1074"/>
      <c r="AA968" s="1074"/>
      <c r="AB968" s="1074"/>
      <c r="AC968" s="1074"/>
      <c r="AD968" s="1074"/>
      <c r="AE968" s="1074"/>
      <c r="AF968" s="1074"/>
      <c r="AG968" s="1074"/>
      <c r="AH968" s="1074"/>
      <c r="AI968" s="1074"/>
      <c r="AJ968" s="1074"/>
      <c r="AK968" s="1074"/>
      <c r="AL968" s="1074"/>
      <c r="AM968" s="1074"/>
      <c r="AN968" s="1074"/>
      <c r="AO968" s="1074"/>
      <c r="AP968" s="1074"/>
      <c r="AQ968" s="1074"/>
      <c r="AR968" s="1074"/>
      <c r="AS968" s="1074"/>
      <c r="AT968" s="1075"/>
    </row>
    <row r="969" ht="14.25" customHeight="1">
      <c r="A969" s="1116"/>
      <c r="B969" s="1120"/>
      <c r="C969" s="1100"/>
      <c r="D969" s="1100"/>
      <c r="E969" s="1100"/>
      <c r="F969" s="1100"/>
      <c r="G969" s="1100"/>
      <c r="H969" s="1100"/>
      <c r="I969" s="1100"/>
      <c r="J969" s="1100"/>
      <c r="K969" s="1074"/>
      <c r="L969" s="1074"/>
      <c r="M969" s="1074"/>
      <c r="N969" s="1074"/>
      <c r="O969" s="1074"/>
      <c r="P969" s="1074"/>
      <c r="Q969" s="1074"/>
      <c r="R969" s="1074"/>
      <c r="S969" s="1074"/>
      <c r="T969" s="1074"/>
      <c r="U969" s="1074"/>
      <c r="V969" s="1074"/>
      <c r="W969" s="1074"/>
      <c r="X969" s="1074"/>
      <c r="Y969" s="1074"/>
      <c r="Z969" s="1074"/>
      <c r="AA969" s="1074"/>
      <c r="AB969" s="1074"/>
      <c r="AC969" s="1074"/>
      <c r="AD969" s="1074"/>
      <c r="AE969" s="1074"/>
      <c r="AF969" s="1074"/>
      <c r="AG969" s="1074"/>
      <c r="AH969" s="1074"/>
      <c r="AI969" s="1074"/>
      <c r="AJ969" s="1074"/>
      <c r="AK969" s="1074"/>
      <c r="AL969" s="1074"/>
      <c r="AM969" s="1074"/>
      <c r="AN969" s="1074"/>
      <c r="AO969" s="1074"/>
      <c r="AP969" s="1074"/>
      <c r="AQ969" s="1074"/>
      <c r="AR969" s="1074"/>
      <c r="AS969" s="1074"/>
      <c r="AT969" s="1075"/>
    </row>
    <row r="970" ht="14.25" customHeight="1">
      <c r="A970" s="1116"/>
      <c r="B970" s="1120"/>
      <c r="C970" s="1100"/>
      <c r="D970" s="1100"/>
      <c r="E970" s="1100"/>
      <c r="F970" s="1100"/>
      <c r="G970" s="1100"/>
      <c r="H970" s="1100"/>
      <c r="I970" s="1100"/>
      <c r="J970" s="1100"/>
      <c r="K970" s="1074"/>
      <c r="L970" s="1074"/>
      <c r="M970" s="1074"/>
      <c r="N970" s="1074"/>
      <c r="O970" s="1074"/>
      <c r="P970" s="1074"/>
      <c r="Q970" s="1074"/>
      <c r="R970" s="1074"/>
      <c r="S970" s="1074"/>
      <c r="T970" s="1074"/>
      <c r="U970" s="1074"/>
      <c r="V970" s="1074"/>
      <c r="W970" s="1074"/>
      <c r="X970" s="1074"/>
      <c r="Y970" s="1074"/>
      <c r="Z970" s="1074"/>
      <c r="AA970" s="1074"/>
      <c r="AB970" s="1074"/>
      <c r="AC970" s="1074"/>
      <c r="AD970" s="1074"/>
      <c r="AE970" s="1074"/>
      <c r="AF970" s="1074"/>
      <c r="AG970" s="1074"/>
      <c r="AH970" s="1074"/>
      <c r="AI970" s="1074"/>
      <c r="AJ970" s="1074"/>
      <c r="AK970" s="1074"/>
      <c r="AL970" s="1074"/>
      <c r="AM970" s="1074"/>
      <c r="AN970" s="1074"/>
      <c r="AO970" s="1074"/>
      <c r="AP970" s="1074"/>
      <c r="AQ970" s="1074"/>
      <c r="AR970" s="1074"/>
      <c r="AS970" s="1074"/>
      <c r="AT970" s="1075"/>
    </row>
    <row r="971" ht="14.25" customHeight="1">
      <c r="A971" s="1116"/>
      <c r="B971" s="1120"/>
      <c r="C971" s="1100"/>
      <c r="D971" s="1100"/>
      <c r="E971" s="1100"/>
      <c r="F971" s="1100"/>
      <c r="G971" s="1100"/>
      <c r="H971" s="1100"/>
      <c r="I971" s="1100"/>
      <c r="J971" s="1100"/>
      <c r="K971" s="1074"/>
      <c r="L971" s="1074"/>
      <c r="M971" s="1074"/>
      <c r="N971" s="1074"/>
      <c r="O971" s="1074"/>
      <c r="P971" s="1074"/>
      <c r="Q971" s="1074"/>
      <c r="R971" s="1074"/>
      <c r="S971" s="1074"/>
      <c r="T971" s="1074"/>
      <c r="U971" s="1074"/>
      <c r="V971" s="1074"/>
      <c r="W971" s="1074"/>
      <c r="X971" s="1074"/>
      <c r="Y971" s="1074"/>
      <c r="Z971" s="1074"/>
      <c r="AA971" s="1074"/>
      <c r="AB971" s="1074"/>
      <c r="AC971" s="1074"/>
      <c r="AD971" s="1074"/>
      <c r="AE971" s="1074"/>
      <c r="AF971" s="1074"/>
      <c r="AG971" s="1074"/>
      <c r="AH971" s="1074"/>
      <c r="AI971" s="1074"/>
      <c r="AJ971" s="1074"/>
      <c r="AK971" s="1074"/>
      <c r="AL971" s="1074"/>
      <c r="AM971" s="1074"/>
      <c r="AN971" s="1074"/>
      <c r="AO971" s="1074"/>
      <c r="AP971" s="1074"/>
      <c r="AQ971" s="1074"/>
      <c r="AR971" s="1074"/>
      <c r="AS971" s="1074"/>
      <c r="AT971" s="1075"/>
    </row>
    <row r="972" ht="14.25" customHeight="1">
      <c r="A972" s="1116"/>
      <c r="B972" s="1120"/>
      <c r="C972" s="1100"/>
      <c r="D972" s="1100"/>
      <c r="E972" s="1100"/>
      <c r="F972" s="1100"/>
      <c r="G972" s="1100"/>
      <c r="H972" s="1100"/>
      <c r="I972" s="1100"/>
      <c r="J972" s="1100"/>
      <c r="K972" s="1074"/>
      <c r="L972" s="1074"/>
      <c r="M972" s="1074"/>
      <c r="N972" s="1074"/>
      <c r="O972" s="1074"/>
      <c r="P972" s="1074"/>
      <c r="Q972" s="1074"/>
      <c r="R972" s="1074"/>
      <c r="S972" s="1074"/>
      <c r="T972" s="1074"/>
      <c r="U972" s="1074"/>
      <c r="V972" s="1074"/>
      <c r="W972" s="1074"/>
      <c r="X972" s="1074"/>
      <c r="Y972" s="1074"/>
      <c r="Z972" s="1074"/>
      <c r="AA972" s="1074"/>
      <c r="AB972" s="1074"/>
      <c r="AC972" s="1074"/>
      <c r="AD972" s="1074"/>
      <c r="AE972" s="1074"/>
      <c r="AF972" s="1074"/>
      <c r="AG972" s="1074"/>
      <c r="AH972" s="1074"/>
      <c r="AI972" s="1074"/>
      <c r="AJ972" s="1074"/>
      <c r="AK972" s="1074"/>
      <c r="AL972" s="1074"/>
      <c r="AM972" s="1074"/>
      <c r="AN972" s="1074"/>
      <c r="AO972" s="1074"/>
      <c r="AP972" s="1074"/>
      <c r="AQ972" s="1074"/>
      <c r="AR972" s="1074"/>
      <c r="AS972" s="1074"/>
      <c r="AT972" s="1075"/>
    </row>
    <row r="973" ht="14.25" customHeight="1">
      <c r="A973" s="1116"/>
      <c r="B973" s="1120"/>
      <c r="C973" s="1100"/>
      <c r="D973" s="1100"/>
      <c r="E973" s="1100"/>
      <c r="F973" s="1100"/>
      <c r="G973" s="1100"/>
      <c r="H973" s="1100"/>
      <c r="I973" s="1100"/>
      <c r="J973" s="1100"/>
      <c r="K973" s="1074"/>
      <c r="L973" s="1074"/>
      <c r="M973" s="1074"/>
      <c r="N973" s="1074"/>
      <c r="O973" s="1074"/>
      <c r="P973" s="1074"/>
      <c r="Q973" s="1074"/>
      <c r="R973" s="1074"/>
      <c r="S973" s="1074"/>
      <c r="T973" s="1074"/>
      <c r="U973" s="1074"/>
      <c r="V973" s="1074"/>
      <c r="W973" s="1074"/>
      <c r="X973" s="1074"/>
      <c r="Y973" s="1074"/>
      <c r="Z973" s="1074"/>
      <c r="AA973" s="1074"/>
      <c r="AB973" s="1074"/>
      <c r="AC973" s="1074"/>
      <c r="AD973" s="1074"/>
      <c r="AE973" s="1074"/>
      <c r="AF973" s="1074"/>
      <c r="AG973" s="1074"/>
      <c r="AH973" s="1074"/>
      <c r="AI973" s="1074"/>
      <c r="AJ973" s="1074"/>
      <c r="AK973" s="1074"/>
      <c r="AL973" s="1074"/>
      <c r="AM973" s="1074"/>
      <c r="AN973" s="1074"/>
      <c r="AO973" s="1074"/>
      <c r="AP973" s="1074"/>
      <c r="AQ973" s="1074"/>
      <c r="AR973" s="1074"/>
      <c r="AS973" s="1074"/>
      <c r="AT973" s="1075"/>
    </row>
    <row r="974" ht="14.25" customHeight="1">
      <c r="A974" s="1116"/>
      <c r="B974" s="1120"/>
      <c r="C974" s="1100"/>
      <c r="D974" s="1100"/>
      <c r="E974" s="1100"/>
      <c r="F974" s="1100"/>
      <c r="G974" s="1100"/>
      <c r="H974" s="1100"/>
      <c r="I974" s="1100"/>
      <c r="J974" s="1100"/>
      <c r="K974" s="1074"/>
      <c r="L974" s="1074"/>
      <c r="M974" s="1074"/>
      <c r="N974" s="1074"/>
      <c r="O974" s="1074"/>
      <c r="P974" s="1074"/>
      <c r="Q974" s="1074"/>
      <c r="R974" s="1074"/>
      <c r="S974" s="1074"/>
      <c r="T974" s="1074"/>
      <c r="U974" s="1074"/>
      <c r="V974" s="1074"/>
      <c r="W974" s="1074"/>
      <c r="X974" s="1074"/>
      <c r="Y974" s="1074"/>
      <c r="Z974" s="1074"/>
      <c r="AA974" s="1074"/>
      <c r="AB974" s="1074"/>
      <c r="AC974" s="1074"/>
      <c r="AD974" s="1074"/>
      <c r="AE974" s="1074"/>
      <c r="AF974" s="1074"/>
      <c r="AG974" s="1074"/>
      <c r="AH974" s="1074"/>
      <c r="AI974" s="1074"/>
      <c r="AJ974" s="1074"/>
      <c r="AK974" s="1074"/>
      <c r="AL974" s="1074"/>
      <c r="AM974" s="1074"/>
      <c r="AN974" s="1074"/>
      <c r="AO974" s="1074"/>
      <c r="AP974" s="1074"/>
      <c r="AQ974" s="1074"/>
      <c r="AR974" s="1074"/>
      <c r="AS974" s="1074"/>
      <c r="AT974" s="1075"/>
    </row>
    <row r="975" ht="14.25" customHeight="1">
      <c r="A975" s="1116"/>
      <c r="B975" s="1120"/>
      <c r="C975" s="1100"/>
      <c r="D975" s="1100"/>
      <c r="E975" s="1100"/>
      <c r="F975" s="1100"/>
      <c r="G975" s="1100"/>
      <c r="H975" s="1100"/>
      <c r="I975" s="1100"/>
      <c r="J975" s="1100"/>
      <c r="K975" s="1074"/>
      <c r="L975" s="1074"/>
      <c r="M975" s="1074"/>
      <c r="N975" s="1074"/>
      <c r="O975" s="1074"/>
      <c r="P975" s="1074"/>
      <c r="Q975" s="1074"/>
      <c r="R975" s="1074"/>
      <c r="S975" s="1074"/>
      <c r="T975" s="1074"/>
      <c r="U975" s="1074"/>
      <c r="V975" s="1074"/>
      <c r="W975" s="1074"/>
      <c r="X975" s="1074"/>
      <c r="Y975" s="1074"/>
      <c r="Z975" s="1074"/>
      <c r="AA975" s="1074"/>
      <c r="AB975" s="1074"/>
      <c r="AC975" s="1074"/>
      <c r="AD975" s="1074"/>
      <c r="AE975" s="1074"/>
      <c r="AF975" s="1074"/>
      <c r="AG975" s="1074"/>
      <c r="AH975" s="1074"/>
      <c r="AI975" s="1074"/>
      <c r="AJ975" s="1074"/>
      <c r="AK975" s="1074"/>
      <c r="AL975" s="1074"/>
      <c r="AM975" s="1074"/>
      <c r="AN975" s="1074"/>
      <c r="AO975" s="1074"/>
      <c r="AP975" s="1074"/>
      <c r="AQ975" s="1074"/>
      <c r="AR975" s="1074"/>
      <c r="AS975" s="1074"/>
      <c r="AT975" s="1075"/>
    </row>
    <row r="976" ht="14.25" customHeight="1">
      <c r="A976" s="1116"/>
      <c r="B976" s="1120"/>
      <c r="C976" s="1100"/>
      <c r="D976" s="1100"/>
      <c r="E976" s="1100"/>
      <c r="F976" s="1100"/>
      <c r="G976" s="1100"/>
      <c r="H976" s="1100"/>
      <c r="I976" s="1100"/>
      <c r="J976" s="1100"/>
      <c r="K976" s="1074"/>
      <c r="L976" s="1074"/>
      <c r="M976" s="1074"/>
      <c r="N976" s="1074"/>
      <c r="O976" s="1074"/>
      <c r="P976" s="1074"/>
      <c r="Q976" s="1074"/>
      <c r="R976" s="1074"/>
      <c r="S976" s="1074"/>
      <c r="T976" s="1074"/>
      <c r="U976" s="1074"/>
      <c r="V976" s="1074"/>
      <c r="W976" s="1074"/>
      <c r="X976" s="1074"/>
      <c r="Y976" s="1074"/>
      <c r="Z976" s="1074"/>
      <c r="AA976" s="1074"/>
      <c r="AB976" s="1074"/>
      <c r="AC976" s="1074"/>
      <c r="AD976" s="1074"/>
      <c r="AE976" s="1074"/>
      <c r="AF976" s="1074"/>
      <c r="AG976" s="1074"/>
      <c r="AH976" s="1074"/>
      <c r="AI976" s="1074"/>
      <c r="AJ976" s="1074"/>
      <c r="AK976" s="1074"/>
      <c r="AL976" s="1074"/>
      <c r="AM976" s="1074"/>
      <c r="AN976" s="1074"/>
      <c r="AO976" s="1074"/>
      <c r="AP976" s="1074"/>
      <c r="AQ976" s="1074"/>
      <c r="AR976" s="1074"/>
      <c r="AS976" s="1074"/>
      <c r="AT976" s="1075"/>
    </row>
    <row r="977" ht="14.25" customHeight="1">
      <c r="A977" s="1116"/>
      <c r="B977" s="1120"/>
      <c r="C977" s="1100"/>
      <c r="D977" s="1100"/>
      <c r="E977" s="1100"/>
      <c r="F977" s="1100"/>
      <c r="G977" s="1100"/>
      <c r="H977" s="1100"/>
      <c r="I977" s="1100"/>
      <c r="J977" s="1100"/>
      <c r="K977" s="1074"/>
      <c r="L977" s="1074"/>
      <c r="M977" s="1074"/>
      <c r="N977" s="1074"/>
      <c r="O977" s="1074"/>
      <c r="P977" s="1074"/>
      <c r="Q977" s="1074"/>
      <c r="R977" s="1074"/>
      <c r="S977" s="1074"/>
      <c r="T977" s="1074"/>
      <c r="U977" s="1074"/>
      <c r="V977" s="1074"/>
      <c r="W977" s="1074"/>
      <c r="X977" s="1074"/>
      <c r="Y977" s="1074"/>
      <c r="Z977" s="1074"/>
      <c r="AA977" s="1074"/>
      <c r="AB977" s="1074"/>
      <c r="AC977" s="1074"/>
      <c r="AD977" s="1074"/>
      <c r="AE977" s="1074"/>
      <c r="AF977" s="1074"/>
      <c r="AG977" s="1074"/>
      <c r="AH977" s="1074"/>
      <c r="AI977" s="1074"/>
      <c r="AJ977" s="1074"/>
      <c r="AK977" s="1074"/>
      <c r="AL977" s="1074"/>
      <c r="AM977" s="1074"/>
      <c r="AN977" s="1074"/>
      <c r="AO977" s="1074"/>
      <c r="AP977" s="1074"/>
      <c r="AQ977" s="1074"/>
      <c r="AR977" s="1074"/>
      <c r="AS977" s="1074"/>
      <c r="AT977" s="1075"/>
    </row>
    <row r="978" ht="14.25" customHeight="1">
      <c r="A978" s="1116"/>
      <c r="B978" s="1120"/>
      <c r="C978" s="1100"/>
      <c r="D978" s="1100"/>
      <c r="E978" s="1100"/>
      <c r="F978" s="1100"/>
      <c r="G978" s="1100"/>
      <c r="H978" s="1100"/>
      <c r="I978" s="1100"/>
      <c r="J978" s="1100"/>
      <c r="K978" s="1074"/>
      <c r="L978" s="1074"/>
      <c r="M978" s="1074"/>
      <c r="N978" s="1074"/>
      <c r="O978" s="1074"/>
      <c r="P978" s="1074"/>
      <c r="Q978" s="1074"/>
      <c r="R978" s="1074"/>
      <c r="S978" s="1074"/>
      <c r="T978" s="1074"/>
      <c r="U978" s="1074"/>
      <c r="V978" s="1074"/>
      <c r="W978" s="1074"/>
      <c r="X978" s="1074"/>
      <c r="Y978" s="1074"/>
      <c r="Z978" s="1074"/>
      <c r="AA978" s="1074"/>
      <c r="AB978" s="1074"/>
      <c r="AC978" s="1074"/>
      <c r="AD978" s="1074"/>
      <c r="AE978" s="1074"/>
      <c r="AF978" s="1074"/>
      <c r="AG978" s="1074"/>
      <c r="AH978" s="1074"/>
      <c r="AI978" s="1074"/>
      <c r="AJ978" s="1074"/>
      <c r="AK978" s="1074"/>
      <c r="AL978" s="1074"/>
      <c r="AM978" s="1074"/>
      <c r="AN978" s="1074"/>
      <c r="AO978" s="1074"/>
      <c r="AP978" s="1074"/>
      <c r="AQ978" s="1074"/>
      <c r="AR978" s="1074"/>
      <c r="AS978" s="1074"/>
      <c r="AT978" s="1075"/>
    </row>
    <row r="979" ht="14.25" customHeight="1">
      <c r="A979" s="1116"/>
      <c r="B979" s="1120"/>
      <c r="C979" s="1100"/>
      <c r="D979" s="1100"/>
      <c r="E979" s="1100"/>
      <c r="F979" s="1100"/>
      <c r="G979" s="1100"/>
      <c r="H979" s="1100"/>
      <c r="I979" s="1100"/>
      <c r="J979" s="1100"/>
      <c r="K979" s="1074"/>
      <c r="L979" s="1074"/>
      <c r="M979" s="1074"/>
      <c r="N979" s="1074"/>
      <c r="O979" s="1074"/>
      <c r="P979" s="1074"/>
      <c r="Q979" s="1074"/>
      <c r="R979" s="1074"/>
      <c r="S979" s="1074"/>
      <c r="T979" s="1074"/>
      <c r="U979" s="1074"/>
      <c r="V979" s="1074"/>
      <c r="W979" s="1074"/>
      <c r="X979" s="1074"/>
      <c r="Y979" s="1074"/>
      <c r="Z979" s="1074"/>
      <c r="AA979" s="1074"/>
      <c r="AB979" s="1074"/>
      <c r="AC979" s="1074"/>
      <c r="AD979" s="1074"/>
      <c r="AE979" s="1074"/>
      <c r="AF979" s="1074"/>
      <c r="AG979" s="1074"/>
      <c r="AH979" s="1074"/>
      <c r="AI979" s="1074"/>
      <c r="AJ979" s="1074"/>
      <c r="AK979" s="1074"/>
      <c r="AL979" s="1074"/>
      <c r="AM979" s="1074"/>
      <c r="AN979" s="1074"/>
      <c r="AO979" s="1074"/>
      <c r="AP979" s="1074"/>
      <c r="AQ979" s="1074"/>
      <c r="AR979" s="1074"/>
      <c r="AS979" s="1074"/>
      <c r="AT979" s="1075"/>
    </row>
    <row r="980" ht="14.25" customHeight="1">
      <c r="A980" s="1116"/>
      <c r="B980" s="1120"/>
      <c r="C980" s="1100"/>
      <c r="D980" s="1100"/>
      <c r="E980" s="1100"/>
      <c r="F980" s="1100"/>
      <c r="G980" s="1100"/>
      <c r="H980" s="1100"/>
      <c r="I980" s="1100"/>
      <c r="J980" s="1100"/>
      <c r="K980" s="1074"/>
      <c r="L980" s="1074"/>
      <c r="M980" s="1074"/>
      <c r="N980" s="1074"/>
      <c r="O980" s="1074"/>
      <c r="P980" s="1074"/>
      <c r="Q980" s="1074"/>
      <c r="R980" s="1074"/>
      <c r="S980" s="1074"/>
      <c r="T980" s="1074"/>
      <c r="U980" s="1074"/>
      <c r="V980" s="1074"/>
      <c r="W980" s="1074"/>
      <c r="X980" s="1074"/>
      <c r="Y980" s="1074"/>
      <c r="Z980" s="1074"/>
      <c r="AA980" s="1074"/>
      <c r="AB980" s="1074"/>
      <c r="AC980" s="1074"/>
      <c r="AD980" s="1074"/>
      <c r="AE980" s="1074"/>
      <c r="AF980" s="1074"/>
      <c r="AG980" s="1074"/>
      <c r="AH980" s="1074"/>
      <c r="AI980" s="1074"/>
      <c r="AJ980" s="1074"/>
      <c r="AK980" s="1074"/>
      <c r="AL980" s="1074"/>
      <c r="AM980" s="1074"/>
      <c r="AN980" s="1074"/>
      <c r="AO980" s="1074"/>
      <c r="AP980" s="1074"/>
      <c r="AQ980" s="1074"/>
      <c r="AR980" s="1074"/>
      <c r="AS980" s="1074"/>
      <c r="AT980" s="1075"/>
    </row>
    <row r="981" ht="14.25" customHeight="1">
      <c r="A981" s="1116"/>
      <c r="B981" s="1120"/>
      <c r="C981" s="1100"/>
      <c r="D981" s="1100"/>
      <c r="E981" s="1100"/>
      <c r="F981" s="1100"/>
      <c r="G981" s="1100"/>
      <c r="H981" s="1100"/>
      <c r="I981" s="1100"/>
      <c r="J981" s="1100"/>
      <c r="K981" s="1074"/>
      <c r="L981" s="1074"/>
      <c r="M981" s="1074"/>
      <c r="N981" s="1074"/>
      <c r="O981" s="1074"/>
      <c r="P981" s="1074"/>
      <c r="Q981" s="1074"/>
      <c r="R981" s="1074"/>
      <c r="S981" s="1074"/>
      <c r="T981" s="1074"/>
      <c r="U981" s="1074"/>
      <c r="V981" s="1074"/>
      <c r="W981" s="1074"/>
      <c r="X981" s="1074"/>
      <c r="Y981" s="1074"/>
      <c r="Z981" s="1074"/>
      <c r="AA981" s="1074"/>
      <c r="AB981" s="1074"/>
      <c r="AC981" s="1074"/>
      <c r="AD981" s="1074"/>
      <c r="AE981" s="1074"/>
      <c r="AF981" s="1074"/>
      <c r="AG981" s="1074"/>
      <c r="AH981" s="1074"/>
      <c r="AI981" s="1074"/>
      <c r="AJ981" s="1074"/>
      <c r="AK981" s="1074"/>
      <c r="AL981" s="1074"/>
      <c r="AM981" s="1074"/>
      <c r="AN981" s="1074"/>
      <c r="AO981" s="1074"/>
      <c r="AP981" s="1074"/>
      <c r="AQ981" s="1074"/>
      <c r="AR981" s="1074"/>
      <c r="AS981" s="1074"/>
      <c r="AT981" s="1075"/>
    </row>
    <row r="982" ht="14.25" customHeight="1">
      <c r="A982" s="1116"/>
      <c r="B982" s="1120"/>
      <c r="C982" s="1100"/>
      <c r="D982" s="1100"/>
      <c r="E982" s="1100"/>
      <c r="F982" s="1100"/>
      <c r="G982" s="1100"/>
      <c r="H982" s="1100"/>
      <c r="I982" s="1100"/>
      <c r="J982" s="1100"/>
      <c r="K982" s="1074"/>
      <c r="L982" s="1074"/>
      <c r="M982" s="1074"/>
      <c r="N982" s="1074"/>
      <c r="O982" s="1074"/>
      <c r="P982" s="1074"/>
      <c r="Q982" s="1074"/>
      <c r="R982" s="1074"/>
      <c r="S982" s="1074"/>
      <c r="T982" s="1074"/>
      <c r="U982" s="1074"/>
      <c r="V982" s="1074"/>
      <c r="W982" s="1074"/>
      <c r="X982" s="1074"/>
      <c r="Y982" s="1074"/>
      <c r="Z982" s="1074"/>
      <c r="AA982" s="1074"/>
      <c r="AB982" s="1074"/>
      <c r="AC982" s="1074"/>
      <c r="AD982" s="1074"/>
      <c r="AE982" s="1074"/>
      <c r="AF982" s="1074"/>
      <c r="AG982" s="1074"/>
      <c r="AH982" s="1074"/>
      <c r="AI982" s="1074"/>
      <c r="AJ982" s="1074"/>
      <c r="AK982" s="1074"/>
      <c r="AL982" s="1074"/>
      <c r="AM982" s="1074"/>
      <c r="AN982" s="1074"/>
      <c r="AO982" s="1074"/>
      <c r="AP982" s="1074"/>
      <c r="AQ982" s="1074"/>
      <c r="AR982" s="1074"/>
      <c r="AS982" s="1074"/>
      <c r="AT982" s="1075"/>
    </row>
    <row r="983" ht="14.25" customHeight="1">
      <c r="A983" s="1116"/>
      <c r="B983" s="1120"/>
      <c r="C983" s="1100"/>
      <c r="D983" s="1100"/>
      <c r="E983" s="1100"/>
      <c r="F983" s="1100"/>
      <c r="G983" s="1100"/>
      <c r="H983" s="1100"/>
      <c r="I983" s="1100"/>
      <c r="J983" s="1100"/>
      <c r="K983" s="1074"/>
      <c r="L983" s="1074"/>
      <c r="M983" s="1074"/>
      <c r="N983" s="1074"/>
      <c r="O983" s="1074"/>
      <c r="P983" s="1074"/>
      <c r="Q983" s="1074"/>
      <c r="R983" s="1074"/>
      <c r="S983" s="1074"/>
      <c r="T983" s="1074"/>
      <c r="U983" s="1074"/>
      <c r="V983" s="1074"/>
      <c r="W983" s="1074"/>
      <c r="X983" s="1074"/>
      <c r="Y983" s="1074"/>
      <c r="Z983" s="1074"/>
      <c r="AA983" s="1074"/>
      <c r="AB983" s="1074"/>
      <c r="AC983" s="1074"/>
      <c r="AD983" s="1074"/>
      <c r="AE983" s="1074"/>
      <c r="AF983" s="1074"/>
      <c r="AG983" s="1074"/>
      <c r="AH983" s="1074"/>
      <c r="AI983" s="1074"/>
      <c r="AJ983" s="1074"/>
      <c r="AK983" s="1074"/>
      <c r="AL983" s="1074"/>
      <c r="AM983" s="1074"/>
      <c r="AN983" s="1074"/>
      <c r="AO983" s="1074"/>
      <c r="AP983" s="1074"/>
      <c r="AQ983" s="1074"/>
      <c r="AR983" s="1074"/>
      <c r="AS983" s="1074"/>
      <c r="AT983" s="1075"/>
    </row>
    <row r="984" ht="14.25" customHeight="1">
      <c r="A984" s="1116"/>
      <c r="B984" s="1120"/>
      <c r="C984" s="1100"/>
      <c r="D984" s="1100"/>
      <c r="E984" s="1100"/>
      <c r="F984" s="1100"/>
      <c r="G984" s="1100"/>
      <c r="H984" s="1100"/>
      <c r="I984" s="1100"/>
      <c r="J984" s="1100"/>
      <c r="K984" s="1074"/>
      <c r="L984" s="1074"/>
      <c r="M984" s="1074"/>
      <c r="N984" s="1074"/>
      <c r="O984" s="1074"/>
      <c r="P984" s="1074"/>
      <c r="Q984" s="1074"/>
      <c r="R984" s="1074"/>
      <c r="S984" s="1074"/>
      <c r="T984" s="1074"/>
      <c r="U984" s="1074"/>
      <c r="V984" s="1074"/>
      <c r="W984" s="1074"/>
      <c r="X984" s="1074"/>
      <c r="Y984" s="1074"/>
      <c r="Z984" s="1074"/>
      <c r="AA984" s="1074"/>
      <c r="AB984" s="1074"/>
      <c r="AC984" s="1074"/>
      <c r="AD984" s="1074"/>
      <c r="AE984" s="1074"/>
      <c r="AF984" s="1074"/>
      <c r="AG984" s="1074"/>
      <c r="AH984" s="1074"/>
      <c r="AI984" s="1074"/>
      <c r="AJ984" s="1074"/>
      <c r="AK984" s="1074"/>
      <c r="AL984" s="1074"/>
      <c r="AM984" s="1074"/>
      <c r="AN984" s="1074"/>
      <c r="AO984" s="1074"/>
      <c r="AP984" s="1074"/>
      <c r="AQ984" s="1074"/>
      <c r="AR984" s="1074"/>
      <c r="AS984" s="1074"/>
      <c r="AT984" s="1075"/>
    </row>
    <row r="985" ht="14.25" customHeight="1">
      <c r="A985" s="1116"/>
      <c r="B985" s="1120"/>
      <c r="C985" s="1100"/>
      <c r="D985" s="1100"/>
      <c r="E985" s="1100"/>
      <c r="F985" s="1100"/>
      <c r="G985" s="1100"/>
      <c r="H985" s="1100"/>
      <c r="I985" s="1100"/>
      <c r="J985" s="1100"/>
      <c r="K985" s="1074"/>
      <c r="L985" s="1074"/>
      <c r="M985" s="1074"/>
      <c r="N985" s="1074"/>
      <c r="O985" s="1074"/>
      <c r="P985" s="1074"/>
      <c r="Q985" s="1074"/>
      <c r="R985" s="1074"/>
      <c r="S985" s="1074"/>
      <c r="T985" s="1074"/>
      <c r="U985" s="1074"/>
      <c r="V985" s="1074"/>
      <c r="W985" s="1074"/>
      <c r="X985" s="1074"/>
      <c r="Y985" s="1074"/>
      <c r="Z985" s="1074"/>
      <c r="AA985" s="1074"/>
      <c r="AB985" s="1074"/>
      <c r="AC985" s="1074"/>
      <c r="AD985" s="1074"/>
      <c r="AE985" s="1074"/>
      <c r="AF985" s="1074"/>
      <c r="AG985" s="1074"/>
      <c r="AH985" s="1074"/>
      <c r="AI985" s="1074"/>
      <c r="AJ985" s="1074"/>
      <c r="AK985" s="1074"/>
      <c r="AL985" s="1074"/>
      <c r="AM985" s="1074"/>
      <c r="AN985" s="1074"/>
      <c r="AO985" s="1074"/>
      <c r="AP985" s="1074"/>
      <c r="AQ985" s="1074"/>
      <c r="AR985" s="1074"/>
      <c r="AS985" s="1074"/>
      <c r="AT985" s="1075"/>
    </row>
    <row r="986" ht="14.25" customHeight="1">
      <c r="A986" s="1116"/>
      <c r="B986" s="1120"/>
      <c r="C986" s="1100"/>
      <c r="D986" s="1100"/>
      <c r="E986" s="1100"/>
      <c r="F986" s="1100"/>
      <c r="G986" s="1100"/>
      <c r="H986" s="1100"/>
      <c r="I986" s="1100"/>
      <c r="J986" s="1100"/>
      <c r="K986" s="1074"/>
      <c r="L986" s="1074"/>
      <c r="M986" s="1074"/>
      <c r="N986" s="1074"/>
      <c r="O986" s="1074"/>
      <c r="P986" s="1074"/>
      <c r="Q986" s="1074"/>
      <c r="R986" s="1074"/>
      <c r="S986" s="1074"/>
      <c r="T986" s="1074"/>
      <c r="U986" s="1074"/>
      <c r="V986" s="1074"/>
      <c r="W986" s="1074"/>
      <c r="X986" s="1074"/>
      <c r="Y986" s="1074"/>
      <c r="Z986" s="1074"/>
      <c r="AA986" s="1074"/>
      <c r="AB986" s="1074"/>
      <c r="AC986" s="1074"/>
      <c r="AD986" s="1074"/>
      <c r="AE986" s="1074"/>
      <c r="AF986" s="1074"/>
      <c r="AG986" s="1074"/>
      <c r="AH986" s="1074"/>
      <c r="AI986" s="1074"/>
      <c r="AJ986" s="1074"/>
      <c r="AK986" s="1074"/>
      <c r="AL986" s="1074"/>
      <c r="AM986" s="1074"/>
      <c r="AN986" s="1074"/>
      <c r="AO986" s="1074"/>
      <c r="AP986" s="1074"/>
      <c r="AQ986" s="1074"/>
      <c r="AR986" s="1074"/>
      <c r="AS986" s="1074"/>
      <c r="AT986" s="1075"/>
    </row>
    <row r="987" ht="14.25" customHeight="1">
      <c r="A987" s="1116"/>
      <c r="B987" s="1120"/>
      <c r="C987" s="1100"/>
      <c r="D987" s="1100"/>
      <c r="E987" s="1100"/>
      <c r="F987" s="1100"/>
      <c r="G987" s="1100"/>
      <c r="H987" s="1100"/>
      <c r="I987" s="1100"/>
      <c r="J987" s="1100"/>
      <c r="K987" s="1074"/>
      <c r="L987" s="1074"/>
      <c r="M987" s="1074"/>
      <c r="N987" s="1074"/>
      <c r="O987" s="1074"/>
      <c r="P987" s="1074"/>
      <c r="Q987" s="1074"/>
      <c r="R987" s="1074"/>
      <c r="S987" s="1074"/>
      <c r="T987" s="1074"/>
      <c r="U987" s="1074"/>
      <c r="V987" s="1074"/>
      <c r="W987" s="1074"/>
      <c r="X987" s="1074"/>
      <c r="Y987" s="1074"/>
      <c r="Z987" s="1074"/>
      <c r="AA987" s="1074"/>
      <c r="AB987" s="1074"/>
      <c r="AC987" s="1074"/>
      <c r="AD987" s="1074"/>
      <c r="AE987" s="1074"/>
      <c r="AF987" s="1074"/>
      <c r="AG987" s="1074"/>
      <c r="AH987" s="1074"/>
      <c r="AI987" s="1074"/>
      <c r="AJ987" s="1074"/>
      <c r="AK987" s="1074"/>
      <c r="AL987" s="1074"/>
      <c r="AM987" s="1074"/>
      <c r="AN987" s="1074"/>
      <c r="AO987" s="1074"/>
      <c r="AP987" s="1074"/>
      <c r="AQ987" s="1074"/>
      <c r="AR987" s="1074"/>
      <c r="AS987" s="1074"/>
      <c r="AT987" s="1075"/>
    </row>
    <row r="988" ht="14.25" customHeight="1">
      <c r="A988" s="1116"/>
      <c r="B988" s="1120"/>
      <c r="C988" s="1100"/>
      <c r="D988" s="1100"/>
      <c r="E988" s="1100"/>
      <c r="F988" s="1100"/>
      <c r="G988" s="1100"/>
      <c r="H988" s="1100"/>
      <c r="I988" s="1100"/>
      <c r="J988" s="1100"/>
      <c r="K988" s="1074"/>
      <c r="L988" s="1074"/>
      <c r="M988" s="1074"/>
      <c r="N988" s="1074"/>
      <c r="O988" s="1074"/>
      <c r="P988" s="1074"/>
      <c r="Q988" s="1074"/>
      <c r="R988" s="1074"/>
      <c r="S988" s="1074"/>
      <c r="T988" s="1074"/>
      <c r="U988" s="1074"/>
      <c r="V988" s="1074"/>
      <c r="W988" s="1074"/>
      <c r="X988" s="1074"/>
      <c r="Y988" s="1074"/>
      <c r="Z988" s="1074"/>
      <c r="AA988" s="1074"/>
      <c r="AB988" s="1074"/>
      <c r="AC988" s="1074"/>
      <c r="AD988" s="1074"/>
      <c r="AE988" s="1074"/>
      <c r="AF988" s="1074"/>
      <c r="AG988" s="1074"/>
      <c r="AH988" s="1074"/>
      <c r="AI988" s="1074"/>
      <c r="AJ988" s="1074"/>
      <c r="AK988" s="1074"/>
      <c r="AL988" s="1074"/>
      <c r="AM988" s="1074"/>
      <c r="AN988" s="1074"/>
      <c r="AO988" s="1074"/>
      <c r="AP988" s="1074"/>
      <c r="AQ988" s="1074"/>
      <c r="AR988" s="1074"/>
      <c r="AS988" s="1074"/>
      <c r="AT988" s="1075"/>
    </row>
    <row r="989" ht="14.25" customHeight="1">
      <c r="A989" s="1116"/>
      <c r="B989" s="1120"/>
      <c r="C989" s="1100"/>
      <c r="D989" s="1100"/>
      <c r="E989" s="1100"/>
      <c r="F989" s="1100"/>
      <c r="G989" s="1100"/>
      <c r="H989" s="1100"/>
      <c r="I989" s="1100"/>
      <c r="J989" s="1100"/>
      <c r="K989" s="1074"/>
      <c r="L989" s="1074"/>
      <c r="M989" s="1074"/>
      <c r="N989" s="1074"/>
      <c r="O989" s="1074"/>
      <c r="P989" s="1074"/>
      <c r="Q989" s="1074"/>
      <c r="R989" s="1074"/>
      <c r="S989" s="1074"/>
      <c r="T989" s="1074"/>
      <c r="U989" s="1074"/>
      <c r="V989" s="1074"/>
      <c r="W989" s="1074"/>
      <c r="X989" s="1074"/>
      <c r="Y989" s="1074"/>
      <c r="Z989" s="1074"/>
      <c r="AA989" s="1074"/>
      <c r="AB989" s="1074"/>
      <c r="AC989" s="1074"/>
      <c r="AD989" s="1074"/>
      <c r="AE989" s="1074"/>
      <c r="AF989" s="1074"/>
      <c r="AG989" s="1074"/>
      <c r="AH989" s="1074"/>
      <c r="AI989" s="1074"/>
      <c r="AJ989" s="1074"/>
      <c r="AK989" s="1074"/>
      <c r="AL989" s="1074"/>
      <c r="AM989" s="1074"/>
      <c r="AN989" s="1074"/>
      <c r="AO989" s="1074"/>
      <c r="AP989" s="1074"/>
      <c r="AQ989" s="1074"/>
      <c r="AR989" s="1074"/>
      <c r="AS989" s="1074"/>
      <c r="AT989" s="1075"/>
    </row>
    <row r="990" ht="14.25" customHeight="1">
      <c r="A990" s="1116"/>
      <c r="B990" s="1120"/>
      <c r="C990" s="1100"/>
      <c r="D990" s="1100"/>
      <c r="E990" s="1100"/>
      <c r="F990" s="1100"/>
      <c r="G990" s="1100"/>
      <c r="H990" s="1100"/>
      <c r="I990" s="1100"/>
      <c r="J990" s="1100"/>
      <c r="K990" s="1074"/>
      <c r="L990" s="1074"/>
      <c r="M990" s="1074"/>
      <c r="N990" s="1074"/>
      <c r="O990" s="1074"/>
      <c r="P990" s="1074"/>
      <c r="Q990" s="1074"/>
      <c r="R990" s="1074"/>
      <c r="S990" s="1074"/>
      <c r="T990" s="1074"/>
      <c r="U990" s="1074"/>
      <c r="V990" s="1074"/>
      <c r="W990" s="1074"/>
      <c r="X990" s="1074"/>
      <c r="Y990" s="1074"/>
      <c r="Z990" s="1074"/>
      <c r="AA990" s="1074"/>
      <c r="AB990" s="1074"/>
      <c r="AC990" s="1074"/>
      <c r="AD990" s="1074"/>
      <c r="AE990" s="1074"/>
      <c r="AF990" s="1074"/>
      <c r="AG990" s="1074"/>
      <c r="AH990" s="1074"/>
      <c r="AI990" s="1074"/>
      <c r="AJ990" s="1074"/>
      <c r="AK990" s="1074"/>
      <c r="AL990" s="1074"/>
      <c r="AM990" s="1074"/>
      <c r="AN990" s="1074"/>
      <c r="AO990" s="1074"/>
      <c r="AP990" s="1074"/>
      <c r="AQ990" s="1074"/>
      <c r="AR990" s="1074"/>
      <c r="AS990" s="1074"/>
      <c r="AT990" s="1075"/>
    </row>
    <row r="991" ht="14.25" customHeight="1">
      <c r="A991" s="1116"/>
      <c r="B991" s="1120"/>
      <c r="C991" s="1100"/>
      <c r="D991" s="1100"/>
      <c r="E991" s="1100"/>
      <c r="F991" s="1100"/>
      <c r="G991" s="1100"/>
      <c r="H991" s="1100"/>
      <c r="I991" s="1100"/>
      <c r="J991" s="1100"/>
      <c r="K991" s="1074"/>
      <c r="L991" s="1074"/>
      <c r="M991" s="1074"/>
      <c r="N991" s="1074"/>
      <c r="O991" s="1074"/>
      <c r="P991" s="1074"/>
      <c r="Q991" s="1074"/>
      <c r="R991" s="1074"/>
      <c r="S991" s="1074"/>
      <c r="T991" s="1074"/>
      <c r="U991" s="1074"/>
      <c r="V991" s="1074"/>
      <c r="W991" s="1074"/>
      <c r="X991" s="1074"/>
      <c r="Y991" s="1074"/>
      <c r="Z991" s="1074"/>
      <c r="AA991" s="1074"/>
      <c r="AB991" s="1074"/>
      <c r="AC991" s="1074"/>
      <c r="AD991" s="1074"/>
      <c r="AE991" s="1074"/>
      <c r="AF991" s="1074"/>
      <c r="AG991" s="1074"/>
      <c r="AH991" s="1074"/>
      <c r="AI991" s="1074"/>
      <c r="AJ991" s="1074"/>
      <c r="AK991" s="1074"/>
      <c r="AL991" s="1074"/>
      <c r="AM991" s="1074"/>
      <c r="AN991" s="1074"/>
      <c r="AO991" s="1074"/>
      <c r="AP991" s="1074"/>
      <c r="AQ991" s="1074"/>
      <c r="AR991" s="1074"/>
      <c r="AS991" s="1074"/>
      <c r="AT991" s="1075"/>
    </row>
    <row r="992" ht="14.25" customHeight="1">
      <c r="A992" s="1116"/>
      <c r="B992" s="1120"/>
      <c r="C992" s="1100"/>
      <c r="D992" s="1100"/>
      <c r="E992" s="1100"/>
      <c r="F992" s="1100"/>
      <c r="G992" s="1100"/>
      <c r="H992" s="1100"/>
      <c r="I992" s="1100"/>
      <c r="J992" s="1100"/>
      <c r="K992" s="1074"/>
      <c r="L992" s="1074"/>
      <c r="M992" s="1074"/>
      <c r="N992" s="1074"/>
      <c r="O992" s="1074"/>
      <c r="P992" s="1074"/>
      <c r="Q992" s="1074"/>
      <c r="R992" s="1074"/>
      <c r="S992" s="1074"/>
      <c r="T992" s="1074"/>
      <c r="U992" s="1074"/>
      <c r="V992" s="1074"/>
      <c r="W992" s="1074"/>
      <c r="X992" s="1074"/>
      <c r="Y992" s="1074"/>
      <c r="Z992" s="1074"/>
      <c r="AA992" s="1074"/>
      <c r="AB992" s="1074"/>
      <c r="AC992" s="1074"/>
      <c r="AD992" s="1074"/>
      <c r="AE992" s="1074"/>
      <c r="AF992" s="1074"/>
      <c r="AG992" s="1074"/>
      <c r="AH992" s="1074"/>
      <c r="AI992" s="1074"/>
      <c r="AJ992" s="1074"/>
      <c r="AK992" s="1074"/>
      <c r="AL992" s="1074"/>
      <c r="AM992" s="1074"/>
      <c r="AN992" s="1074"/>
      <c r="AO992" s="1074"/>
      <c r="AP992" s="1074"/>
      <c r="AQ992" s="1074"/>
      <c r="AR992" s="1074"/>
      <c r="AS992" s="1074"/>
      <c r="AT992" s="1075"/>
    </row>
    <row r="993" ht="14.25" customHeight="1">
      <c r="A993" s="1116"/>
      <c r="B993" s="1120"/>
      <c r="C993" s="1100"/>
      <c r="D993" s="1100"/>
      <c r="E993" s="1100"/>
      <c r="F993" s="1100"/>
      <c r="G993" s="1100"/>
      <c r="H993" s="1100"/>
      <c r="I993" s="1100"/>
      <c r="J993" s="1100"/>
      <c r="K993" s="1074"/>
      <c r="L993" s="1074"/>
      <c r="M993" s="1074"/>
      <c r="N993" s="1074"/>
      <c r="O993" s="1074"/>
      <c r="P993" s="1074"/>
      <c r="Q993" s="1074"/>
      <c r="R993" s="1074"/>
      <c r="S993" s="1074"/>
      <c r="T993" s="1074"/>
      <c r="U993" s="1074"/>
      <c r="V993" s="1074"/>
      <c r="W993" s="1074"/>
      <c r="X993" s="1074"/>
      <c r="Y993" s="1074"/>
      <c r="Z993" s="1074"/>
      <c r="AA993" s="1074"/>
      <c r="AB993" s="1074"/>
      <c r="AC993" s="1074"/>
      <c r="AD993" s="1074"/>
      <c r="AE993" s="1074"/>
      <c r="AF993" s="1074"/>
      <c r="AG993" s="1074"/>
      <c r="AH993" s="1074"/>
      <c r="AI993" s="1074"/>
      <c r="AJ993" s="1074"/>
      <c r="AK993" s="1074"/>
      <c r="AL993" s="1074"/>
      <c r="AM993" s="1074"/>
      <c r="AN993" s="1074"/>
      <c r="AO993" s="1074"/>
      <c r="AP993" s="1074"/>
      <c r="AQ993" s="1074"/>
      <c r="AR993" s="1074"/>
      <c r="AS993" s="1074"/>
      <c r="AT993" s="1075"/>
    </row>
    <row r="994" ht="14.25" customHeight="1">
      <c r="A994" s="1116"/>
      <c r="B994" s="1120"/>
      <c r="C994" s="1100"/>
      <c r="D994" s="1100"/>
      <c r="E994" s="1100"/>
      <c r="F994" s="1100"/>
      <c r="G994" s="1100"/>
      <c r="H994" s="1100"/>
      <c r="I994" s="1100"/>
      <c r="J994" s="1100"/>
      <c r="K994" s="1074"/>
      <c r="L994" s="1074"/>
      <c r="M994" s="1074"/>
      <c r="N994" s="1074"/>
      <c r="O994" s="1074"/>
      <c r="P994" s="1074"/>
      <c r="Q994" s="1074"/>
      <c r="R994" s="1074"/>
      <c r="S994" s="1074"/>
      <c r="T994" s="1074"/>
      <c r="U994" s="1074"/>
      <c r="V994" s="1074"/>
      <c r="W994" s="1074"/>
      <c r="X994" s="1074"/>
      <c r="Y994" s="1074"/>
      <c r="Z994" s="1074"/>
      <c r="AA994" s="1074"/>
      <c r="AB994" s="1074"/>
      <c r="AC994" s="1074"/>
      <c r="AD994" s="1074"/>
      <c r="AE994" s="1074"/>
      <c r="AF994" s="1074"/>
      <c r="AG994" s="1074"/>
      <c r="AH994" s="1074"/>
      <c r="AI994" s="1074"/>
      <c r="AJ994" s="1074"/>
      <c r="AK994" s="1074"/>
      <c r="AL994" s="1074"/>
      <c r="AM994" s="1074"/>
      <c r="AN994" s="1074"/>
      <c r="AO994" s="1074"/>
      <c r="AP994" s="1074"/>
      <c r="AQ994" s="1074"/>
      <c r="AR994" s="1074"/>
      <c r="AS994" s="1074"/>
      <c r="AT994" s="1075"/>
    </row>
    <row r="995" ht="14.25" customHeight="1">
      <c r="A995" s="1116"/>
      <c r="B995" s="1120"/>
      <c r="C995" s="1100"/>
      <c r="D995" s="1100"/>
      <c r="E995" s="1100"/>
      <c r="F995" s="1100"/>
      <c r="G995" s="1100"/>
      <c r="H995" s="1100"/>
      <c r="I995" s="1100"/>
      <c r="J995" s="1100"/>
      <c r="K995" s="1074"/>
      <c r="L995" s="1074"/>
      <c r="M995" s="1074"/>
      <c r="N995" s="1074"/>
      <c r="O995" s="1074"/>
      <c r="P995" s="1074"/>
      <c r="Q995" s="1074"/>
      <c r="R995" s="1074"/>
      <c r="S995" s="1074"/>
      <c r="T995" s="1074"/>
      <c r="U995" s="1074"/>
      <c r="V995" s="1074"/>
      <c r="W995" s="1074"/>
      <c r="X995" s="1074"/>
      <c r="Y995" s="1074"/>
      <c r="Z995" s="1074"/>
      <c r="AA995" s="1074"/>
      <c r="AB995" s="1074"/>
      <c r="AC995" s="1074"/>
      <c r="AD995" s="1074"/>
      <c r="AE995" s="1074"/>
      <c r="AF995" s="1074"/>
      <c r="AG995" s="1074"/>
      <c r="AH995" s="1074"/>
      <c r="AI995" s="1074"/>
      <c r="AJ995" s="1074"/>
      <c r="AK995" s="1074"/>
      <c r="AL995" s="1074"/>
      <c r="AM995" s="1074"/>
      <c r="AN995" s="1074"/>
      <c r="AO995" s="1074"/>
      <c r="AP995" s="1074"/>
      <c r="AQ995" s="1074"/>
      <c r="AR995" s="1074"/>
      <c r="AS995" s="1074"/>
      <c r="AT995" s="1075"/>
    </row>
    <row r="996" ht="14.25" customHeight="1">
      <c r="A996" s="1116"/>
      <c r="B996" s="1120"/>
      <c r="C996" s="1100"/>
      <c r="D996" s="1100"/>
      <c r="E996" s="1100"/>
      <c r="F996" s="1100"/>
      <c r="G996" s="1100"/>
      <c r="H996" s="1100"/>
      <c r="I996" s="1100"/>
      <c r="J996" s="1100"/>
      <c r="K996" s="1074"/>
      <c r="L996" s="1074"/>
      <c r="M996" s="1074"/>
      <c r="N996" s="1074"/>
      <c r="O996" s="1074"/>
      <c r="P996" s="1074"/>
      <c r="Q996" s="1074"/>
      <c r="R996" s="1074"/>
      <c r="S996" s="1074"/>
      <c r="T996" s="1074"/>
      <c r="U996" s="1074"/>
      <c r="V996" s="1074"/>
      <c r="W996" s="1074"/>
      <c r="X996" s="1074"/>
      <c r="Y996" s="1074"/>
      <c r="Z996" s="1074"/>
      <c r="AA996" s="1074"/>
      <c r="AB996" s="1074"/>
      <c r="AC996" s="1074"/>
      <c r="AD996" s="1074"/>
      <c r="AE996" s="1074"/>
      <c r="AF996" s="1074"/>
      <c r="AG996" s="1074"/>
      <c r="AH996" s="1074"/>
      <c r="AI996" s="1074"/>
      <c r="AJ996" s="1074"/>
      <c r="AK996" s="1074"/>
      <c r="AL996" s="1074"/>
      <c r="AM996" s="1074"/>
      <c r="AN996" s="1074"/>
      <c r="AO996" s="1074"/>
      <c r="AP996" s="1074"/>
      <c r="AQ996" s="1074"/>
      <c r="AR996" s="1074"/>
      <c r="AS996" s="1074"/>
      <c r="AT996" s="1075"/>
    </row>
    <row r="997" ht="14.25" customHeight="1">
      <c r="A997" s="1116"/>
      <c r="B997" s="1120"/>
      <c r="C997" s="1100"/>
      <c r="D997" s="1100"/>
      <c r="E997" s="1100"/>
      <c r="F997" s="1100"/>
      <c r="G997" s="1100"/>
      <c r="H997" s="1100"/>
      <c r="I997" s="1100"/>
      <c r="J997" s="1100"/>
      <c r="K997" s="1074"/>
      <c r="L997" s="1074"/>
      <c r="M997" s="1074"/>
      <c r="N997" s="1074"/>
      <c r="O997" s="1074"/>
      <c r="P997" s="1074"/>
      <c r="Q997" s="1074"/>
      <c r="R997" s="1074"/>
      <c r="S997" s="1074"/>
      <c r="T997" s="1074"/>
      <c r="U997" s="1074"/>
      <c r="V997" s="1074"/>
      <c r="W997" s="1074"/>
      <c r="X997" s="1074"/>
      <c r="Y997" s="1074"/>
      <c r="Z997" s="1074"/>
      <c r="AA997" s="1074"/>
      <c r="AB997" s="1074"/>
      <c r="AC997" s="1074"/>
      <c r="AD997" s="1074"/>
      <c r="AE997" s="1074"/>
      <c r="AF997" s="1074"/>
      <c r="AG997" s="1074"/>
      <c r="AH997" s="1074"/>
      <c r="AI997" s="1074"/>
      <c r="AJ997" s="1074"/>
      <c r="AK997" s="1074"/>
      <c r="AL997" s="1074"/>
      <c r="AM997" s="1074"/>
      <c r="AN997" s="1074"/>
      <c r="AO997" s="1074"/>
      <c r="AP997" s="1074"/>
      <c r="AQ997" s="1074"/>
      <c r="AR997" s="1074"/>
      <c r="AS997" s="1074"/>
      <c r="AT997" s="1075"/>
    </row>
    <row r="998" ht="14.25" customHeight="1">
      <c r="A998" s="1116"/>
      <c r="B998" s="1120"/>
      <c r="C998" s="1100"/>
      <c r="D998" s="1100"/>
      <c r="E998" s="1100"/>
      <c r="F998" s="1100"/>
      <c r="G998" s="1100"/>
      <c r="H998" s="1100"/>
      <c r="I998" s="1100"/>
      <c r="J998" s="1100"/>
      <c r="K998" s="1074"/>
      <c r="L998" s="1074"/>
      <c r="M998" s="1074"/>
      <c r="N998" s="1074"/>
      <c r="O998" s="1074"/>
      <c r="P998" s="1074"/>
      <c r="Q998" s="1074"/>
      <c r="R998" s="1074"/>
      <c r="S998" s="1074"/>
      <c r="T998" s="1074"/>
      <c r="U998" s="1074"/>
      <c r="V998" s="1074"/>
      <c r="W998" s="1074"/>
      <c r="X998" s="1074"/>
      <c r="Y998" s="1074"/>
      <c r="Z998" s="1074"/>
      <c r="AA998" s="1074"/>
      <c r="AB998" s="1074"/>
      <c r="AC998" s="1074"/>
      <c r="AD998" s="1074"/>
      <c r="AE998" s="1074"/>
      <c r="AF998" s="1074"/>
      <c r="AG998" s="1074"/>
      <c r="AH998" s="1074"/>
      <c r="AI998" s="1074"/>
      <c r="AJ998" s="1074"/>
      <c r="AK998" s="1074"/>
      <c r="AL998" s="1074"/>
      <c r="AM998" s="1074"/>
      <c r="AN998" s="1074"/>
      <c r="AO998" s="1074"/>
      <c r="AP998" s="1074"/>
      <c r="AQ998" s="1074"/>
      <c r="AR998" s="1074"/>
      <c r="AS998" s="1074"/>
      <c r="AT998" s="1075"/>
    </row>
    <row r="999" ht="14.25" customHeight="1">
      <c r="A999" s="1116"/>
      <c r="B999" s="1120"/>
      <c r="C999" s="1100"/>
      <c r="D999" s="1100"/>
      <c r="E999" s="1100"/>
      <c r="F999" s="1100"/>
      <c r="G999" s="1100"/>
      <c r="H999" s="1100"/>
      <c r="I999" s="1100"/>
      <c r="J999" s="1100"/>
      <c r="K999" s="1074"/>
      <c r="L999" s="1074"/>
      <c r="M999" s="1074"/>
      <c r="N999" s="1074"/>
      <c r="O999" s="1074"/>
      <c r="P999" s="1074"/>
      <c r="Q999" s="1074"/>
      <c r="R999" s="1074"/>
      <c r="S999" s="1074"/>
      <c r="T999" s="1074"/>
      <c r="U999" s="1074"/>
      <c r="V999" s="1074"/>
      <c r="W999" s="1074"/>
      <c r="X999" s="1074"/>
      <c r="Y999" s="1074"/>
      <c r="Z999" s="1074"/>
      <c r="AA999" s="1074"/>
      <c r="AB999" s="1074"/>
      <c r="AC999" s="1074"/>
      <c r="AD999" s="1074"/>
      <c r="AE999" s="1074"/>
      <c r="AF999" s="1074"/>
      <c r="AG999" s="1074"/>
      <c r="AH999" s="1074"/>
      <c r="AI999" s="1074"/>
      <c r="AJ999" s="1074"/>
      <c r="AK999" s="1074"/>
      <c r="AL999" s="1074"/>
      <c r="AM999" s="1074"/>
      <c r="AN999" s="1074"/>
      <c r="AO999" s="1074"/>
      <c r="AP999" s="1074"/>
      <c r="AQ999" s="1074"/>
      <c r="AR999" s="1074"/>
      <c r="AS999" s="1074"/>
      <c r="AT999" s="1075"/>
    </row>
    <row r="1000" ht="14.25" customHeight="1">
      <c r="A1000" s="1116"/>
      <c r="B1000" s="1120"/>
      <c r="C1000" s="1100"/>
      <c r="D1000" s="1100"/>
      <c r="E1000" s="1100"/>
      <c r="F1000" s="1100"/>
      <c r="G1000" s="1100"/>
      <c r="H1000" s="1100"/>
      <c r="I1000" s="1100"/>
      <c r="J1000" s="1100"/>
      <c r="K1000" s="1074"/>
      <c r="L1000" s="1074"/>
      <c r="M1000" s="1074"/>
      <c r="N1000" s="1074"/>
      <c r="O1000" s="1074"/>
      <c r="P1000" s="1074"/>
      <c r="Q1000" s="1074"/>
      <c r="R1000" s="1074"/>
      <c r="S1000" s="1074"/>
      <c r="T1000" s="1074"/>
      <c r="U1000" s="1074"/>
      <c r="V1000" s="1074"/>
      <c r="W1000" s="1074"/>
      <c r="X1000" s="1074"/>
      <c r="Y1000" s="1074"/>
      <c r="Z1000" s="1074"/>
      <c r="AA1000" s="1074"/>
      <c r="AB1000" s="1074"/>
      <c r="AC1000" s="1074"/>
      <c r="AD1000" s="1074"/>
      <c r="AE1000" s="1074"/>
      <c r="AF1000" s="1074"/>
      <c r="AG1000" s="1074"/>
      <c r="AH1000" s="1074"/>
      <c r="AI1000" s="1074"/>
      <c r="AJ1000" s="1074"/>
      <c r="AK1000" s="1074"/>
      <c r="AL1000" s="1074"/>
      <c r="AM1000" s="1074"/>
      <c r="AN1000" s="1074"/>
      <c r="AO1000" s="1074"/>
      <c r="AP1000" s="1074"/>
      <c r="AQ1000" s="1074"/>
      <c r="AR1000" s="1074"/>
      <c r="AS1000" s="1074"/>
      <c r="AT1000" s="1075"/>
    </row>
    <row r="1001" ht="14.25" customHeight="1">
      <c r="A1001" s="1116"/>
      <c r="B1001" s="1120"/>
      <c r="C1001" s="1100"/>
      <c r="D1001" s="1100"/>
      <c r="E1001" s="1100"/>
      <c r="F1001" s="1100"/>
      <c r="G1001" s="1100"/>
      <c r="H1001" s="1100"/>
      <c r="I1001" s="1100"/>
      <c r="J1001" s="1100"/>
      <c r="K1001" s="1074"/>
      <c r="L1001" s="1074"/>
      <c r="M1001" s="1074"/>
      <c r="N1001" s="1074"/>
      <c r="O1001" s="1074"/>
      <c r="P1001" s="1074"/>
      <c r="Q1001" s="1074"/>
      <c r="R1001" s="1074"/>
      <c r="S1001" s="1074"/>
      <c r="T1001" s="1074"/>
      <c r="U1001" s="1074"/>
      <c r="V1001" s="1074"/>
      <c r="W1001" s="1074"/>
      <c r="X1001" s="1074"/>
      <c r="Y1001" s="1074"/>
      <c r="Z1001" s="1074"/>
      <c r="AA1001" s="1074"/>
      <c r="AB1001" s="1074"/>
      <c r="AC1001" s="1074"/>
      <c r="AD1001" s="1074"/>
      <c r="AE1001" s="1074"/>
      <c r="AF1001" s="1074"/>
      <c r="AG1001" s="1074"/>
      <c r="AH1001" s="1074"/>
      <c r="AI1001" s="1074"/>
      <c r="AJ1001" s="1074"/>
      <c r="AK1001" s="1074"/>
      <c r="AL1001" s="1074"/>
      <c r="AM1001" s="1074"/>
      <c r="AN1001" s="1074"/>
      <c r="AO1001" s="1074"/>
      <c r="AP1001" s="1074"/>
      <c r="AQ1001" s="1074"/>
      <c r="AR1001" s="1074"/>
      <c r="AS1001" s="1074"/>
      <c r="AT1001" s="1075"/>
    </row>
    <row r="1002" ht="14.25" customHeight="1">
      <c r="A1002" s="1116"/>
      <c r="B1002" s="1120"/>
      <c r="C1002" s="1100"/>
      <c r="D1002" s="1100"/>
      <c r="E1002" s="1100"/>
      <c r="F1002" s="1100"/>
      <c r="G1002" s="1100"/>
      <c r="H1002" s="1100"/>
      <c r="I1002" s="1100"/>
      <c r="J1002" s="1100"/>
      <c r="K1002" s="1074"/>
      <c r="L1002" s="1074"/>
      <c r="M1002" s="1074"/>
      <c r="N1002" s="1074"/>
      <c r="O1002" s="1074"/>
      <c r="P1002" s="1074"/>
      <c r="Q1002" s="1074"/>
      <c r="R1002" s="1074"/>
      <c r="S1002" s="1074"/>
      <c r="T1002" s="1074"/>
      <c r="U1002" s="1074"/>
      <c r="V1002" s="1074"/>
      <c r="W1002" s="1074"/>
      <c r="X1002" s="1074"/>
      <c r="Y1002" s="1074"/>
      <c r="Z1002" s="1074"/>
      <c r="AA1002" s="1074"/>
      <c r="AB1002" s="1074"/>
      <c r="AC1002" s="1074"/>
      <c r="AD1002" s="1074"/>
      <c r="AE1002" s="1074"/>
      <c r="AF1002" s="1074"/>
      <c r="AG1002" s="1074"/>
      <c r="AH1002" s="1074"/>
      <c r="AI1002" s="1074"/>
      <c r="AJ1002" s="1074"/>
      <c r="AK1002" s="1074"/>
      <c r="AL1002" s="1074"/>
      <c r="AM1002" s="1074"/>
      <c r="AN1002" s="1074"/>
      <c r="AO1002" s="1074"/>
      <c r="AP1002" s="1074"/>
      <c r="AQ1002" s="1074"/>
      <c r="AR1002" s="1074"/>
      <c r="AS1002" s="1074"/>
      <c r="AT1002" s="1075"/>
    </row>
    <row r="1003" ht="14.25" customHeight="1">
      <c r="A1003" s="1116"/>
      <c r="B1003" s="1120"/>
      <c r="C1003" s="1100"/>
      <c r="D1003" s="1100"/>
      <c r="E1003" s="1100"/>
      <c r="F1003" s="1100"/>
      <c r="G1003" s="1100"/>
      <c r="H1003" s="1100"/>
      <c r="I1003" s="1100"/>
      <c r="J1003" s="1100"/>
      <c r="K1003" s="1074"/>
      <c r="L1003" s="1074"/>
      <c r="M1003" s="1074"/>
      <c r="N1003" s="1074"/>
      <c r="O1003" s="1074"/>
      <c r="P1003" s="1074"/>
      <c r="Q1003" s="1074"/>
      <c r="R1003" s="1074"/>
      <c r="S1003" s="1074"/>
      <c r="T1003" s="1074"/>
      <c r="U1003" s="1074"/>
      <c r="V1003" s="1074"/>
      <c r="W1003" s="1074"/>
      <c r="X1003" s="1074"/>
      <c r="Y1003" s="1074"/>
      <c r="Z1003" s="1074"/>
      <c r="AA1003" s="1074"/>
      <c r="AB1003" s="1074"/>
      <c r="AC1003" s="1074"/>
      <c r="AD1003" s="1074"/>
      <c r="AE1003" s="1074"/>
      <c r="AF1003" s="1074"/>
      <c r="AG1003" s="1074"/>
      <c r="AH1003" s="1074"/>
      <c r="AI1003" s="1074"/>
      <c r="AJ1003" s="1074"/>
      <c r="AK1003" s="1074"/>
      <c r="AL1003" s="1074"/>
      <c r="AM1003" s="1074"/>
      <c r="AN1003" s="1074"/>
      <c r="AO1003" s="1074"/>
      <c r="AP1003" s="1074"/>
      <c r="AQ1003" s="1074"/>
      <c r="AR1003" s="1074"/>
      <c r="AS1003" s="1074"/>
      <c r="AT1003" s="1075"/>
    </row>
    <row r="1004" ht="14.25" customHeight="1">
      <c r="A1004" s="1116"/>
      <c r="B1004" s="1120"/>
      <c r="C1004" s="1100"/>
      <c r="D1004" s="1100"/>
      <c r="E1004" s="1100"/>
      <c r="F1004" s="1100"/>
      <c r="G1004" s="1100"/>
      <c r="H1004" s="1100"/>
      <c r="I1004" s="1100"/>
      <c r="J1004" s="1100"/>
      <c r="K1004" s="1074"/>
      <c r="L1004" s="1074"/>
      <c r="M1004" s="1074"/>
      <c r="N1004" s="1074"/>
      <c r="O1004" s="1074"/>
      <c r="P1004" s="1074"/>
      <c r="Q1004" s="1074"/>
      <c r="R1004" s="1074"/>
      <c r="S1004" s="1074"/>
      <c r="T1004" s="1074"/>
      <c r="U1004" s="1074"/>
      <c r="V1004" s="1074"/>
      <c r="W1004" s="1074"/>
      <c r="X1004" s="1074"/>
      <c r="Y1004" s="1074"/>
      <c r="Z1004" s="1074"/>
      <c r="AA1004" s="1074"/>
      <c r="AB1004" s="1074"/>
      <c r="AC1004" s="1074"/>
      <c r="AD1004" s="1074"/>
      <c r="AE1004" s="1074"/>
      <c r="AF1004" s="1074"/>
      <c r="AG1004" s="1074"/>
      <c r="AH1004" s="1074"/>
      <c r="AI1004" s="1074"/>
      <c r="AJ1004" s="1074"/>
      <c r="AK1004" s="1074"/>
      <c r="AL1004" s="1074"/>
      <c r="AM1004" s="1074"/>
      <c r="AN1004" s="1074"/>
      <c r="AO1004" s="1074"/>
      <c r="AP1004" s="1074"/>
      <c r="AQ1004" s="1074"/>
      <c r="AR1004" s="1074"/>
      <c r="AS1004" s="1074"/>
      <c r="AT1004" s="1075"/>
    </row>
    <row r="1005" ht="14.25" customHeight="1">
      <c r="A1005" s="1116"/>
      <c r="B1005" s="1120"/>
      <c r="C1005" s="1100"/>
      <c r="D1005" s="1100"/>
      <c r="E1005" s="1100"/>
      <c r="F1005" s="1100"/>
      <c r="G1005" s="1100"/>
      <c r="H1005" s="1100"/>
      <c r="I1005" s="1100"/>
      <c r="J1005" s="1100"/>
      <c r="K1005" s="1074"/>
      <c r="L1005" s="1074"/>
      <c r="M1005" s="1074"/>
      <c r="N1005" s="1074"/>
      <c r="O1005" s="1074"/>
      <c r="P1005" s="1074"/>
      <c r="Q1005" s="1074"/>
      <c r="R1005" s="1074"/>
      <c r="S1005" s="1074"/>
      <c r="T1005" s="1074"/>
      <c r="U1005" s="1074"/>
      <c r="V1005" s="1074"/>
      <c r="W1005" s="1074"/>
      <c r="X1005" s="1074"/>
      <c r="Y1005" s="1074"/>
      <c r="Z1005" s="1074"/>
      <c r="AA1005" s="1074"/>
      <c r="AB1005" s="1074"/>
      <c r="AC1005" s="1074"/>
      <c r="AD1005" s="1074"/>
      <c r="AE1005" s="1074"/>
      <c r="AF1005" s="1074"/>
      <c r="AG1005" s="1074"/>
      <c r="AH1005" s="1074"/>
      <c r="AI1005" s="1074"/>
      <c r="AJ1005" s="1074"/>
      <c r="AK1005" s="1074"/>
      <c r="AL1005" s="1074"/>
      <c r="AM1005" s="1074"/>
      <c r="AN1005" s="1074"/>
      <c r="AO1005" s="1074"/>
      <c r="AP1005" s="1074"/>
      <c r="AQ1005" s="1074"/>
      <c r="AR1005" s="1074"/>
      <c r="AS1005" s="1074"/>
      <c r="AT1005" s="1075"/>
    </row>
    <row r="1006" ht="14.25" customHeight="1">
      <c r="A1006" s="1116"/>
      <c r="B1006" s="1120"/>
      <c r="C1006" s="1100"/>
      <c r="D1006" s="1100"/>
      <c r="E1006" s="1100"/>
      <c r="F1006" s="1100"/>
      <c r="G1006" s="1100"/>
      <c r="H1006" s="1100"/>
      <c r="I1006" s="1100"/>
      <c r="J1006" s="1100"/>
      <c r="K1006" s="1074"/>
      <c r="L1006" s="1074"/>
      <c r="M1006" s="1074"/>
      <c r="N1006" s="1074"/>
      <c r="O1006" s="1074"/>
      <c r="P1006" s="1074"/>
      <c r="Q1006" s="1074"/>
      <c r="R1006" s="1074"/>
      <c r="S1006" s="1074"/>
      <c r="T1006" s="1074"/>
      <c r="U1006" s="1074"/>
      <c r="V1006" s="1074"/>
      <c r="W1006" s="1074"/>
      <c r="X1006" s="1074"/>
      <c r="Y1006" s="1074"/>
      <c r="Z1006" s="1074"/>
      <c r="AA1006" s="1074"/>
      <c r="AB1006" s="1074"/>
      <c r="AC1006" s="1074"/>
      <c r="AD1006" s="1074"/>
      <c r="AE1006" s="1074"/>
      <c r="AF1006" s="1074"/>
      <c r="AG1006" s="1074"/>
      <c r="AH1006" s="1074"/>
      <c r="AI1006" s="1074"/>
      <c r="AJ1006" s="1074"/>
      <c r="AK1006" s="1074"/>
      <c r="AL1006" s="1074"/>
      <c r="AM1006" s="1074"/>
      <c r="AN1006" s="1074"/>
      <c r="AO1006" s="1074"/>
      <c r="AP1006" s="1074"/>
      <c r="AQ1006" s="1074"/>
      <c r="AR1006" s="1074"/>
      <c r="AS1006" s="1074"/>
      <c r="AT1006" s="1075"/>
    </row>
    <row r="1007" ht="14.25" customHeight="1">
      <c r="A1007" s="1116"/>
      <c r="B1007" s="1120"/>
      <c r="C1007" s="1100"/>
      <c r="D1007" s="1100"/>
      <c r="E1007" s="1100"/>
      <c r="F1007" s="1100"/>
      <c r="G1007" s="1100"/>
      <c r="H1007" s="1100"/>
      <c r="I1007" s="1100"/>
      <c r="J1007" s="1100"/>
      <c r="K1007" s="1074"/>
      <c r="L1007" s="1074"/>
      <c r="M1007" s="1074"/>
      <c r="N1007" s="1074"/>
      <c r="O1007" s="1074"/>
      <c r="P1007" s="1074"/>
      <c r="Q1007" s="1074"/>
      <c r="R1007" s="1074"/>
      <c r="S1007" s="1074"/>
      <c r="T1007" s="1074"/>
      <c r="U1007" s="1074"/>
      <c r="V1007" s="1074"/>
      <c r="W1007" s="1074"/>
      <c r="X1007" s="1074"/>
      <c r="Y1007" s="1074"/>
      <c r="Z1007" s="1074"/>
      <c r="AA1007" s="1074"/>
      <c r="AB1007" s="1074"/>
      <c r="AC1007" s="1074"/>
      <c r="AD1007" s="1074"/>
      <c r="AE1007" s="1074"/>
      <c r="AF1007" s="1074"/>
      <c r="AG1007" s="1074"/>
      <c r="AH1007" s="1074"/>
      <c r="AI1007" s="1074"/>
      <c r="AJ1007" s="1074"/>
      <c r="AK1007" s="1074"/>
      <c r="AL1007" s="1074"/>
      <c r="AM1007" s="1074"/>
      <c r="AN1007" s="1074"/>
      <c r="AO1007" s="1074"/>
      <c r="AP1007" s="1074"/>
      <c r="AQ1007" s="1074"/>
      <c r="AR1007" s="1074"/>
      <c r="AS1007" s="1074"/>
      <c r="AT1007" s="1075"/>
    </row>
    <row r="1008" ht="14.25" customHeight="1">
      <c r="A1008" s="1116"/>
      <c r="B1008" s="1120"/>
      <c r="C1008" s="1100"/>
      <c r="D1008" s="1100"/>
      <c r="E1008" s="1100"/>
      <c r="F1008" s="1100"/>
      <c r="G1008" s="1100"/>
      <c r="H1008" s="1100"/>
      <c r="I1008" s="1100"/>
      <c r="J1008" s="1100"/>
      <c r="K1008" s="1074"/>
      <c r="L1008" s="1074"/>
      <c r="M1008" s="1074"/>
      <c r="N1008" s="1074"/>
      <c r="O1008" s="1074"/>
      <c r="P1008" s="1074"/>
      <c r="Q1008" s="1074"/>
      <c r="R1008" s="1074"/>
      <c r="S1008" s="1074"/>
      <c r="T1008" s="1074"/>
      <c r="U1008" s="1074"/>
      <c r="V1008" s="1074"/>
      <c r="W1008" s="1074"/>
      <c r="X1008" s="1074"/>
      <c r="Y1008" s="1074"/>
      <c r="Z1008" s="1074"/>
      <c r="AA1008" s="1074"/>
      <c r="AB1008" s="1074"/>
      <c r="AC1008" s="1074"/>
      <c r="AD1008" s="1074"/>
      <c r="AE1008" s="1074"/>
      <c r="AF1008" s="1074"/>
      <c r="AG1008" s="1074"/>
      <c r="AH1008" s="1074"/>
      <c r="AI1008" s="1074"/>
      <c r="AJ1008" s="1074"/>
      <c r="AK1008" s="1074"/>
      <c r="AL1008" s="1074"/>
      <c r="AM1008" s="1074"/>
      <c r="AN1008" s="1074"/>
      <c r="AO1008" s="1074"/>
      <c r="AP1008" s="1074"/>
      <c r="AQ1008" s="1074"/>
      <c r="AR1008" s="1074"/>
      <c r="AS1008" s="1074"/>
      <c r="AT1008" s="1075"/>
    </row>
    <row r="1009" ht="14.25" customHeight="1">
      <c r="A1009" s="1116"/>
      <c r="B1009" s="1120"/>
      <c r="C1009" s="1100"/>
      <c r="D1009" s="1100"/>
      <c r="E1009" s="1100"/>
      <c r="F1009" s="1100"/>
      <c r="G1009" s="1100"/>
      <c r="H1009" s="1100"/>
      <c r="I1009" s="1100"/>
      <c r="J1009" s="1100"/>
      <c r="K1009" s="1074"/>
      <c r="L1009" s="1074"/>
      <c r="M1009" s="1074"/>
      <c r="N1009" s="1074"/>
      <c r="O1009" s="1074"/>
      <c r="P1009" s="1074"/>
      <c r="Q1009" s="1074"/>
      <c r="R1009" s="1074"/>
      <c r="S1009" s="1074"/>
      <c r="T1009" s="1074"/>
      <c r="U1009" s="1074"/>
      <c r="V1009" s="1074"/>
      <c r="W1009" s="1074"/>
      <c r="X1009" s="1074"/>
      <c r="Y1009" s="1074"/>
      <c r="Z1009" s="1074"/>
      <c r="AA1009" s="1074"/>
      <c r="AB1009" s="1074"/>
      <c r="AC1009" s="1074"/>
      <c r="AD1009" s="1074"/>
      <c r="AE1009" s="1074"/>
      <c r="AF1009" s="1074"/>
      <c r="AG1009" s="1074"/>
      <c r="AH1009" s="1074"/>
      <c r="AI1009" s="1074"/>
      <c r="AJ1009" s="1074"/>
      <c r="AK1009" s="1074"/>
      <c r="AL1009" s="1074"/>
      <c r="AM1009" s="1074"/>
      <c r="AN1009" s="1074"/>
      <c r="AO1009" s="1074"/>
      <c r="AP1009" s="1074"/>
      <c r="AQ1009" s="1074"/>
      <c r="AR1009" s="1074"/>
      <c r="AS1009" s="1074"/>
      <c r="AT1009" s="1075"/>
    </row>
    <row r="1010" ht="14.25" customHeight="1">
      <c r="A1010" s="1116"/>
      <c r="B1010" s="1120"/>
      <c r="C1010" s="1100"/>
      <c r="D1010" s="1100"/>
      <c r="E1010" s="1100"/>
      <c r="F1010" s="1100"/>
      <c r="G1010" s="1100"/>
      <c r="H1010" s="1100"/>
      <c r="I1010" s="1100"/>
      <c r="J1010" s="1100"/>
      <c r="K1010" s="1074"/>
      <c r="L1010" s="1074"/>
      <c r="M1010" s="1074"/>
      <c r="N1010" s="1074"/>
      <c r="O1010" s="1074"/>
      <c r="P1010" s="1074"/>
      <c r="Q1010" s="1074"/>
      <c r="R1010" s="1074"/>
      <c r="S1010" s="1074"/>
      <c r="T1010" s="1074"/>
      <c r="U1010" s="1074"/>
      <c r="V1010" s="1074"/>
      <c r="W1010" s="1074"/>
      <c r="X1010" s="1074"/>
      <c r="Y1010" s="1074"/>
      <c r="Z1010" s="1074"/>
      <c r="AA1010" s="1074"/>
      <c r="AB1010" s="1074"/>
      <c r="AC1010" s="1074"/>
      <c r="AD1010" s="1074"/>
      <c r="AE1010" s="1074"/>
      <c r="AF1010" s="1074"/>
      <c r="AG1010" s="1074"/>
      <c r="AH1010" s="1074"/>
      <c r="AI1010" s="1074"/>
      <c r="AJ1010" s="1074"/>
      <c r="AK1010" s="1074"/>
      <c r="AL1010" s="1074"/>
      <c r="AM1010" s="1074"/>
      <c r="AN1010" s="1074"/>
      <c r="AO1010" s="1074"/>
      <c r="AP1010" s="1074"/>
      <c r="AQ1010" s="1074"/>
      <c r="AR1010" s="1074"/>
      <c r="AS1010" s="1074"/>
      <c r="AT1010" s="1075"/>
    </row>
    <row r="1011" ht="14.25" customHeight="1">
      <c r="A1011" s="1116"/>
      <c r="B1011" s="1120"/>
      <c r="C1011" s="1100"/>
      <c r="D1011" s="1100"/>
      <c r="E1011" s="1100"/>
      <c r="F1011" s="1100"/>
      <c r="G1011" s="1100"/>
      <c r="H1011" s="1100"/>
      <c r="I1011" s="1100"/>
      <c r="J1011" s="1100"/>
      <c r="K1011" s="1074"/>
      <c r="L1011" s="1074"/>
      <c r="M1011" s="1074"/>
      <c r="N1011" s="1074"/>
      <c r="O1011" s="1074"/>
      <c r="P1011" s="1074"/>
      <c r="Q1011" s="1074"/>
      <c r="R1011" s="1074"/>
      <c r="S1011" s="1074"/>
      <c r="T1011" s="1074"/>
      <c r="U1011" s="1074"/>
      <c r="V1011" s="1074"/>
      <c r="W1011" s="1074"/>
      <c r="X1011" s="1074"/>
      <c r="Y1011" s="1074"/>
      <c r="Z1011" s="1074"/>
      <c r="AA1011" s="1074"/>
      <c r="AB1011" s="1074"/>
      <c r="AC1011" s="1074"/>
      <c r="AD1011" s="1074"/>
      <c r="AE1011" s="1074"/>
      <c r="AF1011" s="1074"/>
      <c r="AG1011" s="1074"/>
      <c r="AH1011" s="1074"/>
      <c r="AI1011" s="1074"/>
      <c r="AJ1011" s="1074"/>
      <c r="AK1011" s="1074"/>
      <c r="AL1011" s="1074"/>
      <c r="AM1011" s="1074"/>
      <c r="AN1011" s="1074"/>
      <c r="AO1011" s="1074"/>
      <c r="AP1011" s="1074"/>
      <c r="AQ1011" s="1074"/>
      <c r="AR1011" s="1074"/>
      <c r="AS1011" s="1074"/>
      <c r="AT1011" s="1075"/>
    </row>
    <row r="1012" ht="14.25" customHeight="1">
      <c r="A1012" s="1116"/>
      <c r="B1012" s="1120"/>
      <c r="C1012" s="1100"/>
      <c r="D1012" s="1100"/>
      <c r="E1012" s="1100"/>
      <c r="F1012" s="1100"/>
      <c r="G1012" s="1100"/>
      <c r="H1012" s="1100"/>
      <c r="I1012" s="1100"/>
      <c r="J1012" s="1100"/>
      <c r="K1012" s="1074"/>
      <c r="L1012" s="1074"/>
      <c r="M1012" s="1074"/>
      <c r="N1012" s="1074"/>
      <c r="O1012" s="1074"/>
      <c r="P1012" s="1074"/>
      <c r="Q1012" s="1074"/>
      <c r="R1012" s="1074"/>
      <c r="S1012" s="1074"/>
      <c r="T1012" s="1074"/>
      <c r="U1012" s="1074"/>
      <c r="V1012" s="1074"/>
      <c r="W1012" s="1074"/>
      <c r="X1012" s="1074"/>
      <c r="Y1012" s="1074"/>
      <c r="Z1012" s="1074"/>
      <c r="AA1012" s="1074"/>
      <c r="AB1012" s="1074"/>
      <c r="AC1012" s="1074"/>
      <c r="AD1012" s="1074"/>
      <c r="AE1012" s="1074"/>
      <c r="AF1012" s="1074"/>
      <c r="AG1012" s="1074"/>
      <c r="AH1012" s="1074"/>
      <c r="AI1012" s="1074"/>
      <c r="AJ1012" s="1074"/>
      <c r="AK1012" s="1074"/>
      <c r="AL1012" s="1074"/>
      <c r="AM1012" s="1074"/>
      <c r="AN1012" s="1074"/>
      <c r="AO1012" s="1074"/>
      <c r="AP1012" s="1074"/>
      <c r="AQ1012" s="1074"/>
      <c r="AR1012" s="1074"/>
      <c r="AS1012" s="1074"/>
      <c r="AT1012" s="1075"/>
    </row>
    <row r="1013" ht="14.25" customHeight="1">
      <c r="A1013" s="1116"/>
      <c r="B1013" s="1120"/>
      <c r="C1013" s="1100"/>
      <c r="D1013" s="1100"/>
      <c r="E1013" s="1100"/>
      <c r="F1013" s="1100"/>
      <c r="G1013" s="1100"/>
      <c r="H1013" s="1100"/>
      <c r="I1013" s="1100"/>
      <c r="J1013" s="1100"/>
      <c r="K1013" s="1074"/>
      <c r="L1013" s="1074"/>
      <c r="M1013" s="1074"/>
      <c r="N1013" s="1074"/>
      <c r="O1013" s="1074"/>
      <c r="P1013" s="1074"/>
      <c r="Q1013" s="1074"/>
      <c r="R1013" s="1074"/>
      <c r="S1013" s="1074"/>
      <c r="T1013" s="1074"/>
      <c r="U1013" s="1074"/>
      <c r="V1013" s="1074"/>
      <c r="W1013" s="1074"/>
      <c r="X1013" s="1074"/>
      <c r="Y1013" s="1074"/>
      <c r="Z1013" s="1074"/>
      <c r="AA1013" s="1074"/>
      <c r="AB1013" s="1074"/>
      <c r="AC1013" s="1074"/>
      <c r="AD1013" s="1074"/>
      <c r="AE1013" s="1074"/>
      <c r="AF1013" s="1074"/>
      <c r="AG1013" s="1074"/>
      <c r="AH1013" s="1074"/>
      <c r="AI1013" s="1074"/>
      <c r="AJ1013" s="1074"/>
      <c r="AK1013" s="1074"/>
      <c r="AL1013" s="1074"/>
      <c r="AM1013" s="1074"/>
      <c r="AN1013" s="1074"/>
      <c r="AO1013" s="1074"/>
      <c r="AP1013" s="1074"/>
      <c r="AQ1013" s="1074"/>
      <c r="AR1013" s="1074"/>
      <c r="AS1013" s="1074"/>
      <c r="AT1013" s="1075"/>
    </row>
    <row r="1014" ht="14.25" customHeight="1">
      <c r="A1014" s="1116"/>
      <c r="B1014" s="1120"/>
      <c r="C1014" s="1100"/>
      <c r="D1014" s="1100"/>
      <c r="E1014" s="1100"/>
      <c r="F1014" s="1100"/>
      <c r="G1014" s="1100"/>
      <c r="H1014" s="1100"/>
      <c r="I1014" s="1100"/>
      <c r="J1014" s="1100"/>
      <c r="K1014" s="1074"/>
      <c r="L1014" s="1074"/>
      <c r="M1014" s="1074"/>
      <c r="N1014" s="1074"/>
      <c r="O1014" s="1074"/>
      <c r="P1014" s="1074"/>
      <c r="Q1014" s="1074"/>
      <c r="R1014" s="1074"/>
      <c r="S1014" s="1074"/>
      <c r="T1014" s="1074"/>
      <c r="U1014" s="1074"/>
      <c r="V1014" s="1074"/>
      <c r="W1014" s="1074"/>
      <c r="X1014" s="1074"/>
      <c r="Y1014" s="1074"/>
      <c r="Z1014" s="1074"/>
      <c r="AA1014" s="1074"/>
      <c r="AB1014" s="1074"/>
      <c r="AC1014" s="1074"/>
      <c r="AD1014" s="1074"/>
      <c r="AE1014" s="1074"/>
      <c r="AF1014" s="1074"/>
      <c r="AG1014" s="1074"/>
      <c r="AH1014" s="1074"/>
      <c r="AI1014" s="1074"/>
      <c r="AJ1014" s="1074"/>
      <c r="AK1014" s="1074"/>
      <c r="AL1014" s="1074"/>
      <c r="AM1014" s="1074"/>
      <c r="AN1014" s="1074"/>
      <c r="AO1014" s="1074"/>
      <c r="AP1014" s="1074"/>
      <c r="AQ1014" s="1074"/>
      <c r="AR1014" s="1074"/>
      <c r="AS1014" s="1074"/>
      <c r="AT1014" s="1075"/>
    </row>
    <row r="1015" ht="14.25" customHeight="1">
      <c r="A1015" s="1116"/>
      <c r="B1015" s="1120"/>
      <c r="C1015" s="1100"/>
      <c r="D1015" s="1100"/>
      <c r="E1015" s="1100"/>
      <c r="F1015" s="1100"/>
      <c r="G1015" s="1100"/>
      <c r="H1015" s="1100"/>
      <c r="I1015" s="1100"/>
      <c r="J1015" s="1100"/>
      <c r="K1015" s="1074"/>
      <c r="L1015" s="1074"/>
      <c r="M1015" s="1074"/>
      <c r="N1015" s="1074"/>
      <c r="O1015" s="1074"/>
      <c r="P1015" s="1074"/>
      <c r="Q1015" s="1074"/>
      <c r="R1015" s="1074"/>
      <c r="S1015" s="1074"/>
      <c r="T1015" s="1074"/>
      <c r="U1015" s="1074"/>
      <c r="V1015" s="1074"/>
      <c r="W1015" s="1074"/>
      <c r="X1015" s="1074"/>
      <c r="Y1015" s="1074"/>
      <c r="Z1015" s="1074"/>
      <c r="AA1015" s="1074"/>
      <c r="AB1015" s="1074"/>
      <c r="AC1015" s="1074"/>
      <c r="AD1015" s="1074"/>
      <c r="AE1015" s="1074"/>
      <c r="AF1015" s="1074"/>
      <c r="AG1015" s="1074"/>
      <c r="AH1015" s="1074"/>
      <c r="AI1015" s="1074"/>
      <c r="AJ1015" s="1074"/>
      <c r="AK1015" s="1074"/>
      <c r="AL1015" s="1074"/>
      <c r="AM1015" s="1074"/>
      <c r="AN1015" s="1074"/>
      <c r="AO1015" s="1074"/>
      <c r="AP1015" s="1074"/>
      <c r="AQ1015" s="1074"/>
      <c r="AR1015" s="1074"/>
      <c r="AS1015" s="1074"/>
      <c r="AT1015" s="1075"/>
    </row>
    <row r="1016" ht="14.25" customHeight="1">
      <c r="A1016" s="1116"/>
      <c r="B1016" s="1120"/>
      <c r="C1016" s="1100"/>
      <c r="D1016" s="1100"/>
      <c r="E1016" s="1100"/>
      <c r="F1016" s="1100"/>
      <c r="G1016" s="1100"/>
      <c r="H1016" s="1100"/>
      <c r="I1016" s="1100"/>
      <c r="J1016" s="1100"/>
      <c r="K1016" s="1074"/>
      <c r="L1016" s="1074"/>
      <c r="M1016" s="1074"/>
      <c r="N1016" s="1074"/>
      <c r="O1016" s="1074"/>
      <c r="P1016" s="1074"/>
      <c r="Q1016" s="1074"/>
      <c r="R1016" s="1074"/>
      <c r="S1016" s="1074"/>
      <c r="T1016" s="1074"/>
      <c r="U1016" s="1074"/>
      <c r="V1016" s="1074"/>
      <c r="W1016" s="1074"/>
      <c r="X1016" s="1074"/>
      <c r="Y1016" s="1074"/>
      <c r="Z1016" s="1074"/>
      <c r="AA1016" s="1074"/>
      <c r="AB1016" s="1074"/>
      <c r="AC1016" s="1074"/>
      <c r="AD1016" s="1074"/>
      <c r="AE1016" s="1074"/>
      <c r="AF1016" s="1074"/>
      <c r="AG1016" s="1074"/>
      <c r="AH1016" s="1074"/>
      <c r="AI1016" s="1074"/>
      <c r="AJ1016" s="1074"/>
      <c r="AK1016" s="1074"/>
      <c r="AL1016" s="1074"/>
      <c r="AM1016" s="1074"/>
      <c r="AN1016" s="1074"/>
      <c r="AO1016" s="1074"/>
      <c r="AP1016" s="1074"/>
      <c r="AQ1016" s="1074"/>
      <c r="AR1016" s="1074"/>
      <c r="AS1016" s="1074"/>
      <c r="AT1016" s="1075"/>
    </row>
    <row r="1017" ht="14.25" customHeight="1">
      <c r="A1017" s="1116"/>
      <c r="B1017" s="1120"/>
      <c r="C1017" s="1100"/>
      <c r="D1017" s="1100"/>
      <c r="E1017" s="1100"/>
      <c r="F1017" s="1100"/>
      <c r="G1017" s="1100"/>
      <c r="H1017" s="1100"/>
      <c r="I1017" s="1100"/>
      <c r="J1017" s="1100"/>
      <c r="K1017" s="1074"/>
      <c r="L1017" s="1074"/>
      <c r="M1017" s="1074"/>
      <c r="N1017" s="1074"/>
      <c r="O1017" s="1074"/>
      <c r="P1017" s="1074"/>
      <c r="Q1017" s="1074"/>
      <c r="R1017" s="1074"/>
      <c r="S1017" s="1074"/>
      <c r="T1017" s="1074"/>
      <c r="U1017" s="1074"/>
      <c r="V1017" s="1074"/>
      <c r="W1017" s="1074"/>
      <c r="X1017" s="1074"/>
      <c r="Y1017" s="1074"/>
      <c r="Z1017" s="1074"/>
      <c r="AA1017" s="1074"/>
      <c r="AB1017" s="1074"/>
      <c r="AC1017" s="1074"/>
      <c r="AD1017" s="1074"/>
      <c r="AE1017" s="1074"/>
      <c r="AF1017" s="1074"/>
      <c r="AG1017" s="1074"/>
      <c r="AH1017" s="1074"/>
      <c r="AI1017" s="1074"/>
      <c r="AJ1017" s="1074"/>
      <c r="AK1017" s="1074"/>
      <c r="AL1017" s="1074"/>
      <c r="AM1017" s="1074"/>
      <c r="AN1017" s="1074"/>
      <c r="AO1017" s="1074"/>
      <c r="AP1017" s="1074"/>
      <c r="AQ1017" s="1074"/>
      <c r="AR1017" s="1074"/>
      <c r="AS1017" s="1074"/>
      <c r="AT1017" s="1075"/>
    </row>
    <row r="1018" ht="14.25" customHeight="1">
      <c r="A1018" s="1116"/>
      <c r="B1018" s="1120"/>
      <c r="C1018" s="1100"/>
      <c r="D1018" s="1100"/>
      <c r="E1018" s="1100"/>
      <c r="F1018" s="1100"/>
      <c r="G1018" s="1100"/>
      <c r="H1018" s="1100"/>
      <c r="I1018" s="1100"/>
      <c r="J1018" s="1100"/>
      <c r="K1018" s="1074"/>
      <c r="L1018" s="1074"/>
      <c r="M1018" s="1074"/>
      <c r="N1018" s="1074"/>
      <c r="O1018" s="1074"/>
      <c r="P1018" s="1074"/>
      <c r="Q1018" s="1074"/>
      <c r="R1018" s="1074"/>
      <c r="S1018" s="1074"/>
      <c r="T1018" s="1074"/>
      <c r="U1018" s="1074"/>
      <c r="V1018" s="1074"/>
      <c r="W1018" s="1074"/>
      <c r="X1018" s="1074"/>
      <c r="Y1018" s="1074"/>
      <c r="Z1018" s="1074"/>
      <c r="AA1018" s="1074"/>
      <c r="AB1018" s="1074"/>
      <c r="AC1018" s="1074"/>
      <c r="AD1018" s="1074"/>
      <c r="AE1018" s="1074"/>
      <c r="AF1018" s="1074"/>
      <c r="AG1018" s="1074"/>
      <c r="AH1018" s="1074"/>
      <c r="AI1018" s="1074"/>
      <c r="AJ1018" s="1074"/>
      <c r="AK1018" s="1074"/>
      <c r="AL1018" s="1074"/>
      <c r="AM1018" s="1074"/>
      <c r="AN1018" s="1074"/>
      <c r="AO1018" s="1074"/>
      <c r="AP1018" s="1074"/>
      <c r="AQ1018" s="1074"/>
      <c r="AR1018" s="1074"/>
      <c r="AS1018" s="1074"/>
      <c r="AT1018" s="1075"/>
    </row>
    <row r="1019" ht="14.25" customHeight="1">
      <c r="A1019" s="1116"/>
      <c r="B1019" s="1120"/>
      <c r="C1019" s="1100"/>
      <c r="D1019" s="1100"/>
      <c r="E1019" s="1100"/>
      <c r="F1019" s="1100"/>
      <c r="G1019" s="1100"/>
      <c r="H1019" s="1100"/>
      <c r="I1019" s="1100"/>
      <c r="J1019" s="1100"/>
      <c r="K1019" s="1074"/>
      <c r="L1019" s="1074"/>
      <c r="M1019" s="1074"/>
      <c r="N1019" s="1074"/>
      <c r="O1019" s="1074"/>
      <c r="P1019" s="1074"/>
      <c r="Q1019" s="1074"/>
      <c r="R1019" s="1074"/>
      <c r="S1019" s="1074"/>
      <c r="T1019" s="1074"/>
      <c r="U1019" s="1074"/>
      <c r="V1019" s="1074"/>
      <c r="W1019" s="1074"/>
      <c r="X1019" s="1074"/>
      <c r="Y1019" s="1074"/>
      <c r="Z1019" s="1074"/>
      <c r="AA1019" s="1074"/>
      <c r="AB1019" s="1074"/>
      <c r="AC1019" s="1074"/>
      <c r="AD1019" s="1074"/>
      <c r="AE1019" s="1074"/>
      <c r="AF1019" s="1074"/>
      <c r="AG1019" s="1074"/>
      <c r="AH1019" s="1074"/>
      <c r="AI1019" s="1074"/>
      <c r="AJ1019" s="1074"/>
      <c r="AK1019" s="1074"/>
      <c r="AL1019" s="1074"/>
      <c r="AM1019" s="1074"/>
      <c r="AN1019" s="1074"/>
      <c r="AO1019" s="1074"/>
      <c r="AP1019" s="1074"/>
      <c r="AQ1019" s="1074"/>
      <c r="AR1019" s="1074"/>
      <c r="AS1019" s="1074"/>
      <c r="AT1019" s="1075"/>
    </row>
    <row r="1020" ht="14.25" customHeight="1">
      <c r="A1020" s="1116"/>
      <c r="B1020" s="1120"/>
      <c r="C1020" s="1100"/>
      <c r="D1020" s="1100"/>
      <c r="E1020" s="1100"/>
      <c r="F1020" s="1100"/>
      <c r="G1020" s="1100"/>
      <c r="H1020" s="1100"/>
      <c r="I1020" s="1100"/>
      <c r="J1020" s="1100"/>
      <c r="K1020" s="1074"/>
      <c r="L1020" s="1074"/>
      <c r="M1020" s="1074"/>
      <c r="N1020" s="1074"/>
      <c r="O1020" s="1074"/>
      <c r="P1020" s="1074"/>
      <c r="Q1020" s="1074"/>
      <c r="R1020" s="1074"/>
      <c r="S1020" s="1074"/>
      <c r="T1020" s="1074"/>
      <c r="U1020" s="1074"/>
      <c r="V1020" s="1074"/>
      <c r="W1020" s="1074"/>
      <c r="X1020" s="1074"/>
      <c r="Y1020" s="1074"/>
      <c r="Z1020" s="1074"/>
      <c r="AA1020" s="1074"/>
      <c r="AB1020" s="1074"/>
      <c r="AC1020" s="1074"/>
      <c r="AD1020" s="1074"/>
      <c r="AE1020" s="1074"/>
      <c r="AF1020" s="1074"/>
      <c r="AG1020" s="1074"/>
      <c r="AH1020" s="1074"/>
      <c r="AI1020" s="1074"/>
      <c r="AJ1020" s="1074"/>
      <c r="AK1020" s="1074"/>
      <c r="AL1020" s="1074"/>
      <c r="AM1020" s="1074"/>
      <c r="AN1020" s="1074"/>
      <c r="AO1020" s="1074"/>
      <c r="AP1020" s="1074"/>
      <c r="AQ1020" s="1074"/>
      <c r="AR1020" s="1074"/>
      <c r="AS1020" s="1074"/>
      <c r="AT1020" s="1075"/>
    </row>
    <row r="1021" ht="14.25" customHeight="1">
      <c r="A1021" s="1116"/>
      <c r="B1021" s="1120"/>
      <c r="C1021" s="1100"/>
      <c r="D1021" s="1100"/>
      <c r="E1021" s="1100"/>
      <c r="F1021" s="1100"/>
      <c r="G1021" s="1100"/>
      <c r="H1021" s="1100"/>
      <c r="I1021" s="1100"/>
      <c r="J1021" s="1100"/>
      <c r="K1021" s="1074"/>
      <c r="L1021" s="1074"/>
      <c r="M1021" s="1074"/>
      <c r="N1021" s="1074"/>
      <c r="O1021" s="1074"/>
      <c r="P1021" s="1074"/>
      <c r="Q1021" s="1074"/>
      <c r="R1021" s="1074"/>
      <c r="S1021" s="1074"/>
      <c r="T1021" s="1074"/>
      <c r="U1021" s="1074"/>
      <c r="V1021" s="1074"/>
      <c r="W1021" s="1074"/>
      <c r="X1021" s="1074"/>
      <c r="Y1021" s="1074"/>
      <c r="Z1021" s="1074"/>
      <c r="AA1021" s="1074"/>
      <c r="AB1021" s="1074"/>
      <c r="AC1021" s="1074"/>
      <c r="AD1021" s="1074"/>
      <c r="AE1021" s="1074"/>
      <c r="AF1021" s="1074"/>
      <c r="AG1021" s="1074"/>
      <c r="AH1021" s="1074"/>
      <c r="AI1021" s="1074"/>
      <c r="AJ1021" s="1074"/>
      <c r="AK1021" s="1074"/>
      <c r="AL1021" s="1074"/>
      <c r="AM1021" s="1074"/>
      <c r="AN1021" s="1074"/>
      <c r="AO1021" s="1074"/>
      <c r="AP1021" s="1074"/>
      <c r="AQ1021" s="1074"/>
      <c r="AR1021" s="1074"/>
      <c r="AS1021" s="1074"/>
      <c r="AT1021" s="1075"/>
    </row>
    <row r="1022" ht="14.25" customHeight="1">
      <c r="A1022" s="1116"/>
      <c r="B1022" s="1120"/>
      <c r="C1022" s="1100"/>
      <c r="D1022" s="1100"/>
      <c r="E1022" s="1100"/>
      <c r="F1022" s="1100"/>
      <c r="G1022" s="1100"/>
      <c r="H1022" s="1100"/>
      <c r="I1022" s="1100"/>
      <c r="J1022" s="1100"/>
      <c r="K1022" s="1074"/>
      <c r="L1022" s="1074"/>
      <c r="M1022" s="1074"/>
      <c r="N1022" s="1074"/>
      <c r="O1022" s="1074"/>
      <c r="P1022" s="1074"/>
      <c r="Q1022" s="1074"/>
      <c r="R1022" s="1074"/>
      <c r="S1022" s="1074"/>
      <c r="T1022" s="1074"/>
      <c r="U1022" s="1074"/>
      <c r="V1022" s="1074"/>
      <c r="W1022" s="1074"/>
      <c r="X1022" s="1074"/>
      <c r="Y1022" s="1074"/>
      <c r="Z1022" s="1074"/>
      <c r="AA1022" s="1074"/>
      <c r="AB1022" s="1074"/>
      <c r="AC1022" s="1074"/>
      <c r="AD1022" s="1074"/>
      <c r="AE1022" s="1074"/>
      <c r="AF1022" s="1074"/>
      <c r="AG1022" s="1074"/>
      <c r="AH1022" s="1074"/>
      <c r="AI1022" s="1074"/>
      <c r="AJ1022" s="1074"/>
      <c r="AK1022" s="1074"/>
      <c r="AL1022" s="1074"/>
      <c r="AM1022" s="1074"/>
      <c r="AN1022" s="1074"/>
      <c r="AO1022" s="1074"/>
      <c r="AP1022" s="1074"/>
      <c r="AQ1022" s="1074"/>
      <c r="AR1022" s="1074"/>
      <c r="AS1022" s="1074"/>
      <c r="AT1022" s="1075"/>
    </row>
    <row r="1023" ht="14.25" customHeight="1">
      <c r="A1023" s="1116"/>
      <c r="B1023" s="1120"/>
      <c r="C1023" s="1100"/>
      <c r="D1023" s="1100"/>
      <c r="E1023" s="1100"/>
      <c r="F1023" s="1100"/>
      <c r="G1023" s="1100"/>
      <c r="H1023" s="1100"/>
      <c r="I1023" s="1100"/>
      <c r="J1023" s="1100"/>
      <c r="K1023" s="1074"/>
      <c r="L1023" s="1074"/>
      <c r="M1023" s="1074"/>
      <c r="N1023" s="1074"/>
      <c r="O1023" s="1074"/>
      <c r="P1023" s="1074"/>
      <c r="Q1023" s="1074"/>
      <c r="R1023" s="1074"/>
      <c r="S1023" s="1074"/>
      <c r="T1023" s="1074"/>
      <c r="U1023" s="1074"/>
      <c r="V1023" s="1074"/>
      <c r="W1023" s="1074"/>
      <c r="X1023" s="1074"/>
      <c r="Y1023" s="1074"/>
      <c r="Z1023" s="1074"/>
      <c r="AA1023" s="1074"/>
      <c r="AB1023" s="1074"/>
      <c r="AC1023" s="1074"/>
      <c r="AD1023" s="1074"/>
      <c r="AE1023" s="1074"/>
      <c r="AF1023" s="1074"/>
      <c r="AG1023" s="1074"/>
      <c r="AH1023" s="1074"/>
      <c r="AI1023" s="1074"/>
      <c r="AJ1023" s="1074"/>
      <c r="AK1023" s="1074"/>
      <c r="AL1023" s="1074"/>
      <c r="AM1023" s="1074"/>
      <c r="AN1023" s="1074"/>
      <c r="AO1023" s="1074"/>
      <c r="AP1023" s="1074"/>
      <c r="AQ1023" s="1074"/>
      <c r="AR1023" s="1074"/>
      <c r="AS1023" s="1074"/>
      <c r="AT1023" s="1075"/>
    </row>
    <row r="1024" ht="14.25" customHeight="1">
      <c r="A1024" s="1116"/>
      <c r="B1024" s="1120"/>
      <c r="C1024" s="1100"/>
      <c r="D1024" s="1100"/>
      <c r="E1024" s="1100"/>
      <c r="F1024" s="1100"/>
      <c r="G1024" s="1100"/>
      <c r="H1024" s="1100"/>
      <c r="I1024" s="1100"/>
      <c r="J1024" s="1100"/>
      <c r="K1024" s="1074"/>
      <c r="L1024" s="1074"/>
      <c r="M1024" s="1074"/>
      <c r="N1024" s="1074"/>
      <c r="O1024" s="1074"/>
      <c r="P1024" s="1074"/>
      <c r="Q1024" s="1074"/>
      <c r="R1024" s="1074"/>
      <c r="S1024" s="1074"/>
      <c r="T1024" s="1074"/>
      <c r="U1024" s="1074"/>
      <c r="V1024" s="1074"/>
      <c r="W1024" s="1074"/>
      <c r="X1024" s="1074"/>
      <c r="Y1024" s="1074"/>
      <c r="Z1024" s="1074"/>
      <c r="AA1024" s="1074"/>
      <c r="AB1024" s="1074"/>
      <c r="AC1024" s="1074"/>
      <c r="AD1024" s="1074"/>
      <c r="AE1024" s="1074"/>
      <c r="AF1024" s="1074"/>
      <c r="AG1024" s="1074"/>
      <c r="AH1024" s="1074"/>
      <c r="AI1024" s="1074"/>
      <c r="AJ1024" s="1074"/>
      <c r="AK1024" s="1074"/>
      <c r="AL1024" s="1074"/>
      <c r="AM1024" s="1074"/>
      <c r="AN1024" s="1074"/>
      <c r="AO1024" s="1074"/>
      <c r="AP1024" s="1074"/>
      <c r="AQ1024" s="1074"/>
      <c r="AR1024" s="1074"/>
      <c r="AS1024" s="1074"/>
      <c r="AT1024" s="1075"/>
    </row>
    <row r="1025" ht="14.25" customHeight="1">
      <c r="A1025" s="1116"/>
      <c r="B1025" s="1120"/>
      <c r="C1025" s="1100"/>
      <c r="D1025" s="1100"/>
      <c r="E1025" s="1100"/>
      <c r="F1025" s="1100"/>
      <c r="G1025" s="1100"/>
      <c r="H1025" s="1100"/>
      <c r="I1025" s="1100"/>
      <c r="J1025" s="1100"/>
      <c r="K1025" s="1074"/>
      <c r="L1025" s="1074"/>
      <c r="M1025" s="1074"/>
      <c r="N1025" s="1074"/>
      <c r="O1025" s="1074"/>
      <c r="P1025" s="1074"/>
      <c r="Q1025" s="1074"/>
      <c r="R1025" s="1074"/>
      <c r="S1025" s="1074"/>
      <c r="T1025" s="1074"/>
      <c r="U1025" s="1074"/>
      <c r="V1025" s="1074"/>
      <c r="W1025" s="1074"/>
      <c r="X1025" s="1074"/>
      <c r="Y1025" s="1074"/>
      <c r="Z1025" s="1074"/>
      <c r="AA1025" s="1074"/>
      <c r="AB1025" s="1074"/>
      <c r="AC1025" s="1074"/>
      <c r="AD1025" s="1074"/>
      <c r="AE1025" s="1074"/>
      <c r="AF1025" s="1074"/>
      <c r="AG1025" s="1074"/>
      <c r="AH1025" s="1074"/>
      <c r="AI1025" s="1074"/>
      <c r="AJ1025" s="1074"/>
      <c r="AK1025" s="1074"/>
      <c r="AL1025" s="1074"/>
      <c r="AM1025" s="1074"/>
      <c r="AN1025" s="1074"/>
      <c r="AO1025" s="1074"/>
      <c r="AP1025" s="1074"/>
      <c r="AQ1025" s="1074"/>
      <c r="AR1025" s="1074"/>
      <c r="AS1025" s="1074"/>
      <c r="AT1025" s="1075"/>
    </row>
    <row r="1026" ht="14.25" customHeight="1">
      <c r="A1026" s="1116"/>
      <c r="B1026" s="1120"/>
      <c r="C1026" s="1100"/>
      <c r="D1026" s="1100"/>
      <c r="E1026" s="1100"/>
      <c r="F1026" s="1100"/>
      <c r="G1026" s="1100"/>
      <c r="H1026" s="1100"/>
      <c r="I1026" s="1100"/>
      <c r="J1026" s="1100"/>
      <c r="K1026" s="1074"/>
      <c r="L1026" s="1074"/>
      <c r="M1026" s="1074"/>
      <c r="N1026" s="1074"/>
      <c r="O1026" s="1074"/>
      <c r="P1026" s="1074"/>
      <c r="Q1026" s="1074"/>
      <c r="R1026" s="1074"/>
      <c r="S1026" s="1074"/>
      <c r="T1026" s="1074"/>
      <c r="U1026" s="1074"/>
      <c r="V1026" s="1074"/>
      <c r="W1026" s="1074"/>
      <c r="X1026" s="1074"/>
      <c r="Y1026" s="1074"/>
      <c r="Z1026" s="1074"/>
      <c r="AA1026" s="1074"/>
      <c r="AB1026" s="1074"/>
      <c r="AC1026" s="1074"/>
      <c r="AD1026" s="1074"/>
      <c r="AE1026" s="1074"/>
      <c r="AF1026" s="1074"/>
      <c r="AG1026" s="1074"/>
      <c r="AH1026" s="1074"/>
      <c r="AI1026" s="1074"/>
      <c r="AJ1026" s="1074"/>
      <c r="AK1026" s="1074"/>
      <c r="AL1026" s="1074"/>
      <c r="AM1026" s="1074"/>
      <c r="AN1026" s="1074"/>
      <c r="AO1026" s="1074"/>
      <c r="AP1026" s="1074"/>
      <c r="AQ1026" s="1074"/>
      <c r="AR1026" s="1074"/>
      <c r="AS1026" s="1074"/>
      <c r="AT1026" s="1075"/>
    </row>
    <row r="1027" ht="14.25" customHeight="1">
      <c r="A1027" s="1116"/>
      <c r="B1027" s="1120"/>
      <c r="C1027" s="1100"/>
      <c r="D1027" s="1100"/>
      <c r="E1027" s="1100"/>
      <c r="F1027" s="1100"/>
      <c r="G1027" s="1100"/>
      <c r="H1027" s="1100"/>
      <c r="I1027" s="1100"/>
      <c r="J1027" s="1100"/>
      <c r="K1027" s="1074"/>
      <c r="L1027" s="1074"/>
      <c r="M1027" s="1074"/>
      <c r="N1027" s="1074"/>
      <c r="O1027" s="1074"/>
      <c r="P1027" s="1074"/>
      <c r="Q1027" s="1074"/>
      <c r="R1027" s="1074"/>
      <c r="S1027" s="1074"/>
      <c r="T1027" s="1074"/>
      <c r="U1027" s="1074"/>
      <c r="V1027" s="1074"/>
      <c r="W1027" s="1074"/>
      <c r="X1027" s="1074"/>
      <c r="Y1027" s="1074"/>
      <c r="Z1027" s="1074"/>
      <c r="AA1027" s="1074"/>
      <c r="AB1027" s="1074"/>
      <c r="AC1027" s="1074"/>
      <c r="AD1027" s="1074"/>
      <c r="AE1027" s="1074"/>
      <c r="AF1027" s="1074"/>
      <c r="AG1027" s="1074"/>
      <c r="AH1027" s="1074"/>
      <c r="AI1027" s="1074"/>
      <c r="AJ1027" s="1074"/>
      <c r="AK1027" s="1074"/>
      <c r="AL1027" s="1074"/>
      <c r="AM1027" s="1074"/>
      <c r="AN1027" s="1074"/>
      <c r="AO1027" s="1074"/>
      <c r="AP1027" s="1074"/>
      <c r="AQ1027" s="1074"/>
      <c r="AR1027" s="1074"/>
      <c r="AS1027" s="1074"/>
      <c r="AT1027" s="1075"/>
    </row>
    <row r="1028" ht="14.25" customHeight="1">
      <c r="A1028" s="1116"/>
      <c r="B1028" s="1120"/>
      <c r="C1028" s="1100"/>
      <c r="D1028" s="1100"/>
      <c r="E1028" s="1100"/>
      <c r="F1028" s="1100"/>
      <c r="G1028" s="1100"/>
      <c r="H1028" s="1100"/>
      <c r="I1028" s="1100"/>
      <c r="J1028" s="1100"/>
      <c r="K1028" s="1074"/>
      <c r="L1028" s="1074"/>
      <c r="M1028" s="1074"/>
      <c r="N1028" s="1074"/>
      <c r="O1028" s="1074"/>
      <c r="P1028" s="1074"/>
      <c r="Q1028" s="1074"/>
      <c r="R1028" s="1074"/>
      <c r="S1028" s="1074"/>
      <c r="T1028" s="1074"/>
      <c r="U1028" s="1074"/>
      <c r="V1028" s="1074"/>
      <c r="W1028" s="1074"/>
      <c r="X1028" s="1074"/>
      <c r="Y1028" s="1074"/>
      <c r="Z1028" s="1074"/>
      <c r="AA1028" s="1074"/>
      <c r="AB1028" s="1074"/>
      <c r="AC1028" s="1074"/>
      <c r="AD1028" s="1074"/>
      <c r="AE1028" s="1074"/>
      <c r="AF1028" s="1074"/>
      <c r="AG1028" s="1074"/>
      <c r="AH1028" s="1074"/>
      <c r="AI1028" s="1074"/>
      <c r="AJ1028" s="1074"/>
      <c r="AK1028" s="1074"/>
      <c r="AL1028" s="1074"/>
      <c r="AM1028" s="1074"/>
      <c r="AN1028" s="1074"/>
      <c r="AO1028" s="1074"/>
      <c r="AP1028" s="1074"/>
      <c r="AQ1028" s="1074"/>
      <c r="AR1028" s="1074"/>
      <c r="AS1028" s="1074"/>
      <c r="AT1028" s="1075"/>
    </row>
    <row r="1029" ht="14.25" customHeight="1">
      <c r="A1029" s="1116"/>
      <c r="B1029" s="1120"/>
      <c r="C1029" s="1100"/>
      <c r="D1029" s="1100"/>
      <c r="E1029" s="1100"/>
      <c r="F1029" s="1100"/>
      <c r="G1029" s="1100"/>
      <c r="H1029" s="1100"/>
      <c r="I1029" s="1100"/>
      <c r="J1029" s="1100"/>
      <c r="K1029" s="1074"/>
      <c r="L1029" s="1074"/>
      <c r="M1029" s="1074"/>
      <c r="N1029" s="1074"/>
      <c r="O1029" s="1074"/>
      <c r="P1029" s="1074"/>
      <c r="Q1029" s="1074"/>
      <c r="R1029" s="1074"/>
      <c r="S1029" s="1074"/>
      <c r="T1029" s="1074"/>
      <c r="U1029" s="1074"/>
      <c r="V1029" s="1074"/>
      <c r="W1029" s="1074"/>
      <c r="X1029" s="1074"/>
      <c r="Y1029" s="1074"/>
      <c r="Z1029" s="1074"/>
      <c r="AA1029" s="1074"/>
      <c r="AB1029" s="1074"/>
      <c r="AC1029" s="1074"/>
      <c r="AD1029" s="1074"/>
      <c r="AE1029" s="1074"/>
      <c r="AF1029" s="1074"/>
      <c r="AG1029" s="1074"/>
      <c r="AH1029" s="1074"/>
      <c r="AI1029" s="1074"/>
      <c r="AJ1029" s="1074"/>
      <c r="AK1029" s="1074"/>
      <c r="AL1029" s="1074"/>
      <c r="AM1029" s="1074"/>
      <c r="AN1029" s="1074"/>
      <c r="AO1029" s="1074"/>
      <c r="AP1029" s="1074"/>
      <c r="AQ1029" s="1074"/>
      <c r="AR1029" s="1074"/>
      <c r="AS1029" s="1074"/>
      <c r="AT1029" s="1075"/>
    </row>
    <row r="1030" ht="14.25" customHeight="1">
      <c r="A1030" s="1116"/>
      <c r="B1030" s="1120"/>
      <c r="C1030" s="1100"/>
      <c r="D1030" s="1100"/>
      <c r="E1030" s="1100"/>
      <c r="F1030" s="1100"/>
      <c r="G1030" s="1100"/>
      <c r="H1030" s="1100"/>
      <c r="I1030" s="1100"/>
      <c r="J1030" s="1100"/>
      <c r="K1030" s="1074"/>
      <c r="L1030" s="1074"/>
      <c r="M1030" s="1074"/>
      <c r="N1030" s="1074"/>
      <c r="O1030" s="1074"/>
      <c r="P1030" s="1074"/>
      <c r="Q1030" s="1074"/>
      <c r="R1030" s="1074"/>
      <c r="S1030" s="1074"/>
      <c r="T1030" s="1074"/>
      <c r="U1030" s="1074"/>
      <c r="V1030" s="1074"/>
      <c r="W1030" s="1074"/>
      <c r="X1030" s="1074"/>
      <c r="Y1030" s="1074"/>
      <c r="Z1030" s="1074"/>
      <c r="AA1030" s="1074"/>
      <c r="AB1030" s="1074"/>
      <c r="AC1030" s="1074"/>
      <c r="AD1030" s="1074"/>
      <c r="AE1030" s="1074"/>
      <c r="AF1030" s="1074"/>
      <c r="AG1030" s="1074"/>
      <c r="AH1030" s="1074"/>
      <c r="AI1030" s="1074"/>
      <c r="AJ1030" s="1074"/>
      <c r="AK1030" s="1074"/>
      <c r="AL1030" s="1074"/>
      <c r="AM1030" s="1074"/>
      <c r="AN1030" s="1074"/>
      <c r="AO1030" s="1074"/>
      <c r="AP1030" s="1074"/>
      <c r="AQ1030" s="1074"/>
      <c r="AR1030" s="1074"/>
      <c r="AS1030" s="1074"/>
      <c r="AT1030" s="1075"/>
    </row>
    <row r="1031" ht="14.25" customHeight="1">
      <c r="A1031" s="1116"/>
      <c r="B1031" s="1120"/>
      <c r="C1031" s="1100"/>
      <c r="D1031" s="1100"/>
      <c r="E1031" s="1100"/>
      <c r="F1031" s="1100"/>
      <c r="G1031" s="1100"/>
      <c r="H1031" s="1100"/>
      <c r="I1031" s="1100"/>
      <c r="J1031" s="1100"/>
      <c r="K1031" s="1074"/>
      <c r="L1031" s="1074"/>
      <c r="M1031" s="1074"/>
      <c r="N1031" s="1074"/>
      <c r="O1031" s="1074"/>
      <c r="P1031" s="1074"/>
      <c r="Q1031" s="1074"/>
      <c r="R1031" s="1074"/>
      <c r="S1031" s="1074"/>
      <c r="T1031" s="1074"/>
      <c r="U1031" s="1074"/>
      <c r="V1031" s="1074"/>
      <c r="W1031" s="1074"/>
      <c r="X1031" s="1074"/>
      <c r="Y1031" s="1074"/>
      <c r="Z1031" s="1074"/>
      <c r="AA1031" s="1074"/>
      <c r="AB1031" s="1074"/>
      <c r="AC1031" s="1074"/>
      <c r="AD1031" s="1074"/>
      <c r="AE1031" s="1074"/>
      <c r="AF1031" s="1074"/>
      <c r="AG1031" s="1074"/>
      <c r="AH1031" s="1074"/>
      <c r="AI1031" s="1074"/>
      <c r="AJ1031" s="1074"/>
      <c r="AK1031" s="1074"/>
      <c r="AL1031" s="1074"/>
      <c r="AM1031" s="1074"/>
      <c r="AN1031" s="1074"/>
      <c r="AO1031" s="1074"/>
      <c r="AP1031" s="1074"/>
      <c r="AQ1031" s="1074"/>
      <c r="AR1031" s="1074"/>
      <c r="AS1031" s="1074"/>
      <c r="AT1031" s="1075"/>
    </row>
    <row r="1032" ht="14.25" customHeight="1">
      <c r="A1032" s="1116"/>
      <c r="B1032" s="1120"/>
      <c r="C1032" s="1100"/>
      <c r="D1032" s="1100"/>
      <c r="E1032" s="1100"/>
      <c r="F1032" s="1100"/>
      <c r="G1032" s="1100"/>
      <c r="H1032" s="1100"/>
      <c r="I1032" s="1100"/>
      <c r="J1032" s="1100"/>
      <c r="K1032" s="1074"/>
      <c r="L1032" s="1074"/>
      <c r="M1032" s="1074"/>
      <c r="N1032" s="1074"/>
      <c r="O1032" s="1074"/>
      <c r="P1032" s="1074"/>
      <c r="Q1032" s="1074"/>
      <c r="R1032" s="1074"/>
      <c r="S1032" s="1074"/>
      <c r="T1032" s="1074"/>
      <c r="U1032" s="1074"/>
      <c r="V1032" s="1074"/>
      <c r="W1032" s="1074"/>
      <c r="X1032" s="1074"/>
      <c r="Y1032" s="1074"/>
      <c r="Z1032" s="1074"/>
      <c r="AA1032" s="1074"/>
      <c r="AB1032" s="1074"/>
      <c r="AC1032" s="1074"/>
      <c r="AD1032" s="1074"/>
      <c r="AE1032" s="1074"/>
      <c r="AF1032" s="1074"/>
      <c r="AG1032" s="1074"/>
      <c r="AH1032" s="1074"/>
      <c r="AI1032" s="1074"/>
      <c r="AJ1032" s="1074"/>
      <c r="AK1032" s="1074"/>
      <c r="AL1032" s="1074"/>
      <c r="AM1032" s="1074"/>
      <c r="AN1032" s="1074"/>
      <c r="AO1032" s="1074"/>
      <c r="AP1032" s="1074"/>
      <c r="AQ1032" s="1074"/>
      <c r="AR1032" s="1074"/>
      <c r="AS1032" s="1074"/>
      <c r="AT1032" s="1075"/>
    </row>
    <row r="1033" ht="14.25" customHeight="1">
      <c r="A1033" s="1116"/>
      <c r="B1033" s="1120"/>
      <c r="C1033" s="1100"/>
      <c r="D1033" s="1100"/>
      <c r="E1033" s="1100"/>
      <c r="F1033" s="1100"/>
      <c r="G1033" s="1100"/>
      <c r="H1033" s="1100"/>
      <c r="I1033" s="1100"/>
      <c r="J1033" s="1100"/>
      <c r="K1033" s="1074"/>
      <c r="L1033" s="1074"/>
      <c r="M1033" s="1074"/>
      <c r="N1033" s="1074"/>
      <c r="O1033" s="1074"/>
      <c r="P1033" s="1074"/>
      <c r="Q1033" s="1074"/>
      <c r="R1033" s="1074"/>
      <c r="S1033" s="1074"/>
      <c r="T1033" s="1074"/>
      <c r="U1033" s="1074"/>
      <c r="V1033" s="1074"/>
      <c r="W1033" s="1074"/>
      <c r="X1033" s="1074"/>
      <c r="Y1033" s="1074"/>
      <c r="Z1033" s="1074"/>
      <c r="AA1033" s="1074"/>
      <c r="AB1033" s="1074"/>
      <c r="AC1033" s="1074"/>
      <c r="AD1033" s="1074"/>
      <c r="AE1033" s="1074"/>
      <c r="AF1033" s="1074"/>
      <c r="AG1033" s="1074"/>
      <c r="AH1033" s="1074"/>
      <c r="AI1033" s="1074"/>
      <c r="AJ1033" s="1074"/>
      <c r="AK1033" s="1074"/>
      <c r="AL1033" s="1074"/>
      <c r="AM1033" s="1074"/>
      <c r="AN1033" s="1074"/>
      <c r="AO1033" s="1074"/>
      <c r="AP1033" s="1074"/>
      <c r="AQ1033" s="1074"/>
      <c r="AR1033" s="1074"/>
      <c r="AS1033" s="1074"/>
      <c r="AT1033" s="1075"/>
    </row>
    <row r="1034" ht="14.25" customHeight="1">
      <c r="A1034" s="1116"/>
      <c r="B1034" s="1120"/>
      <c r="C1034" s="1100"/>
      <c r="D1034" s="1100"/>
      <c r="E1034" s="1100"/>
      <c r="F1034" s="1100"/>
      <c r="G1034" s="1100"/>
      <c r="H1034" s="1100"/>
      <c r="I1034" s="1100"/>
      <c r="J1034" s="1100"/>
      <c r="K1034" s="1074"/>
      <c r="L1034" s="1074"/>
      <c r="M1034" s="1074"/>
      <c r="N1034" s="1074"/>
      <c r="O1034" s="1074"/>
      <c r="P1034" s="1074"/>
      <c r="Q1034" s="1074"/>
      <c r="R1034" s="1074"/>
      <c r="S1034" s="1074"/>
      <c r="T1034" s="1074"/>
      <c r="U1034" s="1074"/>
      <c r="V1034" s="1074"/>
      <c r="W1034" s="1074"/>
      <c r="X1034" s="1074"/>
      <c r="Y1034" s="1074"/>
      <c r="Z1034" s="1074"/>
      <c r="AA1034" s="1074"/>
      <c r="AB1034" s="1074"/>
      <c r="AC1034" s="1074"/>
      <c r="AD1034" s="1074"/>
      <c r="AE1034" s="1074"/>
      <c r="AF1034" s="1074"/>
      <c r="AG1034" s="1074"/>
      <c r="AH1034" s="1074"/>
      <c r="AI1034" s="1074"/>
      <c r="AJ1034" s="1074"/>
      <c r="AK1034" s="1074"/>
      <c r="AL1034" s="1074"/>
      <c r="AM1034" s="1074"/>
      <c r="AN1034" s="1074"/>
      <c r="AO1034" s="1074"/>
      <c r="AP1034" s="1074"/>
      <c r="AQ1034" s="1074"/>
      <c r="AR1034" s="1074"/>
      <c r="AS1034" s="1074"/>
      <c r="AT1034" s="1075"/>
    </row>
    <row r="1035" ht="14.25" customHeight="1">
      <c r="A1035" s="1122"/>
      <c r="B1035" s="1123"/>
      <c r="C1035" s="1124"/>
      <c r="D1035" s="1124"/>
      <c r="E1035" s="1124"/>
      <c r="F1035" s="1124"/>
      <c r="G1035" s="1124"/>
      <c r="H1035" s="1124"/>
      <c r="I1035" s="1124"/>
      <c r="J1035" s="1124"/>
      <c r="K1035" s="1125"/>
      <c r="L1035" s="1125"/>
      <c r="M1035" s="1125"/>
      <c r="N1035" s="1125"/>
      <c r="O1035" s="1125"/>
      <c r="P1035" s="1125"/>
      <c r="Q1035" s="1125"/>
      <c r="R1035" s="1125"/>
      <c r="S1035" s="1125"/>
      <c r="T1035" s="1125"/>
      <c r="U1035" s="1125"/>
      <c r="V1035" s="1125"/>
      <c r="W1035" s="1125"/>
      <c r="X1035" s="1125"/>
      <c r="Y1035" s="1125"/>
      <c r="Z1035" s="1125"/>
      <c r="AA1035" s="1125"/>
      <c r="AB1035" s="1125"/>
      <c r="AC1035" s="1125"/>
      <c r="AD1035" s="1125"/>
      <c r="AE1035" s="1125"/>
      <c r="AF1035" s="1125"/>
      <c r="AG1035" s="1125"/>
      <c r="AH1035" s="1125"/>
      <c r="AI1035" s="1125"/>
      <c r="AJ1035" s="1125"/>
      <c r="AK1035" s="1125"/>
      <c r="AL1035" s="1125"/>
      <c r="AM1035" s="1125"/>
      <c r="AN1035" s="1125"/>
      <c r="AO1035" s="1125"/>
      <c r="AP1035" s="1125"/>
      <c r="AQ1035" s="1125"/>
      <c r="AR1035" s="1125"/>
      <c r="AS1035" s="1125"/>
      <c r="AT1035" s="1126"/>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19.xml><?xml version="1.0" encoding="utf-8"?>
<worksheet xmlns:r="http://schemas.openxmlformats.org/officeDocument/2006/relationships" xmlns="http://schemas.openxmlformats.org/spreadsheetml/2006/main">
  <dimension ref="A1:W93"/>
  <sheetViews>
    <sheetView workbookViewId="0" showGridLines="0" defaultGridColor="1"/>
  </sheetViews>
  <sheetFormatPr defaultColWidth="8.83333" defaultRowHeight="14.5" customHeight="1" outlineLevelRow="0" outlineLevelCol="0"/>
  <cols>
    <col min="1" max="1" width="4.5" style="1127" customWidth="1"/>
    <col min="2" max="2" width="3.5" style="1127" customWidth="1"/>
    <col min="3" max="3" width="27.5" style="1127" customWidth="1"/>
    <col min="4" max="4" width="16.1719" style="1127" customWidth="1"/>
    <col min="5" max="5" width="16.6719" style="1127" customWidth="1"/>
    <col min="6" max="6" width="12.5" style="1127" customWidth="1"/>
    <col min="7" max="7" width="11.5" style="1127" customWidth="1"/>
    <col min="8" max="8" width="12.6719" style="1127" customWidth="1"/>
    <col min="9" max="9" width="15.8516" style="1127" customWidth="1"/>
    <col min="10" max="10" width="16.6719" style="1127" customWidth="1"/>
    <col min="11" max="11" width="14.8516" style="1127" customWidth="1"/>
    <col min="12" max="12" width="15.6719" style="1127" customWidth="1"/>
    <col min="13" max="13" width="16.1719" style="1127" customWidth="1"/>
    <col min="14" max="14" width="1.5" style="1127" customWidth="1"/>
    <col min="15" max="15" width="17.3516" style="1127" customWidth="1"/>
    <col min="16" max="16" width="17.6719" style="1127" customWidth="1"/>
    <col min="17" max="17" width="17.1719" style="1127" customWidth="1"/>
    <col min="18" max="18" width="19.1719" style="1127" customWidth="1"/>
    <col min="19" max="19" width="17.1719" style="1127" customWidth="1"/>
    <col min="20" max="20" width="19.5" style="1127" customWidth="1"/>
    <col min="21" max="23" width="8.85156" style="1127" customWidth="1"/>
    <col min="24" max="16384" width="8.85156" style="1127" customWidth="1"/>
  </cols>
  <sheetData>
    <row r="1" ht="15" customHeight="1">
      <c r="A1" s="7"/>
      <c r="B1" s="8"/>
      <c r="C1" s="8"/>
      <c r="D1" s="8"/>
      <c r="E1" s="8"/>
      <c r="F1" s="8"/>
      <c r="G1" s="8"/>
      <c r="H1" s="8"/>
      <c r="I1" s="8"/>
      <c r="J1" s="8"/>
      <c r="K1" s="8"/>
      <c r="L1" s="8"/>
      <c r="M1" s="8"/>
      <c r="N1" s="9"/>
      <c r="O1" s="8"/>
      <c r="P1" s="8"/>
      <c r="Q1" s="8"/>
      <c r="R1" s="8"/>
      <c r="S1" s="8"/>
      <c r="T1" s="8"/>
      <c r="U1" s="9"/>
      <c r="V1" s="9"/>
      <c r="W1" s="11"/>
    </row>
    <row r="2" ht="30.65" customHeight="1">
      <c r="A2" s="12"/>
      <c r="B2" s="1128"/>
      <c r="C2" t="s" s="1129">
        <v>987</v>
      </c>
      <c r="D2" t="s" s="1130">
        <v>7</v>
      </c>
      <c r="E2" t="s" s="1130">
        <v>988</v>
      </c>
      <c r="F2" t="s" s="1130">
        <v>933</v>
      </c>
      <c r="G2" t="s" s="1130">
        <v>934</v>
      </c>
      <c r="H2" t="s" s="1130">
        <v>989</v>
      </c>
      <c r="I2" t="s" s="1130">
        <v>990</v>
      </c>
      <c r="J2" t="s" s="1130">
        <v>991</v>
      </c>
      <c r="K2" t="s" s="1130">
        <v>659</v>
      </c>
      <c r="L2" t="s" s="1130">
        <v>992</v>
      </c>
      <c r="M2" t="s" s="1131">
        <v>993</v>
      </c>
      <c r="N2" s="1132"/>
      <c r="O2" t="s" s="1133">
        <v>994</v>
      </c>
      <c r="P2" t="s" s="1130">
        <v>995</v>
      </c>
      <c r="Q2" t="s" s="1130">
        <v>996</v>
      </c>
      <c r="R2" t="s" s="1130">
        <v>997</v>
      </c>
      <c r="S2" t="s" s="1130">
        <v>998</v>
      </c>
      <c r="T2" t="s" s="1131">
        <v>999</v>
      </c>
      <c r="U2" s="16"/>
      <c r="V2" s="17"/>
      <c r="W2" s="18"/>
    </row>
    <row r="3" ht="15" customHeight="1">
      <c r="A3" s="12"/>
      <c r="B3" s="1134" cm="1">
        <f t="array" ref="B3">'Boats Data Sheet 2026'!B3</f>
        <v>1</v>
      </c>
      <c r="C3" t="str" s="1135" cm="1">
        <f t="array" ref="C3">'Boats Data Sheet 2026'!C3</f>
        <v>Sweetheart 4</v>
      </c>
      <c r="D3" t="str" s="1136" cm="1">
        <f t="array" ref="D3">'Boats Data Sheet 2026'!D3</f>
        <v>Shared/Private</v>
      </c>
      <c r="E3" s="1137" cm="1">
        <f t="array" ref="E3">'Boats Data Sheet 2026'!E3</f>
        <v>0.9</v>
      </c>
      <c r="F3" t="str" s="1136" cm="1">
        <f t="array" ref="F3">'Boats Data Sheet 2026'!F3</f>
        <v>Own</v>
      </c>
      <c r="G3" t="str" s="1136" cm="1">
        <f t="array" ref="G3">'Boats Data Sheet 2026'!G3</f>
        <v>Primary</v>
      </c>
      <c r="H3" s="1138" cm="1">
        <f t="array" ref="H3">'Boats Data Sheet 2026'!H3</f>
        <v>14</v>
      </c>
      <c r="I3" s="1137">
        <v>0.85</v>
      </c>
      <c r="J3" s="1137">
        <v>0.8</v>
      </c>
      <c r="K3" s="1139" cm="1">
        <f t="array" ref="K3">365-15-10</f>
        <v>340</v>
      </c>
      <c r="L3" s="1140" cm="1">
        <f t="array" ref="L3">ROUNDDOWN(K3*I3*E3,0)</f>
        <v>260</v>
      </c>
      <c r="M3" s="1141" cm="1">
        <f t="array" ref="M3">ROUNDDOWN(L3*H3*J3,0)</f>
        <v>2912</v>
      </c>
      <c r="N3" s="71"/>
      <c r="O3" s="1142" cm="1">
        <f t="array" ref="O3">(1300000000)/10*E3</f>
        <v>117000000</v>
      </c>
      <c r="P3" s="1143" cm="1">
        <f t="array" ref="P3">(41555876+6000000+16000000)*E3</f>
        <v>57200288.4</v>
      </c>
      <c r="Q3" s="1143" cm="1">
        <f t="array" ref="Q3">-SUM('FCF 2025-2026 Forecast'!$Z$13:$AK$13)*1000*E3</f>
        <v>111600000</v>
      </c>
      <c r="R3" s="1143" cm="1">
        <f t="array" ref="R3">SUM(O3:Q3)</f>
        <v>285800288.4</v>
      </c>
      <c r="S3" s="1143" cm="1">
        <f t="array" ref="S3">_xlfn.IFERROR(R3/L3,0)</f>
        <v>1099231.87846154</v>
      </c>
      <c r="T3" s="1144" cm="1">
        <f t="array" ref="T3">_xlfn.IFERROR(R3/M3,0)</f>
        <v>98145.7034340659</v>
      </c>
      <c r="U3" s="1145"/>
      <c r="V3" s="17"/>
      <c r="W3" s="18"/>
    </row>
    <row r="4" ht="15" customHeight="1">
      <c r="A4" s="12"/>
      <c r="B4" s="1146" cm="1">
        <f t="array" ref="B4">'Boats Data Sheet 2026'!B4</f>
        <v>2</v>
      </c>
      <c r="C4" t="str" s="1135" cm="1">
        <f t="array" ref="C4">'Boats Data Sheet 2026'!C4</f>
        <v>Riki J</v>
      </c>
      <c r="D4" t="str" s="1147" cm="1">
        <f t="array" ref="D4">'Boats Data Sheet 2026'!D4</f>
        <v>Shared/Private</v>
      </c>
      <c r="E4" s="1148" cm="1">
        <f t="array" ref="E4">'Boats Data Sheet 2026'!E4</f>
        <v>0.8</v>
      </c>
      <c r="F4" t="str" s="1147" cm="1">
        <f t="array" ref="F4">'Boats Data Sheet 2026'!F4</f>
        <v>Own</v>
      </c>
      <c r="G4" t="str" s="1147" cm="1">
        <f t="array" ref="G4">'Boats Data Sheet 2026'!G4</f>
        <v>Primary</v>
      </c>
      <c r="H4" s="1149" cm="1">
        <f t="array" ref="H4">'Boats Data Sheet 2026'!H4</f>
        <v>14</v>
      </c>
      <c r="I4" s="1148">
        <v>0.85</v>
      </c>
      <c r="J4" s="1148">
        <v>0.8</v>
      </c>
      <c r="K4" s="1150" cm="1">
        <f t="array" ref="K4">365-15-10</f>
        <v>340</v>
      </c>
      <c r="L4" s="1151" cm="1">
        <f t="array" ref="L4">ROUNDDOWN(K4*I4*E4,0)</f>
        <v>231</v>
      </c>
      <c r="M4" s="1152" cm="1">
        <f t="array" ref="M4">ROUNDDOWN(L4*H4*J4,0)</f>
        <v>2587</v>
      </c>
      <c r="N4" s="71"/>
      <c r="O4" s="1153" cm="1">
        <f t="array" ref="O4">(1450000000)/10*E4</f>
        <v>116000000</v>
      </c>
      <c r="P4" s="1154" cm="1">
        <f t="array" ref="P4">61461384*E4</f>
        <v>49169107.2</v>
      </c>
      <c r="Q4" s="1154" cm="1">
        <f t="array" ref="Q4">-SUM('FCF 2025-2026 Forecast'!$Z$12:$AK$12)*1000*E4</f>
        <v>144000000</v>
      </c>
      <c r="R4" s="1154" cm="1">
        <f t="array" ref="R4">SUM(O4:Q4)</f>
        <v>309169107.2</v>
      </c>
      <c r="S4" s="1154" cm="1">
        <f t="array" ref="S4">_xlfn.IFERROR(R4/L4,0)</f>
        <v>1338394.4034632</v>
      </c>
      <c r="T4" s="1155" cm="1">
        <f t="array" ref="T4">_xlfn.IFERROR(R4/M4,0)</f>
        <v>119508.738770777</v>
      </c>
      <c r="U4" s="1145"/>
      <c r="V4" s="17"/>
      <c r="W4" s="18"/>
    </row>
    <row r="5" ht="15" customHeight="1">
      <c r="A5" s="12"/>
      <c r="B5" s="1146" cm="1">
        <f t="array" ref="B5">'Boats Data Sheet 2026'!B16</f>
        <v>14</v>
      </c>
      <c r="C5" t="str" s="1135" cm="1">
        <f t="array" ref="C5">'Boats Data Sheet 2026'!C16</f>
        <v>Sanjaya</v>
      </c>
      <c r="D5" t="str" s="1147" cm="1">
        <f t="array" ref="D5">'Boats Data Sheet 2026'!D16</f>
        <v>Shared/Private</v>
      </c>
      <c r="E5" s="1148" cm="1">
        <f t="array" ref="E5">'Boats Data Sheet 2026'!E16</f>
        <v>0.6</v>
      </c>
      <c r="F5" t="str" s="1147" cm="1">
        <f t="array" ref="F5">'Boats Data Sheet 2026'!F16</f>
        <v>Rent</v>
      </c>
      <c r="G5" t="str" s="1147" cm="1">
        <f t="array" ref="G5">'Boats Data Sheet 2026'!G16</f>
        <v>Primary</v>
      </c>
      <c r="H5" s="1149" cm="1">
        <f t="array" ref="H5">'Boats Data Sheet 2026'!H16</f>
        <v>13</v>
      </c>
      <c r="I5" s="1148">
        <v>0.5</v>
      </c>
      <c r="J5" s="1148">
        <v>0.8</v>
      </c>
      <c r="K5" s="1150" cm="1">
        <f t="array" ref="K5">365-15-10</f>
        <v>340</v>
      </c>
      <c r="L5" s="1151" cm="1">
        <f t="array" ref="L5">ROUNDDOWN(K5*I5*E5,0)</f>
        <v>102</v>
      </c>
      <c r="M5" s="1152" cm="1">
        <f t="array" ref="M5">ROUNDDOWN(L5*H5*J5,0)</f>
        <v>1060</v>
      </c>
      <c r="N5" s="71"/>
      <c r="O5" s="1153">
        <v>0</v>
      </c>
      <c r="P5" s="1154"/>
      <c r="Q5" s="1154">
        <v>0</v>
      </c>
      <c r="R5" s="1154" cm="1">
        <f t="array" ref="R5">SUM(O5:Q5)</f>
        <v>0</v>
      </c>
      <c r="S5" s="1154" cm="1">
        <f t="array" ref="S5">_xlfn.IFERROR(R5/L5,0)</f>
        <v>0</v>
      </c>
      <c r="T5" s="1155" cm="1">
        <f t="array" ref="T5">_xlfn.IFERROR(R5/M5,0)</f>
        <v>0</v>
      </c>
      <c r="U5" s="1145"/>
      <c r="V5" s="17"/>
      <c r="W5" s="18"/>
    </row>
    <row r="6" ht="15" customHeight="1">
      <c r="A6" s="12"/>
      <c r="B6" s="1146" cm="1">
        <f t="array" ref="B6">'Boats Data Sheet 2026'!B17</f>
        <v>15</v>
      </c>
      <c r="C6" t="str" s="1135" cm="1">
        <f t="array" ref="C6">'Boats Data Sheet 2026'!C17</f>
        <v>Jayanadi</v>
      </c>
      <c r="D6" t="str" s="1147" cm="1">
        <f t="array" ref="D6">'Boats Data Sheet 2026'!D17</f>
        <v>Shared/Private</v>
      </c>
      <c r="E6" s="1148" cm="1">
        <f t="array" ref="E6">'Boats Data Sheet 2026'!E17</f>
        <v>0.3</v>
      </c>
      <c r="F6" t="str" s="1147" cm="1">
        <f t="array" ref="F6">'Boats Data Sheet 2026'!F17</f>
        <v>Tour </v>
      </c>
      <c r="G6" t="str" s="1147" cm="1">
        <f t="array" ref="G6">'Boats Data Sheet 2026'!G17</f>
        <v>Primary</v>
      </c>
      <c r="H6" s="1149" cm="1">
        <f t="array" ref="H6">'Boats Data Sheet 2026'!H17</f>
        <v>14</v>
      </c>
      <c r="I6" s="1148">
        <v>0.3</v>
      </c>
      <c r="J6" s="1148">
        <v>0.8</v>
      </c>
      <c r="K6" s="1150" cm="1">
        <f t="array" ref="K6">365-15-10</f>
        <v>340</v>
      </c>
      <c r="L6" s="1151" cm="1">
        <f t="array" ref="L6">ROUNDDOWN(K6*I6*E6,0)</f>
        <v>30</v>
      </c>
      <c r="M6" s="1152" cm="1">
        <f t="array" ref="M6">ROUNDDOWN(L6*H6*J6,0)</f>
        <v>336</v>
      </c>
      <c r="N6" s="71"/>
      <c r="O6" s="1153">
        <v>0</v>
      </c>
      <c r="P6" s="1154"/>
      <c r="Q6" s="1154">
        <v>0</v>
      </c>
      <c r="R6" s="1154" cm="1">
        <f t="array" ref="R6">SUM(O6:Q6)</f>
        <v>0</v>
      </c>
      <c r="S6" s="1154" cm="1">
        <f t="array" ref="S6">_xlfn.IFERROR(R6/L6,0)</f>
        <v>0</v>
      </c>
      <c r="T6" s="1155" cm="1">
        <f t="array" ref="T6">_xlfn.IFERROR(R6/M6,0)</f>
        <v>0</v>
      </c>
      <c r="U6" s="1145"/>
      <c r="V6" s="17"/>
      <c r="W6" s="18"/>
    </row>
    <row r="7" ht="15" customHeight="1">
      <c r="A7" s="12"/>
      <c r="B7" s="1146" cm="1">
        <f t="array" ref="B7">'Boats Data Sheet 2026'!B18</f>
        <v>16</v>
      </c>
      <c r="C7" t="str" s="1135" cm="1">
        <f t="array" ref="C7">'Boats Data Sheet 2026'!C18</f>
        <v>Sea Dragon</v>
      </c>
      <c r="D7" t="str" s="1147" cm="1">
        <f t="array" ref="D7">'Boats Data Sheet 2026'!D18</f>
        <v>Shared/Private</v>
      </c>
      <c r="E7" s="1148" cm="1">
        <f t="array" ref="E7">'Boats Data Sheet 2026'!E18</f>
        <v>0.6</v>
      </c>
      <c r="F7" t="str" s="1147" cm="1">
        <f t="array" ref="F7">'Boats Data Sheet 2026'!F18</f>
        <v>Rent</v>
      </c>
      <c r="G7" t="str" s="1147" cm="1">
        <f t="array" ref="G7">'Boats Data Sheet 2026'!G18</f>
        <v>Primary</v>
      </c>
      <c r="H7" s="1149" cm="1">
        <f t="array" ref="H7">'Boats Data Sheet 2026'!H18</f>
        <v>13</v>
      </c>
      <c r="I7" s="1148">
        <v>0.5</v>
      </c>
      <c r="J7" s="1148">
        <v>0.8</v>
      </c>
      <c r="K7" s="1150" cm="1">
        <f t="array" ref="K7">365-15-10</f>
        <v>340</v>
      </c>
      <c r="L7" s="1151" cm="1">
        <f t="array" ref="L7">ROUNDDOWN(K7*I7*E7,0)</f>
        <v>102</v>
      </c>
      <c r="M7" s="1152" cm="1">
        <f t="array" ref="M7">ROUNDDOWN(L7*H7*J7,0)</f>
        <v>1060</v>
      </c>
      <c r="N7" s="71"/>
      <c r="O7" s="1153">
        <v>0</v>
      </c>
      <c r="P7" s="1154"/>
      <c r="Q7" s="1154">
        <v>0</v>
      </c>
      <c r="R7" s="1154" cm="1">
        <f t="array" ref="R7">SUM(O7:Q7)</f>
        <v>0</v>
      </c>
      <c r="S7" s="1154" cm="1">
        <f t="array" ref="S7">_xlfn.IFERROR(R7/L7,0)</f>
        <v>0</v>
      </c>
      <c r="T7" s="1155" cm="1">
        <f t="array" ref="T7">_xlfn.IFERROR(R7/M7,0)</f>
        <v>0</v>
      </c>
      <c r="U7" s="1145"/>
      <c r="V7" s="17"/>
      <c r="W7" s="18"/>
    </row>
    <row r="8" ht="13.75" customHeight="1">
      <c r="A8" s="12"/>
      <c r="B8" s="1146" cm="1">
        <f t="array" ref="B8">'Boats Data Sheet 2026'!B19</f>
        <v>17</v>
      </c>
      <c r="C8" t="str" s="1135" cm="1">
        <f t="array" ref="C8">'Boats Data Sheet 2026'!C19</f>
        <v>Sanjaya O4</v>
      </c>
      <c r="D8" t="str" s="1147" cm="1">
        <f t="array" ref="D8">'Boats Data Sheet 2026'!D19</f>
        <v>Shared/Private</v>
      </c>
      <c r="E8" s="1148" cm="1">
        <f t="array" ref="E8">'Boats Data Sheet 2026'!E19</f>
        <v>0.5</v>
      </c>
      <c r="F8" t="str" s="1147" cm="1">
        <f t="array" ref="F8">'Boats Data Sheet 2026'!F19</f>
        <v>Rent</v>
      </c>
      <c r="G8" t="str" s="1147" cm="1">
        <f t="array" ref="G8">'Boats Data Sheet 2026'!G19</f>
        <v>Primary</v>
      </c>
      <c r="H8" s="1149" cm="1">
        <f t="array" ref="H8">'Boats Data Sheet 2026'!H19</f>
        <v>13</v>
      </c>
      <c r="I8" s="1148">
        <v>0.5</v>
      </c>
      <c r="J8" s="1148">
        <v>0.8</v>
      </c>
      <c r="K8" s="1150" cm="1">
        <f t="array" ref="K8">365-15-10</f>
        <v>340</v>
      </c>
      <c r="L8" s="1151" cm="1">
        <f t="array" ref="L8">ROUNDDOWN(K8*I8*E8,0)</f>
        <v>85</v>
      </c>
      <c r="M8" s="1152" cm="1">
        <f t="array" ref="M8">ROUNDDOWN(L8*H8*J8,0)</f>
        <v>884</v>
      </c>
      <c r="N8" s="71"/>
      <c r="O8" s="1153">
        <v>0</v>
      </c>
      <c r="P8" s="1154"/>
      <c r="Q8" s="1154">
        <v>0</v>
      </c>
      <c r="R8" s="1154" cm="1">
        <f t="array" ref="R8">SUM(O8:Q8)</f>
        <v>0</v>
      </c>
      <c r="S8" s="1154" cm="1">
        <f t="array" ref="S8">_xlfn.IFERROR(R8/L8,0)</f>
        <v>0</v>
      </c>
      <c r="T8" s="1155" cm="1">
        <f t="array" ref="T8">_xlfn.IFERROR(R8/M8,0)</f>
        <v>0</v>
      </c>
      <c r="U8" s="1145"/>
      <c r="V8" s="17"/>
      <c r="W8" s="18"/>
    </row>
    <row r="9" ht="13.75" customHeight="1">
      <c r="A9" s="12"/>
      <c r="B9" s="1146" cm="1">
        <f t="array" ref="B9">'Boats Data Sheet 2026'!B20</f>
        <v>18</v>
      </c>
      <c r="C9" t="str" s="1135" cm="1">
        <f t="array" ref="C9">'Boats Data Sheet 2026'!C20</f>
        <v>Sanjaya O5</v>
      </c>
      <c r="D9" t="str" s="1147" cm="1">
        <f t="array" ref="D9">'Boats Data Sheet 2026'!D20</f>
        <v>Shared/Private</v>
      </c>
      <c r="E9" s="1148" cm="1">
        <f t="array" ref="E9">'Boats Data Sheet 2026'!E20</f>
        <v>0.6</v>
      </c>
      <c r="F9" t="str" s="1147" cm="1">
        <f t="array" ref="F9">'Boats Data Sheet 2026'!F20</f>
        <v>Rent</v>
      </c>
      <c r="G9" t="str" s="1147" cm="1">
        <f t="array" ref="G9">'Boats Data Sheet 2026'!G20</f>
        <v>Primary</v>
      </c>
      <c r="H9" s="1149" cm="1">
        <f t="array" ref="H9">'Boats Data Sheet 2026'!H20</f>
        <v>13</v>
      </c>
      <c r="I9" s="1148">
        <v>0.6</v>
      </c>
      <c r="J9" s="1148">
        <v>0.8</v>
      </c>
      <c r="K9" s="1150" cm="1">
        <f t="array" ref="K9">365-15-10</f>
        <v>340</v>
      </c>
      <c r="L9" s="1151" cm="1">
        <f t="array" ref="L9">ROUNDDOWN(K9*I9*E9,0)</f>
        <v>122</v>
      </c>
      <c r="M9" s="1152" cm="1">
        <f t="array" ref="M9">ROUNDDOWN(L9*H9*J9,0)</f>
        <v>1268</v>
      </c>
      <c r="N9" s="71"/>
      <c r="O9" s="1153">
        <v>0</v>
      </c>
      <c r="P9" s="1154"/>
      <c r="Q9" s="1154">
        <v>0</v>
      </c>
      <c r="R9" s="1154" cm="1">
        <f t="array" ref="R9">SUM(O9:Q9)</f>
        <v>0</v>
      </c>
      <c r="S9" s="1154" cm="1">
        <f t="array" ref="S9">_xlfn.IFERROR(R9/L9,0)</f>
        <v>0</v>
      </c>
      <c r="T9" s="1155" cm="1">
        <f t="array" ref="T9">_xlfn.IFERROR(R9/M9,0)</f>
        <v>0</v>
      </c>
      <c r="U9" s="1145"/>
      <c r="V9" s="17"/>
      <c r="W9" s="18"/>
    </row>
    <row r="10" ht="15" customHeight="1">
      <c r="A10" s="12"/>
      <c r="B10" s="1146" cm="1">
        <f t="array" ref="B10">'Boats Data Sheet 2026'!B23</f>
        <v>21</v>
      </c>
      <c r="C10" t="str" s="1135" cm="1">
        <f t="array" ref="C10">'Boats Data Sheet 2026'!C23</f>
        <v>Big Sweetheart</v>
      </c>
      <c r="D10" t="str" s="1147" cm="1">
        <f t="array" ref="D10">'Boats Data Sheet 2026'!D23</f>
        <v>Shared</v>
      </c>
      <c r="E10" s="1148" cm="1">
        <f t="array" ref="E10">'Boats Data Sheet 2026'!E23</f>
        <v>1</v>
      </c>
      <c r="F10" t="str" s="1147" cm="1">
        <f t="array" ref="F10">'Boats Data Sheet 2026'!F23</f>
        <v>Rent</v>
      </c>
      <c r="G10" t="str" s="1147" cm="1">
        <f t="array" ref="G10">'Boats Data Sheet 2026'!G23</f>
        <v>Primary</v>
      </c>
      <c r="H10" s="1149" cm="1">
        <f t="array" ref="H10">'Boats Data Sheet 2026'!H23</f>
        <v>14</v>
      </c>
      <c r="I10" s="1148">
        <v>0.6</v>
      </c>
      <c r="J10" s="1148">
        <v>0.8</v>
      </c>
      <c r="K10" s="1150" cm="1">
        <f t="array" ref="K10">365-15-10</f>
        <v>340</v>
      </c>
      <c r="L10" s="1151" cm="1">
        <f t="array" ref="L10">ROUNDDOWN(K10*I10*E10,0)</f>
        <v>204</v>
      </c>
      <c r="M10" s="1152" cm="1">
        <f t="array" ref="M10">ROUNDDOWN(L10*H10*J10,0)</f>
        <v>2284</v>
      </c>
      <c r="N10" s="71"/>
      <c r="O10" s="1153">
        <v>0</v>
      </c>
      <c r="P10" s="1154"/>
      <c r="Q10" s="1154">
        <v>0</v>
      </c>
      <c r="R10" s="1154" cm="1">
        <f t="array" ref="R10">SUM(O10:Q10)</f>
        <v>0</v>
      </c>
      <c r="S10" s="1154" cm="1">
        <f t="array" ref="S10">_xlfn.IFERROR(R10/L10,0)</f>
        <v>0</v>
      </c>
      <c r="T10" s="1155" cm="1">
        <f t="array" ref="T10">_xlfn.IFERROR(R10/M10,0)</f>
        <v>0</v>
      </c>
      <c r="U10" s="1145"/>
      <c r="V10" s="17"/>
      <c r="W10" s="18"/>
    </row>
    <row r="11" ht="15" customHeight="1">
      <c r="A11" s="12"/>
      <c r="B11" s="1146" cm="1">
        <f t="array" ref="B11">'Boats Data Sheet 2026'!B13</f>
        <v>11</v>
      </c>
      <c r="C11" t="str" s="1135" cm="1">
        <f t="array" ref="C11">'Boats Data Sheet 2026'!C13</f>
        <v>Lady Manta</v>
      </c>
      <c r="D11" t="str" s="1156" cm="1">
        <f t="array" ref="D11">'Boats Data Sheet 2026'!D13</f>
        <v>Shared</v>
      </c>
      <c r="E11" s="1148" cm="1">
        <f t="array" ref="E11">'Boats Data Sheet 2026'!E13</f>
        <v>1</v>
      </c>
      <c r="F11" t="str" s="1156" cm="1">
        <f t="array" ref="F11">'Boats Data Sheet 2026'!F13</f>
        <v>Own</v>
      </c>
      <c r="G11" t="str" s="1156" cm="1">
        <f t="array" ref="G11">'Boats Data Sheet 2026'!G13</f>
        <v>Primary</v>
      </c>
      <c r="H11" s="1149" cm="1">
        <f t="array" ref="H11">'Boats Data Sheet 2026'!H13</f>
        <v>14</v>
      </c>
      <c r="I11" s="1148">
        <v>0.8</v>
      </c>
      <c r="J11" s="1148">
        <v>0.8</v>
      </c>
      <c r="K11" s="1150" cm="1">
        <f t="array" ref="K11">365-15-10</f>
        <v>340</v>
      </c>
      <c r="L11" s="1151" cm="1">
        <f t="array" ref="L11">ROUNDDOWN(K11*I11*E11,0)</f>
        <v>272</v>
      </c>
      <c r="M11" s="1152" cm="1">
        <f t="array" ref="M11">ROUNDDOWN(L11*H11*J11,0)</f>
        <v>3046</v>
      </c>
      <c r="N11" s="71"/>
      <c r="O11" s="1153" cm="1">
        <f t="array" ref="O11">1360000000/10*E11</f>
        <v>136000000</v>
      </c>
      <c r="P11" s="1154" cm="1">
        <f t="array" ref="P11">(41555876+6000000+16000000)*E11</f>
        <v>63555876</v>
      </c>
      <c r="Q11" s="1154" cm="1">
        <f t="array" ref="Q11">-SUM('FCF 2025-2026 Forecast'!$Z$11:$AK$11)*1000*E11</f>
        <v>0</v>
      </c>
      <c r="R11" s="1154" cm="1">
        <f t="array" ref="R11">SUM(O11:Q11)</f>
        <v>199555876</v>
      </c>
      <c r="S11" s="1154" cm="1">
        <f t="array" ref="S11">_xlfn.IFERROR(R11/L11,0)</f>
        <v>733661.308823529</v>
      </c>
      <c r="T11" s="1155" cm="1">
        <f t="array" ref="T11">_xlfn.IFERROR(R11/M11,0)</f>
        <v>65514.0761654629</v>
      </c>
      <c r="U11" s="1145"/>
      <c r="V11" s="17"/>
      <c r="W11" s="18"/>
    </row>
    <row r="12" ht="15" customHeight="1">
      <c r="A12" s="12"/>
      <c r="B12" s="1146" cm="1">
        <f t="array" ref="B12">'Boats Data Sheet 2026'!B14</f>
        <v>12</v>
      </c>
      <c r="C12" t="str" s="1135" cm="1">
        <f t="array" ref="C12">'Boats Data Sheet 2026'!C14</f>
        <v>Boat Angels</v>
      </c>
      <c r="D12" t="str" s="1156" cm="1">
        <f t="array" ref="D12">'Boats Data Sheet 2026'!D14</f>
        <v>Shared/Private</v>
      </c>
      <c r="E12" s="1148" cm="1">
        <f t="array" ref="E12">'Boats Data Sheet 2026'!E14</f>
        <v>0.5</v>
      </c>
      <c r="F12" t="str" s="1156" cm="1">
        <f t="array" ref="F12">'Boats Data Sheet 2026'!F14</f>
        <v>Management</v>
      </c>
      <c r="G12" t="str" s="1156" cm="1">
        <f t="array" ref="G12">'Boats Data Sheet 2026'!G14</f>
        <v>Primary</v>
      </c>
      <c r="H12" s="1149" cm="1">
        <f t="array" ref="H12">'Boats Data Sheet 2026'!H14</f>
        <v>13</v>
      </c>
      <c r="I12" s="1148">
        <v>0.6</v>
      </c>
      <c r="J12" s="1148">
        <v>0.8</v>
      </c>
      <c r="K12" s="1150" cm="1">
        <f t="array" ref="K12">365-15-10</f>
        <v>340</v>
      </c>
      <c r="L12" s="1151" cm="1">
        <f t="array" ref="L12">ROUNDDOWN(K12*I12*E12,0)</f>
        <v>102</v>
      </c>
      <c r="M12" s="1152" cm="1">
        <f t="array" ref="M12">ROUNDDOWN(L12*H12*J12,0)</f>
        <v>1060</v>
      </c>
      <c r="N12" s="71"/>
      <c r="O12" s="1153">
        <v>0</v>
      </c>
      <c r="P12" s="1154">
        <v>0</v>
      </c>
      <c r="Q12" s="1154">
        <v>0</v>
      </c>
      <c r="R12" s="1154" cm="1">
        <f t="array" ref="R12">SUM(O12:Q12)</f>
        <v>0</v>
      </c>
      <c r="S12" s="1154" cm="1">
        <f t="array" ref="S12">_xlfn.IFERROR(R12/L12,0)</f>
        <v>0</v>
      </c>
      <c r="T12" s="1155" cm="1">
        <f t="array" ref="T12">_xlfn.IFERROR(R12/M12,0)</f>
        <v>0</v>
      </c>
      <c r="U12" s="1145"/>
      <c r="V12" s="17"/>
      <c r="W12" s="18"/>
    </row>
    <row r="13" ht="15" customHeight="1">
      <c r="A13" s="12"/>
      <c r="B13" s="1146" cm="1">
        <f t="array" ref="B13">'Boats Data Sheet 2026'!B5</f>
        <v>3</v>
      </c>
      <c r="C13" t="str" s="1135" cm="1">
        <f t="array" ref="C13">'Boats Data Sheet 2026'!C5</f>
        <v>Almond Milk</v>
      </c>
      <c r="D13" t="str" s="1156" cm="1">
        <f t="array" ref="D13">'Boats Data Sheet 2026'!D5</f>
        <v>Shared/Private</v>
      </c>
      <c r="E13" s="1148" cm="1">
        <f t="array" ref="E13">'Boats Data Sheet 2026'!E5</f>
        <v>0.8</v>
      </c>
      <c r="F13" t="str" s="1156" cm="1">
        <f t="array" ref="F13">'Boats Data Sheet 2026'!F5</f>
        <v>Own</v>
      </c>
      <c r="G13" t="str" s="1156" cm="1">
        <f t="array" ref="G13">'Boats Data Sheet 2026'!G5</f>
        <v>Primary</v>
      </c>
      <c r="H13" s="1149" cm="1">
        <f t="array" ref="H13">'Boats Data Sheet 2026'!H5</f>
        <v>13</v>
      </c>
      <c r="I13" s="1148">
        <v>0.8</v>
      </c>
      <c r="J13" s="1148">
        <v>0.8</v>
      </c>
      <c r="K13" s="1150" cm="1">
        <f t="array" ref="K13">365-15-10</f>
        <v>340</v>
      </c>
      <c r="L13" s="1151" cm="1">
        <f t="array" ref="L13">ROUNDDOWN(K13*I13*E13,0)</f>
        <v>217</v>
      </c>
      <c r="M13" s="1152" cm="1">
        <f t="array" ref="M13">ROUNDDOWN(L13*H13*J13,0)</f>
        <v>2256</v>
      </c>
      <c r="N13" s="71"/>
      <c r="O13" s="1153" cm="1">
        <f t="array" ref="O13">1360000000/10*E13</f>
        <v>108800000</v>
      </c>
      <c r="P13" s="1154" cm="1">
        <f t="array" ref="P13">(41555876+6000000+16000000)*E13</f>
        <v>50844700.8</v>
      </c>
      <c r="Q13" s="1154" cm="1">
        <f t="array" ref="Q13">-SUM('FCF 2025-2026 Forecast'!$Z$14:$AK$14)*1000*E13</f>
        <v>67200000</v>
      </c>
      <c r="R13" s="1154" cm="1">
        <f t="array" ref="R13">SUM(O13:Q13)</f>
        <v>226844700.8</v>
      </c>
      <c r="S13" s="1154" cm="1">
        <f t="array" ref="S13">_xlfn.IFERROR(R13/L13,0)</f>
        <v>1045367.28479263</v>
      </c>
      <c r="T13" s="1155" cm="1">
        <f t="array" ref="T13">_xlfn.IFERROR(R13/M13,0)</f>
        <v>100551.729078014</v>
      </c>
      <c r="U13" s="1145"/>
      <c r="V13" s="17"/>
      <c r="W13" s="18"/>
    </row>
    <row r="14" ht="15" customHeight="1">
      <c r="A14" s="12"/>
      <c r="B14" s="1146" cm="1">
        <f t="array" ref="B14">'Boats Data Sheet 2026'!B6</f>
        <v>4</v>
      </c>
      <c r="C14" t="str" s="1135" cm="1">
        <f t="array" ref="C14">'Boats Data Sheet 2026'!C6</f>
        <v>Honey Milk</v>
      </c>
      <c r="D14" t="str" s="1156" cm="1">
        <f t="array" ref="D14">'Boats Data Sheet 2026'!D6</f>
        <v>Shared/Private</v>
      </c>
      <c r="E14" s="1148" cm="1">
        <f t="array" ref="E14">'Boats Data Sheet 2026'!E6</f>
        <v>0.8</v>
      </c>
      <c r="F14" t="str" s="1156" cm="1">
        <f t="array" ref="F14">'Boats Data Sheet 2026'!F6</f>
        <v>Own</v>
      </c>
      <c r="G14" t="str" s="1156" cm="1">
        <f t="array" ref="G14">'Boats Data Sheet 2026'!G6</f>
        <v>Primary</v>
      </c>
      <c r="H14" s="1149" cm="1">
        <f t="array" ref="H14">'Boats Data Sheet 2026'!H6</f>
        <v>13</v>
      </c>
      <c r="I14" s="1148">
        <v>0.8</v>
      </c>
      <c r="J14" s="1148">
        <v>0.8</v>
      </c>
      <c r="K14" s="1150" cm="1">
        <f t="array" ref="K14">365-15-10</f>
        <v>340</v>
      </c>
      <c r="L14" s="1151" cm="1">
        <f t="array" ref="L14">ROUNDDOWN(K14*I14*E14,0)</f>
        <v>217</v>
      </c>
      <c r="M14" s="1152" cm="1">
        <f t="array" ref="M14">ROUNDDOWN(L14*H14*J14,0)</f>
        <v>2256</v>
      </c>
      <c r="N14" s="71"/>
      <c r="O14" s="1153" cm="1">
        <f t="array" ref="O14">1360000000/10*E14</f>
        <v>108800000</v>
      </c>
      <c r="P14" s="1154" cm="1">
        <f t="array" ref="P14">(41555876+6000000+16000000)*E14</f>
        <v>50844700.8</v>
      </c>
      <c r="Q14" s="1154" cm="1">
        <f t="array" ref="Q14">-SUM('FCF 2025-2026 Forecast'!$Z$15:$AK$15)*1000*E14</f>
        <v>67200000</v>
      </c>
      <c r="R14" s="1154" cm="1">
        <f t="array" ref="R14">SUM(O14:Q14)</f>
        <v>226844700.8</v>
      </c>
      <c r="S14" s="1154" cm="1">
        <f t="array" ref="S14">_xlfn.IFERROR(R14/L14,0)</f>
        <v>1045367.28479263</v>
      </c>
      <c r="T14" s="1155" cm="1">
        <f t="array" ref="T14">_xlfn.IFERROR(R14/M14,0)</f>
        <v>100551.729078014</v>
      </c>
      <c r="U14" s="1145"/>
      <c r="V14" s="17"/>
      <c r="W14" s="18"/>
    </row>
    <row r="15" ht="15" customHeight="1">
      <c r="A15" s="12"/>
      <c r="B15" s="1146" cm="1">
        <f t="array" ref="B15">'Boats Data Sheet 2026'!B7</f>
        <v>5</v>
      </c>
      <c r="C15" t="str" s="1135" cm="1">
        <f t="array" ref="C15">'Boats Data Sheet 2026'!C7</f>
        <v>Eldorado 1</v>
      </c>
      <c r="D15" t="str" s="1156" cm="1">
        <f t="array" ref="D15">'Boats Data Sheet 2026'!D7</f>
        <v>Shared/Private</v>
      </c>
      <c r="E15" s="1148" cm="1">
        <f t="array" ref="E15">'Boats Data Sheet 2026'!E7</f>
        <v>0.8</v>
      </c>
      <c r="F15" t="str" s="1156" cm="1">
        <f t="array" ref="F15">'Boats Data Sheet 2026'!F7</f>
        <v>Own</v>
      </c>
      <c r="G15" t="str" s="1156" cm="1">
        <f t="array" ref="G15">'Boats Data Sheet 2026'!G7</f>
        <v>Primary</v>
      </c>
      <c r="H15" s="1149" cm="1">
        <f t="array" ref="H15">'Boats Data Sheet 2026'!H7</f>
        <v>13</v>
      </c>
      <c r="I15" s="1148">
        <v>0.95</v>
      </c>
      <c r="J15" s="1148">
        <v>0.8</v>
      </c>
      <c r="K15" s="1150" cm="1">
        <f t="array" ref="K15">365-15-10</f>
        <v>340</v>
      </c>
      <c r="L15" s="1151" cm="1">
        <f t="array" ref="L15">ROUNDDOWN(K15*I15*E15,0)</f>
        <v>258</v>
      </c>
      <c r="M15" s="1152" cm="1">
        <f t="array" ref="M15">ROUNDDOWN(L15*H15*J15,0)</f>
        <v>2683</v>
      </c>
      <c r="N15" s="71"/>
      <c r="O15" s="1153" cm="1">
        <f t="array" ref="O15">1360000000/10*E15</f>
        <v>108800000</v>
      </c>
      <c r="P15" s="1154" cm="1">
        <f t="array" ref="P15">(41555876+40000000+32000000)*E15</f>
        <v>90844700.8</v>
      </c>
      <c r="Q15" s="1154">
        <v>0</v>
      </c>
      <c r="R15" s="1154" cm="1">
        <f t="array" ref="R15">SUM(O15:Q15)</f>
        <v>199644700.8</v>
      </c>
      <c r="S15" s="1154" cm="1">
        <f t="array" ref="S15">_xlfn.IFERROR(R15/L15,0)</f>
        <v>773816.669767442</v>
      </c>
      <c r="T15" s="1155" cm="1">
        <f t="array" ref="T15">_xlfn.IFERROR(R15/M15,0)</f>
        <v>74410.9954528513</v>
      </c>
      <c r="U15" s="1145"/>
      <c r="V15" s="17"/>
      <c r="W15" s="18"/>
    </row>
    <row r="16" ht="15" customHeight="1">
      <c r="A16" s="12"/>
      <c r="B16" s="1146" cm="1">
        <f t="array" ref="B16">'Boats Data Sheet 2026'!B8</f>
        <v>6</v>
      </c>
      <c r="C16" t="str" s="1135" cm="1">
        <f t="array" ref="C16">'Boats Data Sheet 2026'!C8</f>
        <v>Eldorado 2 - Arya</v>
      </c>
      <c r="D16" t="str" s="1156" cm="1">
        <f t="array" ref="D16">'Boats Data Sheet 2026'!D8</f>
        <v>Shared/Private</v>
      </c>
      <c r="E16" s="1148" cm="1">
        <f t="array" ref="E16">'Boats Data Sheet 2026'!E8</f>
        <v>0.7</v>
      </c>
      <c r="F16" t="str" s="1156" cm="1">
        <f t="array" ref="F16">'Boats Data Sheet 2026'!F8</f>
        <v>Management</v>
      </c>
      <c r="G16" t="str" s="1156" cm="1">
        <f t="array" ref="G16">'Boats Data Sheet 2026'!G8</f>
        <v>Primary</v>
      </c>
      <c r="H16" s="1149" cm="1">
        <f t="array" ref="H16">'Boats Data Sheet 2026'!H8</f>
        <v>13</v>
      </c>
      <c r="I16" s="1148">
        <v>0.85</v>
      </c>
      <c r="J16" s="1148">
        <v>0.8</v>
      </c>
      <c r="K16" s="1150" cm="1">
        <f t="array" ref="K16">365-15-10</f>
        <v>340</v>
      </c>
      <c r="L16" s="1151" cm="1">
        <f t="array" ref="L16">ROUNDDOWN(K16*I16*E16,0)*11/12</f>
        <v>185.166666666667</v>
      </c>
      <c r="M16" s="1152" cm="1">
        <f t="array" ref="M16">ROUNDDOWN(L16*H16*J16,0)</f>
        <v>1925</v>
      </c>
      <c r="N16" s="71"/>
      <c r="O16" s="1153" cm="1">
        <f t="array" ref="O16">1650000000/10*E16*11/12</f>
        <v>105875000</v>
      </c>
      <c r="P16" s="1154" cm="1">
        <f t="array" ref="P16">(41555876+40000000+32000000)*E16*11/12</f>
        <v>72865020.43333329</v>
      </c>
      <c r="Q16" s="1154">
        <v>0</v>
      </c>
      <c r="R16" s="1154" cm="1">
        <f t="array" ref="R16">SUM(O16:Q16)</f>
        <v>178740020.433333</v>
      </c>
      <c r="S16" s="1154" cm="1">
        <f t="array" ref="S16">_xlfn.IFERROR(R16/L16,0)</f>
        <v>965292.639603957</v>
      </c>
      <c r="T16" s="1155" cm="1">
        <f t="array" ref="T16">_xlfn.IFERROR(R16/M16,0)</f>
        <v>92851.9586666665</v>
      </c>
      <c r="U16" s="1145"/>
      <c r="V16" s="17"/>
      <c r="W16" s="18"/>
    </row>
    <row r="17" ht="15" customHeight="1">
      <c r="A17" s="12"/>
      <c r="B17" s="1146" cm="1">
        <f t="array" ref="B17">'Boats Data Sheet 2026'!B9</f>
        <v>7</v>
      </c>
      <c r="C17" t="str" s="1135" cm="1">
        <f t="array" ref="C17">'Boats Data Sheet 2026'!C9</f>
        <v>Eldorado 3 - Evgenii</v>
      </c>
      <c r="D17" t="str" s="1156" cm="1">
        <f t="array" ref="D17">'Boats Data Sheet 2026'!D9</f>
        <v>Shared/Private</v>
      </c>
      <c r="E17" s="1148" cm="1">
        <f t="array" ref="E17">'Boats Data Sheet 2026'!E9</f>
        <v>0.7</v>
      </c>
      <c r="F17" t="str" s="1156" cm="1">
        <f t="array" ref="F17">'Boats Data Sheet 2026'!F9</f>
        <v>Management</v>
      </c>
      <c r="G17" t="str" s="1156" cm="1">
        <f t="array" ref="G17">'Boats Data Sheet 2026'!G9</f>
        <v>Primary</v>
      </c>
      <c r="H17" s="1149" cm="1">
        <f t="array" ref="H17">'Boats Data Sheet 2026'!H9</f>
        <v>13</v>
      </c>
      <c r="I17" s="1148">
        <v>0.85</v>
      </c>
      <c r="J17" s="1148">
        <v>0.8</v>
      </c>
      <c r="K17" s="1150" cm="1">
        <f t="array" ref="K17">365-15-10</f>
        <v>340</v>
      </c>
      <c r="L17" s="1151" cm="1">
        <f t="array" ref="L17">ROUNDDOWN(K17*I17*E17,0)*10/12</f>
        <v>168.333333333333</v>
      </c>
      <c r="M17" s="1152" cm="1">
        <f t="array" ref="M17">ROUNDDOWN(L17*H17*J17,0)</f>
        <v>1750</v>
      </c>
      <c r="N17" s="71"/>
      <c r="O17" s="1153" cm="1">
        <f t="array" ref="O17">1650000000/10*E17*10/12</f>
        <v>96250000</v>
      </c>
      <c r="P17" s="1154" cm="1">
        <f t="array" ref="P17">(41555876+40000000+32000000)*E17*10/12</f>
        <v>66240927.6666667</v>
      </c>
      <c r="Q17" s="1154">
        <v>0</v>
      </c>
      <c r="R17" s="1154" cm="1">
        <f t="array" ref="R17">SUM(O17:Q17)</f>
        <v>162490927.666667</v>
      </c>
      <c r="S17" s="1154" cm="1">
        <f t="array" ref="S17">_xlfn.IFERROR(R17/L17,0)</f>
        <v>965292.6396039641</v>
      </c>
      <c r="T17" s="1155" cm="1">
        <f t="array" ref="T17">_xlfn.IFERROR(R17/M17,0)</f>
        <v>92851.958666666906</v>
      </c>
      <c r="U17" s="1145"/>
      <c r="V17" s="17"/>
      <c r="W17" s="18"/>
    </row>
    <row r="18" ht="15" customHeight="1">
      <c r="A18" s="12"/>
      <c r="B18" s="1146" cm="1">
        <f t="array" ref="B18">'Boats Data Sheet 2026'!B10</f>
        <v>8</v>
      </c>
      <c r="C18" t="str" s="1135" cm="1">
        <f t="array" ref="C18">'Boats Data Sheet 2026'!C10</f>
        <v>Eldorado 4 - Vadim</v>
      </c>
      <c r="D18" t="str" s="1147" cm="1">
        <f t="array" ref="D18">'Boats Data Sheet 2026'!D10</f>
        <v>Shared/Private</v>
      </c>
      <c r="E18" s="1148" cm="1">
        <f t="array" ref="E18">'Boats Data Sheet 2026'!E10</f>
        <v>0.7</v>
      </c>
      <c r="F18" t="str" s="1156" cm="1">
        <f t="array" ref="F18">'Boats Data Sheet 2026'!F10</f>
        <v>Management</v>
      </c>
      <c r="G18" t="str" s="1156" cm="1">
        <f t="array" ref="G18">'Boats Data Sheet 2026'!G10</f>
        <v>Primary</v>
      </c>
      <c r="H18" s="1149" cm="1">
        <f t="array" ref="H18">'Boats Data Sheet 2026'!H10</f>
        <v>13</v>
      </c>
      <c r="I18" s="1148">
        <v>0.8</v>
      </c>
      <c r="J18" s="1148">
        <v>0.8</v>
      </c>
      <c r="K18" s="1150" cm="1">
        <f t="array" ref="K18">365-15-10</f>
        <v>340</v>
      </c>
      <c r="L18" s="1151" cm="1">
        <f t="array" ref="L18">ROUNDDOWN(K18*I18*E18,0)*9/12</f>
        <v>142.5</v>
      </c>
      <c r="M18" s="1152" cm="1">
        <f t="array" ref="M18">ROUNDDOWN(L18*H18*J18,0)</f>
        <v>1482</v>
      </c>
      <c r="N18" s="71"/>
      <c r="O18" s="1153" cm="1">
        <f t="array" ref="O18">2445000000/10*E18*9/12</f>
        <v>128362500</v>
      </c>
      <c r="P18" s="1154" cm="1">
        <f t="array" ref="P18">(41555876+40000000+32000000)*E18*9/12</f>
        <v>59616834.9</v>
      </c>
      <c r="Q18" s="1154">
        <v>0</v>
      </c>
      <c r="R18" s="1154" cm="1">
        <f t="array" ref="R18">SUM(O18:Q18)</f>
        <v>187979334.9</v>
      </c>
      <c r="S18" s="1154" cm="1">
        <f t="array" ref="S18">_xlfn.IFERROR(R18/L18,0)</f>
        <v>1319153.22736842</v>
      </c>
      <c r="T18" s="1155" cm="1">
        <f t="array" ref="T18">_xlfn.IFERROR(R18/M18,0)</f>
        <v>126841.656477733</v>
      </c>
      <c r="U18" s="1145"/>
      <c r="V18" s="17"/>
      <c r="W18" s="18"/>
    </row>
    <row r="19" ht="15" customHeight="1">
      <c r="A19" s="12"/>
      <c r="B19" s="1146" cm="1">
        <f t="array" ref="B19">'Boats Data Sheet 2026'!B11</f>
        <v>9</v>
      </c>
      <c r="C19" t="str" s="1135" cm="1">
        <f t="array" ref="C19">'Boats Data Sheet 2026'!C11</f>
        <v>Eldorado 5 - Robert</v>
      </c>
      <c r="D19" t="str" s="1156" cm="1">
        <f t="array" ref="D19">'Boats Data Sheet 2026'!D11</f>
        <v>Shared/Private</v>
      </c>
      <c r="E19" s="1148" cm="1">
        <f t="array" ref="E19">'Boats Data Sheet 2026'!E11</f>
        <v>0.6</v>
      </c>
      <c r="F19" t="str" s="1156" cm="1">
        <f t="array" ref="F19">'Boats Data Sheet 2026'!F11</f>
        <v>Rent</v>
      </c>
      <c r="G19" t="str" s="1156" cm="1">
        <f t="array" ref="G19">'Boats Data Sheet 2026'!G11</f>
        <v>Primary</v>
      </c>
      <c r="H19" s="1149" cm="1">
        <f t="array" ref="H19">'Boats Data Sheet 2026'!H11</f>
        <v>13</v>
      </c>
      <c r="I19" s="1148">
        <v>0.8</v>
      </c>
      <c r="J19" s="1148">
        <v>0.8</v>
      </c>
      <c r="K19" s="1150" cm="1">
        <f t="array" ref="K19">365-15-10</f>
        <v>340</v>
      </c>
      <c r="L19" s="1151" cm="1">
        <f t="array" ref="L19">ROUNDDOWN(K19*I19*E19,0)*8/12</f>
        <v>108.666666666667</v>
      </c>
      <c r="M19" s="1152" cm="1">
        <f t="array" ref="M19">ROUNDDOWN(L19*H19*J19,0)</f>
        <v>1130</v>
      </c>
      <c r="N19" s="71"/>
      <c r="O19" s="1153">
        <v>0</v>
      </c>
      <c r="P19" s="1154">
        <v>0</v>
      </c>
      <c r="Q19" s="1154">
        <v>0</v>
      </c>
      <c r="R19" s="1154" cm="1">
        <f t="array" ref="R19">SUM(O19:Q19)</f>
        <v>0</v>
      </c>
      <c r="S19" s="1154" cm="1">
        <f t="array" ref="S19">_xlfn.IFERROR(R19/L19,0)</f>
        <v>0</v>
      </c>
      <c r="T19" s="1155" cm="1">
        <f t="array" ref="T19">_xlfn.IFERROR(R19/M19,0)</f>
        <v>0</v>
      </c>
      <c r="U19" s="1145"/>
      <c r="V19" s="17"/>
      <c r="W19" s="18"/>
    </row>
    <row r="20" ht="15" customHeight="1">
      <c r="A20" s="12"/>
      <c r="B20" s="1146" cm="1">
        <f t="array" ref="B20">'Boats Data Sheet 2026'!B12</f>
        <v>10</v>
      </c>
      <c r="C20" t="str" s="1135" cm="1">
        <f t="array" ref="C20">'Boats Data Sheet 2026'!C12</f>
        <v>Eldorado 6 - Vadim</v>
      </c>
      <c r="D20" t="str" s="1156" cm="1">
        <f t="array" ref="D20">'Boats Data Sheet 2026'!D12</f>
        <v>Shared/Private</v>
      </c>
      <c r="E20" s="1148" cm="1">
        <f t="array" ref="E20">'Boats Data Sheet 2026'!E12</f>
        <v>0.6</v>
      </c>
      <c r="F20" t="str" s="1156" cm="1">
        <f t="array" ref="F20">'Boats Data Sheet 2026'!F12</f>
        <v>Rent</v>
      </c>
      <c r="G20" t="str" s="1156" cm="1">
        <f t="array" ref="G20">'Boats Data Sheet 2026'!G12</f>
        <v>Primary</v>
      </c>
      <c r="H20" s="1149" cm="1">
        <f t="array" ref="H20">'Boats Data Sheet 2026'!H12</f>
        <v>13</v>
      </c>
      <c r="I20" s="1148">
        <v>0.8</v>
      </c>
      <c r="J20" s="1148">
        <v>0.8</v>
      </c>
      <c r="K20" s="1150" cm="1">
        <f t="array" ref="K20">365-15-10</f>
        <v>340</v>
      </c>
      <c r="L20" s="1151" cm="1">
        <f t="array" ref="L20">ROUNDDOWN(K20*I20*E20,0)*7/12</f>
        <v>95.0833333333333</v>
      </c>
      <c r="M20" s="1152" cm="1">
        <f t="array" ref="M20">ROUNDDOWN(L20*H20*J20,0)</f>
        <v>988</v>
      </c>
      <c r="N20" s="71"/>
      <c r="O20" s="1153">
        <v>0</v>
      </c>
      <c r="P20" s="1154">
        <v>0</v>
      </c>
      <c r="Q20" s="1154">
        <v>0</v>
      </c>
      <c r="R20" s="1154" cm="1">
        <f t="array" ref="R20">SUM(O20:Q20)</f>
        <v>0</v>
      </c>
      <c r="S20" s="1154" cm="1">
        <f t="array" ref="S20">_xlfn.IFERROR(R20/L20,0)</f>
        <v>0</v>
      </c>
      <c r="T20" s="1155" cm="1">
        <f t="array" ref="T20">_xlfn.IFERROR(R20/M20,0)</f>
        <v>0</v>
      </c>
      <c r="U20" s="1145"/>
      <c r="V20" s="17"/>
      <c r="W20" s="18"/>
    </row>
    <row r="21" ht="15" customHeight="1">
      <c r="A21" s="12"/>
      <c r="B21" s="1146" cm="1">
        <f t="array" ref="B21">'Boats Data Sheet 2026'!B22</f>
        <v>20</v>
      </c>
      <c r="C21" t="str" s="1135" cm="1">
        <f t="array" ref="C21">'Boats Data Sheet 2026'!C22</f>
        <v>Queen Ruizi 12</v>
      </c>
      <c r="D21" t="str" s="1156" cm="1">
        <f t="array" ref="D21">'Boats Data Sheet 2026'!D22</f>
        <v>Private</v>
      </c>
      <c r="E21" s="1148" cm="1">
        <f t="array" ref="E21">'Boats Data Sheet 2026'!E22</f>
        <v>0</v>
      </c>
      <c r="F21" t="str" s="1156" cm="1">
        <f t="array" ref="F21">'Boats Data Sheet 2026'!F22</f>
        <v>Management</v>
      </c>
      <c r="G21" t="str" s="1156" cm="1">
        <f t="array" ref="G21">'Boats Data Sheet 2026'!G22</f>
        <v>Primary</v>
      </c>
      <c r="H21" s="1149" cm="1">
        <f t="array" ref="H21">'Boats Data Sheet 2026'!H22</f>
        <v>13</v>
      </c>
      <c r="I21" s="1148">
        <v>0.3</v>
      </c>
      <c r="J21" s="1148">
        <v>0.8</v>
      </c>
      <c r="K21" s="1150" cm="1">
        <f t="array" ref="K21">365-15-10</f>
        <v>340</v>
      </c>
      <c r="L21" s="1151" cm="1">
        <f t="array" ref="L21">ROUNDDOWN(K21*I21*E21,0)</f>
        <v>0</v>
      </c>
      <c r="M21" s="1152" cm="1">
        <f t="array" ref="M21">ROUNDDOWN(L21*H21*J21,0)</f>
        <v>0</v>
      </c>
      <c r="N21" s="71"/>
      <c r="O21" s="1153">
        <v>0</v>
      </c>
      <c r="P21" s="1154">
        <v>0</v>
      </c>
      <c r="Q21" s="1154">
        <v>0</v>
      </c>
      <c r="R21" s="1154" cm="1">
        <f t="array" ref="R21">SUM(O21:Q21)</f>
        <v>0</v>
      </c>
      <c r="S21" s="1154" cm="1">
        <f t="array" ref="S21">_xlfn.IFERROR(R21/L21,0)</f>
        <v>0</v>
      </c>
      <c r="T21" s="1155" cm="1">
        <f t="array" ref="T21">_xlfn.IFERROR(R21/M21,0)</f>
        <v>0</v>
      </c>
      <c r="U21" s="1145"/>
      <c r="V21" s="17"/>
      <c r="W21" s="18"/>
    </row>
    <row r="22" ht="15" customHeight="1">
      <c r="A22" s="12"/>
      <c r="B22" s="1146" cm="1">
        <f t="array" ref="B22">'Boats Data Sheet 2026'!B15</f>
        <v>13</v>
      </c>
      <c r="C22" t="str" s="1135" cm="1">
        <f t="array" ref="C22">'Boats Data Sheet 2026'!C15</f>
        <v>Boat MW40</v>
      </c>
      <c r="D22" t="str" s="1156" cm="1">
        <f t="array" ref="D22">'Boats Data Sheet 2026'!D15</f>
        <v>Shared/Private</v>
      </c>
      <c r="E22" s="1148" cm="1">
        <f t="array" ref="E22">'Boats Data Sheet 2026'!E15</f>
        <v>0.1</v>
      </c>
      <c r="F22" t="str" s="1156" cm="1">
        <f t="array" ref="F22">'Boats Data Sheet 2026'!F15</f>
        <v>Rent</v>
      </c>
      <c r="G22" t="str" s="1156" cm="1">
        <f t="array" ref="G22">'Boats Data Sheet 2026'!G15</f>
        <v>Primary</v>
      </c>
      <c r="H22" s="1149" cm="1">
        <f t="array" ref="H22">'Boats Data Sheet 2026'!H15</f>
        <v>13</v>
      </c>
      <c r="I22" s="1148">
        <v>0.5</v>
      </c>
      <c r="J22" s="1148">
        <v>0.8</v>
      </c>
      <c r="K22" s="1150" cm="1">
        <f t="array" ref="K22">365-15-10</f>
        <v>340</v>
      </c>
      <c r="L22" s="1151" cm="1">
        <f t="array" ref="L22">ROUNDDOWN(K22*I22*E22,0)</f>
        <v>17</v>
      </c>
      <c r="M22" s="1152" cm="1">
        <f t="array" ref="M22">ROUNDDOWN(L22*H22*J22,0)</f>
        <v>176</v>
      </c>
      <c r="N22" s="71"/>
      <c r="O22" s="1153">
        <v>0</v>
      </c>
      <c r="P22" s="1154">
        <v>0</v>
      </c>
      <c r="Q22" s="1154">
        <v>0</v>
      </c>
      <c r="R22" s="1154" cm="1">
        <f t="array" ref="R22">SUM(O22:Q22)</f>
        <v>0</v>
      </c>
      <c r="S22" s="1154" cm="1">
        <f t="array" ref="S22">_xlfn.IFERROR(R22/L22,0)</f>
        <v>0</v>
      </c>
      <c r="T22" s="1155" cm="1">
        <f t="array" ref="T22">_xlfn.IFERROR(R22/M22,0)</f>
        <v>0</v>
      </c>
      <c r="U22" s="1145"/>
      <c r="V22" s="17"/>
      <c r="W22" s="18"/>
    </row>
    <row r="23" ht="15.5" customHeight="1">
      <c r="A23" s="12"/>
      <c r="B23" s="1157" cm="1">
        <f t="array" ref="B23">'Boats Data Sheet 2026'!B21</f>
        <v>19</v>
      </c>
      <c r="C23" t="str" s="1158" cm="1">
        <f t="array" ref="C23">'Boats Data Sheet 2026'!C21</f>
        <v>Queen Ruizi 10</v>
      </c>
      <c r="D23" t="str" s="1159" cm="1">
        <f t="array" ref="D23">'Boats Data Sheet 2026'!D21</f>
        <v>Private</v>
      </c>
      <c r="E23" s="1160" cm="1">
        <f t="array" ref="E23">'Boats Data Sheet 2026'!E21</f>
        <v>0</v>
      </c>
      <c r="F23" t="str" s="1161" cm="1">
        <f t="array" ref="F23">'Boats Data Sheet 2026'!F21</f>
        <v>Management</v>
      </c>
      <c r="G23" t="str" s="1161" cm="1">
        <f t="array" ref="G23">'Boats Data Sheet 2026'!G21</f>
        <v>Primary</v>
      </c>
      <c r="H23" s="1162" cm="1">
        <f t="array" ref="H23">'Boats Data Sheet 2026'!H21</f>
        <v>10</v>
      </c>
      <c r="I23" s="1160">
        <v>0.2</v>
      </c>
      <c r="J23" s="1160">
        <v>0.9</v>
      </c>
      <c r="K23" s="1163">
        <v>340</v>
      </c>
      <c r="L23" s="1164" cm="1">
        <f t="array" ref="L23">ROUNDDOWN(K23*I23*E23,0)</f>
        <v>0</v>
      </c>
      <c r="M23" s="1165" cm="1">
        <f t="array" ref="M23">ROUNDDOWN(L23*H23*J23,0)</f>
        <v>0</v>
      </c>
      <c r="N23" s="71"/>
      <c r="O23" s="1166">
        <v>0</v>
      </c>
      <c r="P23" s="1167"/>
      <c r="Q23" s="1167">
        <v>0</v>
      </c>
      <c r="R23" s="1167" cm="1">
        <f t="array" ref="R23">SUM(O23:Q23)</f>
        <v>0</v>
      </c>
      <c r="S23" s="1167" cm="1">
        <f t="array" ref="S23">_xlfn.IFERROR(R23/L23,0)</f>
        <v>0</v>
      </c>
      <c r="T23" s="1168" cm="1">
        <f t="array" ref="T23">_xlfn.IFERROR(R23/M23,0)</f>
        <v>0</v>
      </c>
      <c r="U23" s="1145"/>
      <c r="V23" s="17"/>
      <c r="W23" s="18"/>
    </row>
    <row r="24" ht="15.5" customHeight="1">
      <c r="A24" s="12"/>
      <c r="B24" s="1169"/>
      <c r="C24" s="1170"/>
      <c r="D24" s="1171"/>
      <c r="E24" s="1172"/>
      <c r="F24" s="1171"/>
      <c r="G24" t="s" s="1173">
        <v>890</v>
      </c>
      <c r="H24" s="1174" cm="1">
        <f t="array" ref="H24">SUM(H3:H23)</f>
        <v>275</v>
      </c>
      <c r="I24" s="1172"/>
      <c r="J24" s="1172"/>
      <c r="K24" t="s" s="1173">
        <v>890</v>
      </c>
      <c r="L24" s="1175" cm="1">
        <f t="array" ref="L24">SUM(L3:L23)</f>
        <v>2918.75</v>
      </c>
      <c r="M24" s="1176" cm="1">
        <f t="array" ref="M24">SUM(M3:M23)</f>
        <v>31143</v>
      </c>
      <c r="N24" s="71"/>
      <c r="O24" s="1177" cm="1">
        <f t="array" ref="O24">SUM(O3:O23)</f>
        <v>1025887500</v>
      </c>
      <c r="P24" s="1175" cm="1">
        <f t="array" ref="P24">SUM(P3:P23)</f>
        <v>561182157</v>
      </c>
      <c r="Q24" s="1175" cm="1">
        <f t="array" ref="Q24">SUM(Q3:Q23)</f>
        <v>390000000</v>
      </c>
      <c r="R24" s="1175" cm="1">
        <f t="array" ref="R24">SUM(R3:R23)</f>
        <v>1977069657</v>
      </c>
      <c r="S24" s="1172"/>
      <c r="T24" s="1178"/>
      <c r="U24" s="1179"/>
      <c r="V24" s="17"/>
      <c r="W24" s="18"/>
    </row>
    <row r="25" ht="16" customHeight="1">
      <c r="A25" s="32"/>
      <c r="B25" s="124"/>
      <c r="C25" s="33"/>
      <c r="D25" s="1180"/>
      <c r="E25" s="33"/>
      <c r="F25" s="124"/>
      <c r="G25" s="124"/>
      <c r="H25" s="124"/>
      <c r="I25" s="124"/>
      <c r="J25" s="124"/>
      <c r="K25" s="124"/>
      <c r="L25" s="124"/>
      <c r="M25" s="438"/>
      <c r="N25" s="17"/>
      <c r="O25" s="1181"/>
      <c r="P25" s="1181"/>
      <c r="Q25" s="1181"/>
      <c r="R25" s="1181"/>
      <c r="S25" s="1181"/>
      <c r="T25" s="1181"/>
      <c r="U25" s="1182"/>
      <c r="V25" s="17"/>
      <c r="W25" s="18"/>
    </row>
    <row r="26" ht="29.4" customHeight="1">
      <c r="A26" s="32"/>
      <c r="B26" s="74"/>
      <c r="C26" t="s" s="1183">
        <v>1023</v>
      </c>
      <c r="D26" s="1184"/>
      <c r="E26" s="1185" cm="1">
        <f t="array" ref="E26">'Admin Expenses 2026'!C6</f>
        <v>6229918066.9634</v>
      </c>
      <c r="F26" s="16"/>
      <c r="G26" s="17"/>
      <c r="H26" s="17"/>
      <c r="I26" s="17"/>
      <c r="J26" s="17"/>
      <c r="K26" s="17"/>
      <c r="L26" s="17"/>
      <c r="M26" s="214"/>
      <c r="N26" s="17"/>
      <c r="O26" s="1182"/>
      <c r="P26" s="1182"/>
      <c r="Q26" s="1182"/>
      <c r="R26" s="1182"/>
      <c r="S26" s="1182"/>
      <c r="T26" s="1182"/>
      <c r="U26" s="1182"/>
      <c r="V26" s="17"/>
      <c r="W26" s="18"/>
    </row>
    <row r="27" ht="15" customHeight="1">
      <c r="A27" s="32"/>
      <c r="B27" s="74"/>
      <c r="C27" t="s" s="1186">
        <v>1024</v>
      </c>
      <c r="D27" s="1187"/>
      <c r="E27" s="1188" cm="1">
        <f t="array" ref="E27">E26/L24</f>
        <v>2134447.30345641</v>
      </c>
      <c r="F27" s="16"/>
      <c r="G27" s="17"/>
      <c r="H27" s="17"/>
      <c r="I27" s="17"/>
      <c r="J27" s="17"/>
      <c r="K27" s="17"/>
      <c r="L27" s="17"/>
      <c r="M27" s="214"/>
      <c r="N27" s="17"/>
      <c r="O27" s="17"/>
      <c r="P27" s="17"/>
      <c r="Q27" s="17"/>
      <c r="R27" s="17"/>
      <c r="S27" s="17"/>
      <c r="T27" s="17"/>
      <c r="U27" s="17"/>
      <c r="V27" s="17"/>
      <c r="W27" s="18"/>
    </row>
    <row r="28" ht="15.5" customHeight="1">
      <c r="A28" s="32"/>
      <c r="B28" s="74"/>
      <c r="C28" t="s" s="1189">
        <v>1025</v>
      </c>
      <c r="D28" s="1190"/>
      <c r="E28" s="1191" cm="1">
        <f t="array" ref="E28">E26/M24</f>
        <v>200042.323056976</v>
      </c>
      <c r="F28" s="16"/>
      <c r="G28" s="17"/>
      <c r="H28" s="17"/>
      <c r="I28" s="17"/>
      <c r="J28" s="17"/>
      <c r="K28" s="17"/>
      <c r="L28" s="17"/>
      <c r="M28" s="214"/>
      <c r="N28" s="214"/>
      <c r="O28" s="17"/>
      <c r="P28" s="17"/>
      <c r="Q28" s="17"/>
      <c r="R28" s="17"/>
      <c r="S28" s="17"/>
      <c r="T28" s="17"/>
      <c r="U28" s="17"/>
      <c r="V28" s="17"/>
      <c r="W28" s="18"/>
    </row>
    <row r="29" ht="15.5" customHeight="1">
      <c r="A29" s="32"/>
      <c r="B29" s="17"/>
      <c r="C29" s="33"/>
      <c r="D29" s="1180"/>
      <c r="E29" s="33"/>
      <c r="F29" s="17"/>
      <c r="G29" s="17"/>
      <c r="H29" s="17"/>
      <c r="I29" s="17"/>
      <c r="J29" s="17"/>
      <c r="K29" s="17"/>
      <c r="L29" s="17"/>
      <c r="M29" s="214"/>
      <c r="N29" s="214"/>
      <c r="O29" s="17"/>
      <c r="P29" s="17"/>
      <c r="Q29" s="17"/>
      <c r="R29" s="17"/>
      <c r="S29" s="17"/>
      <c r="T29" s="17"/>
      <c r="U29" s="17"/>
      <c r="V29" s="17"/>
      <c r="W29" s="18"/>
    </row>
    <row r="30" ht="30.65" customHeight="1">
      <c r="A30" s="32"/>
      <c r="B30" s="74"/>
      <c r="C30" t="s" s="1192">
        <v>1026</v>
      </c>
      <c r="D30" s="1193"/>
      <c r="E30" s="1194" cm="1">
        <f t="array" ref="E30">'Admin Expenses 2026'!C7</f>
        <v>7305428615.3262</v>
      </c>
      <c r="F30" s="16"/>
      <c r="G30" s="17"/>
      <c r="H30" s="17"/>
      <c r="I30" s="17"/>
      <c r="J30" s="17"/>
      <c r="K30" s="17"/>
      <c r="L30" s="17"/>
      <c r="M30" s="214"/>
      <c r="N30" s="214"/>
      <c r="O30" s="17"/>
      <c r="P30" s="17"/>
      <c r="Q30" s="17"/>
      <c r="R30" s="17"/>
      <c r="S30" s="17"/>
      <c r="T30" s="17"/>
      <c r="U30" s="17"/>
      <c r="V30" s="17"/>
      <c r="W30" s="18"/>
    </row>
    <row r="31" ht="15" customHeight="1">
      <c r="A31" s="32"/>
      <c r="B31" s="74"/>
      <c r="C31" t="s" s="1195">
        <v>1027</v>
      </c>
      <c r="D31" s="1196"/>
      <c r="E31" s="1197" cm="1">
        <f t="array" ref="E31">E30/K92</f>
        <v>3100447.15769812</v>
      </c>
      <c r="F31" s="16"/>
      <c r="G31" s="17"/>
      <c r="H31" s="17"/>
      <c r="I31" s="17"/>
      <c r="J31" s="17"/>
      <c r="K31" s="17"/>
      <c r="L31" s="17"/>
      <c r="M31" s="214"/>
      <c r="N31" s="214"/>
      <c r="O31" s="17"/>
      <c r="P31" s="17"/>
      <c r="Q31" s="17"/>
      <c r="R31" s="17"/>
      <c r="S31" s="17"/>
      <c r="T31" s="17"/>
      <c r="U31" s="17"/>
      <c r="V31" s="17"/>
      <c r="W31" s="18"/>
    </row>
    <row r="32" ht="15.5" customHeight="1">
      <c r="A32" s="32"/>
      <c r="B32" s="74"/>
      <c r="C32" t="s" s="1198">
        <v>1028</v>
      </c>
      <c r="D32" s="1199"/>
      <c r="E32" t="s" s="1200">
        <v>14</v>
      </c>
      <c r="F32" s="16"/>
      <c r="G32" s="17"/>
      <c r="H32" s="17"/>
      <c r="I32" s="17"/>
      <c r="J32" s="17"/>
      <c r="K32" s="17"/>
      <c r="L32" s="17"/>
      <c r="M32" s="214"/>
      <c r="N32" s="214"/>
      <c r="O32" s="17"/>
      <c r="P32" s="17"/>
      <c r="Q32" s="17"/>
      <c r="R32" s="17"/>
      <c r="S32" s="17"/>
      <c r="T32" s="17"/>
      <c r="U32" s="17"/>
      <c r="V32" s="17"/>
      <c r="W32" s="18"/>
    </row>
    <row r="33" ht="15.5" customHeight="1">
      <c r="A33" s="32"/>
      <c r="B33" s="35"/>
      <c r="C33" s="33"/>
      <c r="D33" s="33"/>
      <c r="E33" s="33"/>
      <c r="F33" s="35"/>
      <c r="G33" s="35"/>
      <c r="H33" s="35"/>
      <c r="I33" s="35"/>
      <c r="J33" s="35"/>
      <c r="K33" s="35"/>
      <c r="L33" s="17"/>
      <c r="M33" s="214"/>
      <c r="N33" s="214"/>
      <c r="O33" s="35"/>
      <c r="P33" s="35"/>
      <c r="Q33" s="35"/>
      <c r="R33" s="35"/>
      <c r="S33" s="35"/>
      <c r="T33" s="17"/>
      <c r="U33" s="17"/>
      <c r="V33" s="17"/>
      <c r="W33" s="18"/>
    </row>
    <row r="34" ht="30" customHeight="1">
      <c r="A34" s="12"/>
      <c r="B34" s="1201"/>
      <c r="C34" t="s" s="1202">
        <v>1029</v>
      </c>
      <c r="D34" t="s" s="1203">
        <v>7</v>
      </c>
      <c r="E34" t="s" s="1203">
        <v>1030</v>
      </c>
      <c r="F34" t="s" s="1203">
        <v>933</v>
      </c>
      <c r="G34" t="s" s="1203">
        <v>934</v>
      </c>
      <c r="H34" t="s" s="1203">
        <v>989</v>
      </c>
      <c r="I34" t="s" s="1203">
        <v>990</v>
      </c>
      <c r="J34" t="s" s="1203">
        <v>659</v>
      </c>
      <c r="K34" t="s" s="1204">
        <v>1031</v>
      </c>
      <c r="L34" s="1205"/>
      <c r="M34" s="17"/>
      <c r="N34" s="74"/>
      <c r="O34" t="s" s="1206">
        <v>994</v>
      </c>
      <c r="P34" t="s" s="1203">
        <v>995</v>
      </c>
      <c r="Q34" t="s" s="1203">
        <v>996</v>
      </c>
      <c r="R34" t="s" s="1203">
        <v>997</v>
      </c>
      <c r="S34" t="s" s="1204">
        <v>998</v>
      </c>
      <c r="T34" s="16"/>
      <c r="U34" s="17"/>
      <c r="V34" s="17"/>
      <c r="W34" s="18"/>
    </row>
    <row r="35" ht="14.5" customHeight="1">
      <c r="A35" s="12"/>
      <c r="B35" s="1207" cm="1">
        <f t="array" ref="B35">'Boats Data Sheet 2026'!B3</f>
        <v>1</v>
      </c>
      <c r="C35" t="str" s="1208" cm="1">
        <f t="array" ref="C35">'Boats Data Sheet 2026'!C3</f>
        <v>Sweetheart 4</v>
      </c>
      <c r="D35" t="str" s="1209" cm="1">
        <f t="array" ref="D35">'Boats Data Sheet 2026'!D3</f>
        <v>Shared/Private</v>
      </c>
      <c r="E35" s="1210" cm="1">
        <f t="array" ref="E35">1-VLOOKUP(C35,'Boats Data Sheet 2026'!$C$3:$E$60,3,0)</f>
        <v>0.1</v>
      </c>
      <c r="F35" t="str" s="1209" cm="1">
        <f t="array" ref="F35">'Boats Data Sheet 2026'!F3</f>
        <v>Own</v>
      </c>
      <c r="G35" t="str" s="1209" cm="1">
        <f t="array" ref="G35">'Boats Data Sheet 2026'!G3</f>
        <v>Primary</v>
      </c>
      <c r="H35" s="1211" cm="1">
        <f t="array" ref="H35">'Boats Data Sheet 2026'!H3</f>
        <v>14</v>
      </c>
      <c r="I35" s="1210" cm="1">
        <f t="array" ref="I35">I3</f>
        <v>0.85</v>
      </c>
      <c r="J35" s="1212" cm="1">
        <f t="array" ref="J35">365-15-10</f>
        <v>340</v>
      </c>
      <c r="K35" s="1213" cm="1">
        <f t="array" ref="K35">_xlfn.IFERROR(ROUNDDOWN(E35*J35*I35,0),0)</f>
        <v>28</v>
      </c>
      <c r="L35" s="16"/>
      <c r="M35" s="17"/>
      <c r="N35" s="74"/>
      <c r="O35" s="1214" cm="1">
        <f t="array" ref="O35">(1300000000)/10*E35</f>
        <v>13000000</v>
      </c>
      <c r="P35" s="1215" cm="1">
        <f t="array" ref="P35">(41555876+6000000+16000000)*E35</f>
        <v>6355587.6</v>
      </c>
      <c r="Q35" s="1215" cm="1">
        <f t="array" ref="Q35">-SUM('FCF 2025-2026 Forecast'!$Z$13:$AK$13)*1000*E35</f>
        <v>12400000</v>
      </c>
      <c r="R35" s="1215" cm="1">
        <f t="array" ref="R35">SUM(O35:Q35)</f>
        <v>31755587.6</v>
      </c>
      <c r="S35" s="1216" cm="1">
        <f t="array" ref="S35">_xlfn.IFERROR(R35/K35,0)</f>
        <v>1134128.12857143</v>
      </c>
      <c r="T35" s="16"/>
      <c r="U35" s="17"/>
      <c r="V35" s="17"/>
      <c r="W35" s="18"/>
    </row>
    <row r="36" ht="14.5" customHeight="1">
      <c r="A36" s="12"/>
      <c r="B36" s="1217" cm="1">
        <f t="array" ref="B36">'Boats Data Sheet 2026'!B4</f>
        <v>2</v>
      </c>
      <c r="C36" t="str" s="1218" cm="1">
        <f t="array" ref="C36">'Boats Data Sheet 2026'!C4</f>
        <v>Riki J</v>
      </c>
      <c r="D36" t="str" s="1219" cm="1">
        <f t="array" ref="D36">'Boats Data Sheet 2026'!D4</f>
        <v>Shared/Private</v>
      </c>
      <c r="E36" s="1220" cm="1">
        <f t="array" ref="E36">1-VLOOKUP(C36,'Boats Data Sheet 2026'!$C$3:$E$60,3,0)</f>
        <v>0.2</v>
      </c>
      <c r="F36" t="str" s="1219" cm="1">
        <f t="array" ref="F36">'Boats Data Sheet 2026'!F4</f>
        <v>Own</v>
      </c>
      <c r="G36" t="str" s="1219" cm="1">
        <f t="array" ref="G36">'Boats Data Sheet 2026'!G4</f>
        <v>Primary</v>
      </c>
      <c r="H36" s="1221" cm="1">
        <f t="array" ref="H36">'Boats Data Sheet 2026'!H4</f>
        <v>14</v>
      </c>
      <c r="I36" s="1220" cm="1">
        <f t="array" ref="I36">I4</f>
        <v>0.85</v>
      </c>
      <c r="J36" s="1222" cm="1">
        <f t="array" ref="J36">365-15-10</f>
        <v>340</v>
      </c>
      <c r="K36" s="1223" cm="1">
        <f t="array" ref="K36">_xlfn.IFERROR(ROUNDDOWN(E36*J36*I36,0),0)</f>
        <v>57</v>
      </c>
      <c r="L36" s="1205"/>
      <c r="M36" s="17"/>
      <c r="N36" s="74"/>
      <c r="O36" s="1224" cm="1">
        <f t="array" ref="O36">(1450000000)/10*E36</f>
        <v>29000000</v>
      </c>
      <c r="P36" s="1225" cm="1">
        <f t="array" ref="P36">61461384*E36</f>
        <v>12292276.8</v>
      </c>
      <c r="Q36" s="1225" cm="1">
        <f t="array" ref="Q36">-SUM('FCF 2025-2026 Forecast'!$Z$12:$AK$12)*1000*E36</f>
        <v>36000000</v>
      </c>
      <c r="R36" s="1225" cm="1">
        <f t="array" ref="R36">SUM(O36:Q36)</f>
        <v>77292276.8</v>
      </c>
      <c r="S36" s="1226" cm="1">
        <f t="array" ref="S36">_xlfn.IFERROR(R36/K36,0)</f>
        <v>1356004.85614035</v>
      </c>
      <c r="T36" s="16"/>
      <c r="U36" s="17"/>
      <c r="V36" s="17"/>
      <c r="W36" s="18"/>
    </row>
    <row r="37" ht="14.5" customHeight="1">
      <c r="A37" s="12"/>
      <c r="B37" s="1217" cm="1">
        <f t="array" ref="B37">'Boats Data Sheet 2026'!B16</f>
        <v>14</v>
      </c>
      <c r="C37" t="str" s="1218" cm="1">
        <f t="array" ref="C37">'Boats Data Sheet 2026'!C16</f>
        <v>Sanjaya</v>
      </c>
      <c r="D37" t="str" s="1219" cm="1">
        <f t="array" ref="D37">'Boats Data Sheet 2026'!D16</f>
        <v>Shared/Private</v>
      </c>
      <c r="E37" s="1220" cm="1">
        <f t="array" ref="E37">1-VLOOKUP(C37,'Boats Data Sheet 2026'!$C$3:$E$60,3,0)</f>
        <v>0.4</v>
      </c>
      <c r="F37" t="str" s="1219" cm="1">
        <f t="array" ref="F37">'Boats Data Sheet 2026'!F16</f>
        <v>Rent</v>
      </c>
      <c r="G37" t="str" s="1219" cm="1">
        <f t="array" ref="G37">'Boats Data Sheet 2026'!G16</f>
        <v>Primary</v>
      </c>
      <c r="H37" s="1221" cm="1">
        <f t="array" ref="H37">'Boats Data Sheet 2026'!H16</f>
        <v>13</v>
      </c>
      <c r="I37" s="1220" cm="1">
        <f t="array" ref="I37">I5</f>
        <v>0.5</v>
      </c>
      <c r="J37" s="1222" cm="1">
        <f t="array" ref="J37">365-15-10</f>
        <v>340</v>
      </c>
      <c r="K37" s="1223" cm="1">
        <f t="array" ref="K37">_xlfn.IFERROR(ROUNDDOWN(E37*J37*I37,0),0)</f>
        <v>68</v>
      </c>
      <c r="L37" s="1205"/>
      <c r="M37" s="17"/>
      <c r="N37" s="74"/>
      <c r="O37" s="1224">
        <v>0</v>
      </c>
      <c r="P37" s="1225"/>
      <c r="Q37" s="1225">
        <v>0</v>
      </c>
      <c r="R37" s="1225" cm="1">
        <f t="array" ref="R37">SUM(O37:Q37)</f>
        <v>0</v>
      </c>
      <c r="S37" s="1226" cm="1">
        <f t="array" ref="S37">_xlfn.IFERROR(R37/K37,0)</f>
        <v>0</v>
      </c>
      <c r="T37" s="16"/>
      <c r="U37" s="17"/>
      <c r="V37" s="17"/>
      <c r="W37" s="18"/>
    </row>
    <row r="38" ht="14.5" customHeight="1">
      <c r="A38" s="12"/>
      <c r="B38" s="1217" cm="1">
        <f t="array" ref="B38">'Boats Data Sheet 2026'!B17</f>
        <v>15</v>
      </c>
      <c r="C38" t="str" s="1218" cm="1">
        <f t="array" ref="C38">'Boats Data Sheet 2026'!C17</f>
        <v>Jayanadi</v>
      </c>
      <c r="D38" t="str" s="1219" cm="1">
        <f t="array" ref="D38">'Boats Data Sheet 2026'!D17</f>
        <v>Shared/Private</v>
      </c>
      <c r="E38" s="1220" cm="1">
        <f t="array" ref="E38">1-VLOOKUP(C38,'Boats Data Sheet 2026'!$C$3:$E$60,3,0)</f>
        <v>0.7</v>
      </c>
      <c r="F38" t="str" s="1219" cm="1">
        <f t="array" ref="F38">'Boats Data Sheet 2026'!F17</f>
        <v>Tour </v>
      </c>
      <c r="G38" t="str" s="1219" cm="1">
        <f t="array" ref="G38">'Boats Data Sheet 2026'!G17</f>
        <v>Primary</v>
      </c>
      <c r="H38" s="1221" cm="1">
        <f t="array" ref="H38">'Boats Data Sheet 2026'!H17</f>
        <v>14</v>
      </c>
      <c r="I38" s="1220" cm="1">
        <f t="array" ref="I38">I6</f>
        <v>0.3</v>
      </c>
      <c r="J38" s="1222" cm="1">
        <f t="array" ref="J38">365-15-10</f>
        <v>340</v>
      </c>
      <c r="K38" s="1223" cm="1">
        <f t="array" ref="K38">_xlfn.IFERROR(ROUNDDOWN(E38*J38*I38,0),0)</f>
        <v>71</v>
      </c>
      <c r="L38" s="1205"/>
      <c r="M38" s="17"/>
      <c r="N38" s="74"/>
      <c r="O38" s="1224">
        <v>0</v>
      </c>
      <c r="P38" s="1225"/>
      <c r="Q38" s="1225">
        <v>0</v>
      </c>
      <c r="R38" s="1225" cm="1">
        <f t="array" ref="R38">SUM(O38:Q38)</f>
        <v>0</v>
      </c>
      <c r="S38" s="1226" cm="1">
        <f t="array" ref="S38">_xlfn.IFERROR(R38/K38,0)</f>
        <v>0</v>
      </c>
      <c r="T38" s="16"/>
      <c r="U38" s="17"/>
      <c r="V38" s="17"/>
      <c r="W38" s="18"/>
    </row>
    <row r="39" ht="14.5" customHeight="1">
      <c r="A39" s="12"/>
      <c r="B39" s="1217" cm="1">
        <f t="array" ref="B39">'Boats Data Sheet 2026'!B18</f>
        <v>16</v>
      </c>
      <c r="C39" t="str" s="1218" cm="1">
        <f t="array" ref="C39">'Boats Data Sheet 2026'!C18</f>
        <v>Sea Dragon</v>
      </c>
      <c r="D39" t="str" s="1219" cm="1">
        <f t="array" ref="D39">'Boats Data Sheet 2026'!D18</f>
        <v>Shared/Private</v>
      </c>
      <c r="E39" s="1220" cm="1">
        <f t="array" ref="E39">1-VLOOKUP(C39,'Boats Data Sheet 2026'!$C$3:$E$60,3,0)</f>
        <v>0.4</v>
      </c>
      <c r="F39" t="str" s="1219" cm="1">
        <f t="array" ref="F39">'Boats Data Sheet 2026'!F18</f>
        <v>Rent</v>
      </c>
      <c r="G39" t="str" s="1219" cm="1">
        <f t="array" ref="G39">'Boats Data Sheet 2026'!G18</f>
        <v>Primary</v>
      </c>
      <c r="H39" s="1221" cm="1">
        <f t="array" ref="H39">'Boats Data Sheet 2026'!H18</f>
        <v>13</v>
      </c>
      <c r="I39" s="1220" cm="1">
        <f t="array" ref="I39">I7</f>
        <v>0.5</v>
      </c>
      <c r="J39" s="1222" cm="1">
        <f t="array" ref="J39">365-15-10</f>
        <v>340</v>
      </c>
      <c r="K39" s="1223" cm="1">
        <f t="array" ref="K39">_xlfn.IFERROR(ROUNDDOWN(E39*J39*I39,0),0)</f>
        <v>68</v>
      </c>
      <c r="L39" s="1205"/>
      <c r="M39" s="17"/>
      <c r="N39" s="74"/>
      <c r="O39" s="1224">
        <v>0</v>
      </c>
      <c r="P39" s="1225"/>
      <c r="Q39" s="1225">
        <v>0</v>
      </c>
      <c r="R39" s="1225" cm="1">
        <f t="array" ref="R39">SUM(O39:Q39)</f>
        <v>0</v>
      </c>
      <c r="S39" s="1226" cm="1">
        <f t="array" ref="S39">_xlfn.IFERROR(R39/K39,0)</f>
        <v>0</v>
      </c>
      <c r="T39" s="16"/>
      <c r="U39" s="17"/>
      <c r="V39" s="17"/>
      <c r="W39" s="18"/>
    </row>
    <row r="40" ht="14.5" customHeight="1">
      <c r="A40" s="12"/>
      <c r="B40" s="1217" cm="1">
        <f t="array" ref="B40">'Boats Data Sheet 2026'!B19</f>
        <v>17</v>
      </c>
      <c r="C40" t="str" s="1218" cm="1">
        <f t="array" ref="C40">'Boats Data Sheet 2026'!C19</f>
        <v>Sanjaya O4</v>
      </c>
      <c r="D40" t="str" s="1219" cm="1">
        <f t="array" ref="D40">'Boats Data Sheet 2026'!D19</f>
        <v>Shared/Private</v>
      </c>
      <c r="E40" s="1220" cm="1">
        <f t="array" ref="E40">1-VLOOKUP(C40,'Boats Data Sheet 2026'!$C$3:$E$60,3,0)</f>
        <v>0.5</v>
      </c>
      <c r="F40" t="str" s="1219" cm="1">
        <f t="array" ref="F40">'Boats Data Sheet 2026'!F19</f>
        <v>Rent</v>
      </c>
      <c r="G40" t="str" s="1219" cm="1">
        <f t="array" ref="G40">'Boats Data Sheet 2026'!G19</f>
        <v>Primary</v>
      </c>
      <c r="H40" s="1221" cm="1">
        <f t="array" ref="H40">'Boats Data Sheet 2026'!H19</f>
        <v>13</v>
      </c>
      <c r="I40" s="1220" cm="1">
        <f t="array" ref="I40">I8</f>
        <v>0.5</v>
      </c>
      <c r="J40" s="1222" cm="1">
        <f t="array" ref="J40">365-15-10</f>
        <v>340</v>
      </c>
      <c r="K40" s="1223" cm="1">
        <f t="array" ref="K40">_xlfn.IFERROR(ROUNDDOWN(E40*J40*I40,0),0)</f>
        <v>85</v>
      </c>
      <c r="L40" s="1205"/>
      <c r="M40" s="17"/>
      <c r="N40" s="74"/>
      <c r="O40" s="1224">
        <v>0</v>
      </c>
      <c r="P40" s="1225"/>
      <c r="Q40" s="1225">
        <v>0</v>
      </c>
      <c r="R40" s="1225" cm="1">
        <f t="array" ref="R40">SUM(O40:Q40)</f>
        <v>0</v>
      </c>
      <c r="S40" s="1226">
        <v>0</v>
      </c>
      <c r="T40" s="16"/>
      <c r="U40" s="17"/>
      <c r="V40" s="17"/>
      <c r="W40" s="18"/>
    </row>
    <row r="41" ht="14.5" customHeight="1">
      <c r="A41" s="12"/>
      <c r="B41" s="1217" cm="1">
        <f t="array" ref="B41">'Boats Data Sheet 2026'!B20</f>
        <v>18</v>
      </c>
      <c r="C41" t="str" s="1218" cm="1">
        <f t="array" ref="C41">'Boats Data Sheet 2026'!C20</f>
        <v>Sanjaya O5</v>
      </c>
      <c r="D41" t="str" s="1219" cm="1">
        <f t="array" ref="D41">'Boats Data Sheet 2026'!D20</f>
        <v>Shared/Private</v>
      </c>
      <c r="E41" s="1220" cm="1">
        <f t="array" ref="E41">1-VLOOKUP(C41,'Boats Data Sheet 2026'!$C$3:$E$60,3,0)</f>
        <v>0.4</v>
      </c>
      <c r="F41" t="str" s="1219" cm="1">
        <f t="array" ref="F41">'Boats Data Sheet 2026'!F20</f>
        <v>Rent</v>
      </c>
      <c r="G41" t="str" s="1219" cm="1">
        <f t="array" ref="G41">'Boats Data Sheet 2026'!G20</f>
        <v>Primary</v>
      </c>
      <c r="H41" s="1221" cm="1">
        <f t="array" ref="H41">'Boats Data Sheet 2026'!H20</f>
        <v>13</v>
      </c>
      <c r="I41" s="1220" cm="1">
        <f t="array" ref="I41">I9</f>
        <v>0.6</v>
      </c>
      <c r="J41" s="1222" cm="1">
        <f t="array" ref="J41">365-15-10</f>
        <v>340</v>
      </c>
      <c r="K41" s="1223" cm="1">
        <f t="array" ref="K41">_xlfn.IFERROR(ROUNDDOWN(E41*J41*I41,0),0)</f>
        <v>81</v>
      </c>
      <c r="L41" s="1205"/>
      <c r="M41" s="17"/>
      <c r="N41" s="74"/>
      <c r="O41" s="1224">
        <v>0</v>
      </c>
      <c r="P41" s="1225"/>
      <c r="Q41" s="1225">
        <v>0</v>
      </c>
      <c r="R41" s="1225" cm="1">
        <f t="array" ref="R41">SUM(O41:Q41)</f>
        <v>0</v>
      </c>
      <c r="S41" s="1226">
        <v>0</v>
      </c>
      <c r="T41" s="16"/>
      <c r="U41" s="17"/>
      <c r="V41" s="17"/>
      <c r="W41" s="18"/>
    </row>
    <row r="42" ht="14.5" customHeight="1">
      <c r="A42" s="12"/>
      <c r="B42" s="1217" cm="1">
        <f t="array" ref="B42">B13</f>
        <v>3</v>
      </c>
      <c r="C42" t="str" s="1227" cm="1">
        <f t="array" ref="C42">C13</f>
        <v>Almond Milk</v>
      </c>
      <c r="D42" t="str" s="1228" cm="1">
        <f t="array" ref="D42">D13</f>
        <v>Shared/Private</v>
      </c>
      <c r="E42" s="1220" cm="1">
        <f t="array" ref="E42">1-VLOOKUP(C42,'Boats Data Sheet 2026'!$C$3:$E$60,3,0)</f>
        <v>0.2</v>
      </c>
      <c r="F42" t="str" s="1228" cm="1">
        <f t="array" ref="F42">F13</f>
        <v>Own</v>
      </c>
      <c r="G42" t="str" s="1228" cm="1">
        <f t="array" ref="G42">G13</f>
        <v>Primary</v>
      </c>
      <c r="H42" s="1221" cm="1">
        <f t="array" ref="H42">H13</f>
        <v>13</v>
      </c>
      <c r="I42" s="1220" cm="1">
        <f t="array" ref="I42">I13</f>
        <v>0.8</v>
      </c>
      <c r="J42" s="1222" cm="1">
        <f t="array" ref="J42">365-15-10</f>
        <v>340</v>
      </c>
      <c r="K42" s="1223" cm="1">
        <f t="array" ref="K42">_xlfn.IFERROR(ROUNDDOWN(E42*J42*I42,0),0)</f>
        <v>54</v>
      </c>
      <c r="L42" s="1205"/>
      <c r="M42" s="17"/>
      <c r="N42" s="74"/>
      <c r="O42" s="1224" cm="1">
        <f t="array" ref="O42">1360000000/10*E42</f>
        <v>27200000</v>
      </c>
      <c r="P42" s="1225" cm="1">
        <f t="array" ref="P42">(41555876+6000000+16000000)*E42</f>
        <v>12711175.2</v>
      </c>
      <c r="Q42" s="1225" cm="1">
        <f t="array" ref="Q42">-SUM('FCF 2025-2026 Forecast'!$Z$14:$AK$14)*1000*E42</f>
        <v>16800000</v>
      </c>
      <c r="R42" s="1225" cm="1">
        <f t="array" ref="R42">SUM(O42:Q42)</f>
        <v>56711175.2</v>
      </c>
      <c r="S42" s="1226" cm="1">
        <f t="array" ref="S42">_xlfn.IFERROR(R42/K42,0)</f>
        <v>1050206.94814815</v>
      </c>
      <c r="T42" s="16"/>
      <c r="U42" s="17"/>
      <c r="V42" s="17"/>
      <c r="W42" s="18"/>
    </row>
    <row r="43" ht="14.5" customHeight="1">
      <c r="A43" s="12"/>
      <c r="B43" s="1217" cm="1">
        <f t="array" ref="B43">B14</f>
        <v>4</v>
      </c>
      <c r="C43" t="str" s="1227" cm="1">
        <f t="array" ref="C43">C14</f>
        <v>Honey Milk</v>
      </c>
      <c r="D43" t="str" s="1228" cm="1">
        <f t="array" ref="D43">D14</f>
        <v>Shared/Private</v>
      </c>
      <c r="E43" s="1220" cm="1">
        <f t="array" ref="E43">1-VLOOKUP(C43,'Boats Data Sheet 2026'!$C$3:$E$60,3,0)</f>
        <v>0.2</v>
      </c>
      <c r="F43" t="str" s="1228" cm="1">
        <f t="array" ref="F43">F14</f>
        <v>Own</v>
      </c>
      <c r="G43" t="str" s="1228" cm="1">
        <f t="array" ref="G43">G14</f>
        <v>Primary</v>
      </c>
      <c r="H43" s="1221" cm="1">
        <f t="array" ref="H43">H14</f>
        <v>13</v>
      </c>
      <c r="I43" s="1220" cm="1">
        <f t="array" ref="I43">I14</f>
        <v>0.8</v>
      </c>
      <c r="J43" s="1222" cm="1">
        <f t="array" ref="J43">365-15-10</f>
        <v>340</v>
      </c>
      <c r="K43" s="1223" cm="1">
        <f t="array" ref="K43">_xlfn.IFERROR(ROUNDDOWN(E43*J43*I43,0),0)</f>
        <v>54</v>
      </c>
      <c r="L43" s="1205"/>
      <c r="M43" s="17"/>
      <c r="N43" s="74"/>
      <c r="O43" s="1224" cm="1">
        <f t="array" ref="O43">1360000000/10*E43</f>
        <v>27200000</v>
      </c>
      <c r="P43" s="1225" cm="1">
        <f t="array" ref="P43">(41555876+6000000+16000000)*E43</f>
        <v>12711175.2</v>
      </c>
      <c r="Q43" s="1225" cm="1">
        <f t="array" ref="Q43">-SUM('FCF 2025-2026 Forecast'!$Z$15:$AK$15)*1000*E43</f>
        <v>16800000</v>
      </c>
      <c r="R43" s="1225" cm="1">
        <f t="array" ref="R43">SUM(O43:Q43)</f>
        <v>56711175.2</v>
      </c>
      <c r="S43" s="1226" cm="1">
        <f t="array" ref="S43">_xlfn.IFERROR(R43/K43,0)</f>
        <v>1050206.94814815</v>
      </c>
      <c r="T43" s="16"/>
      <c r="U43" s="17"/>
      <c r="V43" s="17"/>
      <c r="W43" s="18"/>
    </row>
    <row r="44" ht="14.5" customHeight="1">
      <c r="A44" s="12"/>
      <c r="B44" s="1217" cm="1">
        <f t="array" ref="B44">B15</f>
        <v>5</v>
      </c>
      <c r="C44" t="str" s="1227" cm="1">
        <f t="array" ref="C44">C15</f>
        <v>Eldorado 1</v>
      </c>
      <c r="D44" t="str" s="1228" cm="1">
        <f t="array" ref="D44">D15</f>
        <v>Shared/Private</v>
      </c>
      <c r="E44" s="1220" cm="1">
        <f t="array" ref="E44">1-VLOOKUP(C44,'Boats Data Sheet 2026'!$C$3:$E$60,3,0)</f>
        <v>0.2</v>
      </c>
      <c r="F44" t="str" s="1228" cm="1">
        <f t="array" ref="F44">F15</f>
        <v>Own</v>
      </c>
      <c r="G44" t="str" s="1228" cm="1">
        <f t="array" ref="G44">G15</f>
        <v>Primary</v>
      </c>
      <c r="H44" s="1221" cm="1">
        <f t="array" ref="H44">H15</f>
        <v>13</v>
      </c>
      <c r="I44" s="1220" cm="1">
        <f t="array" ref="I44">I15</f>
        <v>0.95</v>
      </c>
      <c r="J44" s="1222" cm="1">
        <f t="array" ref="J44">365-15-10</f>
        <v>340</v>
      </c>
      <c r="K44" s="1223" cm="1">
        <f t="array" ref="K44">_xlfn.IFERROR(ROUNDDOWN(E44*J44*I44,0),0)</f>
        <v>64</v>
      </c>
      <c r="L44" s="1205"/>
      <c r="M44" s="17"/>
      <c r="N44" s="74"/>
      <c r="O44" s="1224" cm="1">
        <f t="array" ref="O44">1360000000/10*E44</f>
        <v>27200000</v>
      </c>
      <c r="P44" s="1225" cm="1">
        <f t="array" ref="P44">(41555876+40000000+32000000)*E44</f>
        <v>22711175.2</v>
      </c>
      <c r="Q44" s="1225">
        <v>0</v>
      </c>
      <c r="R44" s="1225" cm="1">
        <f t="array" ref="R44">SUM(O44:Q44)</f>
        <v>49911175.2</v>
      </c>
      <c r="S44" s="1226" cm="1">
        <f t="array" ref="S44">_xlfn.IFERROR(R44/K44,0)</f>
        <v>779862.1125</v>
      </c>
      <c r="T44" s="16"/>
      <c r="U44" s="17"/>
      <c r="V44" s="17"/>
      <c r="W44" s="18"/>
    </row>
    <row r="45" ht="14.5" customHeight="1">
      <c r="A45" s="12"/>
      <c r="B45" s="1217" cm="1">
        <f t="array" ref="B45">B16</f>
        <v>6</v>
      </c>
      <c r="C45" t="str" s="1227" cm="1">
        <f t="array" ref="C45">C16</f>
        <v>Eldorado 2 - Arya</v>
      </c>
      <c r="D45" t="str" s="1228" cm="1">
        <f t="array" ref="D45">D16</f>
        <v>Shared/Private</v>
      </c>
      <c r="E45" s="1220" cm="1">
        <f t="array" ref="E45">1-VLOOKUP(C45,'Boats Data Sheet 2026'!$C$3:$E$60,3,0)</f>
        <v>0.3</v>
      </c>
      <c r="F45" t="str" s="1228" cm="1">
        <f t="array" ref="F45">F16</f>
        <v>Management</v>
      </c>
      <c r="G45" t="str" s="1228" cm="1">
        <f t="array" ref="G45">G16</f>
        <v>Primary</v>
      </c>
      <c r="H45" s="1221" cm="1">
        <f t="array" ref="H45">H16</f>
        <v>13</v>
      </c>
      <c r="I45" s="1220" cm="1">
        <f t="array" ref="I45">I16</f>
        <v>0.85</v>
      </c>
      <c r="J45" s="1222" cm="1">
        <f t="array" ref="J45">365-15-10</f>
        <v>340</v>
      </c>
      <c r="K45" s="1223" cm="1">
        <f t="array" ref="K45">_xlfn.IFERROR(ROUNDDOWN(E45*J45*I45,0),0)*11/12</f>
        <v>78.8333333333333</v>
      </c>
      <c r="L45" s="1205"/>
      <c r="M45" s="17"/>
      <c r="N45" s="74"/>
      <c r="O45" s="1224" cm="1">
        <f t="array" ref="O45">1650000000/10*E45*11/12</f>
        <v>45375000</v>
      </c>
      <c r="P45" s="1225" cm="1">
        <f t="array" ref="P45">(41555876+40000000+32000000)*E45*11/12</f>
        <v>31227865.9</v>
      </c>
      <c r="Q45" s="1225">
        <v>0</v>
      </c>
      <c r="R45" s="1225" cm="1">
        <f t="array" ref="R45">SUM(O45:Q45)</f>
        <v>76602865.90000001</v>
      </c>
      <c r="S45" s="1226" cm="1">
        <f t="array" ref="S45">_xlfn.IFERROR(R45/K45,0)</f>
        <v>971706.544186047</v>
      </c>
      <c r="T45" s="16"/>
      <c r="U45" s="17"/>
      <c r="V45" s="17"/>
      <c r="W45" s="18"/>
    </row>
    <row r="46" ht="14.5" customHeight="1">
      <c r="A46" s="12"/>
      <c r="B46" s="1217" cm="1">
        <f t="array" ref="B46">B17</f>
        <v>7</v>
      </c>
      <c r="C46" t="str" s="1227" cm="1">
        <f t="array" ref="C46">C17</f>
        <v>Eldorado 3 - Evgenii</v>
      </c>
      <c r="D46" t="str" s="1228" cm="1">
        <f t="array" ref="D46">D17</f>
        <v>Shared/Private</v>
      </c>
      <c r="E46" s="1220" cm="1">
        <f t="array" ref="E46">1-VLOOKUP(C46,'Boats Data Sheet 2026'!$C$3:$E$60,3,0)</f>
        <v>0.3</v>
      </c>
      <c r="F46" t="str" s="1228" cm="1">
        <f t="array" ref="F46">F17</f>
        <v>Management</v>
      </c>
      <c r="G46" t="str" s="1228" cm="1">
        <f t="array" ref="G46">G17</f>
        <v>Primary</v>
      </c>
      <c r="H46" s="1221" cm="1">
        <f t="array" ref="H46">H17</f>
        <v>13</v>
      </c>
      <c r="I46" s="1220" cm="1">
        <f t="array" ref="I46">I17</f>
        <v>0.85</v>
      </c>
      <c r="J46" s="1222" cm="1">
        <f t="array" ref="J46">365-15-10</f>
        <v>340</v>
      </c>
      <c r="K46" s="1223" cm="1">
        <f t="array" ref="K46">_xlfn.IFERROR(ROUNDDOWN(E46*J46*I46,0),0)*10/12</f>
        <v>71.6666666666667</v>
      </c>
      <c r="L46" s="1205"/>
      <c r="M46" s="17"/>
      <c r="N46" s="74"/>
      <c r="O46" s="1224" cm="1">
        <f t="array" ref="O46">1650000000/10*E46*10/12</f>
        <v>41250000</v>
      </c>
      <c r="P46" s="1225" cm="1">
        <f t="array" ref="P46">(41555876+40000000+32000000)*E46*10/12</f>
        <v>28388969</v>
      </c>
      <c r="Q46" s="1225">
        <v>0</v>
      </c>
      <c r="R46" s="1225" cm="1">
        <f t="array" ref="R46">SUM(O46:Q46)</f>
        <v>69638969</v>
      </c>
      <c r="S46" s="1226" cm="1">
        <f t="array" ref="S46">_xlfn.IFERROR(R46/K46,0)</f>
        <v>971706.544186046</v>
      </c>
      <c r="T46" s="16"/>
      <c r="U46" s="17"/>
      <c r="V46" s="17"/>
      <c r="W46" s="18"/>
    </row>
    <row r="47" ht="14.5" customHeight="1">
      <c r="A47" s="12"/>
      <c r="B47" s="1217" cm="1">
        <f t="array" ref="B47">B18</f>
        <v>8</v>
      </c>
      <c r="C47" t="str" s="1227" cm="1">
        <f t="array" ref="C47">C18</f>
        <v>Eldorado 4 - Vadim</v>
      </c>
      <c r="D47" t="str" s="1228" cm="1">
        <f t="array" ref="D47">D18</f>
        <v>Shared/Private</v>
      </c>
      <c r="E47" s="1220" cm="1">
        <f t="array" ref="E47">1-VLOOKUP(C47,'Boats Data Sheet 2026'!$C$3:$E$60,3,0)</f>
        <v>0.3</v>
      </c>
      <c r="F47" t="str" s="1228" cm="1">
        <f t="array" ref="F47">F18</f>
        <v>Management</v>
      </c>
      <c r="G47" t="str" s="1228" cm="1">
        <f t="array" ref="G47">G18</f>
        <v>Primary</v>
      </c>
      <c r="H47" s="1221" cm="1">
        <f t="array" ref="H47">H18</f>
        <v>13</v>
      </c>
      <c r="I47" s="1220" cm="1">
        <f t="array" ref="I47">I18</f>
        <v>0.8</v>
      </c>
      <c r="J47" s="1222" cm="1">
        <f t="array" ref="J47">365-15-10</f>
        <v>340</v>
      </c>
      <c r="K47" s="1223" cm="1">
        <f t="array" ref="K47">_xlfn.IFERROR(ROUNDDOWN(E47*J47*I47,0),0)*9/12</f>
        <v>60.75</v>
      </c>
      <c r="L47" s="1205"/>
      <c r="M47" s="17"/>
      <c r="N47" s="74"/>
      <c r="O47" s="1224" cm="1">
        <f t="array" ref="O47">2445000000/10*E47*9/12</f>
        <v>55012500</v>
      </c>
      <c r="P47" s="1225" cm="1">
        <f t="array" ref="P47">(41555876+40000000+32000000)*E47*9/12</f>
        <v>25550072.1</v>
      </c>
      <c r="Q47" s="1225">
        <v>0</v>
      </c>
      <c r="R47" s="1225" cm="1">
        <f t="array" ref="R47">SUM(O47:Q47)</f>
        <v>80562572.09999999</v>
      </c>
      <c r="S47" s="1226" cm="1">
        <f t="array" ref="S47">_xlfn.IFERROR(R47/K47,0)</f>
        <v>1326132.87407407</v>
      </c>
      <c r="T47" s="16"/>
      <c r="U47" s="17"/>
      <c r="V47" s="17"/>
      <c r="W47" s="18"/>
    </row>
    <row r="48" ht="14.5" customHeight="1">
      <c r="A48" s="12"/>
      <c r="B48" s="1217" cm="1">
        <f t="array" ref="B48">B19</f>
        <v>9</v>
      </c>
      <c r="C48" t="str" s="1227" cm="1">
        <f t="array" ref="C48">C19</f>
        <v>Eldorado 5 - Robert</v>
      </c>
      <c r="D48" t="str" s="1228" cm="1">
        <f t="array" ref="D48">D19</f>
        <v>Shared/Private</v>
      </c>
      <c r="E48" s="1220" cm="1">
        <f t="array" ref="E48">1-VLOOKUP(C48,'Boats Data Sheet 2026'!$C$3:$E$60,3,0)</f>
        <v>0.4</v>
      </c>
      <c r="F48" t="str" s="1228" cm="1">
        <f t="array" ref="F48">F19</f>
        <v>Rent</v>
      </c>
      <c r="G48" t="str" s="1228" cm="1">
        <f t="array" ref="G48">G19</f>
        <v>Primary</v>
      </c>
      <c r="H48" s="1221" cm="1">
        <f t="array" ref="H48">H19</f>
        <v>13</v>
      </c>
      <c r="I48" s="1220" cm="1">
        <f t="array" ref="I48">I19</f>
        <v>0.8</v>
      </c>
      <c r="J48" s="1222" cm="1">
        <f t="array" ref="J48">365-15-10</f>
        <v>340</v>
      </c>
      <c r="K48" s="1223" cm="1">
        <f t="array" ref="K48">_xlfn.IFERROR(ROUNDDOWN(E48*J48*I48,0),0)*8/12</f>
        <v>72</v>
      </c>
      <c r="L48" s="1205"/>
      <c r="M48" s="17"/>
      <c r="N48" s="74"/>
      <c r="O48" s="1224">
        <v>0</v>
      </c>
      <c r="P48" s="1225">
        <v>0</v>
      </c>
      <c r="Q48" s="1225">
        <v>0</v>
      </c>
      <c r="R48" s="1225" cm="1">
        <f t="array" ref="R48">SUM(O48:Q48)</f>
        <v>0</v>
      </c>
      <c r="S48" s="1226" cm="1">
        <f t="array" ref="S48">_xlfn.IFERROR(R48/K48,0)</f>
        <v>0</v>
      </c>
      <c r="T48" s="16"/>
      <c r="U48" s="17"/>
      <c r="V48" s="17"/>
      <c r="W48" s="18"/>
    </row>
    <row r="49" ht="14.5" customHeight="1">
      <c r="A49" s="12"/>
      <c r="B49" s="1217" cm="1">
        <f t="array" ref="B49">B20</f>
        <v>10</v>
      </c>
      <c r="C49" t="str" s="1227" cm="1">
        <f t="array" ref="C49">C20</f>
        <v>Eldorado 6 - Vadim</v>
      </c>
      <c r="D49" t="str" s="1228" cm="1">
        <f t="array" ref="D49">D20</f>
        <v>Shared/Private</v>
      </c>
      <c r="E49" s="1220" cm="1">
        <f t="array" ref="E49">1-VLOOKUP(C49,'Boats Data Sheet 2026'!$C$3:$E$60,3,0)</f>
        <v>0.4</v>
      </c>
      <c r="F49" t="str" s="1228" cm="1">
        <f t="array" ref="F49">F20</f>
        <v>Rent</v>
      </c>
      <c r="G49" t="str" s="1228" cm="1">
        <f t="array" ref="G49">G20</f>
        <v>Primary</v>
      </c>
      <c r="H49" s="1221" cm="1">
        <f t="array" ref="H49">H20</f>
        <v>13</v>
      </c>
      <c r="I49" s="1220" cm="1">
        <f t="array" ref="I49">I20</f>
        <v>0.8</v>
      </c>
      <c r="J49" s="1222" cm="1">
        <f t="array" ref="J49">365-15-10</f>
        <v>340</v>
      </c>
      <c r="K49" s="1223" cm="1">
        <f t="array" ref="K49">_xlfn.IFERROR(ROUNDDOWN(E49*J49*I49,0),0)*7/12</f>
        <v>63</v>
      </c>
      <c r="L49" s="1205"/>
      <c r="M49" s="17"/>
      <c r="N49" s="74"/>
      <c r="O49" s="1224">
        <v>0</v>
      </c>
      <c r="P49" s="1225">
        <v>0</v>
      </c>
      <c r="Q49" s="1225">
        <v>0</v>
      </c>
      <c r="R49" s="1225" cm="1">
        <f t="array" ref="R49">SUM(O49:Q49)</f>
        <v>0</v>
      </c>
      <c r="S49" s="1226" cm="1">
        <f t="array" ref="S49">_xlfn.IFERROR(R49/K49,0)</f>
        <v>0</v>
      </c>
      <c r="T49" s="16"/>
      <c r="U49" s="17"/>
      <c r="V49" s="17"/>
      <c r="W49" s="18"/>
    </row>
    <row r="50" ht="14.5" customHeight="1">
      <c r="A50" s="12"/>
      <c r="B50" s="1217" cm="1">
        <f t="array" ref="B50">B12</f>
        <v>12</v>
      </c>
      <c r="C50" t="str" s="1227" cm="1">
        <f t="array" ref="C50">C12</f>
        <v>Boat Angels</v>
      </c>
      <c r="D50" t="str" s="1228" cm="1">
        <f t="array" ref="D50">D12</f>
        <v>Shared/Private</v>
      </c>
      <c r="E50" s="1220" cm="1">
        <f t="array" ref="E50">1-VLOOKUP(C50,'Boats Data Sheet 2026'!$C$3:$E$60,3,0)</f>
        <v>0.5</v>
      </c>
      <c r="F50" t="str" s="1228" cm="1">
        <f t="array" ref="F50">F12</f>
        <v>Management</v>
      </c>
      <c r="G50" t="str" s="1228" cm="1">
        <f t="array" ref="G50">G12</f>
        <v>Primary</v>
      </c>
      <c r="H50" s="1221" cm="1">
        <f t="array" ref="H50">H12</f>
        <v>13</v>
      </c>
      <c r="I50" s="1220" cm="1">
        <f t="array" ref="I50">I12</f>
        <v>0.6</v>
      </c>
      <c r="J50" s="1222" cm="1">
        <f t="array" ref="J50">365-15-10</f>
        <v>340</v>
      </c>
      <c r="K50" s="1223" cm="1">
        <f t="array" ref="K50">_xlfn.IFERROR(ROUNDDOWN(E50*J50*I50,0),0)</f>
        <v>102</v>
      </c>
      <c r="L50" s="1205"/>
      <c r="M50" s="17"/>
      <c r="N50" s="74"/>
      <c r="O50" s="1224">
        <v>0</v>
      </c>
      <c r="P50" s="1225">
        <v>0</v>
      </c>
      <c r="Q50" s="1225">
        <v>0</v>
      </c>
      <c r="R50" s="1225" cm="1">
        <f t="array" ref="R50">SUM(O50:Q50)</f>
        <v>0</v>
      </c>
      <c r="S50" s="1226" cm="1">
        <f t="array" ref="S50">_xlfn.IFERROR(R50/K50,0)</f>
        <v>0</v>
      </c>
      <c r="T50" s="16"/>
      <c r="U50" s="17"/>
      <c r="V50" s="17"/>
      <c r="W50" s="18"/>
    </row>
    <row r="51" ht="14.5" customHeight="1">
      <c r="A51" s="12"/>
      <c r="B51" s="1217" cm="1">
        <f t="array" ref="B51">B22</f>
        <v>13</v>
      </c>
      <c r="C51" t="str" s="1227" cm="1">
        <f t="array" ref="C51">C22</f>
        <v>Boat MW40</v>
      </c>
      <c r="D51" t="str" s="1228" cm="1">
        <f t="array" ref="D51">D22</f>
        <v>Shared/Private</v>
      </c>
      <c r="E51" s="1220" cm="1">
        <f t="array" ref="E51">1-VLOOKUP(C51,'Boats Data Sheet 2026'!$C$3:$E$60,3,0)</f>
        <v>0.9</v>
      </c>
      <c r="F51" t="str" s="1228" cm="1">
        <f t="array" ref="F51">F22</f>
        <v>Rent</v>
      </c>
      <c r="G51" t="str" s="1228" cm="1">
        <f t="array" ref="G51">G22</f>
        <v>Primary</v>
      </c>
      <c r="H51" s="1221" cm="1">
        <f t="array" ref="H51">H22</f>
        <v>13</v>
      </c>
      <c r="I51" s="1220" cm="1">
        <f t="array" ref="I51">I22</f>
        <v>0.5</v>
      </c>
      <c r="J51" s="1222" cm="1">
        <f t="array" ref="J51">365-15-10</f>
        <v>340</v>
      </c>
      <c r="K51" s="1223" cm="1">
        <f t="array" ref="K51">_xlfn.IFERROR(ROUNDDOWN(E51*J51*I51,0),0)</f>
        <v>153</v>
      </c>
      <c r="L51" s="1205"/>
      <c r="M51" s="17"/>
      <c r="N51" s="74"/>
      <c r="O51" s="1224">
        <v>0</v>
      </c>
      <c r="P51" s="1225">
        <v>0</v>
      </c>
      <c r="Q51" s="1225">
        <v>0</v>
      </c>
      <c r="R51" s="1225" cm="1">
        <f t="array" ref="R51">SUM(O51:Q51)</f>
        <v>0</v>
      </c>
      <c r="S51" s="1226" cm="1">
        <f t="array" ref="S51">_xlfn.IFERROR(R51/K51,0)</f>
        <v>0</v>
      </c>
      <c r="T51" s="16"/>
      <c r="U51" s="17"/>
      <c r="V51" s="17"/>
      <c r="W51" s="18"/>
    </row>
    <row r="52" ht="14.5" customHeight="1">
      <c r="A52" s="12"/>
      <c r="B52" s="1217" cm="1">
        <f t="array" ref="B52">B21</f>
        <v>20</v>
      </c>
      <c r="C52" t="str" s="1227" cm="1">
        <f t="array" ref="C52">C21</f>
        <v>Queen Ruizi 12</v>
      </c>
      <c r="D52" t="str" s="1228" cm="1">
        <f t="array" ref="D52">D21</f>
        <v>Private</v>
      </c>
      <c r="E52" s="1220" cm="1">
        <f t="array" ref="E52">1-VLOOKUP(C52,'Boats Data Sheet 2026'!$C$3:$E$60,3,0)</f>
        <v>1</v>
      </c>
      <c r="F52" t="str" s="1228" cm="1">
        <f t="array" ref="F52">F21</f>
        <v>Management</v>
      </c>
      <c r="G52" t="str" s="1228" cm="1">
        <f t="array" ref="G52">G21</f>
        <v>Primary</v>
      </c>
      <c r="H52" s="1221" cm="1">
        <f t="array" ref="H52">H21</f>
        <v>13</v>
      </c>
      <c r="I52" s="1220">
        <v>0.4</v>
      </c>
      <c r="J52" s="1222" cm="1">
        <f t="array" ref="J52">365-15-10</f>
        <v>340</v>
      </c>
      <c r="K52" s="1223" cm="1">
        <f t="array" ref="K52">_xlfn.IFERROR(ROUNDDOWN(E52*J52*I52,0),0)</f>
        <v>136</v>
      </c>
      <c r="L52" s="1205"/>
      <c r="M52" s="17"/>
      <c r="N52" s="74"/>
      <c r="O52" s="1224">
        <v>0</v>
      </c>
      <c r="P52" s="1225">
        <v>0</v>
      </c>
      <c r="Q52" s="1225">
        <v>0</v>
      </c>
      <c r="R52" s="1225" cm="1">
        <f t="array" ref="R52">SUM(O52:Q52)</f>
        <v>0</v>
      </c>
      <c r="S52" s="1226">
        <v>0</v>
      </c>
      <c r="T52" s="16"/>
      <c r="U52" s="17"/>
      <c r="V52" s="17"/>
      <c r="W52" s="18"/>
    </row>
    <row r="53" ht="14.5" customHeight="1">
      <c r="A53" s="12"/>
      <c r="B53" s="1217" cm="1">
        <f t="array" ref="B53">'Boats Data Sheet 2026'!B21</f>
        <v>19</v>
      </c>
      <c r="C53" t="str" s="1218" cm="1">
        <f t="array" ref="C53">'Boats Data Sheet 2026'!C21</f>
        <v>Queen Ruizi 10</v>
      </c>
      <c r="D53" t="str" s="1219" cm="1">
        <f t="array" ref="D53">'Boats Data Sheet 2026'!D21</f>
        <v>Private</v>
      </c>
      <c r="E53" s="1220" cm="1">
        <f t="array" ref="E53">1-VLOOKUP(C53,'Boats Data Sheet 2026'!$C$3:$E$60,3,0)</f>
        <v>1</v>
      </c>
      <c r="F53" t="str" s="1219" cm="1">
        <f t="array" ref="F53">'Boats Data Sheet 2026'!F21</f>
        <v>Management</v>
      </c>
      <c r="G53" t="str" s="1219" cm="1">
        <f t="array" ref="G53">'Boats Data Sheet 2026'!G21</f>
        <v>Primary</v>
      </c>
      <c r="H53" s="1221" cm="1">
        <f t="array" ref="H53">'Boats Data Sheet 2026'!H21</f>
        <v>10</v>
      </c>
      <c r="I53" s="1220">
        <v>0.35</v>
      </c>
      <c r="J53" s="1222" cm="1">
        <f t="array" ref="J53">365-15-10</f>
        <v>340</v>
      </c>
      <c r="K53" s="1223" cm="1">
        <f t="array" ref="K53">_xlfn.IFERROR(ROUNDDOWN(E53*J53*I53,0),0)</f>
        <v>119</v>
      </c>
      <c r="L53" s="1205"/>
      <c r="M53" s="17"/>
      <c r="N53" s="74"/>
      <c r="O53" s="1224">
        <v>0</v>
      </c>
      <c r="P53" s="1225">
        <v>0</v>
      </c>
      <c r="Q53" s="1225">
        <v>0</v>
      </c>
      <c r="R53" s="1225" cm="1">
        <f t="array" ref="R53">SUM(O53:Q53)</f>
        <v>0</v>
      </c>
      <c r="S53" s="1226">
        <v>0</v>
      </c>
      <c r="T53" s="16"/>
      <c r="U53" s="17"/>
      <c r="V53" s="17"/>
      <c r="W53" s="18"/>
    </row>
    <row r="54" ht="14.5" customHeight="1">
      <c r="A54" s="12"/>
      <c r="B54" s="1217" cm="1">
        <f t="array" ref="B54">'Boats Data Sheet 2026'!B23</f>
        <v>21</v>
      </c>
      <c r="C54" t="str" s="1218" cm="1">
        <f t="array" ref="C54">'Boats Data Sheet 2026'!C23</f>
        <v>Big Sweetheart</v>
      </c>
      <c r="D54" t="str" s="1219" cm="1">
        <f t="array" ref="D54">'Boats Data Sheet 2026'!D23</f>
        <v>Shared</v>
      </c>
      <c r="E54" s="1220" cm="1">
        <f t="array" ref="E54">1-VLOOKUP(C54,'Boats Data Sheet 2026'!$C$3:$E$60,3,0)</f>
        <v>0</v>
      </c>
      <c r="F54" t="str" s="1219" cm="1">
        <f t="array" ref="F54">'Boats Data Sheet 2026'!F23</f>
        <v>Rent</v>
      </c>
      <c r="G54" t="str" s="1219" cm="1">
        <f t="array" ref="G54">'Boats Data Sheet 2026'!G23</f>
        <v>Primary</v>
      </c>
      <c r="H54" s="1221" cm="1">
        <f t="array" ref="H54">'Boats Data Sheet 2026'!H23</f>
        <v>14</v>
      </c>
      <c r="I54" s="1220" cm="1">
        <f t="array" ref="I54">I10</f>
        <v>0.6</v>
      </c>
      <c r="J54" s="1222" cm="1">
        <f t="array" ref="J54">365-15-10</f>
        <v>340</v>
      </c>
      <c r="K54" s="1223" cm="1">
        <f t="array" ref="K54">_xlfn.IFERROR(ROUNDDOWN(E54*J54*I54,0),0)</f>
        <v>0</v>
      </c>
      <c r="L54" s="1205"/>
      <c r="M54" s="17"/>
      <c r="N54" s="74"/>
      <c r="O54" s="1224">
        <v>0</v>
      </c>
      <c r="P54" s="1225">
        <v>0</v>
      </c>
      <c r="Q54" s="1225">
        <v>0</v>
      </c>
      <c r="R54" s="1225" cm="1">
        <f t="array" ref="R54">SUM(O54:Q54)</f>
        <v>0</v>
      </c>
      <c r="S54" s="1226" cm="1">
        <f t="array" ref="S54">_xlfn.IFERROR(R54/K54,0)</f>
        <v>0</v>
      </c>
      <c r="T54" s="16"/>
      <c r="U54" s="17"/>
      <c r="V54" s="17"/>
      <c r="W54" s="18"/>
    </row>
    <row r="55" ht="14.5" customHeight="1">
      <c r="A55" s="12"/>
      <c r="B55" s="1229" cm="1">
        <f t="array" ref="B55">'Boats Data Sheet 2026'!B24</f>
        <v>22</v>
      </c>
      <c r="C55" t="str" s="1230" cm="1">
        <f t="array" ref="C55">'Boats Data Sheet 2026'!C24</f>
        <v>Seven Heaven</v>
      </c>
      <c r="D55" t="str" s="1231" cm="1">
        <f t="array" ref="D55">'Boats Data Sheet 2026'!D24</f>
        <v>Private</v>
      </c>
      <c r="E55" s="1232" cm="1">
        <f t="array" ref="E55">1-VLOOKUP(C55,'Boats Data Sheet 2026'!$C$3:$E$60,3,0)</f>
        <v>1</v>
      </c>
      <c r="F55" t="str" s="1231" cm="1">
        <f t="array" ref="F55">'Boats Data Sheet 2026'!F24</f>
        <v>Delisted</v>
      </c>
      <c r="G55" t="str" s="1231" cm="1">
        <f t="array" ref="G55">'Boats Data Sheet 2026'!G24</f>
        <v>Primary</v>
      </c>
      <c r="H55" s="1233" cm="1">
        <f t="array" ref="H55">'Boats Data Sheet 2026'!H24</f>
        <v>20</v>
      </c>
      <c r="I55" s="1232">
        <v>0</v>
      </c>
      <c r="J55" s="1234" cm="1">
        <f t="array" ref="J55">365-15-10</f>
        <v>340</v>
      </c>
      <c r="K55" s="1235" cm="1">
        <f t="array" ref="K55">_xlfn.IFERROR(ROUNDDOWN(E55*J55*I55,0),0)</f>
        <v>0</v>
      </c>
      <c r="L55" s="1236"/>
      <c r="M55" s="17"/>
      <c r="N55" s="74"/>
      <c r="O55" s="1224">
        <v>0</v>
      </c>
      <c r="P55" s="1225">
        <v>0</v>
      </c>
      <c r="Q55" s="1225">
        <v>0</v>
      </c>
      <c r="R55" s="1225" cm="1">
        <f t="array" ref="R55">SUM(O55:Q55)</f>
        <v>0</v>
      </c>
      <c r="S55" s="1226" cm="1">
        <f t="array" ref="S55">_xlfn.IFERROR(R55/K55,0)</f>
        <v>0</v>
      </c>
      <c r="T55" s="16"/>
      <c r="U55" s="17"/>
      <c r="V55" s="17"/>
      <c r="W55" s="18"/>
    </row>
    <row r="56" ht="14.5" customHeight="1">
      <c r="A56" s="12"/>
      <c r="B56" s="1229" cm="1">
        <f t="array" ref="B56">'Boats Data Sheet 2026'!B25</f>
        <v>23</v>
      </c>
      <c r="C56" t="str" s="1230" cm="1">
        <f t="array" ref="C56">'Boats Data Sheet 2026'!C25</f>
        <v>Mironia</v>
      </c>
      <c r="D56" t="str" s="1231" cm="1">
        <f t="array" ref="D56">'Boats Data Sheet 2026'!D25</f>
        <v>Private</v>
      </c>
      <c r="E56" s="1232" cm="1">
        <f t="array" ref="E56">1-VLOOKUP(C56,'Boats Data Sheet 2026'!$C$3:$E$60,3,0)</f>
        <v>1</v>
      </c>
      <c r="F56" t="str" s="1231" cm="1">
        <f t="array" ref="F56">'Boats Data Sheet 2026'!F25</f>
        <v>Delisted</v>
      </c>
      <c r="G56" t="str" s="1231" cm="1">
        <f t="array" ref="G56">'Boats Data Sheet 2026'!G25</f>
        <v>Primary</v>
      </c>
      <c r="H56" s="1233" cm="1">
        <f t="array" ref="H56">'Boats Data Sheet 2026'!H25</f>
        <v>12</v>
      </c>
      <c r="I56" s="1232">
        <v>0</v>
      </c>
      <c r="J56" s="1234" cm="1">
        <f t="array" ref="J56">365-15-10</f>
        <v>340</v>
      </c>
      <c r="K56" s="1235" cm="1">
        <f t="array" ref="K56">_xlfn.IFERROR(ROUNDDOWN(E56*J56*I56,0),0)</f>
        <v>0</v>
      </c>
      <c r="L56" s="1236"/>
      <c r="M56" s="17"/>
      <c r="N56" s="74"/>
      <c r="O56" s="1224">
        <v>0</v>
      </c>
      <c r="P56" s="1225">
        <v>0</v>
      </c>
      <c r="Q56" s="1225">
        <v>0</v>
      </c>
      <c r="R56" s="1225" cm="1">
        <f t="array" ref="R56">SUM(O56:Q56)</f>
        <v>0</v>
      </c>
      <c r="S56" s="1226" cm="1">
        <f t="array" ref="S56">_xlfn.IFERROR(R56/K56,0)</f>
        <v>0</v>
      </c>
      <c r="T56" s="16"/>
      <c r="U56" s="17"/>
      <c r="V56" s="17"/>
      <c r="W56" s="18"/>
    </row>
    <row r="57" ht="14.5" customHeight="1">
      <c r="A57" s="12"/>
      <c r="B57" s="1217" cm="1">
        <f t="array" ref="B57">'Boats Data Sheet 2026'!B26</f>
        <v>24</v>
      </c>
      <c r="C57" t="str" s="1218" cm="1">
        <f t="array" ref="C57">'Boats Data Sheet 2026'!C26</f>
        <v>Little Star</v>
      </c>
      <c r="D57" t="str" s="1219" cm="1">
        <f t="array" ref="D57">'Boats Data Sheet 2026'!D26</f>
        <v>Private</v>
      </c>
      <c r="E57" s="1220" cm="1">
        <f t="array" ref="E57">1-VLOOKUP(C57,'Boats Data Sheet 2026'!$C$3:$E$60,3,0)</f>
        <v>1</v>
      </c>
      <c r="F57" t="str" s="1219" cm="1">
        <f t="array" ref="F57">'Boats Data Sheet 2026'!F26</f>
        <v>Rent</v>
      </c>
      <c r="G57" t="str" s="1219" cm="1">
        <f t="array" ref="G57">'Boats Data Sheet 2026'!G26</f>
        <v>Primary</v>
      </c>
      <c r="H57" s="1221" cm="1">
        <f t="array" ref="H57">'Boats Data Sheet 2026'!H26</f>
        <v>8</v>
      </c>
      <c r="I57" s="1220">
        <v>0.6</v>
      </c>
      <c r="J57" s="1222" cm="1">
        <f t="array" ref="J57">365-15-10</f>
        <v>340</v>
      </c>
      <c r="K57" s="1223" cm="1">
        <f t="array" ref="K57">_xlfn.IFERROR(ROUNDDOWN(E57*J57*I57,0),0)</f>
        <v>204</v>
      </c>
      <c r="L57" s="1236"/>
      <c r="M57" s="17"/>
      <c r="N57" s="74"/>
      <c r="O57" s="1224">
        <v>0</v>
      </c>
      <c r="P57" s="1225">
        <v>0</v>
      </c>
      <c r="Q57" s="1225">
        <v>0</v>
      </c>
      <c r="R57" s="1225" cm="1">
        <f t="array" ref="R57">SUM(O57:Q57)</f>
        <v>0</v>
      </c>
      <c r="S57" s="1226" cm="1">
        <f t="array" ref="S57">_xlfn.IFERROR(R57/K57,0)</f>
        <v>0</v>
      </c>
      <c r="T57" s="16"/>
      <c r="U57" s="17"/>
      <c r="V57" s="17"/>
      <c r="W57" s="18"/>
    </row>
    <row r="58" ht="14.5" customHeight="1">
      <c r="A58" s="12"/>
      <c r="B58" s="1217" cm="1">
        <f t="array" ref="B58">'Boats Data Sheet 2026'!B27</f>
        <v>25</v>
      </c>
      <c r="C58" t="str" s="1218" cm="1">
        <f t="array" ref="C58">'Boats Data Sheet 2026'!C27</f>
        <v>Rara</v>
      </c>
      <c r="D58" t="str" s="1219" cm="1">
        <f t="array" ref="D58">'Boats Data Sheet 2026'!D27</f>
        <v>Private</v>
      </c>
      <c r="E58" s="1220" cm="1">
        <f t="array" ref="E58">1-VLOOKUP(C58,'Boats Data Sheet 2026'!$C$3:$E$60,3,0)</f>
        <v>1</v>
      </c>
      <c r="F58" t="str" s="1219" cm="1">
        <f t="array" ref="F58">'Boats Data Sheet 2026'!F27</f>
        <v>Tour </v>
      </c>
      <c r="G58" t="str" s="1219" cm="1">
        <f t="array" ref="G58">'Boats Data Sheet 2026'!G27</f>
        <v>Primary</v>
      </c>
      <c r="H58" s="1221" cm="1">
        <f t="array" ref="H58">'Boats Data Sheet 2026'!H27</f>
        <v>10</v>
      </c>
      <c r="I58" s="1220">
        <v>0.02</v>
      </c>
      <c r="J58" s="1222" cm="1">
        <f t="array" ref="J58">365-15-10</f>
        <v>340</v>
      </c>
      <c r="K58" s="1223" cm="1">
        <f t="array" ref="K58">_xlfn.IFERROR(ROUNDDOWN(E58*J58*I58,0),0)</f>
        <v>6</v>
      </c>
      <c r="L58" s="1236"/>
      <c r="M58" s="17"/>
      <c r="N58" s="74"/>
      <c r="O58" s="1224">
        <v>0</v>
      </c>
      <c r="P58" s="1225">
        <v>0</v>
      </c>
      <c r="Q58" s="1225">
        <v>0</v>
      </c>
      <c r="R58" s="1225" cm="1">
        <f t="array" ref="R58">SUM(O58:Q58)</f>
        <v>0</v>
      </c>
      <c r="S58" s="1226" cm="1">
        <f t="array" ref="S58">_xlfn.IFERROR(R58/K58,0)</f>
        <v>0</v>
      </c>
      <c r="T58" s="16"/>
      <c r="U58" s="17"/>
      <c r="V58" s="17"/>
      <c r="W58" s="18"/>
    </row>
    <row r="59" ht="14.5" customHeight="1">
      <c r="A59" s="12"/>
      <c r="B59" s="1217" cm="1">
        <f t="array" ref="B59">'Boats Data Sheet 2026'!B28</f>
        <v>26</v>
      </c>
      <c r="C59" t="str" s="1218" cm="1">
        <f t="array" ref="C59">'Boats Data Sheet 2026'!C28</f>
        <v>Small Sweetheart</v>
      </c>
      <c r="D59" t="str" s="1219" cm="1">
        <f t="array" ref="D59">'Boats Data Sheet 2026'!D28</f>
        <v>Private</v>
      </c>
      <c r="E59" s="1220" cm="1">
        <f t="array" ref="E59">1-VLOOKUP(C59,'Boats Data Sheet 2026'!$C$3:$E$60,3,0)</f>
        <v>1</v>
      </c>
      <c r="F59" t="str" s="1219" cm="1">
        <f t="array" ref="F59">'Boats Data Sheet 2026'!F28</f>
        <v>Rent</v>
      </c>
      <c r="G59" t="str" s="1219" cm="1">
        <f t="array" ref="G59">'Boats Data Sheet 2026'!G28</f>
        <v>Primary</v>
      </c>
      <c r="H59" s="1221" cm="1">
        <f t="array" ref="H59">'Boats Data Sheet 2026'!H28</f>
        <v>8</v>
      </c>
      <c r="I59" s="1220">
        <v>0.6</v>
      </c>
      <c r="J59" s="1222" cm="1">
        <f t="array" ref="J59">365-15-10</f>
        <v>340</v>
      </c>
      <c r="K59" s="1223" cm="1">
        <f t="array" ref="K59">_xlfn.IFERROR(ROUNDDOWN(E59*J59*I59,0),0)</f>
        <v>204</v>
      </c>
      <c r="L59" s="1236"/>
      <c r="M59" s="17"/>
      <c r="N59" s="74"/>
      <c r="O59" s="1224">
        <v>0</v>
      </c>
      <c r="P59" s="1225">
        <v>0</v>
      </c>
      <c r="Q59" s="1225">
        <v>0</v>
      </c>
      <c r="R59" s="1225" cm="1">
        <f t="array" ref="R59">SUM(O59:Q59)</f>
        <v>0</v>
      </c>
      <c r="S59" s="1226" cm="1">
        <f t="array" ref="S59">_xlfn.IFERROR(R59/K59,0)</f>
        <v>0</v>
      </c>
      <c r="T59" s="16"/>
      <c r="U59" s="17"/>
      <c r="V59" s="17"/>
      <c r="W59" s="18"/>
    </row>
    <row r="60" ht="14.5" customHeight="1">
      <c r="A60" s="12"/>
      <c r="B60" s="1229" cm="1">
        <f t="array" ref="B60">'Boats Data Sheet 2026'!B29</f>
        <v>27</v>
      </c>
      <c r="C60" t="str" s="1230" cm="1">
        <f t="array" ref="C60">'Boats Data Sheet 2026'!C29</f>
        <v>Debil Luxury</v>
      </c>
      <c r="D60" t="str" s="1231" cm="1">
        <f t="array" ref="D60">'Boats Data Sheet 2026'!D29</f>
        <v>Shared</v>
      </c>
      <c r="E60" s="1232" cm="1">
        <f t="array" ref="E60">1-VLOOKUP(C60,'Boats Data Sheet 2026'!$C$3:$E$60,3,0)</f>
        <v>0</v>
      </c>
      <c r="F60" t="str" s="1231" cm="1">
        <f t="array" ref="F60">'Boats Data Sheet 2026'!F29</f>
        <v>Delisted</v>
      </c>
      <c r="G60" t="str" s="1231" cm="1">
        <f t="array" ref="G60">'Boats Data Sheet 2026'!G29</f>
        <v>Primary</v>
      </c>
      <c r="H60" s="1233" cm="1">
        <f t="array" ref="H60">'Boats Data Sheet 2026'!H29</f>
        <v>15</v>
      </c>
      <c r="I60" s="1232">
        <v>0</v>
      </c>
      <c r="J60" s="1234" cm="1">
        <f t="array" ref="J60">365-15-10</f>
        <v>340</v>
      </c>
      <c r="K60" s="1235" cm="1">
        <f t="array" ref="K60">_xlfn.IFERROR(ROUNDDOWN(E60*J60*I60,0),0)</f>
        <v>0</v>
      </c>
      <c r="L60" s="1236"/>
      <c r="M60" s="17"/>
      <c r="N60" s="74"/>
      <c r="O60" s="1224">
        <v>0</v>
      </c>
      <c r="P60" s="1225" cm="1">
        <f t="array" ref="P60">57400194*E60</f>
        <v>0</v>
      </c>
      <c r="Q60" s="1225">
        <v>0</v>
      </c>
      <c r="R60" s="1225" cm="1">
        <f t="array" ref="R60">SUM(O60:Q60)</f>
        <v>0</v>
      </c>
      <c r="S60" s="1226" cm="1">
        <f t="array" ref="S60">_xlfn.IFERROR(R60/K60,0)</f>
        <v>0</v>
      </c>
      <c r="T60" s="16"/>
      <c r="U60" s="17"/>
      <c r="V60" s="17"/>
      <c r="W60" s="18"/>
    </row>
    <row r="61" ht="14.5" customHeight="1">
      <c r="A61" s="12"/>
      <c r="B61" s="1229" cm="1">
        <f t="array" ref="B61">'Boats Data Sheet 2026'!B30</f>
        <v>28</v>
      </c>
      <c r="C61" t="str" s="1230" cm="1">
        <f t="array" ref="C61">'Boats Data Sheet 2026'!C30</f>
        <v>Dedean</v>
      </c>
      <c r="D61" t="str" s="1231" cm="1">
        <f t="array" ref="D61">'Boats Data Sheet 2026'!D30</f>
        <v>Private</v>
      </c>
      <c r="E61" s="1232" cm="1">
        <f t="array" ref="E61">1-VLOOKUP(C61,'Boats Data Sheet 2026'!$C$3:$E$60,3,0)</f>
        <v>1</v>
      </c>
      <c r="F61" t="str" s="1231" cm="1">
        <f t="array" ref="F61">'Boats Data Sheet 2026'!F30</f>
        <v>Delisted</v>
      </c>
      <c r="G61" t="str" s="1231" cm="1">
        <f t="array" ref="G61">'Boats Data Sheet 2026'!G30</f>
        <v>Primary</v>
      </c>
      <c r="H61" s="1233" cm="1">
        <f t="array" ref="H61">'Boats Data Sheet 2026'!H30</f>
        <v>15</v>
      </c>
      <c r="I61" s="1232">
        <v>0</v>
      </c>
      <c r="J61" s="1234" cm="1">
        <f t="array" ref="J61">365-15-10</f>
        <v>340</v>
      </c>
      <c r="K61" s="1235" cm="1">
        <f t="array" ref="K61">_xlfn.IFERROR(ROUNDDOWN(E61*J61*I61,0),0)</f>
        <v>0</v>
      </c>
      <c r="L61" s="1236"/>
      <c r="M61" s="17"/>
      <c r="N61" s="74"/>
      <c r="O61" s="1224">
        <v>0</v>
      </c>
      <c r="P61" s="1225">
        <v>0</v>
      </c>
      <c r="Q61" s="1225">
        <v>0</v>
      </c>
      <c r="R61" s="1225" cm="1">
        <f t="array" ref="R61">SUM(O61:Q61)</f>
        <v>0</v>
      </c>
      <c r="S61" s="1226" cm="1">
        <f t="array" ref="S61">_xlfn.IFERROR(R61/K61,0)</f>
        <v>0</v>
      </c>
      <c r="T61" s="16"/>
      <c r="U61" s="17"/>
      <c r="V61" s="17"/>
      <c r="W61" s="18"/>
    </row>
    <row r="62" ht="14.5" customHeight="1">
      <c r="A62" s="12"/>
      <c r="B62" s="1217" cm="1">
        <f t="array" ref="B62">'Boats Data Sheet 2026'!B31</f>
        <v>29</v>
      </c>
      <c r="C62" t="str" s="1218" cm="1">
        <f t="array" ref="C62">'Boats Data Sheet 2026'!C31</f>
        <v>King Fish</v>
      </c>
      <c r="D62" t="str" s="1219" cm="1">
        <f t="array" ref="D62">'Boats Data Sheet 2026'!D31</f>
        <v>Private</v>
      </c>
      <c r="E62" s="1220" cm="1">
        <f t="array" ref="E62">1-VLOOKUP(C62,'Boats Data Sheet 2026'!$C$3:$E$60,3,0)</f>
        <v>1</v>
      </c>
      <c r="F62" t="str" s="1219" cm="1">
        <f t="array" ref="F62">'Boats Data Sheet 2026'!F31</f>
        <v>Tour </v>
      </c>
      <c r="G62" t="str" s="1219" cm="1">
        <f t="array" ref="G62">'Boats Data Sheet 2026'!G31</f>
        <v>Primary</v>
      </c>
      <c r="H62" s="1221" cm="1">
        <f t="array" ref="H62">'Boats Data Sheet 2026'!H31</f>
        <v>13</v>
      </c>
      <c r="I62" s="1220">
        <v>0.01</v>
      </c>
      <c r="J62" s="1222" cm="1">
        <f t="array" ref="J62">365-15-10</f>
        <v>340</v>
      </c>
      <c r="K62" s="1223" cm="1">
        <f t="array" ref="K62">_xlfn.IFERROR(ROUNDDOWN(E62*J62*I62,0),0)</f>
        <v>3</v>
      </c>
      <c r="L62" s="1236"/>
      <c r="M62" s="17"/>
      <c r="N62" s="74"/>
      <c r="O62" s="1224">
        <v>0</v>
      </c>
      <c r="P62" s="1225">
        <v>0</v>
      </c>
      <c r="Q62" s="1225">
        <v>0</v>
      </c>
      <c r="R62" s="1225" cm="1">
        <f t="array" ref="R62">SUM(O62:Q62)</f>
        <v>0</v>
      </c>
      <c r="S62" s="1226" cm="1">
        <f t="array" ref="S62">_xlfn.IFERROR(R62/K62,0)</f>
        <v>0</v>
      </c>
      <c r="T62" s="16"/>
      <c r="U62" s="17"/>
      <c r="V62" s="17"/>
      <c r="W62" s="18"/>
    </row>
    <row r="63" ht="14.5" customHeight="1">
      <c r="A63" s="12"/>
      <c r="B63" s="1217" cm="1">
        <f t="array" ref="B63">'Boats Data Sheet 2026'!B32</f>
        <v>30</v>
      </c>
      <c r="C63" t="str" s="1218" cm="1">
        <f t="array" ref="C63">'Boats Data Sheet 2026'!C32</f>
        <v>Big Little Star</v>
      </c>
      <c r="D63" t="str" s="1219" cm="1">
        <f t="array" ref="D63">'Boats Data Sheet 2026'!D32</f>
        <v>Private</v>
      </c>
      <c r="E63" s="1220" cm="1">
        <f t="array" ref="E63">1-VLOOKUP(C63,'Boats Data Sheet 2026'!$C$3:$E$60,3,0)</f>
        <v>1</v>
      </c>
      <c r="F63" t="str" s="1219" cm="1">
        <f t="array" ref="F63">'Boats Data Sheet 2026'!F32</f>
        <v>Rent</v>
      </c>
      <c r="G63" t="str" s="1219" cm="1">
        <f t="array" ref="G63">'Boats Data Sheet 2026'!G32</f>
        <v>Primary</v>
      </c>
      <c r="H63" s="1221" cm="1">
        <f t="array" ref="H63">'Boats Data Sheet 2026'!H32</f>
        <v>10</v>
      </c>
      <c r="I63" s="1220">
        <v>0.4</v>
      </c>
      <c r="J63" s="1222" cm="1">
        <f t="array" ref="J63">365-15-10</f>
        <v>340</v>
      </c>
      <c r="K63" s="1223" cm="1">
        <f t="array" ref="K63">_xlfn.IFERROR(ROUNDDOWN(E63*J63*I63,0),0)</f>
        <v>136</v>
      </c>
      <c r="L63" s="1236"/>
      <c r="M63" s="17"/>
      <c r="N63" s="74"/>
      <c r="O63" s="1224">
        <v>0</v>
      </c>
      <c r="P63" s="1225">
        <v>0</v>
      </c>
      <c r="Q63" s="1225">
        <v>0</v>
      </c>
      <c r="R63" s="1225" cm="1">
        <f t="array" ref="R63">SUM(O63:Q63)</f>
        <v>0</v>
      </c>
      <c r="S63" s="1226" cm="1">
        <f t="array" ref="S63">_xlfn.IFERROR(R63/K63,0)</f>
        <v>0</v>
      </c>
      <c r="T63" s="16"/>
      <c r="U63" s="17"/>
      <c r="V63" s="17"/>
      <c r="W63" s="18"/>
    </row>
    <row r="64" ht="14.5" customHeight="1">
      <c r="A64" s="12"/>
      <c r="B64" s="1217" cm="1">
        <f t="array" ref="B64">'Boats Data Sheet 2026'!B33</f>
        <v>31</v>
      </c>
      <c r="C64" t="str" s="1218" cm="1">
        <f t="array" ref="C64">'Boats Data Sheet 2026'!C33</f>
        <v>Dhea</v>
      </c>
      <c r="D64" t="str" s="1219" cm="1">
        <f t="array" ref="D64">'Boats Data Sheet 2026'!D33</f>
        <v>Private</v>
      </c>
      <c r="E64" s="1220" cm="1">
        <f t="array" ref="E64">1-VLOOKUP(C64,'Boats Data Sheet 2026'!$C$3:$E$60,3,0)</f>
        <v>1</v>
      </c>
      <c r="F64" t="str" s="1219" cm="1">
        <f t="array" ref="F64">'Boats Data Sheet 2026'!F33</f>
        <v>Tour </v>
      </c>
      <c r="G64" t="str" s="1219" cm="1">
        <f t="array" ref="G64">'Boats Data Sheet 2026'!G33</f>
        <v>Secondary</v>
      </c>
      <c r="H64" s="1221" cm="1">
        <f t="array" ref="H64">'Boats Data Sheet 2026'!H33</f>
        <v>14</v>
      </c>
      <c r="I64" s="1220">
        <v>0.01</v>
      </c>
      <c r="J64" s="1222" cm="1">
        <f t="array" ref="J64">365-15-10</f>
        <v>340</v>
      </c>
      <c r="K64" s="1223" cm="1">
        <f t="array" ref="K64">_xlfn.IFERROR(ROUNDDOWN(E64*J64*I64,0),0)</f>
        <v>3</v>
      </c>
      <c r="L64" s="1236"/>
      <c r="M64" s="17"/>
      <c r="N64" s="74"/>
      <c r="O64" s="1224">
        <v>0</v>
      </c>
      <c r="P64" s="1225">
        <v>0</v>
      </c>
      <c r="Q64" s="1225">
        <v>0</v>
      </c>
      <c r="R64" s="1225" cm="1">
        <f t="array" ref="R64">SUM(O64:Q64)</f>
        <v>0</v>
      </c>
      <c r="S64" s="1226" cm="1">
        <f t="array" ref="S64">_xlfn.IFERROR(R64/K64,0)</f>
        <v>0</v>
      </c>
      <c r="T64" s="16"/>
      <c r="U64" s="17"/>
      <c r="V64" s="17"/>
      <c r="W64" s="18"/>
    </row>
    <row r="65" ht="14.5" customHeight="1">
      <c r="A65" s="12"/>
      <c r="B65" s="1229" cm="1">
        <f t="array" ref="B65">'Boats Data Sheet 2026'!B34</f>
        <v>32</v>
      </c>
      <c r="C65" t="str" s="1230" cm="1">
        <f t="array" ref="C65">'Boats Data Sheet 2026'!C34</f>
        <v>Big Blue</v>
      </c>
      <c r="D65" t="str" s="1231" cm="1">
        <f t="array" ref="D65">'Boats Data Sheet 2026'!D34</f>
        <v>Private</v>
      </c>
      <c r="E65" s="1232" cm="1">
        <f t="array" ref="E65">1-VLOOKUP(C65,'Boats Data Sheet 2026'!$C$3:$E$60,3,0)</f>
        <v>1</v>
      </c>
      <c r="F65" t="str" s="1231" cm="1">
        <f t="array" ref="F65">'Boats Data Sheet 2026'!F34</f>
        <v>Delisted</v>
      </c>
      <c r="G65" t="str" s="1231" cm="1">
        <f t="array" ref="G65">'Boats Data Sheet 2026'!G34</f>
        <v>Secondary</v>
      </c>
      <c r="H65" s="1233" cm="1">
        <f t="array" ref="H65">'Boats Data Sheet 2026'!H34</f>
        <v>12</v>
      </c>
      <c r="I65" s="1232">
        <v>0</v>
      </c>
      <c r="J65" s="1234" cm="1">
        <f t="array" ref="J65">365-15-10</f>
        <v>340</v>
      </c>
      <c r="K65" s="1235" cm="1">
        <f t="array" ref="K65">_xlfn.IFERROR(ROUNDDOWN(E65*J65*I65,0),0)</f>
        <v>0</v>
      </c>
      <c r="L65" s="1236"/>
      <c r="M65" s="17"/>
      <c r="N65" s="74"/>
      <c r="O65" s="1224">
        <v>0</v>
      </c>
      <c r="P65" s="1225">
        <v>0</v>
      </c>
      <c r="Q65" s="1225">
        <v>0</v>
      </c>
      <c r="R65" s="1225" cm="1">
        <f t="array" ref="R65">SUM(O65:Q65)</f>
        <v>0</v>
      </c>
      <c r="S65" s="1226" cm="1">
        <f t="array" ref="S65">_xlfn.IFERROR(R65/K65,0)</f>
        <v>0</v>
      </c>
      <c r="T65" s="16"/>
      <c r="U65" s="17"/>
      <c r="V65" s="17"/>
      <c r="W65" s="18"/>
    </row>
    <row r="66" ht="14.5" customHeight="1">
      <c r="A66" s="12"/>
      <c r="B66" s="1217" cm="1">
        <f t="array" ref="B66">'Boats Data Sheet 2026'!B35</f>
        <v>33</v>
      </c>
      <c r="C66" t="str" s="1218" cm="1">
        <f t="array" ref="C66">'Boats Data Sheet 2026'!C35</f>
        <v>Seahorse</v>
      </c>
      <c r="D66" t="str" s="1219" cm="1">
        <f t="array" ref="D66">'Boats Data Sheet 2026'!D35</f>
        <v>Private</v>
      </c>
      <c r="E66" s="1220" cm="1">
        <f t="array" ref="E66">1-VLOOKUP(C66,'Boats Data Sheet 2026'!$C$3:$E$60,3,0)</f>
        <v>1</v>
      </c>
      <c r="F66" t="str" s="1219" cm="1">
        <f t="array" ref="F66">'Boats Data Sheet 2026'!F35</f>
        <v>Tour </v>
      </c>
      <c r="G66" t="str" s="1219" cm="1">
        <f t="array" ref="G66">'Boats Data Sheet 2026'!G35</f>
        <v>Secondary</v>
      </c>
      <c r="H66" s="1221" cm="1">
        <f t="array" ref="H66">'Boats Data Sheet 2026'!H35</f>
        <v>12</v>
      </c>
      <c r="I66" s="1220">
        <v>0.01</v>
      </c>
      <c r="J66" s="1222" cm="1">
        <f t="array" ref="J66">365-15-10</f>
        <v>340</v>
      </c>
      <c r="K66" s="1223" cm="1">
        <f t="array" ref="K66">_xlfn.IFERROR(ROUNDDOWN(E66*J66*I66,0),0)</f>
        <v>3</v>
      </c>
      <c r="L66" s="1236"/>
      <c r="M66" s="17"/>
      <c r="N66" s="74"/>
      <c r="O66" s="1224">
        <v>0</v>
      </c>
      <c r="P66" s="1225">
        <v>0</v>
      </c>
      <c r="Q66" s="1225">
        <v>0</v>
      </c>
      <c r="R66" s="1225" cm="1">
        <f t="array" ref="R66">SUM(O66:Q66)</f>
        <v>0</v>
      </c>
      <c r="S66" s="1226" cm="1">
        <f t="array" ref="S66">_xlfn.IFERROR(R66/K66,0)</f>
        <v>0</v>
      </c>
      <c r="T66" s="16"/>
      <c r="U66" s="17"/>
      <c r="V66" s="17"/>
      <c r="W66" s="18"/>
    </row>
    <row r="67" ht="14.5" customHeight="1">
      <c r="A67" s="12"/>
      <c r="B67" s="1229" cm="1">
        <f t="array" ref="B67">'Boats Data Sheet 2026'!B36</f>
        <v>34</v>
      </c>
      <c r="C67" t="str" s="1230" cm="1">
        <f t="array" ref="C67">'Boats Data Sheet 2026'!C36</f>
        <v>Paradise Catamaran 4h</v>
      </c>
      <c r="D67" t="str" s="1231" cm="1">
        <f t="array" ref="D67">'Boats Data Sheet 2026'!D36</f>
        <v>Private</v>
      </c>
      <c r="E67" s="1232" cm="1">
        <f t="array" ref="E67">1-VLOOKUP(C67,'Boats Data Sheet 2026'!$C$3:$E$60,3,0)</f>
        <v>1</v>
      </c>
      <c r="F67" t="str" s="1231" cm="1">
        <f t="array" ref="F67">'Boats Data Sheet 2026'!F36</f>
        <v>Tour </v>
      </c>
      <c r="G67" t="str" s="1231" cm="1">
        <f t="array" ref="G67">'Boats Data Sheet 2026'!G36</f>
        <v>Secondary</v>
      </c>
      <c r="H67" s="1233" cm="1">
        <f t="array" ref="H67">'Boats Data Sheet 2026'!H36</f>
        <v>10</v>
      </c>
      <c r="I67" s="1232">
        <v>0</v>
      </c>
      <c r="J67" s="1234" cm="1">
        <f t="array" ref="J67">365-15-10</f>
        <v>340</v>
      </c>
      <c r="K67" s="1235" cm="1">
        <f t="array" ref="K67">_xlfn.IFERROR(ROUNDDOWN(E67*J67*I67,0),0)</f>
        <v>0</v>
      </c>
      <c r="L67" s="1237"/>
      <c r="M67" s="17"/>
      <c r="N67" s="74"/>
      <c r="O67" s="1224">
        <v>0</v>
      </c>
      <c r="P67" s="1225">
        <v>0</v>
      </c>
      <c r="Q67" s="1225">
        <v>0</v>
      </c>
      <c r="R67" s="1225" cm="1">
        <f t="array" ref="R67">SUM(O67:Q67)</f>
        <v>0</v>
      </c>
      <c r="S67" s="1226" cm="1">
        <f t="array" ref="S67">_xlfn.IFERROR(R67/K67,0)</f>
        <v>0</v>
      </c>
      <c r="T67" s="16"/>
      <c r="U67" s="17"/>
      <c r="V67" s="17"/>
      <c r="W67" s="18"/>
    </row>
    <row r="68" ht="14.5" customHeight="1">
      <c r="A68" s="12"/>
      <c r="B68" s="1229" cm="1">
        <f t="array" ref="B68">'Boats Data Sheet 2026'!B37</f>
        <v>35</v>
      </c>
      <c r="C68" t="str" s="1230" cm="1">
        <f t="array" ref="C68">'Boats Data Sheet 2026'!C37</f>
        <v>Paradise Catamaran 8h</v>
      </c>
      <c r="D68" t="str" s="1231" cm="1">
        <f t="array" ref="D68">'Boats Data Sheet 2026'!D37</f>
        <v>Private</v>
      </c>
      <c r="E68" s="1232" cm="1">
        <f t="array" ref="E68">1-VLOOKUP(C68,'Boats Data Sheet 2026'!$C$3:$E$60,3,0)</f>
        <v>1</v>
      </c>
      <c r="F68" t="str" s="1231" cm="1">
        <f t="array" ref="F68">'Boats Data Sheet 2026'!F37</f>
        <v>Tour </v>
      </c>
      <c r="G68" t="str" s="1231" cm="1">
        <f t="array" ref="G68">'Boats Data Sheet 2026'!G37</f>
        <v>Secondary</v>
      </c>
      <c r="H68" s="1233" cm="1">
        <f t="array" ref="H68">'Boats Data Sheet 2026'!H37</f>
        <v>10</v>
      </c>
      <c r="I68" s="1232">
        <v>0</v>
      </c>
      <c r="J68" s="1234" cm="1">
        <f t="array" ref="J68">365-15-10</f>
        <v>340</v>
      </c>
      <c r="K68" s="1235" cm="1">
        <f t="array" ref="K68">_xlfn.IFERROR(ROUNDDOWN(E68*J68*I68,0),0)</f>
        <v>0</v>
      </c>
      <c r="L68" s="1236"/>
      <c r="M68" s="17"/>
      <c r="N68" s="74"/>
      <c r="O68" s="1224">
        <v>0</v>
      </c>
      <c r="P68" s="1225">
        <v>0</v>
      </c>
      <c r="Q68" s="1225">
        <v>0</v>
      </c>
      <c r="R68" s="1225" cm="1">
        <f t="array" ref="R68">SUM(O68:Q68)</f>
        <v>0</v>
      </c>
      <c r="S68" s="1226" cm="1">
        <f t="array" ref="S68">_xlfn.IFERROR(R68/K68,0)</f>
        <v>0</v>
      </c>
      <c r="T68" s="16"/>
      <c r="U68" s="17"/>
      <c r="V68" s="17"/>
      <c r="W68" s="18"/>
    </row>
    <row r="69" ht="14.5" customHeight="1">
      <c r="A69" s="12"/>
      <c r="B69" s="1229" cm="1">
        <f t="array" ref="B69">'Boats Data Sheet 2026'!B38</f>
        <v>36</v>
      </c>
      <c r="C69" t="str" s="1230" cm="1">
        <f t="array" ref="C69">'Boats Data Sheet 2026'!C38</f>
        <v>Rising</v>
      </c>
      <c r="D69" t="str" s="1231" cm="1">
        <f t="array" ref="D69">'Boats Data Sheet 2026'!D38</f>
        <v>Private</v>
      </c>
      <c r="E69" s="1232" cm="1">
        <f t="array" ref="E69">1-VLOOKUP(C69,'Boats Data Sheet 2026'!$C$3:$E$60,3,0)</f>
        <v>1</v>
      </c>
      <c r="F69" t="str" s="1231" cm="1">
        <f t="array" ref="F69">'Boats Data Sheet 2026'!F38</f>
        <v>Delisted</v>
      </c>
      <c r="G69" t="str" s="1231" cm="1">
        <f t="array" ref="G69">'Boats Data Sheet 2026'!G38</f>
        <v>Secondary</v>
      </c>
      <c r="H69" s="1233" cm="1">
        <f t="array" ref="H69">'Boats Data Sheet 2026'!H38</f>
        <v>12</v>
      </c>
      <c r="I69" s="1232">
        <v>0</v>
      </c>
      <c r="J69" s="1234" cm="1">
        <f t="array" ref="J69">365-15-10</f>
        <v>340</v>
      </c>
      <c r="K69" s="1235" cm="1">
        <f t="array" ref="K69">_xlfn.IFERROR(ROUNDDOWN(E69*J69*I69,0),0)</f>
        <v>0</v>
      </c>
      <c r="L69" s="1236"/>
      <c r="M69" s="17"/>
      <c r="N69" s="74"/>
      <c r="O69" s="1224">
        <v>0</v>
      </c>
      <c r="P69" s="1225">
        <v>0</v>
      </c>
      <c r="Q69" s="1225">
        <v>0</v>
      </c>
      <c r="R69" s="1225" cm="1">
        <f t="array" ref="R69">SUM(O69:Q69)</f>
        <v>0</v>
      </c>
      <c r="S69" s="1226" cm="1">
        <f t="array" ref="S69">_xlfn.IFERROR(R69/K69,0)</f>
        <v>0</v>
      </c>
      <c r="T69" s="16"/>
      <c r="U69" s="17"/>
      <c r="V69" s="17"/>
      <c r="W69" s="18"/>
    </row>
    <row r="70" ht="14.5" customHeight="1">
      <c r="A70" s="12"/>
      <c r="B70" s="1229" cm="1">
        <f t="array" ref="B70">'Boats Data Sheet 2026'!B39</f>
        <v>37</v>
      </c>
      <c r="C70" t="str" s="1230" cm="1">
        <f t="array" ref="C70">'Boats Data Sheet 2026'!C39</f>
        <v>Wahoo</v>
      </c>
      <c r="D70" t="str" s="1231" cm="1">
        <f t="array" ref="D70">'Boats Data Sheet 2026'!D39</f>
        <v>Private</v>
      </c>
      <c r="E70" s="1232" cm="1">
        <f t="array" ref="E70">1-VLOOKUP(C70,'Boats Data Sheet 2026'!$C$3:$E$60,3,0)</f>
        <v>1</v>
      </c>
      <c r="F70" t="str" s="1231" cm="1">
        <f t="array" ref="F70">'Boats Data Sheet 2026'!F39</f>
        <v>Delisted</v>
      </c>
      <c r="G70" t="str" s="1231" cm="1">
        <f t="array" ref="G70">'Boats Data Sheet 2026'!G39</f>
        <v>Secondary</v>
      </c>
      <c r="H70" s="1233" cm="1">
        <f t="array" ref="H70">'Boats Data Sheet 2026'!H39</f>
        <v>12</v>
      </c>
      <c r="I70" s="1232">
        <v>0</v>
      </c>
      <c r="J70" s="1234" cm="1">
        <f t="array" ref="J70">365-15-10</f>
        <v>340</v>
      </c>
      <c r="K70" s="1235" cm="1">
        <f t="array" ref="K70">_xlfn.IFERROR(ROUNDDOWN(E70*J70*I70,0),0)</f>
        <v>0</v>
      </c>
      <c r="L70" s="1236"/>
      <c r="M70" s="17"/>
      <c r="N70" s="74"/>
      <c r="O70" s="1224">
        <v>0</v>
      </c>
      <c r="P70" s="1225">
        <v>0</v>
      </c>
      <c r="Q70" s="1225">
        <v>0</v>
      </c>
      <c r="R70" s="1225" cm="1">
        <f t="array" ref="R70">SUM(O70:Q70)</f>
        <v>0</v>
      </c>
      <c r="S70" s="1226" cm="1">
        <f t="array" ref="S70">_xlfn.IFERROR(R70/K70,0)</f>
        <v>0</v>
      </c>
      <c r="T70" s="16"/>
      <c r="U70" s="17"/>
      <c r="V70" s="17"/>
      <c r="W70" s="18"/>
    </row>
    <row r="71" ht="14.5" customHeight="1">
      <c r="A71" s="12"/>
      <c r="B71" s="1217" cm="1">
        <f t="array" ref="B71">'Boats Data Sheet 2026'!B40</f>
        <v>38</v>
      </c>
      <c r="C71" t="str" s="1218" cm="1">
        <f t="array" ref="C71">'Boats Data Sheet 2026'!C40</f>
        <v>Queen Ruizi 18</v>
      </c>
      <c r="D71" t="str" s="1219" cm="1">
        <f t="array" ref="D71">'Boats Data Sheet 2026'!D40</f>
        <v>Private</v>
      </c>
      <c r="E71" s="1220" cm="1">
        <f t="array" ref="E71">1-VLOOKUP(C71,'Boats Data Sheet 2026'!$C$3:$E$60,3,0)</f>
        <v>1</v>
      </c>
      <c r="F71" t="str" s="1219" cm="1">
        <f t="array" ref="F71">'Boats Data Sheet 2026'!F40</f>
        <v>Tour </v>
      </c>
      <c r="G71" t="str" s="1219" cm="1">
        <f t="array" ref="G71">'Boats Data Sheet 2026'!G40</f>
        <v>Secondary</v>
      </c>
      <c r="H71" s="1221" cm="1">
        <f t="array" ref="H71">'Boats Data Sheet 2026'!H40</f>
        <v>13</v>
      </c>
      <c r="I71" s="1220">
        <v>0.05</v>
      </c>
      <c r="J71" s="1222" cm="1">
        <f t="array" ref="J71">365-15-10</f>
        <v>340</v>
      </c>
      <c r="K71" s="1223" cm="1">
        <f t="array" ref="K71">_xlfn.IFERROR(ROUNDDOWN(E71*J71*I71,0),0)</f>
        <v>17</v>
      </c>
      <c r="L71" s="1236"/>
      <c r="M71" s="17"/>
      <c r="N71" s="74"/>
      <c r="O71" s="1224">
        <v>0</v>
      </c>
      <c r="P71" s="1225">
        <v>0</v>
      </c>
      <c r="Q71" s="1225">
        <v>0</v>
      </c>
      <c r="R71" s="1225" cm="1">
        <f t="array" ref="R71">SUM(O71:Q71)</f>
        <v>0</v>
      </c>
      <c r="S71" s="1226" cm="1">
        <f t="array" ref="S71">_xlfn.IFERROR(R71/K71,0)</f>
        <v>0</v>
      </c>
      <c r="T71" s="16"/>
      <c r="U71" s="17"/>
      <c r="V71" s="17"/>
      <c r="W71" s="18"/>
    </row>
    <row r="72" ht="14.5" customHeight="1">
      <c r="A72" s="12"/>
      <c r="B72" s="1217" cm="1">
        <f t="array" ref="B72">'Boats Data Sheet 2026'!B41</f>
        <v>39</v>
      </c>
      <c r="C72" t="str" s="1218" cm="1">
        <f t="array" ref="C72">'Boats Data Sheet 2026'!C41</f>
        <v>Yacht F-13 meters</v>
      </c>
      <c r="D72" t="str" s="1219" cm="1">
        <f t="array" ref="D72">'Boats Data Sheet 2026'!D41</f>
        <v>Private</v>
      </c>
      <c r="E72" s="1220" cm="1">
        <f t="array" ref="E72">1-VLOOKUP(C72,'Boats Data Sheet 2026'!$C$3:$E$60,3,0)</f>
        <v>1</v>
      </c>
      <c r="F72" t="str" s="1219" cm="1">
        <f t="array" ref="F72">'Boats Data Sheet 2026'!F41</f>
        <v>Tour </v>
      </c>
      <c r="G72" t="str" s="1219" cm="1">
        <f t="array" ref="G72">'Boats Data Sheet 2026'!G41</f>
        <v>Secondary</v>
      </c>
      <c r="H72" s="1221" cm="1">
        <f t="array" ref="H72">'Boats Data Sheet 2026'!H41</f>
        <v>12</v>
      </c>
      <c r="I72" s="1220">
        <v>0.01</v>
      </c>
      <c r="J72" s="1222" cm="1">
        <f t="array" ref="J72">365-15-10</f>
        <v>340</v>
      </c>
      <c r="K72" s="1223" cm="1">
        <f t="array" ref="K72">_xlfn.IFERROR(ROUNDDOWN(E72*J72*I72,0),0)</f>
        <v>3</v>
      </c>
      <c r="L72" s="1236"/>
      <c r="M72" s="17"/>
      <c r="N72" s="74"/>
      <c r="O72" s="1224">
        <v>0</v>
      </c>
      <c r="P72" s="1225">
        <v>0</v>
      </c>
      <c r="Q72" s="1225">
        <v>0</v>
      </c>
      <c r="R72" s="1225" cm="1">
        <f t="array" ref="R72">SUM(O72:Q72)</f>
        <v>0</v>
      </c>
      <c r="S72" s="1226" cm="1">
        <f t="array" ref="S72">_xlfn.IFERROR(R72/K72,0)</f>
        <v>0</v>
      </c>
      <c r="T72" s="16"/>
      <c r="U72" s="17"/>
      <c r="V72" s="17"/>
      <c r="W72" s="18"/>
    </row>
    <row r="73" ht="14.5" customHeight="1">
      <c r="A73" s="12"/>
      <c r="B73" s="1217" cm="1">
        <f t="array" ref="B73">'Boats Data Sheet 2026'!B42</f>
        <v>40</v>
      </c>
      <c r="C73" t="str" s="1218" cm="1">
        <f t="array" ref="C73">'Boats Data Sheet 2026'!C42</f>
        <v>My Darling</v>
      </c>
      <c r="D73" t="str" s="1219" cm="1">
        <f t="array" ref="D73">'Boats Data Sheet 2026'!D42</f>
        <v>Private</v>
      </c>
      <c r="E73" s="1220" cm="1">
        <f t="array" ref="E73">1-VLOOKUP(C73,'Boats Data Sheet 2026'!$C$3:$E$60,3,0)</f>
        <v>1</v>
      </c>
      <c r="F73" t="str" s="1219" cm="1">
        <f t="array" ref="F73">'Boats Data Sheet 2026'!F42</f>
        <v>Tour </v>
      </c>
      <c r="G73" t="str" s="1219" cm="1">
        <f t="array" ref="G73">'Boats Data Sheet 2026'!G42</f>
        <v>Secondary</v>
      </c>
      <c r="H73" s="1221" cm="1">
        <f t="array" ref="H73">'Boats Data Sheet 2026'!H42</f>
        <v>12</v>
      </c>
      <c r="I73" s="1220">
        <v>0.35</v>
      </c>
      <c r="J73" s="1222" cm="1">
        <f t="array" ref="J73">365-15-10</f>
        <v>340</v>
      </c>
      <c r="K73" s="1223" cm="1">
        <f t="array" ref="K73">_xlfn.IFERROR(ROUNDDOWN(E73*J73*I73,0),0)</f>
        <v>119</v>
      </c>
      <c r="L73" s="1236"/>
      <c r="M73" s="17"/>
      <c r="N73" s="74"/>
      <c r="O73" s="1224">
        <v>0</v>
      </c>
      <c r="P73" s="1225">
        <v>0</v>
      </c>
      <c r="Q73" s="1225">
        <v>0</v>
      </c>
      <c r="R73" s="1225" cm="1">
        <f t="array" ref="R73">SUM(O73:Q73)</f>
        <v>0</v>
      </c>
      <c r="S73" s="1226" cm="1">
        <f t="array" ref="S73">_xlfn.IFERROR(R73/K73,0)</f>
        <v>0</v>
      </c>
      <c r="T73" s="16"/>
      <c r="U73" s="17"/>
      <c r="V73" s="17"/>
      <c r="W73" s="18"/>
    </row>
    <row r="74" ht="14.5" customHeight="1">
      <c r="A74" s="12"/>
      <c r="B74" s="1217" cm="1">
        <f t="array" ref="B74">'Boats Data Sheet 2026'!B43</f>
        <v>41</v>
      </c>
      <c r="C74" t="str" s="1218" cm="1">
        <f t="array" ref="C74">'Boats Data Sheet 2026'!C43</f>
        <v>Lux Yacht BM55</v>
      </c>
      <c r="D74" t="str" s="1219" cm="1">
        <f t="array" ref="D74">'Boats Data Sheet 2026'!D43</f>
        <v>Private</v>
      </c>
      <c r="E74" s="1220" cm="1">
        <f t="array" ref="E74">1-VLOOKUP(C74,'Boats Data Sheet 2026'!$C$3:$E$60,3,0)</f>
        <v>1</v>
      </c>
      <c r="F74" t="str" s="1219" cm="1">
        <f t="array" ref="F74">'Boats Data Sheet 2026'!F43</f>
        <v>Comission</v>
      </c>
      <c r="G74" t="str" s="1219" cm="1">
        <f t="array" ref="G74">'Boats Data Sheet 2026'!G43</f>
        <v>Secondary</v>
      </c>
      <c r="H74" s="1221" cm="1">
        <f t="array" ref="H74">'Boats Data Sheet 2026'!H43</f>
        <v>18</v>
      </c>
      <c r="I74" s="1220">
        <v>0.05</v>
      </c>
      <c r="J74" s="1222" cm="1">
        <f t="array" ref="J74">365-15-10</f>
        <v>340</v>
      </c>
      <c r="K74" s="1223" cm="1">
        <f t="array" ref="K74">_xlfn.IFERROR(ROUNDDOWN(E74*J74*I74,0),0)</f>
        <v>17</v>
      </c>
      <c r="L74" s="1236"/>
      <c r="M74" s="17"/>
      <c r="N74" s="74"/>
      <c r="O74" s="1224">
        <v>0</v>
      </c>
      <c r="P74" s="1225">
        <v>0</v>
      </c>
      <c r="Q74" s="1225">
        <v>0</v>
      </c>
      <c r="R74" s="1225" cm="1">
        <f t="array" ref="R74">SUM(O74:Q74)</f>
        <v>0</v>
      </c>
      <c r="S74" s="1226" cm="1">
        <f t="array" ref="S74">_xlfn.IFERROR(R74/K74,0)</f>
        <v>0</v>
      </c>
      <c r="T74" s="16"/>
      <c r="U74" s="17"/>
      <c r="V74" s="17"/>
      <c r="W74" s="18"/>
    </row>
    <row r="75" ht="14.5" customHeight="1">
      <c r="A75" s="12"/>
      <c r="B75" s="1217" cm="1">
        <f t="array" ref="B75">'Boats Data Sheet 2026'!B44</f>
        <v>42</v>
      </c>
      <c r="C75" t="str" s="1218" cm="1">
        <f t="array" ref="C75">'Boats Data Sheet 2026'!C44</f>
        <v>Yacht BM49</v>
      </c>
      <c r="D75" t="str" s="1219" cm="1">
        <f t="array" ref="D75">'Boats Data Sheet 2026'!D44</f>
        <v>Private</v>
      </c>
      <c r="E75" s="1220" cm="1">
        <f t="array" ref="E75">1-VLOOKUP(C75,'Boats Data Sheet 2026'!$C$3:$E$60,3,0)</f>
        <v>1</v>
      </c>
      <c r="F75" t="str" s="1219" cm="1">
        <f t="array" ref="F75">'Boats Data Sheet 2026'!F44</f>
        <v>Comission</v>
      </c>
      <c r="G75" t="str" s="1219" cm="1">
        <f t="array" ref="G75">'Boats Data Sheet 2026'!G44</f>
        <v>Secondary</v>
      </c>
      <c r="H75" s="1221" cm="1">
        <f t="array" ref="H75">'Boats Data Sheet 2026'!H44</f>
        <v>10</v>
      </c>
      <c r="I75" s="1220">
        <v>0.01</v>
      </c>
      <c r="J75" s="1222" cm="1">
        <f t="array" ref="J75">365-15-10</f>
        <v>340</v>
      </c>
      <c r="K75" s="1223" cm="1">
        <f t="array" ref="K75">_xlfn.IFERROR(ROUNDDOWN(E75*J75*I75,0),0)</f>
        <v>3</v>
      </c>
      <c r="L75" s="1236"/>
      <c r="M75" s="17"/>
      <c r="N75" s="74"/>
      <c r="O75" s="1224">
        <v>0</v>
      </c>
      <c r="P75" s="1225">
        <v>0</v>
      </c>
      <c r="Q75" s="1225">
        <v>0</v>
      </c>
      <c r="R75" s="1225" cm="1">
        <f t="array" ref="R75">SUM(O75:Q75)</f>
        <v>0</v>
      </c>
      <c r="S75" s="1226" cm="1">
        <f t="array" ref="S75">_xlfn.IFERROR(R75/K75,0)</f>
        <v>0</v>
      </c>
      <c r="T75" s="16"/>
      <c r="U75" s="17"/>
      <c r="V75" s="17"/>
      <c r="W75" s="18"/>
    </row>
    <row r="76" ht="14.5" customHeight="1">
      <c r="A76" s="12"/>
      <c r="B76" s="1217" cm="1">
        <f t="array" ref="B76">'Boats Data Sheet 2026'!B45</f>
        <v>43</v>
      </c>
      <c r="C76" t="str" s="1218" cm="1">
        <f t="array" ref="C76">'Boats Data Sheet 2026'!C45</f>
        <v>Yacht Lux M13</v>
      </c>
      <c r="D76" t="str" s="1219" cm="1">
        <f t="array" ref="D76">'Boats Data Sheet 2026'!D45</f>
        <v>Private</v>
      </c>
      <c r="E76" s="1220" cm="1">
        <f t="array" ref="E76">1-VLOOKUP(C76,'Boats Data Sheet 2026'!$C$3:$E$60,3,0)</f>
        <v>1</v>
      </c>
      <c r="F76" t="str" s="1219" cm="1">
        <f t="array" ref="F76">'Boats Data Sheet 2026'!F45</f>
        <v>Comission</v>
      </c>
      <c r="G76" t="str" s="1219" cm="1">
        <f t="array" ref="G76">'Boats Data Sheet 2026'!G45</f>
        <v>Secondary</v>
      </c>
      <c r="H76" s="1221" cm="1">
        <f t="array" ref="H76">'Boats Data Sheet 2026'!H45</f>
        <v>12</v>
      </c>
      <c r="I76" s="1220">
        <v>0.05</v>
      </c>
      <c r="J76" s="1222" cm="1">
        <f t="array" ref="J76">365-15-10</f>
        <v>340</v>
      </c>
      <c r="K76" s="1223" cm="1">
        <f t="array" ref="K76">_xlfn.IFERROR(ROUNDDOWN(E76*J76*I76,0),0)</f>
        <v>17</v>
      </c>
      <c r="L76" s="1236"/>
      <c r="M76" s="17"/>
      <c r="N76" s="74"/>
      <c r="O76" s="1224">
        <v>0</v>
      </c>
      <c r="P76" s="1225">
        <v>0</v>
      </c>
      <c r="Q76" s="1225">
        <v>0</v>
      </c>
      <c r="R76" s="1225" cm="1">
        <f t="array" ref="R76">SUM(O76:Q76)</f>
        <v>0</v>
      </c>
      <c r="S76" s="1226" cm="1">
        <f t="array" ref="S76">_xlfn.IFERROR(R76/K76,0)</f>
        <v>0</v>
      </c>
      <c r="T76" s="16"/>
      <c r="U76" s="17"/>
      <c r="V76" s="17"/>
      <c r="W76" s="18"/>
    </row>
    <row r="77" ht="14.5" customHeight="1">
      <c r="A77" s="12"/>
      <c r="B77" s="1217" cm="1">
        <f t="array" ref="B77">'Boats Data Sheet 2026'!B46</f>
        <v>44</v>
      </c>
      <c r="C77" t="str" s="1218" cm="1">
        <f t="array" ref="C77">'Boats Data Sheet 2026'!C46</f>
        <v>Premium Yacht BM42</v>
      </c>
      <c r="D77" t="str" s="1219" cm="1">
        <f t="array" ref="D77">'Boats Data Sheet 2026'!D46</f>
        <v>Private</v>
      </c>
      <c r="E77" s="1220" cm="1">
        <f t="array" ref="E77">1-VLOOKUP(C77,'Boats Data Sheet 2026'!$C$3:$E$60,3,0)</f>
        <v>1</v>
      </c>
      <c r="F77" t="str" s="1219" cm="1">
        <f t="array" ref="F77">'Boats Data Sheet 2026'!F46</f>
        <v>Comission</v>
      </c>
      <c r="G77" t="str" s="1219" cm="1">
        <f t="array" ref="G77">'Boats Data Sheet 2026'!G46</f>
        <v>Secondary</v>
      </c>
      <c r="H77" s="1221" cm="1">
        <f t="array" ref="H77">'Boats Data Sheet 2026'!H46</f>
        <v>13</v>
      </c>
      <c r="I77" s="1220">
        <v>0.01</v>
      </c>
      <c r="J77" s="1222" cm="1">
        <f t="array" ref="J77">365-15-10</f>
        <v>340</v>
      </c>
      <c r="K77" s="1223" cm="1">
        <f t="array" ref="K77">_xlfn.IFERROR(ROUNDDOWN(E77*J77*I77,0),0)</f>
        <v>3</v>
      </c>
      <c r="L77" s="1236"/>
      <c r="M77" s="17"/>
      <c r="N77" s="74"/>
      <c r="O77" s="1224">
        <v>0</v>
      </c>
      <c r="P77" s="1225">
        <v>0</v>
      </c>
      <c r="Q77" s="1225">
        <v>0</v>
      </c>
      <c r="R77" s="1225" cm="1">
        <f t="array" ref="R77">SUM(O77:Q77)</f>
        <v>0</v>
      </c>
      <c r="S77" s="1226" cm="1">
        <f t="array" ref="S77">_xlfn.IFERROR(R77/K77,0)</f>
        <v>0</v>
      </c>
      <c r="T77" s="16"/>
      <c r="U77" s="17"/>
      <c r="V77" s="17"/>
      <c r="W77" s="18"/>
    </row>
    <row r="78" ht="14.5" customHeight="1">
      <c r="A78" s="12"/>
      <c r="B78" s="1229" cm="1">
        <f t="array" ref="B78">'Boats Data Sheet 2026'!B47</f>
        <v>45</v>
      </c>
      <c r="C78" t="str" s="1230" cm="1">
        <f t="array" ref="C78">'Boats Data Sheet 2026'!C47</f>
        <v>Yacht R42</v>
      </c>
      <c r="D78" t="str" s="1231" cm="1">
        <f t="array" ref="D78">'Boats Data Sheet 2026'!D47</f>
        <v>Private</v>
      </c>
      <c r="E78" s="1232" cm="1">
        <f t="array" ref="E78">1-VLOOKUP(C78,'Boats Data Sheet 2026'!$C$3:$E$60,3,0)</f>
        <v>1</v>
      </c>
      <c r="F78" t="str" s="1231" cm="1">
        <f t="array" ref="F78">'Boats Data Sheet 2026'!F47</f>
        <v>Delisted</v>
      </c>
      <c r="G78" t="str" s="1231" cm="1">
        <f t="array" ref="G78">'Boats Data Sheet 2026'!G47</f>
        <v>Secondary</v>
      </c>
      <c r="H78" s="1233" cm="1">
        <f t="array" ref="H78">'Boats Data Sheet 2026'!H47</f>
        <v>12</v>
      </c>
      <c r="I78" s="1232">
        <v>0</v>
      </c>
      <c r="J78" s="1234" cm="1">
        <f t="array" ref="J78">365-15-10</f>
        <v>340</v>
      </c>
      <c r="K78" s="1235" cm="1">
        <f t="array" ref="K78">_xlfn.IFERROR(ROUNDDOWN(E78*J78*I78,0),0)</f>
        <v>0</v>
      </c>
      <c r="L78" s="1236"/>
      <c r="M78" s="17"/>
      <c r="N78" s="74"/>
      <c r="O78" s="1224">
        <v>0</v>
      </c>
      <c r="P78" s="1225">
        <v>0</v>
      </c>
      <c r="Q78" s="1225">
        <v>0</v>
      </c>
      <c r="R78" s="1225" cm="1">
        <f t="array" ref="R78">SUM(O78:Q78)</f>
        <v>0</v>
      </c>
      <c r="S78" s="1226" cm="1">
        <f t="array" ref="S78">_xlfn.IFERROR(R78/K78,0)</f>
        <v>0</v>
      </c>
      <c r="T78" s="16"/>
      <c r="U78" s="17"/>
      <c r="V78" s="17"/>
      <c r="W78" s="18"/>
    </row>
    <row r="79" ht="14.5" customHeight="1">
      <c r="A79" s="12"/>
      <c r="B79" s="1229" cm="1">
        <f t="array" ref="B79">'Boats Data Sheet 2026'!B48</f>
        <v>46</v>
      </c>
      <c r="C79" t="str" s="1230" cm="1">
        <f t="array" ref="C79">'Boats Data Sheet 2026'!C48</f>
        <v>Yacht Lux WL 14</v>
      </c>
      <c r="D79" t="str" s="1231" cm="1">
        <f t="array" ref="D79">'Boats Data Sheet 2026'!D48</f>
        <v>Private</v>
      </c>
      <c r="E79" s="1232" cm="1">
        <f t="array" ref="E79">1-VLOOKUP(C79,'Boats Data Sheet 2026'!$C$3:$E$60,3,0)</f>
        <v>1</v>
      </c>
      <c r="F79" t="str" s="1231" cm="1">
        <f t="array" ref="F79">'Boats Data Sheet 2026'!F48</f>
        <v>Delisted</v>
      </c>
      <c r="G79" t="str" s="1231" cm="1">
        <f t="array" ref="G79">'Boats Data Sheet 2026'!G48</f>
        <v>Secondary</v>
      </c>
      <c r="H79" s="1233" cm="1">
        <f t="array" ref="H79">'Boats Data Sheet 2026'!H48</f>
        <v>15</v>
      </c>
      <c r="I79" s="1232">
        <v>0</v>
      </c>
      <c r="J79" s="1234" cm="1">
        <f t="array" ref="J79">365-15-10</f>
        <v>340</v>
      </c>
      <c r="K79" s="1235" cm="1">
        <f t="array" ref="K79">_xlfn.IFERROR(ROUNDDOWN(E79*J79*I79,0),0)</f>
        <v>0</v>
      </c>
      <c r="L79" s="1236"/>
      <c r="M79" s="17"/>
      <c r="N79" s="74"/>
      <c r="O79" s="1224">
        <v>0</v>
      </c>
      <c r="P79" s="1225">
        <v>0</v>
      </c>
      <c r="Q79" s="1225">
        <v>0</v>
      </c>
      <c r="R79" s="1225" cm="1">
        <f t="array" ref="R79">SUM(O79:Q79)</f>
        <v>0</v>
      </c>
      <c r="S79" s="1226" cm="1">
        <f t="array" ref="S79">_xlfn.IFERROR(R79/K79,0)</f>
        <v>0</v>
      </c>
      <c r="T79" s="16"/>
      <c r="U79" s="17"/>
      <c r="V79" s="17"/>
      <c r="W79" s="18"/>
    </row>
    <row r="80" ht="14.5" customHeight="1">
      <c r="A80" s="12"/>
      <c r="B80" s="1229" cm="1">
        <f t="array" ref="B80">'Boats Data Sheet 2026'!B49</f>
        <v>47</v>
      </c>
      <c r="C80" t="str" s="1230" cm="1">
        <f t="array" ref="C80">'Boats Data Sheet 2026'!C49</f>
        <v>Yacht S49</v>
      </c>
      <c r="D80" t="str" s="1231" cm="1">
        <f t="array" ref="D80">'Boats Data Sheet 2026'!D49</f>
        <v>Private</v>
      </c>
      <c r="E80" s="1232" cm="1">
        <f t="array" ref="E80">1-VLOOKUP(C80,'Boats Data Sheet 2026'!$C$3:$E$60,3,0)</f>
        <v>1</v>
      </c>
      <c r="F80" t="str" s="1231" cm="1">
        <f t="array" ref="F80">'Boats Data Sheet 2026'!F49</f>
        <v>Delisted</v>
      </c>
      <c r="G80" t="str" s="1231" cm="1">
        <f t="array" ref="G80">'Boats Data Sheet 2026'!G49</f>
        <v>Secondary</v>
      </c>
      <c r="H80" s="1233" cm="1">
        <f t="array" ref="H80">'Boats Data Sheet 2026'!H49</f>
        <v>20</v>
      </c>
      <c r="I80" s="1232">
        <v>0</v>
      </c>
      <c r="J80" s="1234" cm="1">
        <f t="array" ref="J80">365-15-10</f>
        <v>340</v>
      </c>
      <c r="K80" s="1235" cm="1">
        <f t="array" ref="K80">_xlfn.IFERROR(ROUNDDOWN(E80*J80*I80,0),0)</f>
        <v>0</v>
      </c>
      <c r="L80" s="1236"/>
      <c r="M80" s="17"/>
      <c r="N80" s="74"/>
      <c r="O80" s="1224">
        <v>0</v>
      </c>
      <c r="P80" s="1225">
        <v>0</v>
      </c>
      <c r="Q80" s="1225">
        <v>0</v>
      </c>
      <c r="R80" s="1225" cm="1">
        <f t="array" ref="R80">SUM(O80:Q80)</f>
        <v>0</v>
      </c>
      <c r="S80" s="1226" cm="1">
        <f t="array" ref="S80">_xlfn.IFERROR(R80/K80,0)</f>
        <v>0</v>
      </c>
      <c r="T80" s="16"/>
      <c r="U80" s="17"/>
      <c r="V80" s="17"/>
      <c r="W80" s="18"/>
    </row>
    <row r="81" ht="14.5" customHeight="1">
      <c r="A81" s="12"/>
      <c r="B81" s="1229" cm="1">
        <f t="array" ref="B81">'Boats Data Sheet 2026'!B50</f>
        <v>48</v>
      </c>
      <c r="C81" t="str" s="1230" cm="1">
        <f t="array" ref="C81">'Boats Data Sheet 2026'!C50</f>
        <v>Pula Catamaran (small)</v>
      </c>
      <c r="D81" t="str" s="1231" cm="1">
        <f t="array" ref="D81">'Boats Data Sheet 2026'!D50</f>
        <v>Private</v>
      </c>
      <c r="E81" s="1232" cm="1">
        <f t="array" ref="E81">1-VLOOKUP(C81,'Boats Data Sheet 2026'!$C$3:$E$60,3,0)</f>
        <v>1</v>
      </c>
      <c r="F81" t="str" s="1231" cm="1">
        <f t="array" ref="F81">'Boats Data Sheet 2026'!F50</f>
        <v>Delisted</v>
      </c>
      <c r="G81" t="str" s="1231" cm="1">
        <f t="array" ref="G81">'Boats Data Sheet 2026'!G50</f>
        <v>Secondary</v>
      </c>
      <c r="H81" s="1233" cm="1">
        <f t="array" ref="H81">'Boats Data Sheet 2026'!H50</f>
        <v>16</v>
      </c>
      <c r="I81" s="1232">
        <v>0</v>
      </c>
      <c r="J81" s="1234" cm="1">
        <f t="array" ref="J81">365-15-10</f>
        <v>340</v>
      </c>
      <c r="K81" s="1235" cm="1">
        <f t="array" ref="K81">_xlfn.IFERROR(ROUNDDOWN(E81*J81*I81,0),0)</f>
        <v>0</v>
      </c>
      <c r="L81" s="1236"/>
      <c r="M81" s="17"/>
      <c r="N81" s="74"/>
      <c r="O81" s="1224">
        <v>0</v>
      </c>
      <c r="P81" s="1225">
        <v>0</v>
      </c>
      <c r="Q81" s="1225">
        <v>0</v>
      </c>
      <c r="R81" s="1225" cm="1">
        <f t="array" ref="R81">SUM(O81:Q81)</f>
        <v>0</v>
      </c>
      <c r="S81" s="1226" cm="1">
        <f t="array" ref="S81">_xlfn.IFERROR(R81/K81,0)</f>
        <v>0</v>
      </c>
      <c r="T81" s="16"/>
      <c r="U81" s="17"/>
      <c r="V81" s="17"/>
      <c r="W81" s="18"/>
    </row>
    <row r="82" ht="14.5" customHeight="1">
      <c r="A82" s="12"/>
      <c r="B82" s="1217" cm="1">
        <f t="array" ref="B82">'Boats Data Sheet 2026'!B51</f>
        <v>49</v>
      </c>
      <c r="C82" t="str" s="1218" cm="1">
        <f t="array" ref="C82">'Boats Data Sheet 2026'!C51</f>
        <v>Aneecha Catamaran</v>
      </c>
      <c r="D82" t="str" s="1219" cm="1">
        <f t="array" ref="D82">'Boats Data Sheet 2026'!D51</f>
        <v>Private</v>
      </c>
      <c r="E82" s="1220" cm="1">
        <f t="array" ref="E82">1-VLOOKUP(C82,'Boats Data Sheet 2026'!$C$3:$E$60,3,0)</f>
        <v>1</v>
      </c>
      <c r="F82" t="str" s="1219" cm="1">
        <f t="array" ref="F82">'Boats Data Sheet 2026'!F51</f>
        <v>Tour</v>
      </c>
      <c r="G82" t="str" s="1219" cm="1">
        <f t="array" ref="G82">'Boats Data Sheet 2026'!G51</f>
        <v>Secondary</v>
      </c>
      <c r="H82" s="1221" cm="1">
        <f t="array" ref="H82">'Boats Data Sheet 2026'!H51</f>
        <v>45</v>
      </c>
      <c r="I82" s="1220">
        <v>0.05</v>
      </c>
      <c r="J82" s="1222" cm="1">
        <f t="array" ref="J82">365-15-10</f>
        <v>340</v>
      </c>
      <c r="K82" s="1223" cm="1">
        <f t="array" ref="K82">_xlfn.IFERROR(ROUNDDOWN(E82*J82*I82,0),0)</f>
        <v>17</v>
      </c>
      <c r="L82" s="1236"/>
      <c r="M82" s="17"/>
      <c r="N82" s="74"/>
      <c r="O82" s="1224">
        <v>0</v>
      </c>
      <c r="P82" s="1225">
        <v>0</v>
      </c>
      <c r="Q82" s="1225">
        <v>0</v>
      </c>
      <c r="R82" s="1225" cm="1">
        <f t="array" ref="R82">SUM(O82:Q82)</f>
        <v>0</v>
      </c>
      <c r="S82" s="1226" cm="1">
        <f t="array" ref="S82">_xlfn.IFERROR(R82/K82,0)</f>
        <v>0</v>
      </c>
      <c r="T82" s="16"/>
      <c r="U82" s="17"/>
      <c r="V82" s="17"/>
      <c r="W82" s="18"/>
    </row>
    <row r="83" ht="14.5" customHeight="1">
      <c r="A83" s="12"/>
      <c r="B83" s="1217" cm="1">
        <f t="array" ref="B83">'Boats Data Sheet 2026'!B52</f>
        <v>50</v>
      </c>
      <c r="C83" t="str" s="1218" cm="1">
        <f t="array" ref="C83">'Boats Data Sheet 2026'!C52</f>
        <v>Jet Asia Yacht</v>
      </c>
      <c r="D83" t="str" s="1219" cm="1">
        <f t="array" ref="D83">'Boats Data Sheet 2026'!D52</f>
        <v>Private</v>
      </c>
      <c r="E83" s="1220" cm="1">
        <f t="array" ref="E83">1-VLOOKUP(C83,'Boats Data Sheet 2026'!$C$3:$E$60,3,0)</f>
        <v>1</v>
      </c>
      <c r="F83" t="str" s="1219" cm="1">
        <f t="array" ref="F83">'Boats Data Sheet 2026'!F52</f>
        <v>Tour</v>
      </c>
      <c r="G83" t="str" s="1219" cm="1">
        <f t="array" ref="G83">'Boats Data Sheet 2026'!G52</f>
        <v>Secondary</v>
      </c>
      <c r="H83" s="1221" cm="1">
        <f t="array" ref="H83">'Boats Data Sheet 2026'!H52</f>
        <v>35</v>
      </c>
      <c r="I83" s="1220">
        <v>0.17</v>
      </c>
      <c r="J83" s="1222" cm="1">
        <f t="array" ref="J83">365-15-10</f>
        <v>340</v>
      </c>
      <c r="K83" s="1223" cm="1">
        <f t="array" ref="K83">_xlfn.IFERROR(ROUNDDOWN(E83*J83*I83,0),0)</f>
        <v>57</v>
      </c>
      <c r="L83" s="16"/>
      <c r="M83" s="17"/>
      <c r="N83" s="74"/>
      <c r="O83" s="1224">
        <v>0</v>
      </c>
      <c r="P83" s="1225">
        <v>0</v>
      </c>
      <c r="Q83" s="1225">
        <v>0</v>
      </c>
      <c r="R83" s="1225" cm="1">
        <f t="array" ref="R83">SUM(O83:Q83)</f>
        <v>0</v>
      </c>
      <c r="S83" s="1226" cm="1">
        <f t="array" ref="S83">_xlfn.IFERROR(R83/K83,0)</f>
        <v>0</v>
      </c>
      <c r="T83" s="16"/>
      <c r="U83" s="17"/>
      <c r="V83" s="17"/>
      <c r="W83" s="18"/>
    </row>
    <row r="84" ht="14.5" customHeight="1">
      <c r="A84" s="12"/>
      <c r="B84" s="1217" cm="1">
        <f t="array" ref="B84">'Boats Data Sheet 2026'!B53</f>
        <v>51</v>
      </c>
      <c r="C84" t="str" s="1218" cm="1">
        <f t="array" ref="C84">'Boats Data Sheet 2026'!C53</f>
        <v>Lux Yacht AR55</v>
      </c>
      <c r="D84" t="str" s="1219" cm="1">
        <f t="array" ref="D84">'Boats Data Sheet 2026'!D53</f>
        <v>Private</v>
      </c>
      <c r="E84" s="1220" cm="1">
        <f t="array" ref="E84">1-VLOOKUP(C84,'Boats Data Sheet 2026'!$C$3:$E$60,3,0)</f>
        <v>1</v>
      </c>
      <c r="F84" t="str" s="1219" cm="1">
        <f t="array" ref="F84">'Boats Data Sheet 2026'!F53</f>
        <v>Tour</v>
      </c>
      <c r="G84" t="str" s="1219" cm="1">
        <f t="array" ref="G84">'Boats Data Sheet 2026'!G53</f>
        <v>Secondary</v>
      </c>
      <c r="H84" s="1221" cm="1">
        <f t="array" ref="H84">'Boats Data Sheet 2026'!H53</f>
        <v>18</v>
      </c>
      <c r="I84" s="1220">
        <v>0.12</v>
      </c>
      <c r="J84" s="1222" cm="1">
        <f t="array" ref="J84">365-15-10</f>
        <v>340</v>
      </c>
      <c r="K84" s="1223" cm="1">
        <f t="array" ref="K84">_xlfn.IFERROR(ROUNDDOWN(E84*J84*I84,0),0)</f>
        <v>40</v>
      </c>
      <c r="L84" s="1236"/>
      <c r="M84" s="17"/>
      <c r="N84" s="74"/>
      <c r="O84" s="1224" cm="1">
        <f t="array" ref="O84">'Private Boats 2026 Target'!AJ747/2</f>
        <v>0</v>
      </c>
      <c r="P84" s="1225">
        <v>0</v>
      </c>
      <c r="Q84" s="1225">
        <v>0</v>
      </c>
      <c r="R84" s="1225" cm="1">
        <f t="array" ref="R84">SUM(O84:Q84)</f>
        <v>0</v>
      </c>
      <c r="S84" s="1226" cm="1">
        <f t="array" ref="S84">_xlfn.IFERROR(R84/K84,0)</f>
        <v>0</v>
      </c>
      <c r="T84" s="16"/>
      <c r="U84" s="17"/>
      <c r="V84" s="17"/>
      <c r="W84" s="18"/>
    </row>
    <row r="85" ht="14.5" customHeight="1">
      <c r="A85" s="12"/>
      <c r="B85" s="1217" cm="1">
        <f t="array" ref="B85">'Boats Data Sheet 2026'!B54</f>
        <v>52</v>
      </c>
      <c r="C85" t="str" s="1218" cm="1">
        <f t="array" ref="C85">'Boats Data Sheet 2026'!C54</f>
        <v>Yacht RZ50</v>
      </c>
      <c r="D85" t="str" s="1219" cm="1">
        <f t="array" ref="D85">'Boats Data Sheet 2026'!D54</f>
        <v>Private</v>
      </c>
      <c r="E85" s="1220" cm="1">
        <f t="array" ref="E85">1-VLOOKUP(C85,'Boats Data Sheet 2026'!$C$3:$E$60,3,0)</f>
        <v>1</v>
      </c>
      <c r="F85" t="str" s="1219" cm="1">
        <f t="array" ref="F85">'Boats Data Sheet 2026'!F54</f>
        <v>Tour</v>
      </c>
      <c r="G85" t="str" s="1219" cm="1">
        <f t="array" ref="G85">'Boats Data Sheet 2026'!G54</f>
        <v>Secondary</v>
      </c>
      <c r="H85" s="1221" cm="1">
        <f t="array" ref="H85">'Boats Data Sheet 2026'!H54</f>
        <v>13</v>
      </c>
      <c r="I85" s="1220">
        <v>0.01</v>
      </c>
      <c r="J85" s="1222" cm="1">
        <f t="array" ref="J85">365-15-10</f>
        <v>340</v>
      </c>
      <c r="K85" s="1223" cm="1">
        <f t="array" ref="K85">_xlfn.IFERROR(ROUNDDOWN(E85*J85*I85,0),0)</f>
        <v>3</v>
      </c>
      <c r="L85" s="1236"/>
      <c r="M85" s="17"/>
      <c r="N85" s="74"/>
      <c r="O85" s="1224" cm="1">
        <f t="array" ref="O85">'Private Boats 2026 Target'!AJ748/2</f>
        <v>0</v>
      </c>
      <c r="P85" s="1225">
        <v>0</v>
      </c>
      <c r="Q85" s="1225">
        <v>0</v>
      </c>
      <c r="R85" s="1225" cm="1">
        <f t="array" ref="R85">SUM(O85:Q85)</f>
        <v>0</v>
      </c>
      <c r="S85" s="1226">
        <v>0</v>
      </c>
      <c r="T85" s="16"/>
      <c r="U85" s="17"/>
      <c r="V85" s="17"/>
      <c r="W85" s="18"/>
    </row>
    <row r="86" ht="14.5" customHeight="1">
      <c r="A86" s="12"/>
      <c r="B86" s="1217" cm="1">
        <f t="array" ref="B86">'Boats Data Sheet 2026'!B55</f>
        <v>53</v>
      </c>
      <c r="C86" t="str" s="1218" cm="1">
        <f t="array" ref="C86">'Boats Data Sheet 2026'!C55</f>
        <v>Yacht AM37</v>
      </c>
      <c r="D86" t="str" s="1219" cm="1">
        <f t="array" ref="D86">'Boats Data Sheet 2026'!D55</f>
        <v>Private</v>
      </c>
      <c r="E86" s="1220" cm="1">
        <f t="array" ref="E86">1-VLOOKUP(C86,'Boats Data Sheet 2026'!$C$3:$E$60,3,0)</f>
        <v>1</v>
      </c>
      <c r="F86" t="str" s="1219" cm="1">
        <f t="array" ref="F86">'Boats Data Sheet 2026'!F55</f>
        <v>Tour</v>
      </c>
      <c r="G86" t="str" s="1219" cm="1">
        <f t="array" ref="G86">'Boats Data Sheet 2026'!G55</f>
        <v>Secondary</v>
      </c>
      <c r="H86" s="1221" cm="1">
        <f t="array" ref="H86">'Boats Data Sheet 2026'!H55</f>
        <v>10</v>
      </c>
      <c r="I86" s="1220">
        <v>0.01</v>
      </c>
      <c r="J86" s="1222" cm="1">
        <f t="array" ref="J86">365-15-10</f>
        <v>340</v>
      </c>
      <c r="K86" s="1223" cm="1">
        <f t="array" ref="K86">_xlfn.IFERROR(ROUNDDOWN(E86*J86*I86,0),0)</f>
        <v>3</v>
      </c>
      <c r="L86" s="1236"/>
      <c r="M86" s="17"/>
      <c r="N86" s="74"/>
      <c r="O86" s="1224" cm="1">
        <f t="array" ref="O86">'Private Boats 2026 Target'!AJ749/2</f>
        <v>0</v>
      </c>
      <c r="P86" s="1225">
        <v>0</v>
      </c>
      <c r="Q86" s="1225">
        <v>0</v>
      </c>
      <c r="R86" s="1225" cm="1">
        <f t="array" ref="R86">SUM(O86:Q86)</f>
        <v>0</v>
      </c>
      <c r="S86" s="1226">
        <v>0</v>
      </c>
      <c r="T86" s="16"/>
      <c r="U86" s="17"/>
      <c r="V86" s="17"/>
      <c r="W86" s="18"/>
    </row>
    <row r="87" ht="14.5" customHeight="1">
      <c r="A87" s="12"/>
      <c r="B87" s="1229" cm="1">
        <f t="array" ref="B87">'Boats Data Sheet 2026'!B56</f>
        <v>54</v>
      </c>
      <c r="C87" t="str" s="1230" cm="1">
        <f t="array" ref="C87">'Boats Data Sheet 2026'!C56</f>
        <v>Boat BD99</v>
      </c>
      <c r="D87" t="str" s="1231" cm="1">
        <f t="array" ref="D87">'Boats Data Sheet 2026'!D56</f>
        <v>Private</v>
      </c>
      <c r="E87" s="1232" cm="1">
        <f t="array" ref="E87">1-VLOOKUP(C87,'Boats Data Sheet 2026'!$C$3:$E$60,3,0)</f>
        <v>1</v>
      </c>
      <c r="F87" t="str" s="1231" cm="1">
        <f t="array" ref="F87">'Boats Data Sheet 2026'!F56</f>
        <v>Tour</v>
      </c>
      <c r="G87" t="str" s="1231" cm="1">
        <f t="array" ref="G87">'Boats Data Sheet 2026'!G56</f>
        <v>Secondary</v>
      </c>
      <c r="H87" s="1233" cm="1">
        <f t="array" ref="H87">'Boats Data Sheet 2026'!H56</f>
        <v>10</v>
      </c>
      <c r="I87" s="1232">
        <v>0</v>
      </c>
      <c r="J87" s="1234" cm="1">
        <f t="array" ref="J87">365-15-10</f>
        <v>340</v>
      </c>
      <c r="K87" s="1235" cm="1">
        <f t="array" ref="K87">_xlfn.IFERROR(ROUNDDOWN(E87*J87*I87,0),0)</f>
        <v>0</v>
      </c>
      <c r="L87" s="1236"/>
      <c r="M87" s="17"/>
      <c r="N87" s="74"/>
      <c r="O87" s="1224">
        <v>0</v>
      </c>
      <c r="P87" s="1225">
        <v>0</v>
      </c>
      <c r="Q87" s="1225">
        <v>0</v>
      </c>
      <c r="R87" s="1225" cm="1">
        <f t="array" ref="R87">SUM(O87:Q87)</f>
        <v>0</v>
      </c>
      <c r="S87" s="1226">
        <v>0</v>
      </c>
      <c r="T87" s="16"/>
      <c r="U87" s="17"/>
      <c r="V87" s="17"/>
      <c r="W87" s="18"/>
    </row>
    <row r="88" ht="14.5" customHeight="1">
      <c r="A88" s="12"/>
      <c r="B88" s="1217" cm="1">
        <f t="array" ref="B88">'Boats Data Sheet 2026'!B57</f>
        <v>55</v>
      </c>
      <c r="C88" t="str" s="1218" cm="1">
        <f t="array" ref="C88">'Boats Data Sheet 2026'!C57</f>
        <v>Yacht Lux O17</v>
      </c>
      <c r="D88" t="str" s="1219" cm="1">
        <f t="array" ref="D88">'Boats Data Sheet 2026'!D57</f>
        <v>Private</v>
      </c>
      <c r="E88" s="1220" cm="1">
        <f t="array" ref="E88">1-VLOOKUP(C88,'Boats Data Sheet 2026'!$C$3:$E$60,3,0)</f>
        <v>1</v>
      </c>
      <c r="F88" t="str" s="1219" cm="1">
        <f t="array" ref="F88">'Boats Data Sheet 2026'!F57</f>
        <v>Tour </v>
      </c>
      <c r="G88" t="str" s="1219" cm="1">
        <f t="array" ref="G88">'Boats Data Sheet 2026'!G57</f>
        <v>Secondary</v>
      </c>
      <c r="H88" s="1221" cm="1">
        <f t="array" ref="H88">'Boats Data Sheet 2026'!H57</f>
        <v>25</v>
      </c>
      <c r="I88" s="1220">
        <v>0.01</v>
      </c>
      <c r="J88" s="1222" cm="1">
        <f t="array" ref="J88">365-15-10</f>
        <v>340</v>
      </c>
      <c r="K88" s="1223" cm="1">
        <f t="array" ref="K88">_xlfn.IFERROR(ROUNDDOWN(E88*J88*I88,0),0)</f>
        <v>3</v>
      </c>
      <c r="L88" s="1236"/>
      <c r="M88" s="17"/>
      <c r="N88" s="74"/>
      <c r="O88" s="1224">
        <v>0</v>
      </c>
      <c r="P88" s="1225">
        <v>0</v>
      </c>
      <c r="Q88" s="1225">
        <v>0</v>
      </c>
      <c r="R88" s="1225" cm="1">
        <f t="array" ref="R88">SUM(O88:Q88)</f>
        <v>0</v>
      </c>
      <c r="S88" s="1226">
        <v>0</v>
      </c>
      <c r="T88" s="16"/>
      <c r="U88" s="17"/>
      <c r="V88" s="17"/>
      <c r="W88" s="18"/>
    </row>
    <row r="89" ht="14.5" customHeight="1">
      <c r="A89" s="12"/>
      <c r="B89" s="1217" cm="1">
        <f t="array" ref="B89">'Boats Data Sheet 2026'!B58</f>
        <v>56</v>
      </c>
      <c r="C89" t="str" s="1218" cm="1">
        <f t="array" ref="C89">'Boats Data Sheet 2026'!C58</f>
        <v>Boat KR-13</v>
      </c>
      <c r="D89" t="str" s="1219" cm="1">
        <f t="array" ref="D89">'Boats Data Sheet 2026'!D58</f>
        <v>Private</v>
      </c>
      <c r="E89" s="1220" cm="1">
        <f t="array" ref="E89">1-VLOOKUP(C89,'Boats Data Sheet 2026'!$C$3:$E$60,3,0)</f>
        <v>1</v>
      </c>
      <c r="F89" t="str" s="1219" cm="1">
        <f t="array" ref="F89">'Boats Data Sheet 2026'!F58</f>
        <v>Tour </v>
      </c>
      <c r="G89" t="str" s="1219" cm="1">
        <f t="array" ref="G89">'Boats Data Sheet 2026'!G58</f>
        <v>Secondary</v>
      </c>
      <c r="H89" s="1221" cm="1">
        <f t="array" ref="H89">'Boats Data Sheet 2026'!H58</f>
        <v>12</v>
      </c>
      <c r="I89" s="1220">
        <v>0.01</v>
      </c>
      <c r="J89" s="1222" cm="1">
        <f t="array" ref="J89">365-15-10</f>
        <v>340</v>
      </c>
      <c r="K89" s="1223" cm="1">
        <f t="array" ref="K89">_xlfn.IFERROR(ROUNDDOWN(E89*J89*I89,0),0)</f>
        <v>3</v>
      </c>
      <c r="L89" s="1236"/>
      <c r="M89" s="17"/>
      <c r="N89" s="74"/>
      <c r="O89" s="1224">
        <v>0</v>
      </c>
      <c r="P89" s="1225">
        <v>0</v>
      </c>
      <c r="Q89" s="1225">
        <v>0</v>
      </c>
      <c r="R89" s="1225" cm="1">
        <f t="array" ref="R89">SUM(O89:Q89)</f>
        <v>0</v>
      </c>
      <c r="S89" s="1226">
        <v>0</v>
      </c>
      <c r="T89" s="16"/>
      <c r="U89" s="17"/>
      <c r="V89" s="17"/>
      <c r="W89" s="18"/>
    </row>
    <row r="90" ht="14.5" customHeight="1">
      <c r="A90" s="12"/>
      <c r="B90" s="1217" cm="1">
        <f t="array" ref="B90">'Boats Data Sheet 2026'!B59</f>
        <v>57</v>
      </c>
      <c r="C90" t="str" s="1218" cm="1">
        <f t="array" ref="C90">'Boats Data Sheet 2026'!C59</f>
        <v>Premium Yacht AZ50</v>
      </c>
      <c r="D90" t="str" s="1219" cm="1">
        <f t="array" ref="D90">'Boats Data Sheet 2026'!D59</f>
        <v>Private</v>
      </c>
      <c r="E90" s="1220" cm="1">
        <f t="array" ref="E90">1-VLOOKUP(C90,'Boats Data Sheet 2026'!$C$3:$E$60,3,0)</f>
        <v>1</v>
      </c>
      <c r="F90" t="str" s="1219" cm="1">
        <f t="array" ref="F90">'Boats Data Sheet 2026'!F59</f>
        <v>Tour </v>
      </c>
      <c r="G90" t="str" s="1219" cm="1">
        <f t="array" ref="G90">'Boats Data Sheet 2026'!G59</f>
        <v>Secondary</v>
      </c>
      <c r="H90" s="1221" cm="1">
        <f t="array" ref="H90">'Boats Data Sheet 2026'!H59</f>
        <v>19</v>
      </c>
      <c r="I90" s="1220">
        <v>0.01</v>
      </c>
      <c r="J90" s="1222" cm="1">
        <f t="array" ref="J90">365-15-10</f>
        <v>340</v>
      </c>
      <c r="K90" s="1223" cm="1">
        <f t="array" ref="K90">_xlfn.IFERROR(ROUNDDOWN(E90*J90*I90,0),0)</f>
        <v>3</v>
      </c>
      <c r="L90" s="1236"/>
      <c r="M90" s="17"/>
      <c r="N90" s="74"/>
      <c r="O90" s="1224">
        <v>0</v>
      </c>
      <c r="P90" s="1225">
        <v>0</v>
      </c>
      <c r="Q90" s="1225">
        <v>0</v>
      </c>
      <c r="R90" s="1225" cm="1">
        <f t="array" ref="R90">SUM(O90:Q90)</f>
        <v>0</v>
      </c>
      <c r="S90" s="1226">
        <v>0</v>
      </c>
      <c r="T90" s="16"/>
      <c r="U90" s="17"/>
      <c r="V90" s="17"/>
      <c r="W90" s="18"/>
    </row>
    <row r="91" ht="15" customHeight="1">
      <c r="A91" s="12"/>
      <c r="B91" s="1238" cm="1">
        <f t="array" ref="B91">'Boats Data Sheet 2026'!B60</f>
        <v>58</v>
      </c>
      <c r="C91" t="str" s="1239" cm="1">
        <f t="array" ref="C91">'Boats Data Sheet 2026'!C60</f>
        <v>Yacht T13</v>
      </c>
      <c r="D91" t="str" s="1240" cm="1">
        <f t="array" ref="D91">'Boats Data Sheet 2026'!D60</f>
        <v>Private</v>
      </c>
      <c r="E91" s="1241" cm="1">
        <f t="array" ref="E91">1-VLOOKUP(C91,'Boats Data Sheet 2026'!$C$3:$E$60,3,0)</f>
        <v>1</v>
      </c>
      <c r="F91" t="str" s="1240" cm="1">
        <f t="array" ref="F91">'Boats Data Sheet 2026'!F60</f>
        <v>Delisted</v>
      </c>
      <c r="G91" t="str" s="1240" cm="1">
        <f t="array" ref="G91">'Boats Data Sheet 2026'!G60</f>
        <v>Secondary</v>
      </c>
      <c r="H91" s="1242" cm="1">
        <f t="array" ref="H91">'Boats Data Sheet 2026'!H60</f>
        <v>12</v>
      </c>
      <c r="I91" s="1241">
        <v>0.01</v>
      </c>
      <c r="J91" s="1243" cm="1">
        <f t="array" ref="J91">365-15-10</f>
        <v>340</v>
      </c>
      <c r="K91" s="1244" cm="1">
        <f t="array" ref="K91">_xlfn.IFERROR(ROUNDDOWN(E91*J91*I91,0),0)</f>
        <v>3</v>
      </c>
      <c r="L91" s="1236"/>
      <c r="M91" s="17"/>
      <c r="N91" s="74"/>
      <c r="O91" s="1245">
        <v>0</v>
      </c>
      <c r="P91" s="1246">
        <v>0</v>
      </c>
      <c r="Q91" s="1246">
        <v>0</v>
      </c>
      <c r="R91" s="1246" cm="1">
        <f t="array" ref="R91">SUM(O91:Q91)</f>
        <v>0</v>
      </c>
      <c r="S91" s="1247" cm="1">
        <f t="array" ref="S91">_xlfn.IFERROR(R91/K91,0)</f>
        <v>0</v>
      </c>
      <c r="T91" s="16"/>
      <c r="U91" s="17"/>
      <c r="V91" s="17"/>
      <c r="W91" s="18"/>
    </row>
    <row r="92" ht="16" customHeight="1">
      <c r="A92" s="12"/>
      <c r="B92" s="1248"/>
      <c r="C92" s="1249"/>
      <c r="D92" s="1249"/>
      <c r="E92" s="1250"/>
      <c r="F92" s="1250"/>
      <c r="G92" s="1250"/>
      <c r="H92" s="1250"/>
      <c r="I92" s="1249"/>
      <c r="J92" t="s" s="1251">
        <v>890</v>
      </c>
      <c r="K92" s="1252" cm="1">
        <f t="array" ref="K92">SUM(K35:K91)</f>
        <v>2356.25</v>
      </c>
      <c r="L92" s="1236"/>
      <c r="M92" s="17"/>
      <c r="N92" s="74"/>
      <c r="O92" s="1253" cm="1">
        <f t="array" ref="O92">SUM(O35:O91)</f>
        <v>265237500</v>
      </c>
      <c r="P92" s="1254" cm="1">
        <f t="array" ref="P92">SUM(P35:P91)</f>
        <v>151948297</v>
      </c>
      <c r="Q92" s="1254" cm="1">
        <f t="array" ref="Q92">SUM(Q35:Q91)</f>
        <v>82000000</v>
      </c>
      <c r="R92" s="1254" cm="1">
        <f t="array" ref="R92">SUM(R35:R91)</f>
        <v>499185797</v>
      </c>
      <c r="S92" s="1255"/>
      <c r="T92" s="16"/>
      <c r="U92" s="17"/>
      <c r="V92" s="17"/>
      <c r="W92" s="18"/>
    </row>
    <row r="93" ht="15" customHeight="1">
      <c r="A93" s="192"/>
      <c r="B93" s="1256"/>
      <c r="C93" s="1256"/>
      <c r="D93" s="1256"/>
      <c r="E93" s="1256"/>
      <c r="F93" s="1256"/>
      <c r="G93" s="1256"/>
      <c r="H93" s="1256"/>
      <c r="I93" s="1256"/>
      <c r="J93" s="1256"/>
      <c r="K93" s="1257"/>
      <c r="L93" s="193"/>
      <c r="M93" s="193"/>
      <c r="N93" s="193"/>
      <c r="O93" s="1256"/>
      <c r="P93" s="1256"/>
      <c r="Q93" s="1256"/>
      <c r="R93" s="1256"/>
      <c r="S93" s="1256"/>
      <c r="T93" s="193"/>
      <c r="U93" s="193"/>
      <c r="V93" s="193"/>
      <c r="W93" s="195"/>
    </row>
  </sheetData>
  <mergeCells count="6">
    <mergeCell ref="C32:D32"/>
    <mergeCell ref="C26:D26"/>
    <mergeCell ref="C27:D27"/>
    <mergeCell ref="C28:D28"/>
    <mergeCell ref="C30:D30"/>
    <mergeCell ref="C31:D3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20.xml><?xml version="1.0" encoding="utf-8"?>
<worksheet xmlns:r="http://schemas.openxmlformats.org/officeDocument/2006/relationships" xmlns="http://schemas.openxmlformats.org/spreadsheetml/2006/main">
  <dimension ref="A1:AT1032"/>
  <sheetViews>
    <sheetView workbookViewId="0" showGridLines="0" defaultGridColor="1"/>
  </sheetViews>
  <sheetFormatPr defaultColWidth="14.5" defaultRowHeight="15" customHeight="1" outlineLevelRow="0" outlineLevelCol="0"/>
  <cols>
    <col min="1" max="1" width="4.5" style="1258" customWidth="1"/>
    <col min="2" max="2" width="5.35156" style="1258" customWidth="1"/>
    <col min="3" max="3" width="23.1719" style="1258" customWidth="1"/>
    <col min="4" max="4" width="17.1719" style="1258" customWidth="1"/>
    <col min="5" max="5" width="15.5" style="1258" customWidth="1"/>
    <col min="6" max="6" width="14.3516" style="1258" customWidth="1"/>
    <col min="7" max="7" width="13.8516" style="1258" customWidth="1"/>
    <col min="8" max="8" width="14" style="1258" customWidth="1"/>
    <col min="9" max="9" width="17.5" style="1258" customWidth="1"/>
    <col min="10" max="10" width="19.1719" style="1258" customWidth="1"/>
    <col min="11" max="11" width="23.6719" style="1258" customWidth="1"/>
    <col min="12" max="12" width="57.6719" style="1258" customWidth="1"/>
    <col min="13" max="13" width="14.8516" style="1258" customWidth="1"/>
    <col min="14" max="14" width="9.85156" style="1258" customWidth="1"/>
    <col min="15" max="19" width="8.85156" style="1258" customWidth="1"/>
    <col min="20" max="20" width="11.1719" style="1258" customWidth="1"/>
    <col min="21" max="32" width="8.85156" style="1258" customWidth="1"/>
    <col min="33" max="46" width="8.67188" style="1258" customWidth="1"/>
    <col min="47" max="16384" width="14.5" style="1258" customWidth="1"/>
  </cols>
  <sheetData>
    <row r="1" ht="14.25" customHeight="1">
      <c r="A1" s="1061"/>
      <c r="B1" s="1062"/>
      <c r="C1" s="1063"/>
      <c r="D1" s="1063"/>
      <c r="E1" s="1063"/>
      <c r="F1" s="1063"/>
      <c r="G1" s="1063"/>
      <c r="H1" s="1063"/>
      <c r="I1" s="1063"/>
      <c r="J1" s="1063"/>
      <c r="K1" s="1064"/>
      <c r="L1" s="1064"/>
      <c r="M1" s="1065"/>
      <c r="N1" s="1065"/>
      <c r="O1" s="1065"/>
      <c r="P1" s="1065"/>
      <c r="Q1" s="1065"/>
      <c r="R1" s="1065"/>
      <c r="S1" s="1065"/>
      <c r="T1" s="1065"/>
      <c r="U1" s="1065"/>
      <c r="V1" s="1065"/>
      <c r="W1" s="1065"/>
      <c r="X1" s="1065"/>
      <c r="Y1" s="1065"/>
      <c r="Z1" s="1065"/>
      <c r="AA1" s="1065"/>
      <c r="AB1" s="1065"/>
      <c r="AC1" s="1065"/>
      <c r="AD1" s="1065"/>
      <c r="AE1" s="1065"/>
      <c r="AF1" s="1065"/>
      <c r="AG1" s="1065"/>
      <c r="AH1" s="1065"/>
      <c r="AI1" s="1065"/>
      <c r="AJ1" s="1065"/>
      <c r="AK1" s="1065"/>
      <c r="AL1" s="1065"/>
      <c r="AM1" s="1065"/>
      <c r="AN1" s="1065"/>
      <c r="AO1" s="1065"/>
      <c r="AP1" s="1065"/>
      <c r="AQ1" s="1065"/>
      <c r="AR1" s="1065"/>
      <c r="AS1" s="1065"/>
      <c r="AT1" s="1066"/>
    </row>
    <row r="2" ht="30.65" customHeight="1">
      <c r="A2" s="1067"/>
      <c r="B2" s="1259"/>
      <c r="C2" t="s" s="1260">
        <v>931</v>
      </c>
      <c r="D2" t="s" s="1260">
        <v>7</v>
      </c>
      <c r="E2" t="s" s="1261">
        <v>932</v>
      </c>
      <c r="F2" t="s" s="1260">
        <v>933</v>
      </c>
      <c r="G2" t="s" s="1260">
        <v>934</v>
      </c>
      <c r="H2" t="s" s="1261">
        <v>935</v>
      </c>
      <c r="I2" t="s" s="1261">
        <v>936</v>
      </c>
      <c r="J2" t="s" s="1261">
        <v>937</v>
      </c>
      <c r="K2" t="s" s="1262">
        <v>938</v>
      </c>
      <c r="L2" t="s" s="1263">
        <v>939</v>
      </c>
      <c r="M2" s="1073"/>
      <c r="N2" s="1074"/>
      <c r="O2" s="1074"/>
      <c r="P2" s="1074"/>
      <c r="Q2" s="1074"/>
      <c r="R2" s="1074"/>
      <c r="S2" s="1074"/>
      <c r="T2" s="1074"/>
      <c r="U2" s="1074"/>
      <c r="V2" s="1074"/>
      <c r="W2" s="1074"/>
      <c r="X2" s="1074"/>
      <c r="Y2" s="1074"/>
      <c r="Z2" s="1074"/>
      <c r="AA2" s="1074"/>
      <c r="AB2" s="1074"/>
      <c r="AC2" s="1074"/>
      <c r="AD2" s="1074"/>
      <c r="AE2" s="1074"/>
      <c r="AF2" s="1074"/>
      <c r="AG2" s="1074"/>
      <c r="AH2" s="1074"/>
      <c r="AI2" s="1074"/>
      <c r="AJ2" s="1074"/>
      <c r="AK2" s="1074"/>
      <c r="AL2" s="1074"/>
      <c r="AM2" s="1074"/>
      <c r="AN2" s="1074"/>
      <c r="AO2" s="1074"/>
      <c r="AP2" s="1074"/>
      <c r="AQ2" s="1074"/>
      <c r="AR2" s="1074"/>
      <c r="AS2" s="1074"/>
      <c r="AT2" s="1075"/>
    </row>
    <row r="3" ht="16.25" customHeight="1">
      <c r="A3" s="1067"/>
      <c r="B3" s="1264">
        <v>1</v>
      </c>
      <c r="C3" t="s" s="1265">
        <v>183</v>
      </c>
      <c r="D3" t="s" s="1266">
        <v>940</v>
      </c>
      <c r="E3" s="1267">
        <v>0.7</v>
      </c>
      <c r="F3" t="s" s="1266">
        <v>941</v>
      </c>
      <c r="G3" t="s" s="1266">
        <v>12</v>
      </c>
      <c r="H3" s="1268">
        <v>14</v>
      </c>
      <c r="I3" s="1268">
        <v>250</v>
      </c>
      <c r="J3" t="s" s="1266">
        <v>14</v>
      </c>
      <c r="K3" t="s" s="1269">
        <v>942</v>
      </c>
      <c r="L3" s="1270"/>
      <c r="M3" s="1073"/>
      <c r="N3" s="1074"/>
      <c r="O3" s="1074"/>
      <c r="P3" s="1074"/>
      <c r="Q3" s="1074"/>
      <c r="R3" s="1074"/>
      <c r="S3" s="1074"/>
      <c r="T3" s="1074"/>
      <c r="U3" s="1074"/>
      <c r="V3" s="1074"/>
      <c r="W3" s="1074"/>
      <c r="X3" s="1074"/>
      <c r="Y3" s="1074"/>
      <c r="Z3" s="1074"/>
      <c r="AA3" s="1074"/>
      <c r="AB3" s="1074"/>
      <c r="AC3" s="1074"/>
      <c r="AD3" s="1074"/>
      <c r="AE3" s="1074"/>
      <c r="AF3" s="1074"/>
      <c r="AG3" s="1074"/>
      <c r="AH3" s="1074"/>
      <c r="AI3" s="1074"/>
      <c r="AJ3" s="1074"/>
      <c r="AK3" s="1074"/>
      <c r="AL3" s="1074"/>
      <c r="AM3" s="1074"/>
      <c r="AN3" s="1074"/>
      <c r="AO3" s="1074"/>
      <c r="AP3" s="1074"/>
      <c r="AQ3" s="1074"/>
      <c r="AR3" s="1074"/>
      <c r="AS3" s="1074"/>
      <c r="AT3" s="1075"/>
    </row>
    <row r="4" ht="16.25" customHeight="1">
      <c r="A4" s="1067"/>
      <c r="B4" s="1271">
        <v>2</v>
      </c>
      <c r="C4" t="s" s="1272">
        <v>184</v>
      </c>
      <c r="D4" t="s" s="1273">
        <v>940</v>
      </c>
      <c r="E4" s="1274">
        <v>0.8</v>
      </c>
      <c r="F4" t="s" s="1273">
        <v>941</v>
      </c>
      <c r="G4" t="s" s="1273">
        <v>12</v>
      </c>
      <c r="H4" s="1275">
        <v>14</v>
      </c>
      <c r="I4" s="1275">
        <v>275</v>
      </c>
      <c r="J4" t="s" s="1273">
        <v>14</v>
      </c>
      <c r="K4" t="s" s="1276">
        <v>943</v>
      </c>
      <c r="L4" s="1277"/>
      <c r="M4" s="1073"/>
      <c r="N4" s="1074"/>
      <c r="O4" s="1074"/>
      <c r="P4" s="1074"/>
      <c r="Q4" s="1074"/>
      <c r="R4" s="1074"/>
      <c r="S4" s="1074"/>
      <c r="T4" s="1074"/>
      <c r="U4" s="1074"/>
      <c r="V4" s="1074"/>
      <c r="W4" s="1074"/>
      <c r="X4" s="1074"/>
      <c r="Y4" s="1074"/>
      <c r="Z4" s="1074"/>
      <c r="AA4" s="1074"/>
      <c r="AB4" s="1074"/>
      <c r="AC4" s="1074"/>
      <c r="AD4" s="1074"/>
      <c r="AE4" s="1074"/>
      <c r="AF4" s="1074"/>
      <c r="AG4" s="1074"/>
      <c r="AH4" s="1074"/>
      <c r="AI4" s="1074"/>
      <c r="AJ4" s="1074"/>
      <c r="AK4" s="1074"/>
      <c r="AL4" s="1074"/>
      <c r="AM4" s="1074"/>
      <c r="AN4" s="1074"/>
      <c r="AO4" s="1074"/>
      <c r="AP4" s="1074"/>
      <c r="AQ4" s="1074"/>
      <c r="AR4" s="1074"/>
      <c r="AS4" s="1074"/>
      <c r="AT4" s="1090"/>
    </row>
    <row r="5" ht="16.25" customHeight="1">
      <c r="A5" s="1067"/>
      <c r="B5" s="1271">
        <v>3</v>
      </c>
      <c r="C5" t="s" s="1272">
        <v>50</v>
      </c>
      <c r="D5" t="s" s="1273">
        <v>940</v>
      </c>
      <c r="E5" s="1274">
        <v>0.8</v>
      </c>
      <c r="F5" t="s" s="1273">
        <v>941</v>
      </c>
      <c r="G5" t="s" s="1273">
        <v>12</v>
      </c>
      <c r="H5" s="1275">
        <v>13</v>
      </c>
      <c r="I5" s="1275">
        <v>250</v>
      </c>
      <c r="J5" t="s" s="1273">
        <v>14</v>
      </c>
      <c r="K5" t="s" s="1276">
        <v>1048</v>
      </c>
      <c r="L5" s="1277"/>
      <c r="M5" s="1073"/>
      <c r="N5" s="1074"/>
      <c r="O5" s="1074"/>
      <c r="P5" s="1074"/>
      <c r="Q5" s="1074"/>
      <c r="R5" s="1074"/>
      <c r="S5" s="1074"/>
      <c r="T5" s="1074"/>
      <c r="U5" s="1074"/>
      <c r="V5" s="1074"/>
      <c r="W5" s="1074"/>
      <c r="X5" s="1074"/>
      <c r="Y5" s="1074"/>
      <c r="Z5" s="1074"/>
      <c r="AA5" s="1074"/>
      <c r="AB5" s="1074"/>
      <c r="AC5" s="1074"/>
      <c r="AD5" s="1074"/>
      <c r="AE5" s="1074"/>
      <c r="AF5" s="1074"/>
      <c r="AG5" s="1074"/>
      <c r="AH5" s="1074"/>
      <c r="AI5" s="1074"/>
      <c r="AJ5" s="1074"/>
      <c r="AK5" s="1074"/>
      <c r="AL5" s="1074"/>
      <c r="AM5" s="1074"/>
      <c r="AN5" s="1074"/>
      <c r="AO5" s="1074"/>
      <c r="AP5" s="1074"/>
      <c r="AQ5" s="1074"/>
      <c r="AR5" s="1074"/>
      <c r="AS5" s="1074"/>
      <c r="AT5" s="1090"/>
    </row>
    <row r="6" ht="16.25" customHeight="1">
      <c r="A6" s="1067"/>
      <c r="B6" s="1271">
        <v>4</v>
      </c>
      <c r="C6" t="s" s="1272">
        <v>51</v>
      </c>
      <c r="D6" t="s" s="1273">
        <v>940</v>
      </c>
      <c r="E6" s="1274">
        <v>0.8</v>
      </c>
      <c r="F6" t="s" s="1273">
        <v>941</v>
      </c>
      <c r="G6" t="s" s="1273">
        <v>12</v>
      </c>
      <c r="H6" s="1275">
        <v>13</v>
      </c>
      <c r="I6" s="1275">
        <v>250</v>
      </c>
      <c r="J6" t="s" s="1273">
        <v>14</v>
      </c>
      <c r="K6" t="s" s="1276">
        <v>1049</v>
      </c>
      <c r="L6" s="1277"/>
      <c r="M6" s="1073"/>
      <c r="N6" s="1074"/>
      <c r="O6" s="1074"/>
      <c r="P6" s="1074"/>
      <c r="Q6" s="1074"/>
      <c r="R6" s="1074"/>
      <c r="S6" s="1074"/>
      <c r="T6" s="1074"/>
      <c r="U6" s="1074"/>
      <c r="V6" s="1074"/>
      <c r="W6" s="1074"/>
      <c r="X6" s="1074"/>
      <c r="Y6" s="1074"/>
      <c r="Z6" s="1074"/>
      <c r="AA6" s="1074"/>
      <c r="AB6" s="1074"/>
      <c r="AC6" s="1074"/>
      <c r="AD6" s="1074"/>
      <c r="AE6" s="1074"/>
      <c r="AF6" s="1074"/>
      <c r="AG6" s="1074"/>
      <c r="AH6" s="1074"/>
      <c r="AI6" s="1074"/>
      <c r="AJ6" s="1074"/>
      <c r="AK6" s="1074"/>
      <c r="AL6" s="1074"/>
      <c r="AM6" s="1074"/>
      <c r="AN6" s="1074"/>
      <c r="AO6" s="1074"/>
      <c r="AP6" s="1074"/>
      <c r="AQ6" s="1074"/>
      <c r="AR6" s="1074"/>
      <c r="AS6" s="1074"/>
      <c r="AT6" s="1090"/>
    </row>
    <row r="7" ht="16.25" customHeight="1">
      <c r="A7" s="1067"/>
      <c r="B7" s="1271">
        <v>5</v>
      </c>
      <c r="C7" t="s" s="1272">
        <v>52</v>
      </c>
      <c r="D7" t="s" s="1273">
        <v>940</v>
      </c>
      <c r="E7" s="1274">
        <v>0.7</v>
      </c>
      <c r="F7" t="s" s="1273">
        <v>941</v>
      </c>
      <c r="G7" t="s" s="1273">
        <v>12</v>
      </c>
      <c r="H7" s="1275">
        <v>13</v>
      </c>
      <c r="I7" s="1275">
        <v>250</v>
      </c>
      <c r="J7" t="s" s="1273">
        <v>14</v>
      </c>
      <c r="K7" t="s" s="1276">
        <v>1050</v>
      </c>
      <c r="L7" s="1277"/>
      <c r="M7" s="1073"/>
      <c r="N7" s="1074"/>
      <c r="O7" s="1074"/>
      <c r="P7" s="1074"/>
      <c r="Q7" s="1074"/>
      <c r="R7" s="1074"/>
      <c r="S7" s="1074"/>
      <c r="T7" s="1074"/>
      <c r="U7" s="1074"/>
      <c r="V7" s="1074"/>
      <c r="W7" s="1074"/>
      <c r="X7" s="1074"/>
      <c r="Y7" s="1074"/>
      <c r="Z7" s="1074"/>
      <c r="AA7" s="1074"/>
      <c r="AB7" s="1074"/>
      <c r="AC7" s="1074"/>
      <c r="AD7" s="1074"/>
      <c r="AE7" s="1074"/>
      <c r="AF7" s="1074"/>
      <c r="AG7" s="1074"/>
      <c r="AH7" s="1074"/>
      <c r="AI7" s="1074"/>
      <c r="AJ7" s="1074"/>
      <c r="AK7" s="1074"/>
      <c r="AL7" s="1074"/>
      <c r="AM7" s="1074"/>
      <c r="AN7" s="1074"/>
      <c r="AO7" s="1074"/>
      <c r="AP7" s="1074"/>
      <c r="AQ7" s="1074"/>
      <c r="AR7" s="1074"/>
      <c r="AS7" s="1074"/>
      <c r="AT7" s="1090"/>
    </row>
    <row r="8" ht="16.25" customHeight="1">
      <c r="A8" s="1067"/>
      <c r="B8" s="1271">
        <v>6</v>
      </c>
      <c r="C8" t="s" s="1272">
        <v>53</v>
      </c>
      <c r="D8" t="s" s="1273">
        <v>940</v>
      </c>
      <c r="E8" s="1274">
        <v>0.7</v>
      </c>
      <c r="F8" t="s" s="1273">
        <v>941</v>
      </c>
      <c r="G8" t="s" s="1273">
        <v>12</v>
      </c>
      <c r="H8" s="1275">
        <v>13</v>
      </c>
      <c r="I8" s="1275">
        <v>250</v>
      </c>
      <c r="J8" t="s" s="1273">
        <v>14</v>
      </c>
      <c r="K8" t="s" s="1276">
        <v>1051</v>
      </c>
      <c r="L8" s="1277"/>
      <c r="M8" s="1073"/>
      <c r="N8" s="1074"/>
      <c r="O8" s="1074"/>
      <c r="P8" s="1074"/>
      <c r="Q8" s="1074"/>
      <c r="R8" s="1074"/>
      <c r="S8" s="1074"/>
      <c r="T8" s="1074"/>
      <c r="U8" s="1074"/>
      <c r="V8" s="1074"/>
      <c r="W8" s="1074"/>
      <c r="X8" s="1074"/>
      <c r="Y8" s="1074"/>
      <c r="Z8" s="1074"/>
      <c r="AA8" s="1074"/>
      <c r="AB8" s="1074"/>
      <c r="AC8" s="1074"/>
      <c r="AD8" s="1074"/>
      <c r="AE8" s="1074"/>
      <c r="AF8" s="1074"/>
      <c r="AG8" s="1074"/>
      <c r="AH8" s="1074"/>
      <c r="AI8" s="1074"/>
      <c r="AJ8" s="1074"/>
      <c r="AK8" s="1074"/>
      <c r="AL8" s="1074"/>
      <c r="AM8" s="1074"/>
      <c r="AN8" s="1074"/>
      <c r="AO8" s="1074"/>
      <c r="AP8" s="1074"/>
      <c r="AQ8" s="1074"/>
      <c r="AR8" s="1074"/>
      <c r="AS8" s="1074"/>
      <c r="AT8" s="1090"/>
    </row>
    <row r="9" ht="16.25" customHeight="1">
      <c r="A9" s="1067"/>
      <c r="B9" s="1271">
        <v>7</v>
      </c>
      <c r="C9" t="s" s="1272">
        <v>54</v>
      </c>
      <c r="D9" t="s" s="1273">
        <v>940</v>
      </c>
      <c r="E9" s="1274">
        <v>0.7</v>
      </c>
      <c r="F9" t="s" s="1273">
        <v>949</v>
      </c>
      <c r="G9" t="s" s="1273">
        <v>12</v>
      </c>
      <c r="H9" s="1275">
        <v>13</v>
      </c>
      <c r="I9" s="1275">
        <v>250</v>
      </c>
      <c r="J9" t="s" s="1273">
        <v>14</v>
      </c>
      <c r="K9" t="s" s="1276">
        <v>1052</v>
      </c>
      <c r="L9" t="s" s="1278">
        <v>965</v>
      </c>
      <c r="M9" s="1073"/>
      <c r="N9" s="1074"/>
      <c r="O9" s="1074"/>
      <c r="P9" s="1074"/>
      <c r="Q9" s="1074"/>
      <c r="R9" s="1074"/>
      <c r="S9" s="1074"/>
      <c r="T9" s="1074"/>
      <c r="U9" s="1074"/>
      <c r="V9" s="1074"/>
      <c r="W9" s="1074"/>
      <c r="X9" s="1074"/>
      <c r="Y9" s="1074"/>
      <c r="Z9" s="1074"/>
      <c r="AA9" s="1074"/>
      <c r="AB9" s="1074"/>
      <c r="AC9" s="1074"/>
      <c r="AD9" s="1074"/>
      <c r="AE9" s="1074"/>
      <c r="AF9" s="1074"/>
      <c r="AG9" s="1074"/>
      <c r="AH9" s="1074"/>
      <c r="AI9" s="1074"/>
      <c r="AJ9" s="1074"/>
      <c r="AK9" s="1074"/>
      <c r="AL9" s="1074"/>
      <c r="AM9" s="1074"/>
      <c r="AN9" s="1074"/>
      <c r="AO9" s="1074"/>
      <c r="AP9" s="1074"/>
      <c r="AQ9" s="1074"/>
      <c r="AR9" s="1074"/>
      <c r="AS9" s="1074"/>
      <c r="AT9" s="1090"/>
    </row>
    <row r="10" ht="16.25" customHeight="1">
      <c r="A10" s="1067"/>
      <c r="B10" s="1271">
        <v>8</v>
      </c>
      <c r="C10" t="s" s="1272">
        <v>55</v>
      </c>
      <c r="D10" t="s" s="1273">
        <v>940</v>
      </c>
      <c r="E10" s="1274">
        <v>0.7</v>
      </c>
      <c r="F10" t="s" s="1273">
        <v>941</v>
      </c>
      <c r="G10" t="s" s="1273">
        <v>12</v>
      </c>
      <c r="H10" s="1275">
        <v>13</v>
      </c>
      <c r="I10" s="1275">
        <v>250</v>
      </c>
      <c r="J10" t="s" s="1273">
        <v>14</v>
      </c>
      <c r="K10" t="s" s="1276">
        <v>1053</v>
      </c>
      <c r="L10" s="1277"/>
      <c r="M10" s="1073"/>
      <c r="N10" s="1074"/>
      <c r="O10" s="1074"/>
      <c r="P10" s="1074"/>
      <c r="Q10" s="1074"/>
      <c r="R10" s="1074"/>
      <c r="S10" s="1074"/>
      <c r="T10" s="1074"/>
      <c r="U10" s="1074"/>
      <c r="V10" s="1074"/>
      <c r="W10" s="1074"/>
      <c r="X10" s="1074"/>
      <c r="Y10" s="1074"/>
      <c r="Z10" s="1074"/>
      <c r="AA10" s="1074"/>
      <c r="AB10" s="1074"/>
      <c r="AC10" s="1074"/>
      <c r="AD10" s="1074"/>
      <c r="AE10" s="1074"/>
      <c r="AF10" s="1074"/>
      <c r="AG10" s="1074"/>
      <c r="AH10" s="1074"/>
      <c r="AI10" s="1074"/>
      <c r="AJ10" s="1074"/>
      <c r="AK10" s="1074"/>
      <c r="AL10" s="1074"/>
      <c r="AM10" s="1074"/>
      <c r="AN10" s="1074"/>
      <c r="AO10" s="1074"/>
      <c r="AP10" s="1074"/>
      <c r="AQ10" s="1074"/>
      <c r="AR10" s="1074"/>
      <c r="AS10" s="1074"/>
      <c r="AT10" s="1090"/>
    </row>
    <row r="11" ht="16.25" customHeight="1">
      <c r="A11" s="1067"/>
      <c r="B11" s="1271">
        <v>9</v>
      </c>
      <c r="C11" t="s" s="1272">
        <v>185</v>
      </c>
      <c r="D11" t="s" s="1273">
        <v>940</v>
      </c>
      <c r="E11" s="1274">
        <v>0.6</v>
      </c>
      <c r="F11" t="s" s="1273">
        <v>954</v>
      </c>
      <c r="G11" t="s" s="1273">
        <v>12</v>
      </c>
      <c r="H11" s="1275">
        <v>13</v>
      </c>
      <c r="I11" t="s" s="1273">
        <v>14</v>
      </c>
      <c r="J11" s="1279">
        <v>5675000</v>
      </c>
      <c r="K11" t="s" s="1276">
        <v>185</v>
      </c>
      <c r="L11" s="1277"/>
      <c r="M11" s="1073"/>
      <c r="N11" s="1074"/>
      <c r="O11" s="1074"/>
      <c r="P11" s="1074"/>
      <c r="Q11" s="1074"/>
      <c r="R11" s="1074"/>
      <c r="S11" s="1074"/>
      <c r="T11" s="1074"/>
      <c r="U11" s="1074"/>
      <c r="V11" s="1074"/>
      <c r="W11" s="1074"/>
      <c r="X11" s="1074"/>
      <c r="Y11" s="1074"/>
      <c r="Z11" s="1074"/>
      <c r="AA11" s="1074"/>
      <c r="AB11" s="1074"/>
      <c r="AC11" s="1074"/>
      <c r="AD11" s="1074"/>
      <c r="AE11" s="1074"/>
      <c r="AF11" s="1074"/>
      <c r="AG11" s="1074"/>
      <c r="AH11" s="1074"/>
      <c r="AI11" s="1074"/>
      <c r="AJ11" s="1074"/>
      <c r="AK11" s="1074"/>
      <c r="AL11" s="1074"/>
      <c r="AM11" s="1074"/>
      <c r="AN11" s="1074"/>
      <c r="AO11" s="1074"/>
      <c r="AP11" s="1074"/>
      <c r="AQ11" s="1074"/>
      <c r="AR11" s="1074"/>
      <c r="AS11" s="1074"/>
      <c r="AT11" s="1090"/>
    </row>
    <row r="12" ht="16.25" customHeight="1">
      <c r="A12" s="1067"/>
      <c r="B12" s="1271">
        <v>10</v>
      </c>
      <c r="C12" t="s" s="1272">
        <v>186</v>
      </c>
      <c r="D12" t="s" s="1273">
        <v>940</v>
      </c>
      <c r="E12" s="1274">
        <v>0.4</v>
      </c>
      <c r="F12" t="s" s="1273">
        <v>963</v>
      </c>
      <c r="G12" t="s" s="1273">
        <v>12</v>
      </c>
      <c r="H12" s="1275">
        <v>14</v>
      </c>
      <c r="I12" t="s" s="1273">
        <v>14</v>
      </c>
      <c r="J12" s="1279">
        <v>6675000</v>
      </c>
      <c r="K12" t="s" s="1276">
        <v>186</v>
      </c>
      <c r="L12" s="1277"/>
      <c r="M12" s="1073"/>
      <c r="N12" s="1074"/>
      <c r="O12" s="1074"/>
      <c r="P12" s="1074"/>
      <c r="Q12" s="1074"/>
      <c r="R12" s="1074"/>
      <c r="S12" s="1074"/>
      <c r="T12" s="1074"/>
      <c r="U12" s="1074"/>
      <c r="V12" s="1074"/>
      <c r="W12" s="1074"/>
      <c r="X12" s="1074"/>
      <c r="Y12" s="1074"/>
      <c r="Z12" s="1074"/>
      <c r="AA12" s="1074"/>
      <c r="AB12" s="1074"/>
      <c r="AC12" s="1074"/>
      <c r="AD12" s="1074"/>
      <c r="AE12" s="1074"/>
      <c r="AF12" s="1074"/>
      <c r="AG12" s="1074"/>
      <c r="AH12" s="1074"/>
      <c r="AI12" s="1074"/>
      <c r="AJ12" s="1074"/>
      <c r="AK12" s="1074"/>
      <c r="AL12" s="1074"/>
      <c r="AM12" s="1074"/>
      <c r="AN12" s="1074"/>
      <c r="AO12" s="1074"/>
      <c r="AP12" s="1074"/>
      <c r="AQ12" s="1074"/>
      <c r="AR12" s="1074"/>
      <c r="AS12" s="1074"/>
      <c r="AT12" s="1090"/>
    </row>
    <row r="13" ht="16.25" customHeight="1">
      <c r="A13" s="1067"/>
      <c r="B13" s="1271">
        <v>11</v>
      </c>
      <c r="C13" t="s" s="1272">
        <v>187</v>
      </c>
      <c r="D13" t="s" s="1273">
        <v>940</v>
      </c>
      <c r="E13" s="1274">
        <v>0.8</v>
      </c>
      <c r="F13" t="s" s="1273">
        <v>954</v>
      </c>
      <c r="G13" t="s" s="1273">
        <v>12</v>
      </c>
      <c r="H13" s="1275">
        <v>13</v>
      </c>
      <c r="I13" t="s" s="1273">
        <v>14</v>
      </c>
      <c r="J13" s="1279">
        <v>5675000</v>
      </c>
      <c r="K13" t="s" s="1276">
        <v>185</v>
      </c>
      <c r="L13" s="1277"/>
      <c r="M13" s="1073"/>
      <c r="N13" s="1074"/>
      <c r="O13" s="1074"/>
      <c r="P13" s="1074"/>
      <c r="Q13" s="1074"/>
      <c r="R13" s="1074"/>
      <c r="S13" s="1074"/>
      <c r="T13" s="1074"/>
      <c r="U13" s="1074"/>
      <c r="V13" s="1074"/>
      <c r="W13" s="1074"/>
      <c r="X13" s="1074"/>
      <c r="Y13" s="1074"/>
      <c r="Z13" s="1074"/>
      <c r="AA13" s="1074"/>
      <c r="AB13" s="1074"/>
      <c r="AC13" s="1074"/>
      <c r="AD13" s="1074"/>
      <c r="AE13" s="1074"/>
      <c r="AF13" s="1074"/>
      <c r="AG13" s="1074"/>
      <c r="AH13" s="1074"/>
      <c r="AI13" s="1074"/>
      <c r="AJ13" s="1074"/>
      <c r="AK13" s="1074"/>
      <c r="AL13" s="1074"/>
      <c r="AM13" s="1074"/>
      <c r="AN13" s="1074"/>
      <c r="AO13" s="1074"/>
      <c r="AP13" s="1074"/>
      <c r="AQ13" s="1074"/>
      <c r="AR13" s="1074"/>
      <c r="AS13" s="1074"/>
      <c r="AT13" s="1090"/>
    </row>
    <row r="14" ht="16.25" customHeight="1">
      <c r="A14" s="1067"/>
      <c r="B14" s="1271">
        <v>12</v>
      </c>
      <c r="C14" t="s" s="1272">
        <v>48</v>
      </c>
      <c r="D14" t="s" s="1273">
        <v>940</v>
      </c>
      <c r="E14" s="1274">
        <v>0.6</v>
      </c>
      <c r="F14" t="s" s="1273">
        <v>954</v>
      </c>
      <c r="G14" t="s" s="1273">
        <v>12</v>
      </c>
      <c r="H14" s="1275">
        <v>13</v>
      </c>
      <c r="I14" t="s" s="1273">
        <v>14</v>
      </c>
      <c r="J14" s="1279">
        <v>7500000</v>
      </c>
      <c r="K14" t="s" s="1276">
        <v>185</v>
      </c>
      <c r="L14" s="1277"/>
      <c r="M14" s="1073"/>
      <c r="N14" s="1074"/>
      <c r="O14" s="1074"/>
      <c r="P14" s="1074"/>
      <c r="Q14" s="1074"/>
      <c r="R14" s="1074"/>
      <c r="S14" s="1074"/>
      <c r="T14" s="1074"/>
      <c r="U14" s="1074"/>
      <c r="V14" s="1074"/>
      <c r="W14" s="1074"/>
      <c r="X14" s="1074"/>
      <c r="Y14" s="1074"/>
      <c r="Z14" s="1074"/>
      <c r="AA14" s="1074"/>
      <c r="AB14" s="1074"/>
      <c r="AC14" s="1074"/>
      <c r="AD14" s="1074"/>
      <c r="AE14" s="1074"/>
      <c r="AF14" s="1074"/>
      <c r="AG14" s="1074"/>
      <c r="AH14" s="1074"/>
      <c r="AI14" s="1074"/>
      <c r="AJ14" s="1074"/>
      <c r="AK14" s="1074"/>
      <c r="AL14" s="1074"/>
      <c r="AM14" s="1074"/>
      <c r="AN14" s="1074"/>
      <c r="AO14" s="1074"/>
      <c r="AP14" s="1074"/>
      <c r="AQ14" s="1074"/>
      <c r="AR14" s="1074"/>
      <c r="AS14" s="1074"/>
      <c r="AT14" s="1090"/>
    </row>
    <row r="15" ht="16.25" customHeight="1">
      <c r="A15" s="1067"/>
      <c r="B15" s="1271">
        <v>13</v>
      </c>
      <c r="C15" t="s" s="1272">
        <v>49</v>
      </c>
      <c r="D15" t="s" s="1273">
        <v>940</v>
      </c>
      <c r="E15" s="1274">
        <v>0.8</v>
      </c>
      <c r="F15" t="s" s="1273">
        <v>954</v>
      </c>
      <c r="G15" t="s" s="1273">
        <v>12</v>
      </c>
      <c r="H15" s="1275">
        <v>13</v>
      </c>
      <c r="I15" t="s" s="1273">
        <v>14</v>
      </c>
      <c r="J15" s="1279">
        <v>7500000</v>
      </c>
      <c r="K15" t="s" s="1276">
        <v>185</v>
      </c>
      <c r="L15" s="1277"/>
      <c r="M15" s="1073"/>
      <c r="N15" s="1074"/>
      <c r="O15" s="1074"/>
      <c r="P15" s="1074"/>
      <c r="Q15" s="1074"/>
      <c r="R15" s="1074"/>
      <c r="S15" s="1074"/>
      <c r="T15" s="1074"/>
      <c r="U15" s="1074"/>
      <c r="V15" s="1074"/>
      <c r="W15" s="1074"/>
      <c r="X15" s="1074"/>
      <c r="Y15" s="1074"/>
      <c r="Z15" s="1074"/>
      <c r="AA15" s="1074"/>
      <c r="AB15" s="1074"/>
      <c r="AC15" s="1074"/>
      <c r="AD15" s="1074"/>
      <c r="AE15" s="1074"/>
      <c r="AF15" s="1074"/>
      <c r="AG15" s="1074"/>
      <c r="AH15" s="1074"/>
      <c r="AI15" s="1074"/>
      <c r="AJ15" s="1074"/>
      <c r="AK15" s="1074"/>
      <c r="AL15" s="1074"/>
      <c r="AM15" s="1074"/>
      <c r="AN15" s="1074"/>
      <c r="AO15" s="1074"/>
      <c r="AP15" s="1074"/>
      <c r="AQ15" s="1074"/>
      <c r="AR15" s="1074"/>
      <c r="AS15" s="1074"/>
      <c r="AT15" s="1090"/>
    </row>
    <row r="16" ht="16.25" customHeight="1">
      <c r="A16" s="1067"/>
      <c r="B16" s="1271">
        <v>14</v>
      </c>
      <c r="C16" t="s" s="1272">
        <v>103</v>
      </c>
      <c r="D16" t="s" s="1273">
        <v>940</v>
      </c>
      <c r="E16" s="1274">
        <v>0.8</v>
      </c>
      <c r="F16" t="s" s="1273">
        <v>949</v>
      </c>
      <c r="G16" t="s" s="1273">
        <v>12</v>
      </c>
      <c r="H16" s="1275">
        <v>10</v>
      </c>
      <c r="I16" t="s" s="1273">
        <v>958</v>
      </c>
      <c r="J16" t="s" s="1273">
        <v>14</v>
      </c>
      <c r="K16" t="s" s="1276">
        <v>964</v>
      </c>
      <c r="L16" t="s" s="1278">
        <v>965</v>
      </c>
      <c r="M16" s="1073"/>
      <c r="N16" s="1074"/>
      <c r="O16" s="1074"/>
      <c r="P16" s="1074"/>
      <c r="Q16" s="1074"/>
      <c r="R16" s="1074"/>
      <c r="S16" s="1074"/>
      <c r="T16" s="1074"/>
      <c r="U16" s="1074"/>
      <c r="V16" s="1074"/>
      <c r="W16" s="1074"/>
      <c r="X16" s="1074"/>
      <c r="Y16" s="1074"/>
      <c r="Z16" s="1074"/>
      <c r="AA16" s="1074"/>
      <c r="AB16" s="1074"/>
      <c r="AC16" s="1074"/>
      <c r="AD16" s="1074"/>
      <c r="AE16" s="1074"/>
      <c r="AF16" s="1074"/>
      <c r="AG16" s="1074"/>
      <c r="AH16" s="1074"/>
      <c r="AI16" s="1074"/>
      <c r="AJ16" s="1074"/>
      <c r="AK16" s="1074"/>
      <c r="AL16" s="1074"/>
      <c r="AM16" s="1074"/>
      <c r="AN16" s="1074"/>
      <c r="AO16" s="1074"/>
      <c r="AP16" s="1074"/>
      <c r="AQ16" s="1074"/>
      <c r="AR16" s="1074"/>
      <c r="AS16" s="1074"/>
      <c r="AT16" s="1090"/>
    </row>
    <row r="17" ht="16.25" customHeight="1">
      <c r="A17" s="1067"/>
      <c r="B17" s="1271">
        <v>15</v>
      </c>
      <c r="C17" t="s" s="1272">
        <v>104</v>
      </c>
      <c r="D17" t="s" s="1273">
        <v>940</v>
      </c>
      <c r="E17" s="1274">
        <v>0.6</v>
      </c>
      <c r="F17" t="s" s="1273">
        <v>949</v>
      </c>
      <c r="G17" t="s" s="1273">
        <v>12</v>
      </c>
      <c r="H17" s="1275">
        <v>13</v>
      </c>
      <c r="I17" t="s" s="1273">
        <v>966</v>
      </c>
      <c r="J17" t="s" s="1273">
        <v>14</v>
      </c>
      <c r="K17" t="s" s="1276">
        <v>964</v>
      </c>
      <c r="L17" t="s" s="1278">
        <v>965</v>
      </c>
      <c r="M17" s="1073"/>
      <c r="N17" s="1074"/>
      <c r="O17" s="1074"/>
      <c r="P17" s="1074"/>
      <c r="Q17" s="1074"/>
      <c r="R17" s="1074"/>
      <c r="S17" s="1074"/>
      <c r="T17" s="1074"/>
      <c r="U17" s="1074"/>
      <c r="V17" s="1074"/>
      <c r="W17" s="1074"/>
      <c r="X17" s="1074"/>
      <c r="Y17" s="1074"/>
      <c r="Z17" s="1074"/>
      <c r="AA17" s="1074"/>
      <c r="AB17" s="1074"/>
      <c r="AC17" s="1074"/>
      <c r="AD17" s="1074"/>
      <c r="AE17" s="1074"/>
      <c r="AF17" s="1074"/>
      <c r="AG17" s="1074"/>
      <c r="AH17" s="1074"/>
      <c r="AI17" s="1074"/>
      <c r="AJ17" s="1074"/>
      <c r="AK17" s="1074"/>
      <c r="AL17" s="1074"/>
      <c r="AM17" s="1074"/>
      <c r="AN17" s="1074"/>
      <c r="AO17" s="1074"/>
      <c r="AP17" s="1074"/>
      <c r="AQ17" s="1074"/>
      <c r="AR17" s="1074"/>
      <c r="AS17" s="1074"/>
      <c r="AT17" s="1090"/>
    </row>
    <row r="18" ht="16.25" customHeight="1">
      <c r="A18" s="1067"/>
      <c r="B18" s="1271">
        <v>16</v>
      </c>
      <c r="C18" t="s" s="1272">
        <v>188</v>
      </c>
      <c r="D18" t="s" s="1273">
        <v>11</v>
      </c>
      <c r="E18" s="1274">
        <v>1</v>
      </c>
      <c r="F18" t="s" s="1273">
        <v>954</v>
      </c>
      <c r="G18" t="s" s="1273">
        <v>12</v>
      </c>
      <c r="H18" s="1275">
        <v>14</v>
      </c>
      <c r="I18" t="s" s="1273">
        <v>14</v>
      </c>
      <c r="J18" s="1279">
        <v>5675000</v>
      </c>
      <c r="K18" t="s" s="1276">
        <v>962</v>
      </c>
      <c r="L18" s="1277"/>
      <c r="M18" s="1073"/>
      <c r="N18" s="1074"/>
      <c r="O18" s="1074"/>
      <c r="P18" s="1074"/>
      <c r="Q18" s="1074"/>
      <c r="R18" s="1074"/>
      <c r="S18" s="1074"/>
      <c r="T18" s="1074"/>
      <c r="U18" s="1074"/>
      <c r="V18" s="1074"/>
      <c r="W18" s="1074"/>
      <c r="X18" s="1074"/>
      <c r="Y18" s="1074"/>
      <c r="Z18" s="1074"/>
      <c r="AA18" s="1074"/>
      <c r="AB18" s="1074"/>
      <c r="AC18" s="1074"/>
      <c r="AD18" s="1074"/>
      <c r="AE18" s="1074"/>
      <c r="AF18" s="1074"/>
      <c r="AG18" s="1074"/>
      <c r="AH18" s="1074"/>
      <c r="AI18" s="1074"/>
      <c r="AJ18" s="1074"/>
      <c r="AK18" s="1074"/>
      <c r="AL18" s="1074"/>
      <c r="AM18" s="1074"/>
      <c r="AN18" s="1074"/>
      <c r="AO18" s="1074"/>
      <c r="AP18" s="1074"/>
      <c r="AQ18" s="1074"/>
      <c r="AR18" s="1074"/>
      <c r="AS18" s="1074"/>
      <c r="AT18" s="1090"/>
    </row>
    <row r="19" ht="16.25" customHeight="1">
      <c r="A19" s="1067"/>
      <c r="B19" s="1271">
        <v>17</v>
      </c>
      <c r="C19" t="s" s="1272">
        <v>189</v>
      </c>
      <c r="D19" t="s" s="1273">
        <v>13</v>
      </c>
      <c r="E19" s="1274">
        <v>0</v>
      </c>
      <c r="F19" t="s" s="1273">
        <v>949</v>
      </c>
      <c r="G19" t="s" s="1273">
        <v>12</v>
      </c>
      <c r="H19" s="1275">
        <v>20</v>
      </c>
      <c r="I19" t="s" s="1273">
        <v>967</v>
      </c>
      <c r="J19" t="s" s="1273">
        <v>14</v>
      </c>
      <c r="K19" t="s" s="1276">
        <v>189</v>
      </c>
      <c r="L19" t="s" s="1278">
        <v>968</v>
      </c>
      <c r="M19" s="1073"/>
      <c r="N19" s="1100"/>
      <c r="O19" s="1074"/>
      <c r="P19" s="1074"/>
      <c r="Q19" s="1074"/>
      <c r="R19" s="1074"/>
      <c r="S19" s="1074"/>
      <c r="T19" s="1074"/>
      <c r="U19" s="1074"/>
      <c r="V19" s="1074"/>
      <c r="W19" s="1074"/>
      <c r="X19" s="1074"/>
      <c r="Y19" s="1074"/>
      <c r="Z19" s="1074"/>
      <c r="AA19" s="1074"/>
      <c r="AB19" s="1074"/>
      <c r="AC19" s="1074"/>
      <c r="AD19" s="1074"/>
      <c r="AE19" s="1074"/>
      <c r="AF19" s="1074"/>
      <c r="AG19" s="1074"/>
      <c r="AH19" s="1074"/>
      <c r="AI19" s="1074"/>
      <c r="AJ19" s="1074"/>
      <c r="AK19" s="1074"/>
      <c r="AL19" s="1074"/>
      <c r="AM19" s="1074"/>
      <c r="AN19" s="1074"/>
      <c r="AO19" s="1074"/>
      <c r="AP19" s="1074"/>
      <c r="AQ19" s="1074"/>
      <c r="AR19" s="1074"/>
      <c r="AS19" s="1074"/>
      <c r="AT19" s="1090"/>
    </row>
    <row r="20" ht="16.25" customHeight="1">
      <c r="A20" s="1067"/>
      <c r="B20" s="1271">
        <v>18</v>
      </c>
      <c r="C20" t="s" s="1272">
        <v>190</v>
      </c>
      <c r="D20" t="s" s="1273">
        <v>13</v>
      </c>
      <c r="E20" s="1274">
        <v>0</v>
      </c>
      <c r="F20" t="s" s="1273">
        <v>963</v>
      </c>
      <c r="G20" t="s" s="1273">
        <v>12</v>
      </c>
      <c r="H20" s="1275">
        <v>12</v>
      </c>
      <c r="I20" t="s" s="1273">
        <v>14</v>
      </c>
      <c r="J20" s="1279">
        <v>9000000</v>
      </c>
      <c r="K20" t="s" s="1276">
        <v>959</v>
      </c>
      <c r="L20" s="1277"/>
      <c r="M20" s="1073"/>
      <c r="N20" s="1074"/>
      <c r="O20" s="1074"/>
      <c r="P20" s="1074"/>
      <c r="Q20" s="1074"/>
      <c r="R20" s="1074"/>
      <c r="S20" s="1074"/>
      <c r="T20" s="1074"/>
      <c r="U20" s="1074"/>
      <c r="V20" s="1074"/>
      <c r="W20" s="1074"/>
      <c r="X20" s="1074"/>
      <c r="Y20" s="1074"/>
      <c r="Z20" s="1074"/>
      <c r="AA20" s="1074"/>
      <c r="AB20" s="1074"/>
      <c r="AC20" s="1074"/>
      <c r="AD20" s="1074"/>
      <c r="AE20" s="1074"/>
      <c r="AF20" s="1074"/>
      <c r="AG20" s="1074"/>
      <c r="AH20" s="1074"/>
      <c r="AI20" s="1074"/>
      <c r="AJ20" s="1074"/>
      <c r="AK20" s="1074"/>
      <c r="AL20" s="1074"/>
      <c r="AM20" s="1074"/>
      <c r="AN20" s="1074"/>
      <c r="AO20" s="1074"/>
      <c r="AP20" s="1074"/>
      <c r="AQ20" s="1074"/>
      <c r="AR20" s="1074"/>
      <c r="AS20" s="1074"/>
      <c r="AT20" s="1090"/>
    </row>
    <row r="21" ht="16.25" customHeight="1">
      <c r="A21" s="1067"/>
      <c r="B21" s="1271">
        <v>19</v>
      </c>
      <c r="C21" t="s" s="1272">
        <v>191</v>
      </c>
      <c r="D21" t="s" s="1273">
        <v>13</v>
      </c>
      <c r="E21" s="1274">
        <v>0</v>
      </c>
      <c r="F21" t="s" s="1273">
        <v>954</v>
      </c>
      <c r="G21" t="s" s="1273">
        <v>12</v>
      </c>
      <c r="H21" s="1275">
        <v>8</v>
      </c>
      <c r="I21" t="s" s="1273">
        <v>14</v>
      </c>
      <c r="J21" s="1279">
        <v>4975000</v>
      </c>
      <c r="K21" t="s" s="1276">
        <v>969</v>
      </c>
      <c r="L21" s="1280"/>
      <c r="M21" s="1073"/>
      <c r="N21" s="1074"/>
      <c r="O21" s="1074"/>
      <c r="P21" s="1074"/>
      <c r="Q21" s="1074"/>
      <c r="R21" s="1074"/>
      <c r="S21" s="1074"/>
      <c r="T21" s="1074"/>
      <c r="U21" s="1074"/>
      <c r="V21" s="1074"/>
      <c r="W21" s="1074"/>
      <c r="X21" s="1074"/>
      <c r="Y21" s="1074"/>
      <c r="Z21" s="1074"/>
      <c r="AA21" s="1074"/>
      <c r="AB21" s="1074"/>
      <c r="AC21" s="1074"/>
      <c r="AD21" s="1074"/>
      <c r="AE21" s="1074"/>
      <c r="AF21" s="1074"/>
      <c r="AG21" s="1074"/>
      <c r="AH21" s="1074"/>
      <c r="AI21" s="1074"/>
      <c r="AJ21" s="1074"/>
      <c r="AK21" s="1074"/>
      <c r="AL21" s="1074"/>
      <c r="AM21" s="1074"/>
      <c r="AN21" s="1074"/>
      <c r="AO21" s="1074"/>
      <c r="AP21" s="1074"/>
      <c r="AQ21" s="1074"/>
      <c r="AR21" s="1074"/>
      <c r="AS21" s="1074"/>
      <c r="AT21" s="1090"/>
    </row>
    <row r="22" ht="16.25" customHeight="1">
      <c r="A22" s="1067"/>
      <c r="B22" s="1271">
        <v>20</v>
      </c>
      <c r="C22" t="s" s="1272">
        <v>192</v>
      </c>
      <c r="D22" t="s" s="1273">
        <v>13</v>
      </c>
      <c r="E22" s="1274">
        <v>0</v>
      </c>
      <c r="F22" t="s" s="1273">
        <v>963</v>
      </c>
      <c r="G22" t="s" s="1273">
        <v>12</v>
      </c>
      <c r="H22" s="1275">
        <v>10</v>
      </c>
      <c r="I22" t="s" s="1273">
        <v>14</v>
      </c>
      <c r="J22" s="1279">
        <v>6500000</v>
      </c>
      <c r="K22" t="s" s="1276">
        <v>959</v>
      </c>
      <c r="L22" s="1277"/>
      <c r="M22" s="1073"/>
      <c r="N22" s="1074"/>
      <c r="O22" s="1074"/>
      <c r="P22" s="1074"/>
      <c r="Q22" s="1074"/>
      <c r="R22" s="1074"/>
      <c r="S22" s="1074"/>
      <c r="T22" s="1074"/>
      <c r="U22" s="1074"/>
      <c r="V22" s="1074"/>
      <c r="W22" s="1074"/>
      <c r="X22" s="1074"/>
      <c r="Y22" s="1074"/>
      <c r="Z22" s="1074"/>
      <c r="AA22" s="1074"/>
      <c r="AB22" s="1074"/>
      <c r="AC22" s="1074"/>
      <c r="AD22" s="1074"/>
      <c r="AE22" s="1074"/>
      <c r="AF22" s="1074"/>
      <c r="AG22" s="1074"/>
      <c r="AH22" s="1074"/>
      <c r="AI22" s="1074"/>
      <c r="AJ22" s="1074"/>
      <c r="AK22" s="1074"/>
      <c r="AL22" s="1074"/>
      <c r="AM22" s="1074"/>
      <c r="AN22" s="1074"/>
      <c r="AO22" s="1074"/>
      <c r="AP22" s="1074"/>
      <c r="AQ22" s="1074"/>
      <c r="AR22" s="1074"/>
      <c r="AS22" s="1074"/>
      <c r="AT22" s="1090"/>
    </row>
    <row r="23" ht="16.25" customHeight="1">
      <c r="A23" s="1067"/>
      <c r="B23" s="1271">
        <v>21</v>
      </c>
      <c r="C23" t="s" s="1272">
        <v>193</v>
      </c>
      <c r="D23" t="s" s="1273">
        <v>13</v>
      </c>
      <c r="E23" s="1274">
        <v>0</v>
      </c>
      <c r="F23" t="s" s="1273">
        <v>954</v>
      </c>
      <c r="G23" t="s" s="1273">
        <v>12</v>
      </c>
      <c r="H23" s="1275">
        <v>8</v>
      </c>
      <c r="I23" t="s" s="1273">
        <v>14</v>
      </c>
      <c r="J23" s="1279">
        <v>4900000</v>
      </c>
      <c r="K23" t="s" s="1276">
        <v>962</v>
      </c>
      <c r="L23" s="1277"/>
      <c r="M23" s="1073"/>
      <c r="N23" s="1074"/>
      <c r="O23" s="1074"/>
      <c r="P23" s="1074"/>
      <c r="Q23" s="1074"/>
      <c r="R23" s="1074"/>
      <c r="S23" s="1074"/>
      <c r="T23" s="1074"/>
      <c r="U23" s="1074"/>
      <c r="V23" s="1074"/>
      <c r="W23" s="1074"/>
      <c r="X23" s="1074"/>
      <c r="Y23" s="1074"/>
      <c r="Z23" s="1074"/>
      <c r="AA23" s="1074"/>
      <c r="AB23" s="1074"/>
      <c r="AC23" s="1074"/>
      <c r="AD23" s="1074"/>
      <c r="AE23" s="1074"/>
      <c r="AF23" s="1074"/>
      <c r="AG23" s="1074"/>
      <c r="AH23" s="1074"/>
      <c r="AI23" s="1074"/>
      <c r="AJ23" s="1074"/>
      <c r="AK23" s="1074"/>
      <c r="AL23" s="1074"/>
      <c r="AM23" s="1074"/>
      <c r="AN23" s="1074"/>
      <c r="AO23" s="1074"/>
      <c r="AP23" s="1074"/>
      <c r="AQ23" s="1074"/>
      <c r="AR23" s="1074"/>
      <c r="AS23" s="1074"/>
      <c r="AT23" s="1090"/>
    </row>
    <row r="24" ht="16.25" customHeight="1">
      <c r="A24" s="1067"/>
      <c r="B24" s="1271">
        <v>22</v>
      </c>
      <c r="C24" t="s" s="1272">
        <v>957</v>
      </c>
      <c r="D24" t="s" s="1273">
        <v>11</v>
      </c>
      <c r="E24" s="1274">
        <v>1</v>
      </c>
      <c r="F24" t="s" s="1273">
        <v>941</v>
      </c>
      <c r="G24" t="s" s="1273">
        <v>12</v>
      </c>
      <c r="H24" s="1275">
        <v>14</v>
      </c>
      <c r="I24" t="s" s="1273">
        <v>958</v>
      </c>
      <c r="J24" t="s" s="1273">
        <v>14</v>
      </c>
      <c r="K24" t="s" s="1276">
        <v>959</v>
      </c>
      <c r="L24" s="1277"/>
      <c r="M24" s="1073"/>
      <c r="N24" s="1074"/>
      <c r="O24" s="1074"/>
      <c r="P24" s="1074"/>
      <c r="Q24" s="1074"/>
      <c r="R24" s="1074"/>
      <c r="S24" s="1074"/>
      <c r="T24" s="1074"/>
      <c r="U24" s="1074"/>
      <c r="V24" s="1074"/>
      <c r="W24" s="1074"/>
      <c r="X24" s="1074"/>
      <c r="Y24" s="1074"/>
      <c r="Z24" s="1074"/>
      <c r="AA24" s="1074"/>
      <c r="AB24" s="1074"/>
      <c r="AC24" s="1074"/>
      <c r="AD24" s="1074"/>
      <c r="AE24" s="1074"/>
      <c r="AF24" s="1074"/>
      <c r="AG24" s="1074"/>
      <c r="AH24" s="1074"/>
      <c r="AI24" s="1074"/>
      <c r="AJ24" s="1074"/>
      <c r="AK24" s="1074"/>
      <c r="AL24" s="1074"/>
      <c r="AM24" s="1074"/>
      <c r="AN24" s="1074"/>
      <c r="AO24" s="1074"/>
      <c r="AP24" s="1074"/>
      <c r="AQ24" s="1074"/>
      <c r="AR24" s="1074"/>
      <c r="AS24" s="1074"/>
      <c r="AT24" s="1090"/>
    </row>
    <row r="25" ht="16.25" customHeight="1">
      <c r="A25" s="1067"/>
      <c r="B25" s="1271">
        <v>23</v>
      </c>
      <c r="C25" t="s" s="1272">
        <v>970</v>
      </c>
      <c r="D25" t="s" s="1273">
        <v>11</v>
      </c>
      <c r="E25" s="1274">
        <v>1</v>
      </c>
      <c r="F25" t="s" s="1273">
        <v>949</v>
      </c>
      <c r="G25" t="s" s="1273">
        <v>12</v>
      </c>
      <c r="H25" s="1275">
        <v>15</v>
      </c>
      <c r="I25" t="s" s="1273">
        <v>971</v>
      </c>
      <c r="J25" t="s" s="1273">
        <v>14</v>
      </c>
      <c r="K25" t="s" s="1276">
        <v>959</v>
      </c>
      <c r="L25" t="s" s="1278">
        <v>972</v>
      </c>
      <c r="M25" s="1073"/>
      <c r="N25" s="1074"/>
      <c r="O25" s="1074"/>
      <c r="P25" s="1074"/>
      <c r="Q25" s="1074"/>
      <c r="R25" s="1074"/>
      <c r="S25" s="1074"/>
      <c r="T25" s="1074"/>
      <c r="U25" s="1074"/>
      <c r="V25" s="1074"/>
      <c r="W25" s="1074"/>
      <c r="X25" s="1074"/>
      <c r="Y25" s="1074"/>
      <c r="Z25" s="1074"/>
      <c r="AA25" s="1074"/>
      <c r="AB25" s="1074"/>
      <c r="AC25" s="1074"/>
      <c r="AD25" s="1074"/>
      <c r="AE25" s="1074"/>
      <c r="AF25" s="1074"/>
      <c r="AG25" s="1074"/>
      <c r="AH25" s="1074"/>
      <c r="AI25" s="1074"/>
      <c r="AJ25" s="1074"/>
      <c r="AK25" s="1074"/>
      <c r="AL25" s="1074"/>
      <c r="AM25" s="1074"/>
      <c r="AN25" s="1074"/>
      <c r="AO25" s="1074"/>
      <c r="AP25" s="1074"/>
      <c r="AQ25" s="1074"/>
      <c r="AR25" s="1074"/>
      <c r="AS25" s="1074"/>
      <c r="AT25" s="1090"/>
    </row>
    <row r="26" ht="16.25" customHeight="1">
      <c r="A26" s="1067"/>
      <c r="B26" s="1271">
        <v>24</v>
      </c>
      <c r="C26" t="s" s="1272">
        <v>194</v>
      </c>
      <c r="D26" t="s" s="1273">
        <v>13</v>
      </c>
      <c r="E26" s="1274">
        <v>0</v>
      </c>
      <c r="F26" t="s" s="1273">
        <v>949</v>
      </c>
      <c r="G26" t="s" s="1273">
        <v>12</v>
      </c>
      <c r="H26" s="1275">
        <v>15</v>
      </c>
      <c r="I26" t="s" s="1273">
        <v>973</v>
      </c>
      <c r="J26" t="s" s="1273">
        <v>14</v>
      </c>
      <c r="K26" t="s" s="1276">
        <v>974</v>
      </c>
      <c r="L26" t="s" s="1278">
        <v>965</v>
      </c>
      <c r="M26" s="1073"/>
      <c r="N26" s="1074"/>
      <c r="O26" s="1074"/>
      <c r="P26" s="1074"/>
      <c r="Q26" s="1074"/>
      <c r="R26" s="1074"/>
      <c r="S26" s="1074"/>
      <c r="T26" s="1074"/>
      <c r="U26" s="1074"/>
      <c r="V26" s="1074"/>
      <c r="W26" s="1074"/>
      <c r="X26" s="1074"/>
      <c r="Y26" s="1074"/>
      <c r="Z26" s="1074"/>
      <c r="AA26" s="1074"/>
      <c r="AB26" s="1074"/>
      <c r="AC26" s="1074"/>
      <c r="AD26" s="1074"/>
      <c r="AE26" s="1074"/>
      <c r="AF26" s="1074"/>
      <c r="AG26" s="1074"/>
      <c r="AH26" s="1074"/>
      <c r="AI26" s="1074"/>
      <c r="AJ26" s="1074"/>
      <c r="AK26" s="1074"/>
      <c r="AL26" s="1074"/>
      <c r="AM26" s="1074"/>
      <c r="AN26" s="1074"/>
      <c r="AO26" s="1074"/>
      <c r="AP26" s="1074"/>
      <c r="AQ26" s="1074"/>
      <c r="AR26" s="1074"/>
      <c r="AS26" s="1074"/>
      <c r="AT26" s="1090"/>
    </row>
    <row r="27" ht="16.25" customHeight="1">
      <c r="A27" s="1067"/>
      <c r="B27" s="1271">
        <v>25</v>
      </c>
      <c r="C27" t="s" s="1272">
        <v>195</v>
      </c>
      <c r="D27" t="s" s="1273">
        <v>13</v>
      </c>
      <c r="E27" s="1274">
        <v>0</v>
      </c>
      <c r="F27" t="s" s="1273">
        <v>963</v>
      </c>
      <c r="G27" t="s" s="1273">
        <v>12</v>
      </c>
      <c r="H27" s="1275">
        <v>13</v>
      </c>
      <c r="I27" t="s" s="1273">
        <v>14</v>
      </c>
      <c r="J27" s="1279">
        <v>14500000</v>
      </c>
      <c r="K27" t="s" s="1276">
        <v>959</v>
      </c>
      <c r="L27" s="1277"/>
      <c r="M27" s="1073"/>
      <c r="N27" s="1074"/>
      <c r="O27" s="1074"/>
      <c r="P27" s="1074"/>
      <c r="Q27" s="1074"/>
      <c r="R27" s="1074"/>
      <c r="S27" s="1074"/>
      <c r="T27" s="1074"/>
      <c r="U27" s="1074"/>
      <c r="V27" s="1074"/>
      <c r="W27" s="1074"/>
      <c r="X27" s="1074"/>
      <c r="Y27" s="1074"/>
      <c r="Z27" s="1074"/>
      <c r="AA27" s="1074"/>
      <c r="AB27" s="1074"/>
      <c r="AC27" s="1074"/>
      <c r="AD27" s="1074"/>
      <c r="AE27" s="1074"/>
      <c r="AF27" s="1074"/>
      <c r="AG27" s="1074"/>
      <c r="AH27" s="1074"/>
      <c r="AI27" s="1074"/>
      <c r="AJ27" s="1074"/>
      <c r="AK27" s="1074"/>
      <c r="AL27" s="1074"/>
      <c r="AM27" s="1074"/>
      <c r="AN27" s="1074"/>
      <c r="AO27" s="1074"/>
      <c r="AP27" s="1074"/>
      <c r="AQ27" s="1074"/>
      <c r="AR27" s="1074"/>
      <c r="AS27" s="1074"/>
      <c r="AT27" s="1090"/>
    </row>
    <row r="28" ht="16.25" customHeight="1">
      <c r="A28" s="1067"/>
      <c r="B28" s="1271">
        <v>26</v>
      </c>
      <c r="C28" t="s" s="1272">
        <v>196</v>
      </c>
      <c r="D28" t="s" s="1273">
        <v>13</v>
      </c>
      <c r="E28" s="1274">
        <v>0</v>
      </c>
      <c r="F28" t="s" s="1273">
        <v>954</v>
      </c>
      <c r="G28" t="s" s="1273">
        <v>12</v>
      </c>
      <c r="H28" s="1275">
        <v>10</v>
      </c>
      <c r="I28" t="s" s="1273">
        <v>14</v>
      </c>
      <c r="J28" s="1279">
        <v>5675000</v>
      </c>
      <c r="K28" t="s" s="1276">
        <v>196</v>
      </c>
      <c r="L28" s="1280"/>
      <c r="M28" s="1073"/>
      <c r="N28" s="1074"/>
      <c r="O28" s="1074"/>
      <c r="P28" s="1074"/>
      <c r="Q28" s="1074"/>
      <c r="R28" s="1074"/>
      <c r="S28" s="1074"/>
      <c r="T28" s="1074"/>
      <c r="U28" s="1074"/>
      <c r="V28" s="1074"/>
      <c r="W28" s="1074"/>
      <c r="X28" s="1074"/>
      <c r="Y28" s="1074"/>
      <c r="Z28" s="1074"/>
      <c r="AA28" s="1074"/>
      <c r="AB28" s="1074"/>
      <c r="AC28" s="1074"/>
      <c r="AD28" s="1074"/>
      <c r="AE28" s="1074"/>
      <c r="AF28" s="1074"/>
      <c r="AG28" s="1074"/>
      <c r="AH28" s="1074"/>
      <c r="AI28" s="1074"/>
      <c r="AJ28" s="1074"/>
      <c r="AK28" s="1074"/>
      <c r="AL28" s="1074"/>
      <c r="AM28" s="1074"/>
      <c r="AN28" s="1074"/>
      <c r="AO28" s="1074"/>
      <c r="AP28" s="1074"/>
      <c r="AQ28" s="1074"/>
      <c r="AR28" s="1074"/>
      <c r="AS28" s="1074"/>
      <c r="AT28" s="1090"/>
    </row>
    <row r="29" ht="16.25" customHeight="1">
      <c r="A29" s="1067"/>
      <c r="B29" s="1271">
        <v>27</v>
      </c>
      <c r="C29" t="s" s="1272">
        <v>197</v>
      </c>
      <c r="D29" t="s" s="1273">
        <v>13</v>
      </c>
      <c r="E29" s="1274">
        <v>0</v>
      </c>
      <c r="F29" t="s" s="1273">
        <v>963</v>
      </c>
      <c r="G29" t="s" s="1273">
        <v>15</v>
      </c>
      <c r="H29" s="1275">
        <v>14</v>
      </c>
      <c r="I29" t="s" s="1273">
        <v>14</v>
      </c>
      <c r="J29" s="1279">
        <v>8000000</v>
      </c>
      <c r="K29" t="s" s="1276">
        <v>959</v>
      </c>
      <c r="L29" s="1277"/>
      <c r="M29" s="1073"/>
      <c r="N29" s="1074"/>
      <c r="O29" s="1074"/>
      <c r="P29" s="1074"/>
      <c r="Q29" s="1074"/>
      <c r="R29" s="1074"/>
      <c r="S29" s="1074"/>
      <c r="T29" s="1074"/>
      <c r="U29" s="1074"/>
      <c r="V29" s="1074"/>
      <c r="W29" s="1074"/>
      <c r="X29" s="1074"/>
      <c r="Y29" s="1074"/>
      <c r="Z29" s="1074"/>
      <c r="AA29" s="1074"/>
      <c r="AB29" s="1074"/>
      <c r="AC29" s="1074"/>
      <c r="AD29" s="1074"/>
      <c r="AE29" s="1074"/>
      <c r="AF29" s="1074"/>
      <c r="AG29" s="1074"/>
      <c r="AH29" s="1074"/>
      <c r="AI29" s="1074"/>
      <c r="AJ29" s="1074"/>
      <c r="AK29" s="1074"/>
      <c r="AL29" s="1074"/>
      <c r="AM29" s="1074"/>
      <c r="AN29" s="1074"/>
      <c r="AO29" s="1074"/>
      <c r="AP29" s="1074"/>
      <c r="AQ29" s="1074"/>
      <c r="AR29" s="1074"/>
      <c r="AS29" s="1074"/>
      <c r="AT29" s="1090"/>
    </row>
    <row r="30" ht="16.25" customHeight="1">
      <c r="A30" s="1067"/>
      <c r="B30" s="1271">
        <v>28</v>
      </c>
      <c r="C30" t="s" s="1272">
        <v>198</v>
      </c>
      <c r="D30" t="s" s="1273">
        <v>13</v>
      </c>
      <c r="E30" s="1274">
        <v>0</v>
      </c>
      <c r="F30" t="s" s="1273">
        <v>963</v>
      </c>
      <c r="G30" t="s" s="1273">
        <v>15</v>
      </c>
      <c r="H30" s="1275">
        <v>12</v>
      </c>
      <c r="I30" t="s" s="1273">
        <v>14</v>
      </c>
      <c r="J30" s="1279">
        <v>2500000</v>
      </c>
      <c r="K30" t="s" s="1276">
        <v>959</v>
      </c>
      <c r="L30" s="1277"/>
      <c r="M30" s="1073"/>
      <c r="N30" s="1074"/>
      <c r="O30" s="1074"/>
      <c r="P30" s="1074"/>
      <c r="Q30" s="1074"/>
      <c r="R30" s="1074"/>
      <c r="S30" s="1074"/>
      <c r="T30" s="1074"/>
      <c r="U30" s="1074"/>
      <c r="V30" s="1074"/>
      <c r="W30" s="1074"/>
      <c r="X30" s="1074"/>
      <c r="Y30" s="1074"/>
      <c r="Z30" s="1074"/>
      <c r="AA30" s="1074"/>
      <c r="AB30" s="1074"/>
      <c r="AC30" s="1074"/>
      <c r="AD30" s="1074"/>
      <c r="AE30" s="1074"/>
      <c r="AF30" s="1074"/>
      <c r="AG30" s="1074"/>
      <c r="AH30" s="1074"/>
      <c r="AI30" s="1074"/>
      <c r="AJ30" s="1074"/>
      <c r="AK30" s="1074"/>
      <c r="AL30" s="1074"/>
      <c r="AM30" s="1074"/>
      <c r="AN30" s="1074"/>
      <c r="AO30" s="1074"/>
      <c r="AP30" s="1074"/>
      <c r="AQ30" s="1074"/>
      <c r="AR30" s="1074"/>
      <c r="AS30" s="1074"/>
      <c r="AT30" s="1090"/>
    </row>
    <row r="31" ht="16.25" customHeight="1">
      <c r="A31" s="1067"/>
      <c r="B31" s="1271">
        <v>29</v>
      </c>
      <c r="C31" t="s" s="1272">
        <v>199</v>
      </c>
      <c r="D31" t="s" s="1273">
        <v>13</v>
      </c>
      <c r="E31" s="1274">
        <v>0</v>
      </c>
      <c r="F31" t="s" s="1273">
        <v>963</v>
      </c>
      <c r="G31" t="s" s="1273">
        <v>15</v>
      </c>
      <c r="H31" s="1275">
        <v>12</v>
      </c>
      <c r="I31" t="s" s="1273">
        <v>14</v>
      </c>
      <c r="J31" s="1279">
        <v>7700000</v>
      </c>
      <c r="K31" t="s" s="1276">
        <v>959</v>
      </c>
      <c r="L31" s="1277"/>
      <c r="M31" s="1073"/>
      <c r="N31" s="1074"/>
      <c r="O31" s="1074"/>
      <c r="P31" s="1074"/>
      <c r="Q31" s="1074"/>
      <c r="R31" s="1074"/>
      <c r="S31" s="1074"/>
      <c r="T31" s="1074"/>
      <c r="U31" s="1074"/>
      <c r="V31" s="1074"/>
      <c r="W31" s="1074"/>
      <c r="X31" s="1074"/>
      <c r="Y31" s="1074"/>
      <c r="Z31" s="1074"/>
      <c r="AA31" s="1074"/>
      <c r="AB31" s="1074"/>
      <c r="AC31" s="1074"/>
      <c r="AD31" s="1074"/>
      <c r="AE31" s="1074"/>
      <c r="AF31" s="1074"/>
      <c r="AG31" s="1074"/>
      <c r="AH31" s="1074"/>
      <c r="AI31" s="1074"/>
      <c r="AJ31" s="1074"/>
      <c r="AK31" s="1074"/>
      <c r="AL31" s="1074"/>
      <c r="AM31" s="1074"/>
      <c r="AN31" s="1074"/>
      <c r="AO31" s="1074"/>
      <c r="AP31" s="1074"/>
      <c r="AQ31" s="1074"/>
      <c r="AR31" s="1074"/>
      <c r="AS31" s="1074"/>
      <c r="AT31" s="1090"/>
    </row>
    <row r="32" ht="16.25" customHeight="1">
      <c r="A32" s="1067"/>
      <c r="B32" s="1271">
        <v>30</v>
      </c>
      <c r="C32" t="s" s="1272">
        <v>200</v>
      </c>
      <c r="D32" t="s" s="1273">
        <v>13</v>
      </c>
      <c r="E32" s="1274">
        <v>0</v>
      </c>
      <c r="F32" t="s" s="1273">
        <v>963</v>
      </c>
      <c r="G32" t="s" s="1273">
        <v>15</v>
      </c>
      <c r="H32" s="1275">
        <v>10</v>
      </c>
      <c r="I32" t="s" s="1273">
        <v>14</v>
      </c>
      <c r="J32" s="1279">
        <v>18000000</v>
      </c>
      <c r="K32" t="s" s="1276">
        <v>959</v>
      </c>
      <c r="L32" s="1277"/>
      <c r="M32" s="1104"/>
      <c r="N32" s="1074"/>
      <c r="O32" s="1074"/>
      <c r="P32" s="1074"/>
      <c r="Q32" s="1074"/>
      <c r="R32" s="1074"/>
      <c r="S32" s="1074"/>
      <c r="T32" s="1074"/>
      <c r="U32" s="1074"/>
      <c r="V32" s="1074"/>
      <c r="W32" s="1074"/>
      <c r="X32" s="1074"/>
      <c r="Y32" s="1074"/>
      <c r="Z32" s="1074"/>
      <c r="AA32" s="1074"/>
      <c r="AB32" s="1074"/>
      <c r="AC32" s="1074"/>
      <c r="AD32" s="1074"/>
      <c r="AE32" s="1074"/>
      <c r="AF32" s="1074"/>
      <c r="AG32" s="1074"/>
      <c r="AH32" s="1074"/>
      <c r="AI32" s="1074"/>
      <c r="AJ32" s="1074"/>
      <c r="AK32" s="1074"/>
      <c r="AL32" s="1074"/>
      <c r="AM32" s="1074"/>
      <c r="AN32" s="1074"/>
      <c r="AO32" s="1074"/>
      <c r="AP32" s="1074"/>
      <c r="AQ32" s="1074"/>
      <c r="AR32" s="1074"/>
      <c r="AS32" s="1074"/>
      <c r="AT32" s="1075"/>
    </row>
    <row r="33" ht="16.25" customHeight="1">
      <c r="A33" s="1067"/>
      <c r="B33" s="1271">
        <v>31</v>
      </c>
      <c r="C33" t="s" s="1272">
        <v>201</v>
      </c>
      <c r="D33" t="s" s="1273">
        <v>13</v>
      </c>
      <c r="E33" s="1274">
        <v>0</v>
      </c>
      <c r="F33" t="s" s="1273">
        <v>963</v>
      </c>
      <c r="G33" t="s" s="1273">
        <v>15</v>
      </c>
      <c r="H33" s="1275">
        <v>10</v>
      </c>
      <c r="I33" t="s" s="1273">
        <v>14</v>
      </c>
      <c r="J33" s="1279">
        <v>26000000</v>
      </c>
      <c r="K33" t="s" s="1276">
        <v>959</v>
      </c>
      <c r="L33" s="1277"/>
      <c r="M33" s="1104"/>
      <c r="N33" s="1074"/>
      <c r="O33" s="1074"/>
      <c r="P33" s="1074"/>
      <c r="Q33" s="1074"/>
      <c r="R33" s="1074"/>
      <c r="S33" s="1074"/>
      <c r="T33" s="1074"/>
      <c r="U33" s="1074"/>
      <c r="V33" s="1074"/>
      <c r="W33" s="1074"/>
      <c r="X33" s="1074"/>
      <c r="Y33" s="1074"/>
      <c r="Z33" s="1074"/>
      <c r="AA33" s="1074"/>
      <c r="AB33" s="1074"/>
      <c r="AC33" s="1074"/>
      <c r="AD33" s="1074"/>
      <c r="AE33" s="1074"/>
      <c r="AF33" s="1074"/>
      <c r="AG33" s="1074"/>
      <c r="AH33" s="1074"/>
      <c r="AI33" s="1074"/>
      <c r="AJ33" s="1074"/>
      <c r="AK33" s="1074"/>
      <c r="AL33" s="1074"/>
      <c r="AM33" s="1074"/>
      <c r="AN33" s="1074"/>
      <c r="AO33" s="1074"/>
      <c r="AP33" s="1074"/>
      <c r="AQ33" s="1074"/>
      <c r="AR33" s="1074"/>
      <c r="AS33" s="1074"/>
      <c r="AT33" s="1075"/>
    </row>
    <row r="34" ht="16.25" customHeight="1">
      <c r="A34" s="1067"/>
      <c r="B34" s="1271">
        <v>32</v>
      </c>
      <c r="C34" t="s" s="1272">
        <v>202</v>
      </c>
      <c r="D34" t="s" s="1273">
        <v>13</v>
      </c>
      <c r="E34" s="1274">
        <v>0</v>
      </c>
      <c r="F34" t="s" s="1273">
        <v>963</v>
      </c>
      <c r="G34" t="s" s="1273">
        <v>15</v>
      </c>
      <c r="H34" s="1275">
        <v>12</v>
      </c>
      <c r="I34" t="s" s="1273">
        <v>14</v>
      </c>
      <c r="J34" s="1279" cm="1">
        <f t="array" ref="J34">7500000+300000*5+2000000</f>
        <v>11000000</v>
      </c>
      <c r="K34" t="s" s="1276">
        <v>959</v>
      </c>
      <c r="L34" t="s" s="1278">
        <v>975</v>
      </c>
      <c r="M34" s="1073"/>
      <c r="N34" s="1074"/>
      <c r="O34" s="1074"/>
      <c r="P34" s="1074"/>
      <c r="Q34" s="1074"/>
      <c r="R34" s="1074"/>
      <c r="S34" s="1074"/>
      <c r="T34" s="1074"/>
      <c r="U34" s="1074"/>
      <c r="V34" s="1074"/>
      <c r="W34" s="1074"/>
      <c r="X34" s="1074"/>
      <c r="Y34" s="1074"/>
      <c r="Z34" s="1074"/>
      <c r="AA34" s="1074"/>
      <c r="AB34" s="1074"/>
      <c r="AC34" s="1074"/>
      <c r="AD34" s="1074"/>
      <c r="AE34" s="1074"/>
      <c r="AF34" s="1074"/>
      <c r="AG34" s="1074"/>
      <c r="AH34" s="1074"/>
      <c r="AI34" s="1074"/>
      <c r="AJ34" s="1074"/>
      <c r="AK34" s="1074"/>
      <c r="AL34" s="1074"/>
      <c r="AM34" s="1074"/>
      <c r="AN34" s="1074"/>
      <c r="AO34" s="1074"/>
      <c r="AP34" s="1074"/>
      <c r="AQ34" s="1074"/>
      <c r="AR34" s="1074"/>
      <c r="AS34" s="1074"/>
      <c r="AT34" s="1075"/>
    </row>
    <row r="35" ht="16.25" customHeight="1">
      <c r="A35" s="1067"/>
      <c r="B35" s="1271">
        <v>33</v>
      </c>
      <c r="C35" t="s" s="1272">
        <v>203</v>
      </c>
      <c r="D35" t="s" s="1273">
        <v>13</v>
      </c>
      <c r="E35" s="1274">
        <v>0</v>
      </c>
      <c r="F35" t="s" s="1273">
        <v>963</v>
      </c>
      <c r="G35" t="s" s="1273">
        <v>15</v>
      </c>
      <c r="H35" s="1275">
        <v>12</v>
      </c>
      <c r="I35" t="s" s="1273">
        <v>14</v>
      </c>
      <c r="J35" s="1279">
        <v>8000000</v>
      </c>
      <c r="K35" t="s" s="1276">
        <v>959</v>
      </c>
      <c r="L35" s="1277"/>
      <c r="M35" s="1073"/>
      <c r="N35" s="1074"/>
      <c r="O35" s="1074"/>
      <c r="P35" s="1074"/>
      <c r="Q35" s="1074"/>
      <c r="R35" s="1074"/>
      <c r="S35" s="1074"/>
      <c r="T35" s="1074"/>
      <c r="U35" s="1074"/>
      <c r="V35" s="1074"/>
      <c r="W35" s="1074"/>
      <c r="X35" s="1074"/>
      <c r="Y35" s="1074"/>
      <c r="Z35" s="1074"/>
      <c r="AA35" s="1074"/>
      <c r="AB35" s="1074"/>
      <c r="AC35" s="1074"/>
      <c r="AD35" s="1074"/>
      <c r="AE35" s="1074"/>
      <c r="AF35" s="1074"/>
      <c r="AG35" s="1074"/>
      <c r="AH35" s="1074"/>
      <c r="AI35" s="1074"/>
      <c r="AJ35" s="1074"/>
      <c r="AK35" s="1074"/>
      <c r="AL35" s="1074"/>
      <c r="AM35" s="1074"/>
      <c r="AN35" s="1074"/>
      <c r="AO35" s="1074"/>
      <c r="AP35" s="1074"/>
      <c r="AQ35" s="1074"/>
      <c r="AR35" s="1074"/>
      <c r="AS35" s="1074"/>
      <c r="AT35" s="1075"/>
    </row>
    <row r="36" ht="16.25" customHeight="1">
      <c r="A36" s="1067"/>
      <c r="B36" s="1271">
        <v>34</v>
      </c>
      <c r="C36" t="s" s="1272">
        <v>204</v>
      </c>
      <c r="D36" t="s" s="1273">
        <v>13</v>
      </c>
      <c r="E36" s="1274">
        <v>0</v>
      </c>
      <c r="F36" t="s" s="1273">
        <v>963</v>
      </c>
      <c r="G36" t="s" s="1273">
        <v>15</v>
      </c>
      <c r="H36" s="1275">
        <v>13</v>
      </c>
      <c r="I36" t="s" s="1273">
        <v>14</v>
      </c>
      <c r="J36" s="1279">
        <v>18500000</v>
      </c>
      <c r="K36" t="s" s="1276">
        <v>959</v>
      </c>
      <c r="L36" t="s" s="1278">
        <v>976</v>
      </c>
      <c r="M36" s="1073"/>
      <c r="N36" s="1074"/>
      <c r="O36" s="1074"/>
      <c r="P36" s="1074"/>
      <c r="Q36" s="1074"/>
      <c r="R36" s="1074"/>
      <c r="S36" s="1074"/>
      <c r="T36" s="1074"/>
      <c r="U36" s="1074"/>
      <c r="V36" s="1074"/>
      <c r="W36" s="1074"/>
      <c r="X36" s="1074"/>
      <c r="Y36" s="1074"/>
      <c r="Z36" s="1074"/>
      <c r="AA36" s="1074"/>
      <c r="AB36" s="1074"/>
      <c r="AC36" s="1074"/>
      <c r="AD36" s="1074"/>
      <c r="AE36" s="1074"/>
      <c r="AF36" s="1074"/>
      <c r="AG36" s="1074"/>
      <c r="AH36" s="1074"/>
      <c r="AI36" s="1074"/>
      <c r="AJ36" s="1074"/>
      <c r="AK36" s="1074"/>
      <c r="AL36" s="1074"/>
      <c r="AM36" s="1074"/>
      <c r="AN36" s="1074"/>
      <c r="AO36" s="1074"/>
      <c r="AP36" s="1074"/>
      <c r="AQ36" s="1074"/>
      <c r="AR36" s="1074"/>
      <c r="AS36" s="1074"/>
      <c r="AT36" s="1075"/>
    </row>
    <row r="37" ht="16.25" customHeight="1">
      <c r="A37" s="1067"/>
      <c r="B37" s="1271">
        <v>35</v>
      </c>
      <c r="C37" t="s" s="1272">
        <v>206</v>
      </c>
      <c r="D37" t="s" s="1273">
        <v>13</v>
      </c>
      <c r="E37" s="1274">
        <v>0</v>
      </c>
      <c r="F37" t="s" s="1273">
        <v>963</v>
      </c>
      <c r="G37" t="s" s="1273">
        <v>15</v>
      </c>
      <c r="H37" s="1275">
        <v>12</v>
      </c>
      <c r="I37" t="s" s="1273">
        <v>14</v>
      </c>
      <c r="J37" s="1279">
        <v>15500000</v>
      </c>
      <c r="K37" t="s" s="1276">
        <v>959</v>
      </c>
      <c r="L37" s="1277"/>
      <c r="M37" s="1073"/>
      <c r="N37" s="1074"/>
      <c r="O37" s="1074"/>
      <c r="P37" s="1074"/>
      <c r="Q37" s="1074"/>
      <c r="R37" s="1074"/>
      <c r="S37" s="1074"/>
      <c r="T37" s="1074"/>
      <c r="U37" s="1074"/>
      <c r="V37" s="1074"/>
      <c r="W37" s="1074"/>
      <c r="X37" s="1074"/>
      <c r="Y37" s="1074"/>
      <c r="Z37" s="1074"/>
      <c r="AA37" s="1074"/>
      <c r="AB37" s="1074"/>
      <c r="AC37" s="1074"/>
      <c r="AD37" s="1074"/>
      <c r="AE37" s="1074"/>
      <c r="AF37" s="1074"/>
      <c r="AG37" s="1074"/>
      <c r="AH37" s="1074"/>
      <c r="AI37" s="1074"/>
      <c r="AJ37" s="1074"/>
      <c r="AK37" s="1074"/>
      <c r="AL37" s="1074"/>
      <c r="AM37" s="1074"/>
      <c r="AN37" s="1074"/>
      <c r="AO37" s="1074"/>
      <c r="AP37" s="1074"/>
      <c r="AQ37" s="1074"/>
      <c r="AR37" s="1074"/>
      <c r="AS37" s="1074"/>
      <c r="AT37" s="1075"/>
    </row>
    <row r="38" ht="16.25" customHeight="1">
      <c r="A38" s="1067"/>
      <c r="B38" s="1271">
        <v>36</v>
      </c>
      <c r="C38" t="s" s="1272">
        <v>207</v>
      </c>
      <c r="D38" t="s" s="1273">
        <v>13</v>
      </c>
      <c r="E38" s="1274">
        <v>0</v>
      </c>
      <c r="F38" t="s" s="1273">
        <v>963</v>
      </c>
      <c r="G38" t="s" s="1273">
        <v>15</v>
      </c>
      <c r="H38" s="1275">
        <v>12</v>
      </c>
      <c r="I38" t="s" s="1273">
        <v>14</v>
      </c>
      <c r="J38" s="1279">
        <v>6675000</v>
      </c>
      <c r="K38" t="s" s="1276">
        <v>959</v>
      </c>
      <c r="L38" s="1277"/>
      <c r="M38" s="1073"/>
      <c r="N38" s="1074"/>
      <c r="O38" s="1074"/>
      <c r="P38" s="1074"/>
      <c r="Q38" s="1074"/>
      <c r="R38" s="1074"/>
      <c r="S38" s="1074"/>
      <c r="T38" s="1074"/>
      <c r="U38" s="1074"/>
      <c r="V38" s="1074"/>
      <c r="W38" s="1074"/>
      <c r="X38" s="1074"/>
      <c r="Y38" s="1074"/>
      <c r="Z38" s="1074"/>
      <c r="AA38" s="1074"/>
      <c r="AB38" s="1074"/>
      <c r="AC38" s="1074"/>
      <c r="AD38" s="1074"/>
      <c r="AE38" s="1074"/>
      <c r="AF38" s="1074"/>
      <c r="AG38" s="1074"/>
      <c r="AH38" s="1074"/>
      <c r="AI38" s="1074"/>
      <c r="AJ38" s="1074"/>
      <c r="AK38" s="1074"/>
      <c r="AL38" s="1074"/>
      <c r="AM38" s="1074"/>
      <c r="AN38" s="1074"/>
      <c r="AO38" s="1074"/>
      <c r="AP38" s="1074"/>
      <c r="AQ38" s="1074"/>
      <c r="AR38" s="1074"/>
      <c r="AS38" s="1074"/>
      <c r="AT38" s="1075"/>
    </row>
    <row r="39" ht="16.25" customHeight="1">
      <c r="A39" s="1067"/>
      <c r="B39" s="1271">
        <v>37</v>
      </c>
      <c r="C39" t="s" s="1272">
        <v>208</v>
      </c>
      <c r="D39" t="s" s="1273">
        <v>13</v>
      </c>
      <c r="E39" s="1274">
        <v>0</v>
      </c>
      <c r="F39" t="s" s="1273">
        <v>977</v>
      </c>
      <c r="G39" t="s" s="1273">
        <v>15</v>
      </c>
      <c r="H39" s="1275">
        <v>18</v>
      </c>
      <c r="I39" t="s" s="1273">
        <v>14</v>
      </c>
      <c r="J39" s="1279">
        <v>39600000</v>
      </c>
      <c r="K39" t="s" s="1276">
        <v>959</v>
      </c>
      <c r="L39" t="s" s="1278">
        <v>978</v>
      </c>
      <c r="M39" s="1073"/>
      <c r="N39" s="1074"/>
      <c r="O39" s="1074"/>
      <c r="P39" s="1074"/>
      <c r="Q39" s="1074"/>
      <c r="R39" s="1074"/>
      <c r="S39" s="1074"/>
      <c r="T39" s="1074"/>
      <c r="U39" s="1074"/>
      <c r="V39" s="1074"/>
      <c r="W39" s="1074"/>
      <c r="X39" s="1074"/>
      <c r="Y39" s="1074"/>
      <c r="Z39" s="1074"/>
      <c r="AA39" s="1074"/>
      <c r="AB39" s="1074"/>
      <c r="AC39" s="1074"/>
      <c r="AD39" s="1074"/>
      <c r="AE39" s="1074"/>
      <c r="AF39" s="1074"/>
      <c r="AG39" s="1074"/>
      <c r="AH39" s="1074"/>
      <c r="AI39" s="1074"/>
      <c r="AJ39" s="1074"/>
      <c r="AK39" s="1074"/>
      <c r="AL39" s="1074"/>
      <c r="AM39" s="1074"/>
      <c r="AN39" s="1074"/>
      <c r="AO39" s="1074"/>
      <c r="AP39" s="1074"/>
      <c r="AQ39" s="1074"/>
      <c r="AR39" s="1074"/>
      <c r="AS39" s="1074"/>
      <c r="AT39" s="1075"/>
    </row>
    <row r="40" ht="16.25" customHeight="1">
      <c r="A40" s="1067"/>
      <c r="B40" s="1271">
        <v>38</v>
      </c>
      <c r="C40" t="s" s="1272">
        <v>209</v>
      </c>
      <c r="D40" t="s" s="1273">
        <v>13</v>
      </c>
      <c r="E40" s="1274">
        <v>0</v>
      </c>
      <c r="F40" t="s" s="1273">
        <v>977</v>
      </c>
      <c r="G40" t="s" s="1273">
        <v>15</v>
      </c>
      <c r="H40" s="1275">
        <v>10</v>
      </c>
      <c r="I40" t="s" s="1273">
        <v>14</v>
      </c>
      <c r="J40" s="1279">
        <v>23500000</v>
      </c>
      <c r="K40" t="s" s="1276">
        <v>959</v>
      </c>
      <c r="L40" t="s" s="1278">
        <v>978</v>
      </c>
      <c r="M40" s="1073"/>
      <c r="N40" s="1105"/>
      <c r="O40" s="1074"/>
      <c r="P40" s="1074"/>
      <c r="Q40" s="1074"/>
      <c r="R40" s="1074"/>
      <c r="S40" s="1074"/>
      <c r="T40" s="1074"/>
      <c r="U40" s="1074"/>
      <c r="V40" s="1074"/>
      <c r="W40" s="1074"/>
      <c r="X40" s="1074"/>
      <c r="Y40" s="1074"/>
      <c r="Z40" s="1074"/>
      <c r="AA40" s="1074"/>
      <c r="AB40" s="1074"/>
      <c r="AC40" s="1074"/>
      <c r="AD40" s="1074"/>
      <c r="AE40" s="1074"/>
      <c r="AF40" s="1074"/>
      <c r="AG40" s="1074"/>
      <c r="AH40" s="1074"/>
      <c r="AI40" s="1074"/>
      <c r="AJ40" s="1074"/>
      <c r="AK40" s="1074"/>
      <c r="AL40" s="1074"/>
      <c r="AM40" s="1074"/>
      <c r="AN40" s="1074"/>
      <c r="AO40" s="1074"/>
      <c r="AP40" s="1074"/>
      <c r="AQ40" s="1074"/>
      <c r="AR40" s="1074"/>
      <c r="AS40" s="1074"/>
      <c r="AT40" s="1075"/>
    </row>
    <row r="41" ht="16.25" customHeight="1">
      <c r="A41" s="1067"/>
      <c r="B41" s="1271">
        <v>39</v>
      </c>
      <c r="C41" t="s" s="1272">
        <v>205</v>
      </c>
      <c r="D41" t="s" s="1273">
        <v>13</v>
      </c>
      <c r="E41" s="1274">
        <v>0</v>
      </c>
      <c r="F41" t="s" s="1273">
        <v>977</v>
      </c>
      <c r="G41" t="s" s="1273">
        <v>15</v>
      </c>
      <c r="H41" s="1275">
        <v>12</v>
      </c>
      <c r="I41" t="s" s="1273">
        <v>14</v>
      </c>
      <c r="J41" s="1279">
        <v>30000000</v>
      </c>
      <c r="K41" t="s" s="1276">
        <v>959</v>
      </c>
      <c r="L41" t="s" s="1278">
        <v>978</v>
      </c>
      <c r="M41" s="1073"/>
      <c r="N41" s="1074"/>
      <c r="O41" s="1074"/>
      <c r="P41" s="1074"/>
      <c r="Q41" s="1074"/>
      <c r="R41" s="1074"/>
      <c r="S41" s="1074"/>
      <c r="T41" s="1074"/>
      <c r="U41" s="1074"/>
      <c r="V41" s="1074"/>
      <c r="W41" s="1074"/>
      <c r="X41" s="1074"/>
      <c r="Y41" s="1074"/>
      <c r="Z41" s="1074"/>
      <c r="AA41" s="1074"/>
      <c r="AB41" s="1074"/>
      <c r="AC41" s="1074"/>
      <c r="AD41" s="1074"/>
      <c r="AE41" s="1074"/>
      <c r="AF41" s="1074"/>
      <c r="AG41" s="1074"/>
      <c r="AH41" s="1074"/>
      <c r="AI41" s="1074"/>
      <c r="AJ41" s="1074"/>
      <c r="AK41" s="1074"/>
      <c r="AL41" s="1074"/>
      <c r="AM41" s="1074"/>
      <c r="AN41" s="1074"/>
      <c r="AO41" s="1074"/>
      <c r="AP41" s="1074"/>
      <c r="AQ41" s="1074"/>
      <c r="AR41" s="1074"/>
      <c r="AS41" s="1074"/>
      <c r="AT41" s="1075"/>
    </row>
    <row r="42" ht="16.25" customHeight="1">
      <c r="A42" s="1067"/>
      <c r="B42" s="1271">
        <v>40</v>
      </c>
      <c r="C42" t="s" s="1272">
        <v>212</v>
      </c>
      <c r="D42" t="s" s="1273">
        <v>13</v>
      </c>
      <c r="E42" s="1274">
        <v>0</v>
      </c>
      <c r="F42" t="s" s="1273">
        <v>977</v>
      </c>
      <c r="G42" t="s" s="1273">
        <v>15</v>
      </c>
      <c r="H42" s="1275">
        <v>13</v>
      </c>
      <c r="I42" t="s" s="1273">
        <v>14</v>
      </c>
      <c r="J42" s="1279">
        <v>28000000</v>
      </c>
      <c r="K42" t="s" s="1276">
        <v>959</v>
      </c>
      <c r="L42" t="s" s="1278">
        <v>978</v>
      </c>
      <c r="M42" s="1073"/>
      <c r="N42" s="1074"/>
      <c r="O42" s="1074"/>
      <c r="P42" s="1074"/>
      <c r="Q42" s="1074"/>
      <c r="R42" s="1074"/>
      <c r="S42" s="1074"/>
      <c r="T42" s="1074"/>
      <c r="U42" s="1074"/>
      <c r="V42" s="1074"/>
      <c r="W42" s="1074"/>
      <c r="X42" s="1074"/>
      <c r="Y42" s="1074"/>
      <c r="Z42" s="1074"/>
      <c r="AA42" s="1074"/>
      <c r="AB42" s="1074"/>
      <c r="AC42" s="1074"/>
      <c r="AD42" s="1074"/>
      <c r="AE42" s="1074"/>
      <c r="AF42" s="1074"/>
      <c r="AG42" s="1074"/>
      <c r="AH42" s="1074"/>
      <c r="AI42" s="1074"/>
      <c r="AJ42" s="1074"/>
      <c r="AK42" s="1074"/>
      <c r="AL42" s="1074"/>
      <c r="AM42" s="1074"/>
      <c r="AN42" s="1074"/>
      <c r="AO42" s="1074"/>
      <c r="AP42" s="1074"/>
      <c r="AQ42" s="1074"/>
      <c r="AR42" s="1074"/>
      <c r="AS42" s="1074"/>
      <c r="AT42" s="1075"/>
    </row>
    <row r="43" ht="16.25" customHeight="1">
      <c r="A43" s="1067"/>
      <c r="B43" s="1271">
        <v>41</v>
      </c>
      <c r="C43" t="s" s="1272">
        <v>210</v>
      </c>
      <c r="D43" t="s" s="1273">
        <v>13</v>
      </c>
      <c r="E43" s="1274">
        <v>0</v>
      </c>
      <c r="F43" t="s" s="1273">
        <v>963</v>
      </c>
      <c r="G43" t="s" s="1273">
        <v>15</v>
      </c>
      <c r="H43" s="1275">
        <v>12</v>
      </c>
      <c r="I43" t="s" s="1273">
        <v>14</v>
      </c>
      <c r="J43" s="1279">
        <v>13850000</v>
      </c>
      <c r="K43" t="s" s="1276">
        <v>959</v>
      </c>
      <c r="L43" s="1277"/>
      <c r="M43" s="1073"/>
      <c r="N43" s="1074"/>
      <c r="O43" s="1074"/>
      <c r="P43" s="1074"/>
      <c r="Q43" s="1074"/>
      <c r="R43" s="1074"/>
      <c r="S43" s="1074"/>
      <c r="T43" s="1074"/>
      <c r="U43" s="1074"/>
      <c r="V43" s="1074"/>
      <c r="W43" s="1074"/>
      <c r="X43" s="1074"/>
      <c r="Y43" s="1074"/>
      <c r="Z43" s="1074"/>
      <c r="AA43" s="1074"/>
      <c r="AB43" s="1074"/>
      <c r="AC43" s="1074"/>
      <c r="AD43" s="1074"/>
      <c r="AE43" s="1074"/>
      <c r="AF43" s="1074"/>
      <c r="AG43" s="1074"/>
      <c r="AH43" s="1074"/>
      <c r="AI43" s="1074"/>
      <c r="AJ43" s="1074"/>
      <c r="AK43" s="1074"/>
      <c r="AL43" s="1074"/>
      <c r="AM43" s="1074"/>
      <c r="AN43" s="1074"/>
      <c r="AO43" s="1074"/>
      <c r="AP43" s="1074"/>
      <c r="AQ43" s="1074"/>
      <c r="AR43" s="1074"/>
      <c r="AS43" s="1074"/>
      <c r="AT43" s="1075"/>
    </row>
    <row r="44" ht="16.25" customHeight="1">
      <c r="A44" s="1067"/>
      <c r="B44" s="1271">
        <v>42</v>
      </c>
      <c r="C44" t="s" s="1272">
        <v>99</v>
      </c>
      <c r="D44" t="s" s="1273">
        <v>13</v>
      </c>
      <c r="E44" s="1274">
        <v>0</v>
      </c>
      <c r="F44" t="s" s="1273">
        <v>977</v>
      </c>
      <c r="G44" t="s" s="1273">
        <v>15</v>
      </c>
      <c r="H44" s="1275">
        <v>15</v>
      </c>
      <c r="I44" t="s" s="1273">
        <v>14</v>
      </c>
      <c r="J44" s="1279">
        <v>22000000</v>
      </c>
      <c r="K44" t="s" s="1276">
        <v>959</v>
      </c>
      <c r="L44" t="s" s="1278">
        <v>978</v>
      </c>
      <c r="M44" s="1073"/>
      <c r="N44" s="1074"/>
      <c r="O44" s="1074"/>
      <c r="P44" s="1074"/>
      <c r="Q44" s="1074"/>
      <c r="R44" s="1074"/>
      <c r="S44" s="1074"/>
      <c r="T44" s="1074"/>
      <c r="U44" s="1074"/>
      <c r="V44" s="1074"/>
      <c r="W44" s="1074"/>
      <c r="X44" s="1074"/>
      <c r="Y44" s="1074"/>
      <c r="Z44" s="1074"/>
      <c r="AA44" s="1074"/>
      <c r="AB44" s="1074"/>
      <c r="AC44" s="1074"/>
      <c r="AD44" s="1074"/>
      <c r="AE44" s="1074"/>
      <c r="AF44" s="1074"/>
      <c r="AG44" s="1074"/>
      <c r="AH44" s="1074"/>
      <c r="AI44" s="1074"/>
      <c r="AJ44" s="1074"/>
      <c r="AK44" s="1074"/>
      <c r="AL44" s="1074"/>
      <c r="AM44" s="1074"/>
      <c r="AN44" s="1074"/>
      <c r="AO44" s="1074"/>
      <c r="AP44" s="1074"/>
      <c r="AQ44" s="1074"/>
      <c r="AR44" s="1074"/>
      <c r="AS44" s="1074"/>
      <c r="AT44" s="1075"/>
    </row>
    <row r="45" ht="16.25" customHeight="1">
      <c r="A45" s="1067"/>
      <c r="B45" s="1271">
        <v>43</v>
      </c>
      <c r="C45" t="s" s="1272">
        <v>211</v>
      </c>
      <c r="D45" t="s" s="1273">
        <v>13</v>
      </c>
      <c r="E45" s="1274">
        <v>0</v>
      </c>
      <c r="F45" t="s" s="1273">
        <v>963</v>
      </c>
      <c r="G45" t="s" s="1273">
        <v>15</v>
      </c>
      <c r="H45" s="1275">
        <v>20</v>
      </c>
      <c r="I45" t="s" s="1273">
        <v>14</v>
      </c>
      <c r="J45" s="1279">
        <v>20000000</v>
      </c>
      <c r="K45" t="s" s="1276">
        <v>959</v>
      </c>
      <c r="L45" s="1277"/>
      <c r="M45" s="1073"/>
      <c r="N45" s="1074"/>
      <c r="O45" s="1074"/>
      <c r="P45" s="1074"/>
      <c r="Q45" s="1074"/>
      <c r="R45" s="1074"/>
      <c r="S45" s="1074"/>
      <c r="T45" s="1074"/>
      <c r="U45" s="1074"/>
      <c r="V45" s="1074"/>
      <c r="W45" s="1074"/>
      <c r="X45" s="1074"/>
      <c r="Y45" s="1074"/>
      <c r="Z45" s="1074"/>
      <c r="AA45" s="1074"/>
      <c r="AB45" s="1074"/>
      <c r="AC45" s="1074"/>
      <c r="AD45" s="1074"/>
      <c r="AE45" s="1074"/>
      <c r="AF45" s="1074"/>
      <c r="AG45" s="1074"/>
      <c r="AH45" s="1074"/>
      <c r="AI45" s="1074"/>
      <c r="AJ45" s="1074"/>
      <c r="AK45" s="1074"/>
      <c r="AL45" s="1074"/>
      <c r="AM45" s="1074"/>
      <c r="AN45" s="1074"/>
      <c r="AO45" s="1074"/>
      <c r="AP45" s="1074"/>
      <c r="AQ45" s="1074"/>
      <c r="AR45" s="1074"/>
      <c r="AS45" s="1074"/>
      <c r="AT45" s="1075"/>
    </row>
    <row r="46" ht="16.25" customHeight="1">
      <c r="A46" s="1067"/>
      <c r="B46" s="1271">
        <v>44</v>
      </c>
      <c r="C46" t="s" s="1272">
        <v>102</v>
      </c>
      <c r="D46" t="s" s="1273">
        <v>13</v>
      </c>
      <c r="E46" s="1274">
        <v>0</v>
      </c>
      <c r="F46" t="s" s="1273">
        <v>979</v>
      </c>
      <c r="G46" t="s" s="1273">
        <v>15</v>
      </c>
      <c r="H46" s="1275">
        <v>16</v>
      </c>
      <c r="I46" t="s" s="1273">
        <v>14</v>
      </c>
      <c r="J46" s="1279">
        <v>18700000</v>
      </c>
      <c r="K46" t="s" s="1276">
        <v>959</v>
      </c>
      <c r="L46" s="1280"/>
      <c r="M46" s="1073"/>
      <c r="N46" s="1074"/>
      <c r="O46" s="1074"/>
      <c r="P46" s="1074"/>
      <c r="Q46" s="1074"/>
      <c r="R46" s="1074"/>
      <c r="S46" s="1074"/>
      <c r="T46" s="1074"/>
      <c r="U46" s="1074"/>
      <c r="V46" s="1074"/>
      <c r="W46" s="1074"/>
      <c r="X46" s="1074"/>
      <c r="Y46" s="1074"/>
      <c r="Z46" s="1074"/>
      <c r="AA46" s="1074"/>
      <c r="AB46" s="1074"/>
      <c r="AC46" s="1074"/>
      <c r="AD46" s="1074"/>
      <c r="AE46" s="1074"/>
      <c r="AF46" s="1074"/>
      <c r="AG46" s="1074"/>
      <c r="AH46" s="1074"/>
      <c r="AI46" s="1074"/>
      <c r="AJ46" s="1074"/>
      <c r="AK46" s="1074"/>
      <c r="AL46" s="1074"/>
      <c r="AM46" s="1074"/>
      <c r="AN46" s="1074"/>
      <c r="AO46" s="1074"/>
      <c r="AP46" s="1074"/>
      <c r="AQ46" s="1074"/>
      <c r="AR46" s="1074"/>
      <c r="AS46" s="1074"/>
      <c r="AT46" s="1075"/>
    </row>
    <row r="47" ht="16.25" customHeight="1">
      <c r="A47" s="1067"/>
      <c r="B47" s="1271">
        <v>45</v>
      </c>
      <c r="C47" t="s" s="1272">
        <v>101</v>
      </c>
      <c r="D47" t="s" s="1273">
        <v>13</v>
      </c>
      <c r="E47" s="1274">
        <v>0</v>
      </c>
      <c r="F47" t="s" s="1273">
        <v>979</v>
      </c>
      <c r="G47" t="s" s="1273">
        <v>15</v>
      </c>
      <c r="H47" s="1275">
        <v>45</v>
      </c>
      <c r="I47" t="s" s="1273">
        <v>14</v>
      </c>
      <c r="J47" s="1279">
        <v>34000000</v>
      </c>
      <c r="K47" t="s" s="1276">
        <v>959</v>
      </c>
      <c r="L47" t="s" s="1278">
        <v>980</v>
      </c>
      <c r="M47" s="1073"/>
      <c r="N47" s="1074"/>
      <c r="O47" s="1074"/>
      <c r="P47" s="1074"/>
      <c r="Q47" s="1074"/>
      <c r="R47" s="1074"/>
      <c r="S47" s="1074"/>
      <c r="T47" s="1074"/>
      <c r="U47" s="1074"/>
      <c r="V47" s="1074"/>
      <c r="W47" s="1074"/>
      <c r="X47" s="1074"/>
      <c r="Y47" s="1074"/>
      <c r="Z47" s="1074"/>
      <c r="AA47" s="1074"/>
      <c r="AB47" s="1074"/>
      <c r="AC47" s="1074"/>
      <c r="AD47" s="1074"/>
      <c r="AE47" s="1074"/>
      <c r="AF47" s="1074"/>
      <c r="AG47" s="1074"/>
      <c r="AH47" s="1074"/>
      <c r="AI47" s="1074"/>
      <c r="AJ47" s="1074"/>
      <c r="AK47" s="1074"/>
      <c r="AL47" s="1074"/>
      <c r="AM47" s="1074"/>
      <c r="AN47" s="1074"/>
      <c r="AO47" s="1074"/>
      <c r="AP47" s="1074"/>
      <c r="AQ47" s="1074"/>
      <c r="AR47" s="1074"/>
      <c r="AS47" s="1074"/>
      <c r="AT47" s="1075"/>
    </row>
    <row r="48" ht="16.25" customHeight="1">
      <c r="A48" s="1067"/>
      <c r="B48" s="1271">
        <v>46</v>
      </c>
      <c r="C48" t="s" s="1272">
        <v>105</v>
      </c>
      <c r="D48" t="s" s="1273">
        <v>13</v>
      </c>
      <c r="E48" s="1274">
        <v>0</v>
      </c>
      <c r="F48" t="s" s="1273">
        <v>979</v>
      </c>
      <c r="G48" t="s" s="1273">
        <v>15</v>
      </c>
      <c r="H48" s="1275">
        <v>35</v>
      </c>
      <c r="I48" t="s" s="1273">
        <v>14</v>
      </c>
      <c r="J48" s="1279">
        <v>31200000</v>
      </c>
      <c r="K48" t="s" s="1276">
        <v>959</v>
      </c>
      <c r="L48" t="s" s="1278">
        <v>981</v>
      </c>
      <c r="M48" s="1073"/>
      <c r="N48" s="1074"/>
      <c r="O48" s="1074"/>
      <c r="P48" s="1074"/>
      <c r="Q48" s="1074"/>
      <c r="R48" s="1074"/>
      <c r="S48" s="1074"/>
      <c r="T48" s="1074"/>
      <c r="U48" s="1074"/>
      <c r="V48" s="1074"/>
      <c r="W48" s="1074"/>
      <c r="X48" s="1074"/>
      <c r="Y48" s="1074"/>
      <c r="Z48" s="1074"/>
      <c r="AA48" s="1074"/>
      <c r="AB48" s="1074"/>
      <c r="AC48" s="1074"/>
      <c r="AD48" s="1074"/>
      <c r="AE48" s="1074"/>
      <c r="AF48" s="1074"/>
      <c r="AG48" s="1074"/>
      <c r="AH48" s="1074"/>
      <c r="AI48" s="1074"/>
      <c r="AJ48" s="1074"/>
      <c r="AK48" s="1074"/>
      <c r="AL48" s="1074"/>
      <c r="AM48" s="1074"/>
      <c r="AN48" s="1074"/>
      <c r="AO48" s="1074"/>
      <c r="AP48" s="1074"/>
      <c r="AQ48" s="1074"/>
      <c r="AR48" s="1074"/>
      <c r="AS48" s="1074"/>
      <c r="AT48" s="1075"/>
    </row>
    <row r="49" ht="16.25" customHeight="1">
      <c r="A49" s="1067"/>
      <c r="B49" s="1271">
        <v>47</v>
      </c>
      <c r="C49" t="s" s="1272">
        <v>106</v>
      </c>
      <c r="D49" t="s" s="1273">
        <v>13</v>
      </c>
      <c r="E49" s="1274">
        <v>0</v>
      </c>
      <c r="F49" t="s" s="1273">
        <v>979</v>
      </c>
      <c r="G49" t="s" s="1273">
        <v>15</v>
      </c>
      <c r="H49" s="1275">
        <v>18</v>
      </c>
      <c r="I49" t="s" s="1273">
        <v>14</v>
      </c>
      <c r="J49" s="1279">
        <v>34000000</v>
      </c>
      <c r="K49" t="s" s="1276">
        <v>959</v>
      </c>
      <c r="L49" t="s" s="1278">
        <v>982</v>
      </c>
      <c r="M49" s="1073"/>
      <c r="N49" s="1074"/>
      <c r="O49" s="1074"/>
      <c r="P49" s="1074"/>
      <c r="Q49" s="1074"/>
      <c r="R49" s="1074"/>
      <c r="S49" s="1074"/>
      <c r="T49" s="1074"/>
      <c r="U49" s="1074"/>
      <c r="V49" s="1074"/>
      <c r="W49" s="1074"/>
      <c r="X49" s="1074"/>
      <c r="Y49" s="1074"/>
      <c r="Z49" s="1074"/>
      <c r="AA49" s="1074"/>
      <c r="AB49" s="1074"/>
      <c r="AC49" s="1074"/>
      <c r="AD49" s="1074"/>
      <c r="AE49" s="1074"/>
      <c r="AF49" s="1074"/>
      <c r="AG49" s="1074"/>
      <c r="AH49" s="1074"/>
      <c r="AI49" s="1074"/>
      <c r="AJ49" s="1074"/>
      <c r="AK49" s="1074"/>
      <c r="AL49" s="1074"/>
      <c r="AM49" s="1074"/>
      <c r="AN49" s="1074"/>
      <c r="AO49" s="1074"/>
      <c r="AP49" s="1074"/>
      <c r="AQ49" s="1074"/>
      <c r="AR49" s="1074"/>
      <c r="AS49" s="1074"/>
      <c r="AT49" s="1075"/>
    </row>
    <row r="50" ht="16.25" customHeight="1">
      <c r="A50" s="1067"/>
      <c r="B50" s="1271">
        <v>48</v>
      </c>
      <c r="C50" t="s" s="1272">
        <v>109</v>
      </c>
      <c r="D50" t="s" s="1273">
        <v>13</v>
      </c>
      <c r="E50" s="1274">
        <v>0</v>
      </c>
      <c r="F50" t="s" s="1273">
        <v>979</v>
      </c>
      <c r="G50" t="s" s="1273">
        <v>15</v>
      </c>
      <c r="H50" s="1275">
        <v>13</v>
      </c>
      <c r="I50" t="s" s="1273">
        <v>14</v>
      </c>
      <c r="J50" s="1279">
        <v>40750000</v>
      </c>
      <c r="K50" t="s" s="1276">
        <v>959</v>
      </c>
      <c r="L50" t="s" s="1278">
        <v>983</v>
      </c>
      <c r="M50" s="1073"/>
      <c r="N50" s="1074"/>
      <c r="O50" s="1074"/>
      <c r="P50" s="1074"/>
      <c r="Q50" s="1074"/>
      <c r="R50" s="1074"/>
      <c r="S50" s="1074"/>
      <c r="T50" s="1074"/>
      <c r="U50" s="1074"/>
      <c r="V50" s="1074"/>
      <c r="W50" s="1074"/>
      <c r="X50" s="1074"/>
      <c r="Y50" s="1074"/>
      <c r="Z50" s="1074"/>
      <c r="AA50" s="1074"/>
      <c r="AB50" s="1074"/>
      <c r="AC50" s="1074"/>
      <c r="AD50" s="1074"/>
      <c r="AE50" s="1074"/>
      <c r="AF50" s="1074"/>
      <c r="AG50" s="1074"/>
      <c r="AH50" s="1074"/>
      <c r="AI50" s="1074"/>
      <c r="AJ50" s="1074"/>
      <c r="AK50" s="1074"/>
      <c r="AL50" s="1074"/>
      <c r="AM50" s="1074"/>
      <c r="AN50" s="1074"/>
      <c r="AO50" s="1074"/>
      <c r="AP50" s="1074"/>
      <c r="AQ50" s="1074"/>
      <c r="AR50" s="1074"/>
      <c r="AS50" s="1074"/>
      <c r="AT50" s="1075"/>
    </row>
    <row r="51" ht="16.25" customHeight="1">
      <c r="A51" s="1067"/>
      <c r="B51" s="1271">
        <v>49</v>
      </c>
      <c r="C51" t="s" s="1272">
        <v>107</v>
      </c>
      <c r="D51" t="s" s="1273">
        <v>13</v>
      </c>
      <c r="E51" s="1274">
        <v>0</v>
      </c>
      <c r="F51" t="s" s="1273">
        <v>979</v>
      </c>
      <c r="G51" t="s" s="1273">
        <v>15</v>
      </c>
      <c r="H51" s="1275">
        <v>10</v>
      </c>
      <c r="I51" t="s" s="1273">
        <v>14</v>
      </c>
      <c r="J51" s="1279">
        <v>12000000</v>
      </c>
      <c r="K51" t="s" s="1276">
        <v>959</v>
      </c>
      <c r="L51" s="1277"/>
      <c r="M51" s="1073"/>
      <c r="N51" s="1074"/>
      <c r="O51" s="1074"/>
      <c r="P51" s="1074"/>
      <c r="Q51" s="1074"/>
      <c r="R51" s="1074"/>
      <c r="S51" s="1074"/>
      <c r="T51" s="1074"/>
      <c r="U51" s="1074"/>
      <c r="V51" s="1074"/>
      <c r="W51" s="1074"/>
      <c r="X51" s="1074"/>
      <c r="Y51" s="1074"/>
      <c r="Z51" s="1074"/>
      <c r="AA51" s="1074"/>
      <c r="AB51" s="1074"/>
      <c r="AC51" s="1074"/>
      <c r="AD51" s="1074"/>
      <c r="AE51" s="1074"/>
      <c r="AF51" s="1074"/>
      <c r="AG51" s="1074"/>
      <c r="AH51" s="1074"/>
      <c r="AI51" s="1074"/>
      <c r="AJ51" s="1074"/>
      <c r="AK51" s="1074"/>
      <c r="AL51" s="1074"/>
      <c r="AM51" s="1074"/>
      <c r="AN51" s="1074"/>
      <c r="AO51" s="1074"/>
      <c r="AP51" s="1074"/>
      <c r="AQ51" s="1074"/>
      <c r="AR51" s="1074"/>
      <c r="AS51" s="1074"/>
      <c r="AT51" s="1075"/>
    </row>
    <row r="52" ht="16.25" customHeight="1">
      <c r="A52" s="1067"/>
      <c r="B52" s="1271">
        <v>50</v>
      </c>
      <c r="C52" t="s" s="1272">
        <v>108</v>
      </c>
      <c r="D52" t="s" s="1273">
        <v>13</v>
      </c>
      <c r="E52" s="1274">
        <v>0</v>
      </c>
      <c r="F52" t="s" s="1273">
        <v>979</v>
      </c>
      <c r="G52" t="s" s="1273">
        <v>15</v>
      </c>
      <c r="H52" s="1275">
        <v>10</v>
      </c>
      <c r="I52" t="s" s="1273">
        <v>14</v>
      </c>
      <c r="J52" s="1279" cm="1">
        <f t="array" ref="J52">8600000+500000</f>
        <v>9100000</v>
      </c>
      <c r="K52" t="s" s="1276">
        <v>959</v>
      </c>
      <c r="L52" t="s" s="1278">
        <v>984</v>
      </c>
      <c r="M52" s="1073"/>
      <c r="N52" s="1074"/>
      <c r="O52" s="1074"/>
      <c r="P52" s="1074"/>
      <c r="Q52" s="1074"/>
      <c r="R52" s="1074"/>
      <c r="S52" s="1074"/>
      <c r="T52" s="1074"/>
      <c r="U52" s="1074"/>
      <c r="V52" s="1074"/>
      <c r="W52" s="1074"/>
      <c r="X52" s="1074"/>
      <c r="Y52" s="1074"/>
      <c r="Z52" s="1074"/>
      <c r="AA52" s="1074"/>
      <c r="AB52" s="1074"/>
      <c r="AC52" s="1074"/>
      <c r="AD52" s="1074"/>
      <c r="AE52" s="1074"/>
      <c r="AF52" s="1074"/>
      <c r="AG52" s="1074"/>
      <c r="AH52" s="1074"/>
      <c r="AI52" s="1074"/>
      <c r="AJ52" s="1074"/>
      <c r="AK52" s="1074"/>
      <c r="AL52" s="1074"/>
      <c r="AM52" s="1074"/>
      <c r="AN52" s="1074"/>
      <c r="AO52" s="1074"/>
      <c r="AP52" s="1074"/>
      <c r="AQ52" s="1074"/>
      <c r="AR52" s="1074"/>
      <c r="AS52" s="1074"/>
      <c r="AT52" s="1075"/>
    </row>
    <row r="53" ht="16.25" customHeight="1">
      <c r="A53" s="1067"/>
      <c r="B53" s="1271">
        <v>51</v>
      </c>
      <c r="C53" t="s" s="1272">
        <v>213</v>
      </c>
      <c r="D53" t="s" s="1273">
        <v>13</v>
      </c>
      <c r="E53" s="1274">
        <v>0</v>
      </c>
      <c r="F53" t="s" s="1273">
        <v>963</v>
      </c>
      <c r="G53" t="s" s="1273">
        <v>15</v>
      </c>
      <c r="H53" s="1275">
        <v>25</v>
      </c>
      <c r="I53" t="s" s="1273">
        <v>14</v>
      </c>
      <c r="J53" s="1279">
        <v>29000000</v>
      </c>
      <c r="K53" t="s" s="1276">
        <v>959</v>
      </c>
      <c r="L53" s="1277"/>
      <c r="M53" s="1073"/>
      <c r="N53" s="1074"/>
      <c r="O53" s="1074"/>
      <c r="P53" s="1074"/>
      <c r="Q53" s="1074"/>
      <c r="R53" s="1074"/>
      <c r="S53" s="1074"/>
      <c r="T53" s="1074"/>
      <c r="U53" s="1074"/>
      <c r="V53" s="1074"/>
      <c r="W53" s="1074"/>
      <c r="X53" s="1074"/>
      <c r="Y53" s="1074"/>
      <c r="Z53" s="1074"/>
      <c r="AA53" s="1074"/>
      <c r="AB53" s="1074"/>
      <c r="AC53" s="1074"/>
      <c r="AD53" s="1074"/>
      <c r="AE53" s="1074"/>
      <c r="AF53" s="1074"/>
      <c r="AG53" s="1074"/>
      <c r="AH53" s="1074"/>
      <c r="AI53" s="1074"/>
      <c r="AJ53" s="1074"/>
      <c r="AK53" s="1074"/>
      <c r="AL53" s="1074"/>
      <c r="AM53" s="1074"/>
      <c r="AN53" s="1074"/>
      <c r="AO53" s="1074"/>
      <c r="AP53" s="1074"/>
      <c r="AQ53" s="1074"/>
      <c r="AR53" s="1074"/>
      <c r="AS53" s="1074"/>
      <c r="AT53" s="1075"/>
    </row>
    <row r="54" ht="16.25" customHeight="1">
      <c r="A54" s="1067"/>
      <c r="B54" s="1271">
        <v>52</v>
      </c>
      <c r="C54" t="s" s="1272">
        <v>112</v>
      </c>
      <c r="D54" t="s" s="1273">
        <v>13</v>
      </c>
      <c r="E54" s="1274">
        <v>0</v>
      </c>
      <c r="F54" t="s" s="1273">
        <v>963</v>
      </c>
      <c r="G54" t="s" s="1273">
        <v>15</v>
      </c>
      <c r="H54" s="1275">
        <v>12</v>
      </c>
      <c r="I54" t="s" s="1273">
        <v>14</v>
      </c>
      <c r="J54" s="1279">
        <v>13000000</v>
      </c>
      <c r="K54" t="s" s="1276">
        <v>959</v>
      </c>
      <c r="L54" s="1277"/>
      <c r="M54" s="1073"/>
      <c r="N54" s="1074"/>
      <c r="O54" s="1074"/>
      <c r="P54" s="1074"/>
      <c r="Q54" s="1074"/>
      <c r="R54" s="1074"/>
      <c r="S54" s="1074"/>
      <c r="T54" s="1074"/>
      <c r="U54" s="1074"/>
      <c r="V54" s="1074"/>
      <c r="W54" s="1074"/>
      <c r="X54" s="1074"/>
      <c r="Y54" s="1074"/>
      <c r="Z54" s="1074"/>
      <c r="AA54" s="1074"/>
      <c r="AB54" s="1074"/>
      <c r="AC54" s="1074"/>
      <c r="AD54" s="1074"/>
      <c r="AE54" s="1074"/>
      <c r="AF54" s="1074"/>
      <c r="AG54" s="1074"/>
      <c r="AH54" s="1074"/>
      <c r="AI54" s="1074"/>
      <c r="AJ54" s="1074"/>
      <c r="AK54" s="1074"/>
      <c r="AL54" s="1074"/>
      <c r="AM54" s="1074"/>
      <c r="AN54" s="1074"/>
      <c r="AO54" s="1074"/>
      <c r="AP54" s="1074"/>
      <c r="AQ54" s="1074"/>
      <c r="AR54" s="1074"/>
      <c r="AS54" s="1074"/>
      <c r="AT54" s="1075"/>
    </row>
    <row r="55" ht="16.25" customHeight="1">
      <c r="A55" s="1067"/>
      <c r="B55" s="1271">
        <v>53</v>
      </c>
      <c r="C55" t="s" s="1272">
        <v>110</v>
      </c>
      <c r="D55" t="s" s="1273">
        <v>13</v>
      </c>
      <c r="E55" s="1274">
        <v>0</v>
      </c>
      <c r="F55" t="s" s="1273">
        <v>963</v>
      </c>
      <c r="G55" t="s" s="1273">
        <v>15</v>
      </c>
      <c r="H55" s="1275">
        <v>19</v>
      </c>
      <c r="I55" t="s" s="1273">
        <v>14</v>
      </c>
      <c r="J55" s="1279">
        <v>24000000</v>
      </c>
      <c r="K55" t="s" s="1276">
        <v>959</v>
      </c>
      <c r="L55" s="1277"/>
      <c r="M55" s="1073"/>
      <c r="N55" s="1074"/>
      <c r="O55" s="1074"/>
      <c r="P55" s="1074"/>
      <c r="Q55" s="1074"/>
      <c r="R55" s="1074"/>
      <c r="S55" s="1074"/>
      <c r="T55" s="1074"/>
      <c r="U55" s="1074"/>
      <c r="V55" s="1074"/>
      <c r="W55" s="1074"/>
      <c r="X55" s="1074"/>
      <c r="Y55" s="1074"/>
      <c r="Z55" s="1074"/>
      <c r="AA55" s="1074"/>
      <c r="AB55" s="1074"/>
      <c r="AC55" s="1074"/>
      <c r="AD55" s="1074"/>
      <c r="AE55" s="1074"/>
      <c r="AF55" s="1074"/>
      <c r="AG55" s="1074"/>
      <c r="AH55" s="1074"/>
      <c r="AI55" s="1074"/>
      <c r="AJ55" s="1074"/>
      <c r="AK55" s="1074"/>
      <c r="AL55" s="1074"/>
      <c r="AM55" s="1074"/>
      <c r="AN55" s="1074"/>
      <c r="AO55" s="1074"/>
      <c r="AP55" s="1074"/>
      <c r="AQ55" s="1074"/>
      <c r="AR55" s="1074"/>
      <c r="AS55" s="1074"/>
      <c r="AT55" s="1075"/>
    </row>
    <row r="56" ht="16.25" customHeight="1">
      <c r="A56" s="1067"/>
      <c r="B56" s="1271">
        <v>54</v>
      </c>
      <c r="C56" t="s" s="1272">
        <v>111</v>
      </c>
      <c r="D56" t="s" s="1273">
        <v>940</v>
      </c>
      <c r="E56" s="1274">
        <v>0.5</v>
      </c>
      <c r="F56" t="s" s="1273">
        <v>963</v>
      </c>
      <c r="G56" t="s" s="1273">
        <v>12</v>
      </c>
      <c r="H56" s="1275">
        <v>13</v>
      </c>
      <c r="I56" t="s" s="1273">
        <v>14</v>
      </c>
      <c r="J56" s="1279">
        <v>8500000</v>
      </c>
      <c r="K56" t="s" s="1276">
        <v>962</v>
      </c>
      <c r="L56" s="1277"/>
      <c r="M56" s="1073"/>
      <c r="N56" s="1074"/>
      <c r="O56" s="1074"/>
      <c r="P56" s="1074"/>
      <c r="Q56" s="1074"/>
      <c r="R56" s="1074"/>
      <c r="S56" s="1074"/>
      <c r="T56" s="1074"/>
      <c r="U56" s="1074"/>
      <c r="V56" s="1074"/>
      <c r="W56" s="1074"/>
      <c r="X56" s="1074"/>
      <c r="Y56" s="1074"/>
      <c r="Z56" s="1074"/>
      <c r="AA56" s="1074"/>
      <c r="AB56" s="1074"/>
      <c r="AC56" s="1074"/>
      <c r="AD56" s="1074"/>
      <c r="AE56" s="1074"/>
      <c r="AF56" s="1074"/>
      <c r="AG56" s="1074"/>
      <c r="AH56" s="1074"/>
      <c r="AI56" s="1074"/>
      <c r="AJ56" s="1074"/>
      <c r="AK56" s="1074"/>
      <c r="AL56" s="1074"/>
      <c r="AM56" s="1074"/>
      <c r="AN56" s="1074"/>
      <c r="AO56" s="1074"/>
      <c r="AP56" s="1074"/>
      <c r="AQ56" s="1074"/>
      <c r="AR56" s="1074"/>
      <c r="AS56" s="1074"/>
      <c r="AT56" s="1075"/>
    </row>
    <row r="57" ht="16.25" customHeight="1">
      <c r="A57" s="1067"/>
      <c r="B57" s="1281">
        <v>55</v>
      </c>
      <c r="C57" t="s" s="1282">
        <v>214</v>
      </c>
      <c r="D57" t="s" s="1283">
        <v>13</v>
      </c>
      <c r="E57" s="1284">
        <v>0</v>
      </c>
      <c r="F57" t="s" s="1283">
        <v>979</v>
      </c>
      <c r="G57" t="s" s="1283">
        <v>15</v>
      </c>
      <c r="H57" s="1285">
        <v>12</v>
      </c>
      <c r="I57" t="s" s="1283">
        <v>14</v>
      </c>
      <c r="J57" s="1286">
        <v>8000000</v>
      </c>
      <c r="K57" t="s" s="1287">
        <v>959</v>
      </c>
      <c r="L57" s="1288"/>
      <c r="M57" s="1073"/>
      <c r="N57" s="1074"/>
      <c r="O57" s="1074"/>
      <c r="P57" s="1074"/>
      <c r="Q57" s="1074"/>
      <c r="R57" s="1074"/>
      <c r="S57" s="1074"/>
      <c r="T57" s="1074"/>
      <c r="U57" s="1074"/>
      <c r="V57" s="1074"/>
      <c r="W57" s="1074"/>
      <c r="X57" s="1074"/>
      <c r="Y57" s="1074"/>
      <c r="Z57" s="1074"/>
      <c r="AA57" s="1074"/>
      <c r="AB57" s="1074"/>
      <c r="AC57" s="1074"/>
      <c r="AD57" s="1074"/>
      <c r="AE57" s="1074"/>
      <c r="AF57" s="1074"/>
      <c r="AG57" s="1074"/>
      <c r="AH57" s="1074"/>
      <c r="AI57" s="1074"/>
      <c r="AJ57" s="1074"/>
      <c r="AK57" s="1074"/>
      <c r="AL57" s="1074"/>
      <c r="AM57" s="1074"/>
      <c r="AN57" s="1074"/>
      <c r="AO57" s="1074"/>
      <c r="AP57" s="1074"/>
      <c r="AQ57" s="1074"/>
      <c r="AR57" s="1074"/>
      <c r="AS57" s="1074"/>
      <c r="AT57" s="1075"/>
    </row>
    <row r="58" ht="14.25" customHeight="1">
      <c r="A58" s="1116"/>
      <c r="B58" s="1117"/>
      <c r="C58" s="1118"/>
      <c r="D58" s="1118"/>
      <c r="E58" s="1118"/>
      <c r="F58" s="1118"/>
      <c r="G58" s="1118"/>
      <c r="H58" s="1118"/>
      <c r="I58" s="1118"/>
      <c r="J58" s="1118"/>
      <c r="K58" s="1119"/>
      <c r="L58" s="1119"/>
      <c r="M58" s="1074"/>
      <c r="N58" s="1074"/>
      <c r="O58" s="1074"/>
      <c r="P58" s="1074"/>
      <c r="Q58" s="1074"/>
      <c r="R58" s="1074"/>
      <c r="S58" s="1074"/>
      <c r="T58" s="1074"/>
      <c r="U58" s="1074"/>
      <c r="V58" s="1074"/>
      <c r="W58" s="1074"/>
      <c r="X58" s="1074"/>
      <c r="Y58" s="1074"/>
      <c r="Z58" s="1074"/>
      <c r="AA58" s="1074"/>
      <c r="AB58" s="1074"/>
      <c r="AC58" s="1074"/>
      <c r="AD58" s="1074"/>
      <c r="AE58" s="1074"/>
      <c r="AF58" s="1074"/>
      <c r="AG58" s="1074"/>
      <c r="AH58" s="1074"/>
      <c r="AI58" s="1074"/>
      <c r="AJ58" s="1074"/>
      <c r="AK58" s="1074"/>
      <c r="AL58" s="1074"/>
      <c r="AM58" s="1074"/>
      <c r="AN58" s="1074"/>
      <c r="AO58" s="1074"/>
      <c r="AP58" s="1074"/>
      <c r="AQ58" s="1074"/>
      <c r="AR58" s="1074"/>
      <c r="AS58" s="1074"/>
      <c r="AT58" s="1075"/>
    </row>
    <row r="59" ht="14.25" customHeight="1">
      <c r="A59" s="1116"/>
      <c r="B59" s="1120"/>
      <c r="C59" t="s" s="1100">
        <v>985</v>
      </c>
      <c r="D59" s="1100"/>
      <c r="E59" s="1100"/>
      <c r="F59" s="1100"/>
      <c r="G59" s="1100"/>
      <c r="H59" s="1100"/>
      <c r="I59" s="1100"/>
      <c r="J59" s="1100"/>
      <c r="K59" s="1074"/>
      <c r="L59" s="1074"/>
      <c r="M59" s="1074"/>
      <c r="N59" s="1074"/>
      <c r="O59" s="1074"/>
      <c r="P59" s="1074"/>
      <c r="Q59" s="1074"/>
      <c r="R59" s="1074"/>
      <c r="S59" s="1074"/>
      <c r="T59" s="1074"/>
      <c r="U59" s="1074"/>
      <c r="V59" s="1074"/>
      <c r="W59" s="1074"/>
      <c r="X59" s="1074"/>
      <c r="Y59" s="1074"/>
      <c r="Z59" s="1074"/>
      <c r="AA59" s="1074"/>
      <c r="AB59" s="1074"/>
      <c r="AC59" s="1074"/>
      <c r="AD59" s="1074"/>
      <c r="AE59" s="1074"/>
      <c r="AF59" s="1074"/>
      <c r="AG59" s="1074"/>
      <c r="AH59" s="1074"/>
      <c r="AI59" s="1074"/>
      <c r="AJ59" s="1074"/>
      <c r="AK59" s="1074"/>
      <c r="AL59" s="1074"/>
      <c r="AM59" s="1074"/>
      <c r="AN59" s="1074"/>
      <c r="AO59" s="1074"/>
      <c r="AP59" s="1074"/>
      <c r="AQ59" s="1074"/>
      <c r="AR59" s="1074"/>
      <c r="AS59" s="1074"/>
      <c r="AT59" s="1075"/>
    </row>
    <row r="60" ht="14.25" customHeight="1">
      <c r="A60" s="1116"/>
      <c r="B60" s="1120"/>
      <c r="C60" s="1100"/>
      <c r="D60" s="1100"/>
      <c r="E60" s="1100"/>
      <c r="F60" s="1100"/>
      <c r="G60" s="1100"/>
      <c r="H60" s="1100"/>
      <c r="I60" s="1100"/>
      <c r="J60" s="1100"/>
      <c r="K60" s="1074"/>
      <c r="L60" s="1074"/>
      <c r="M60" s="1074"/>
      <c r="N60" s="1074"/>
      <c r="O60" s="1074"/>
      <c r="P60" s="1074"/>
      <c r="Q60" s="1074"/>
      <c r="R60" s="1074"/>
      <c r="S60" s="1074"/>
      <c r="T60" s="1074"/>
      <c r="U60" s="1074"/>
      <c r="V60" s="1074"/>
      <c r="W60" s="1074"/>
      <c r="X60" s="1074"/>
      <c r="Y60" s="1074"/>
      <c r="Z60" s="1074"/>
      <c r="AA60" s="1074"/>
      <c r="AB60" s="1074"/>
      <c r="AC60" s="1074"/>
      <c r="AD60" s="1074"/>
      <c r="AE60" s="1074"/>
      <c r="AF60" s="1074"/>
      <c r="AG60" s="1074"/>
      <c r="AH60" s="1074"/>
      <c r="AI60" s="1074"/>
      <c r="AJ60" s="1074"/>
      <c r="AK60" s="1074"/>
      <c r="AL60" s="1074"/>
      <c r="AM60" s="1074"/>
      <c r="AN60" s="1074"/>
      <c r="AO60" s="1074"/>
      <c r="AP60" s="1074"/>
      <c r="AQ60" s="1074"/>
      <c r="AR60" s="1074"/>
      <c r="AS60" s="1074"/>
      <c r="AT60" s="1075"/>
    </row>
    <row r="61" ht="14.25" customHeight="1">
      <c r="A61" s="1116"/>
      <c r="B61" s="1120"/>
      <c r="C61" s="1100"/>
      <c r="D61" s="1100"/>
      <c r="E61" s="1100"/>
      <c r="F61" s="1100"/>
      <c r="G61" s="1100"/>
      <c r="H61" s="1100"/>
      <c r="I61" s="1100"/>
      <c r="J61" s="1100"/>
      <c r="K61" s="1074"/>
      <c r="L61" s="1074"/>
      <c r="M61" s="1074"/>
      <c r="N61" s="1074"/>
      <c r="O61" s="1074"/>
      <c r="P61" s="1074"/>
      <c r="Q61" s="1074"/>
      <c r="R61" s="1074"/>
      <c r="S61" s="1074"/>
      <c r="T61" s="1074"/>
      <c r="U61" s="1074"/>
      <c r="V61" s="1074"/>
      <c r="W61" s="1074"/>
      <c r="X61" s="1074"/>
      <c r="Y61" s="1074"/>
      <c r="Z61" s="1074"/>
      <c r="AA61" s="1074"/>
      <c r="AB61" s="1074"/>
      <c r="AC61" s="1074"/>
      <c r="AD61" s="1074"/>
      <c r="AE61" s="1074"/>
      <c r="AF61" s="1074"/>
      <c r="AG61" s="1074"/>
      <c r="AH61" s="1074"/>
      <c r="AI61" s="1074"/>
      <c r="AJ61" s="1074"/>
      <c r="AK61" s="1074"/>
      <c r="AL61" s="1074"/>
      <c r="AM61" s="1074"/>
      <c r="AN61" s="1074"/>
      <c r="AO61" s="1074"/>
      <c r="AP61" s="1074"/>
      <c r="AQ61" s="1074"/>
      <c r="AR61" s="1074"/>
      <c r="AS61" s="1074"/>
      <c r="AT61" s="1075"/>
    </row>
    <row r="62" ht="14.25" customHeight="1">
      <c r="A62" s="1116"/>
      <c r="B62" s="1120"/>
      <c r="C62" s="1121"/>
      <c r="D62" s="1100"/>
      <c r="E62" s="1100"/>
      <c r="F62" s="1100"/>
      <c r="G62" s="1100"/>
      <c r="H62" s="1100"/>
      <c r="I62" s="1100"/>
      <c r="J62" s="1100"/>
      <c r="K62" s="1074"/>
      <c r="L62" s="1074"/>
      <c r="M62" s="1074"/>
      <c r="N62" s="1074"/>
      <c r="O62" s="1074"/>
      <c r="P62" s="1074"/>
      <c r="Q62" s="1074"/>
      <c r="R62" s="1074"/>
      <c r="S62" s="1074"/>
      <c r="T62" s="1074"/>
      <c r="U62" s="1074"/>
      <c r="V62" s="1074"/>
      <c r="W62" s="1074"/>
      <c r="X62" s="1074"/>
      <c r="Y62" s="1074"/>
      <c r="Z62" s="1074"/>
      <c r="AA62" s="1074"/>
      <c r="AB62" s="1074"/>
      <c r="AC62" s="1074"/>
      <c r="AD62" s="1074"/>
      <c r="AE62" s="1074"/>
      <c r="AF62" s="1074"/>
      <c r="AG62" s="1074"/>
      <c r="AH62" s="1074"/>
      <c r="AI62" s="1074"/>
      <c r="AJ62" s="1074"/>
      <c r="AK62" s="1074"/>
      <c r="AL62" s="1074"/>
      <c r="AM62" s="1074"/>
      <c r="AN62" s="1074"/>
      <c r="AO62" s="1074"/>
      <c r="AP62" s="1074"/>
      <c r="AQ62" s="1074"/>
      <c r="AR62" s="1074"/>
      <c r="AS62" s="1074"/>
      <c r="AT62" s="1075"/>
    </row>
    <row r="63" ht="14.25" customHeight="1">
      <c r="A63" s="1116"/>
      <c r="B63" s="1120"/>
      <c r="C63" s="1100"/>
      <c r="D63" s="1100"/>
      <c r="E63" s="1100"/>
      <c r="F63" s="1100"/>
      <c r="G63" s="1100"/>
      <c r="H63" s="1100"/>
      <c r="I63" s="1100"/>
      <c r="J63" s="1100"/>
      <c r="K63" s="1074"/>
      <c r="L63" s="1074"/>
      <c r="M63" s="1074"/>
      <c r="N63" s="1074"/>
      <c r="O63" s="1074"/>
      <c r="P63" s="1074"/>
      <c r="Q63" s="1074"/>
      <c r="R63" s="1074"/>
      <c r="S63" s="1074"/>
      <c r="T63" s="1074"/>
      <c r="U63" s="1074"/>
      <c r="V63" s="1074"/>
      <c r="W63" s="1074"/>
      <c r="X63" s="1074"/>
      <c r="Y63" s="1074"/>
      <c r="Z63" s="1074"/>
      <c r="AA63" s="1074"/>
      <c r="AB63" s="1074"/>
      <c r="AC63" s="1074"/>
      <c r="AD63" s="1074"/>
      <c r="AE63" s="1074"/>
      <c r="AF63" s="1074"/>
      <c r="AG63" s="1074"/>
      <c r="AH63" s="1074"/>
      <c r="AI63" s="1074"/>
      <c r="AJ63" s="1074"/>
      <c r="AK63" s="1074"/>
      <c r="AL63" s="1074"/>
      <c r="AM63" s="1074"/>
      <c r="AN63" s="1074"/>
      <c r="AO63" s="1074"/>
      <c r="AP63" s="1074"/>
      <c r="AQ63" s="1074"/>
      <c r="AR63" s="1074"/>
      <c r="AS63" s="1074"/>
      <c r="AT63" s="1075"/>
    </row>
    <row r="64" ht="14.25" customHeight="1">
      <c r="A64" s="1116"/>
      <c r="B64" s="1120"/>
      <c r="C64" s="1100"/>
      <c r="D64" s="1100"/>
      <c r="E64" s="1100"/>
      <c r="F64" s="1100"/>
      <c r="G64" s="1100"/>
      <c r="H64" s="1100"/>
      <c r="I64" s="1100"/>
      <c r="J64" s="1100"/>
      <c r="K64" s="1074"/>
      <c r="L64" s="1074"/>
      <c r="M64" s="1074"/>
      <c r="N64" s="1074"/>
      <c r="O64" s="1074"/>
      <c r="P64" s="1074"/>
      <c r="Q64" s="1074"/>
      <c r="R64" s="1074"/>
      <c r="S64" s="1074"/>
      <c r="T64" s="1074"/>
      <c r="U64" s="1074"/>
      <c r="V64" s="1074"/>
      <c r="W64" s="1074"/>
      <c r="X64" s="1074"/>
      <c r="Y64" s="1074"/>
      <c r="Z64" s="1074"/>
      <c r="AA64" s="1074"/>
      <c r="AB64" s="1074"/>
      <c r="AC64" s="1074"/>
      <c r="AD64" s="1074"/>
      <c r="AE64" s="1074"/>
      <c r="AF64" s="1074"/>
      <c r="AG64" s="1074"/>
      <c r="AH64" s="1074"/>
      <c r="AI64" s="1074"/>
      <c r="AJ64" s="1074"/>
      <c r="AK64" s="1074"/>
      <c r="AL64" s="1074"/>
      <c r="AM64" s="1074"/>
      <c r="AN64" s="1074"/>
      <c r="AO64" s="1074"/>
      <c r="AP64" s="1074"/>
      <c r="AQ64" s="1074"/>
      <c r="AR64" s="1074"/>
      <c r="AS64" s="1074"/>
      <c r="AT64" s="1075"/>
    </row>
    <row r="65" ht="14.25" customHeight="1">
      <c r="A65" s="1116"/>
      <c r="B65" s="1120"/>
      <c r="C65" s="1100"/>
      <c r="D65" s="1100"/>
      <c r="E65" s="1100"/>
      <c r="F65" s="1100"/>
      <c r="G65" s="1100"/>
      <c r="H65" s="1100"/>
      <c r="I65" s="1100"/>
      <c r="J65" s="1100"/>
      <c r="K65" s="1074"/>
      <c r="L65" s="1074"/>
      <c r="M65" s="1074"/>
      <c r="N65" s="1074"/>
      <c r="O65" s="1074"/>
      <c r="P65" s="1074"/>
      <c r="Q65" s="1074"/>
      <c r="R65" s="1074"/>
      <c r="S65" s="1074"/>
      <c r="T65" s="1074"/>
      <c r="U65" s="1074"/>
      <c r="V65" s="1074"/>
      <c r="W65" s="1074"/>
      <c r="X65" s="1074"/>
      <c r="Y65" s="1074"/>
      <c r="Z65" s="1074"/>
      <c r="AA65" s="1074"/>
      <c r="AB65" s="1074"/>
      <c r="AC65" s="1074"/>
      <c r="AD65" s="1074"/>
      <c r="AE65" s="1074"/>
      <c r="AF65" s="1074"/>
      <c r="AG65" s="1074"/>
      <c r="AH65" s="1074"/>
      <c r="AI65" s="1074"/>
      <c r="AJ65" s="1074"/>
      <c r="AK65" s="1074"/>
      <c r="AL65" s="1074"/>
      <c r="AM65" s="1074"/>
      <c r="AN65" s="1074"/>
      <c r="AO65" s="1074"/>
      <c r="AP65" s="1074"/>
      <c r="AQ65" s="1074"/>
      <c r="AR65" s="1074"/>
      <c r="AS65" s="1074"/>
      <c r="AT65" s="1075"/>
    </row>
    <row r="66" ht="14.25" customHeight="1">
      <c r="A66" s="1116"/>
      <c r="B66" s="1120"/>
      <c r="C66" s="1100"/>
      <c r="D66" s="1100"/>
      <c r="E66" s="1100"/>
      <c r="F66" s="1100"/>
      <c r="G66" s="1100"/>
      <c r="H66" s="1100"/>
      <c r="I66" s="1100"/>
      <c r="J66" s="1100"/>
      <c r="K66" s="1074"/>
      <c r="L66" s="1074"/>
      <c r="M66" s="1074"/>
      <c r="N66" s="1074"/>
      <c r="O66" s="1074"/>
      <c r="P66" s="1074"/>
      <c r="Q66" s="1074"/>
      <c r="R66" s="1074"/>
      <c r="S66" s="1074"/>
      <c r="T66" s="1074"/>
      <c r="U66" s="1074"/>
      <c r="V66" s="1074"/>
      <c r="W66" s="1074"/>
      <c r="X66" s="1074"/>
      <c r="Y66" s="1074"/>
      <c r="Z66" s="1074"/>
      <c r="AA66" s="1074"/>
      <c r="AB66" s="1074"/>
      <c r="AC66" s="1074"/>
      <c r="AD66" s="1074"/>
      <c r="AE66" s="1074"/>
      <c r="AF66" s="1074"/>
      <c r="AG66" s="1074"/>
      <c r="AH66" s="1074"/>
      <c r="AI66" s="1074"/>
      <c r="AJ66" s="1074"/>
      <c r="AK66" s="1074"/>
      <c r="AL66" s="1074"/>
      <c r="AM66" s="1074"/>
      <c r="AN66" s="1074"/>
      <c r="AO66" s="1074"/>
      <c r="AP66" s="1074"/>
      <c r="AQ66" s="1074"/>
      <c r="AR66" s="1074"/>
      <c r="AS66" s="1074"/>
      <c r="AT66" s="1075"/>
    </row>
    <row r="67" ht="14.25" customHeight="1">
      <c r="A67" s="1116"/>
      <c r="B67" s="1120"/>
      <c r="C67" s="1100"/>
      <c r="D67" s="1100"/>
      <c r="E67" s="1100"/>
      <c r="F67" s="1100"/>
      <c r="G67" s="1100"/>
      <c r="H67" s="1100"/>
      <c r="I67" s="1100"/>
      <c r="J67" s="1100"/>
      <c r="K67" s="1074"/>
      <c r="L67" s="1074"/>
      <c r="M67" s="1074"/>
      <c r="N67" s="1074"/>
      <c r="O67" s="1074"/>
      <c r="P67" s="1074"/>
      <c r="Q67" s="1074"/>
      <c r="R67" s="1074"/>
      <c r="S67" s="1074"/>
      <c r="T67" s="1074"/>
      <c r="U67" s="1074"/>
      <c r="V67" s="1074"/>
      <c r="W67" s="1074"/>
      <c r="X67" s="1074"/>
      <c r="Y67" s="1074"/>
      <c r="Z67" s="1074"/>
      <c r="AA67" s="1074"/>
      <c r="AB67" s="1074"/>
      <c r="AC67" s="1074"/>
      <c r="AD67" s="1074"/>
      <c r="AE67" s="1074"/>
      <c r="AF67" s="1074"/>
      <c r="AG67" s="1074"/>
      <c r="AH67" s="1074"/>
      <c r="AI67" s="1074"/>
      <c r="AJ67" s="1074"/>
      <c r="AK67" s="1074"/>
      <c r="AL67" s="1074"/>
      <c r="AM67" s="1074"/>
      <c r="AN67" s="1074"/>
      <c r="AO67" s="1074"/>
      <c r="AP67" s="1074"/>
      <c r="AQ67" s="1074"/>
      <c r="AR67" s="1074"/>
      <c r="AS67" s="1074"/>
      <c r="AT67" s="1075"/>
    </row>
    <row r="68" ht="14.25" customHeight="1">
      <c r="A68" s="1116"/>
      <c r="B68" s="1120"/>
      <c r="C68" s="1100"/>
      <c r="D68" s="1100"/>
      <c r="E68" s="1100"/>
      <c r="F68" s="1100"/>
      <c r="G68" s="1100"/>
      <c r="H68" s="1100"/>
      <c r="I68" s="1100"/>
      <c r="J68" s="1100"/>
      <c r="K68" s="1074"/>
      <c r="L68" s="1074"/>
      <c r="M68" s="1074"/>
      <c r="N68" s="1074"/>
      <c r="O68" s="1074"/>
      <c r="P68" s="1074"/>
      <c r="Q68" s="1074"/>
      <c r="R68" s="1074"/>
      <c r="S68" s="1074"/>
      <c r="T68" s="1074"/>
      <c r="U68" s="1074"/>
      <c r="V68" s="1074"/>
      <c r="W68" s="1074"/>
      <c r="X68" s="1074"/>
      <c r="Y68" s="1074"/>
      <c r="Z68" s="1074"/>
      <c r="AA68" s="1074"/>
      <c r="AB68" s="1074"/>
      <c r="AC68" s="1074"/>
      <c r="AD68" s="1074"/>
      <c r="AE68" s="1074"/>
      <c r="AF68" s="1074"/>
      <c r="AG68" s="1074"/>
      <c r="AH68" s="1074"/>
      <c r="AI68" s="1074"/>
      <c r="AJ68" s="1074"/>
      <c r="AK68" s="1074"/>
      <c r="AL68" s="1074"/>
      <c r="AM68" s="1074"/>
      <c r="AN68" s="1074"/>
      <c r="AO68" s="1074"/>
      <c r="AP68" s="1074"/>
      <c r="AQ68" s="1074"/>
      <c r="AR68" s="1074"/>
      <c r="AS68" s="1074"/>
      <c r="AT68" s="1075"/>
    </row>
    <row r="69" ht="14.25" customHeight="1">
      <c r="A69" s="1116"/>
      <c r="B69" s="1120"/>
      <c r="C69" s="1100"/>
      <c r="D69" s="1100"/>
      <c r="E69" s="1100"/>
      <c r="F69" s="1100"/>
      <c r="G69" s="1100"/>
      <c r="H69" s="1100"/>
      <c r="I69" s="1100"/>
      <c r="J69" s="1100"/>
      <c r="K69" s="1074"/>
      <c r="L69" s="1074"/>
      <c r="M69" s="1074"/>
      <c r="N69" s="1074"/>
      <c r="O69" s="1074"/>
      <c r="P69" s="1074"/>
      <c r="Q69" s="1074"/>
      <c r="R69" s="1074"/>
      <c r="S69" s="1074"/>
      <c r="T69" s="1074"/>
      <c r="U69" s="1074"/>
      <c r="V69" s="1074"/>
      <c r="W69" s="1074"/>
      <c r="X69" s="1074"/>
      <c r="Y69" s="1074"/>
      <c r="Z69" s="1074"/>
      <c r="AA69" s="1074"/>
      <c r="AB69" s="1074"/>
      <c r="AC69" s="1074"/>
      <c r="AD69" s="1074"/>
      <c r="AE69" s="1074"/>
      <c r="AF69" s="1074"/>
      <c r="AG69" s="1074"/>
      <c r="AH69" s="1074"/>
      <c r="AI69" s="1074"/>
      <c r="AJ69" s="1074"/>
      <c r="AK69" s="1074"/>
      <c r="AL69" s="1074"/>
      <c r="AM69" s="1074"/>
      <c r="AN69" s="1074"/>
      <c r="AO69" s="1074"/>
      <c r="AP69" s="1074"/>
      <c r="AQ69" s="1074"/>
      <c r="AR69" s="1074"/>
      <c r="AS69" s="1074"/>
      <c r="AT69" s="1075"/>
    </row>
    <row r="70" ht="14.25" customHeight="1">
      <c r="A70" s="1116"/>
      <c r="B70" s="1120"/>
      <c r="C70" s="1100"/>
      <c r="D70" s="1100"/>
      <c r="E70" s="1100"/>
      <c r="F70" s="1100"/>
      <c r="G70" s="1100"/>
      <c r="H70" s="1100"/>
      <c r="I70" s="1100"/>
      <c r="J70" s="1100"/>
      <c r="K70" s="1074"/>
      <c r="L70" s="1074"/>
      <c r="M70" s="1074"/>
      <c r="N70" s="1074"/>
      <c r="O70" s="1074"/>
      <c r="P70" s="1074"/>
      <c r="Q70" s="1074"/>
      <c r="R70" s="1074"/>
      <c r="S70" s="1074"/>
      <c r="T70" s="1074"/>
      <c r="U70" s="1074"/>
      <c r="V70" s="1074"/>
      <c r="W70" s="1074"/>
      <c r="X70" s="1074"/>
      <c r="Y70" s="1074"/>
      <c r="Z70" s="1074"/>
      <c r="AA70" s="1074"/>
      <c r="AB70" s="1074"/>
      <c r="AC70" s="1074"/>
      <c r="AD70" s="1074"/>
      <c r="AE70" s="1074"/>
      <c r="AF70" s="1074"/>
      <c r="AG70" s="1074"/>
      <c r="AH70" s="1074"/>
      <c r="AI70" s="1074"/>
      <c r="AJ70" s="1074"/>
      <c r="AK70" s="1074"/>
      <c r="AL70" s="1074"/>
      <c r="AM70" s="1074"/>
      <c r="AN70" s="1074"/>
      <c r="AO70" s="1074"/>
      <c r="AP70" s="1074"/>
      <c r="AQ70" s="1074"/>
      <c r="AR70" s="1074"/>
      <c r="AS70" s="1074"/>
      <c r="AT70" s="1075"/>
    </row>
    <row r="71" ht="14.25" customHeight="1">
      <c r="A71" s="1116"/>
      <c r="B71" s="1120"/>
      <c r="C71" s="1100"/>
      <c r="D71" s="1100"/>
      <c r="E71" s="1100"/>
      <c r="F71" s="1100"/>
      <c r="G71" s="1100"/>
      <c r="H71" s="1100"/>
      <c r="I71" s="1100"/>
      <c r="J71" s="1100"/>
      <c r="K71" s="1074"/>
      <c r="L71" s="1074"/>
      <c r="M71" s="1074"/>
      <c r="N71" s="1074"/>
      <c r="O71" s="1074"/>
      <c r="P71" s="1074"/>
      <c r="Q71" s="1074"/>
      <c r="R71" s="1074"/>
      <c r="S71" s="1074"/>
      <c r="T71" s="1074"/>
      <c r="U71" s="1074"/>
      <c r="V71" s="1074"/>
      <c r="W71" s="1074"/>
      <c r="X71" s="1074"/>
      <c r="Y71" s="1074"/>
      <c r="Z71" s="1074"/>
      <c r="AA71" s="1074"/>
      <c r="AB71" s="1074"/>
      <c r="AC71" s="1074"/>
      <c r="AD71" s="1074"/>
      <c r="AE71" s="1074"/>
      <c r="AF71" s="1074"/>
      <c r="AG71" s="1074"/>
      <c r="AH71" s="1074"/>
      <c r="AI71" s="1074"/>
      <c r="AJ71" s="1074"/>
      <c r="AK71" s="1074"/>
      <c r="AL71" s="1074"/>
      <c r="AM71" s="1074"/>
      <c r="AN71" s="1074"/>
      <c r="AO71" s="1074"/>
      <c r="AP71" s="1074"/>
      <c r="AQ71" s="1074"/>
      <c r="AR71" s="1074"/>
      <c r="AS71" s="1074"/>
      <c r="AT71" s="1075"/>
    </row>
    <row r="72" ht="14.25" customHeight="1">
      <c r="A72" s="1116"/>
      <c r="B72" s="1120"/>
      <c r="C72" s="1100"/>
      <c r="D72" s="1100"/>
      <c r="E72" s="1100"/>
      <c r="F72" s="1100"/>
      <c r="G72" s="1100"/>
      <c r="H72" s="1100"/>
      <c r="I72" s="1100"/>
      <c r="J72" s="1100"/>
      <c r="K72" s="1074"/>
      <c r="L72" s="1074"/>
      <c r="M72" s="1074"/>
      <c r="N72" s="1074"/>
      <c r="O72" s="1074"/>
      <c r="P72" s="1074"/>
      <c r="Q72" s="1074"/>
      <c r="R72" s="1074"/>
      <c r="S72" s="1074"/>
      <c r="T72" s="1074"/>
      <c r="U72" s="1074"/>
      <c r="V72" s="1074"/>
      <c r="W72" s="1074"/>
      <c r="X72" s="1074"/>
      <c r="Y72" s="1074"/>
      <c r="Z72" s="1074"/>
      <c r="AA72" s="1074"/>
      <c r="AB72" s="1074"/>
      <c r="AC72" s="1074"/>
      <c r="AD72" s="1074"/>
      <c r="AE72" s="1074"/>
      <c r="AF72" s="1074"/>
      <c r="AG72" s="1074"/>
      <c r="AH72" s="1074"/>
      <c r="AI72" s="1074"/>
      <c r="AJ72" s="1074"/>
      <c r="AK72" s="1074"/>
      <c r="AL72" s="1074"/>
      <c r="AM72" s="1074"/>
      <c r="AN72" s="1074"/>
      <c r="AO72" s="1074"/>
      <c r="AP72" s="1074"/>
      <c r="AQ72" s="1074"/>
      <c r="AR72" s="1074"/>
      <c r="AS72" s="1074"/>
      <c r="AT72" s="1075"/>
    </row>
    <row r="73" ht="14.25" customHeight="1">
      <c r="A73" s="1116"/>
      <c r="B73" s="1120"/>
      <c r="C73" s="1100"/>
      <c r="D73" s="1100"/>
      <c r="E73" s="1100"/>
      <c r="F73" s="1100"/>
      <c r="G73" s="1100"/>
      <c r="H73" s="1100"/>
      <c r="I73" s="1100"/>
      <c r="J73" s="1100"/>
      <c r="K73" s="1074"/>
      <c r="L73" s="1074"/>
      <c r="M73" s="1074"/>
      <c r="N73" s="1074"/>
      <c r="O73" s="1074"/>
      <c r="P73" s="1074"/>
      <c r="Q73" s="1074"/>
      <c r="R73" s="1074"/>
      <c r="S73" s="1074"/>
      <c r="T73" s="1074"/>
      <c r="U73" s="1074"/>
      <c r="V73" s="1074"/>
      <c r="W73" s="1074"/>
      <c r="X73" s="1074"/>
      <c r="Y73" s="1074"/>
      <c r="Z73" s="1074"/>
      <c r="AA73" s="1074"/>
      <c r="AB73" s="1074"/>
      <c r="AC73" s="1074"/>
      <c r="AD73" s="1074"/>
      <c r="AE73" s="1074"/>
      <c r="AF73" s="1074"/>
      <c r="AG73" s="1074"/>
      <c r="AH73" s="1074"/>
      <c r="AI73" s="1074"/>
      <c r="AJ73" s="1074"/>
      <c r="AK73" s="1074"/>
      <c r="AL73" s="1074"/>
      <c r="AM73" s="1074"/>
      <c r="AN73" s="1074"/>
      <c r="AO73" s="1074"/>
      <c r="AP73" s="1074"/>
      <c r="AQ73" s="1074"/>
      <c r="AR73" s="1074"/>
      <c r="AS73" s="1074"/>
      <c r="AT73" s="1075"/>
    </row>
    <row r="74" ht="14.25" customHeight="1">
      <c r="A74" s="1116"/>
      <c r="B74" s="1120"/>
      <c r="C74" s="1100"/>
      <c r="D74" s="1100"/>
      <c r="E74" s="1100"/>
      <c r="F74" s="1100"/>
      <c r="G74" s="1100"/>
      <c r="H74" s="1100"/>
      <c r="I74" s="1100"/>
      <c r="J74" s="1100"/>
      <c r="K74" s="1074"/>
      <c r="L74" s="1074"/>
      <c r="M74" s="1074"/>
      <c r="N74" s="1074"/>
      <c r="O74" s="1074"/>
      <c r="P74" s="1074"/>
      <c r="Q74" s="1074"/>
      <c r="R74" s="1074"/>
      <c r="S74" s="1074"/>
      <c r="T74" s="1074"/>
      <c r="U74" s="1074"/>
      <c r="V74" s="1074"/>
      <c r="W74" s="1074"/>
      <c r="X74" s="1074"/>
      <c r="Y74" s="1074"/>
      <c r="Z74" s="1074"/>
      <c r="AA74" s="1074"/>
      <c r="AB74" s="1074"/>
      <c r="AC74" s="1074"/>
      <c r="AD74" s="1074"/>
      <c r="AE74" s="1074"/>
      <c r="AF74" s="1074"/>
      <c r="AG74" s="1074"/>
      <c r="AH74" s="1074"/>
      <c r="AI74" s="1074"/>
      <c r="AJ74" s="1074"/>
      <c r="AK74" s="1074"/>
      <c r="AL74" s="1074"/>
      <c r="AM74" s="1074"/>
      <c r="AN74" s="1074"/>
      <c r="AO74" s="1074"/>
      <c r="AP74" s="1074"/>
      <c r="AQ74" s="1074"/>
      <c r="AR74" s="1074"/>
      <c r="AS74" s="1074"/>
      <c r="AT74" s="1075"/>
    </row>
    <row r="75" ht="14.25" customHeight="1">
      <c r="A75" s="1116"/>
      <c r="B75" s="1120"/>
      <c r="C75" s="1100"/>
      <c r="D75" s="1100"/>
      <c r="E75" s="1100"/>
      <c r="F75" s="1100"/>
      <c r="G75" s="1100"/>
      <c r="H75" s="1100"/>
      <c r="I75" s="1100"/>
      <c r="J75" s="1100"/>
      <c r="K75" s="1074"/>
      <c r="L75" s="1074"/>
      <c r="M75" s="1074"/>
      <c r="N75" s="1074"/>
      <c r="O75" s="1074"/>
      <c r="P75" s="1074"/>
      <c r="Q75" s="1074"/>
      <c r="R75" s="1074"/>
      <c r="S75" s="1074"/>
      <c r="T75" s="1074"/>
      <c r="U75" s="1074"/>
      <c r="V75" s="1074"/>
      <c r="W75" s="1074"/>
      <c r="X75" s="1074"/>
      <c r="Y75" s="1074"/>
      <c r="Z75" s="1074"/>
      <c r="AA75" s="1074"/>
      <c r="AB75" s="1074"/>
      <c r="AC75" s="1074"/>
      <c r="AD75" s="1074"/>
      <c r="AE75" s="1074"/>
      <c r="AF75" s="1074"/>
      <c r="AG75" s="1074"/>
      <c r="AH75" s="1074"/>
      <c r="AI75" s="1074"/>
      <c r="AJ75" s="1074"/>
      <c r="AK75" s="1074"/>
      <c r="AL75" s="1074"/>
      <c r="AM75" s="1074"/>
      <c r="AN75" s="1074"/>
      <c r="AO75" s="1074"/>
      <c r="AP75" s="1074"/>
      <c r="AQ75" s="1074"/>
      <c r="AR75" s="1074"/>
      <c r="AS75" s="1074"/>
      <c r="AT75" s="1075"/>
    </row>
    <row r="76" ht="14.25" customHeight="1">
      <c r="A76" s="1116"/>
      <c r="B76" s="1120"/>
      <c r="C76" s="1100"/>
      <c r="D76" s="1100"/>
      <c r="E76" s="1100"/>
      <c r="F76" s="1100"/>
      <c r="G76" s="1100"/>
      <c r="H76" s="1100"/>
      <c r="I76" s="1100"/>
      <c r="J76" s="1100"/>
      <c r="K76" s="1074"/>
      <c r="L76" s="1074"/>
      <c r="M76" s="1074"/>
      <c r="N76" s="1074"/>
      <c r="O76" s="1074"/>
      <c r="P76" s="1074"/>
      <c r="Q76" s="1074"/>
      <c r="R76" s="1074"/>
      <c r="S76" s="1074"/>
      <c r="T76" s="1074"/>
      <c r="U76" s="1074"/>
      <c r="V76" s="1074"/>
      <c r="W76" s="1074"/>
      <c r="X76" s="1074"/>
      <c r="Y76" s="1074"/>
      <c r="Z76" s="1074"/>
      <c r="AA76" s="1074"/>
      <c r="AB76" s="1074"/>
      <c r="AC76" s="1074"/>
      <c r="AD76" s="1074"/>
      <c r="AE76" s="1074"/>
      <c r="AF76" s="1074"/>
      <c r="AG76" s="1074"/>
      <c r="AH76" s="1074"/>
      <c r="AI76" s="1074"/>
      <c r="AJ76" s="1074"/>
      <c r="AK76" s="1074"/>
      <c r="AL76" s="1074"/>
      <c r="AM76" s="1074"/>
      <c r="AN76" s="1074"/>
      <c r="AO76" s="1074"/>
      <c r="AP76" s="1074"/>
      <c r="AQ76" s="1074"/>
      <c r="AR76" s="1074"/>
      <c r="AS76" s="1074"/>
      <c r="AT76" s="1075"/>
    </row>
    <row r="77" ht="14.25" customHeight="1">
      <c r="A77" s="1116"/>
      <c r="B77" s="1120"/>
      <c r="C77" s="1100"/>
      <c r="D77" s="1100"/>
      <c r="E77" s="1100"/>
      <c r="F77" s="1100"/>
      <c r="G77" s="1100"/>
      <c r="H77" s="1100"/>
      <c r="I77" s="1100"/>
      <c r="J77" s="1100"/>
      <c r="K77" s="1074"/>
      <c r="L77" s="1074"/>
      <c r="M77" s="1074"/>
      <c r="N77" s="1074"/>
      <c r="O77" s="1074"/>
      <c r="P77" s="1074"/>
      <c r="Q77" s="1074"/>
      <c r="R77" s="1074"/>
      <c r="S77" s="1074"/>
      <c r="T77" s="1074"/>
      <c r="U77" s="1074"/>
      <c r="V77" s="1074"/>
      <c r="W77" s="1074"/>
      <c r="X77" s="1074"/>
      <c r="Y77" s="1074"/>
      <c r="Z77" s="1074"/>
      <c r="AA77" s="1074"/>
      <c r="AB77" s="1074"/>
      <c r="AC77" s="1074"/>
      <c r="AD77" s="1074"/>
      <c r="AE77" s="1074"/>
      <c r="AF77" s="1074"/>
      <c r="AG77" s="1074"/>
      <c r="AH77" s="1074"/>
      <c r="AI77" s="1074"/>
      <c r="AJ77" s="1074"/>
      <c r="AK77" s="1074"/>
      <c r="AL77" s="1074"/>
      <c r="AM77" s="1074"/>
      <c r="AN77" s="1074"/>
      <c r="AO77" s="1074"/>
      <c r="AP77" s="1074"/>
      <c r="AQ77" s="1074"/>
      <c r="AR77" s="1074"/>
      <c r="AS77" s="1074"/>
      <c r="AT77" s="1075"/>
    </row>
    <row r="78" ht="14.25" customHeight="1">
      <c r="A78" s="1116"/>
      <c r="B78" s="1120"/>
      <c r="C78" s="1100"/>
      <c r="D78" s="1100"/>
      <c r="E78" s="1100"/>
      <c r="F78" s="1100"/>
      <c r="G78" s="1100"/>
      <c r="H78" s="1100"/>
      <c r="I78" s="1100"/>
      <c r="J78" s="1100"/>
      <c r="K78" s="1074"/>
      <c r="L78" s="1074"/>
      <c r="M78" s="1074"/>
      <c r="N78" s="1074"/>
      <c r="O78" s="1074"/>
      <c r="P78" s="1074"/>
      <c r="Q78" s="1074"/>
      <c r="R78" s="1074"/>
      <c r="S78" s="1074"/>
      <c r="T78" s="1074"/>
      <c r="U78" s="1074"/>
      <c r="V78" s="1074"/>
      <c r="W78" s="1074"/>
      <c r="X78" s="1074"/>
      <c r="Y78" s="1074"/>
      <c r="Z78" s="1074"/>
      <c r="AA78" s="1074"/>
      <c r="AB78" s="1074"/>
      <c r="AC78" s="1074"/>
      <c r="AD78" s="1074"/>
      <c r="AE78" s="1074"/>
      <c r="AF78" s="1074"/>
      <c r="AG78" s="1074"/>
      <c r="AH78" s="1074"/>
      <c r="AI78" s="1074"/>
      <c r="AJ78" s="1074"/>
      <c r="AK78" s="1074"/>
      <c r="AL78" s="1074"/>
      <c r="AM78" s="1074"/>
      <c r="AN78" s="1074"/>
      <c r="AO78" s="1074"/>
      <c r="AP78" s="1074"/>
      <c r="AQ78" s="1074"/>
      <c r="AR78" s="1074"/>
      <c r="AS78" s="1074"/>
      <c r="AT78" s="1075"/>
    </row>
    <row r="79" ht="14.25" customHeight="1">
      <c r="A79" s="1116"/>
      <c r="B79" s="1120"/>
      <c r="C79" s="1100"/>
      <c r="D79" s="1100"/>
      <c r="E79" s="1100"/>
      <c r="F79" s="1100"/>
      <c r="G79" s="1100"/>
      <c r="H79" s="1100"/>
      <c r="I79" s="1100"/>
      <c r="J79" s="1100"/>
      <c r="K79" s="1074"/>
      <c r="L79" s="1074"/>
      <c r="M79" s="1074"/>
      <c r="N79" s="1074"/>
      <c r="O79" s="1074"/>
      <c r="P79" s="1074"/>
      <c r="Q79" s="1074"/>
      <c r="R79" s="1074"/>
      <c r="S79" s="1074"/>
      <c r="T79" s="1074"/>
      <c r="U79" s="1074"/>
      <c r="V79" s="1074"/>
      <c r="W79" s="1074"/>
      <c r="X79" s="1074"/>
      <c r="Y79" s="1074"/>
      <c r="Z79" s="1074"/>
      <c r="AA79" s="1074"/>
      <c r="AB79" s="1074"/>
      <c r="AC79" s="1074"/>
      <c r="AD79" s="1074"/>
      <c r="AE79" s="1074"/>
      <c r="AF79" s="1074"/>
      <c r="AG79" s="1074"/>
      <c r="AH79" s="1074"/>
      <c r="AI79" s="1074"/>
      <c r="AJ79" s="1074"/>
      <c r="AK79" s="1074"/>
      <c r="AL79" s="1074"/>
      <c r="AM79" s="1074"/>
      <c r="AN79" s="1074"/>
      <c r="AO79" s="1074"/>
      <c r="AP79" s="1074"/>
      <c r="AQ79" s="1074"/>
      <c r="AR79" s="1074"/>
      <c r="AS79" s="1074"/>
      <c r="AT79" s="1075"/>
    </row>
    <row r="80" ht="14.25" customHeight="1">
      <c r="A80" s="1116"/>
      <c r="B80" s="1120"/>
      <c r="C80" s="1100"/>
      <c r="D80" s="1100"/>
      <c r="E80" s="1100"/>
      <c r="F80" s="1100"/>
      <c r="G80" s="1100"/>
      <c r="H80" s="1100"/>
      <c r="I80" s="1100"/>
      <c r="J80" s="1100"/>
      <c r="K80" s="1074"/>
      <c r="L80" s="1074"/>
      <c r="M80" s="1074"/>
      <c r="N80" s="1074"/>
      <c r="O80" s="1074"/>
      <c r="P80" s="1074"/>
      <c r="Q80" s="1074"/>
      <c r="R80" s="1074"/>
      <c r="S80" s="1074"/>
      <c r="T80" s="1074"/>
      <c r="U80" s="1074"/>
      <c r="V80" s="1074"/>
      <c r="W80" s="1074"/>
      <c r="X80" s="1074"/>
      <c r="Y80" s="1074"/>
      <c r="Z80" s="1074"/>
      <c r="AA80" s="1074"/>
      <c r="AB80" s="1074"/>
      <c r="AC80" s="1074"/>
      <c r="AD80" s="1074"/>
      <c r="AE80" s="1074"/>
      <c r="AF80" s="1074"/>
      <c r="AG80" s="1074"/>
      <c r="AH80" s="1074"/>
      <c r="AI80" s="1074"/>
      <c r="AJ80" s="1074"/>
      <c r="AK80" s="1074"/>
      <c r="AL80" s="1074"/>
      <c r="AM80" s="1074"/>
      <c r="AN80" s="1074"/>
      <c r="AO80" s="1074"/>
      <c r="AP80" s="1074"/>
      <c r="AQ80" s="1074"/>
      <c r="AR80" s="1074"/>
      <c r="AS80" s="1074"/>
      <c r="AT80" s="1075"/>
    </row>
    <row r="81" ht="14.25" customHeight="1">
      <c r="A81" s="1116"/>
      <c r="B81" s="1120"/>
      <c r="C81" s="1100"/>
      <c r="D81" s="1100"/>
      <c r="E81" s="1100"/>
      <c r="F81" s="1100"/>
      <c r="G81" s="1100"/>
      <c r="H81" s="1100"/>
      <c r="I81" s="1100"/>
      <c r="J81" s="1100"/>
      <c r="K81" s="1074"/>
      <c r="L81" s="1074"/>
      <c r="M81" s="1074"/>
      <c r="N81" s="1074"/>
      <c r="O81" s="1074"/>
      <c r="P81" s="1074"/>
      <c r="Q81" s="1074"/>
      <c r="R81" s="1074"/>
      <c r="S81" s="1074"/>
      <c r="T81" s="1074"/>
      <c r="U81" s="1074"/>
      <c r="V81" s="1074"/>
      <c r="W81" s="1074"/>
      <c r="X81" s="1074"/>
      <c r="Y81" s="1074"/>
      <c r="Z81" s="1074"/>
      <c r="AA81" s="1074"/>
      <c r="AB81" s="1074"/>
      <c r="AC81" s="1074"/>
      <c r="AD81" s="1074"/>
      <c r="AE81" s="1074"/>
      <c r="AF81" s="1074"/>
      <c r="AG81" s="1074"/>
      <c r="AH81" s="1074"/>
      <c r="AI81" s="1074"/>
      <c r="AJ81" s="1074"/>
      <c r="AK81" s="1074"/>
      <c r="AL81" s="1074"/>
      <c r="AM81" s="1074"/>
      <c r="AN81" s="1074"/>
      <c r="AO81" s="1074"/>
      <c r="AP81" s="1074"/>
      <c r="AQ81" s="1074"/>
      <c r="AR81" s="1074"/>
      <c r="AS81" s="1074"/>
      <c r="AT81" s="1075"/>
    </row>
    <row r="82" ht="14.25" customHeight="1">
      <c r="A82" s="1116"/>
      <c r="B82" s="1120"/>
      <c r="C82" s="1100"/>
      <c r="D82" s="1100"/>
      <c r="E82" s="1100"/>
      <c r="F82" s="1100"/>
      <c r="G82" s="1100"/>
      <c r="H82" s="1100"/>
      <c r="I82" s="1100"/>
      <c r="J82" s="1100"/>
      <c r="K82" s="1074"/>
      <c r="L82" s="1074"/>
      <c r="M82" s="1074"/>
      <c r="N82" s="1074"/>
      <c r="O82" s="1074"/>
      <c r="P82" s="1074"/>
      <c r="Q82" s="1074"/>
      <c r="R82" s="1074"/>
      <c r="S82" s="1074"/>
      <c r="T82" s="1074"/>
      <c r="U82" s="1074"/>
      <c r="V82" s="1074"/>
      <c r="W82" s="1074"/>
      <c r="X82" s="1074"/>
      <c r="Y82" s="1074"/>
      <c r="Z82" s="1074"/>
      <c r="AA82" s="1074"/>
      <c r="AB82" s="1074"/>
      <c r="AC82" s="1074"/>
      <c r="AD82" s="1074"/>
      <c r="AE82" s="1074"/>
      <c r="AF82" s="1074"/>
      <c r="AG82" s="1074"/>
      <c r="AH82" s="1074"/>
      <c r="AI82" s="1074"/>
      <c r="AJ82" s="1074"/>
      <c r="AK82" s="1074"/>
      <c r="AL82" s="1074"/>
      <c r="AM82" s="1074"/>
      <c r="AN82" s="1074"/>
      <c r="AO82" s="1074"/>
      <c r="AP82" s="1074"/>
      <c r="AQ82" s="1074"/>
      <c r="AR82" s="1074"/>
      <c r="AS82" s="1074"/>
      <c r="AT82" s="1075"/>
    </row>
    <row r="83" ht="14.25" customHeight="1">
      <c r="A83" s="1116"/>
      <c r="B83" s="1120"/>
      <c r="C83" s="1100"/>
      <c r="D83" s="1100"/>
      <c r="E83" s="1100"/>
      <c r="F83" s="1100"/>
      <c r="G83" s="1100"/>
      <c r="H83" s="1100"/>
      <c r="I83" s="1100"/>
      <c r="J83" s="1100"/>
      <c r="K83" s="1074"/>
      <c r="L83" s="1074"/>
      <c r="M83" s="1074"/>
      <c r="N83" s="1074"/>
      <c r="O83" s="1074"/>
      <c r="P83" s="1074"/>
      <c r="Q83" s="1074"/>
      <c r="R83" s="1074"/>
      <c r="S83" s="1074"/>
      <c r="T83" s="1074"/>
      <c r="U83" s="1074"/>
      <c r="V83" s="1074"/>
      <c r="W83" s="1074"/>
      <c r="X83" s="1074"/>
      <c r="Y83" s="1074"/>
      <c r="Z83" s="1074"/>
      <c r="AA83" s="1074"/>
      <c r="AB83" s="1074"/>
      <c r="AC83" s="1074"/>
      <c r="AD83" s="1074"/>
      <c r="AE83" s="1074"/>
      <c r="AF83" s="1074"/>
      <c r="AG83" s="1074"/>
      <c r="AH83" s="1074"/>
      <c r="AI83" s="1074"/>
      <c r="AJ83" s="1074"/>
      <c r="AK83" s="1074"/>
      <c r="AL83" s="1074"/>
      <c r="AM83" s="1074"/>
      <c r="AN83" s="1074"/>
      <c r="AO83" s="1074"/>
      <c r="AP83" s="1074"/>
      <c r="AQ83" s="1074"/>
      <c r="AR83" s="1074"/>
      <c r="AS83" s="1074"/>
      <c r="AT83" s="1075"/>
    </row>
    <row r="84" ht="14.25" customHeight="1">
      <c r="A84" s="1116"/>
      <c r="B84" s="1120"/>
      <c r="C84" s="1100"/>
      <c r="D84" s="1100"/>
      <c r="E84" s="1100"/>
      <c r="F84" s="1100"/>
      <c r="G84" s="1100"/>
      <c r="H84" s="1100"/>
      <c r="I84" s="1100"/>
      <c r="J84" s="1100"/>
      <c r="K84" s="1074"/>
      <c r="L84" s="1074"/>
      <c r="M84" s="1074"/>
      <c r="N84" s="1074"/>
      <c r="O84" s="1074"/>
      <c r="P84" s="1074"/>
      <c r="Q84" s="1074"/>
      <c r="R84" s="1074"/>
      <c r="S84" s="1074"/>
      <c r="T84" s="1074"/>
      <c r="U84" s="1074"/>
      <c r="V84" s="1074"/>
      <c r="W84" s="1074"/>
      <c r="X84" s="1074"/>
      <c r="Y84" s="1074"/>
      <c r="Z84" s="1074"/>
      <c r="AA84" s="1074"/>
      <c r="AB84" s="1074"/>
      <c r="AC84" s="1074"/>
      <c r="AD84" s="1074"/>
      <c r="AE84" s="1074"/>
      <c r="AF84" s="1074"/>
      <c r="AG84" s="1074"/>
      <c r="AH84" s="1074"/>
      <c r="AI84" s="1074"/>
      <c r="AJ84" s="1074"/>
      <c r="AK84" s="1074"/>
      <c r="AL84" s="1074"/>
      <c r="AM84" s="1074"/>
      <c r="AN84" s="1074"/>
      <c r="AO84" s="1074"/>
      <c r="AP84" s="1074"/>
      <c r="AQ84" s="1074"/>
      <c r="AR84" s="1074"/>
      <c r="AS84" s="1074"/>
      <c r="AT84" s="1075"/>
    </row>
    <row r="85" ht="14.25" customHeight="1">
      <c r="A85" s="1116"/>
      <c r="B85" s="1120"/>
      <c r="C85" s="1100"/>
      <c r="D85" s="1100"/>
      <c r="E85" s="1100"/>
      <c r="F85" s="1100"/>
      <c r="G85" s="1100"/>
      <c r="H85" s="1100"/>
      <c r="I85" s="1100"/>
      <c r="J85" s="1100"/>
      <c r="K85" s="1074"/>
      <c r="L85" s="1074"/>
      <c r="M85" s="1074"/>
      <c r="N85" s="1074"/>
      <c r="O85" s="1074"/>
      <c r="P85" s="1074"/>
      <c r="Q85" s="1074"/>
      <c r="R85" s="1074"/>
      <c r="S85" s="1074"/>
      <c r="T85" s="1074"/>
      <c r="U85" s="1074"/>
      <c r="V85" s="1074"/>
      <c r="W85" s="1074"/>
      <c r="X85" s="1074"/>
      <c r="Y85" s="1074"/>
      <c r="Z85" s="1074"/>
      <c r="AA85" s="1074"/>
      <c r="AB85" s="1074"/>
      <c r="AC85" s="1074"/>
      <c r="AD85" s="1074"/>
      <c r="AE85" s="1074"/>
      <c r="AF85" s="1074"/>
      <c r="AG85" s="1074"/>
      <c r="AH85" s="1074"/>
      <c r="AI85" s="1074"/>
      <c r="AJ85" s="1074"/>
      <c r="AK85" s="1074"/>
      <c r="AL85" s="1074"/>
      <c r="AM85" s="1074"/>
      <c r="AN85" s="1074"/>
      <c r="AO85" s="1074"/>
      <c r="AP85" s="1074"/>
      <c r="AQ85" s="1074"/>
      <c r="AR85" s="1074"/>
      <c r="AS85" s="1074"/>
      <c r="AT85" s="1075"/>
    </row>
    <row r="86" ht="14.25" customHeight="1">
      <c r="A86" s="1116"/>
      <c r="B86" s="1120"/>
      <c r="C86" s="1100"/>
      <c r="D86" s="1100"/>
      <c r="E86" s="1100"/>
      <c r="F86" s="1100"/>
      <c r="G86" s="1100"/>
      <c r="H86" s="1100"/>
      <c r="I86" s="1100"/>
      <c r="J86" s="1100"/>
      <c r="K86" s="1074"/>
      <c r="L86" s="1074"/>
      <c r="M86" s="1074"/>
      <c r="N86" s="1074"/>
      <c r="O86" s="1074"/>
      <c r="P86" s="1074"/>
      <c r="Q86" s="1074"/>
      <c r="R86" s="1074"/>
      <c r="S86" s="1074"/>
      <c r="T86" s="1074"/>
      <c r="U86" s="1074"/>
      <c r="V86" s="1074"/>
      <c r="W86" s="1074"/>
      <c r="X86" s="1074"/>
      <c r="Y86" s="1074"/>
      <c r="Z86" s="1074"/>
      <c r="AA86" s="1074"/>
      <c r="AB86" s="1074"/>
      <c r="AC86" s="1074"/>
      <c r="AD86" s="1074"/>
      <c r="AE86" s="1074"/>
      <c r="AF86" s="1074"/>
      <c r="AG86" s="1074"/>
      <c r="AH86" s="1074"/>
      <c r="AI86" s="1074"/>
      <c r="AJ86" s="1074"/>
      <c r="AK86" s="1074"/>
      <c r="AL86" s="1074"/>
      <c r="AM86" s="1074"/>
      <c r="AN86" s="1074"/>
      <c r="AO86" s="1074"/>
      <c r="AP86" s="1074"/>
      <c r="AQ86" s="1074"/>
      <c r="AR86" s="1074"/>
      <c r="AS86" s="1074"/>
      <c r="AT86" s="1075"/>
    </row>
    <row r="87" ht="14.25" customHeight="1">
      <c r="A87" s="1116"/>
      <c r="B87" s="1120"/>
      <c r="C87" s="1100"/>
      <c r="D87" s="1100"/>
      <c r="E87" s="1100"/>
      <c r="F87" s="1100"/>
      <c r="G87" s="1100"/>
      <c r="H87" s="1100"/>
      <c r="I87" s="1100"/>
      <c r="J87" s="1100"/>
      <c r="K87" s="1074"/>
      <c r="L87" s="1074"/>
      <c r="M87" s="1074"/>
      <c r="N87" s="1074"/>
      <c r="O87" s="1074"/>
      <c r="P87" s="1074"/>
      <c r="Q87" s="1074"/>
      <c r="R87" s="1074"/>
      <c r="S87" s="1074"/>
      <c r="T87" s="1074"/>
      <c r="U87" s="1074"/>
      <c r="V87" s="1074"/>
      <c r="W87" s="1074"/>
      <c r="X87" s="1074"/>
      <c r="Y87" s="1074"/>
      <c r="Z87" s="1074"/>
      <c r="AA87" s="1074"/>
      <c r="AB87" s="1074"/>
      <c r="AC87" s="1074"/>
      <c r="AD87" s="1074"/>
      <c r="AE87" s="1074"/>
      <c r="AF87" s="1074"/>
      <c r="AG87" s="1074"/>
      <c r="AH87" s="1074"/>
      <c r="AI87" s="1074"/>
      <c r="AJ87" s="1074"/>
      <c r="AK87" s="1074"/>
      <c r="AL87" s="1074"/>
      <c r="AM87" s="1074"/>
      <c r="AN87" s="1074"/>
      <c r="AO87" s="1074"/>
      <c r="AP87" s="1074"/>
      <c r="AQ87" s="1074"/>
      <c r="AR87" s="1074"/>
      <c r="AS87" s="1074"/>
      <c r="AT87" s="1075"/>
    </row>
    <row r="88" ht="14.25" customHeight="1">
      <c r="A88" s="1116"/>
      <c r="B88" s="1120"/>
      <c r="C88" s="1100"/>
      <c r="D88" s="1100"/>
      <c r="E88" s="1100"/>
      <c r="F88" s="1100"/>
      <c r="G88" s="1100"/>
      <c r="H88" s="1100"/>
      <c r="I88" s="1100"/>
      <c r="J88" s="1100"/>
      <c r="K88" s="1074"/>
      <c r="L88" s="1074"/>
      <c r="M88" s="1074"/>
      <c r="N88" s="1074"/>
      <c r="O88" s="1074"/>
      <c r="P88" s="1074"/>
      <c r="Q88" s="1074"/>
      <c r="R88" s="1074"/>
      <c r="S88" s="1074"/>
      <c r="T88" s="1074"/>
      <c r="U88" s="1074"/>
      <c r="V88" s="1074"/>
      <c r="W88" s="1074"/>
      <c r="X88" s="1074"/>
      <c r="Y88" s="1074"/>
      <c r="Z88" s="1074"/>
      <c r="AA88" s="1074"/>
      <c r="AB88" s="1074"/>
      <c r="AC88" s="1074"/>
      <c r="AD88" s="1074"/>
      <c r="AE88" s="1074"/>
      <c r="AF88" s="1074"/>
      <c r="AG88" s="1074"/>
      <c r="AH88" s="1074"/>
      <c r="AI88" s="1074"/>
      <c r="AJ88" s="1074"/>
      <c r="AK88" s="1074"/>
      <c r="AL88" s="1074"/>
      <c r="AM88" s="1074"/>
      <c r="AN88" s="1074"/>
      <c r="AO88" s="1074"/>
      <c r="AP88" s="1074"/>
      <c r="AQ88" s="1074"/>
      <c r="AR88" s="1074"/>
      <c r="AS88" s="1074"/>
      <c r="AT88" s="1075"/>
    </row>
    <row r="89" ht="14.25" customHeight="1">
      <c r="A89" s="1116"/>
      <c r="B89" s="1120"/>
      <c r="C89" s="1100"/>
      <c r="D89" s="1100"/>
      <c r="E89" s="1100"/>
      <c r="F89" s="1100"/>
      <c r="G89" s="1100"/>
      <c r="H89" s="1100"/>
      <c r="I89" s="1100"/>
      <c r="J89" s="1100"/>
      <c r="K89" s="1074"/>
      <c r="L89" s="1074"/>
      <c r="M89" s="1074"/>
      <c r="N89" s="1074"/>
      <c r="O89" s="1074"/>
      <c r="P89" s="1074"/>
      <c r="Q89" s="1074"/>
      <c r="R89" s="1074"/>
      <c r="S89" s="1074"/>
      <c r="T89" s="1074"/>
      <c r="U89" s="1074"/>
      <c r="V89" s="1074"/>
      <c r="W89" s="1074"/>
      <c r="X89" s="1074"/>
      <c r="Y89" s="1074"/>
      <c r="Z89" s="1074"/>
      <c r="AA89" s="1074"/>
      <c r="AB89" s="1074"/>
      <c r="AC89" s="1074"/>
      <c r="AD89" s="1074"/>
      <c r="AE89" s="1074"/>
      <c r="AF89" s="1074"/>
      <c r="AG89" s="1074"/>
      <c r="AH89" s="1074"/>
      <c r="AI89" s="1074"/>
      <c r="AJ89" s="1074"/>
      <c r="AK89" s="1074"/>
      <c r="AL89" s="1074"/>
      <c r="AM89" s="1074"/>
      <c r="AN89" s="1074"/>
      <c r="AO89" s="1074"/>
      <c r="AP89" s="1074"/>
      <c r="AQ89" s="1074"/>
      <c r="AR89" s="1074"/>
      <c r="AS89" s="1074"/>
      <c r="AT89" s="1075"/>
    </row>
    <row r="90" ht="14.25" customHeight="1">
      <c r="A90" s="1116"/>
      <c r="B90" s="1120"/>
      <c r="C90" s="1100"/>
      <c r="D90" s="1100"/>
      <c r="E90" s="1100"/>
      <c r="F90" s="1100"/>
      <c r="G90" s="1100"/>
      <c r="H90" s="1100"/>
      <c r="I90" s="1100"/>
      <c r="J90" s="1100"/>
      <c r="K90" s="1074"/>
      <c r="L90" s="1074"/>
      <c r="M90" s="1074"/>
      <c r="N90" s="1074"/>
      <c r="O90" s="1074"/>
      <c r="P90" s="1074"/>
      <c r="Q90" s="1074"/>
      <c r="R90" s="1074"/>
      <c r="S90" s="1074"/>
      <c r="T90" s="1074"/>
      <c r="U90" s="1074"/>
      <c r="V90" s="1074"/>
      <c r="W90" s="1074"/>
      <c r="X90" s="1074"/>
      <c r="Y90" s="1074"/>
      <c r="Z90" s="1074"/>
      <c r="AA90" s="1074"/>
      <c r="AB90" s="1074"/>
      <c r="AC90" s="1074"/>
      <c r="AD90" s="1074"/>
      <c r="AE90" s="1074"/>
      <c r="AF90" s="1074"/>
      <c r="AG90" s="1074"/>
      <c r="AH90" s="1074"/>
      <c r="AI90" s="1074"/>
      <c r="AJ90" s="1074"/>
      <c r="AK90" s="1074"/>
      <c r="AL90" s="1074"/>
      <c r="AM90" s="1074"/>
      <c r="AN90" s="1074"/>
      <c r="AO90" s="1074"/>
      <c r="AP90" s="1074"/>
      <c r="AQ90" s="1074"/>
      <c r="AR90" s="1074"/>
      <c r="AS90" s="1074"/>
      <c r="AT90" s="1075"/>
    </row>
    <row r="91" ht="14.25" customHeight="1">
      <c r="A91" s="1116"/>
      <c r="B91" s="1120"/>
      <c r="C91" s="1100"/>
      <c r="D91" s="1100"/>
      <c r="E91" s="1100"/>
      <c r="F91" s="1100"/>
      <c r="G91" s="1100"/>
      <c r="H91" s="1100"/>
      <c r="I91" s="1100"/>
      <c r="J91" s="1100"/>
      <c r="K91" s="1074"/>
      <c r="L91" s="1074"/>
      <c r="M91" s="1074"/>
      <c r="N91" s="1074"/>
      <c r="O91" s="1074"/>
      <c r="P91" s="1074"/>
      <c r="Q91" s="1074"/>
      <c r="R91" s="1074"/>
      <c r="S91" s="1074"/>
      <c r="T91" s="1074"/>
      <c r="U91" s="1074"/>
      <c r="V91" s="1074"/>
      <c r="W91" s="1074"/>
      <c r="X91" s="1074"/>
      <c r="Y91" s="1074"/>
      <c r="Z91" s="1074"/>
      <c r="AA91" s="1074"/>
      <c r="AB91" s="1074"/>
      <c r="AC91" s="1074"/>
      <c r="AD91" s="1074"/>
      <c r="AE91" s="1074"/>
      <c r="AF91" s="1074"/>
      <c r="AG91" s="1074"/>
      <c r="AH91" s="1074"/>
      <c r="AI91" s="1074"/>
      <c r="AJ91" s="1074"/>
      <c r="AK91" s="1074"/>
      <c r="AL91" s="1074"/>
      <c r="AM91" s="1074"/>
      <c r="AN91" s="1074"/>
      <c r="AO91" s="1074"/>
      <c r="AP91" s="1074"/>
      <c r="AQ91" s="1074"/>
      <c r="AR91" s="1074"/>
      <c r="AS91" s="1074"/>
      <c r="AT91" s="1075"/>
    </row>
    <row r="92" ht="14.25" customHeight="1">
      <c r="A92" s="1116"/>
      <c r="B92" s="1120"/>
      <c r="C92" s="1100"/>
      <c r="D92" s="1100"/>
      <c r="E92" s="1100"/>
      <c r="F92" s="1100"/>
      <c r="G92" s="1100"/>
      <c r="H92" s="1100"/>
      <c r="I92" s="1100"/>
      <c r="J92" s="1100"/>
      <c r="K92" s="1074"/>
      <c r="L92" s="1074"/>
      <c r="M92" s="1074"/>
      <c r="N92" s="1074"/>
      <c r="O92" s="1074"/>
      <c r="P92" s="1074"/>
      <c r="Q92" s="1074"/>
      <c r="R92" s="1074"/>
      <c r="S92" s="1074"/>
      <c r="T92" s="1074"/>
      <c r="U92" s="1074"/>
      <c r="V92" s="1074"/>
      <c r="W92" s="1074"/>
      <c r="X92" s="1074"/>
      <c r="Y92" s="1074"/>
      <c r="Z92" s="1074"/>
      <c r="AA92" s="1074"/>
      <c r="AB92" s="1074"/>
      <c r="AC92" s="1074"/>
      <c r="AD92" s="1074"/>
      <c r="AE92" s="1074"/>
      <c r="AF92" s="1074"/>
      <c r="AG92" s="1074"/>
      <c r="AH92" s="1074"/>
      <c r="AI92" s="1074"/>
      <c r="AJ92" s="1074"/>
      <c r="AK92" s="1074"/>
      <c r="AL92" s="1074"/>
      <c r="AM92" s="1074"/>
      <c r="AN92" s="1074"/>
      <c r="AO92" s="1074"/>
      <c r="AP92" s="1074"/>
      <c r="AQ92" s="1074"/>
      <c r="AR92" s="1074"/>
      <c r="AS92" s="1074"/>
      <c r="AT92" s="1075"/>
    </row>
    <row r="93" ht="14.25" customHeight="1">
      <c r="A93" s="1116"/>
      <c r="B93" s="1120"/>
      <c r="C93" s="1100"/>
      <c r="D93" s="1100"/>
      <c r="E93" s="1100"/>
      <c r="F93" s="1100"/>
      <c r="G93" s="1100"/>
      <c r="H93" s="1100"/>
      <c r="I93" s="1100"/>
      <c r="J93" s="1100"/>
      <c r="K93" s="1074"/>
      <c r="L93" s="1074"/>
      <c r="M93" s="1074"/>
      <c r="N93" s="1074"/>
      <c r="O93" s="1074"/>
      <c r="P93" s="1074"/>
      <c r="Q93" s="1074"/>
      <c r="R93" s="1074"/>
      <c r="S93" s="1074"/>
      <c r="T93" s="1074"/>
      <c r="U93" s="1074"/>
      <c r="V93" s="1074"/>
      <c r="W93" s="1074"/>
      <c r="X93" s="1074"/>
      <c r="Y93" s="1074"/>
      <c r="Z93" s="1074"/>
      <c r="AA93" s="1074"/>
      <c r="AB93" s="1074"/>
      <c r="AC93" s="1074"/>
      <c r="AD93" s="1074"/>
      <c r="AE93" s="1074"/>
      <c r="AF93" s="1074"/>
      <c r="AG93" s="1074"/>
      <c r="AH93" s="1074"/>
      <c r="AI93" s="1074"/>
      <c r="AJ93" s="1074"/>
      <c r="AK93" s="1074"/>
      <c r="AL93" s="1074"/>
      <c r="AM93" s="1074"/>
      <c r="AN93" s="1074"/>
      <c r="AO93" s="1074"/>
      <c r="AP93" s="1074"/>
      <c r="AQ93" s="1074"/>
      <c r="AR93" s="1074"/>
      <c r="AS93" s="1074"/>
      <c r="AT93" s="1075"/>
    </row>
    <row r="94" ht="14.25" customHeight="1">
      <c r="A94" s="1116"/>
      <c r="B94" s="1120"/>
      <c r="C94" s="1100"/>
      <c r="D94" s="1100"/>
      <c r="E94" s="1100"/>
      <c r="F94" s="1100"/>
      <c r="G94" s="1100"/>
      <c r="H94" s="1100"/>
      <c r="I94" s="1100"/>
      <c r="J94" s="1100"/>
      <c r="K94" s="1074"/>
      <c r="L94" s="1074"/>
      <c r="M94" s="1074"/>
      <c r="N94" s="1074"/>
      <c r="O94" s="1074"/>
      <c r="P94" s="1074"/>
      <c r="Q94" s="1074"/>
      <c r="R94" s="1074"/>
      <c r="S94" s="1074"/>
      <c r="T94" s="1074"/>
      <c r="U94" s="1074"/>
      <c r="V94" s="1074"/>
      <c r="W94" s="1074"/>
      <c r="X94" s="1074"/>
      <c r="Y94" s="1074"/>
      <c r="Z94" s="1074"/>
      <c r="AA94" s="1074"/>
      <c r="AB94" s="1074"/>
      <c r="AC94" s="1074"/>
      <c r="AD94" s="1074"/>
      <c r="AE94" s="1074"/>
      <c r="AF94" s="1074"/>
      <c r="AG94" s="1074"/>
      <c r="AH94" s="1074"/>
      <c r="AI94" s="1074"/>
      <c r="AJ94" s="1074"/>
      <c r="AK94" s="1074"/>
      <c r="AL94" s="1074"/>
      <c r="AM94" s="1074"/>
      <c r="AN94" s="1074"/>
      <c r="AO94" s="1074"/>
      <c r="AP94" s="1074"/>
      <c r="AQ94" s="1074"/>
      <c r="AR94" s="1074"/>
      <c r="AS94" s="1074"/>
      <c r="AT94" s="1075"/>
    </row>
    <row r="95" ht="14.25" customHeight="1">
      <c r="A95" s="1116"/>
      <c r="B95" s="1120"/>
      <c r="C95" s="1100"/>
      <c r="D95" s="1100"/>
      <c r="E95" s="1100"/>
      <c r="F95" s="1100"/>
      <c r="G95" s="1100"/>
      <c r="H95" s="1100"/>
      <c r="I95" s="1100"/>
      <c r="J95" s="1100"/>
      <c r="K95" s="1074"/>
      <c r="L95" s="1074"/>
      <c r="M95" s="1074"/>
      <c r="N95" s="1074"/>
      <c r="O95" s="1074"/>
      <c r="P95" s="1074"/>
      <c r="Q95" s="1074"/>
      <c r="R95" s="1074"/>
      <c r="S95" s="1074"/>
      <c r="T95" s="1074"/>
      <c r="U95" s="1074"/>
      <c r="V95" s="1074"/>
      <c r="W95" s="1074"/>
      <c r="X95" s="1074"/>
      <c r="Y95" s="1074"/>
      <c r="Z95" s="1074"/>
      <c r="AA95" s="1074"/>
      <c r="AB95" s="1074"/>
      <c r="AC95" s="1074"/>
      <c r="AD95" s="1074"/>
      <c r="AE95" s="1074"/>
      <c r="AF95" s="1074"/>
      <c r="AG95" s="1074"/>
      <c r="AH95" s="1074"/>
      <c r="AI95" s="1074"/>
      <c r="AJ95" s="1074"/>
      <c r="AK95" s="1074"/>
      <c r="AL95" s="1074"/>
      <c r="AM95" s="1074"/>
      <c r="AN95" s="1074"/>
      <c r="AO95" s="1074"/>
      <c r="AP95" s="1074"/>
      <c r="AQ95" s="1074"/>
      <c r="AR95" s="1074"/>
      <c r="AS95" s="1074"/>
      <c r="AT95" s="1075"/>
    </row>
    <row r="96" ht="14.25" customHeight="1">
      <c r="A96" s="1116"/>
      <c r="B96" s="1120"/>
      <c r="C96" s="1100"/>
      <c r="D96" s="1100"/>
      <c r="E96" s="1100"/>
      <c r="F96" s="1100"/>
      <c r="G96" s="1100"/>
      <c r="H96" s="1100"/>
      <c r="I96" s="1100"/>
      <c r="J96" s="1100"/>
      <c r="K96" s="1074"/>
      <c r="L96" s="1074"/>
      <c r="M96" s="1074"/>
      <c r="N96" s="1074"/>
      <c r="O96" s="1074"/>
      <c r="P96" s="1074"/>
      <c r="Q96" s="1074"/>
      <c r="R96" s="1074"/>
      <c r="S96" s="1074"/>
      <c r="T96" s="1074"/>
      <c r="U96" s="1074"/>
      <c r="V96" s="1074"/>
      <c r="W96" s="1074"/>
      <c r="X96" s="1074"/>
      <c r="Y96" s="1074"/>
      <c r="Z96" s="1074"/>
      <c r="AA96" s="1074"/>
      <c r="AB96" s="1074"/>
      <c r="AC96" s="1074"/>
      <c r="AD96" s="1074"/>
      <c r="AE96" s="1074"/>
      <c r="AF96" s="1074"/>
      <c r="AG96" s="1074"/>
      <c r="AH96" s="1074"/>
      <c r="AI96" s="1074"/>
      <c r="AJ96" s="1074"/>
      <c r="AK96" s="1074"/>
      <c r="AL96" s="1074"/>
      <c r="AM96" s="1074"/>
      <c r="AN96" s="1074"/>
      <c r="AO96" s="1074"/>
      <c r="AP96" s="1074"/>
      <c r="AQ96" s="1074"/>
      <c r="AR96" s="1074"/>
      <c r="AS96" s="1074"/>
      <c r="AT96" s="1075"/>
    </row>
    <row r="97" ht="14.25" customHeight="1">
      <c r="A97" s="1116"/>
      <c r="B97" s="1120"/>
      <c r="C97" s="1100"/>
      <c r="D97" s="1100"/>
      <c r="E97" s="1100"/>
      <c r="F97" s="1100"/>
      <c r="G97" s="1100"/>
      <c r="H97" s="1100"/>
      <c r="I97" s="1100"/>
      <c r="J97" s="1100"/>
      <c r="K97" s="1074"/>
      <c r="L97" s="1074"/>
      <c r="M97" s="1074"/>
      <c r="N97" s="1074"/>
      <c r="O97" s="1074"/>
      <c r="P97" s="1074"/>
      <c r="Q97" s="1074"/>
      <c r="R97" s="1074"/>
      <c r="S97" s="1074"/>
      <c r="T97" s="1074"/>
      <c r="U97" s="1074"/>
      <c r="V97" s="1074"/>
      <c r="W97" s="1074"/>
      <c r="X97" s="1074"/>
      <c r="Y97" s="1074"/>
      <c r="Z97" s="1074"/>
      <c r="AA97" s="1074"/>
      <c r="AB97" s="1074"/>
      <c r="AC97" s="1074"/>
      <c r="AD97" s="1074"/>
      <c r="AE97" s="1074"/>
      <c r="AF97" s="1074"/>
      <c r="AG97" s="1074"/>
      <c r="AH97" s="1074"/>
      <c r="AI97" s="1074"/>
      <c r="AJ97" s="1074"/>
      <c r="AK97" s="1074"/>
      <c r="AL97" s="1074"/>
      <c r="AM97" s="1074"/>
      <c r="AN97" s="1074"/>
      <c r="AO97" s="1074"/>
      <c r="AP97" s="1074"/>
      <c r="AQ97" s="1074"/>
      <c r="AR97" s="1074"/>
      <c r="AS97" s="1074"/>
      <c r="AT97" s="1075"/>
    </row>
    <row r="98" ht="14.25" customHeight="1">
      <c r="A98" s="1116"/>
      <c r="B98" s="1120"/>
      <c r="C98" s="1100"/>
      <c r="D98" s="1100"/>
      <c r="E98" s="1100"/>
      <c r="F98" s="1100"/>
      <c r="G98" s="1100"/>
      <c r="H98" s="1100"/>
      <c r="I98" s="1100"/>
      <c r="J98" s="1100"/>
      <c r="K98" s="1074"/>
      <c r="L98" s="1074"/>
      <c r="M98" s="1074"/>
      <c r="N98" s="1074"/>
      <c r="O98" s="1074"/>
      <c r="P98" s="1074"/>
      <c r="Q98" s="1074"/>
      <c r="R98" s="1074"/>
      <c r="S98" s="1074"/>
      <c r="T98" s="1074"/>
      <c r="U98" s="1074"/>
      <c r="V98" s="1074"/>
      <c r="W98" s="1074"/>
      <c r="X98" s="1074"/>
      <c r="Y98" s="1074"/>
      <c r="Z98" s="1074"/>
      <c r="AA98" s="1074"/>
      <c r="AB98" s="1074"/>
      <c r="AC98" s="1074"/>
      <c r="AD98" s="1074"/>
      <c r="AE98" s="1074"/>
      <c r="AF98" s="1074"/>
      <c r="AG98" s="1074"/>
      <c r="AH98" s="1074"/>
      <c r="AI98" s="1074"/>
      <c r="AJ98" s="1074"/>
      <c r="AK98" s="1074"/>
      <c r="AL98" s="1074"/>
      <c r="AM98" s="1074"/>
      <c r="AN98" s="1074"/>
      <c r="AO98" s="1074"/>
      <c r="AP98" s="1074"/>
      <c r="AQ98" s="1074"/>
      <c r="AR98" s="1074"/>
      <c r="AS98" s="1074"/>
      <c r="AT98" s="1075"/>
    </row>
    <row r="99" ht="14.25" customHeight="1">
      <c r="A99" s="1116"/>
      <c r="B99" s="1120"/>
      <c r="C99" s="1100"/>
      <c r="D99" s="1100"/>
      <c r="E99" s="1100"/>
      <c r="F99" s="1100"/>
      <c r="G99" s="1100"/>
      <c r="H99" s="1100"/>
      <c r="I99" s="1100"/>
      <c r="J99" s="1100"/>
      <c r="K99" s="1074"/>
      <c r="L99" s="1074"/>
      <c r="M99" s="1074"/>
      <c r="N99" s="1074"/>
      <c r="O99" s="1074"/>
      <c r="P99" s="1074"/>
      <c r="Q99" s="1074"/>
      <c r="R99" s="1074"/>
      <c r="S99" s="1074"/>
      <c r="T99" s="1074"/>
      <c r="U99" s="1074"/>
      <c r="V99" s="1074"/>
      <c r="W99" s="1074"/>
      <c r="X99" s="1074"/>
      <c r="Y99" s="1074"/>
      <c r="Z99" s="1074"/>
      <c r="AA99" s="1074"/>
      <c r="AB99" s="1074"/>
      <c r="AC99" s="1074"/>
      <c r="AD99" s="1074"/>
      <c r="AE99" s="1074"/>
      <c r="AF99" s="1074"/>
      <c r="AG99" s="1074"/>
      <c r="AH99" s="1074"/>
      <c r="AI99" s="1074"/>
      <c r="AJ99" s="1074"/>
      <c r="AK99" s="1074"/>
      <c r="AL99" s="1074"/>
      <c r="AM99" s="1074"/>
      <c r="AN99" s="1074"/>
      <c r="AO99" s="1074"/>
      <c r="AP99" s="1074"/>
      <c r="AQ99" s="1074"/>
      <c r="AR99" s="1074"/>
      <c r="AS99" s="1074"/>
      <c r="AT99" s="1075"/>
    </row>
    <row r="100" ht="14.25" customHeight="1">
      <c r="A100" s="1116"/>
      <c r="B100" s="1120"/>
      <c r="C100" s="1100"/>
      <c r="D100" s="1100"/>
      <c r="E100" s="1100"/>
      <c r="F100" s="1100"/>
      <c r="G100" s="1100"/>
      <c r="H100" s="1100"/>
      <c r="I100" s="1100"/>
      <c r="J100" s="1100"/>
      <c r="K100" s="1074"/>
      <c r="L100" s="1074"/>
      <c r="M100" s="1074"/>
      <c r="N100" s="1074"/>
      <c r="O100" s="1074"/>
      <c r="P100" s="1074"/>
      <c r="Q100" s="1074"/>
      <c r="R100" s="1074"/>
      <c r="S100" s="1074"/>
      <c r="T100" s="1074"/>
      <c r="U100" s="1074"/>
      <c r="V100" s="1074"/>
      <c r="W100" s="1074"/>
      <c r="X100" s="1074"/>
      <c r="Y100" s="1074"/>
      <c r="Z100" s="1074"/>
      <c r="AA100" s="1074"/>
      <c r="AB100" s="1074"/>
      <c r="AC100" s="1074"/>
      <c r="AD100" s="1074"/>
      <c r="AE100" s="1074"/>
      <c r="AF100" s="1074"/>
      <c r="AG100" s="1074"/>
      <c r="AH100" s="1074"/>
      <c r="AI100" s="1074"/>
      <c r="AJ100" s="1074"/>
      <c r="AK100" s="1074"/>
      <c r="AL100" s="1074"/>
      <c r="AM100" s="1074"/>
      <c r="AN100" s="1074"/>
      <c r="AO100" s="1074"/>
      <c r="AP100" s="1074"/>
      <c r="AQ100" s="1074"/>
      <c r="AR100" s="1074"/>
      <c r="AS100" s="1074"/>
      <c r="AT100" s="1075"/>
    </row>
    <row r="101" ht="14.25" customHeight="1">
      <c r="A101" s="1116"/>
      <c r="B101" s="1120"/>
      <c r="C101" s="1100"/>
      <c r="D101" s="1100"/>
      <c r="E101" s="1100"/>
      <c r="F101" s="1100"/>
      <c r="G101" s="1100"/>
      <c r="H101" s="1100"/>
      <c r="I101" s="1100"/>
      <c r="J101" s="1100"/>
      <c r="K101" s="1074"/>
      <c r="L101" s="1074"/>
      <c r="M101" s="1074"/>
      <c r="N101" s="1074"/>
      <c r="O101" s="1074"/>
      <c r="P101" s="1074"/>
      <c r="Q101" s="1074"/>
      <c r="R101" s="1074"/>
      <c r="S101" s="1074"/>
      <c r="T101" s="1074"/>
      <c r="U101" s="1074"/>
      <c r="V101" s="1074"/>
      <c r="W101" s="1074"/>
      <c r="X101" s="1074"/>
      <c r="Y101" s="1074"/>
      <c r="Z101" s="1074"/>
      <c r="AA101" s="1074"/>
      <c r="AB101" s="1074"/>
      <c r="AC101" s="1074"/>
      <c r="AD101" s="1074"/>
      <c r="AE101" s="1074"/>
      <c r="AF101" s="1074"/>
      <c r="AG101" s="1074"/>
      <c r="AH101" s="1074"/>
      <c r="AI101" s="1074"/>
      <c r="AJ101" s="1074"/>
      <c r="AK101" s="1074"/>
      <c r="AL101" s="1074"/>
      <c r="AM101" s="1074"/>
      <c r="AN101" s="1074"/>
      <c r="AO101" s="1074"/>
      <c r="AP101" s="1074"/>
      <c r="AQ101" s="1074"/>
      <c r="AR101" s="1074"/>
      <c r="AS101" s="1074"/>
      <c r="AT101" s="1075"/>
    </row>
    <row r="102" ht="14.25" customHeight="1">
      <c r="A102" s="1116"/>
      <c r="B102" s="1120"/>
      <c r="C102" s="1100"/>
      <c r="D102" s="1100"/>
      <c r="E102" s="1100"/>
      <c r="F102" s="1100"/>
      <c r="G102" s="1100"/>
      <c r="H102" s="1100"/>
      <c r="I102" s="1100"/>
      <c r="J102" s="1100"/>
      <c r="K102" s="1074"/>
      <c r="L102" s="1074"/>
      <c r="M102" s="1074"/>
      <c r="N102" s="1074"/>
      <c r="O102" s="1074"/>
      <c r="P102" s="1074"/>
      <c r="Q102" s="1074"/>
      <c r="R102" s="1074"/>
      <c r="S102" s="1074"/>
      <c r="T102" s="1074"/>
      <c r="U102" s="1074"/>
      <c r="V102" s="1074"/>
      <c r="W102" s="1074"/>
      <c r="X102" s="1074"/>
      <c r="Y102" s="1074"/>
      <c r="Z102" s="1074"/>
      <c r="AA102" s="1074"/>
      <c r="AB102" s="1074"/>
      <c r="AC102" s="1074"/>
      <c r="AD102" s="1074"/>
      <c r="AE102" s="1074"/>
      <c r="AF102" s="1074"/>
      <c r="AG102" s="1074"/>
      <c r="AH102" s="1074"/>
      <c r="AI102" s="1074"/>
      <c r="AJ102" s="1074"/>
      <c r="AK102" s="1074"/>
      <c r="AL102" s="1074"/>
      <c r="AM102" s="1074"/>
      <c r="AN102" s="1074"/>
      <c r="AO102" s="1074"/>
      <c r="AP102" s="1074"/>
      <c r="AQ102" s="1074"/>
      <c r="AR102" s="1074"/>
      <c r="AS102" s="1074"/>
      <c r="AT102" s="1075"/>
    </row>
    <row r="103" ht="14.25" customHeight="1">
      <c r="A103" s="1116"/>
      <c r="B103" s="1120"/>
      <c r="C103" s="1100"/>
      <c r="D103" s="1100"/>
      <c r="E103" s="1100"/>
      <c r="F103" s="1100"/>
      <c r="G103" s="1100"/>
      <c r="H103" s="1100"/>
      <c r="I103" s="1100"/>
      <c r="J103" s="1100"/>
      <c r="K103" s="1074"/>
      <c r="L103" s="1074"/>
      <c r="M103" s="1074"/>
      <c r="N103" s="1074"/>
      <c r="O103" s="1074"/>
      <c r="P103" s="1074"/>
      <c r="Q103" s="1074"/>
      <c r="R103" s="1074"/>
      <c r="S103" s="1074"/>
      <c r="T103" s="1074"/>
      <c r="U103" s="1074"/>
      <c r="V103" s="1074"/>
      <c r="W103" s="1074"/>
      <c r="X103" s="1074"/>
      <c r="Y103" s="1074"/>
      <c r="Z103" s="1074"/>
      <c r="AA103" s="1074"/>
      <c r="AB103" s="1074"/>
      <c r="AC103" s="1074"/>
      <c r="AD103" s="1074"/>
      <c r="AE103" s="1074"/>
      <c r="AF103" s="1074"/>
      <c r="AG103" s="1074"/>
      <c r="AH103" s="1074"/>
      <c r="AI103" s="1074"/>
      <c r="AJ103" s="1074"/>
      <c r="AK103" s="1074"/>
      <c r="AL103" s="1074"/>
      <c r="AM103" s="1074"/>
      <c r="AN103" s="1074"/>
      <c r="AO103" s="1074"/>
      <c r="AP103" s="1074"/>
      <c r="AQ103" s="1074"/>
      <c r="AR103" s="1074"/>
      <c r="AS103" s="1074"/>
      <c r="AT103" s="1075"/>
    </row>
    <row r="104" ht="14.25" customHeight="1">
      <c r="A104" s="1116"/>
      <c r="B104" s="1120"/>
      <c r="C104" s="1100"/>
      <c r="D104" s="1100"/>
      <c r="E104" s="1100"/>
      <c r="F104" s="1100"/>
      <c r="G104" s="1100"/>
      <c r="H104" s="1100"/>
      <c r="I104" s="1100"/>
      <c r="J104" s="1100"/>
      <c r="K104" s="1074"/>
      <c r="L104" s="1074"/>
      <c r="M104" s="1074"/>
      <c r="N104" s="1074"/>
      <c r="O104" s="1074"/>
      <c r="P104" s="1074"/>
      <c r="Q104" s="1074"/>
      <c r="R104" s="1074"/>
      <c r="S104" s="1074"/>
      <c r="T104" s="1074"/>
      <c r="U104" s="1074"/>
      <c r="V104" s="1074"/>
      <c r="W104" s="1074"/>
      <c r="X104" s="1074"/>
      <c r="Y104" s="1074"/>
      <c r="Z104" s="1074"/>
      <c r="AA104" s="1074"/>
      <c r="AB104" s="1074"/>
      <c r="AC104" s="1074"/>
      <c r="AD104" s="1074"/>
      <c r="AE104" s="1074"/>
      <c r="AF104" s="1074"/>
      <c r="AG104" s="1074"/>
      <c r="AH104" s="1074"/>
      <c r="AI104" s="1074"/>
      <c r="AJ104" s="1074"/>
      <c r="AK104" s="1074"/>
      <c r="AL104" s="1074"/>
      <c r="AM104" s="1074"/>
      <c r="AN104" s="1074"/>
      <c r="AO104" s="1074"/>
      <c r="AP104" s="1074"/>
      <c r="AQ104" s="1074"/>
      <c r="AR104" s="1074"/>
      <c r="AS104" s="1074"/>
      <c r="AT104" s="1075"/>
    </row>
    <row r="105" ht="14.25" customHeight="1">
      <c r="A105" s="1116"/>
      <c r="B105" s="1120"/>
      <c r="C105" s="1100"/>
      <c r="D105" s="1100"/>
      <c r="E105" s="1100"/>
      <c r="F105" s="1100"/>
      <c r="G105" s="1100"/>
      <c r="H105" s="1100"/>
      <c r="I105" s="1100"/>
      <c r="J105" s="1100"/>
      <c r="K105" s="1074"/>
      <c r="L105" s="1074"/>
      <c r="M105" s="1074"/>
      <c r="N105" s="1074"/>
      <c r="O105" s="1074"/>
      <c r="P105" s="1074"/>
      <c r="Q105" s="1074"/>
      <c r="R105" s="1074"/>
      <c r="S105" s="1074"/>
      <c r="T105" s="1074"/>
      <c r="U105" s="1074"/>
      <c r="V105" s="1074"/>
      <c r="W105" s="1074"/>
      <c r="X105" s="1074"/>
      <c r="Y105" s="1074"/>
      <c r="Z105" s="1074"/>
      <c r="AA105" s="1074"/>
      <c r="AB105" s="1074"/>
      <c r="AC105" s="1074"/>
      <c r="AD105" s="1074"/>
      <c r="AE105" s="1074"/>
      <c r="AF105" s="1074"/>
      <c r="AG105" s="1074"/>
      <c r="AH105" s="1074"/>
      <c r="AI105" s="1074"/>
      <c r="AJ105" s="1074"/>
      <c r="AK105" s="1074"/>
      <c r="AL105" s="1074"/>
      <c r="AM105" s="1074"/>
      <c r="AN105" s="1074"/>
      <c r="AO105" s="1074"/>
      <c r="AP105" s="1074"/>
      <c r="AQ105" s="1074"/>
      <c r="AR105" s="1074"/>
      <c r="AS105" s="1074"/>
      <c r="AT105" s="1075"/>
    </row>
    <row r="106" ht="14.25" customHeight="1">
      <c r="A106" s="1116"/>
      <c r="B106" s="1120"/>
      <c r="C106" s="1100"/>
      <c r="D106" s="1100"/>
      <c r="E106" s="1100"/>
      <c r="F106" s="1100"/>
      <c r="G106" s="1100"/>
      <c r="H106" s="1100"/>
      <c r="I106" s="1100"/>
      <c r="J106" s="1100"/>
      <c r="K106" s="1074"/>
      <c r="L106" s="1074"/>
      <c r="M106" s="1074"/>
      <c r="N106" s="1074"/>
      <c r="O106" s="1074"/>
      <c r="P106" s="1074"/>
      <c r="Q106" s="1074"/>
      <c r="R106" s="1074"/>
      <c r="S106" s="1074"/>
      <c r="T106" s="1074"/>
      <c r="U106" s="1074"/>
      <c r="V106" s="1074"/>
      <c r="W106" s="1074"/>
      <c r="X106" s="1074"/>
      <c r="Y106" s="1074"/>
      <c r="Z106" s="1074"/>
      <c r="AA106" s="1074"/>
      <c r="AB106" s="1074"/>
      <c r="AC106" s="1074"/>
      <c r="AD106" s="1074"/>
      <c r="AE106" s="1074"/>
      <c r="AF106" s="1074"/>
      <c r="AG106" s="1074"/>
      <c r="AH106" s="1074"/>
      <c r="AI106" s="1074"/>
      <c r="AJ106" s="1074"/>
      <c r="AK106" s="1074"/>
      <c r="AL106" s="1074"/>
      <c r="AM106" s="1074"/>
      <c r="AN106" s="1074"/>
      <c r="AO106" s="1074"/>
      <c r="AP106" s="1074"/>
      <c r="AQ106" s="1074"/>
      <c r="AR106" s="1074"/>
      <c r="AS106" s="1074"/>
      <c r="AT106" s="1075"/>
    </row>
    <row r="107" ht="14.25" customHeight="1">
      <c r="A107" s="1116"/>
      <c r="B107" s="1120"/>
      <c r="C107" s="1100"/>
      <c r="D107" s="1100"/>
      <c r="E107" s="1100"/>
      <c r="F107" s="1100"/>
      <c r="G107" s="1100"/>
      <c r="H107" s="1100"/>
      <c r="I107" s="1100"/>
      <c r="J107" s="1100"/>
      <c r="K107" s="1074"/>
      <c r="L107" s="1074"/>
      <c r="M107" s="1074"/>
      <c r="N107" s="1074"/>
      <c r="O107" s="1074"/>
      <c r="P107" s="1074"/>
      <c r="Q107" s="1074"/>
      <c r="R107" s="1074"/>
      <c r="S107" s="1074"/>
      <c r="T107" s="1074"/>
      <c r="U107" s="1074"/>
      <c r="V107" s="1074"/>
      <c r="W107" s="1074"/>
      <c r="X107" s="1074"/>
      <c r="Y107" s="1074"/>
      <c r="Z107" s="1074"/>
      <c r="AA107" s="1074"/>
      <c r="AB107" s="1074"/>
      <c r="AC107" s="1074"/>
      <c r="AD107" s="1074"/>
      <c r="AE107" s="1074"/>
      <c r="AF107" s="1074"/>
      <c r="AG107" s="1074"/>
      <c r="AH107" s="1074"/>
      <c r="AI107" s="1074"/>
      <c r="AJ107" s="1074"/>
      <c r="AK107" s="1074"/>
      <c r="AL107" s="1074"/>
      <c r="AM107" s="1074"/>
      <c r="AN107" s="1074"/>
      <c r="AO107" s="1074"/>
      <c r="AP107" s="1074"/>
      <c r="AQ107" s="1074"/>
      <c r="AR107" s="1074"/>
      <c r="AS107" s="1074"/>
      <c r="AT107" s="1075"/>
    </row>
    <row r="108" ht="14.25" customHeight="1">
      <c r="A108" s="1116"/>
      <c r="B108" s="1120"/>
      <c r="C108" s="1100"/>
      <c r="D108" s="1100"/>
      <c r="E108" s="1100"/>
      <c r="F108" s="1100"/>
      <c r="G108" s="1100"/>
      <c r="H108" s="1100"/>
      <c r="I108" s="1100"/>
      <c r="J108" s="1100"/>
      <c r="K108" s="1074"/>
      <c r="L108" s="1074"/>
      <c r="M108" s="1074"/>
      <c r="N108" s="1074"/>
      <c r="O108" s="1074"/>
      <c r="P108" s="1074"/>
      <c r="Q108" s="1074"/>
      <c r="R108" s="1074"/>
      <c r="S108" s="1074"/>
      <c r="T108" s="1074"/>
      <c r="U108" s="1074"/>
      <c r="V108" s="1074"/>
      <c r="W108" s="1074"/>
      <c r="X108" s="1074"/>
      <c r="Y108" s="1074"/>
      <c r="Z108" s="1074"/>
      <c r="AA108" s="1074"/>
      <c r="AB108" s="1074"/>
      <c r="AC108" s="1074"/>
      <c r="AD108" s="1074"/>
      <c r="AE108" s="1074"/>
      <c r="AF108" s="1074"/>
      <c r="AG108" s="1074"/>
      <c r="AH108" s="1074"/>
      <c r="AI108" s="1074"/>
      <c r="AJ108" s="1074"/>
      <c r="AK108" s="1074"/>
      <c r="AL108" s="1074"/>
      <c r="AM108" s="1074"/>
      <c r="AN108" s="1074"/>
      <c r="AO108" s="1074"/>
      <c r="AP108" s="1074"/>
      <c r="AQ108" s="1074"/>
      <c r="AR108" s="1074"/>
      <c r="AS108" s="1074"/>
      <c r="AT108" s="1075"/>
    </row>
    <row r="109" ht="14.25" customHeight="1">
      <c r="A109" s="1116"/>
      <c r="B109" s="1120"/>
      <c r="C109" s="1100"/>
      <c r="D109" s="1100"/>
      <c r="E109" s="1100"/>
      <c r="F109" s="1100"/>
      <c r="G109" s="1100"/>
      <c r="H109" s="1100"/>
      <c r="I109" s="1100"/>
      <c r="J109" s="1100"/>
      <c r="K109" s="1074"/>
      <c r="L109" s="1074"/>
      <c r="M109" s="1074"/>
      <c r="N109" s="1074"/>
      <c r="O109" s="1074"/>
      <c r="P109" s="1074"/>
      <c r="Q109" s="1074"/>
      <c r="R109" s="1074"/>
      <c r="S109" s="1074"/>
      <c r="T109" s="1074"/>
      <c r="U109" s="1074"/>
      <c r="V109" s="1074"/>
      <c r="W109" s="1074"/>
      <c r="X109" s="1074"/>
      <c r="Y109" s="1074"/>
      <c r="Z109" s="1074"/>
      <c r="AA109" s="1074"/>
      <c r="AB109" s="1074"/>
      <c r="AC109" s="1074"/>
      <c r="AD109" s="1074"/>
      <c r="AE109" s="1074"/>
      <c r="AF109" s="1074"/>
      <c r="AG109" s="1074"/>
      <c r="AH109" s="1074"/>
      <c r="AI109" s="1074"/>
      <c r="AJ109" s="1074"/>
      <c r="AK109" s="1074"/>
      <c r="AL109" s="1074"/>
      <c r="AM109" s="1074"/>
      <c r="AN109" s="1074"/>
      <c r="AO109" s="1074"/>
      <c r="AP109" s="1074"/>
      <c r="AQ109" s="1074"/>
      <c r="AR109" s="1074"/>
      <c r="AS109" s="1074"/>
      <c r="AT109" s="1075"/>
    </row>
    <row r="110" ht="14.25" customHeight="1">
      <c r="A110" s="1116"/>
      <c r="B110" s="1120"/>
      <c r="C110" s="1100"/>
      <c r="D110" s="1100"/>
      <c r="E110" s="1100"/>
      <c r="F110" s="1100"/>
      <c r="G110" s="1100"/>
      <c r="H110" s="1100"/>
      <c r="I110" s="1100"/>
      <c r="J110" s="1100"/>
      <c r="K110" s="1074"/>
      <c r="L110" s="1074"/>
      <c r="M110" s="1074"/>
      <c r="N110" s="1074"/>
      <c r="O110" s="1074"/>
      <c r="P110" s="1074"/>
      <c r="Q110" s="1074"/>
      <c r="R110" s="1074"/>
      <c r="S110" s="1074"/>
      <c r="T110" s="1074"/>
      <c r="U110" s="1074"/>
      <c r="V110" s="1074"/>
      <c r="W110" s="1074"/>
      <c r="X110" s="1074"/>
      <c r="Y110" s="1074"/>
      <c r="Z110" s="1074"/>
      <c r="AA110" s="1074"/>
      <c r="AB110" s="1074"/>
      <c r="AC110" s="1074"/>
      <c r="AD110" s="1074"/>
      <c r="AE110" s="1074"/>
      <c r="AF110" s="1074"/>
      <c r="AG110" s="1074"/>
      <c r="AH110" s="1074"/>
      <c r="AI110" s="1074"/>
      <c r="AJ110" s="1074"/>
      <c r="AK110" s="1074"/>
      <c r="AL110" s="1074"/>
      <c r="AM110" s="1074"/>
      <c r="AN110" s="1074"/>
      <c r="AO110" s="1074"/>
      <c r="AP110" s="1074"/>
      <c r="AQ110" s="1074"/>
      <c r="AR110" s="1074"/>
      <c r="AS110" s="1074"/>
      <c r="AT110" s="1075"/>
    </row>
    <row r="111" ht="14.25" customHeight="1">
      <c r="A111" s="1116"/>
      <c r="B111" s="1120"/>
      <c r="C111" s="1100"/>
      <c r="D111" s="1100"/>
      <c r="E111" s="1100"/>
      <c r="F111" s="1100"/>
      <c r="G111" s="1100"/>
      <c r="H111" s="1100"/>
      <c r="I111" s="1100"/>
      <c r="J111" s="1100"/>
      <c r="K111" s="1074"/>
      <c r="L111" s="1074"/>
      <c r="M111" s="1074"/>
      <c r="N111" s="1074"/>
      <c r="O111" s="1074"/>
      <c r="P111" s="1074"/>
      <c r="Q111" s="1074"/>
      <c r="R111" s="1074"/>
      <c r="S111" s="1074"/>
      <c r="T111" s="1074"/>
      <c r="U111" s="1074"/>
      <c r="V111" s="1074"/>
      <c r="W111" s="1074"/>
      <c r="X111" s="1074"/>
      <c r="Y111" s="1074"/>
      <c r="Z111" s="1074"/>
      <c r="AA111" s="1074"/>
      <c r="AB111" s="1074"/>
      <c r="AC111" s="1074"/>
      <c r="AD111" s="1074"/>
      <c r="AE111" s="1074"/>
      <c r="AF111" s="1074"/>
      <c r="AG111" s="1074"/>
      <c r="AH111" s="1074"/>
      <c r="AI111" s="1074"/>
      <c r="AJ111" s="1074"/>
      <c r="AK111" s="1074"/>
      <c r="AL111" s="1074"/>
      <c r="AM111" s="1074"/>
      <c r="AN111" s="1074"/>
      <c r="AO111" s="1074"/>
      <c r="AP111" s="1074"/>
      <c r="AQ111" s="1074"/>
      <c r="AR111" s="1074"/>
      <c r="AS111" s="1074"/>
      <c r="AT111" s="1075"/>
    </row>
    <row r="112" ht="14.25" customHeight="1">
      <c r="A112" s="1116"/>
      <c r="B112" s="1120"/>
      <c r="C112" s="1100"/>
      <c r="D112" s="1100"/>
      <c r="E112" s="1100"/>
      <c r="F112" s="1100"/>
      <c r="G112" s="1100"/>
      <c r="H112" s="1100"/>
      <c r="I112" s="1100"/>
      <c r="J112" s="1100"/>
      <c r="K112" s="1074"/>
      <c r="L112" s="1074"/>
      <c r="M112" s="1074"/>
      <c r="N112" s="1074"/>
      <c r="O112" s="1074"/>
      <c r="P112" s="1074"/>
      <c r="Q112" s="1074"/>
      <c r="R112" s="1074"/>
      <c r="S112" s="1074"/>
      <c r="T112" s="1074"/>
      <c r="U112" s="1074"/>
      <c r="V112" s="1074"/>
      <c r="W112" s="1074"/>
      <c r="X112" s="1074"/>
      <c r="Y112" s="1074"/>
      <c r="Z112" s="1074"/>
      <c r="AA112" s="1074"/>
      <c r="AB112" s="1074"/>
      <c r="AC112" s="1074"/>
      <c r="AD112" s="1074"/>
      <c r="AE112" s="1074"/>
      <c r="AF112" s="1074"/>
      <c r="AG112" s="1074"/>
      <c r="AH112" s="1074"/>
      <c r="AI112" s="1074"/>
      <c r="AJ112" s="1074"/>
      <c r="AK112" s="1074"/>
      <c r="AL112" s="1074"/>
      <c r="AM112" s="1074"/>
      <c r="AN112" s="1074"/>
      <c r="AO112" s="1074"/>
      <c r="AP112" s="1074"/>
      <c r="AQ112" s="1074"/>
      <c r="AR112" s="1074"/>
      <c r="AS112" s="1074"/>
      <c r="AT112" s="1075"/>
    </row>
    <row r="113" ht="14.25" customHeight="1">
      <c r="A113" s="1116"/>
      <c r="B113" s="1120"/>
      <c r="C113" s="1100"/>
      <c r="D113" s="1100"/>
      <c r="E113" s="1100"/>
      <c r="F113" s="1100"/>
      <c r="G113" s="1100"/>
      <c r="H113" s="1100"/>
      <c r="I113" s="1100"/>
      <c r="J113" s="1100"/>
      <c r="K113" s="1074"/>
      <c r="L113" s="1074"/>
      <c r="M113" s="1074"/>
      <c r="N113" s="1074"/>
      <c r="O113" s="1074"/>
      <c r="P113" s="1074"/>
      <c r="Q113" s="1074"/>
      <c r="R113" s="1074"/>
      <c r="S113" s="1074"/>
      <c r="T113" s="1074"/>
      <c r="U113" s="1074"/>
      <c r="V113" s="1074"/>
      <c r="W113" s="1074"/>
      <c r="X113" s="1074"/>
      <c r="Y113" s="1074"/>
      <c r="Z113" s="1074"/>
      <c r="AA113" s="1074"/>
      <c r="AB113" s="1074"/>
      <c r="AC113" s="1074"/>
      <c r="AD113" s="1074"/>
      <c r="AE113" s="1074"/>
      <c r="AF113" s="1074"/>
      <c r="AG113" s="1074"/>
      <c r="AH113" s="1074"/>
      <c r="AI113" s="1074"/>
      <c r="AJ113" s="1074"/>
      <c r="AK113" s="1074"/>
      <c r="AL113" s="1074"/>
      <c r="AM113" s="1074"/>
      <c r="AN113" s="1074"/>
      <c r="AO113" s="1074"/>
      <c r="AP113" s="1074"/>
      <c r="AQ113" s="1074"/>
      <c r="AR113" s="1074"/>
      <c r="AS113" s="1074"/>
      <c r="AT113" s="1075"/>
    </row>
    <row r="114" ht="14.25" customHeight="1">
      <c r="A114" s="1116"/>
      <c r="B114" s="1120"/>
      <c r="C114" s="1100"/>
      <c r="D114" s="1100"/>
      <c r="E114" s="1100"/>
      <c r="F114" s="1100"/>
      <c r="G114" s="1100"/>
      <c r="H114" s="1100"/>
      <c r="I114" s="1100"/>
      <c r="J114" s="1100"/>
      <c r="K114" s="1074"/>
      <c r="L114" s="1074"/>
      <c r="M114" s="1074"/>
      <c r="N114" s="1074"/>
      <c r="O114" s="1074"/>
      <c r="P114" s="1074"/>
      <c r="Q114" s="1074"/>
      <c r="R114" s="1074"/>
      <c r="S114" s="1074"/>
      <c r="T114" s="1074"/>
      <c r="U114" s="1074"/>
      <c r="V114" s="1074"/>
      <c r="W114" s="1074"/>
      <c r="X114" s="1074"/>
      <c r="Y114" s="1074"/>
      <c r="Z114" s="1074"/>
      <c r="AA114" s="1074"/>
      <c r="AB114" s="1074"/>
      <c r="AC114" s="1074"/>
      <c r="AD114" s="1074"/>
      <c r="AE114" s="1074"/>
      <c r="AF114" s="1074"/>
      <c r="AG114" s="1074"/>
      <c r="AH114" s="1074"/>
      <c r="AI114" s="1074"/>
      <c r="AJ114" s="1074"/>
      <c r="AK114" s="1074"/>
      <c r="AL114" s="1074"/>
      <c r="AM114" s="1074"/>
      <c r="AN114" s="1074"/>
      <c r="AO114" s="1074"/>
      <c r="AP114" s="1074"/>
      <c r="AQ114" s="1074"/>
      <c r="AR114" s="1074"/>
      <c r="AS114" s="1074"/>
      <c r="AT114" s="1075"/>
    </row>
    <row r="115" ht="14.25" customHeight="1">
      <c r="A115" s="1116"/>
      <c r="B115" s="1120"/>
      <c r="C115" s="1100"/>
      <c r="D115" s="1100"/>
      <c r="E115" s="1100"/>
      <c r="F115" s="1100"/>
      <c r="G115" s="1100"/>
      <c r="H115" s="1100"/>
      <c r="I115" s="1100"/>
      <c r="J115" s="1100"/>
      <c r="K115" s="1074"/>
      <c r="L115" s="1074"/>
      <c r="M115" s="1074"/>
      <c r="N115" s="1074"/>
      <c r="O115" s="1074"/>
      <c r="P115" s="1074"/>
      <c r="Q115" s="1074"/>
      <c r="R115" s="1074"/>
      <c r="S115" s="1074"/>
      <c r="T115" s="1074"/>
      <c r="U115" s="1074"/>
      <c r="V115" s="1074"/>
      <c r="W115" s="1074"/>
      <c r="X115" s="1074"/>
      <c r="Y115" s="1074"/>
      <c r="Z115" s="1074"/>
      <c r="AA115" s="1074"/>
      <c r="AB115" s="1074"/>
      <c r="AC115" s="1074"/>
      <c r="AD115" s="1074"/>
      <c r="AE115" s="1074"/>
      <c r="AF115" s="1074"/>
      <c r="AG115" s="1074"/>
      <c r="AH115" s="1074"/>
      <c r="AI115" s="1074"/>
      <c r="AJ115" s="1074"/>
      <c r="AK115" s="1074"/>
      <c r="AL115" s="1074"/>
      <c r="AM115" s="1074"/>
      <c r="AN115" s="1074"/>
      <c r="AO115" s="1074"/>
      <c r="AP115" s="1074"/>
      <c r="AQ115" s="1074"/>
      <c r="AR115" s="1074"/>
      <c r="AS115" s="1074"/>
      <c r="AT115" s="1075"/>
    </row>
    <row r="116" ht="14.25" customHeight="1">
      <c r="A116" s="1116"/>
      <c r="B116" s="1120"/>
      <c r="C116" s="1100"/>
      <c r="D116" s="1100"/>
      <c r="E116" s="1100"/>
      <c r="F116" s="1100"/>
      <c r="G116" s="1100"/>
      <c r="H116" s="1100"/>
      <c r="I116" s="1100"/>
      <c r="J116" s="1100"/>
      <c r="K116" s="1074"/>
      <c r="L116" s="1074"/>
      <c r="M116" s="1074"/>
      <c r="N116" s="1074"/>
      <c r="O116" s="1074"/>
      <c r="P116" s="1074"/>
      <c r="Q116" s="1074"/>
      <c r="R116" s="1074"/>
      <c r="S116" s="1074"/>
      <c r="T116" s="1074"/>
      <c r="U116" s="1074"/>
      <c r="V116" s="1074"/>
      <c r="W116" s="1074"/>
      <c r="X116" s="1074"/>
      <c r="Y116" s="1074"/>
      <c r="Z116" s="1074"/>
      <c r="AA116" s="1074"/>
      <c r="AB116" s="1074"/>
      <c r="AC116" s="1074"/>
      <c r="AD116" s="1074"/>
      <c r="AE116" s="1074"/>
      <c r="AF116" s="1074"/>
      <c r="AG116" s="1074"/>
      <c r="AH116" s="1074"/>
      <c r="AI116" s="1074"/>
      <c r="AJ116" s="1074"/>
      <c r="AK116" s="1074"/>
      <c r="AL116" s="1074"/>
      <c r="AM116" s="1074"/>
      <c r="AN116" s="1074"/>
      <c r="AO116" s="1074"/>
      <c r="AP116" s="1074"/>
      <c r="AQ116" s="1074"/>
      <c r="AR116" s="1074"/>
      <c r="AS116" s="1074"/>
      <c r="AT116" s="1075"/>
    </row>
    <row r="117" ht="14.25" customHeight="1">
      <c r="A117" s="1116"/>
      <c r="B117" s="1120"/>
      <c r="C117" s="1100"/>
      <c r="D117" s="1100"/>
      <c r="E117" s="1100"/>
      <c r="F117" s="1100"/>
      <c r="G117" s="1100"/>
      <c r="H117" s="1100"/>
      <c r="I117" s="1100"/>
      <c r="J117" s="1100"/>
      <c r="K117" s="1074"/>
      <c r="L117" s="1074"/>
      <c r="M117" s="1074"/>
      <c r="N117" s="1074"/>
      <c r="O117" s="1074"/>
      <c r="P117" s="1074"/>
      <c r="Q117" s="1074"/>
      <c r="R117" s="1074"/>
      <c r="S117" s="1074"/>
      <c r="T117" s="1074"/>
      <c r="U117" s="1074"/>
      <c r="V117" s="1074"/>
      <c r="W117" s="1074"/>
      <c r="X117" s="1074"/>
      <c r="Y117" s="1074"/>
      <c r="Z117" s="1074"/>
      <c r="AA117" s="1074"/>
      <c r="AB117" s="1074"/>
      <c r="AC117" s="1074"/>
      <c r="AD117" s="1074"/>
      <c r="AE117" s="1074"/>
      <c r="AF117" s="1074"/>
      <c r="AG117" s="1074"/>
      <c r="AH117" s="1074"/>
      <c r="AI117" s="1074"/>
      <c r="AJ117" s="1074"/>
      <c r="AK117" s="1074"/>
      <c r="AL117" s="1074"/>
      <c r="AM117" s="1074"/>
      <c r="AN117" s="1074"/>
      <c r="AO117" s="1074"/>
      <c r="AP117" s="1074"/>
      <c r="AQ117" s="1074"/>
      <c r="AR117" s="1074"/>
      <c r="AS117" s="1074"/>
      <c r="AT117" s="1075"/>
    </row>
    <row r="118" ht="14.25" customHeight="1">
      <c r="A118" s="1116"/>
      <c r="B118" s="1120"/>
      <c r="C118" s="1100"/>
      <c r="D118" s="1100"/>
      <c r="E118" s="1100"/>
      <c r="F118" s="1100"/>
      <c r="G118" s="1100"/>
      <c r="H118" s="1100"/>
      <c r="I118" s="1100"/>
      <c r="J118" s="1100"/>
      <c r="K118" s="1074"/>
      <c r="L118" s="1074"/>
      <c r="M118" s="1074"/>
      <c r="N118" s="1074"/>
      <c r="O118" s="1074"/>
      <c r="P118" s="1074"/>
      <c r="Q118" s="1074"/>
      <c r="R118" s="1074"/>
      <c r="S118" s="1074"/>
      <c r="T118" s="1074"/>
      <c r="U118" s="1074"/>
      <c r="V118" s="1074"/>
      <c r="W118" s="1074"/>
      <c r="X118" s="1074"/>
      <c r="Y118" s="1074"/>
      <c r="Z118" s="1074"/>
      <c r="AA118" s="1074"/>
      <c r="AB118" s="1074"/>
      <c r="AC118" s="1074"/>
      <c r="AD118" s="1074"/>
      <c r="AE118" s="1074"/>
      <c r="AF118" s="1074"/>
      <c r="AG118" s="1074"/>
      <c r="AH118" s="1074"/>
      <c r="AI118" s="1074"/>
      <c r="AJ118" s="1074"/>
      <c r="AK118" s="1074"/>
      <c r="AL118" s="1074"/>
      <c r="AM118" s="1074"/>
      <c r="AN118" s="1074"/>
      <c r="AO118" s="1074"/>
      <c r="AP118" s="1074"/>
      <c r="AQ118" s="1074"/>
      <c r="AR118" s="1074"/>
      <c r="AS118" s="1074"/>
      <c r="AT118" s="1075"/>
    </row>
    <row r="119" ht="14.25" customHeight="1">
      <c r="A119" s="1116"/>
      <c r="B119" s="1120"/>
      <c r="C119" s="1100"/>
      <c r="D119" s="1100"/>
      <c r="E119" s="1100"/>
      <c r="F119" s="1100"/>
      <c r="G119" s="1100"/>
      <c r="H119" s="1100"/>
      <c r="I119" s="1100"/>
      <c r="J119" s="1100"/>
      <c r="K119" s="1074"/>
      <c r="L119" s="1074"/>
      <c r="M119" s="1074"/>
      <c r="N119" s="1074"/>
      <c r="O119" s="1074"/>
      <c r="P119" s="1074"/>
      <c r="Q119" s="1074"/>
      <c r="R119" s="1074"/>
      <c r="S119" s="1074"/>
      <c r="T119" s="1074"/>
      <c r="U119" s="1074"/>
      <c r="V119" s="1074"/>
      <c r="W119" s="1074"/>
      <c r="X119" s="1074"/>
      <c r="Y119" s="1074"/>
      <c r="Z119" s="1074"/>
      <c r="AA119" s="1074"/>
      <c r="AB119" s="1074"/>
      <c r="AC119" s="1074"/>
      <c r="AD119" s="1074"/>
      <c r="AE119" s="1074"/>
      <c r="AF119" s="1074"/>
      <c r="AG119" s="1074"/>
      <c r="AH119" s="1074"/>
      <c r="AI119" s="1074"/>
      <c r="AJ119" s="1074"/>
      <c r="AK119" s="1074"/>
      <c r="AL119" s="1074"/>
      <c r="AM119" s="1074"/>
      <c r="AN119" s="1074"/>
      <c r="AO119" s="1074"/>
      <c r="AP119" s="1074"/>
      <c r="AQ119" s="1074"/>
      <c r="AR119" s="1074"/>
      <c r="AS119" s="1074"/>
      <c r="AT119" s="1075"/>
    </row>
    <row r="120" ht="14.25" customHeight="1">
      <c r="A120" s="1116"/>
      <c r="B120" s="1120"/>
      <c r="C120" s="1100"/>
      <c r="D120" s="1100"/>
      <c r="E120" s="1100"/>
      <c r="F120" s="1100"/>
      <c r="G120" s="1100"/>
      <c r="H120" s="1100"/>
      <c r="I120" s="1100"/>
      <c r="J120" s="1100"/>
      <c r="K120" s="1074"/>
      <c r="L120" s="1074"/>
      <c r="M120" s="1074"/>
      <c r="N120" s="1074"/>
      <c r="O120" s="1074"/>
      <c r="P120" s="1074"/>
      <c r="Q120" s="1074"/>
      <c r="R120" s="1074"/>
      <c r="S120" s="1074"/>
      <c r="T120" s="1074"/>
      <c r="U120" s="1074"/>
      <c r="V120" s="1074"/>
      <c r="W120" s="1074"/>
      <c r="X120" s="1074"/>
      <c r="Y120" s="1074"/>
      <c r="Z120" s="1074"/>
      <c r="AA120" s="1074"/>
      <c r="AB120" s="1074"/>
      <c r="AC120" s="1074"/>
      <c r="AD120" s="1074"/>
      <c r="AE120" s="1074"/>
      <c r="AF120" s="1074"/>
      <c r="AG120" s="1074"/>
      <c r="AH120" s="1074"/>
      <c r="AI120" s="1074"/>
      <c r="AJ120" s="1074"/>
      <c r="AK120" s="1074"/>
      <c r="AL120" s="1074"/>
      <c r="AM120" s="1074"/>
      <c r="AN120" s="1074"/>
      <c r="AO120" s="1074"/>
      <c r="AP120" s="1074"/>
      <c r="AQ120" s="1074"/>
      <c r="AR120" s="1074"/>
      <c r="AS120" s="1074"/>
      <c r="AT120" s="1075"/>
    </row>
    <row r="121" ht="14.25" customHeight="1">
      <c r="A121" s="1116"/>
      <c r="B121" s="1120"/>
      <c r="C121" s="1100"/>
      <c r="D121" s="1100"/>
      <c r="E121" s="1100"/>
      <c r="F121" s="1100"/>
      <c r="G121" s="1100"/>
      <c r="H121" s="1100"/>
      <c r="I121" s="1100"/>
      <c r="J121" s="1100"/>
      <c r="K121" s="1074"/>
      <c r="L121" s="1074"/>
      <c r="M121" s="1074"/>
      <c r="N121" s="1074"/>
      <c r="O121" s="1074"/>
      <c r="P121" s="1074"/>
      <c r="Q121" s="1074"/>
      <c r="R121" s="1074"/>
      <c r="S121" s="1074"/>
      <c r="T121" s="1074"/>
      <c r="U121" s="1074"/>
      <c r="V121" s="1074"/>
      <c r="W121" s="1074"/>
      <c r="X121" s="1074"/>
      <c r="Y121" s="1074"/>
      <c r="Z121" s="1074"/>
      <c r="AA121" s="1074"/>
      <c r="AB121" s="1074"/>
      <c r="AC121" s="1074"/>
      <c r="AD121" s="1074"/>
      <c r="AE121" s="1074"/>
      <c r="AF121" s="1074"/>
      <c r="AG121" s="1074"/>
      <c r="AH121" s="1074"/>
      <c r="AI121" s="1074"/>
      <c r="AJ121" s="1074"/>
      <c r="AK121" s="1074"/>
      <c r="AL121" s="1074"/>
      <c r="AM121" s="1074"/>
      <c r="AN121" s="1074"/>
      <c r="AO121" s="1074"/>
      <c r="AP121" s="1074"/>
      <c r="AQ121" s="1074"/>
      <c r="AR121" s="1074"/>
      <c r="AS121" s="1074"/>
      <c r="AT121" s="1075"/>
    </row>
    <row r="122" ht="14.25" customHeight="1">
      <c r="A122" s="1116"/>
      <c r="B122" s="1120"/>
      <c r="C122" s="1100"/>
      <c r="D122" s="1100"/>
      <c r="E122" s="1100"/>
      <c r="F122" s="1100"/>
      <c r="G122" s="1100"/>
      <c r="H122" s="1100"/>
      <c r="I122" s="1100"/>
      <c r="J122" s="1100"/>
      <c r="K122" s="1074"/>
      <c r="L122" s="1074"/>
      <c r="M122" s="1074"/>
      <c r="N122" s="1074"/>
      <c r="O122" s="1074"/>
      <c r="P122" s="1074"/>
      <c r="Q122" s="1074"/>
      <c r="R122" s="1074"/>
      <c r="S122" s="1074"/>
      <c r="T122" s="1074"/>
      <c r="U122" s="1074"/>
      <c r="V122" s="1074"/>
      <c r="W122" s="1074"/>
      <c r="X122" s="1074"/>
      <c r="Y122" s="1074"/>
      <c r="Z122" s="1074"/>
      <c r="AA122" s="1074"/>
      <c r="AB122" s="1074"/>
      <c r="AC122" s="1074"/>
      <c r="AD122" s="1074"/>
      <c r="AE122" s="1074"/>
      <c r="AF122" s="1074"/>
      <c r="AG122" s="1074"/>
      <c r="AH122" s="1074"/>
      <c r="AI122" s="1074"/>
      <c r="AJ122" s="1074"/>
      <c r="AK122" s="1074"/>
      <c r="AL122" s="1074"/>
      <c r="AM122" s="1074"/>
      <c r="AN122" s="1074"/>
      <c r="AO122" s="1074"/>
      <c r="AP122" s="1074"/>
      <c r="AQ122" s="1074"/>
      <c r="AR122" s="1074"/>
      <c r="AS122" s="1074"/>
      <c r="AT122" s="1075"/>
    </row>
    <row r="123" ht="14.25" customHeight="1">
      <c r="A123" s="1116"/>
      <c r="B123" s="1120"/>
      <c r="C123" s="1100"/>
      <c r="D123" s="1100"/>
      <c r="E123" s="1100"/>
      <c r="F123" s="1100"/>
      <c r="G123" s="1100"/>
      <c r="H123" s="1100"/>
      <c r="I123" s="1100"/>
      <c r="J123" s="1100"/>
      <c r="K123" s="1074"/>
      <c r="L123" s="1074"/>
      <c r="M123" s="1074"/>
      <c r="N123" s="1074"/>
      <c r="O123" s="1074"/>
      <c r="P123" s="1074"/>
      <c r="Q123" s="1074"/>
      <c r="R123" s="1074"/>
      <c r="S123" s="1074"/>
      <c r="T123" s="1074"/>
      <c r="U123" s="1074"/>
      <c r="V123" s="1074"/>
      <c r="W123" s="1074"/>
      <c r="X123" s="1074"/>
      <c r="Y123" s="1074"/>
      <c r="Z123" s="1074"/>
      <c r="AA123" s="1074"/>
      <c r="AB123" s="1074"/>
      <c r="AC123" s="1074"/>
      <c r="AD123" s="1074"/>
      <c r="AE123" s="1074"/>
      <c r="AF123" s="1074"/>
      <c r="AG123" s="1074"/>
      <c r="AH123" s="1074"/>
      <c r="AI123" s="1074"/>
      <c r="AJ123" s="1074"/>
      <c r="AK123" s="1074"/>
      <c r="AL123" s="1074"/>
      <c r="AM123" s="1074"/>
      <c r="AN123" s="1074"/>
      <c r="AO123" s="1074"/>
      <c r="AP123" s="1074"/>
      <c r="AQ123" s="1074"/>
      <c r="AR123" s="1074"/>
      <c r="AS123" s="1074"/>
      <c r="AT123" s="1075"/>
    </row>
    <row r="124" ht="14.25" customHeight="1">
      <c r="A124" s="1116"/>
      <c r="B124" s="1120"/>
      <c r="C124" s="1100"/>
      <c r="D124" s="1100"/>
      <c r="E124" s="1100"/>
      <c r="F124" s="1100"/>
      <c r="G124" s="1100"/>
      <c r="H124" s="1100"/>
      <c r="I124" s="1100"/>
      <c r="J124" s="1100"/>
      <c r="K124" s="1074"/>
      <c r="L124" s="1074"/>
      <c r="M124" s="1074"/>
      <c r="N124" s="1074"/>
      <c r="O124" s="1074"/>
      <c r="P124" s="1074"/>
      <c r="Q124" s="1074"/>
      <c r="R124" s="1074"/>
      <c r="S124" s="1074"/>
      <c r="T124" s="1074"/>
      <c r="U124" s="1074"/>
      <c r="V124" s="1074"/>
      <c r="W124" s="1074"/>
      <c r="X124" s="1074"/>
      <c r="Y124" s="1074"/>
      <c r="Z124" s="1074"/>
      <c r="AA124" s="1074"/>
      <c r="AB124" s="1074"/>
      <c r="AC124" s="1074"/>
      <c r="AD124" s="1074"/>
      <c r="AE124" s="1074"/>
      <c r="AF124" s="1074"/>
      <c r="AG124" s="1074"/>
      <c r="AH124" s="1074"/>
      <c r="AI124" s="1074"/>
      <c r="AJ124" s="1074"/>
      <c r="AK124" s="1074"/>
      <c r="AL124" s="1074"/>
      <c r="AM124" s="1074"/>
      <c r="AN124" s="1074"/>
      <c r="AO124" s="1074"/>
      <c r="AP124" s="1074"/>
      <c r="AQ124" s="1074"/>
      <c r="AR124" s="1074"/>
      <c r="AS124" s="1074"/>
      <c r="AT124" s="1075"/>
    </row>
    <row r="125" ht="14.25" customHeight="1">
      <c r="A125" s="1116"/>
      <c r="B125" s="1120"/>
      <c r="C125" s="1100"/>
      <c r="D125" s="1100"/>
      <c r="E125" s="1100"/>
      <c r="F125" s="1100"/>
      <c r="G125" s="1100"/>
      <c r="H125" s="1100"/>
      <c r="I125" s="1100"/>
      <c r="J125" s="1100"/>
      <c r="K125" s="1074"/>
      <c r="L125" s="1074"/>
      <c r="M125" s="1074"/>
      <c r="N125" s="1074"/>
      <c r="O125" s="1074"/>
      <c r="P125" s="1074"/>
      <c r="Q125" s="1074"/>
      <c r="R125" s="1074"/>
      <c r="S125" s="1074"/>
      <c r="T125" s="1074"/>
      <c r="U125" s="1074"/>
      <c r="V125" s="1074"/>
      <c r="W125" s="1074"/>
      <c r="X125" s="1074"/>
      <c r="Y125" s="1074"/>
      <c r="Z125" s="1074"/>
      <c r="AA125" s="1074"/>
      <c r="AB125" s="1074"/>
      <c r="AC125" s="1074"/>
      <c r="AD125" s="1074"/>
      <c r="AE125" s="1074"/>
      <c r="AF125" s="1074"/>
      <c r="AG125" s="1074"/>
      <c r="AH125" s="1074"/>
      <c r="AI125" s="1074"/>
      <c r="AJ125" s="1074"/>
      <c r="AK125" s="1074"/>
      <c r="AL125" s="1074"/>
      <c r="AM125" s="1074"/>
      <c r="AN125" s="1074"/>
      <c r="AO125" s="1074"/>
      <c r="AP125" s="1074"/>
      <c r="AQ125" s="1074"/>
      <c r="AR125" s="1074"/>
      <c r="AS125" s="1074"/>
      <c r="AT125" s="1075"/>
    </row>
    <row r="126" ht="14.25" customHeight="1">
      <c r="A126" s="1116"/>
      <c r="B126" s="1120"/>
      <c r="C126" s="1100"/>
      <c r="D126" s="1100"/>
      <c r="E126" s="1100"/>
      <c r="F126" s="1100"/>
      <c r="G126" s="1100"/>
      <c r="H126" s="1100"/>
      <c r="I126" s="1100"/>
      <c r="J126" s="1100"/>
      <c r="K126" s="1074"/>
      <c r="L126" s="1074"/>
      <c r="M126" s="1074"/>
      <c r="N126" s="1074"/>
      <c r="O126" s="1074"/>
      <c r="P126" s="1074"/>
      <c r="Q126" s="1074"/>
      <c r="R126" s="1074"/>
      <c r="S126" s="1074"/>
      <c r="T126" s="1074"/>
      <c r="U126" s="1074"/>
      <c r="V126" s="1074"/>
      <c r="W126" s="1074"/>
      <c r="X126" s="1074"/>
      <c r="Y126" s="1074"/>
      <c r="Z126" s="1074"/>
      <c r="AA126" s="1074"/>
      <c r="AB126" s="1074"/>
      <c r="AC126" s="1074"/>
      <c r="AD126" s="1074"/>
      <c r="AE126" s="1074"/>
      <c r="AF126" s="1074"/>
      <c r="AG126" s="1074"/>
      <c r="AH126" s="1074"/>
      <c r="AI126" s="1074"/>
      <c r="AJ126" s="1074"/>
      <c r="AK126" s="1074"/>
      <c r="AL126" s="1074"/>
      <c r="AM126" s="1074"/>
      <c r="AN126" s="1074"/>
      <c r="AO126" s="1074"/>
      <c r="AP126" s="1074"/>
      <c r="AQ126" s="1074"/>
      <c r="AR126" s="1074"/>
      <c r="AS126" s="1074"/>
      <c r="AT126" s="1075"/>
    </row>
    <row r="127" ht="14.25" customHeight="1">
      <c r="A127" s="1116"/>
      <c r="B127" s="1120"/>
      <c r="C127" s="1100"/>
      <c r="D127" s="1100"/>
      <c r="E127" s="1100"/>
      <c r="F127" s="1100"/>
      <c r="G127" s="1100"/>
      <c r="H127" s="1100"/>
      <c r="I127" s="1100"/>
      <c r="J127" s="1100"/>
      <c r="K127" s="1074"/>
      <c r="L127" s="1074"/>
      <c r="M127" s="1074"/>
      <c r="N127" s="1074"/>
      <c r="O127" s="1074"/>
      <c r="P127" s="1074"/>
      <c r="Q127" s="1074"/>
      <c r="R127" s="1074"/>
      <c r="S127" s="1074"/>
      <c r="T127" s="1074"/>
      <c r="U127" s="1074"/>
      <c r="V127" s="1074"/>
      <c r="W127" s="1074"/>
      <c r="X127" s="1074"/>
      <c r="Y127" s="1074"/>
      <c r="Z127" s="1074"/>
      <c r="AA127" s="1074"/>
      <c r="AB127" s="1074"/>
      <c r="AC127" s="1074"/>
      <c r="AD127" s="1074"/>
      <c r="AE127" s="1074"/>
      <c r="AF127" s="1074"/>
      <c r="AG127" s="1074"/>
      <c r="AH127" s="1074"/>
      <c r="AI127" s="1074"/>
      <c r="AJ127" s="1074"/>
      <c r="AK127" s="1074"/>
      <c r="AL127" s="1074"/>
      <c r="AM127" s="1074"/>
      <c r="AN127" s="1074"/>
      <c r="AO127" s="1074"/>
      <c r="AP127" s="1074"/>
      <c r="AQ127" s="1074"/>
      <c r="AR127" s="1074"/>
      <c r="AS127" s="1074"/>
      <c r="AT127" s="1075"/>
    </row>
    <row r="128" ht="14.25" customHeight="1">
      <c r="A128" s="1116"/>
      <c r="B128" s="1120"/>
      <c r="C128" s="1100"/>
      <c r="D128" s="1100"/>
      <c r="E128" s="1100"/>
      <c r="F128" s="1100"/>
      <c r="G128" s="1100"/>
      <c r="H128" s="1100"/>
      <c r="I128" s="1100"/>
      <c r="J128" s="1100"/>
      <c r="K128" s="1074"/>
      <c r="L128" s="1074"/>
      <c r="M128" s="1074"/>
      <c r="N128" s="1074"/>
      <c r="O128" s="1074"/>
      <c r="P128" s="1074"/>
      <c r="Q128" s="1074"/>
      <c r="R128" s="1074"/>
      <c r="S128" s="1074"/>
      <c r="T128" s="1074"/>
      <c r="U128" s="1074"/>
      <c r="V128" s="1074"/>
      <c r="W128" s="1074"/>
      <c r="X128" s="1074"/>
      <c r="Y128" s="1074"/>
      <c r="Z128" s="1074"/>
      <c r="AA128" s="1074"/>
      <c r="AB128" s="1074"/>
      <c r="AC128" s="1074"/>
      <c r="AD128" s="1074"/>
      <c r="AE128" s="1074"/>
      <c r="AF128" s="1074"/>
      <c r="AG128" s="1074"/>
      <c r="AH128" s="1074"/>
      <c r="AI128" s="1074"/>
      <c r="AJ128" s="1074"/>
      <c r="AK128" s="1074"/>
      <c r="AL128" s="1074"/>
      <c r="AM128" s="1074"/>
      <c r="AN128" s="1074"/>
      <c r="AO128" s="1074"/>
      <c r="AP128" s="1074"/>
      <c r="AQ128" s="1074"/>
      <c r="AR128" s="1074"/>
      <c r="AS128" s="1074"/>
      <c r="AT128" s="1075"/>
    </row>
    <row r="129" ht="14.25" customHeight="1">
      <c r="A129" s="1116"/>
      <c r="B129" s="1120"/>
      <c r="C129" s="1100"/>
      <c r="D129" s="1100"/>
      <c r="E129" s="1100"/>
      <c r="F129" s="1100"/>
      <c r="G129" s="1100"/>
      <c r="H129" s="1100"/>
      <c r="I129" s="1100"/>
      <c r="J129" s="1100"/>
      <c r="K129" s="1074"/>
      <c r="L129" s="1074"/>
      <c r="M129" s="1074"/>
      <c r="N129" s="1074"/>
      <c r="O129" s="1074"/>
      <c r="P129" s="1074"/>
      <c r="Q129" s="1074"/>
      <c r="R129" s="1074"/>
      <c r="S129" s="1074"/>
      <c r="T129" s="1074"/>
      <c r="U129" s="1074"/>
      <c r="V129" s="1074"/>
      <c r="W129" s="1074"/>
      <c r="X129" s="1074"/>
      <c r="Y129" s="1074"/>
      <c r="Z129" s="1074"/>
      <c r="AA129" s="1074"/>
      <c r="AB129" s="1074"/>
      <c r="AC129" s="1074"/>
      <c r="AD129" s="1074"/>
      <c r="AE129" s="1074"/>
      <c r="AF129" s="1074"/>
      <c r="AG129" s="1074"/>
      <c r="AH129" s="1074"/>
      <c r="AI129" s="1074"/>
      <c r="AJ129" s="1074"/>
      <c r="AK129" s="1074"/>
      <c r="AL129" s="1074"/>
      <c r="AM129" s="1074"/>
      <c r="AN129" s="1074"/>
      <c r="AO129" s="1074"/>
      <c r="AP129" s="1074"/>
      <c r="AQ129" s="1074"/>
      <c r="AR129" s="1074"/>
      <c r="AS129" s="1074"/>
      <c r="AT129" s="1075"/>
    </row>
    <row r="130" ht="14.25" customHeight="1">
      <c r="A130" s="1116"/>
      <c r="B130" s="1120"/>
      <c r="C130" s="1100"/>
      <c r="D130" s="1100"/>
      <c r="E130" s="1100"/>
      <c r="F130" s="1100"/>
      <c r="G130" s="1100"/>
      <c r="H130" s="1100"/>
      <c r="I130" s="1100"/>
      <c r="J130" s="1100"/>
      <c r="K130" s="1074"/>
      <c r="L130" s="1074"/>
      <c r="M130" s="1074"/>
      <c r="N130" s="1074"/>
      <c r="O130" s="1074"/>
      <c r="P130" s="1074"/>
      <c r="Q130" s="1074"/>
      <c r="R130" s="1074"/>
      <c r="S130" s="1074"/>
      <c r="T130" s="1074"/>
      <c r="U130" s="1074"/>
      <c r="V130" s="1074"/>
      <c r="W130" s="1074"/>
      <c r="X130" s="1074"/>
      <c r="Y130" s="1074"/>
      <c r="Z130" s="1074"/>
      <c r="AA130" s="1074"/>
      <c r="AB130" s="1074"/>
      <c r="AC130" s="1074"/>
      <c r="AD130" s="1074"/>
      <c r="AE130" s="1074"/>
      <c r="AF130" s="1074"/>
      <c r="AG130" s="1074"/>
      <c r="AH130" s="1074"/>
      <c r="AI130" s="1074"/>
      <c r="AJ130" s="1074"/>
      <c r="AK130" s="1074"/>
      <c r="AL130" s="1074"/>
      <c r="AM130" s="1074"/>
      <c r="AN130" s="1074"/>
      <c r="AO130" s="1074"/>
      <c r="AP130" s="1074"/>
      <c r="AQ130" s="1074"/>
      <c r="AR130" s="1074"/>
      <c r="AS130" s="1074"/>
      <c r="AT130" s="1075"/>
    </row>
    <row r="131" ht="14.25" customHeight="1">
      <c r="A131" s="1116"/>
      <c r="B131" s="1120"/>
      <c r="C131" s="1100"/>
      <c r="D131" s="1100"/>
      <c r="E131" s="1100"/>
      <c r="F131" s="1100"/>
      <c r="G131" s="1100"/>
      <c r="H131" s="1100"/>
      <c r="I131" s="1100"/>
      <c r="J131" s="1100"/>
      <c r="K131" s="1074"/>
      <c r="L131" s="1074"/>
      <c r="M131" s="1074"/>
      <c r="N131" s="1074"/>
      <c r="O131" s="1074"/>
      <c r="P131" s="1074"/>
      <c r="Q131" s="1074"/>
      <c r="R131" s="1074"/>
      <c r="S131" s="1074"/>
      <c r="T131" s="1074"/>
      <c r="U131" s="1074"/>
      <c r="V131" s="1074"/>
      <c r="W131" s="1074"/>
      <c r="X131" s="1074"/>
      <c r="Y131" s="1074"/>
      <c r="Z131" s="1074"/>
      <c r="AA131" s="1074"/>
      <c r="AB131" s="1074"/>
      <c r="AC131" s="1074"/>
      <c r="AD131" s="1074"/>
      <c r="AE131" s="1074"/>
      <c r="AF131" s="1074"/>
      <c r="AG131" s="1074"/>
      <c r="AH131" s="1074"/>
      <c r="AI131" s="1074"/>
      <c r="AJ131" s="1074"/>
      <c r="AK131" s="1074"/>
      <c r="AL131" s="1074"/>
      <c r="AM131" s="1074"/>
      <c r="AN131" s="1074"/>
      <c r="AO131" s="1074"/>
      <c r="AP131" s="1074"/>
      <c r="AQ131" s="1074"/>
      <c r="AR131" s="1074"/>
      <c r="AS131" s="1074"/>
      <c r="AT131" s="1075"/>
    </row>
    <row r="132" ht="14.25" customHeight="1">
      <c r="A132" s="1116"/>
      <c r="B132" s="1120"/>
      <c r="C132" s="1100"/>
      <c r="D132" s="1100"/>
      <c r="E132" s="1100"/>
      <c r="F132" s="1100"/>
      <c r="G132" s="1100"/>
      <c r="H132" s="1100"/>
      <c r="I132" s="1100"/>
      <c r="J132" s="1100"/>
      <c r="K132" s="1074"/>
      <c r="L132" s="1074"/>
      <c r="M132" s="1074"/>
      <c r="N132" s="1074"/>
      <c r="O132" s="1074"/>
      <c r="P132" s="1074"/>
      <c r="Q132" s="1074"/>
      <c r="R132" s="1074"/>
      <c r="S132" s="1074"/>
      <c r="T132" s="1074"/>
      <c r="U132" s="1074"/>
      <c r="V132" s="1074"/>
      <c r="W132" s="1074"/>
      <c r="X132" s="1074"/>
      <c r="Y132" s="1074"/>
      <c r="Z132" s="1074"/>
      <c r="AA132" s="1074"/>
      <c r="AB132" s="1074"/>
      <c r="AC132" s="1074"/>
      <c r="AD132" s="1074"/>
      <c r="AE132" s="1074"/>
      <c r="AF132" s="1074"/>
      <c r="AG132" s="1074"/>
      <c r="AH132" s="1074"/>
      <c r="AI132" s="1074"/>
      <c r="AJ132" s="1074"/>
      <c r="AK132" s="1074"/>
      <c r="AL132" s="1074"/>
      <c r="AM132" s="1074"/>
      <c r="AN132" s="1074"/>
      <c r="AO132" s="1074"/>
      <c r="AP132" s="1074"/>
      <c r="AQ132" s="1074"/>
      <c r="AR132" s="1074"/>
      <c r="AS132" s="1074"/>
      <c r="AT132" s="1075"/>
    </row>
    <row r="133" ht="14.25" customHeight="1">
      <c r="A133" s="1116"/>
      <c r="B133" s="1120"/>
      <c r="C133" s="1100"/>
      <c r="D133" s="1100"/>
      <c r="E133" s="1100"/>
      <c r="F133" s="1100"/>
      <c r="G133" s="1100"/>
      <c r="H133" s="1100"/>
      <c r="I133" s="1100"/>
      <c r="J133" s="1100"/>
      <c r="K133" s="1074"/>
      <c r="L133" s="1074"/>
      <c r="M133" s="1074"/>
      <c r="N133" s="1074"/>
      <c r="O133" s="1074"/>
      <c r="P133" s="1074"/>
      <c r="Q133" s="1074"/>
      <c r="R133" s="1074"/>
      <c r="S133" s="1074"/>
      <c r="T133" s="1074"/>
      <c r="U133" s="1074"/>
      <c r="V133" s="1074"/>
      <c r="W133" s="1074"/>
      <c r="X133" s="1074"/>
      <c r="Y133" s="1074"/>
      <c r="Z133" s="1074"/>
      <c r="AA133" s="1074"/>
      <c r="AB133" s="1074"/>
      <c r="AC133" s="1074"/>
      <c r="AD133" s="1074"/>
      <c r="AE133" s="1074"/>
      <c r="AF133" s="1074"/>
      <c r="AG133" s="1074"/>
      <c r="AH133" s="1074"/>
      <c r="AI133" s="1074"/>
      <c r="AJ133" s="1074"/>
      <c r="AK133" s="1074"/>
      <c r="AL133" s="1074"/>
      <c r="AM133" s="1074"/>
      <c r="AN133" s="1074"/>
      <c r="AO133" s="1074"/>
      <c r="AP133" s="1074"/>
      <c r="AQ133" s="1074"/>
      <c r="AR133" s="1074"/>
      <c r="AS133" s="1074"/>
      <c r="AT133" s="1075"/>
    </row>
    <row r="134" ht="14.25" customHeight="1">
      <c r="A134" s="1116"/>
      <c r="B134" s="1120"/>
      <c r="C134" s="1100"/>
      <c r="D134" s="1100"/>
      <c r="E134" s="1100"/>
      <c r="F134" s="1100"/>
      <c r="G134" s="1100"/>
      <c r="H134" s="1100"/>
      <c r="I134" s="1100"/>
      <c r="J134" s="1100"/>
      <c r="K134" s="1074"/>
      <c r="L134" s="1074"/>
      <c r="M134" s="1074"/>
      <c r="N134" s="1074"/>
      <c r="O134" s="1074"/>
      <c r="P134" s="1074"/>
      <c r="Q134" s="1074"/>
      <c r="R134" s="1074"/>
      <c r="S134" s="1074"/>
      <c r="T134" s="1074"/>
      <c r="U134" s="1074"/>
      <c r="V134" s="1074"/>
      <c r="W134" s="1074"/>
      <c r="X134" s="1074"/>
      <c r="Y134" s="1074"/>
      <c r="Z134" s="1074"/>
      <c r="AA134" s="1074"/>
      <c r="AB134" s="1074"/>
      <c r="AC134" s="1074"/>
      <c r="AD134" s="1074"/>
      <c r="AE134" s="1074"/>
      <c r="AF134" s="1074"/>
      <c r="AG134" s="1074"/>
      <c r="AH134" s="1074"/>
      <c r="AI134" s="1074"/>
      <c r="AJ134" s="1074"/>
      <c r="AK134" s="1074"/>
      <c r="AL134" s="1074"/>
      <c r="AM134" s="1074"/>
      <c r="AN134" s="1074"/>
      <c r="AO134" s="1074"/>
      <c r="AP134" s="1074"/>
      <c r="AQ134" s="1074"/>
      <c r="AR134" s="1074"/>
      <c r="AS134" s="1074"/>
      <c r="AT134" s="1075"/>
    </row>
    <row r="135" ht="14.25" customHeight="1">
      <c r="A135" s="1116"/>
      <c r="B135" s="1120"/>
      <c r="C135" s="1100"/>
      <c r="D135" s="1100"/>
      <c r="E135" s="1100"/>
      <c r="F135" s="1100"/>
      <c r="G135" s="1100"/>
      <c r="H135" s="1100"/>
      <c r="I135" s="1100"/>
      <c r="J135" s="1100"/>
      <c r="K135" s="1074"/>
      <c r="L135" s="1074"/>
      <c r="M135" s="1074"/>
      <c r="N135" s="1074"/>
      <c r="O135" s="1074"/>
      <c r="P135" s="1074"/>
      <c r="Q135" s="1074"/>
      <c r="R135" s="1074"/>
      <c r="S135" s="1074"/>
      <c r="T135" s="1074"/>
      <c r="U135" s="1074"/>
      <c r="V135" s="1074"/>
      <c r="W135" s="1074"/>
      <c r="X135" s="1074"/>
      <c r="Y135" s="1074"/>
      <c r="Z135" s="1074"/>
      <c r="AA135" s="1074"/>
      <c r="AB135" s="1074"/>
      <c r="AC135" s="1074"/>
      <c r="AD135" s="1074"/>
      <c r="AE135" s="1074"/>
      <c r="AF135" s="1074"/>
      <c r="AG135" s="1074"/>
      <c r="AH135" s="1074"/>
      <c r="AI135" s="1074"/>
      <c r="AJ135" s="1074"/>
      <c r="AK135" s="1074"/>
      <c r="AL135" s="1074"/>
      <c r="AM135" s="1074"/>
      <c r="AN135" s="1074"/>
      <c r="AO135" s="1074"/>
      <c r="AP135" s="1074"/>
      <c r="AQ135" s="1074"/>
      <c r="AR135" s="1074"/>
      <c r="AS135" s="1074"/>
      <c r="AT135" s="1075"/>
    </row>
    <row r="136" ht="14.25" customHeight="1">
      <c r="A136" s="1116"/>
      <c r="B136" s="1120"/>
      <c r="C136" s="1100"/>
      <c r="D136" s="1100"/>
      <c r="E136" s="1100"/>
      <c r="F136" s="1100"/>
      <c r="G136" s="1100"/>
      <c r="H136" s="1100"/>
      <c r="I136" s="1100"/>
      <c r="J136" s="1100"/>
      <c r="K136" s="1074"/>
      <c r="L136" s="1074"/>
      <c r="M136" s="1074"/>
      <c r="N136" s="1074"/>
      <c r="O136" s="1074"/>
      <c r="P136" s="1074"/>
      <c r="Q136" s="1074"/>
      <c r="R136" s="1074"/>
      <c r="S136" s="1074"/>
      <c r="T136" s="1074"/>
      <c r="U136" s="1074"/>
      <c r="V136" s="1074"/>
      <c r="W136" s="1074"/>
      <c r="X136" s="1074"/>
      <c r="Y136" s="1074"/>
      <c r="Z136" s="1074"/>
      <c r="AA136" s="1074"/>
      <c r="AB136" s="1074"/>
      <c r="AC136" s="1074"/>
      <c r="AD136" s="1074"/>
      <c r="AE136" s="1074"/>
      <c r="AF136" s="1074"/>
      <c r="AG136" s="1074"/>
      <c r="AH136" s="1074"/>
      <c r="AI136" s="1074"/>
      <c r="AJ136" s="1074"/>
      <c r="AK136" s="1074"/>
      <c r="AL136" s="1074"/>
      <c r="AM136" s="1074"/>
      <c r="AN136" s="1074"/>
      <c r="AO136" s="1074"/>
      <c r="AP136" s="1074"/>
      <c r="AQ136" s="1074"/>
      <c r="AR136" s="1074"/>
      <c r="AS136" s="1074"/>
      <c r="AT136" s="1075"/>
    </row>
    <row r="137" ht="14.25" customHeight="1">
      <c r="A137" s="1116"/>
      <c r="B137" s="1120"/>
      <c r="C137" s="1100"/>
      <c r="D137" s="1100"/>
      <c r="E137" s="1100"/>
      <c r="F137" s="1100"/>
      <c r="G137" s="1100"/>
      <c r="H137" s="1100"/>
      <c r="I137" s="1100"/>
      <c r="J137" s="1100"/>
      <c r="K137" s="1074"/>
      <c r="L137" s="1074"/>
      <c r="M137" s="1074"/>
      <c r="N137" s="1074"/>
      <c r="O137" s="1074"/>
      <c r="P137" s="1074"/>
      <c r="Q137" s="1074"/>
      <c r="R137" s="1074"/>
      <c r="S137" s="1074"/>
      <c r="T137" s="1074"/>
      <c r="U137" s="1074"/>
      <c r="V137" s="1074"/>
      <c r="W137" s="1074"/>
      <c r="X137" s="1074"/>
      <c r="Y137" s="1074"/>
      <c r="Z137" s="1074"/>
      <c r="AA137" s="1074"/>
      <c r="AB137" s="1074"/>
      <c r="AC137" s="1074"/>
      <c r="AD137" s="1074"/>
      <c r="AE137" s="1074"/>
      <c r="AF137" s="1074"/>
      <c r="AG137" s="1074"/>
      <c r="AH137" s="1074"/>
      <c r="AI137" s="1074"/>
      <c r="AJ137" s="1074"/>
      <c r="AK137" s="1074"/>
      <c r="AL137" s="1074"/>
      <c r="AM137" s="1074"/>
      <c r="AN137" s="1074"/>
      <c r="AO137" s="1074"/>
      <c r="AP137" s="1074"/>
      <c r="AQ137" s="1074"/>
      <c r="AR137" s="1074"/>
      <c r="AS137" s="1074"/>
      <c r="AT137" s="1075"/>
    </row>
    <row r="138" ht="14.25" customHeight="1">
      <c r="A138" s="1116"/>
      <c r="B138" s="1120"/>
      <c r="C138" s="1100"/>
      <c r="D138" s="1100"/>
      <c r="E138" s="1100"/>
      <c r="F138" s="1100"/>
      <c r="G138" s="1100"/>
      <c r="H138" s="1100"/>
      <c r="I138" s="1100"/>
      <c r="J138" s="1100"/>
      <c r="K138" s="1074"/>
      <c r="L138" s="1074"/>
      <c r="M138" s="1074"/>
      <c r="N138" s="1074"/>
      <c r="O138" s="1074"/>
      <c r="P138" s="1074"/>
      <c r="Q138" s="1074"/>
      <c r="R138" s="1074"/>
      <c r="S138" s="1074"/>
      <c r="T138" s="1074"/>
      <c r="U138" s="1074"/>
      <c r="V138" s="1074"/>
      <c r="W138" s="1074"/>
      <c r="X138" s="1074"/>
      <c r="Y138" s="1074"/>
      <c r="Z138" s="1074"/>
      <c r="AA138" s="1074"/>
      <c r="AB138" s="1074"/>
      <c r="AC138" s="1074"/>
      <c r="AD138" s="1074"/>
      <c r="AE138" s="1074"/>
      <c r="AF138" s="1074"/>
      <c r="AG138" s="1074"/>
      <c r="AH138" s="1074"/>
      <c r="AI138" s="1074"/>
      <c r="AJ138" s="1074"/>
      <c r="AK138" s="1074"/>
      <c r="AL138" s="1074"/>
      <c r="AM138" s="1074"/>
      <c r="AN138" s="1074"/>
      <c r="AO138" s="1074"/>
      <c r="AP138" s="1074"/>
      <c r="AQ138" s="1074"/>
      <c r="AR138" s="1074"/>
      <c r="AS138" s="1074"/>
      <c r="AT138" s="1075"/>
    </row>
    <row r="139" ht="14.25" customHeight="1">
      <c r="A139" s="1116"/>
      <c r="B139" s="1120"/>
      <c r="C139" s="1100"/>
      <c r="D139" s="1100"/>
      <c r="E139" s="1100"/>
      <c r="F139" s="1100"/>
      <c r="G139" s="1100"/>
      <c r="H139" s="1100"/>
      <c r="I139" s="1100"/>
      <c r="J139" s="1100"/>
      <c r="K139" s="1074"/>
      <c r="L139" s="1074"/>
      <c r="M139" s="1074"/>
      <c r="N139" s="1074"/>
      <c r="O139" s="1074"/>
      <c r="P139" s="1074"/>
      <c r="Q139" s="1074"/>
      <c r="R139" s="1074"/>
      <c r="S139" s="1074"/>
      <c r="T139" s="1074"/>
      <c r="U139" s="1074"/>
      <c r="V139" s="1074"/>
      <c r="W139" s="1074"/>
      <c r="X139" s="1074"/>
      <c r="Y139" s="1074"/>
      <c r="Z139" s="1074"/>
      <c r="AA139" s="1074"/>
      <c r="AB139" s="1074"/>
      <c r="AC139" s="1074"/>
      <c r="AD139" s="1074"/>
      <c r="AE139" s="1074"/>
      <c r="AF139" s="1074"/>
      <c r="AG139" s="1074"/>
      <c r="AH139" s="1074"/>
      <c r="AI139" s="1074"/>
      <c r="AJ139" s="1074"/>
      <c r="AK139" s="1074"/>
      <c r="AL139" s="1074"/>
      <c r="AM139" s="1074"/>
      <c r="AN139" s="1074"/>
      <c r="AO139" s="1074"/>
      <c r="AP139" s="1074"/>
      <c r="AQ139" s="1074"/>
      <c r="AR139" s="1074"/>
      <c r="AS139" s="1074"/>
      <c r="AT139" s="1075"/>
    </row>
    <row r="140" ht="14.25" customHeight="1">
      <c r="A140" s="1116"/>
      <c r="B140" s="1120"/>
      <c r="C140" s="1100"/>
      <c r="D140" s="1100"/>
      <c r="E140" s="1100"/>
      <c r="F140" s="1100"/>
      <c r="G140" s="1100"/>
      <c r="H140" s="1100"/>
      <c r="I140" s="1100"/>
      <c r="J140" s="1100"/>
      <c r="K140" s="1074"/>
      <c r="L140" s="1074"/>
      <c r="M140" s="1074"/>
      <c r="N140" s="1074"/>
      <c r="O140" s="1074"/>
      <c r="P140" s="1074"/>
      <c r="Q140" s="1074"/>
      <c r="R140" s="1074"/>
      <c r="S140" s="1074"/>
      <c r="T140" s="1074"/>
      <c r="U140" s="1074"/>
      <c r="V140" s="1074"/>
      <c r="W140" s="1074"/>
      <c r="X140" s="1074"/>
      <c r="Y140" s="1074"/>
      <c r="Z140" s="1074"/>
      <c r="AA140" s="1074"/>
      <c r="AB140" s="1074"/>
      <c r="AC140" s="1074"/>
      <c r="AD140" s="1074"/>
      <c r="AE140" s="1074"/>
      <c r="AF140" s="1074"/>
      <c r="AG140" s="1074"/>
      <c r="AH140" s="1074"/>
      <c r="AI140" s="1074"/>
      <c r="AJ140" s="1074"/>
      <c r="AK140" s="1074"/>
      <c r="AL140" s="1074"/>
      <c r="AM140" s="1074"/>
      <c r="AN140" s="1074"/>
      <c r="AO140" s="1074"/>
      <c r="AP140" s="1074"/>
      <c r="AQ140" s="1074"/>
      <c r="AR140" s="1074"/>
      <c r="AS140" s="1074"/>
      <c r="AT140" s="1075"/>
    </row>
    <row r="141" ht="14.25" customHeight="1">
      <c r="A141" s="1116"/>
      <c r="B141" s="1120"/>
      <c r="C141" s="1100"/>
      <c r="D141" s="1100"/>
      <c r="E141" s="1100"/>
      <c r="F141" s="1100"/>
      <c r="G141" s="1100"/>
      <c r="H141" s="1100"/>
      <c r="I141" s="1100"/>
      <c r="J141" s="1100"/>
      <c r="K141" s="1074"/>
      <c r="L141" s="1074"/>
      <c r="M141" s="1074"/>
      <c r="N141" s="1074"/>
      <c r="O141" s="1074"/>
      <c r="P141" s="1074"/>
      <c r="Q141" s="1074"/>
      <c r="R141" s="1074"/>
      <c r="S141" s="1074"/>
      <c r="T141" s="1074"/>
      <c r="U141" s="1074"/>
      <c r="V141" s="1074"/>
      <c r="W141" s="1074"/>
      <c r="X141" s="1074"/>
      <c r="Y141" s="1074"/>
      <c r="Z141" s="1074"/>
      <c r="AA141" s="1074"/>
      <c r="AB141" s="1074"/>
      <c r="AC141" s="1074"/>
      <c r="AD141" s="1074"/>
      <c r="AE141" s="1074"/>
      <c r="AF141" s="1074"/>
      <c r="AG141" s="1074"/>
      <c r="AH141" s="1074"/>
      <c r="AI141" s="1074"/>
      <c r="AJ141" s="1074"/>
      <c r="AK141" s="1074"/>
      <c r="AL141" s="1074"/>
      <c r="AM141" s="1074"/>
      <c r="AN141" s="1074"/>
      <c r="AO141" s="1074"/>
      <c r="AP141" s="1074"/>
      <c r="AQ141" s="1074"/>
      <c r="AR141" s="1074"/>
      <c r="AS141" s="1074"/>
      <c r="AT141" s="1075"/>
    </row>
    <row r="142" ht="14.25" customHeight="1">
      <c r="A142" s="1116"/>
      <c r="B142" s="1120"/>
      <c r="C142" s="1100"/>
      <c r="D142" s="1100"/>
      <c r="E142" s="1100"/>
      <c r="F142" s="1100"/>
      <c r="G142" s="1100"/>
      <c r="H142" s="1100"/>
      <c r="I142" s="1100"/>
      <c r="J142" s="1100"/>
      <c r="K142" s="1074"/>
      <c r="L142" s="1074"/>
      <c r="M142" s="1074"/>
      <c r="N142" s="1074"/>
      <c r="O142" s="1074"/>
      <c r="P142" s="1074"/>
      <c r="Q142" s="1074"/>
      <c r="R142" s="1074"/>
      <c r="S142" s="1074"/>
      <c r="T142" s="1074"/>
      <c r="U142" s="1074"/>
      <c r="V142" s="1074"/>
      <c r="W142" s="1074"/>
      <c r="X142" s="1074"/>
      <c r="Y142" s="1074"/>
      <c r="Z142" s="1074"/>
      <c r="AA142" s="1074"/>
      <c r="AB142" s="1074"/>
      <c r="AC142" s="1074"/>
      <c r="AD142" s="1074"/>
      <c r="AE142" s="1074"/>
      <c r="AF142" s="1074"/>
      <c r="AG142" s="1074"/>
      <c r="AH142" s="1074"/>
      <c r="AI142" s="1074"/>
      <c r="AJ142" s="1074"/>
      <c r="AK142" s="1074"/>
      <c r="AL142" s="1074"/>
      <c r="AM142" s="1074"/>
      <c r="AN142" s="1074"/>
      <c r="AO142" s="1074"/>
      <c r="AP142" s="1074"/>
      <c r="AQ142" s="1074"/>
      <c r="AR142" s="1074"/>
      <c r="AS142" s="1074"/>
      <c r="AT142" s="1075"/>
    </row>
    <row r="143" ht="14.25" customHeight="1">
      <c r="A143" s="1116"/>
      <c r="B143" s="1120"/>
      <c r="C143" s="1100"/>
      <c r="D143" s="1100"/>
      <c r="E143" s="1100"/>
      <c r="F143" s="1100"/>
      <c r="G143" s="1100"/>
      <c r="H143" s="1100"/>
      <c r="I143" s="1100"/>
      <c r="J143" s="1100"/>
      <c r="K143" s="1074"/>
      <c r="L143" s="1074"/>
      <c r="M143" s="1074"/>
      <c r="N143" s="1074"/>
      <c r="O143" s="1074"/>
      <c r="P143" s="1074"/>
      <c r="Q143" s="1074"/>
      <c r="R143" s="1074"/>
      <c r="S143" s="1074"/>
      <c r="T143" s="1074"/>
      <c r="U143" s="1074"/>
      <c r="V143" s="1074"/>
      <c r="W143" s="1074"/>
      <c r="X143" s="1074"/>
      <c r="Y143" s="1074"/>
      <c r="Z143" s="1074"/>
      <c r="AA143" s="1074"/>
      <c r="AB143" s="1074"/>
      <c r="AC143" s="1074"/>
      <c r="AD143" s="1074"/>
      <c r="AE143" s="1074"/>
      <c r="AF143" s="1074"/>
      <c r="AG143" s="1074"/>
      <c r="AH143" s="1074"/>
      <c r="AI143" s="1074"/>
      <c r="AJ143" s="1074"/>
      <c r="AK143" s="1074"/>
      <c r="AL143" s="1074"/>
      <c r="AM143" s="1074"/>
      <c r="AN143" s="1074"/>
      <c r="AO143" s="1074"/>
      <c r="AP143" s="1074"/>
      <c r="AQ143" s="1074"/>
      <c r="AR143" s="1074"/>
      <c r="AS143" s="1074"/>
      <c r="AT143" s="1075"/>
    </row>
    <row r="144" ht="14.25" customHeight="1">
      <c r="A144" s="1116"/>
      <c r="B144" s="1120"/>
      <c r="C144" s="1100"/>
      <c r="D144" s="1100"/>
      <c r="E144" s="1100"/>
      <c r="F144" s="1100"/>
      <c r="G144" s="1100"/>
      <c r="H144" s="1100"/>
      <c r="I144" s="1100"/>
      <c r="J144" s="1100"/>
      <c r="K144" s="1074"/>
      <c r="L144" s="1074"/>
      <c r="M144" s="1074"/>
      <c r="N144" s="1074"/>
      <c r="O144" s="1074"/>
      <c r="P144" s="1074"/>
      <c r="Q144" s="1074"/>
      <c r="R144" s="1074"/>
      <c r="S144" s="1074"/>
      <c r="T144" s="1074"/>
      <c r="U144" s="1074"/>
      <c r="V144" s="1074"/>
      <c r="W144" s="1074"/>
      <c r="X144" s="1074"/>
      <c r="Y144" s="1074"/>
      <c r="Z144" s="1074"/>
      <c r="AA144" s="1074"/>
      <c r="AB144" s="1074"/>
      <c r="AC144" s="1074"/>
      <c r="AD144" s="1074"/>
      <c r="AE144" s="1074"/>
      <c r="AF144" s="1074"/>
      <c r="AG144" s="1074"/>
      <c r="AH144" s="1074"/>
      <c r="AI144" s="1074"/>
      <c r="AJ144" s="1074"/>
      <c r="AK144" s="1074"/>
      <c r="AL144" s="1074"/>
      <c r="AM144" s="1074"/>
      <c r="AN144" s="1074"/>
      <c r="AO144" s="1074"/>
      <c r="AP144" s="1074"/>
      <c r="AQ144" s="1074"/>
      <c r="AR144" s="1074"/>
      <c r="AS144" s="1074"/>
      <c r="AT144" s="1075"/>
    </row>
    <row r="145" ht="14.25" customHeight="1">
      <c r="A145" s="1116"/>
      <c r="B145" s="1120"/>
      <c r="C145" s="1100"/>
      <c r="D145" s="1100"/>
      <c r="E145" s="1100"/>
      <c r="F145" s="1100"/>
      <c r="G145" s="1100"/>
      <c r="H145" s="1100"/>
      <c r="I145" s="1100"/>
      <c r="J145" s="1100"/>
      <c r="K145" s="1074"/>
      <c r="L145" s="1074"/>
      <c r="M145" s="1074"/>
      <c r="N145" s="1074"/>
      <c r="O145" s="1074"/>
      <c r="P145" s="1074"/>
      <c r="Q145" s="1074"/>
      <c r="R145" s="1074"/>
      <c r="S145" s="1074"/>
      <c r="T145" s="1074"/>
      <c r="U145" s="1074"/>
      <c r="V145" s="1074"/>
      <c r="W145" s="1074"/>
      <c r="X145" s="1074"/>
      <c r="Y145" s="1074"/>
      <c r="Z145" s="1074"/>
      <c r="AA145" s="1074"/>
      <c r="AB145" s="1074"/>
      <c r="AC145" s="1074"/>
      <c r="AD145" s="1074"/>
      <c r="AE145" s="1074"/>
      <c r="AF145" s="1074"/>
      <c r="AG145" s="1074"/>
      <c r="AH145" s="1074"/>
      <c r="AI145" s="1074"/>
      <c r="AJ145" s="1074"/>
      <c r="AK145" s="1074"/>
      <c r="AL145" s="1074"/>
      <c r="AM145" s="1074"/>
      <c r="AN145" s="1074"/>
      <c r="AO145" s="1074"/>
      <c r="AP145" s="1074"/>
      <c r="AQ145" s="1074"/>
      <c r="AR145" s="1074"/>
      <c r="AS145" s="1074"/>
      <c r="AT145" s="1075"/>
    </row>
    <row r="146" ht="14.25" customHeight="1">
      <c r="A146" s="1116"/>
      <c r="B146" s="1120"/>
      <c r="C146" s="1100"/>
      <c r="D146" s="1100"/>
      <c r="E146" s="1100"/>
      <c r="F146" s="1100"/>
      <c r="G146" s="1100"/>
      <c r="H146" s="1100"/>
      <c r="I146" s="1100"/>
      <c r="J146" s="1100"/>
      <c r="K146" s="1074"/>
      <c r="L146" s="1074"/>
      <c r="M146" s="1074"/>
      <c r="N146" s="1074"/>
      <c r="O146" s="1074"/>
      <c r="P146" s="1074"/>
      <c r="Q146" s="1074"/>
      <c r="R146" s="1074"/>
      <c r="S146" s="1074"/>
      <c r="T146" s="1074"/>
      <c r="U146" s="1074"/>
      <c r="V146" s="1074"/>
      <c r="W146" s="1074"/>
      <c r="X146" s="1074"/>
      <c r="Y146" s="1074"/>
      <c r="Z146" s="1074"/>
      <c r="AA146" s="1074"/>
      <c r="AB146" s="1074"/>
      <c r="AC146" s="1074"/>
      <c r="AD146" s="1074"/>
      <c r="AE146" s="1074"/>
      <c r="AF146" s="1074"/>
      <c r="AG146" s="1074"/>
      <c r="AH146" s="1074"/>
      <c r="AI146" s="1074"/>
      <c r="AJ146" s="1074"/>
      <c r="AK146" s="1074"/>
      <c r="AL146" s="1074"/>
      <c r="AM146" s="1074"/>
      <c r="AN146" s="1074"/>
      <c r="AO146" s="1074"/>
      <c r="AP146" s="1074"/>
      <c r="AQ146" s="1074"/>
      <c r="AR146" s="1074"/>
      <c r="AS146" s="1074"/>
      <c r="AT146" s="1075"/>
    </row>
    <row r="147" ht="14.25" customHeight="1">
      <c r="A147" s="1116"/>
      <c r="B147" s="1120"/>
      <c r="C147" s="1100"/>
      <c r="D147" s="1100"/>
      <c r="E147" s="1100"/>
      <c r="F147" s="1100"/>
      <c r="G147" s="1100"/>
      <c r="H147" s="1100"/>
      <c r="I147" s="1100"/>
      <c r="J147" s="1100"/>
      <c r="K147" s="1074"/>
      <c r="L147" s="1074"/>
      <c r="M147" s="1074"/>
      <c r="N147" s="1074"/>
      <c r="O147" s="1074"/>
      <c r="P147" s="1074"/>
      <c r="Q147" s="1074"/>
      <c r="R147" s="1074"/>
      <c r="S147" s="1074"/>
      <c r="T147" s="1074"/>
      <c r="U147" s="1074"/>
      <c r="V147" s="1074"/>
      <c r="W147" s="1074"/>
      <c r="X147" s="1074"/>
      <c r="Y147" s="1074"/>
      <c r="Z147" s="1074"/>
      <c r="AA147" s="1074"/>
      <c r="AB147" s="1074"/>
      <c r="AC147" s="1074"/>
      <c r="AD147" s="1074"/>
      <c r="AE147" s="1074"/>
      <c r="AF147" s="1074"/>
      <c r="AG147" s="1074"/>
      <c r="AH147" s="1074"/>
      <c r="AI147" s="1074"/>
      <c r="AJ147" s="1074"/>
      <c r="AK147" s="1074"/>
      <c r="AL147" s="1074"/>
      <c r="AM147" s="1074"/>
      <c r="AN147" s="1074"/>
      <c r="AO147" s="1074"/>
      <c r="AP147" s="1074"/>
      <c r="AQ147" s="1074"/>
      <c r="AR147" s="1074"/>
      <c r="AS147" s="1074"/>
      <c r="AT147" s="1075"/>
    </row>
    <row r="148" ht="14.25" customHeight="1">
      <c r="A148" s="1116"/>
      <c r="B148" s="1120"/>
      <c r="C148" s="1100"/>
      <c r="D148" s="1100"/>
      <c r="E148" s="1100"/>
      <c r="F148" s="1100"/>
      <c r="G148" s="1100"/>
      <c r="H148" s="1100"/>
      <c r="I148" s="1100"/>
      <c r="J148" s="1100"/>
      <c r="K148" s="1074"/>
      <c r="L148" s="1074"/>
      <c r="M148" s="1074"/>
      <c r="N148" s="1074"/>
      <c r="O148" s="1074"/>
      <c r="P148" s="1074"/>
      <c r="Q148" s="1074"/>
      <c r="R148" s="1074"/>
      <c r="S148" s="1074"/>
      <c r="T148" s="1074"/>
      <c r="U148" s="1074"/>
      <c r="V148" s="1074"/>
      <c r="W148" s="1074"/>
      <c r="X148" s="1074"/>
      <c r="Y148" s="1074"/>
      <c r="Z148" s="1074"/>
      <c r="AA148" s="1074"/>
      <c r="AB148" s="1074"/>
      <c r="AC148" s="1074"/>
      <c r="AD148" s="1074"/>
      <c r="AE148" s="1074"/>
      <c r="AF148" s="1074"/>
      <c r="AG148" s="1074"/>
      <c r="AH148" s="1074"/>
      <c r="AI148" s="1074"/>
      <c r="AJ148" s="1074"/>
      <c r="AK148" s="1074"/>
      <c r="AL148" s="1074"/>
      <c r="AM148" s="1074"/>
      <c r="AN148" s="1074"/>
      <c r="AO148" s="1074"/>
      <c r="AP148" s="1074"/>
      <c r="AQ148" s="1074"/>
      <c r="AR148" s="1074"/>
      <c r="AS148" s="1074"/>
      <c r="AT148" s="1075"/>
    </row>
    <row r="149" ht="14.25" customHeight="1">
      <c r="A149" s="1116"/>
      <c r="B149" s="1120"/>
      <c r="C149" s="1100"/>
      <c r="D149" s="1100"/>
      <c r="E149" s="1100"/>
      <c r="F149" s="1100"/>
      <c r="G149" s="1100"/>
      <c r="H149" s="1100"/>
      <c r="I149" s="1100"/>
      <c r="J149" s="1100"/>
      <c r="K149" s="1074"/>
      <c r="L149" s="1074"/>
      <c r="M149" s="1074"/>
      <c r="N149" s="1074"/>
      <c r="O149" s="1074"/>
      <c r="P149" s="1074"/>
      <c r="Q149" s="1074"/>
      <c r="R149" s="1074"/>
      <c r="S149" s="1074"/>
      <c r="T149" s="1074"/>
      <c r="U149" s="1074"/>
      <c r="V149" s="1074"/>
      <c r="W149" s="1074"/>
      <c r="X149" s="1074"/>
      <c r="Y149" s="1074"/>
      <c r="Z149" s="1074"/>
      <c r="AA149" s="1074"/>
      <c r="AB149" s="1074"/>
      <c r="AC149" s="1074"/>
      <c r="AD149" s="1074"/>
      <c r="AE149" s="1074"/>
      <c r="AF149" s="1074"/>
      <c r="AG149" s="1074"/>
      <c r="AH149" s="1074"/>
      <c r="AI149" s="1074"/>
      <c r="AJ149" s="1074"/>
      <c r="AK149" s="1074"/>
      <c r="AL149" s="1074"/>
      <c r="AM149" s="1074"/>
      <c r="AN149" s="1074"/>
      <c r="AO149" s="1074"/>
      <c r="AP149" s="1074"/>
      <c r="AQ149" s="1074"/>
      <c r="AR149" s="1074"/>
      <c r="AS149" s="1074"/>
      <c r="AT149" s="1075"/>
    </row>
    <row r="150" ht="14.25" customHeight="1">
      <c r="A150" s="1116"/>
      <c r="B150" s="1120"/>
      <c r="C150" s="1100"/>
      <c r="D150" s="1100"/>
      <c r="E150" s="1100"/>
      <c r="F150" s="1100"/>
      <c r="G150" s="1100"/>
      <c r="H150" s="1100"/>
      <c r="I150" s="1100"/>
      <c r="J150" s="1100"/>
      <c r="K150" s="1074"/>
      <c r="L150" s="1074"/>
      <c r="M150" s="1074"/>
      <c r="N150" s="1074"/>
      <c r="O150" s="1074"/>
      <c r="P150" s="1074"/>
      <c r="Q150" s="1074"/>
      <c r="R150" s="1074"/>
      <c r="S150" s="1074"/>
      <c r="T150" s="1074"/>
      <c r="U150" s="1074"/>
      <c r="V150" s="1074"/>
      <c r="W150" s="1074"/>
      <c r="X150" s="1074"/>
      <c r="Y150" s="1074"/>
      <c r="Z150" s="1074"/>
      <c r="AA150" s="1074"/>
      <c r="AB150" s="1074"/>
      <c r="AC150" s="1074"/>
      <c r="AD150" s="1074"/>
      <c r="AE150" s="1074"/>
      <c r="AF150" s="1074"/>
      <c r="AG150" s="1074"/>
      <c r="AH150" s="1074"/>
      <c r="AI150" s="1074"/>
      <c r="AJ150" s="1074"/>
      <c r="AK150" s="1074"/>
      <c r="AL150" s="1074"/>
      <c r="AM150" s="1074"/>
      <c r="AN150" s="1074"/>
      <c r="AO150" s="1074"/>
      <c r="AP150" s="1074"/>
      <c r="AQ150" s="1074"/>
      <c r="AR150" s="1074"/>
      <c r="AS150" s="1074"/>
      <c r="AT150" s="1075"/>
    </row>
    <row r="151" ht="14.25" customHeight="1">
      <c r="A151" s="1116"/>
      <c r="B151" s="1120"/>
      <c r="C151" s="1100"/>
      <c r="D151" s="1100"/>
      <c r="E151" s="1100"/>
      <c r="F151" s="1100"/>
      <c r="G151" s="1100"/>
      <c r="H151" s="1100"/>
      <c r="I151" s="1100"/>
      <c r="J151" s="1100"/>
      <c r="K151" s="1074"/>
      <c r="L151" s="1074"/>
      <c r="M151" s="1074"/>
      <c r="N151" s="1074"/>
      <c r="O151" s="1074"/>
      <c r="P151" s="1074"/>
      <c r="Q151" s="1074"/>
      <c r="R151" s="1074"/>
      <c r="S151" s="1074"/>
      <c r="T151" s="1074"/>
      <c r="U151" s="1074"/>
      <c r="V151" s="1074"/>
      <c r="W151" s="1074"/>
      <c r="X151" s="1074"/>
      <c r="Y151" s="1074"/>
      <c r="Z151" s="1074"/>
      <c r="AA151" s="1074"/>
      <c r="AB151" s="1074"/>
      <c r="AC151" s="1074"/>
      <c r="AD151" s="1074"/>
      <c r="AE151" s="1074"/>
      <c r="AF151" s="1074"/>
      <c r="AG151" s="1074"/>
      <c r="AH151" s="1074"/>
      <c r="AI151" s="1074"/>
      <c r="AJ151" s="1074"/>
      <c r="AK151" s="1074"/>
      <c r="AL151" s="1074"/>
      <c r="AM151" s="1074"/>
      <c r="AN151" s="1074"/>
      <c r="AO151" s="1074"/>
      <c r="AP151" s="1074"/>
      <c r="AQ151" s="1074"/>
      <c r="AR151" s="1074"/>
      <c r="AS151" s="1074"/>
      <c r="AT151" s="1075"/>
    </row>
    <row r="152" ht="14.25" customHeight="1">
      <c r="A152" s="1116"/>
      <c r="B152" s="1120"/>
      <c r="C152" s="1100"/>
      <c r="D152" s="1100"/>
      <c r="E152" s="1100"/>
      <c r="F152" s="1100"/>
      <c r="G152" s="1100"/>
      <c r="H152" s="1100"/>
      <c r="I152" s="1100"/>
      <c r="J152" s="1100"/>
      <c r="K152" s="1074"/>
      <c r="L152" s="1074"/>
      <c r="M152" s="1074"/>
      <c r="N152" s="1074"/>
      <c r="O152" s="1074"/>
      <c r="P152" s="1074"/>
      <c r="Q152" s="1074"/>
      <c r="R152" s="1074"/>
      <c r="S152" s="1074"/>
      <c r="T152" s="1074"/>
      <c r="U152" s="1074"/>
      <c r="V152" s="1074"/>
      <c r="W152" s="1074"/>
      <c r="X152" s="1074"/>
      <c r="Y152" s="1074"/>
      <c r="Z152" s="1074"/>
      <c r="AA152" s="1074"/>
      <c r="AB152" s="1074"/>
      <c r="AC152" s="1074"/>
      <c r="AD152" s="1074"/>
      <c r="AE152" s="1074"/>
      <c r="AF152" s="1074"/>
      <c r="AG152" s="1074"/>
      <c r="AH152" s="1074"/>
      <c r="AI152" s="1074"/>
      <c r="AJ152" s="1074"/>
      <c r="AK152" s="1074"/>
      <c r="AL152" s="1074"/>
      <c r="AM152" s="1074"/>
      <c r="AN152" s="1074"/>
      <c r="AO152" s="1074"/>
      <c r="AP152" s="1074"/>
      <c r="AQ152" s="1074"/>
      <c r="AR152" s="1074"/>
      <c r="AS152" s="1074"/>
      <c r="AT152" s="1075"/>
    </row>
    <row r="153" ht="14.25" customHeight="1">
      <c r="A153" s="1116"/>
      <c r="B153" s="1120"/>
      <c r="C153" s="1100"/>
      <c r="D153" s="1100"/>
      <c r="E153" s="1100"/>
      <c r="F153" s="1100"/>
      <c r="G153" s="1100"/>
      <c r="H153" s="1100"/>
      <c r="I153" s="1100"/>
      <c r="J153" s="1100"/>
      <c r="K153" s="1074"/>
      <c r="L153" s="1074"/>
      <c r="M153" s="1074"/>
      <c r="N153" s="1074"/>
      <c r="O153" s="1074"/>
      <c r="P153" s="1074"/>
      <c r="Q153" s="1074"/>
      <c r="R153" s="1074"/>
      <c r="S153" s="1074"/>
      <c r="T153" s="1074"/>
      <c r="U153" s="1074"/>
      <c r="V153" s="1074"/>
      <c r="W153" s="1074"/>
      <c r="X153" s="1074"/>
      <c r="Y153" s="1074"/>
      <c r="Z153" s="1074"/>
      <c r="AA153" s="1074"/>
      <c r="AB153" s="1074"/>
      <c r="AC153" s="1074"/>
      <c r="AD153" s="1074"/>
      <c r="AE153" s="1074"/>
      <c r="AF153" s="1074"/>
      <c r="AG153" s="1074"/>
      <c r="AH153" s="1074"/>
      <c r="AI153" s="1074"/>
      <c r="AJ153" s="1074"/>
      <c r="AK153" s="1074"/>
      <c r="AL153" s="1074"/>
      <c r="AM153" s="1074"/>
      <c r="AN153" s="1074"/>
      <c r="AO153" s="1074"/>
      <c r="AP153" s="1074"/>
      <c r="AQ153" s="1074"/>
      <c r="AR153" s="1074"/>
      <c r="AS153" s="1074"/>
      <c r="AT153" s="1075"/>
    </row>
    <row r="154" ht="14.25" customHeight="1">
      <c r="A154" s="1116"/>
      <c r="B154" s="1120"/>
      <c r="C154" s="1100"/>
      <c r="D154" s="1100"/>
      <c r="E154" s="1100"/>
      <c r="F154" s="1100"/>
      <c r="G154" s="1100"/>
      <c r="H154" s="1100"/>
      <c r="I154" s="1100"/>
      <c r="J154" s="1100"/>
      <c r="K154" s="1074"/>
      <c r="L154" s="1074"/>
      <c r="M154" s="1074"/>
      <c r="N154" s="1074"/>
      <c r="O154" s="1074"/>
      <c r="P154" s="1074"/>
      <c r="Q154" s="1074"/>
      <c r="R154" s="1074"/>
      <c r="S154" s="1074"/>
      <c r="T154" s="1074"/>
      <c r="U154" s="1074"/>
      <c r="V154" s="1074"/>
      <c r="W154" s="1074"/>
      <c r="X154" s="1074"/>
      <c r="Y154" s="1074"/>
      <c r="Z154" s="1074"/>
      <c r="AA154" s="1074"/>
      <c r="AB154" s="1074"/>
      <c r="AC154" s="1074"/>
      <c r="AD154" s="1074"/>
      <c r="AE154" s="1074"/>
      <c r="AF154" s="1074"/>
      <c r="AG154" s="1074"/>
      <c r="AH154" s="1074"/>
      <c r="AI154" s="1074"/>
      <c r="AJ154" s="1074"/>
      <c r="AK154" s="1074"/>
      <c r="AL154" s="1074"/>
      <c r="AM154" s="1074"/>
      <c r="AN154" s="1074"/>
      <c r="AO154" s="1074"/>
      <c r="AP154" s="1074"/>
      <c r="AQ154" s="1074"/>
      <c r="AR154" s="1074"/>
      <c r="AS154" s="1074"/>
      <c r="AT154" s="1075"/>
    </row>
    <row r="155" ht="14.25" customHeight="1">
      <c r="A155" s="1116"/>
      <c r="B155" s="1120"/>
      <c r="C155" s="1100"/>
      <c r="D155" s="1100"/>
      <c r="E155" s="1100"/>
      <c r="F155" s="1100"/>
      <c r="G155" s="1100"/>
      <c r="H155" s="1100"/>
      <c r="I155" s="1100"/>
      <c r="J155" s="1100"/>
      <c r="K155" s="1074"/>
      <c r="L155" s="1074"/>
      <c r="M155" s="1074"/>
      <c r="N155" s="1074"/>
      <c r="O155" s="1074"/>
      <c r="P155" s="1074"/>
      <c r="Q155" s="1074"/>
      <c r="R155" s="1074"/>
      <c r="S155" s="1074"/>
      <c r="T155" s="1074"/>
      <c r="U155" s="1074"/>
      <c r="V155" s="1074"/>
      <c r="W155" s="1074"/>
      <c r="X155" s="1074"/>
      <c r="Y155" s="1074"/>
      <c r="Z155" s="1074"/>
      <c r="AA155" s="1074"/>
      <c r="AB155" s="1074"/>
      <c r="AC155" s="1074"/>
      <c r="AD155" s="1074"/>
      <c r="AE155" s="1074"/>
      <c r="AF155" s="1074"/>
      <c r="AG155" s="1074"/>
      <c r="AH155" s="1074"/>
      <c r="AI155" s="1074"/>
      <c r="AJ155" s="1074"/>
      <c r="AK155" s="1074"/>
      <c r="AL155" s="1074"/>
      <c r="AM155" s="1074"/>
      <c r="AN155" s="1074"/>
      <c r="AO155" s="1074"/>
      <c r="AP155" s="1074"/>
      <c r="AQ155" s="1074"/>
      <c r="AR155" s="1074"/>
      <c r="AS155" s="1074"/>
      <c r="AT155" s="1075"/>
    </row>
    <row r="156" ht="14.25" customHeight="1">
      <c r="A156" s="1116"/>
      <c r="B156" s="1120"/>
      <c r="C156" s="1100"/>
      <c r="D156" s="1100"/>
      <c r="E156" s="1100"/>
      <c r="F156" s="1100"/>
      <c r="G156" s="1100"/>
      <c r="H156" s="1100"/>
      <c r="I156" s="1100"/>
      <c r="J156" s="1100"/>
      <c r="K156" s="1074"/>
      <c r="L156" s="1074"/>
      <c r="M156" s="1074"/>
      <c r="N156" s="1074"/>
      <c r="O156" s="1074"/>
      <c r="P156" s="1074"/>
      <c r="Q156" s="1074"/>
      <c r="R156" s="1074"/>
      <c r="S156" s="1074"/>
      <c r="T156" s="1074"/>
      <c r="U156" s="1074"/>
      <c r="V156" s="1074"/>
      <c r="W156" s="1074"/>
      <c r="X156" s="1074"/>
      <c r="Y156" s="1074"/>
      <c r="Z156" s="1074"/>
      <c r="AA156" s="1074"/>
      <c r="AB156" s="1074"/>
      <c r="AC156" s="1074"/>
      <c r="AD156" s="1074"/>
      <c r="AE156" s="1074"/>
      <c r="AF156" s="1074"/>
      <c r="AG156" s="1074"/>
      <c r="AH156" s="1074"/>
      <c r="AI156" s="1074"/>
      <c r="AJ156" s="1074"/>
      <c r="AK156" s="1074"/>
      <c r="AL156" s="1074"/>
      <c r="AM156" s="1074"/>
      <c r="AN156" s="1074"/>
      <c r="AO156" s="1074"/>
      <c r="AP156" s="1074"/>
      <c r="AQ156" s="1074"/>
      <c r="AR156" s="1074"/>
      <c r="AS156" s="1074"/>
      <c r="AT156" s="1075"/>
    </row>
    <row r="157" ht="14.25" customHeight="1">
      <c r="A157" s="1116"/>
      <c r="B157" s="1120"/>
      <c r="C157" s="1100"/>
      <c r="D157" s="1100"/>
      <c r="E157" s="1100"/>
      <c r="F157" s="1100"/>
      <c r="G157" s="1100"/>
      <c r="H157" s="1100"/>
      <c r="I157" s="1100"/>
      <c r="J157" s="1100"/>
      <c r="K157" s="1074"/>
      <c r="L157" s="1074"/>
      <c r="M157" s="1074"/>
      <c r="N157" s="1074"/>
      <c r="O157" s="1074"/>
      <c r="P157" s="1074"/>
      <c r="Q157" s="1074"/>
      <c r="R157" s="1074"/>
      <c r="S157" s="1074"/>
      <c r="T157" s="1074"/>
      <c r="U157" s="1074"/>
      <c r="V157" s="1074"/>
      <c r="W157" s="1074"/>
      <c r="X157" s="1074"/>
      <c r="Y157" s="1074"/>
      <c r="Z157" s="1074"/>
      <c r="AA157" s="1074"/>
      <c r="AB157" s="1074"/>
      <c r="AC157" s="1074"/>
      <c r="AD157" s="1074"/>
      <c r="AE157" s="1074"/>
      <c r="AF157" s="1074"/>
      <c r="AG157" s="1074"/>
      <c r="AH157" s="1074"/>
      <c r="AI157" s="1074"/>
      <c r="AJ157" s="1074"/>
      <c r="AK157" s="1074"/>
      <c r="AL157" s="1074"/>
      <c r="AM157" s="1074"/>
      <c r="AN157" s="1074"/>
      <c r="AO157" s="1074"/>
      <c r="AP157" s="1074"/>
      <c r="AQ157" s="1074"/>
      <c r="AR157" s="1074"/>
      <c r="AS157" s="1074"/>
      <c r="AT157" s="1075"/>
    </row>
    <row r="158" ht="14.25" customHeight="1">
      <c r="A158" s="1116"/>
      <c r="B158" s="1120"/>
      <c r="C158" s="1100"/>
      <c r="D158" s="1100"/>
      <c r="E158" s="1100"/>
      <c r="F158" s="1100"/>
      <c r="G158" s="1100"/>
      <c r="H158" s="1100"/>
      <c r="I158" s="1100"/>
      <c r="J158" s="1100"/>
      <c r="K158" s="1074"/>
      <c r="L158" s="1074"/>
      <c r="M158" s="1074"/>
      <c r="N158" s="1074"/>
      <c r="O158" s="1074"/>
      <c r="P158" s="1074"/>
      <c r="Q158" s="1074"/>
      <c r="R158" s="1074"/>
      <c r="S158" s="1074"/>
      <c r="T158" s="1074"/>
      <c r="U158" s="1074"/>
      <c r="V158" s="1074"/>
      <c r="W158" s="1074"/>
      <c r="X158" s="1074"/>
      <c r="Y158" s="1074"/>
      <c r="Z158" s="1074"/>
      <c r="AA158" s="1074"/>
      <c r="AB158" s="1074"/>
      <c r="AC158" s="1074"/>
      <c r="AD158" s="1074"/>
      <c r="AE158" s="1074"/>
      <c r="AF158" s="1074"/>
      <c r="AG158" s="1074"/>
      <c r="AH158" s="1074"/>
      <c r="AI158" s="1074"/>
      <c r="AJ158" s="1074"/>
      <c r="AK158" s="1074"/>
      <c r="AL158" s="1074"/>
      <c r="AM158" s="1074"/>
      <c r="AN158" s="1074"/>
      <c r="AO158" s="1074"/>
      <c r="AP158" s="1074"/>
      <c r="AQ158" s="1074"/>
      <c r="AR158" s="1074"/>
      <c r="AS158" s="1074"/>
      <c r="AT158" s="1075"/>
    </row>
    <row r="159" ht="14.25" customHeight="1">
      <c r="A159" s="1116"/>
      <c r="B159" s="1120"/>
      <c r="C159" s="1100"/>
      <c r="D159" s="1100"/>
      <c r="E159" s="1100"/>
      <c r="F159" s="1100"/>
      <c r="G159" s="1100"/>
      <c r="H159" s="1100"/>
      <c r="I159" s="1100"/>
      <c r="J159" s="1100"/>
      <c r="K159" s="1074"/>
      <c r="L159" s="1074"/>
      <c r="M159" s="1074"/>
      <c r="N159" s="1074"/>
      <c r="O159" s="1074"/>
      <c r="P159" s="1074"/>
      <c r="Q159" s="1074"/>
      <c r="R159" s="1074"/>
      <c r="S159" s="1074"/>
      <c r="T159" s="1074"/>
      <c r="U159" s="1074"/>
      <c r="V159" s="1074"/>
      <c r="W159" s="1074"/>
      <c r="X159" s="1074"/>
      <c r="Y159" s="1074"/>
      <c r="Z159" s="1074"/>
      <c r="AA159" s="1074"/>
      <c r="AB159" s="1074"/>
      <c r="AC159" s="1074"/>
      <c r="AD159" s="1074"/>
      <c r="AE159" s="1074"/>
      <c r="AF159" s="1074"/>
      <c r="AG159" s="1074"/>
      <c r="AH159" s="1074"/>
      <c r="AI159" s="1074"/>
      <c r="AJ159" s="1074"/>
      <c r="AK159" s="1074"/>
      <c r="AL159" s="1074"/>
      <c r="AM159" s="1074"/>
      <c r="AN159" s="1074"/>
      <c r="AO159" s="1074"/>
      <c r="AP159" s="1074"/>
      <c r="AQ159" s="1074"/>
      <c r="AR159" s="1074"/>
      <c r="AS159" s="1074"/>
      <c r="AT159" s="1075"/>
    </row>
    <row r="160" ht="14.25" customHeight="1">
      <c r="A160" s="1116"/>
      <c r="B160" s="1120"/>
      <c r="C160" s="1100"/>
      <c r="D160" s="1100"/>
      <c r="E160" s="1100"/>
      <c r="F160" s="1100"/>
      <c r="G160" s="1100"/>
      <c r="H160" s="1100"/>
      <c r="I160" s="1100"/>
      <c r="J160" s="1100"/>
      <c r="K160" s="1074"/>
      <c r="L160" s="1074"/>
      <c r="M160" s="1074"/>
      <c r="N160" s="1074"/>
      <c r="O160" s="1074"/>
      <c r="P160" s="1074"/>
      <c r="Q160" s="1074"/>
      <c r="R160" s="1074"/>
      <c r="S160" s="1074"/>
      <c r="T160" s="1074"/>
      <c r="U160" s="1074"/>
      <c r="V160" s="1074"/>
      <c r="W160" s="1074"/>
      <c r="X160" s="1074"/>
      <c r="Y160" s="1074"/>
      <c r="Z160" s="1074"/>
      <c r="AA160" s="1074"/>
      <c r="AB160" s="1074"/>
      <c r="AC160" s="1074"/>
      <c r="AD160" s="1074"/>
      <c r="AE160" s="1074"/>
      <c r="AF160" s="1074"/>
      <c r="AG160" s="1074"/>
      <c r="AH160" s="1074"/>
      <c r="AI160" s="1074"/>
      <c r="AJ160" s="1074"/>
      <c r="AK160" s="1074"/>
      <c r="AL160" s="1074"/>
      <c r="AM160" s="1074"/>
      <c r="AN160" s="1074"/>
      <c r="AO160" s="1074"/>
      <c r="AP160" s="1074"/>
      <c r="AQ160" s="1074"/>
      <c r="AR160" s="1074"/>
      <c r="AS160" s="1074"/>
      <c r="AT160" s="1075"/>
    </row>
    <row r="161" ht="14.25" customHeight="1">
      <c r="A161" s="1116"/>
      <c r="B161" s="1120"/>
      <c r="C161" s="1100"/>
      <c r="D161" s="1100"/>
      <c r="E161" s="1100"/>
      <c r="F161" s="1100"/>
      <c r="G161" s="1100"/>
      <c r="H161" s="1100"/>
      <c r="I161" s="1100"/>
      <c r="J161" s="1100"/>
      <c r="K161" s="1074"/>
      <c r="L161" s="1074"/>
      <c r="M161" s="1074"/>
      <c r="N161" s="1074"/>
      <c r="O161" s="1074"/>
      <c r="P161" s="1074"/>
      <c r="Q161" s="1074"/>
      <c r="R161" s="1074"/>
      <c r="S161" s="1074"/>
      <c r="T161" s="1074"/>
      <c r="U161" s="1074"/>
      <c r="V161" s="1074"/>
      <c r="W161" s="1074"/>
      <c r="X161" s="1074"/>
      <c r="Y161" s="1074"/>
      <c r="Z161" s="1074"/>
      <c r="AA161" s="1074"/>
      <c r="AB161" s="1074"/>
      <c r="AC161" s="1074"/>
      <c r="AD161" s="1074"/>
      <c r="AE161" s="1074"/>
      <c r="AF161" s="1074"/>
      <c r="AG161" s="1074"/>
      <c r="AH161" s="1074"/>
      <c r="AI161" s="1074"/>
      <c r="AJ161" s="1074"/>
      <c r="AK161" s="1074"/>
      <c r="AL161" s="1074"/>
      <c r="AM161" s="1074"/>
      <c r="AN161" s="1074"/>
      <c r="AO161" s="1074"/>
      <c r="AP161" s="1074"/>
      <c r="AQ161" s="1074"/>
      <c r="AR161" s="1074"/>
      <c r="AS161" s="1074"/>
      <c r="AT161" s="1075"/>
    </row>
    <row r="162" ht="14.25" customHeight="1">
      <c r="A162" s="1116"/>
      <c r="B162" s="1120"/>
      <c r="C162" s="1100"/>
      <c r="D162" s="1100"/>
      <c r="E162" s="1100"/>
      <c r="F162" s="1100"/>
      <c r="G162" s="1100"/>
      <c r="H162" s="1100"/>
      <c r="I162" s="1100"/>
      <c r="J162" s="1100"/>
      <c r="K162" s="1074"/>
      <c r="L162" s="1074"/>
      <c r="M162" s="1074"/>
      <c r="N162" s="1074"/>
      <c r="O162" s="1074"/>
      <c r="P162" s="1074"/>
      <c r="Q162" s="1074"/>
      <c r="R162" s="1074"/>
      <c r="S162" s="1074"/>
      <c r="T162" s="1074"/>
      <c r="U162" s="1074"/>
      <c r="V162" s="1074"/>
      <c r="W162" s="1074"/>
      <c r="X162" s="1074"/>
      <c r="Y162" s="1074"/>
      <c r="Z162" s="1074"/>
      <c r="AA162" s="1074"/>
      <c r="AB162" s="1074"/>
      <c r="AC162" s="1074"/>
      <c r="AD162" s="1074"/>
      <c r="AE162" s="1074"/>
      <c r="AF162" s="1074"/>
      <c r="AG162" s="1074"/>
      <c r="AH162" s="1074"/>
      <c r="AI162" s="1074"/>
      <c r="AJ162" s="1074"/>
      <c r="AK162" s="1074"/>
      <c r="AL162" s="1074"/>
      <c r="AM162" s="1074"/>
      <c r="AN162" s="1074"/>
      <c r="AO162" s="1074"/>
      <c r="AP162" s="1074"/>
      <c r="AQ162" s="1074"/>
      <c r="AR162" s="1074"/>
      <c r="AS162" s="1074"/>
      <c r="AT162" s="1075"/>
    </row>
    <row r="163" ht="14.25" customHeight="1">
      <c r="A163" s="1116"/>
      <c r="B163" s="1120"/>
      <c r="C163" s="1100"/>
      <c r="D163" s="1100"/>
      <c r="E163" s="1100"/>
      <c r="F163" s="1100"/>
      <c r="G163" s="1100"/>
      <c r="H163" s="1100"/>
      <c r="I163" s="1100"/>
      <c r="J163" s="1100"/>
      <c r="K163" s="1074"/>
      <c r="L163" s="1074"/>
      <c r="M163" s="1074"/>
      <c r="N163" s="1074"/>
      <c r="O163" s="1074"/>
      <c r="P163" s="1074"/>
      <c r="Q163" s="1074"/>
      <c r="R163" s="1074"/>
      <c r="S163" s="1074"/>
      <c r="T163" s="1074"/>
      <c r="U163" s="1074"/>
      <c r="V163" s="1074"/>
      <c r="W163" s="1074"/>
      <c r="X163" s="1074"/>
      <c r="Y163" s="1074"/>
      <c r="Z163" s="1074"/>
      <c r="AA163" s="1074"/>
      <c r="AB163" s="1074"/>
      <c r="AC163" s="1074"/>
      <c r="AD163" s="1074"/>
      <c r="AE163" s="1074"/>
      <c r="AF163" s="1074"/>
      <c r="AG163" s="1074"/>
      <c r="AH163" s="1074"/>
      <c r="AI163" s="1074"/>
      <c r="AJ163" s="1074"/>
      <c r="AK163" s="1074"/>
      <c r="AL163" s="1074"/>
      <c r="AM163" s="1074"/>
      <c r="AN163" s="1074"/>
      <c r="AO163" s="1074"/>
      <c r="AP163" s="1074"/>
      <c r="AQ163" s="1074"/>
      <c r="AR163" s="1074"/>
      <c r="AS163" s="1074"/>
      <c r="AT163" s="1075"/>
    </row>
    <row r="164" ht="14.25" customHeight="1">
      <c r="A164" s="1116"/>
      <c r="B164" s="1120"/>
      <c r="C164" s="1100"/>
      <c r="D164" s="1100"/>
      <c r="E164" s="1100"/>
      <c r="F164" s="1100"/>
      <c r="G164" s="1100"/>
      <c r="H164" s="1100"/>
      <c r="I164" s="1100"/>
      <c r="J164" s="1100"/>
      <c r="K164" s="1074"/>
      <c r="L164" s="1074"/>
      <c r="M164" s="1074"/>
      <c r="N164" s="1074"/>
      <c r="O164" s="1074"/>
      <c r="P164" s="1074"/>
      <c r="Q164" s="1074"/>
      <c r="R164" s="1074"/>
      <c r="S164" s="1074"/>
      <c r="T164" s="1074"/>
      <c r="U164" s="1074"/>
      <c r="V164" s="1074"/>
      <c r="W164" s="1074"/>
      <c r="X164" s="1074"/>
      <c r="Y164" s="1074"/>
      <c r="Z164" s="1074"/>
      <c r="AA164" s="1074"/>
      <c r="AB164" s="1074"/>
      <c r="AC164" s="1074"/>
      <c r="AD164" s="1074"/>
      <c r="AE164" s="1074"/>
      <c r="AF164" s="1074"/>
      <c r="AG164" s="1074"/>
      <c r="AH164" s="1074"/>
      <c r="AI164" s="1074"/>
      <c r="AJ164" s="1074"/>
      <c r="AK164" s="1074"/>
      <c r="AL164" s="1074"/>
      <c r="AM164" s="1074"/>
      <c r="AN164" s="1074"/>
      <c r="AO164" s="1074"/>
      <c r="AP164" s="1074"/>
      <c r="AQ164" s="1074"/>
      <c r="AR164" s="1074"/>
      <c r="AS164" s="1074"/>
      <c r="AT164" s="1075"/>
    </row>
    <row r="165" ht="14.25" customHeight="1">
      <c r="A165" s="1116"/>
      <c r="B165" s="1120"/>
      <c r="C165" s="1100"/>
      <c r="D165" s="1100"/>
      <c r="E165" s="1100"/>
      <c r="F165" s="1100"/>
      <c r="G165" s="1100"/>
      <c r="H165" s="1100"/>
      <c r="I165" s="1100"/>
      <c r="J165" s="1100"/>
      <c r="K165" s="1074"/>
      <c r="L165" s="1074"/>
      <c r="M165" s="1074"/>
      <c r="N165" s="1074"/>
      <c r="O165" s="1074"/>
      <c r="P165" s="1074"/>
      <c r="Q165" s="1074"/>
      <c r="R165" s="1074"/>
      <c r="S165" s="1074"/>
      <c r="T165" s="1074"/>
      <c r="U165" s="1074"/>
      <c r="V165" s="1074"/>
      <c r="W165" s="1074"/>
      <c r="X165" s="1074"/>
      <c r="Y165" s="1074"/>
      <c r="Z165" s="1074"/>
      <c r="AA165" s="1074"/>
      <c r="AB165" s="1074"/>
      <c r="AC165" s="1074"/>
      <c r="AD165" s="1074"/>
      <c r="AE165" s="1074"/>
      <c r="AF165" s="1074"/>
      <c r="AG165" s="1074"/>
      <c r="AH165" s="1074"/>
      <c r="AI165" s="1074"/>
      <c r="AJ165" s="1074"/>
      <c r="AK165" s="1074"/>
      <c r="AL165" s="1074"/>
      <c r="AM165" s="1074"/>
      <c r="AN165" s="1074"/>
      <c r="AO165" s="1074"/>
      <c r="AP165" s="1074"/>
      <c r="AQ165" s="1074"/>
      <c r="AR165" s="1074"/>
      <c r="AS165" s="1074"/>
      <c r="AT165" s="1075"/>
    </row>
    <row r="166" ht="14.25" customHeight="1">
      <c r="A166" s="1116"/>
      <c r="B166" s="1120"/>
      <c r="C166" s="1100"/>
      <c r="D166" s="1100"/>
      <c r="E166" s="1100"/>
      <c r="F166" s="1100"/>
      <c r="G166" s="1100"/>
      <c r="H166" s="1100"/>
      <c r="I166" s="1100"/>
      <c r="J166" s="1100"/>
      <c r="K166" s="1074"/>
      <c r="L166" s="1074"/>
      <c r="M166" s="1074"/>
      <c r="N166" s="1074"/>
      <c r="O166" s="1074"/>
      <c r="P166" s="1074"/>
      <c r="Q166" s="1074"/>
      <c r="R166" s="1074"/>
      <c r="S166" s="1074"/>
      <c r="T166" s="1074"/>
      <c r="U166" s="1074"/>
      <c r="V166" s="1074"/>
      <c r="W166" s="1074"/>
      <c r="X166" s="1074"/>
      <c r="Y166" s="1074"/>
      <c r="Z166" s="1074"/>
      <c r="AA166" s="1074"/>
      <c r="AB166" s="1074"/>
      <c r="AC166" s="1074"/>
      <c r="AD166" s="1074"/>
      <c r="AE166" s="1074"/>
      <c r="AF166" s="1074"/>
      <c r="AG166" s="1074"/>
      <c r="AH166" s="1074"/>
      <c r="AI166" s="1074"/>
      <c r="AJ166" s="1074"/>
      <c r="AK166" s="1074"/>
      <c r="AL166" s="1074"/>
      <c r="AM166" s="1074"/>
      <c r="AN166" s="1074"/>
      <c r="AO166" s="1074"/>
      <c r="AP166" s="1074"/>
      <c r="AQ166" s="1074"/>
      <c r="AR166" s="1074"/>
      <c r="AS166" s="1074"/>
      <c r="AT166" s="1075"/>
    </row>
    <row r="167" ht="14.25" customHeight="1">
      <c r="A167" s="1116"/>
      <c r="B167" s="1120"/>
      <c r="C167" s="1100"/>
      <c r="D167" s="1100"/>
      <c r="E167" s="1100"/>
      <c r="F167" s="1100"/>
      <c r="G167" s="1100"/>
      <c r="H167" s="1100"/>
      <c r="I167" s="1100"/>
      <c r="J167" s="1100"/>
      <c r="K167" s="1074"/>
      <c r="L167" s="1074"/>
      <c r="M167" s="1074"/>
      <c r="N167" s="1074"/>
      <c r="O167" s="1074"/>
      <c r="P167" s="1074"/>
      <c r="Q167" s="1074"/>
      <c r="R167" s="1074"/>
      <c r="S167" s="1074"/>
      <c r="T167" s="1074"/>
      <c r="U167" s="1074"/>
      <c r="V167" s="1074"/>
      <c r="W167" s="1074"/>
      <c r="X167" s="1074"/>
      <c r="Y167" s="1074"/>
      <c r="Z167" s="1074"/>
      <c r="AA167" s="1074"/>
      <c r="AB167" s="1074"/>
      <c r="AC167" s="1074"/>
      <c r="AD167" s="1074"/>
      <c r="AE167" s="1074"/>
      <c r="AF167" s="1074"/>
      <c r="AG167" s="1074"/>
      <c r="AH167" s="1074"/>
      <c r="AI167" s="1074"/>
      <c r="AJ167" s="1074"/>
      <c r="AK167" s="1074"/>
      <c r="AL167" s="1074"/>
      <c r="AM167" s="1074"/>
      <c r="AN167" s="1074"/>
      <c r="AO167" s="1074"/>
      <c r="AP167" s="1074"/>
      <c r="AQ167" s="1074"/>
      <c r="AR167" s="1074"/>
      <c r="AS167" s="1074"/>
      <c r="AT167" s="1075"/>
    </row>
    <row r="168" ht="14.25" customHeight="1">
      <c r="A168" s="1116"/>
      <c r="B168" s="1120"/>
      <c r="C168" s="1100"/>
      <c r="D168" s="1100"/>
      <c r="E168" s="1100"/>
      <c r="F168" s="1100"/>
      <c r="G168" s="1100"/>
      <c r="H168" s="1100"/>
      <c r="I168" s="1100"/>
      <c r="J168" s="1100"/>
      <c r="K168" s="1074"/>
      <c r="L168" s="1074"/>
      <c r="M168" s="1074"/>
      <c r="N168" s="1074"/>
      <c r="O168" s="1074"/>
      <c r="P168" s="1074"/>
      <c r="Q168" s="1074"/>
      <c r="R168" s="1074"/>
      <c r="S168" s="1074"/>
      <c r="T168" s="1074"/>
      <c r="U168" s="1074"/>
      <c r="V168" s="1074"/>
      <c r="W168" s="1074"/>
      <c r="X168" s="1074"/>
      <c r="Y168" s="1074"/>
      <c r="Z168" s="1074"/>
      <c r="AA168" s="1074"/>
      <c r="AB168" s="1074"/>
      <c r="AC168" s="1074"/>
      <c r="AD168" s="1074"/>
      <c r="AE168" s="1074"/>
      <c r="AF168" s="1074"/>
      <c r="AG168" s="1074"/>
      <c r="AH168" s="1074"/>
      <c r="AI168" s="1074"/>
      <c r="AJ168" s="1074"/>
      <c r="AK168" s="1074"/>
      <c r="AL168" s="1074"/>
      <c r="AM168" s="1074"/>
      <c r="AN168" s="1074"/>
      <c r="AO168" s="1074"/>
      <c r="AP168" s="1074"/>
      <c r="AQ168" s="1074"/>
      <c r="AR168" s="1074"/>
      <c r="AS168" s="1074"/>
      <c r="AT168" s="1075"/>
    </row>
    <row r="169" ht="14.25" customHeight="1">
      <c r="A169" s="1116"/>
      <c r="B169" s="1120"/>
      <c r="C169" s="1100"/>
      <c r="D169" s="1100"/>
      <c r="E169" s="1100"/>
      <c r="F169" s="1100"/>
      <c r="G169" s="1100"/>
      <c r="H169" s="1100"/>
      <c r="I169" s="1100"/>
      <c r="J169" s="1100"/>
      <c r="K169" s="1074"/>
      <c r="L169" s="1074"/>
      <c r="M169" s="1074"/>
      <c r="N169" s="1074"/>
      <c r="O169" s="1074"/>
      <c r="P169" s="1074"/>
      <c r="Q169" s="1074"/>
      <c r="R169" s="1074"/>
      <c r="S169" s="1074"/>
      <c r="T169" s="1074"/>
      <c r="U169" s="1074"/>
      <c r="V169" s="1074"/>
      <c r="W169" s="1074"/>
      <c r="X169" s="1074"/>
      <c r="Y169" s="1074"/>
      <c r="Z169" s="1074"/>
      <c r="AA169" s="1074"/>
      <c r="AB169" s="1074"/>
      <c r="AC169" s="1074"/>
      <c r="AD169" s="1074"/>
      <c r="AE169" s="1074"/>
      <c r="AF169" s="1074"/>
      <c r="AG169" s="1074"/>
      <c r="AH169" s="1074"/>
      <c r="AI169" s="1074"/>
      <c r="AJ169" s="1074"/>
      <c r="AK169" s="1074"/>
      <c r="AL169" s="1074"/>
      <c r="AM169" s="1074"/>
      <c r="AN169" s="1074"/>
      <c r="AO169" s="1074"/>
      <c r="AP169" s="1074"/>
      <c r="AQ169" s="1074"/>
      <c r="AR169" s="1074"/>
      <c r="AS169" s="1074"/>
      <c r="AT169" s="1075"/>
    </row>
    <row r="170" ht="14.25" customHeight="1">
      <c r="A170" s="1116"/>
      <c r="B170" s="1120"/>
      <c r="C170" s="1100"/>
      <c r="D170" s="1100"/>
      <c r="E170" s="1100"/>
      <c r="F170" s="1100"/>
      <c r="G170" s="1100"/>
      <c r="H170" s="1100"/>
      <c r="I170" s="1100"/>
      <c r="J170" s="1100"/>
      <c r="K170" s="1074"/>
      <c r="L170" s="1074"/>
      <c r="M170" s="1074"/>
      <c r="N170" s="1074"/>
      <c r="O170" s="1074"/>
      <c r="P170" s="1074"/>
      <c r="Q170" s="1074"/>
      <c r="R170" s="1074"/>
      <c r="S170" s="1074"/>
      <c r="T170" s="1074"/>
      <c r="U170" s="1074"/>
      <c r="V170" s="1074"/>
      <c r="W170" s="1074"/>
      <c r="X170" s="1074"/>
      <c r="Y170" s="1074"/>
      <c r="Z170" s="1074"/>
      <c r="AA170" s="1074"/>
      <c r="AB170" s="1074"/>
      <c r="AC170" s="1074"/>
      <c r="AD170" s="1074"/>
      <c r="AE170" s="1074"/>
      <c r="AF170" s="1074"/>
      <c r="AG170" s="1074"/>
      <c r="AH170" s="1074"/>
      <c r="AI170" s="1074"/>
      <c r="AJ170" s="1074"/>
      <c r="AK170" s="1074"/>
      <c r="AL170" s="1074"/>
      <c r="AM170" s="1074"/>
      <c r="AN170" s="1074"/>
      <c r="AO170" s="1074"/>
      <c r="AP170" s="1074"/>
      <c r="AQ170" s="1074"/>
      <c r="AR170" s="1074"/>
      <c r="AS170" s="1074"/>
      <c r="AT170" s="1075"/>
    </row>
    <row r="171" ht="14.25" customHeight="1">
      <c r="A171" s="1116"/>
      <c r="B171" s="1120"/>
      <c r="C171" s="1100"/>
      <c r="D171" s="1100"/>
      <c r="E171" s="1100"/>
      <c r="F171" s="1100"/>
      <c r="G171" s="1100"/>
      <c r="H171" s="1100"/>
      <c r="I171" s="1100"/>
      <c r="J171" s="1100"/>
      <c r="K171" s="1074"/>
      <c r="L171" s="1074"/>
      <c r="M171" s="1074"/>
      <c r="N171" s="1074"/>
      <c r="O171" s="1074"/>
      <c r="P171" s="1074"/>
      <c r="Q171" s="1074"/>
      <c r="R171" s="1074"/>
      <c r="S171" s="1074"/>
      <c r="T171" s="1074"/>
      <c r="U171" s="1074"/>
      <c r="V171" s="1074"/>
      <c r="W171" s="1074"/>
      <c r="X171" s="1074"/>
      <c r="Y171" s="1074"/>
      <c r="Z171" s="1074"/>
      <c r="AA171" s="1074"/>
      <c r="AB171" s="1074"/>
      <c r="AC171" s="1074"/>
      <c r="AD171" s="1074"/>
      <c r="AE171" s="1074"/>
      <c r="AF171" s="1074"/>
      <c r="AG171" s="1074"/>
      <c r="AH171" s="1074"/>
      <c r="AI171" s="1074"/>
      <c r="AJ171" s="1074"/>
      <c r="AK171" s="1074"/>
      <c r="AL171" s="1074"/>
      <c r="AM171" s="1074"/>
      <c r="AN171" s="1074"/>
      <c r="AO171" s="1074"/>
      <c r="AP171" s="1074"/>
      <c r="AQ171" s="1074"/>
      <c r="AR171" s="1074"/>
      <c r="AS171" s="1074"/>
      <c r="AT171" s="1075"/>
    </row>
    <row r="172" ht="14.25" customHeight="1">
      <c r="A172" s="1116"/>
      <c r="B172" s="1120"/>
      <c r="C172" s="1100"/>
      <c r="D172" s="1100"/>
      <c r="E172" s="1100"/>
      <c r="F172" s="1100"/>
      <c r="G172" s="1100"/>
      <c r="H172" s="1100"/>
      <c r="I172" s="1100"/>
      <c r="J172" s="1100"/>
      <c r="K172" s="1074"/>
      <c r="L172" s="1074"/>
      <c r="M172" s="1074"/>
      <c r="N172" s="1074"/>
      <c r="O172" s="1074"/>
      <c r="P172" s="1074"/>
      <c r="Q172" s="1074"/>
      <c r="R172" s="1074"/>
      <c r="S172" s="1074"/>
      <c r="T172" s="1074"/>
      <c r="U172" s="1074"/>
      <c r="V172" s="1074"/>
      <c r="W172" s="1074"/>
      <c r="X172" s="1074"/>
      <c r="Y172" s="1074"/>
      <c r="Z172" s="1074"/>
      <c r="AA172" s="1074"/>
      <c r="AB172" s="1074"/>
      <c r="AC172" s="1074"/>
      <c r="AD172" s="1074"/>
      <c r="AE172" s="1074"/>
      <c r="AF172" s="1074"/>
      <c r="AG172" s="1074"/>
      <c r="AH172" s="1074"/>
      <c r="AI172" s="1074"/>
      <c r="AJ172" s="1074"/>
      <c r="AK172" s="1074"/>
      <c r="AL172" s="1074"/>
      <c r="AM172" s="1074"/>
      <c r="AN172" s="1074"/>
      <c r="AO172" s="1074"/>
      <c r="AP172" s="1074"/>
      <c r="AQ172" s="1074"/>
      <c r="AR172" s="1074"/>
      <c r="AS172" s="1074"/>
      <c r="AT172" s="1075"/>
    </row>
    <row r="173" ht="14.25" customHeight="1">
      <c r="A173" s="1116"/>
      <c r="B173" s="1120"/>
      <c r="C173" s="1100"/>
      <c r="D173" s="1100"/>
      <c r="E173" s="1100"/>
      <c r="F173" s="1100"/>
      <c r="G173" s="1100"/>
      <c r="H173" s="1100"/>
      <c r="I173" s="1100"/>
      <c r="J173" s="1100"/>
      <c r="K173" s="1074"/>
      <c r="L173" s="1074"/>
      <c r="M173" s="1074"/>
      <c r="N173" s="1074"/>
      <c r="O173" s="1074"/>
      <c r="P173" s="1074"/>
      <c r="Q173" s="1074"/>
      <c r="R173" s="1074"/>
      <c r="S173" s="1074"/>
      <c r="T173" s="1074"/>
      <c r="U173" s="1074"/>
      <c r="V173" s="1074"/>
      <c r="W173" s="1074"/>
      <c r="X173" s="1074"/>
      <c r="Y173" s="1074"/>
      <c r="Z173" s="1074"/>
      <c r="AA173" s="1074"/>
      <c r="AB173" s="1074"/>
      <c r="AC173" s="1074"/>
      <c r="AD173" s="1074"/>
      <c r="AE173" s="1074"/>
      <c r="AF173" s="1074"/>
      <c r="AG173" s="1074"/>
      <c r="AH173" s="1074"/>
      <c r="AI173" s="1074"/>
      <c r="AJ173" s="1074"/>
      <c r="AK173" s="1074"/>
      <c r="AL173" s="1074"/>
      <c r="AM173" s="1074"/>
      <c r="AN173" s="1074"/>
      <c r="AO173" s="1074"/>
      <c r="AP173" s="1074"/>
      <c r="AQ173" s="1074"/>
      <c r="AR173" s="1074"/>
      <c r="AS173" s="1074"/>
      <c r="AT173" s="1075"/>
    </row>
    <row r="174" ht="14.25" customHeight="1">
      <c r="A174" s="1116"/>
      <c r="B174" s="1120"/>
      <c r="C174" s="1100"/>
      <c r="D174" s="1100"/>
      <c r="E174" s="1100"/>
      <c r="F174" s="1100"/>
      <c r="G174" s="1100"/>
      <c r="H174" s="1100"/>
      <c r="I174" s="1100"/>
      <c r="J174" s="1100"/>
      <c r="K174" s="1074"/>
      <c r="L174" s="1074"/>
      <c r="M174" s="1074"/>
      <c r="N174" s="1074"/>
      <c r="O174" s="1074"/>
      <c r="P174" s="1074"/>
      <c r="Q174" s="1074"/>
      <c r="R174" s="1074"/>
      <c r="S174" s="1074"/>
      <c r="T174" s="1074"/>
      <c r="U174" s="1074"/>
      <c r="V174" s="1074"/>
      <c r="W174" s="1074"/>
      <c r="X174" s="1074"/>
      <c r="Y174" s="1074"/>
      <c r="Z174" s="1074"/>
      <c r="AA174" s="1074"/>
      <c r="AB174" s="1074"/>
      <c r="AC174" s="1074"/>
      <c r="AD174" s="1074"/>
      <c r="AE174" s="1074"/>
      <c r="AF174" s="1074"/>
      <c r="AG174" s="1074"/>
      <c r="AH174" s="1074"/>
      <c r="AI174" s="1074"/>
      <c r="AJ174" s="1074"/>
      <c r="AK174" s="1074"/>
      <c r="AL174" s="1074"/>
      <c r="AM174" s="1074"/>
      <c r="AN174" s="1074"/>
      <c r="AO174" s="1074"/>
      <c r="AP174" s="1074"/>
      <c r="AQ174" s="1074"/>
      <c r="AR174" s="1074"/>
      <c r="AS174" s="1074"/>
      <c r="AT174" s="1075"/>
    </row>
    <row r="175" ht="14.25" customHeight="1">
      <c r="A175" s="1116"/>
      <c r="B175" s="1120"/>
      <c r="C175" s="1100"/>
      <c r="D175" s="1100"/>
      <c r="E175" s="1100"/>
      <c r="F175" s="1100"/>
      <c r="G175" s="1100"/>
      <c r="H175" s="1100"/>
      <c r="I175" s="1100"/>
      <c r="J175" s="1100"/>
      <c r="K175" s="1074"/>
      <c r="L175" s="1074"/>
      <c r="M175" s="1074"/>
      <c r="N175" s="1074"/>
      <c r="O175" s="1074"/>
      <c r="P175" s="1074"/>
      <c r="Q175" s="1074"/>
      <c r="R175" s="1074"/>
      <c r="S175" s="1074"/>
      <c r="T175" s="1074"/>
      <c r="U175" s="1074"/>
      <c r="V175" s="1074"/>
      <c r="W175" s="1074"/>
      <c r="X175" s="1074"/>
      <c r="Y175" s="1074"/>
      <c r="Z175" s="1074"/>
      <c r="AA175" s="1074"/>
      <c r="AB175" s="1074"/>
      <c r="AC175" s="1074"/>
      <c r="AD175" s="1074"/>
      <c r="AE175" s="1074"/>
      <c r="AF175" s="1074"/>
      <c r="AG175" s="1074"/>
      <c r="AH175" s="1074"/>
      <c r="AI175" s="1074"/>
      <c r="AJ175" s="1074"/>
      <c r="AK175" s="1074"/>
      <c r="AL175" s="1074"/>
      <c r="AM175" s="1074"/>
      <c r="AN175" s="1074"/>
      <c r="AO175" s="1074"/>
      <c r="AP175" s="1074"/>
      <c r="AQ175" s="1074"/>
      <c r="AR175" s="1074"/>
      <c r="AS175" s="1074"/>
      <c r="AT175" s="1075"/>
    </row>
    <row r="176" ht="14.25" customHeight="1">
      <c r="A176" s="1116"/>
      <c r="B176" s="1120"/>
      <c r="C176" s="1100"/>
      <c r="D176" s="1100"/>
      <c r="E176" s="1100"/>
      <c r="F176" s="1100"/>
      <c r="G176" s="1100"/>
      <c r="H176" s="1100"/>
      <c r="I176" s="1100"/>
      <c r="J176" s="1100"/>
      <c r="K176" s="1074"/>
      <c r="L176" s="1074"/>
      <c r="M176" s="1074"/>
      <c r="N176" s="1074"/>
      <c r="O176" s="1074"/>
      <c r="P176" s="1074"/>
      <c r="Q176" s="1074"/>
      <c r="R176" s="1074"/>
      <c r="S176" s="1074"/>
      <c r="T176" s="1074"/>
      <c r="U176" s="1074"/>
      <c r="V176" s="1074"/>
      <c r="W176" s="1074"/>
      <c r="X176" s="1074"/>
      <c r="Y176" s="1074"/>
      <c r="Z176" s="1074"/>
      <c r="AA176" s="1074"/>
      <c r="AB176" s="1074"/>
      <c r="AC176" s="1074"/>
      <c r="AD176" s="1074"/>
      <c r="AE176" s="1074"/>
      <c r="AF176" s="1074"/>
      <c r="AG176" s="1074"/>
      <c r="AH176" s="1074"/>
      <c r="AI176" s="1074"/>
      <c r="AJ176" s="1074"/>
      <c r="AK176" s="1074"/>
      <c r="AL176" s="1074"/>
      <c r="AM176" s="1074"/>
      <c r="AN176" s="1074"/>
      <c r="AO176" s="1074"/>
      <c r="AP176" s="1074"/>
      <c r="AQ176" s="1074"/>
      <c r="AR176" s="1074"/>
      <c r="AS176" s="1074"/>
      <c r="AT176" s="1075"/>
    </row>
    <row r="177" ht="14.25" customHeight="1">
      <c r="A177" s="1116"/>
      <c r="B177" s="1120"/>
      <c r="C177" s="1100"/>
      <c r="D177" s="1100"/>
      <c r="E177" s="1100"/>
      <c r="F177" s="1100"/>
      <c r="G177" s="1100"/>
      <c r="H177" s="1100"/>
      <c r="I177" s="1100"/>
      <c r="J177" s="1100"/>
      <c r="K177" s="1074"/>
      <c r="L177" s="1074"/>
      <c r="M177" s="1074"/>
      <c r="N177" s="1074"/>
      <c r="O177" s="1074"/>
      <c r="P177" s="1074"/>
      <c r="Q177" s="1074"/>
      <c r="R177" s="1074"/>
      <c r="S177" s="1074"/>
      <c r="T177" s="1074"/>
      <c r="U177" s="1074"/>
      <c r="V177" s="1074"/>
      <c r="W177" s="1074"/>
      <c r="X177" s="1074"/>
      <c r="Y177" s="1074"/>
      <c r="Z177" s="1074"/>
      <c r="AA177" s="1074"/>
      <c r="AB177" s="1074"/>
      <c r="AC177" s="1074"/>
      <c r="AD177" s="1074"/>
      <c r="AE177" s="1074"/>
      <c r="AF177" s="1074"/>
      <c r="AG177" s="1074"/>
      <c r="AH177" s="1074"/>
      <c r="AI177" s="1074"/>
      <c r="AJ177" s="1074"/>
      <c r="AK177" s="1074"/>
      <c r="AL177" s="1074"/>
      <c r="AM177" s="1074"/>
      <c r="AN177" s="1074"/>
      <c r="AO177" s="1074"/>
      <c r="AP177" s="1074"/>
      <c r="AQ177" s="1074"/>
      <c r="AR177" s="1074"/>
      <c r="AS177" s="1074"/>
      <c r="AT177" s="1075"/>
    </row>
    <row r="178" ht="14.25" customHeight="1">
      <c r="A178" s="1116"/>
      <c r="B178" s="1120"/>
      <c r="C178" s="1100"/>
      <c r="D178" s="1100"/>
      <c r="E178" s="1100"/>
      <c r="F178" s="1100"/>
      <c r="G178" s="1100"/>
      <c r="H178" s="1100"/>
      <c r="I178" s="1100"/>
      <c r="J178" s="1100"/>
      <c r="K178" s="1074"/>
      <c r="L178" s="1074"/>
      <c r="M178" s="1074"/>
      <c r="N178" s="1074"/>
      <c r="O178" s="1074"/>
      <c r="P178" s="1074"/>
      <c r="Q178" s="1074"/>
      <c r="R178" s="1074"/>
      <c r="S178" s="1074"/>
      <c r="T178" s="1074"/>
      <c r="U178" s="1074"/>
      <c r="V178" s="1074"/>
      <c r="W178" s="1074"/>
      <c r="X178" s="1074"/>
      <c r="Y178" s="1074"/>
      <c r="Z178" s="1074"/>
      <c r="AA178" s="1074"/>
      <c r="AB178" s="1074"/>
      <c r="AC178" s="1074"/>
      <c r="AD178" s="1074"/>
      <c r="AE178" s="1074"/>
      <c r="AF178" s="1074"/>
      <c r="AG178" s="1074"/>
      <c r="AH178" s="1074"/>
      <c r="AI178" s="1074"/>
      <c r="AJ178" s="1074"/>
      <c r="AK178" s="1074"/>
      <c r="AL178" s="1074"/>
      <c r="AM178" s="1074"/>
      <c r="AN178" s="1074"/>
      <c r="AO178" s="1074"/>
      <c r="AP178" s="1074"/>
      <c r="AQ178" s="1074"/>
      <c r="AR178" s="1074"/>
      <c r="AS178" s="1074"/>
      <c r="AT178" s="1075"/>
    </row>
    <row r="179" ht="14.25" customHeight="1">
      <c r="A179" s="1116"/>
      <c r="B179" s="1120"/>
      <c r="C179" s="1100"/>
      <c r="D179" s="1100"/>
      <c r="E179" s="1100"/>
      <c r="F179" s="1100"/>
      <c r="G179" s="1100"/>
      <c r="H179" s="1100"/>
      <c r="I179" s="1100"/>
      <c r="J179" s="1100"/>
      <c r="K179" s="1074"/>
      <c r="L179" s="1074"/>
      <c r="M179" s="1074"/>
      <c r="N179" s="1074"/>
      <c r="O179" s="1074"/>
      <c r="P179" s="1074"/>
      <c r="Q179" s="1074"/>
      <c r="R179" s="1074"/>
      <c r="S179" s="1074"/>
      <c r="T179" s="1074"/>
      <c r="U179" s="1074"/>
      <c r="V179" s="1074"/>
      <c r="W179" s="1074"/>
      <c r="X179" s="1074"/>
      <c r="Y179" s="1074"/>
      <c r="Z179" s="1074"/>
      <c r="AA179" s="1074"/>
      <c r="AB179" s="1074"/>
      <c r="AC179" s="1074"/>
      <c r="AD179" s="1074"/>
      <c r="AE179" s="1074"/>
      <c r="AF179" s="1074"/>
      <c r="AG179" s="1074"/>
      <c r="AH179" s="1074"/>
      <c r="AI179" s="1074"/>
      <c r="AJ179" s="1074"/>
      <c r="AK179" s="1074"/>
      <c r="AL179" s="1074"/>
      <c r="AM179" s="1074"/>
      <c r="AN179" s="1074"/>
      <c r="AO179" s="1074"/>
      <c r="AP179" s="1074"/>
      <c r="AQ179" s="1074"/>
      <c r="AR179" s="1074"/>
      <c r="AS179" s="1074"/>
      <c r="AT179" s="1075"/>
    </row>
    <row r="180" ht="14.25" customHeight="1">
      <c r="A180" s="1116"/>
      <c r="B180" s="1120"/>
      <c r="C180" s="1100"/>
      <c r="D180" s="1100"/>
      <c r="E180" s="1100"/>
      <c r="F180" s="1100"/>
      <c r="G180" s="1100"/>
      <c r="H180" s="1100"/>
      <c r="I180" s="1100"/>
      <c r="J180" s="1100"/>
      <c r="K180" s="1074"/>
      <c r="L180" s="1074"/>
      <c r="M180" s="1074"/>
      <c r="N180" s="1074"/>
      <c r="O180" s="1074"/>
      <c r="P180" s="1074"/>
      <c r="Q180" s="1074"/>
      <c r="R180" s="1074"/>
      <c r="S180" s="1074"/>
      <c r="T180" s="1074"/>
      <c r="U180" s="1074"/>
      <c r="V180" s="1074"/>
      <c r="W180" s="1074"/>
      <c r="X180" s="1074"/>
      <c r="Y180" s="1074"/>
      <c r="Z180" s="1074"/>
      <c r="AA180" s="1074"/>
      <c r="AB180" s="1074"/>
      <c r="AC180" s="1074"/>
      <c r="AD180" s="1074"/>
      <c r="AE180" s="1074"/>
      <c r="AF180" s="1074"/>
      <c r="AG180" s="1074"/>
      <c r="AH180" s="1074"/>
      <c r="AI180" s="1074"/>
      <c r="AJ180" s="1074"/>
      <c r="AK180" s="1074"/>
      <c r="AL180" s="1074"/>
      <c r="AM180" s="1074"/>
      <c r="AN180" s="1074"/>
      <c r="AO180" s="1074"/>
      <c r="AP180" s="1074"/>
      <c r="AQ180" s="1074"/>
      <c r="AR180" s="1074"/>
      <c r="AS180" s="1074"/>
      <c r="AT180" s="1075"/>
    </row>
    <row r="181" ht="14.25" customHeight="1">
      <c r="A181" s="1116"/>
      <c r="B181" s="1120"/>
      <c r="C181" s="1100"/>
      <c r="D181" s="1100"/>
      <c r="E181" s="1100"/>
      <c r="F181" s="1100"/>
      <c r="G181" s="1100"/>
      <c r="H181" s="1100"/>
      <c r="I181" s="1100"/>
      <c r="J181" s="1100"/>
      <c r="K181" s="1074"/>
      <c r="L181" s="1074"/>
      <c r="M181" s="1074"/>
      <c r="N181" s="1074"/>
      <c r="O181" s="1074"/>
      <c r="P181" s="1074"/>
      <c r="Q181" s="1074"/>
      <c r="R181" s="1074"/>
      <c r="S181" s="1074"/>
      <c r="T181" s="1074"/>
      <c r="U181" s="1074"/>
      <c r="V181" s="1074"/>
      <c r="W181" s="1074"/>
      <c r="X181" s="1074"/>
      <c r="Y181" s="1074"/>
      <c r="Z181" s="1074"/>
      <c r="AA181" s="1074"/>
      <c r="AB181" s="1074"/>
      <c r="AC181" s="1074"/>
      <c r="AD181" s="1074"/>
      <c r="AE181" s="1074"/>
      <c r="AF181" s="1074"/>
      <c r="AG181" s="1074"/>
      <c r="AH181" s="1074"/>
      <c r="AI181" s="1074"/>
      <c r="AJ181" s="1074"/>
      <c r="AK181" s="1074"/>
      <c r="AL181" s="1074"/>
      <c r="AM181" s="1074"/>
      <c r="AN181" s="1074"/>
      <c r="AO181" s="1074"/>
      <c r="AP181" s="1074"/>
      <c r="AQ181" s="1074"/>
      <c r="AR181" s="1074"/>
      <c r="AS181" s="1074"/>
      <c r="AT181" s="1075"/>
    </row>
    <row r="182" ht="14.25" customHeight="1">
      <c r="A182" s="1116"/>
      <c r="B182" s="1120"/>
      <c r="C182" s="1100"/>
      <c r="D182" s="1100"/>
      <c r="E182" s="1100"/>
      <c r="F182" s="1100"/>
      <c r="G182" s="1100"/>
      <c r="H182" s="1100"/>
      <c r="I182" s="1100"/>
      <c r="J182" s="1100"/>
      <c r="K182" s="1074"/>
      <c r="L182" s="1074"/>
      <c r="M182" s="1074"/>
      <c r="N182" s="1074"/>
      <c r="O182" s="1074"/>
      <c r="P182" s="1074"/>
      <c r="Q182" s="1074"/>
      <c r="R182" s="1074"/>
      <c r="S182" s="1074"/>
      <c r="T182" s="1074"/>
      <c r="U182" s="1074"/>
      <c r="V182" s="1074"/>
      <c r="W182" s="1074"/>
      <c r="X182" s="1074"/>
      <c r="Y182" s="1074"/>
      <c r="Z182" s="1074"/>
      <c r="AA182" s="1074"/>
      <c r="AB182" s="1074"/>
      <c r="AC182" s="1074"/>
      <c r="AD182" s="1074"/>
      <c r="AE182" s="1074"/>
      <c r="AF182" s="1074"/>
      <c r="AG182" s="1074"/>
      <c r="AH182" s="1074"/>
      <c r="AI182" s="1074"/>
      <c r="AJ182" s="1074"/>
      <c r="AK182" s="1074"/>
      <c r="AL182" s="1074"/>
      <c r="AM182" s="1074"/>
      <c r="AN182" s="1074"/>
      <c r="AO182" s="1074"/>
      <c r="AP182" s="1074"/>
      <c r="AQ182" s="1074"/>
      <c r="AR182" s="1074"/>
      <c r="AS182" s="1074"/>
      <c r="AT182" s="1075"/>
    </row>
    <row r="183" ht="14.25" customHeight="1">
      <c r="A183" s="1116"/>
      <c r="B183" s="1120"/>
      <c r="C183" s="1100"/>
      <c r="D183" s="1100"/>
      <c r="E183" s="1100"/>
      <c r="F183" s="1100"/>
      <c r="G183" s="1100"/>
      <c r="H183" s="1100"/>
      <c r="I183" s="1100"/>
      <c r="J183" s="1100"/>
      <c r="K183" s="1074"/>
      <c r="L183" s="1074"/>
      <c r="M183" s="1074"/>
      <c r="N183" s="1074"/>
      <c r="O183" s="1074"/>
      <c r="P183" s="1074"/>
      <c r="Q183" s="1074"/>
      <c r="R183" s="1074"/>
      <c r="S183" s="1074"/>
      <c r="T183" s="1074"/>
      <c r="U183" s="1074"/>
      <c r="V183" s="1074"/>
      <c r="W183" s="1074"/>
      <c r="X183" s="1074"/>
      <c r="Y183" s="1074"/>
      <c r="Z183" s="1074"/>
      <c r="AA183" s="1074"/>
      <c r="AB183" s="1074"/>
      <c r="AC183" s="1074"/>
      <c r="AD183" s="1074"/>
      <c r="AE183" s="1074"/>
      <c r="AF183" s="1074"/>
      <c r="AG183" s="1074"/>
      <c r="AH183" s="1074"/>
      <c r="AI183" s="1074"/>
      <c r="AJ183" s="1074"/>
      <c r="AK183" s="1074"/>
      <c r="AL183" s="1074"/>
      <c r="AM183" s="1074"/>
      <c r="AN183" s="1074"/>
      <c r="AO183" s="1074"/>
      <c r="AP183" s="1074"/>
      <c r="AQ183" s="1074"/>
      <c r="AR183" s="1074"/>
      <c r="AS183" s="1074"/>
      <c r="AT183" s="1075"/>
    </row>
    <row r="184" ht="14.25" customHeight="1">
      <c r="A184" s="1116"/>
      <c r="B184" s="1120"/>
      <c r="C184" s="1100"/>
      <c r="D184" s="1100"/>
      <c r="E184" s="1100"/>
      <c r="F184" s="1100"/>
      <c r="G184" s="1100"/>
      <c r="H184" s="1100"/>
      <c r="I184" s="1100"/>
      <c r="J184" s="1100"/>
      <c r="K184" s="1074"/>
      <c r="L184" s="1074"/>
      <c r="M184" s="1074"/>
      <c r="N184" s="1074"/>
      <c r="O184" s="1074"/>
      <c r="P184" s="1074"/>
      <c r="Q184" s="1074"/>
      <c r="R184" s="1074"/>
      <c r="S184" s="1074"/>
      <c r="T184" s="1074"/>
      <c r="U184" s="1074"/>
      <c r="V184" s="1074"/>
      <c r="W184" s="1074"/>
      <c r="X184" s="1074"/>
      <c r="Y184" s="1074"/>
      <c r="Z184" s="1074"/>
      <c r="AA184" s="1074"/>
      <c r="AB184" s="1074"/>
      <c r="AC184" s="1074"/>
      <c r="AD184" s="1074"/>
      <c r="AE184" s="1074"/>
      <c r="AF184" s="1074"/>
      <c r="AG184" s="1074"/>
      <c r="AH184" s="1074"/>
      <c r="AI184" s="1074"/>
      <c r="AJ184" s="1074"/>
      <c r="AK184" s="1074"/>
      <c r="AL184" s="1074"/>
      <c r="AM184" s="1074"/>
      <c r="AN184" s="1074"/>
      <c r="AO184" s="1074"/>
      <c r="AP184" s="1074"/>
      <c r="AQ184" s="1074"/>
      <c r="AR184" s="1074"/>
      <c r="AS184" s="1074"/>
      <c r="AT184" s="1075"/>
    </row>
    <row r="185" ht="14.25" customHeight="1">
      <c r="A185" s="1116"/>
      <c r="B185" s="1120"/>
      <c r="C185" s="1100"/>
      <c r="D185" s="1100"/>
      <c r="E185" s="1100"/>
      <c r="F185" s="1100"/>
      <c r="G185" s="1100"/>
      <c r="H185" s="1100"/>
      <c r="I185" s="1100"/>
      <c r="J185" s="1100"/>
      <c r="K185" s="1074"/>
      <c r="L185" s="1074"/>
      <c r="M185" s="1074"/>
      <c r="N185" s="1074"/>
      <c r="O185" s="1074"/>
      <c r="P185" s="1074"/>
      <c r="Q185" s="1074"/>
      <c r="R185" s="1074"/>
      <c r="S185" s="1074"/>
      <c r="T185" s="1074"/>
      <c r="U185" s="1074"/>
      <c r="V185" s="1074"/>
      <c r="W185" s="1074"/>
      <c r="X185" s="1074"/>
      <c r="Y185" s="1074"/>
      <c r="Z185" s="1074"/>
      <c r="AA185" s="1074"/>
      <c r="AB185" s="1074"/>
      <c r="AC185" s="1074"/>
      <c r="AD185" s="1074"/>
      <c r="AE185" s="1074"/>
      <c r="AF185" s="1074"/>
      <c r="AG185" s="1074"/>
      <c r="AH185" s="1074"/>
      <c r="AI185" s="1074"/>
      <c r="AJ185" s="1074"/>
      <c r="AK185" s="1074"/>
      <c r="AL185" s="1074"/>
      <c r="AM185" s="1074"/>
      <c r="AN185" s="1074"/>
      <c r="AO185" s="1074"/>
      <c r="AP185" s="1074"/>
      <c r="AQ185" s="1074"/>
      <c r="AR185" s="1074"/>
      <c r="AS185" s="1074"/>
      <c r="AT185" s="1075"/>
    </row>
    <row r="186" ht="14.25" customHeight="1">
      <c r="A186" s="1116"/>
      <c r="B186" s="1120"/>
      <c r="C186" s="1100"/>
      <c r="D186" s="1100"/>
      <c r="E186" s="1100"/>
      <c r="F186" s="1100"/>
      <c r="G186" s="1100"/>
      <c r="H186" s="1100"/>
      <c r="I186" s="1100"/>
      <c r="J186" s="1100"/>
      <c r="K186" s="1074"/>
      <c r="L186" s="1074"/>
      <c r="M186" s="1074"/>
      <c r="N186" s="1074"/>
      <c r="O186" s="1074"/>
      <c r="P186" s="1074"/>
      <c r="Q186" s="1074"/>
      <c r="R186" s="1074"/>
      <c r="S186" s="1074"/>
      <c r="T186" s="1074"/>
      <c r="U186" s="1074"/>
      <c r="V186" s="1074"/>
      <c r="W186" s="1074"/>
      <c r="X186" s="1074"/>
      <c r="Y186" s="1074"/>
      <c r="Z186" s="1074"/>
      <c r="AA186" s="1074"/>
      <c r="AB186" s="1074"/>
      <c r="AC186" s="1074"/>
      <c r="AD186" s="1074"/>
      <c r="AE186" s="1074"/>
      <c r="AF186" s="1074"/>
      <c r="AG186" s="1074"/>
      <c r="AH186" s="1074"/>
      <c r="AI186" s="1074"/>
      <c r="AJ186" s="1074"/>
      <c r="AK186" s="1074"/>
      <c r="AL186" s="1074"/>
      <c r="AM186" s="1074"/>
      <c r="AN186" s="1074"/>
      <c r="AO186" s="1074"/>
      <c r="AP186" s="1074"/>
      <c r="AQ186" s="1074"/>
      <c r="AR186" s="1074"/>
      <c r="AS186" s="1074"/>
      <c r="AT186" s="1075"/>
    </row>
    <row r="187" ht="14.25" customHeight="1">
      <c r="A187" s="1116"/>
      <c r="B187" s="1120"/>
      <c r="C187" s="1100"/>
      <c r="D187" s="1100"/>
      <c r="E187" s="1100"/>
      <c r="F187" s="1100"/>
      <c r="G187" s="1100"/>
      <c r="H187" s="1100"/>
      <c r="I187" s="1100"/>
      <c r="J187" s="1100"/>
      <c r="K187" s="1074"/>
      <c r="L187" s="1074"/>
      <c r="M187" s="1074"/>
      <c r="N187" s="1074"/>
      <c r="O187" s="1074"/>
      <c r="P187" s="1074"/>
      <c r="Q187" s="1074"/>
      <c r="R187" s="1074"/>
      <c r="S187" s="1074"/>
      <c r="T187" s="1074"/>
      <c r="U187" s="1074"/>
      <c r="V187" s="1074"/>
      <c r="W187" s="1074"/>
      <c r="X187" s="1074"/>
      <c r="Y187" s="1074"/>
      <c r="Z187" s="1074"/>
      <c r="AA187" s="1074"/>
      <c r="AB187" s="1074"/>
      <c r="AC187" s="1074"/>
      <c r="AD187" s="1074"/>
      <c r="AE187" s="1074"/>
      <c r="AF187" s="1074"/>
      <c r="AG187" s="1074"/>
      <c r="AH187" s="1074"/>
      <c r="AI187" s="1074"/>
      <c r="AJ187" s="1074"/>
      <c r="AK187" s="1074"/>
      <c r="AL187" s="1074"/>
      <c r="AM187" s="1074"/>
      <c r="AN187" s="1074"/>
      <c r="AO187" s="1074"/>
      <c r="AP187" s="1074"/>
      <c r="AQ187" s="1074"/>
      <c r="AR187" s="1074"/>
      <c r="AS187" s="1074"/>
      <c r="AT187" s="1075"/>
    </row>
    <row r="188" ht="14.25" customHeight="1">
      <c r="A188" s="1116"/>
      <c r="B188" s="1120"/>
      <c r="C188" s="1100"/>
      <c r="D188" s="1100"/>
      <c r="E188" s="1100"/>
      <c r="F188" s="1100"/>
      <c r="G188" s="1100"/>
      <c r="H188" s="1100"/>
      <c r="I188" s="1100"/>
      <c r="J188" s="1100"/>
      <c r="K188" s="1074"/>
      <c r="L188" s="1074"/>
      <c r="M188" s="1074"/>
      <c r="N188" s="1074"/>
      <c r="O188" s="1074"/>
      <c r="P188" s="1074"/>
      <c r="Q188" s="1074"/>
      <c r="R188" s="1074"/>
      <c r="S188" s="1074"/>
      <c r="T188" s="1074"/>
      <c r="U188" s="1074"/>
      <c r="V188" s="1074"/>
      <c r="W188" s="1074"/>
      <c r="X188" s="1074"/>
      <c r="Y188" s="1074"/>
      <c r="Z188" s="1074"/>
      <c r="AA188" s="1074"/>
      <c r="AB188" s="1074"/>
      <c r="AC188" s="1074"/>
      <c r="AD188" s="1074"/>
      <c r="AE188" s="1074"/>
      <c r="AF188" s="1074"/>
      <c r="AG188" s="1074"/>
      <c r="AH188" s="1074"/>
      <c r="AI188" s="1074"/>
      <c r="AJ188" s="1074"/>
      <c r="AK188" s="1074"/>
      <c r="AL188" s="1074"/>
      <c r="AM188" s="1074"/>
      <c r="AN188" s="1074"/>
      <c r="AO188" s="1074"/>
      <c r="AP188" s="1074"/>
      <c r="AQ188" s="1074"/>
      <c r="AR188" s="1074"/>
      <c r="AS188" s="1074"/>
      <c r="AT188" s="1075"/>
    </row>
    <row r="189" ht="14.25" customHeight="1">
      <c r="A189" s="1116"/>
      <c r="B189" s="1120"/>
      <c r="C189" s="1100"/>
      <c r="D189" s="1100"/>
      <c r="E189" s="1100"/>
      <c r="F189" s="1100"/>
      <c r="G189" s="1100"/>
      <c r="H189" s="1100"/>
      <c r="I189" s="1100"/>
      <c r="J189" s="1100"/>
      <c r="K189" s="1074"/>
      <c r="L189" s="1074"/>
      <c r="M189" s="1074"/>
      <c r="N189" s="1074"/>
      <c r="O189" s="1074"/>
      <c r="P189" s="1074"/>
      <c r="Q189" s="1074"/>
      <c r="R189" s="1074"/>
      <c r="S189" s="1074"/>
      <c r="T189" s="1074"/>
      <c r="U189" s="1074"/>
      <c r="V189" s="1074"/>
      <c r="W189" s="1074"/>
      <c r="X189" s="1074"/>
      <c r="Y189" s="1074"/>
      <c r="Z189" s="1074"/>
      <c r="AA189" s="1074"/>
      <c r="AB189" s="1074"/>
      <c r="AC189" s="1074"/>
      <c r="AD189" s="1074"/>
      <c r="AE189" s="1074"/>
      <c r="AF189" s="1074"/>
      <c r="AG189" s="1074"/>
      <c r="AH189" s="1074"/>
      <c r="AI189" s="1074"/>
      <c r="AJ189" s="1074"/>
      <c r="AK189" s="1074"/>
      <c r="AL189" s="1074"/>
      <c r="AM189" s="1074"/>
      <c r="AN189" s="1074"/>
      <c r="AO189" s="1074"/>
      <c r="AP189" s="1074"/>
      <c r="AQ189" s="1074"/>
      <c r="AR189" s="1074"/>
      <c r="AS189" s="1074"/>
      <c r="AT189" s="1075"/>
    </row>
    <row r="190" ht="14.25" customHeight="1">
      <c r="A190" s="1116"/>
      <c r="B190" s="1120"/>
      <c r="C190" s="1100"/>
      <c r="D190" s="1100"/>
      <c r="E190" s="1100"/>
      <c r="F190" s="1100"/>
      <c r="G190" s="1100"/>
      <c r="H190" s="1100"/>
      <c r="I190" s="1100"/>
      <c r="J190" s="1100"/>
      <c r="K190" s="1074"/>
      <c r="L190" s="1074"/>
      <c r="M190" s="1074"/>
      <c r="N190" s="1074"/>
      <c r="O190" s="1074"/>
      <c r="P190" s="1074"/>
      <c r="Q190" s="1074"/>
      <c r="R190" s="1074"/>
      <c r="S190" s="1074"/>
      <c r="T190" s="1074"/>
      <c r="U190" s="1074"/>
      <c r="V190" s="1074"/>
      <c r="W190" s="1074"/>
      <c r="X190" s="1074"/>
      <c r="Y190" s="1074"/>
      <c r="Z190" s="1074"/>
      <c r="AA190" s="1074"/>
      <c r="AB190" s="1074"/>
      <c r="AC190" s="1074"/>
      <c r="AD190" s="1074"/>
      <c r="AE190" s="1074"/>
      <c r="AF190" s="1074"/>
      <c r="AG190" s="1074"/>
      <c r="AH190" s="1074"/>
      <c r="AI190" s="1074"/>
      <c r="AJ190" s="1074"/>
      <c r="AK190" s="1074"/>
      <c r="AL190" s="1074"/>
      <c r="AM190" s="1074"/>
      <c r="AN190" s="1074"/>
      <c r="AO190" s="1074"/>
      <c r="AP190" s="1074"/>
      <c r="AQ190" s="1074"/>
      <c r="AR190" s="1074"/>
      <c r="AS190" s="1074"/>
      <c r="AT190" s="1075"/>
    </row>
    <row r="191" ht="14.25" customHeight="1">
      <c r="A191" s="1116"/>
      <c r="B191" s="1120"/>
      <c r="C191" s="1100"/>
      <c r="D191" s="1100"/>
      <c r="E191" s="1100"/>
      <c r="F191" s="1100"/>
      <c r="G191" s="1100"/>
      <c r="H191" s="1100"/>
      <c r="I191" s="1100"/>
      <c r="J191" s="1100"/>
      <c r="K191" s="1074"/>
      <c r="L191" s="1074"/>
      <c r="M191" s="1074"/>
      <c r="N191" s="1074"/>
      <c r="O191" s="1074"/>
      <c r="P191" s="1074"/>
      <c r="Q191" s="1074"/>
      <c r="R191" s="1074"/>
      <c r="S191" s="1074"/>
      <c r="T191" s="1074"/>
      <c r="U191" s="1074"/>
      <c r="V191" s="1074"/>
      <c r="W191" s="1074"/>
      <c r="X191" s="1074"/>
      <c r="Y191" s="1074"/>
      <c r="Z191" s="1074"/>
      <c r="AA191" s="1074"/>
      <c r="AB191" s="1074"/>
      <c r="AC191" s="1074"/>
      <c r="AD191" s="1074"/>
      <c r="AE191" s="1074"/>
      <c r="AF191" s="1074"/>
      <c r="AG191" s="1074"/>
      <c r="AH191" s="1074"/>
      <c r="AI191" s="1074"/>
      <c r="AJ191" s="1074"/>
      <c r="AK191" s="1074"/>
      <c r="AL191" s="1074"/>
      <c r="AM191" s="1074"/>
      <c r="AN191" s="1074"/>
      <c r="AO191" s="1074"/>
      <c r="AP191" s="1074"/>
      <c r="AQ191" s="1074"/>
      <c r="AR191" s="1074"/>
      <c r="AS191" s="1074"/>
      <c r="AT191" s="1075"/>
    </row>
    <row r="192" ht="14.25" customHeight="1">
      <c r="A192" s="1116"/>
      <c r="B192" s="1120"/>
      <c r="C192" s="1100"/>
      <c r="D192" s="1100"/>
      <c r="E192" s="1100"/>
      <c r="F192" s="1100"/>
      <c r="G192" s="1100"/>
      <c r="H192" s="1100"/>
      <c r="I192" s="1100"/>
      <c r="J192" s="1100"/>
      <c r="K192" s="1074"/>
      <c r="L192" s="1074"/>
      <c r="M192" s="1074"/>
      <c r="N192" s="1074"/>
      <c r="O192" s="1074"/>
      <c r="P192" s="1074"/>
      <c r="Q192" s="1074"/>
      <c r="R192" s="1074"/>
      <c r="S192" s="1074"/>
      <c r="T192" s="1074"/>
      <c r="U192" s="1074"/>
      <c r="V192" s="1074"/>
      <c r="W192" s="1074"/>
      <c r="X192" s="1074"/>
      <c r="Y192" s="1074"/>
      <c r="Z192" s="1074"/>
      <c r="AA192" s="1074"/>
      <c r="AB192" s="1074"/>
      <c r="AC192" s="1074"/>
      <c r="AD192" s="1074"/>
      <c r="AE192" s="1074"/>
      <c r="AF192" s="1074"/>
      <c r="AG192" s="1074"/>
      <c r="AH192" s="1074"/>
      <c r="AI192" s="1074"/>
      <c r="AJ192" s="1074"/>
      <c r="AK192" s="1074"/>
      <c r="AL192" s="1074"/>
      <c r="AM192" s="1074"/>
      <c r="AN192" s="1074"/>
      <c r="AO192" s="1074"/>
      <c r="AP192" s="1074"/>
      <c r="AQ192" s="1074"/>
      <c r="AR192" s="1074"/>
      <c r="AS192" s="1074"/>
      <c r="AT192" s="1075"/>
    </row>
    <row r="193" ht="14.25" customHeight="1">
      <c r="A193" s="1116"/>
      <c r="B193" s="1120"/>
      <c r="C193" s="1100"/>
      <c r="D193" s="1100"/>
      <c r="E193" s="1100"/>
      <c r="F193" s="1100"/>
      <c r="G193" s="1100"/>
      <c r="H193" s="1100"/>
      <c r="I193" s="1100"/>
      <c r="J193" s="1100"/>
      <c r="K193" s="1074"/>
      <c r="L193" s="1074"/>
      <c r="M193" s="1074"/>
      <c r="N193" s="1074"/>
      <c r="O193" s="1074"/>
      <c r="P193" s="1074"/>
      <c r="Q193" s="1074"/>
      <c r="R193" s="1074"/>
      <c r="S193" s="1074"/>
      <c r="T193" s="1074"/>
      <c r="U193" s="1074"/>
      <c r="V193" s="1074"/>
      <c r="W193" s="1074"/>
      <c r="X193" s="1074"/>
      <c r="Y193" s="1074"/>
      <c r="Z193" s="1074"/>
      <c r="AA193" s="1074"/>
      <c r="AB193" s="1074"/>
      <c r="AC193" s="1074"/>
      <c r="AD193" s="1074"/>
      <c r="AE193" s="1074"/>
      <c r="AF193" s="1074"/>
      <c r="AG193" s="1074"/>
      <c r="AH193" s="1074"/>
      <c r="AI193" s="1074"/>
      <c r="AJ193" s="1074"/>
      <c r="AK193" s="1074"/>
      <c r="AL193" s="1074"/>
      <c r="AM193" s="1074"/>
      <c r="AN193" s="1074"/>
      <c r="AO193" s="1074"/>
      <c r="AP193" s="1074"/>
      <c r="AQ193" s="1074"/>
      <c r="AR193" s="1074"/>
      <c r="AS193" s="1074"/>
      <c r="AT193" s="1075"/>
    </row>
    <row r="194" ht="14.25" customHeight="1">
      <c r="A194" s="1116"/>
      <c r="B194" s="1120"/>
      <c r="C194" s="1100"/>
      <c r="D194" s="1100"/>
      <c r="E194" s="1100"/>
      <c r="F194" s="1100"/>
      <c r="G194" s="1100"/>
      <c r="H194" s="1100"/>
      <c r="I194" s="1100"/>
      <c r="J194" s="1100"/>
      <c r="K194" s="1074"/>
      <c r="L194" s="1074"/>
      <c r="M194" s="1074"/>
      <c r="N194" s="1074"/>
      <c r="O194" s="1074"/>
      <c r="P194" s="1074"/>
      <c r="Q194" s="1074"/>
      <c r="R194" s="1074"/>
      <c r="S194" s="1074"/>
      <c r="T194" s="1074"/>
      <c r="U194" s="1074"/>
      <c r="V194" s="1074"/>
      <c r="W194" s="1074"/>
      <c r="X194" s="1074"/>
      <c r="Y194" s="1074"/>
      <c r="Z194" s="1074"/>
      <c r="AA194" s="1074"/>
      <c r="AB194" s="1074"/>
      <c r="AC194" s="1074"/>
      <c r="AD194" s="1074"/>
      <c r="AE194" s="1074"/>
      <c r="AF194" s="1074"/>
      <c r="AG194" s="1074"/>
      <c r="AH194" s="1074"/>
      <c r="AI194" s="1074"/>
      <c r="AJ194" s="1074"/>
      <c r="AK194" s="1074"/>
      <c r="AL194" s="1074"/>
      <c r="AM194" s="1074"/>
      <c r="AN194" s="1074"/>
      <c r="AO194" s="1074"/>
      <c r="AP194" s="1074"/>
      <c r="AQ194" s="1074"/>
      <c r="AR194" s="1074"/>
      <c r="AS194" s="1074"/>
      <c r="AT194" s="1075"/>
    </row>
    <row r="195" ht="14.25" customHeight="1">
      <c r="A195" s="1116"/>
      <c r="B195" s="1120"/>
      <c r="C195" s="1100"/>
      <c r="D195" s="1100"/>
      <c r="E195" s="1100"/>
      <c r="F195" s="1100"/>
      <c r="G195" s="1100"/>
      <c r="H195" s="1100"/>
      <c r="I195" s="1100"/>
      <c r="J195" s="1100"/>
      <c r="K195" s="1074"/>
      <c r="L195" s="1074"/>
      <c r="M195" s="1074"/>
      <c r="N195" s="1074"/>
      <c r="O195" s="1074"/>
      <c r="P195" s="1074"/>
      <c r="Q195" s="1074"/>
      <c r="R195" s="1074"/>
      <c r="S195" s="1074"/>
      <c r="T195" s="1074"/>
      <c r="U195" s="1074"/>
      <c r="V195" s="1074"/>
      <c r="W195" s="1074"/>
      <c r="X195" s="1074"/>
      <c r="Y195" s="1074"/>
      <c r="Z195" s="1074"/>
      <c r="AA195" s="1074"/>
      <c r="AB195" s="1074"/>
      <c r="AC195" s="1074"/>
      <c r="AD195" s="1074"/>
      <c r="AE195" s="1074"/>
      <c r="AF195" s="1074"/>
      <c r="AG195" s="1074"/>
      <c r="AH195" s="1074"/>
      <c r="AI195" s="1074"/>
      <c r="AJ195" s="1074"/>
      <c r="AK195" s="1074"/>
      <c r="AL195" s="1074"/>
      <c r="AM195" s="1074"/>
      <c r="AN195" s="1074"/>
      <c r="AO195" s="1074"/>
      <c r="AP195" s="1074"/>
      <c r="AQ195" s="1074"/>
      <c r="AR195" s="1074"/>
      <c r="AS195" s="1074"/>
      <c r="AT195" s="1075"/>
    </row>
    <row r="196" ht="14.25" customHeight="1">
      <c r="A196" s="1116"/>
      <c r="B196" s="1120"/>
      <c r="C196" s="1100"/>
      <c r="D196" s="1100"/>
      <c r="E196" s="1100"/>
      <c r="F196" s="1100"/>
      <c r="G196" s="1100"/>
      <c r="H196" s="1100"/>
      <c r="I196" s="1100"/>
      <c r="J196" s="1100"/>
      <c r="K196" s="1074"/>
      <c r="L196" s="1074"/>
      <c r="M196" s="1074"/>
      <c r="N196" s="1074"/>
      <c r="O196" s="1074"/>
      <c r="P196" s="1074"/>
      <c r="Q196" s="1074"/>
      <c r="R196" s="1074"/>
      <c r="S196" s="1074"/>
      <c r="T196" s="1074"/>
      <c r="U196" s="1074"/>
      <c r="V196" s="1074"/>
      <c r="W196" s="1074"/>
      <c r="X196" s="1074"/>
      <c r="Y196" s="1074"/>
      <c r="Z196" s="1074"/>
      <c r="AA196" s="1074"/>
      <c r="AB196" s="1074"/>
      <c r="AC196" s="1074"/>
      <c r="AD196" s="1074"/>
      <c r="AE196" s="1074"/>
      <c r="AF196" s="1074"/>
      <c r="AG196" s="1074"/>
      <c r="AH196" s="1074"/>
      <c r="AI196" s="1074"/>
      <c r="AJ196" s="1074"/>
      <c r="AK196" s="1074"/>
      <c r="AL196" s="1074"/>
      <c r="AM196" s="1074"/>
      <c r="AN196" s="1074"/>
      <c r="AO196" s="1074"/>
      <c r="AP196" s="1074"/>
      <c r="AQ196" s="1074"/>
      <c r="AR196" s="1074"/>
      <c r="AS196" s="1074"/>
      <c r="AT196" s="1075"/>
    </row>
    <row r="197" ht="14.25" customHeight="1">
      <c r="A197" s="1116"/>
      <c r="B197" s="1120"/>
      <c r="C197" s="1100"/>
      <c r="D197" s="1100"/>
      <c r="E197" s="1100"/>
      <c r="F197" s="1100"/>
      <c r="G197" s="1100"/>
      <c r="H197" s="1100"/>
      <c r="I197" s="1100"/>
      <c r="J197" s="1100"/>
      <c r="K197" s="1074"/>
      <c r="L197" s="1074"/>
      <c r="M197" s="1074"/>
      <c r="N197" s="1074"/>
      <c r="O197" s="1074"/>
      <c r="P197" s="1074"/>
      <c r="Q197" s="1074"/>
      <c r="R197" s="1074"/>
      <c r="S197" s="1074"/>
      <c r="T197" s="1074"/>
      <c r="U197" s="1074"/>
      <c r="V197" s="1074"/>
      <c r="W197" s="1074"/>
      <c r="X197" s="1074"/>
      <c r="Y197" s="1074"/>
      <c r="Z197" s="1074"/>
      <c r="AA197" s="1074"/>
      <c r="AB197" s="1074"/>
      <c r="AC197" s="1074"/>
      <c r="AD197" s="1074"/>
      <c r="AE197" s="1074"/>
      <c r="AF197" s="1074"/>
      <c r="AG197" s="1074"/>
      <c r="AH197" s="1074"/>
      <c r="AI197" s="1074"/>
      <c r="AJ197" s="1074"/>
      <c r="AK197" s="1074"/>
      <c r="AL197" s="1074"/>
      <c r="AM197" s="1074"/>
      <c r="AN197" s="1074"/>
      <c r="AO197" s="1074"/>
      <c r="AP197" s="1074"/>
      <c r="AQ197" s="1074"/>
      <c r="AR197" s="1074"/>
      <c r="AS197" s="1074"/>
      <c r="AT197" s="1075"/>
    </row>
    <row r="198" ht="14.25" customHeight="1">
      <c r="A198" s="1116"/>
      <c r="B198" s="1120"/>
      <c r="C198" s="1100"/>
      <c r="D198" s="1100"/>
      <c r="E198" s="1100"/>
      <c r="F198" s="1100"/>
      <c r="G198" s="1100"/>
      <c r="H198" s="1100"/>
      <c r="I198" s="1100"/>
      <c r="J198" s="1100"/>
      <c r="K198" s="1074"/>
      <c r="L198" s="1074"/>
      <c r="M198" s="1074"/>
      <c r="N198" s="1074"/>
      <c r="O198" s="1074"/>
      <c r="P198" s="1074"/>
      <c r="Q198" s="1074"/>
      <c r="R198" s="1074"/>
      <c r="S198" s="1074"/>
      <c r="T198" s="1074"/>
      <c r="U198" s="1074"/>
      <c r="V198" s="1074"/>
      <c r="W198" s="1074"/>
      <c r="X198" s="1074"/>
      <c r="Y198" s="1074"/>
      <c r="Z198" s="1074"/>
      <c r="AA198" s="1074"/>
      <c r="AB198" s="1074"/>
      <c r="AC198" s="1074"/>
      <c r="AD198" s="1074"/>
      <c r="AE198" s="1074"/>
      <c r="AF198" s="1074"/>
      <c r="AG198" s="1074"/>
      <c r="AH198" s="1074"/>
      <c r="AI198" s="1074"/>
      <c r="AJ198" s="1074"/>
      <c r="AK198" s="1074"/>
      <c r="AL198" s="1074"/>
      <c r="AM198" s="1074"/>
      <c r="AN198" s="1074"/>
      <c r="AO198" s="1074"/>
      <c r="AP198" s="1074"/>
      <c r="AQ198" s="1074"/>
      <c r="AR198" s="1074"/>
      <c r="AS198" s="1074"/>
      <c r="AT198" s="1075"/>
    </row>
    <row r="199" ht="14.25" customHeight="1">
      <c r="A199" s="1116"/>
      <c r="B199" s="1120"/>
      <c r="C199" s="1100"/>
      <c r="D199" s="1100"/>
      <c r="E199" s="1100"/>
      <c r="F199" s="1100"/>
      <c r="G199" s="1100"/>
      <c r="H199" s="1100"/>
      <c r="I199" s="1100"/>
      <c r="J199" s="1100"/>
      <c r="K199" s="1074"/>
      <c r="L199" s="1074"/>
      <c r="M199" s="1074"/>
      <c r="N199" s="1074"/>
      <c r="O199" s="1074"/>
      <c r="P199" s="1074"/>
      <c r="Q199" s="1074"/>
      <c r="R199" s="1074"/>
      <c r="S199" s="1074"/>
      <c r="T199" s="1074"/>
      <c r="U199" s="1074"/>
      <c r="V199" s="1074"/>
      <c r="W199" s="1074"/>
      <c r="X199" s="1074"/>
      <c r="Y199" s="1074"/>
      <c r="Z199" s="1074"/>
      <c r="AA199" s="1074"/>
      <c r="AB199" s="1074"/>
      <c r="AC199" s="1074"/>
      <c r="AD199" s="1074"/>
      <c r="AE199" s="1074"/>
      <c r="AF199" s="1074"/>
      <c r="AG199" s="1074"/>
      <c r="AH199" s="1074"/>
      <c r="AI199" s="1074"/>
      <c r="AJ199" s="1074"/>
      <c r="AK199" s="1074"/>
      <c r="AL199" s="1074"/>
      <c r="AM199" s="1074"/>
      <c r="AN199" s="1074"/>
      <c r="AO199" s="1074"/>
      <c r="AP199" s="1074"/>
      <c r="AQ199" s="1074"/>
      <c r="AR199" s="1074"/>
      <c r="AS199" s="1074"/>
      <c r="AT199" s="1075"/>
    </row>
    <row r="200" ht="14.25" customHeight="1">
      <c r="A200" s="1116"/>
      <c r="B200" s="1120"/>
      <c r="C200" s="1100"/>
      <c r="D200" s="1100"/>
      <c r="E200" s="1100"/>
      <c r="F200" s="1100"/>
      <c r="G200" s="1100"/>
      <c r="H200" s="1100"/>
      <c r="I200" s="1100"/>
      <c r="J200" s="1100"/>
      <c r="K200" s="1074"/>
      <c r="L200" s="1074"/>
      <c r="M200" s="1074"/>
      <c r="N200" s="1074"/>
      <c r="O200" s="1074"/>
      <c r="P200" s="1074"/>
      <c r="Q200" s="1074"/>
      <c r="R200" s="1074"/>
      <c r="S200" s="1074"/>
      <c r="T200" s="1074"/>
      <c r="U200" s="1074"/>
      <c r="V200" s="1074"/>
      <c r="W200" s="1074"/>
      <c r="X200" s="1074"/>
      <c r="Y200" s="1074"/>
      <c r="Z200" s="1074"/>
      <c r="AA200" s="1074"/>
      <c r="AB200" s="1074"/>
      <c r="AC200" s="1074"/>
      <c r="AD200" s="1074"/>
      <c r="AE200" s="1074"/>
      <c r="AF200" s="1074"/>
      <c r="AG200" s="1074"/>
      <c r="AH200" s="1074"/>
      <c r="AI200" s="1074"/>
      <c r="AJ200" s="1074"/>
      <c r="AK200" s="1074"/>
      <c r="AL200" s="1074"/>
      <c r="AM200" s="1074"/>
      <c r="AN200" s="1074"/>
      <c r="AO200" s="1074"/>
      <c r="AP200" s="1074"/>
      <c r="AQ200" s="1074"/>
      <c r="AR200" s="1074"/>
      <c r="AS200" s="1074"/>
      <c r="AT200" s="1075"/>
    </row>
    <row r="201" ht="14.25" customHeight="1">
      <c r="A201" s="1116"/>
      <c r="B201" s="1120"/>
      <c r="C201" s="1100"/>
      <c r="D201" s="1100"/>
      <c r="E201" s="1100"/>
      <c r="F201" s="1100"/>
      <c r="G201" s="1100"/>
      <c r="H201" s="1100"/>
      <c r="I201" s="1100"/>
      <c r="J201" s="1100"/>
      <c r="K201" s="1074"/>
      <c r="L201" s="1074"/>
      <c r="M201" s="1074"/>
      <c r="N201" s="1074"/>
      <c r="O201" s="1074"/>
      <c r="P201" s="1074"/>
      <c r="Q201" s="1074"/>
      <c r="R201" s="1074"/>
      <c r="S201" s="1074"/>
      <c r="T201" s="1074"/>
      <c r="U201" s="1074"/>
      <c r="V201" s="1074"/>
      <c r="W201" s="1074"/>
      <c r="X201" s="1074"/>
      <c r="Y201" s="1074"/>
      <c r="Z201" s="1074"/>
      <c r="AA201" s="1074"/>
      <c r="AB201" s="1074"/>
      <c r="AC201" s="1074"/>
      <c r="AD201" s="1074"/>
      <c r="AE201" s="1074"/>
      <c r="AF201" s="1074"/>
      <c r="AG201" s="1074"/>
      <c r="AH201" s="1074"/>
      <c r="AI201" s="1074"/>
      <c r="AJ201" s="1074"/>
      <c r="AK201" s="1074"/>
      <c r="AL201" s="1074"/>
      <c r="AM201" s="1074"/>
      <c r="AN201" s="1074"/>
      <c r="AO201" s="1074"/>
      <c r="AP201" s="1074"/>
      <c r="AQ201" s="1074"/>
      <c r="AR201" s="1074"/>
      <c r="AS201" s="1074"/>
      <c r="AT201" s="1075"/>
    </row>
    <row r="202" ht="14.25" customHeight="1">
      <c r="A202" s="1116"/>
      <c r="B202" s="1120"/>
      <c r="C202" s="1100"/>
      <c r="D202" s="1100"/>
      <c r="E202" s="1100"/>
      <c r="F202" s="1100"/>
      <c r="G202" s="1100"/>
      <c r="H202" s="1100"/>
      <c r="I202" s="1100"/>
      <c r="J202" s="1100"/>
      <c r="K202" s="1074"/>
      <c r="L202" s="1074"/>
      <c r="M202" s="1074"/>
      <c r="N202" s="1074"/>
      <c r="O202" s="1074"/>
      <c r="P202" s="1074"/>
      <c r="Q202" s="1074"/>
      <c r="R202" s="1074"/>
      <c r="S202" s="1074"/>
      <c r="T202" s="1074"/>
      <c r="U202" s="1074"/>
      <c r="V202" s="1074"/>
      <c r="W202" s="1074"/>
      <c r="X202" s="1074"/>
      <c r="Y202" s="1074"/>
      <c r="Z202" s="1074"/>
      <c r="AA202" s="1074"/>
      <c r="AB202" s="1074"/>
      <c r="AC202" s="1074"/>
      <c r="AD202" s="1074"/>
      <c r="AE202" s="1074"/>
      <c r="AF202" s="1074"/>
      <c r="AG202" s="1074"/>
      <c r="AH202" s="1074"/>
      <c r="AI202" s="1074"/>
      <c r="AJ202" s="1074"/>
      <c r="AK202" s="1074"/>
      <c r="AL202" s="1074"/>
      <c r="AM202" s="1074"/>
      <c r="AN202" s="1074"/>
      <c r="AO202" s="1074"/>
      <c r="AP202" s="1074"/>
      <c r="AQ202" s="1074"/>
      <c r="AR202" s="1074"/>
      <c r="AS202" s="1074"/>
      <c r="AT202" s="1075"/>
    </row>
    <row r="203" ht="14.25" customHeight="1">
      <c r="A203" s="1116"/>
      <c r="B203" s="1120"/>
      <c r="C203" s="1100"/>
      <c r="D203" s="1100"/>
      <c r="E203" s="1100"/>
      <c r="F203" s="1100"/>
      <c r="G203" s="1100"/>
      <c r="H203" s="1100"/>
      <c r="I203" s="1100"/>
      <c r="J203" s="1100"/>
      <c r="K203" s="1074"/>
      <c r="L203" s="1074"/>
      <c r="M203" s="1074"/>
      <c r="N203" s="1074"/>
      <c r="O203" s="1074"/>
      <c r="P203" s="1074"/>
      <c r="Q203" s="1074"/>
      <c r="R203" s="1074"/>
      <c r="S203" s="1074"/>
      <c r="T203" s="1074"/>
      <c r="U203" s="1074"/>
      <c r="V203" s="1074"/>
      <c r="W203" s="1074"/>
      <c r="X203" s="1074"/>
      <c r="Y203" s="1074"/>
      <c r="Z203" s="1074"/>
      <c r="AA203" s="1074"/>
      <c r="AB203" s="1074"/>
      <c r="AC203" s="1074"/>
      <c r="AD203" s="1074"/>
      <c r="AE203" s="1074"/>
      <c r="AF203" s="1074"/>
      <c r="AG203" s="1074"/>
      <c r="AH203" s="1074"/>
      <c r="AI203" s="1074"/>
      <c r="AJ203" s="1074"/>
      <c r="AK203" s="1074"/>
      <c r="AL203" s="1074"/>
      <c r="AM203" s="1074"/>
      <c r="AN203" s="1074"/>
      <c r="AO203" s="1074"/>
      <c r="AP203" s="1074"/>
      <c r="AQ203" s="1074"/>
      <c r="AR203" s="1074"/>
      <c r="AS203" s="1074"/>
      <c r="AT203" s="1075"/>
    </row>
    <row r="204" ht="14.25" customHeight="1">
      <c r="A204" s="1116"/>
      <c r="B204" s="1120"/>
      <c r="C204" s="1100"/>
      <c r="D204" s="1100"/>
      <c r="E204" s="1100"/>
      <c r="F204" s="1100"/>
      <c r="G204" s="1100"/>
      <c r="H204" s="1100"/>
      <c r="I204" s="1100"/>
      <c r="J204" s="1100"/>
      <c r="K204" s="1074"/>
      <c r="L204" s="1074"/>
      <c r="M204" s="1074"/>
      <c r="N204" s="1074"/>
      <c r="O204" s="1074"/>
      <c r="P204" s="1074"/>
      <c r="Q204" s="1074"/>
      <c r="R204" s="1074"/>
      <c r="S204" s="1074"/>
      <c r="T204" s="1074"/>
      <c r="U204" s="1074"/>
      <c r="V204" s="1074"/>
      <c r="W204" s="1074"/>
      <c r="X204" s="1074"/>
      <c r="Y204" s="1074"/>
      <c r="Z204" s="1074"/>
      <c r="AA204" s="1074"/>
      <c r="AB204" s="1074"/>
      <c r="AC204" s="1074"/>
      <c r="AD204" s="1074"/>
      <c r="AE204" s="1074"/>
      <c r="AF204" s="1074"/>
      <c r="AG204" s="1074"/>
      <c r="AH204" s="1074"/>
      <c r="AI204" s="1074"/>
      <c r="AJ204" s="1074"/>
      <c r="AK204" s="1074"/>
      <c r="AL204" s="1074"/>
      <c r="AM204" s="1074"/>
      <c r="AN204" s="1074"/>
      <c r="AO204" s="1074"/>
      <c r="AP204" s="1074"/>
      <c r="AQ204" s="1074"/>
      <c r="AR204" s="1074"/>
      <c r="AS204" s="1074"/>
      <c r="AT204" s="1075"/>
    </row>
    <row r="205" ht="14.25" customHeight="1">
      <c r="A205" s="1116"/>
      <c r="B205" s="1120"/>
      <c r="C205" s="1100"/>
      <c r="D205" s="1100"/>
      <c r="E205" s="1100"/>
      <c r="F205" s="1100"/>
      <c r="G205" s="1100"/>
      <c r="H205" s="1100"/>
      <c r="I205" s="1100"/>
      <c r="J205" s="1100"/>
      <c r="K205" s="1074"/>
      <c r="L205" s="1074"/>
      <c r="M205" s="1074"/>
      <c r="N205" s="1074"/>
      <c r="O205" s="1074"/>
      <c r="P205" s="1074"/>
      <c r="Q205" s="1074"/>
      <c r="R205" s="1074"/>
      <c r="S205" s="1074"/>
      <c r="T205" s="1074"/>
      <c r="U205" s="1074"/>
      <c r="V205" s="1074"/>
      <c r="W205" s="1074"/>
      <c r="X205" s="1074"/>
      <c r="Y205" s="1074"/>
      <c r="Z205" s="1074"/>
      <c r="AA205" s="1074"/>
      <c r="AB205" s="1074"/>
      <c r="AC205" s="1074"/>
      <c r="AD205" s="1074"/>
      <c r="AE205" s="1074"/>
      <c r="AF205" s="1074"/>
      <c r="AG205" s="1074"/>
      <c r="AH205" s="1074"/>
      <c r="AI205" s="1074"/>
      <c r="AJ205" s="1074"/>
      <c r="AK205" s="1074"/>
      <c r="AL205" s="1074"/>
      <c r="AM205" s="1074"/>
      <c r="AN205" s="1074"/>
      <c r="AO205" s="1074"/>
      <c r="AP205" s="1074"/>
      <c r="AQ205" s="1074"/>
      <c r="AR205" s="1074"/>
      <c r="AS205" s="1074"/>
      <c r="AT205" s="1075"/>
    </row>
    <row r="206" ht="14.25" customHeight="1">
      <c r="A206" s="1116"/>
      <c r="B206" s="1120"/>
      <c r="C206" s="1100"/>
      <c r="D206" s="1100"/>
      <c r="E206" s="1100"/>
      <c r="F206" s="1100"/>
      <c r="G206" s="1100"/>
      <c r="H206" s="1100"/>
      <c r="I206" s="1100"/>
      <c r="J206" s="1100"/>
      <c r="K206" s="1074"/>
      <c r="L206" s="1074"/>
      <c r="M206" s="1074"/>
      <c r="N206" s="1074"/>
      <c r="O206" s="1074"/>
      <c r="P206" s="1074"/>
      <c r="Q206" s="1074"/>
      <c r="R206" s="1074"/>
      <c r="S206" s="1074"/>
      <c r="T206" s="1074"/>
      <c r="U206" s="1074"/>
      <c r="V206" s="1074"/>
      <c r="W206" s="1074"/>
      <c r="X206" s="1074"/>
      <c r="Y206" s="1074"/>
      <c r="Z206" s="1074"/>
      <c r="AA206" s="1074"/>
      <c r="AB206" s="1074"/>
      <c r="AC206" s="1074"/>
      <c r="AD206" s="1074"/>
      <c r="AE206" s="1074"/>
      <c r="AF206" s="1074"/>
      <c r="AG206" s="1074"/>
      <c r="AH206" s="1074"/>
      <c r="AI206" s="1074"/>
      <c r="AJ206" s="1074"/>
      <c r="AK206" s="1074"/>
      <c r="AL206" s="1074"/>
      <c r="AM206" s="1074"/>
      <c r="AN206" s="1074"/>
      <c r="AO206" s="1074"/>
      <c r="AP206" s="1074"/>
      <c r="AQ206" s="1074"/>
      <c r="AR206" s="1074"/>
      <c r="AS206" s="1074"/>
      <c r="AT206" s="1075"/>
    </row>
    <row r="207" ht="14.25" customHeight="1">
      <c r="A207" s="1116"/>
      <c r="B207" s="1120"/>
      <c r="C207" s="1100"/>
      <c r="D207" s="1100"/>
      <c r="E207" s="1100"/>
      <c r="F207" s="1100"/>
      <c r="G207" s="1100"/>
      <c r="H207" s="1100"/>
      <c r="I207" s="1100"/>
      <c r="J207" s="1100"/>
      <c r="K207" s="1074"/>
      <c r="L207" s="1074"/>
      <c r="M207" s="1074"/>
      <c r="N207" s="1074"/>
      <c r="O207" s="1074"/>
      <c r="P207" s="1074"/>
      <c r="Q207" s="1074"/>
      <c r="R207" s="1074"/>
      <c r="S207" s="1074"/>
      <c r="T207" s="1074"/>
      <c r="U207" s="1074"/>
      <c r="V207" s="1074"/>
      <c r="W207" s="1074"/>
      <c r="X207" s="1074"/>
      <c r="Y207" s="1074"/>
      <c r="Z207" s="1074"/>
      <c r="AA207" s="1074"/>
      <c r="AB207" s="1074"/>
      <c r="AC207" s="1074"/>
      <c r="AD207" s="1074"/>
      <c r="AE207" s="1074"/>
      <c r="AF207" s="1074"/>
      <c r="AG207" s="1074"/>
      <c r="AH207" s="1074"/>
      <c r="AI207" s="1074"/>
      <c r="AJ207" s="1074"/>
      <c r="AK207" s="1074"/>
      <c r="AL207" s="1074"/>
      <c r="AM207" s="1074"/>
      <c r="AN207" s="1074"/>
      <c r="AO207" s="1074"/>
      <c r="AP207" s="1074"/>
      <c r="AQ207" s="1074"/>
      <c r="AR207" s="1074"/>
      <c r="AS207" s="1074"/>
      <c r="AT207" s="1075"/>
    </row>
    <row r="208" ht="14.25" customHeight="1">
      <c r="A208" s="1116"/>
      <c r="B208" s="1120"/>
      <c r="C208" s="1100"/>
      <c r="D208" s="1100"/>
      <c r="E208" s="1100"/>
      <c r="F208" s="1100"/>
      <c r="G208" s="1100"/>
      <c r="H208" s="1100"/>
      <c r="I208" s="1100"/>
      <c r="J208" s="1100"/>
      <c r="K208" s="1074"/>
      <c r="L208" s="1074"/>
      <c r="M208" s="1074"/>
      <c r="N208" s="1074"/>
      <c r="O208" s="1074"/>
      <c r="P208" s="1074"/>
      <c r="Q208" s="1074"/>
      <c r="R208" s="1074"/>
      <c r="S208" s="1074"/>
      <c r="T208" s="1074"/>
      <c r="U208" s="1074"/>
      <c r="V208" s="1074"/>
      <c r="W208" s="1074"/>
      <c r="X208" s="1074"/>
      <c r="Y208" s="1074"/>
      <c r="Z208" s="1074"/>
      <c r="AA208" s="1074"/>
      <c r="AB208" s="1074"/>
      <c r="AC208" s="1074"/>
      <c r="AD208" s="1074"/>
      <c r="AE208" s="1074"/>
      <c r="AF208" s="1074"/>
      <c r="AG208" s="1074"/>
      <c r="AH208" s="1074"/>
      <c r="AI208" s="1074"/>
      <c r="AJ208" s="1074"/>
      <c r="AK208" s="1074"/>
      <c r="AL208" s="1074"/>
      <c r="AM208" s="1074"/>
      <c r="AN208" s="1074"/>
      <c r="AO208" s="1074"/>
      <c r="AP208" s="1074"/>
      <c r="AQ208" s="1074"/>
      <c r="AR208" s="1074"/>
      <c r="AS208" s="1074"/>
      <c r="AT208" s="1075"/>
    </row>
    <row r="209" ht="14.25" customHeight="1">
      <c r="A209" s="1116"/>
      <c r="B209" s="1120"/>
      <c r="C209" s="1100"/>
      <c r="D209" s="1100"/>
      <c r="E209" s="1100"/>
      <c r="F209" s="1100"/>
      <c r="G209" s="1100"/>
      <c r="H209" s="1100"/>
      <c r="I209" s="1100"/>
      <c r="J209" s="1100"/>
      <c r="K209" s="1074"/>
      <c r="L209" s="1074"/>
      <c r="M209" s="1074"/>
      <c r="N209" s="1074"/>
      <c r="O209" s="1074"/>
      <c r="P209" s="1074"/>
      <c r="Q209" s="1074"/>
      <c r="R209" s="1074"/>
      <c r="S209" s="1074"/>
      <c r="T209" s="1074"/>
      <c r="U209" s="1074"/>
      <c r="V209" s="1074"/>
      <c r="W209" s="1074"/>
      <c r="X209" s="1074"/>
      <c r="Y209" s="1074"/>
      <c r="Z209" s="1074"/>
      <c r="AA209" s="1074"/>
      <c r="AB209" s="1074"/>
      <c r="AC209" s="1074"/>
      <c r="AD209" s="1074"/>
      <c r="AE209" s="1074"/>
      <c r="AF209" s="1074"/>
      <c r="AG209" s="1074"/>
      <c r="AH209" s="1074"/>
      <c r="AI209" s="1074"/>
      <c r="AJ209" s="1074"/>
      <c r="AK209" s="1074"/>
      <c r="AL209" s="1074"/>
      <c r="AM209" s="1074"/>
      <c r="AN209" s="1074"/>
      <c r="AO209" s="1074"/>
      <c r="AP209" s="1074"/>
      <c r="AQ209" s="1074"/>
      <c r="AR209" s="1074"/>
      <c r="AS209" s="1074"/>
      <c r="AT209" s="1075"/>
    </row>
    <row r="210" ht="14.25" customHeight="1">
      <c r="A210" s="1116"/>
      <c r="B210" s="1120"/>
      <c r="C210" s="1100"/>
      <c r="D210" s="1100"/>
      <c r="E210" s="1100"/>
      <c r="F210" s="1100"/>
      <c r="G210" s="1100"/>
      <c r="H210" s="1100"/>
      <c r="I210" s="1100"/>
      <c r="J210" s="1100"/>
      <c r="K210" s="1074"/>
      <c r="L210" s="1074"/>
      <c r="M210" s="1074"/>
      <c r="N210" s="1074"/>
      <c r="O210" s="1074"/>
      <c r="P210" s="1074"/>
      <c r="Q210" s="1074"/>
      <c r="R210" s="1074"/>
      <c r="S210" s="1074"/>
      <c r="T210" s="1074"/>
      <c r="U210" s="1074"/>
      <c r="V210" s="1074"/>
      <c r="W210" s="1074"/>
      <c r="X210" s="1074"/>
      <c r="Y210" s="1074"/>
      <c r="Z210" s="1074"/>
      <c r="AA210" s="1074"/>
      <c r="AB210" s="1074"/>
      <c r="AC210" s="1074"/>
      <c r="AD210" s="1074"/>
      <c r="AE210" s="1074"/>
      <c r="AF210" s="1074"/>
      <c r="AG210" s="1074"/>
      <c r="AH210" s="1074"/>
      <c r="AI210" s="1074"/>
      <c r="AJ210" s="1074"/>
      <c r="AK210" s="1074"/>
      <c r="AL210" s="1074"/>
      <c r="AM210" s="1074"/>
      <c r="AN210" s="1074"/>
      <c r="AO210" s="1074"/>
      <c r="AP210" s="1074"/>
      <c r="AQ210" s="1074"/>
      <c r="AR210" s="1074"/>
      <c r="AS210" s="1074"/>
      <c r="AT210" s="1075"/>
    </row>
    <row r="211" ht="14.25" customHeight="1">
      <c r="A211" s="1116"/>
      <c r="B211" s="1120"/>
      <c r="C211" s="1100"/>
      <c r="D211" s="1100"/>
      <c r="E211" s="1100"/>
      <c r="F211" s="1100"/>
      <c r="G211" s="1100"/>
      <c r="H211" s="1100"/>
      <c r="I211" s="1100"/>
      <c r="J211" s="1100"/>
      <c r="K211" s="1074"/>
      <c r="L211" s="1074"/>
      <c r="M211" s="1074"/>
      <c r="N211" s="1074"/>
      <c r="O211" s="1074"/>
      <c r="P211" s="1074"/>
      <c r="Q211" s="1074"/>
      <c r="R211" s="1074"/>
      <c r="S211" s="1074"/>
      <c r="T211" s="1074"/>
      <c r="U211" s="1074"/>
      <c r="V211" s="1074"/>
      <c r="W211" s="1074"/>
      <c r="X211" s="1074"/>
      <c r="Y211" s="1074"/>
      <c r="Z211" s="1074"/>
      <c r="AA211" s="1074"/>
      <c r="AB211" s="1074"/>
      <c r="AC211" s="1074"/>
      <c r="AD211" s="1074"/>
      <c r="AE211" s="1074"/>
      <c r="AF211" s="1074"/>
      <c r="AG211" s="1074"/>
      <c r="AH211" s="1074"/>
      <c r="AI211" s="1074"/>
      <c r="AJ211" s="1074"/>
      <c r="AK211" s="1074"/>
      <c r="AL211" s="1074"/>
      <c r="AM211" s="1074"/>
      <c r="AN211" s="1074"/>
      <c r="AO211" s="1074"/>
      <c r="AP211" s="1074"/>
      <c r="AQ211" s="1074"/>
      <c r="AR211" s="1074"/>
      <c r="AS211" s="1074"/>
      <c r="AT211" s="1075"/>
    </row>
    <row r="212" ht="14.25" customHeight="1">
      <c r="A212" s="1116"/>
      <c r="B212" s="1120"/>
      <c r="C212" s="1100"/>
      <c r="D212" s="1100"/>
      <c r="E212" s="1100"/>
      <c r="F212" s="1100"/>
      <c r="G212" s="1100"/>
      <c r="H212" s="1100"/>
      <c r="I212" s="1100"/>
      <c r="J212" s="1100"/>
      <c r="K212" s="1074"/>
      <c r="L212" s="1074"/>
      <c r="M212" s="1074"/>
      <c r="N212" s="1074"/>
      <c r="O212" s="1074"/>
      <c r="P212" s="1074"/>
      <c r="Q212" s="1074"/>
      <c r="R212" s="1074"/>
      <c r="S212" s="1074"/>
      <c r="T212" s="1074"/>
      <c r="U212" s="1074"/>
      <c r="V212" s="1074"/>
      <c r="W212" s="1074"/>
      <c r="X212" s="1074"/>
      <c r="Y212" s="1074"/>
      <c r="Z212" s="1074"/>
      <c r="AA212" s="1074"/>
      <c r="AB212" s="1074"/>
      <c r="AC212" s="1074"/>
      <c r="AD212" s="1074"/>
      <c r="AE212" s="1074"/>
      <c r="AF212" s="1074"/>
      <c r="AG212" s="1074"/>
      <c r="AH212" s="1074"/>
      <c r="AI212" s="1074"/>
      <c r="AJ212" s="1074"/>
      <c r="AK212" s="1074"/>
      <c r="AL212" s="1074"/>
      <c r="AM212" s="1074"/>
      <c r="AN212" s="1074"/>
      <c r="AO212" s="1074"/>
      <c r="AP212" s="1074"/>
      <c r="AQ212" s="1074"/>
      <c r="AR212" s="1074"/>
      <c r="AS212" s="1074"/>
      <c r="AT212" s="1075"/>
    </row>
    <row r="213" ht="14.25" customHeight="1">
      <c r="A213" s="1116"/>
      <c r="B213" s="1120"/>
      <c r="C213" s="1100"/>
      <c r="D213" s="1100"/>
      <c r="E213" s="1100"/>
      <c r="F213" s="1100"/>
      <c r="G213" s="1100"/>
      <c r="H213" s="1100"/>
      <c r="I213" s="1100"/>
      <c r="J213" s="1100"/>
      <c r="K213" s="1074"/>
      <c r="L213" s="1074"/>
      <c r="M213" s="1074"/>
      <c r="N213" s="1074"/>
      <c r="O213" s="1074"/>
      <c r="P213" s="1074"/>
      <c r="Q213" s="1074"/>
      <c r="R213" s="1074"/>
      <c r="S213" s="1074"/>
      <c r="T213" s="1074"/>
      <c r="U213" s="1074"/>
      <c r="V213" s="1074"/>
      <c r="W213" s="1074"/>
      <c r="X213" s="1074"/>
      <c r="Y213" s="1074"/>
      <c r="Z213" s="1074"/>
      <c r="AA213" s="1074"/>
      <c r="AB213" s="1074"/>
      <c r="AC213" s="1074"/>
      <c r="AD213" s="1074"/>
      <c r="AE213" s="1074"/>
      <c r="AF213" s="1074"/>
      <c r="AG213" s="1074"/>
      <c r="AH213" s="1074"/>
      <c r="AI213" s="1074"/>
      <c r="AJ213" s="1074"/>
      <c r="AK213" s="1074"/>
      <c r="AL213" s="1074"/>
      <c r="AM213" s="1074"/>
      <c r="AN213" s="1074"/>
      <c r="AO213" s="1074"/>
      <c r="AP213" s="1074"/>
      <c r="AQ213" s="1074"/>
      <c r="AR213" s="1074"/>
      <c r="AS213" s="1074"/>
      <c r="AT213" s="1075"/>
    </row>
    <row r="214" ht="14.25" customHeight="1">
      <c r="A214" s="1116"/>
      <c r="B214" s="1120"/>
      <c r="C214" s="1100"/>
      <c r="D214" s="1100"/>
      <c r="E214" s="1100"/>
      <c r="F214" s="1100"/>
      <c r="G214" s="1100"/>
      <c r="H214" s="1100"/>
      <c r="I214" s="1100"/>
      <c r="J214" s="1100"/>
      <c r="K214" s="1074"/>
      <c r="L214" s="1074"/>
      <c r="M214" s="1074"/>
      <c r="N214" s="1074"/>
      <c r="O214" s="1074"/>
      <c r="P214" s="1074"/>
      <c r="Q214" s="1074"/>
      <c r="R214" s="1074"/>
      <c r="S214" s="1074"/>
      <c r="T214" s="1074"/>
      <c r="U214" s="1074"/>
      <c r="V214" s="1074"/>
      <c r="W214" s="1074"/>
      <c r="X214" s="1074"/>
      <c r="Y214" s="1074"/>
      <c r="Z214" s="1074"/>
      <c r="AA214" s="1074"/>
      <c r="AB214" s="1074"/>
      <c r="AC214" s="1074"/>
      <c r="AD214" s="1074"/>
      <c r="AE214" s="1074"/>
      <c r="AF214" s="1074"/>
      <c r="AG214" s="1074"/>
      <c r="AH214" s="1074"/>
      <c r="AI214" s="1074"/>
      <c r="AJ214" s="1074"/>
      <c r="AK214" s="1074"/>
      <c r="AL214" s="1074"/>
      <c r="AM214" s="1074"/>
      <c r="AN214" s="1074"/>
      <c r="AO214" s="1074"/>
      <c r="AP214" s="1074"/>
      <c r="AQ214" s="1074"/>
      <c r="AR214" s="1074"/>
      <c r="AS214" s="1074"/>
      <c r="AT214" s="1075"/>
    </row>
    <row r="215" ht="14.25" customHeight="1">
      <c r="A215" s="1116"/>
      <c r="B215" s="1120"/>
      <c r="C215" s="1100"/>
      <c r="D215" s="1100"/>
      <c r="E215" s="1100"/>
      <c r="F215" s="1100"/>
      <c r="G215" s="1100"/>
      <c r="H215" s="1100"/>
      <c r="I215" s="1100"/>
      <c r="J215" s="1100"/>
      <c r="K215" s="1074"/>
      <c r="L215" s="1074"/>
      <c r="M215" s="1074"/>
      <c r="N215" s="1074"/>
      <c r="O215" s="1074"/>
      <c r="P215" s="1074"/>
      <c r="Q215" s="1074"/>
      <c r="R215" s="1074"/>
      <c r="S215" s="1074"/>
      <c r="T215" s="1074"/>
      <c r="U215" s="1074"/>
      <c r="V215" s="1074"/>
      <c r="W215" s="1074"/>
      <c r="X215" s="1074"/>
      <c r="Y215" s="1074"/>
      <c r="Z215" s="1074"/>
      <c r="AA215" s="1074"/>
      <c r="AB215" s="1074"/>
      <c r="AC215" s="1074"/>
      <c r="AD215" s="1074"/>
      <c r="AE215" s="1074"/>
      <c r="AF215" s="1074"/>
      <c r="AG215" s="1074"/>
      <c r="AH215" s="1074"/>
      <c r="AI215" s="1074"/>
      <c r="AJ215" s="1074"/>
      <c r="AK215" s="1074"/>
      <c r="AL215" s="1074"/>
      <c r="AM215" s="1074"/>
      <c r="AN215" s="1074"/>
      <c r="AO215" s="1074"/>
      <c r="AP215" s="1074"/>
      <c r="AQ215" s="1074"/>
      <c r="AR215" s="1074"/>
      <c r="AS215" s="1074"/>
      <c r="AT215" s="1075"/>
    </row>
    <row r="216" ht="14.25" customHeight="1">
      <c r="A216" s="1116"/>
      <c r="B216" s="1120"/>
      <c r="C216" s="1100"/>
      <c r="D216" s="1100"/>
      <c r="E216" s="1100"/>
      <c r="F216" s="1100"/>
      <c r="G216" s="1100"/>
      <c r="H216" s="1100"/>
      <c r="I216" s="1100"/>
      <c r="J216" s="1100"/>
      <c r="K216" s="1074"/>
      <c r="L216" s="1074"/>
      <c r="M216" s="1074"/>
      <c r="N216" s="1074"/>
      <c r="O216" s="1074"/>
      <c r="P216" s="1074"/>
      <c r="Q216" s="1074"/>
      <c r="R216" s="1074"/>
      <c r="S216" s="1074"/>
      <c r="T216" s="1074"/>
      <c r="U216" s="1074"/>
      <c r="V216" s="1074"/>
      <c r="W216" s="1074"/>
      <c r="X216" s="1074"/>
      <c r="Y216" s="1074"/>
      <c r="Z216" s="1074"/>
      <c r="AA216" s="1074"/>
      <c r="AB216" s="1074"/>
      <c r="AC216" s="1074"/>
      <c r="AD216" s="1074"/>
      <c r="AE216" s="1074"/>
      <c r="AF216" s="1074"/>
      <c r="AG216" s="1074"/>
      <c r="AH216" s="1074"/>
      <c r="AI216" s="1074"/>
      <c r="AJ216" s="1074"/>
      <c r="AK216" s="1074"/>
      <c r="AL216" s="1074"/>
      <c r="AM216" s="1074"/>
      <c r="AN216" s="1074"/>
      <c r="AO216" s="1074"/>
      <c r="AP216" s="1074"/>
      <c r="AQ216" s="1074"/>
      <c r="AR216" s="1074"/>
      <c r="AS216" s="1074"/>
      <c r="AT216" s="1075"/>
    </row>
    <row r="217" ht="14.25" customHeight="1">
      <c r="A217" s="1116"/>
      <c r="B217" s="1120"/>
      <c r="C217" s="1100"/>
      <c r="D217" s="1100"/>
      <c r="E217" s="1100"/>
      <c r="F217" s="1100"/>
      <c r="G217" s="1100"/>
      <c r="H217" s="1100"/>
      <c r="I217" s="1100"/>
      <c r="J217" s="1100"/>
      <c r="K217" s="1074"/>
      <c r="L217" s="1074"/>
      <c r="M217" s="1074"/>
      <c r="N217" s="1074"/>
      <c r="O217" s="1074"/>
      <c r="P217" s="1074"/>
      <c r="Q217" s="1074"/>
      <c r="R217" s="1074"/>
      <c r="S217" s="1074"/>
      <c r="T217" s="1074"/>
      <c r="U217" s="1074"/>
      <c r="V217" s="1074"/>
      <c r="W217" s="1074"/>
      <c r="X217" s="1074"/>
      <c r="Y217" s="1074"/>
      <c r="Z217" s="1074"/>
      <c r="AA217" s="1074"/>
      <c r="AB217" s="1074"/>
      <c r="AC217" s="1074"/>
      <c r="AD217" s="1074"/>
      <c r="AE217" s="1074"/>
      <c r="AF217" s="1074"/>
      <c r="AG217" s="1074"/>
      <c r="AH217" s="1074"/>
      <c r="AI217" s="1074"/>
      <c r="AJ217" s="1074"/>
      <c r="AK217" s="1074"/>
      <c r="AL217" s="1074"/>
      <c r="AM217" s="1074"/>
      <c r="AN217" s="1074"/>
      <c r="AO217" s="1074"/>
      <c r="AP217" s="1074"/>
      <c r="AQ217" s="1074"/>
      <c r="AR217" s="1074"/>
      <c r="AS217" s="1074"/>
      <c r="AT217" s="1075"/>
    </row>
    <row r="218" ht="14.25" customHeight="1">
      <c r="A218" s="1116"/>
      <c r="B218" s="1120"/>
      <c r="C218" s="1100"/>
      <c r="D218" s="1100"/>
      <c r="E218" s="1100"/>
      <c r="F218" s="1100"/>
      <c r="G218" s="1100"/>
      <c r="H218" s="1100"/>
      <c r="I218" s="1100"/>
      <c r="J218" s="1100"/>
      <c r="K218" s="1074"/>
      <c r="L218" s="1074"/>
      <c r="M218" s="1074"/>
      <c r="N218" s="1074"/>
      <c r="O218" s="1074"/>
      <c r="P218" s="1074"/>
      <c r="Q218" s="1074"/>
      <c r="R218" s="1074"/>
      <c r="S218" s="1074"/>
      <c r="T218" s="1074"/>
      <c r="U218" s="1074"/>
      <c r="V218" s="1074"/>
      <c r="W218" s="1074"/>
      <c r="X218" s="1074"/>
      <c r="Y218" s="1074"/>
      <c r="Z218" s="1074"/>
      <c r="AA218" s="1074"/>
      <c r="AB218" s="1074"/>
      <c r="AC218" s="1074"/>
      <c r="AD218" s="1074"/>
      <c r="AE218" s="1074"/>
      <c r="AF218" s="1074"/>
      <c r="AG218" s="1074"/>
      <c r="AH218" s="1074"/>
      <c r="AI218" s="1074"/>
      <c r="AJ218" s="1074"/>
      <c r="AK218" s="1074"/>
      <c r="AL218" s="1074"/>
      <c r="AM218" s="1074"/>
      <c r="AN218" s="1074"/>
      <c r="AO218" s="1074"/>
      <c r="AP218" s="1074"/>
      <c r="AQ218" s="1074"/>
      <c r="AR218" s="1074"/>
      <c r="AS218" s="1074"/>
      <c r="AT218" s="1075"/>
    </row>
    <row r="219" ht="14.25" customHeight="1">
      <c r="A219" s="1116"/>
      <c r="B219" s="1120"/>
      <c r="C219" s="1100"/>
      <c r="D219" s="1100"/>
      <c r="E219" s="1100"/>
      <c r="F219" s="1100"/>
      <c r="G219" s="1100"/>
      <c r="H219" s="1100"/>
      <c r="I219" s="1100"/>
      <c r="J219" s="1100"/>
      <c r="K219" s="1074"/>
      <c r="L219" s="1074"/>
      <c r="M219" s="1074"/>
      <c r="N219" s="1074"/>
      <c r="O219" s="1074"/>
      <c r="P219" s="1074"/>
      <c r="Q219" s="1074"/>
      <c r="R219" s="1074"/>
      <c r="S219" s="1074"/>
      <c r="T219" s="1074"/>
      <c r="U219" s="1074"/>
      <c r="V219" s="1074"/>
      <c r="W219" s="1074"/>
      <c r="X219" s="1074"/>
      <c r="Y219" s="1074"/>
      <c r="Z219" s="1074"/>
      <c r="AA219" s="1074"/>
      <c r="AB219" s="1074"/>
      <c r="AC219" s="1074"/>
      <c r="AD219" s="1074"/>
      <c r="AE219" s="1074"/>
      <c r="AF219" s="1074"/>
      <c r="AG219" s="1074"/>
      <c r="AH219" s="1074"/>
      <c r="AI219" s="1074"/>
      <c r="AJ219" s="1074"/>
      <c r="AK219" s="1074"/>
      <c r="AL219" s="1074"/>
      <c r="AM219" s="1074"/>
      <c r="AN219" s="1074"/>
      <c r="AO219" s="1074"/>
      <c r="AP219" s="1074"/>
      <c r="AQ219" s="1074"/>
      <c r="AR219" s="1074"/>
      <c r="AS219" s="1074"/>
      <c r="AT219" s="1075"/>
    </row>
    <row r="220" ht="14.25" customHeight="1">
      <c r="A220" s="1116"/>
      <c r="B220" s="1120"/>
      <c r="C220" s="1100"/>
      <c r="D220" s="1100"/>
      <c r="E220" s="1100"/>
      <c r="F220" s="1100"/>
      <c r="G220" s="1100"/>
      <c r="H220" s="1100"/>
      <c r="I220" s="1100"/>
      <c r="J220" s="1100"/>
      <c r="K220" s="1074"/>
      <c r="L220" s="1074"/>
      <c r="M220" s="1074"/>
      <c r="N220" s="1074"/>
      <c r="O220" s="1074"/>
      <c r="P220" s="1074"/>
      <c r="Q220" s="1074"/>
      <c r="R220" s="1074"/>
      <c r="S220" s="1074"/>
      <c r="T220" s="1074"/>
      <c r="U220" s="1074"/>
      <c r="V220" s="1074"/>
      <c r="W220" s="1074"/>
      <c r="X220" s="1074"/>
      <c r="Y220" s="1074"/>
      <c r="Z220" s="1074"/>
      <c r="AA220" s="1074"/>
      <c r="AB220" s="1074"/>
      <c r="AC220" s="1074"/>
      <c r="AD220" s="1074"/>
      <c r="AE220" s="1074"/>
      <c r="AF220" s="1074"/>
      <c r="AG220" s="1074"/>
      <c r="AH220" s="1074"/>
      <c r="AI220" s="1074"/>
      <c r="AJ220" s="1074"/>
      <c r="AK220" s="1074"/>
      <c r="AL220" s="1074"/>
      <c r="AM220" s="1074"/>
      <c r="AN220" s="1074"/>
      <c r="AO220" s="1074"/>
      <c r="AP220" s="1074"/>
      <c r="AQ220" s="1074"/>
      <c r="AR220" s="1074"/>
      <c r="AS220" s="1074"/>
      <c r="AT220" s="1075"/>
    </row>
    <row r="221" ht="14.25" customHeight="1">
      <c r="A221" s="1116"/>
      <c r="B221" s="1120"/>
      <c r="C221" s="1100"/>
      <c r="D221" s="1100"/>
      <c r="E221" s="1100"/>
      <c r="F221" s="1100"/>
      <c r="G221" s="1100"/>
      <c r="H221" s="1100"/>
      <c r="I221" s="1100"/>
      <c r="J221" s="1100"/>
      <c r="K221" s="1074"/>
      <c r="L221" s="1074"/>
      <c r="M221" s="1074"/>
      <c r="N221" s="1074"/>
      <c r="O221" s="1074"/>
      <c r="P221" s="1074"/>
      <c r="Q221" s="1074"/>
      <c r="R221" s="1074"/>
      <c r="S221" s="1074"/>
      <c r="T221" s="1074"/>
      <c r="U221" s="1074"/>
      <c r="V221" s="1074"/>
      <c r="W221" s="1074"/>
      <c r="X221" s="1074"/>
      <c r="Y221" s="1074"/>
      <c r="Z221" s="1074"/>
      <c r="AA221" s="1074"/>
      <c r="AB221" s="1074"/>
      <c r="AC221" s="1074"/>
      <c r="AD221" s="1074"/>
      <c r="AE221" s="1074"/>
      <c r="AF221" s="1074"/>
      <c r="AG221" s="1074"/>
      <c r="AH221" s="1074"/>
      <c r="AI221" s="1074"/>
      <c r="AJ221" s="1074"/>
      <c r="AK221" s="1074"/>
      <c r="AL221" s="1074"/>
      <c r="AM221" s="1074"/>
      <c r="AN221" s="1074"/>
      <c r="AO221" s="1074"/>
      <c r="AP221" s="1074"/>
      <c r="AQ221" s="1074"/>
      <c r="AR221" s="1074"/>
      <c r="AS221" s="1074"/>
      <c r="AT221" s="1075"/>
    </row>
    <row r="222" ht="14.25" customHeight="1">
      <c r="A222" s="1116"/>
      <c r="B222" s="1120"/>
      <c r="C222" s="1100"/>
      <c r="D222" s="1100"/>
      <c r="E222" s="1100"/>
      <c r="F222" s="1100"/>
      <c r="G222" s="1100"/>
      <c r="H222" s="1100"/>
      <c r="I222" s="1100"/>
      <c r="J222" s="1100"/>
      <c r="K222" s="1074"/>
      <c r="L222" s="1074"/>
      <c r="M222" s="1074"/>
      <c r="N222" s="1074"/>
      <c r="O222" s="1074"/>
      <c r="P222" s="1074"/>
      <c r="Q222" s="1074"/>
      <c r="R222" s="1074"/>
      <c r="S222" s="1074"/>
      <c r="T222" s="1074"/>
      <c r="U222" s="1074"/>
      <c r="V222" s="1074"/>
      <c r="W222" s="1074"/>
      <c r="X222" s="1074"/>
      <c r="Y222" s="1074"/>
      <c r="Z222" s="1074"/>
      <c r="AA222" s="1074"/>
      <c r="AB222" s="1074"/>
      <c r="AC222" s="1074"/>
      <c r="AD222" s="1074"/>
      <c r="AE222" s="1074"/>
      <c r="AF222" s="1074"/>
      <c r="AG222" s="1074"/>
      <c r="AH222" s="1074"/>
      <c r="AI222" s="1074"/>
      <c r="AJ222" s="1074"/>
      <c r="AK222" s="1074"/>
      <c r="AL222" s="1074"/>
      <c r="AM222" s="1074"/>
      <c r="AN222" s="1074"/>
      <c r="AO222" s="1074"/>
      <c r="AP222" s="1074"/>
      <c r="AQ222" s="1074"/>
      <c r="AR222" s="1074"/>
      <c r="AS222" s="1074"/>
      <c r="AT222" s="1075"/>
    </row>
    <row r="223" ht="14.25" customHeight="1">
      <c r="A223" s="1116"/>
      <c r="B223" s="1120"/>
      <c r="C223" s="1100"/>
      <c r="D223" s="1100"/>
      <c r="E223" s="1100"/>
      <c r="F223" s="1100"/>
      <c r="G223" s="1100"/>
      <c r="H223" s="1100"/>
      <c r="I223" s="1100"/>
      <c r="J223" s="1100"/>
      <c r="K223" s="1074"/>
      <c r="L223" s="1074"/>
      <c r="M223" s="1074"/>
      <c r="N223" s="1074"/>
      <c r="O223" s="1074"/>
      <c r="P223" s="1074"/>
      <c r="Q223" s="1074"/>
      <c r="R223" s="1074"/>
      <c r="S223" s="1074"/>
      <c r="T223" s="1074"/>
      <c r="U223" s="1074"/>
      <c r="V223" s="1074"/>
      <c r="W223" s="1074"/>
      <c r="X223" s="1074"/>
      <c r="Y223" s="1074"/>
      <c r="Z223" s="1074"/>
      <c r="AA223" s="1074"/>
      <c r="AB223" s="1074"/>
      <c r="AC223" s="1074"/>
      <c r="AD223" s="1074"/>
      <c r="AE223" s="1074"/>
      <c r="AF223" s="1074"/>
      <c r="AG223" s="1074"/>
      <c r="AH223" s="1074"/>
      <c r="AI223" s="1074"/>
      <c r="AJ223" s="1074"/>
      <c r="AK223" s="1074"/>
      <c r="AL223" s="1074"/>
      <c r="AM223" s="1074"/>
      <c r="AN223" s="1074"/>
      <c r="AO223" s="1074"/>
      <c r="AP223" s="1074"/>
      <c r="AQ223" s="1074"/>
      <c r="AR223" s="1074"/>
      <c r="AS223" s="1074"/>
      <c r="AT223" s="1075"/>
    </row>
    <row r="224" ht="14.25" customHeight="1">
      <c r="A224" s="1116"/>
      <c r="B224" s="1120"/>
      <c r="C224" s="1100"/>
      <c r="D224" s="1100"/>
      <c r="E224" s="1100"/>
      <c r="F224" s="1100"/>
      <c r="G224" s="1100"/>
      <c r="H224" s="1100"/>
      <c r="I224" s="1100"/>
      <c r="J224" s="1100"/>
      <c r="K224" s="1074"/>
      <c r="L224" s="1074"/>
      <c r="M224" s="1074"/>
      <c r="N224" s="1074"/>
      <c r="O224" s="1074"/>
      <c r="P224" s="1074"/>
      <c r="Q224" s="1074"/>
      <c r="R224" s="1074"/>
      <c r="S224" s="1074"/>
      <c r="T224" s="1074"/>
      <c r="U224" s="1074"/>
      <c r="V224" s="1074"/>
      <c r="W224" s="1074"/>
      <c r="X224" s="1074"/>
      <c r="Y224" s="1074"/>
      <c r="Z224" s="1074"/>
      <c r="AA224" s="1074"/>
      <c r="AB224" s="1074"/>
      <c r="AC224" s="1074"/>
      <c r="AD224" s="1074"/>
      <c r="AE224" s="1074"/>
      <c r="AF224" s="1074"/>
      <c r="AG224" s="1074"/>
      <c r="AH224" s="1074"/>
      <c r="AI224" s="1074"/>
      <c r="AJ224" s="1074"/>
      <c r="AK224" s="1074"/>
      <c r="AL224" s="1074"/>
      <c r="AM224" s="1074"/>
      <c r="AN224" s="1074"/>
      <c r="AO224" s="1074"/>
      <c r="AP224" s="1074"/>
      <c r="AQ224" s="1074"/>
      <c r="AR224" s="1074"/>
      <c r="AS224" s="1074"/>
      <c r="AT224" s="1075"/>
    </row>
    <row r="225" ht="14.25" customHeight="1">
      <c r="A225" s="1116"/>
      <c r="B225" s="1120"/>
      <c r="C225" s="1100"/>
      <c r="D225" s="1100"/>
      <c r="E225" s="1100"/>
      <c r="F225" s="1100"/>
      <c r="G225" s="1100"/>
      <c r="H225" s="1100"/>
      <c r="I225" s="1100"/>
      <c r="J225" s="1100"/>
      <c r="K225" s="1074"/>
      <c r="L225" s="1074"/>
      <c r="M225" s="1074"/>
      <c r="N225" s="1074"/>
      <c r="O225" s="1074"/>
      <c r="P225" s="1074"/>
      <c r="Q225" s="1074"/>
      <c r="R225" s="1074"/>
      <c r="S225" s="1074"/>
      <c r="T225" s="1074"/>
      <c r="U225" s="1074"/>
      <c r="V225" s="1074"/>
      <c r="W225" s="1074"/>
      <c r="X225" s="1074"/>
      <c r="Y225" s="1074"/>
      <c r="Z225" s="1074"/>
      <c r="AA225" s="1074"/>
      <c r="AB225" s="1074"/>
      <c r="AC225" s="1074"/>
      <c r="AD225" s="1074"/>
      <c r="AE225" s="1074"/>
      <c r="AF225" s="1074"/>
      <c r="AG225" s="1074"/>
      <c r="AH225" s="1074"/>
      <c r="AI225" s="1074"/>
      <c r="AJ225" s="1074"/>
      <c r="AK225" s="1074"/>
      <c r="AL225" s="1074"/>
      <c r="AM225" s="1074"/>
      <c r="AN225" s="1074"/>
      <c r="AO225" s="1074"/>
      <c r="AP225" s="1074"/>
      <c r="AQ225" s="1074"/>
      <c r="AR225" s="1074"/>
      <c r="AS225" s="1074"/>
      <c r="AT225" s="1075"/>
    </row>
    <row r="226" ht="14.25" customHeight="1">
      <c r="A226" s="1116"/>
      <c r="B226" s="1120"/>
      <c r="C226" s="1100"/>
      <c r="D226" s="1100"/>
      <c r="E226" s="1100"/>
      <c r="F226" s="1100"/>
      <c r="G226" s="1100"/>
      <c r="H226" s="1100"/>
      <c r="I226" s="1100"/>
      <c r="J226" s="1100"/>
      <c r="K226" s="1074"/>
      <c r="L226" s="1074"/>
      <c r="M226" s="1074"/>
      <c r="N226" s="1074"/>
      <c r="O226" s="1074"/>
      <c r="P226" s="1074"/>
      <c r="Q226" s="1074"/>
      <c r="R226" s="1074"/>
      <c r="S226" s="1074"/>
      <c r="T226" s="1074"/>
      <c r="U226" s="1074"/>
      <c r="V226" s="1074"/>
      <c r="W226" s="1074"/>
      <c r="X226" s="1074"/>
      <c r="Y226" s="1074"/>
      <c r="Z226" s="1074"/>
      <c r="AA226" s="1074"/>
      <c r="AB226" s="1074"/>
      <c r="AC226" s="1074"/>
      <c r="AD226" s="1074"/>
      <c r="AE226" s="1074"/>
      <c r="AF226" s="1074"/>
      <c r="AG226" s="1074"/>
      <c r="AH226" s="1074"/>
      <c r="AI226" s="1074"/>
      <c r="AJ226" s="1074"/>
      <c r="AK226" s="1074"/>
      <c r="AL226" s="1074"/>
      <c r="AM226" s="1074"/>
      <c r="AN226" s="1074"/>
      <c r="AO226" s="1074"/>
      <c r="AP226" s="1074"/>
      <c r="AQ226" s="1074"/>
      <c r="AR226" s="1074"/>
      <c r="AS226" s="1074"/>
      <c r="AT226" s="1075"/>
    </row>
    <row r="227" ht="14.25" customHeight="1">
      <c r="A227" s="1116"/>
      <c r="B227" s="1120"/>
      <c r="C227" s="1100"/>
      <c r="D227" s="1100"/>
      <c r="E227" s="1100"/>
      <c r="F227" s="1100"/>
      <c r="G227" s="1100"/>
      <c r="H227" s="1100"/>
      <c r="I227" s="1100"/>
      <c r="J227" s="1100"/>
      <c r="K227" s="1074"/>
      <c r="L227" s="1074"/>
      <c r="M227" s="1074"/>
      <c r="N227" s="1074"/>
      <c r="O227" s="1074"/>
      <c r="P227" s="1074"/>
      <c r="Q227" s="1074"/>
      <c r="R227" s="1074"/>
      <c r="S227" s="1074"/>
      <c r="T227" s="1074"/>
      <c r="U227" s="1074"/>
      <c r="V227" s="1074"/>
      <c r="W227" s="1074"/>
      <c r="X227" s="1074"/>
      <c r="Y227" s="1074"/>
      <c r="Z227" s="1074"/>
      <c r="AA227" s="1074"/>
      <c r="AB227" s="1074"/>
      <c r="AC227" s="1074"/>
      <c r="AD227" s="1074"/>
      <c r="AE227" s="1074"/>
      <c r="AF227" s="1074"/>
      <c r="AG227" s="1074"/>
      <c r="AH227" s="1074"/>
      <c r="AI227" s="1074"/>
      <c r="AJ227" s="1074"/>
      <c r="AK227" s="1074"/>
      <c r="AL227" s="1074"/>
      <c r="AM227" s="1074"/>
      <c r="AN227" s="1074"/>
      <c r="AO227" s="1074"/>
      <c r="AP227" s="1074"/>
      <c r="AQ227" s="1074"/>
      <c r="AR227" s="1074"/>
      <c r="AS227" s="1074"/>
      <c r="AT227" s="1075"/>
    </row>
    <row r="228" ht="14.25" customHeight="1">
      <c r="A228" s="1116"/>
      <c r="B228" s="1120"/>
      <c r="C228" s="1100"/>
      <c r="D228" s="1100"/>
      <c r="E228" s="1100"/>
      <c r="F228" s="1100"/>
      <c r="G228" s="1100"/>
      <c r="H228" s="1100"/>
      <c r="I228" s="1100"/>
      <c r="J228" s="1100"/>
      <c r="K228" s="1074"/>
      <c r="L228" s="1074"/>
      <c r="M228" s="1074"/>
      <c r="N228" s="1074"/>
      <c r="O228" s="1074"/>
      <c r="P228" s="1074"/>
      <c r="Q228" s="1074"/>
      <c r="R228" s="1074"/>
      <c r="S228" s="1074"/>
      <c r="T228" s="1074"/>
      <c r="U228" s="1074"/>
      <c r="V228" s="1074"/>
      <c r="W228" s="1074"/>
      <c r="X228" s="1074"/>
      <c r="Y228" s="1074"/>
      <c r="Z228" s="1074"/>
      <c r="AA228" s="1074"/>
      <c r="AB228" s="1074"/>
      <c r="AC228" s="1074"/>
      <c r="AD228" s="1074"/>
      <c r="AE228" s="1074"/>
      <c r="AF228" s="1074"/>
      <c r="AG228" s="1074"/>
      <c r="AH228" s="1074"/>
      <c r="AI228" s="1074"/>
      <c r="AJ228" s="1074"/>
      <c r="AK228" s="1074"/>
      <c r="AL228" s="1074"/>
      <c r="AM228" s="1074"/>
      <c r="AN228" s="1074"/>
      <c r="AO228" s="1074"/>
      <c r="AP228" s="1074"/>
      <c r="AQ228" s="1074"/>
      <c r="AR228" s="1074"/>
      <c r="AS228" s="1074"/>
      <c r="AT228" s="1075"/>
    </row>
    <row r="229" ht="14.25" customHeight="1">
      <c r="A229" s="1116"/>
      <c r="B229" s="1120"/>
      <c r="C229" s="1100"/>
      <c r="D229" s="1100"/>
      <c r="E229" s="1100"/>
      <c r="F229" s="1100"/>
      <c r="G229" s="1100"/>
      <c r="H229" s="1100"/>
      <c r="I229" s="1100"/>
      <c r="J229" s="1100"/>
      <c r="K229" s="1074"/>
      <c r="L229" s="1074"/>
      <c r="M229" s="1074"/>
      <c r="N229" s="1074"/>
      <c r="O229" s="1074"/>
      <c r="P229" s="1074"/>
      <c r="Q229" s="1074"/>
      <c r="R229" s="1074"/>
      <c r="S229" s="1074"/>
      <c r="T229" s="1074"/>
      <c r="U229" s="1074"/>
      <c r="V229" s="1074"/>
      <c r="W229" s="1074"/>
      <c r="X229" s="1074"/>
      <c r="Y229" s="1074"/>
      <c r="Z229" s="1074"/>
      <c r="AA229" s="1074"/>
      <c r="AB229" s="1074"/>
      <c r="AC229" s="1074"/>
      <c r="AD229" s="1074"/>
      <c r="AE229" s="1074"/>
      <c r="AF229" s="1074"/>
      <c r="AG229" s="1074"/>
      <c r="AH229" s="1074"/>
      <c r="AI229" s="1074"/>
      <c r="AJ229" s="1074"/>
      <c r="AK229" s="1074"/>
      <c r="AL229" s="1074"/>
      <c r="AM229" s="1074"/>
      <c r="AN229" s="1074"/>
      <c r="AO229" s="1074"/>
      <c r="AP229" s="1074"/>
      <c r="AQ229" s="1074"/>
      <c r="AR229" s="1074"/>
      <c r="AS229" s="1074"/>
      <c r="AT229" s="1075"/>
    </row>
    <row r="230" ht="14.25" customHeight="1">
      <c r="A230" s="1116"/>
      <c r="B230" s="1120"/>
      <c r="C230" s="1100"/>
      <c r="D230" s="1100"/>
      <c r="E230" s="1100"/>
      <c r="F230" s="1100"/>
      <c r="G230" s="1100"/>
      <c r="H230" s="1100"/>
      <c r="I230" s="1100"/>
      <c r="J230" s="1100"/>
      <c r="K230" s="1074"/>
      <c r="L230" s="1074"/>
      <c r="M230" s="1074"/>
      <c r="N230" s="1074"/>
      <c r="O230" s="1074"/>
      <c r="P230" s="1074"/>
      <c r="Q230" s="1074"/>
      <c r="R230" s="1074"/>
      <c r="S230" s="1074"/>
      <c r="T230" s="1074"/>
      <c r="U230" s="1074"/>
      <c r="V230" s="1074"/>
      <c r="W230" s="1074"/>
      <c r="X230" s="1074"/>
      <c r="Y230" s="1074"/>
      <c r="Z230" s="1074"/>
      <c r="AA230" s="1074"/>
      <c r="AB230" s="1074"/>
      <c r="AC230" s="1074"/>
      <c r="AD230" s="1074"/>
      <c r="AE230" s="1074"/>
      <c r="AF230" s="1074"/>
      <c r="AG230" s="1074"/>
      <c r="AH230" s="1074"/>
      <c r="AI230" s="1074"/>
      <c r="AJ230" s="1074"/>
      <c r="AK230" s="1074"/>
      <c r="AL230" s="1074"/>
      <c r="AM230" s="1074"/>
      <c r="AN230" s="1074"/>
      <c r="AO230" s="1074"/>
      <c r="AP230" s="1074"/>
      <c r="AQ230" s="1074"/>
      <c r="AR230" s="1074"/>
      <c r="AS230" s="1074"/>
      <c r="AT230" s="1075"/>
    </row>
    <row r="231" ht="14.25" customHeight="1">
      <c r="A231" s="1116"/>
      <c r="B231" s="1120"/>
      <c r="C231" s="1100"/>
      <c r="D231" s="1100"/>
      <c r="E231" s="1100"/>
      <c r="F231" s="1100"/>
      <c r="G231" s="1100"/>
      <c r="H231" s="1100"/>
      <c r="I231" s="1100"/>
      <c r="J231" s="1100"/>
      <c r="K231" s="1074"/>
      <c r="L231" s="1074"/>
      <c r="M231" s="1074"/>
      <c r="N231" s="1074"/>
      <c r="O231" s="1074"/>
      <c r="P231" s="1074"/>
      <c r="Q231" s="1074"/>
      <c r="R231" s="1074"/>
      <c r="S231" s="1074"/>
      <c r="T231" s="1074"/>
      <c r="U231" s="1074"/>
      <c r="V231" s="1074"/>
      <c r="W231" s="1074"/>
      <c r="X231" s="1074"/>
      <c r="Y231" s="1074"/>
      <c r="Z231" s="1074"/>
      <c r="AA231" s="1074"/>
      <c r="AB231" s="1074"/>
      <c r="AC231" s="1074"/>
      <c r="AD231" s="1074"/>
      <c r="AE231" s="1074"/>
      <c r="AF231" s="1074"/>
      <c r="AG231" s="1074"/>
      <c r="AH231" s="1074"/>
      <c r="AI231" s="1074"/>
      <c r="AJ231" s="1074"/>
      <c r="AK231" s="1074"/>
      <c r="AL231" s="1074"/>
      <c r="AM231" s="1074"/>
      <c r="AN231" s="1074"/>
      <c r="AO231" s="1074"/>
      <c r="AP231" s="1074"/>
      <c r="AQ231" s="1074"/>
      <c r="AR231" s="1074"/>
      <c r="AS231" s="1074"/>
      <c r="AT231" s="1075"/>
    </row>
    <row r="232" ht="14.25" customHeight="1">
      <c r="A232" s="1116"/>
      <c r="B232" s="1120"/>
      <c r="C232" s="1100"/>
      <c r="D232" s="1100"/>
      <c r="E232" s="1100"/>
      <c r="F232" s="1100"/>
      <c r="G232" s="1100"/>
      <c r="H232" s="1100"/>
      <c r="I232" s="1100"/>
      <c r="J232" s="1100"/>
      <c r="K232" s="1074"/>
      <c r="L232" s="1074"/>
      <c r="M232" s="1074"/>
      <c r="N232" s="1074"/>
      <c r="O232" s="1074"/>
      <c r="P232" s="1074"/>
      <c r="Q232" s="1074"/>
      <c r="R232" s="1074"/>
      <c r="S232" s="1074"/>
      <c r="T232" s="1074"/>
      <c r="U232" s="1074"/>
      <c r="V232" s="1074"/>
      <c r="W232" s="1074"/>
      <c r="X232" s="1074"/>
      <c r="Y232" s="1074"/>
      <c r="Z232" s="1074"/>
      <c r="AA232" s="1074"/>
      <c r="AB232" s="1074"/>
      <c r="AC232" s="1074"/>
      <c r="AD232" s="1074"/>
      <c r="AE232" s="1074"/>
      <c r="AF232" s="1074"/>
      <c r="AG232" s="1074"/>
      <c r="AH232" s="1074"/>
      <c r="AI232" s="1074"/>
      <c r="AJ232" s="1074"/>
      <c r="AK232" s="1074"/>
      <c r="AL232" s="1074"/>
      <c r="AM232" s="1074"/>
      <c r="AN232" s="1074"/>
      <c r="AO232" s="1074"/>
      <c r="AP232" s="1074"/>
      <c r="AQ232" s="1074"/>
      <c r="AR232" s="1074"/>
      <c r="AS232" s="1074"/>
      <c r="AT232" s="1075"/>
    </row>
    <row r="233" ht="14.25" customHeight="1">
      <c r="A233" s="1116"/>
      <c r="B233" s="1120"/>
      <c r="C233" s="1100"/>
      <c r="D233" s="1100"/>
      <c r="E233" s="1100"/>
      <c r="F233" s="1100"/>
      <c r="G233" s="1100"/>
      <c r="H233" s="1100"/>
      <c r="I233" s="1100"/>
      <c r="J233" s="1100"/>
      <c r="K233" s="1074"/>
      <c r="L233" s="1074"/>
      <c r="M233" s="1074"/>
      <c r="N233" s="1074"/>
      <c r="O233" s="1074"/>
      <c r="P233" s="1074"/>
      <c r="Q233" s="1074"/>
      <c r="R233" s="1074"/>
      <c r="S233" s="1074"/>
      <c r="T233" s="1074"/>
      <c r="U233" s="1074"/>
      <c r="V233" s="1074"/>
      <c r="W233" s="1074"/>
      <c r="X233" s="1074"/>
      <c r="Y233" s="1074"/>
      <c r="Z233" s="1074"/>
      <c r="AA233" s="1074"/>
      <c r="AB233" s="1074"/>
      <c r="AC233" s="1074"/>
      <c r="AD233" s="1074"/>
      <c r="AE233" s="1074"/>
      <c r="AF233" s="1074"/>
      <c r="AG233" s="1074"/>
      <c r="AH233" s="1074"/>
      <c r="AI233" s="1074"/>
      <c r="AJ233" s="1074"/>
      <c r="AK233" s="1074"/>
      <c r="AL233" s="1074"/>
      <c r="AM233" s="1074"/>
      <c r="AN233" s="1074"/>
      <c r="AO233" s="1074"/>
      <c r="AP233" s="1074"/>
      <c r="AQ233" s="1074"/>
      <c r="AR233" s="1074"/>
      <c r="AS233" s="1074"/>
      <c r="AT233" s="1075"/>
    </row>
    <row r="234" ht="14.25" customHeight="1">
      <c r="A234" s="1116"/>
      <c r="B234" s="1120"/>
      <c r="C234" s="1100"/>
      <c r="D234" s="1100"/>
      <c r="E234" s="1100"/>
      <c r="F234" s="1100"/>
      <c r="G234" s="1100"/>
      <c r="H234" s="1100"/>
      <c r="I234" s="1100"/>
      <c r="J234" s="1100"/>
      <c r="K234" s="1074"/>
      <c r="L234" s="1074"/>
      <c r="M234" s="1074"/>
      <c r="N234" s="1074"/>
      <c r="O234" s="1074"/>
      <c r="P234" s="1074"/>
      <c r="Q234" s="1074"/>
      <c r="R234" s="1074"/>
      <c r="S234" s="1074"/>
      <c r="T234" s="1074"/>
      <c r="U234" s="1074"/>
      <c r="V234" s="1074"/>
      <c r="W234" s="1074"/>
      <c r="X234" s="1074"/>
      <c r="Y234" s="1074"/>
      <c r="Z234" s="1074"/>
      <c r="AA234" s="1074"/>
      <c r="AB234" s="1074"/>
      <c r="AC234" s="1074"/>
      <c r="AD234" s="1074"/>
      <c r="AE234" s="1074"/>
      <c r="AF234" s="1074"/>
      <c r="AG234" s="1074"/>
      <c r="AH234" s="1074"/>
      <c r="AI234" s="1074"/>
      <c r="AJ234" s="1074"/>
      <c r="AK234" s="1074"/>
      <c r="AL234" s="1074"/>
      <c r="AM234" s="1074"/>
      <c r="AN234" s="1074"/>
      <c r="AO234" s="1074"/>
      <c r="AP234" s="1074"/>
      <c r="AQ234" s="1074"/>
      <c r="AR234" s="1074"/>
      <c r="AS234" s="1074"/>
      <c r="AT234" s="1075"/>
    </row>
    <row r="235" ht="14.25" customHeight="1">
      <c r="A235" s="1116"/>
      <c r="B235" s="1120"/>
      <c r="C235" s="1100"/>
      <c r="D235" s="1100"/>
      <c r="E235" s="1100"/>
      <c r="F235" s="1100"/>
      <c r="G235" s="1100"/>
      <c r="H235" s="1100"/>
      <c r="I235" s="1100"/>
      <c r="J235" s="1100"/>
      <c r="K235" s="1074"/>
      <c r="L235" s="1074"/>
      <c r="M235" s="1074"/>
      <c r="N235" s="1074"/>
      <c r="O235" s="1074"/>
      <c r="P235" s="1074"/>
      <c r="Q235" s="1074"/>
      <c r="R235" s="1074"/>
      <c r="S235" s="1074"/>
      <c r="T235" s="1074"/>
      <c r="U235" s="1074"/>
      <c r="V235" s="1074"/>
      <c r="W235" s="1074"/>
      <c r="X235" s="1074"/>
      <c r="Y235" s="1074"/>
      <c r="Z235" s="1074"/>
      <c r="AA235" s="1074"/>
      <c r="AB235" s="1074"/>
      <c r="AC235" s="1074"/>
      <c r="AD235" s="1074"/>
      <c r="AE235" s="1074"/>
      <c r="AF235" s="1074"/>
      <c r="AG235" s="1074"/>
      <c r="AH235" s="1074"/>
      <c r="AI235" s="1074"/>
      <c r="AJ235" s="1074"/>
      <c r="AK235" s="1074"/>
      <c r="AL235" s="1074"/>
      <c r="AM235" s="1074"/>
      <c r="AN235" s="1074"/>
      <c r="AO235" s="1074"/>
      <c r="AP235" s="1074"/>
      <c r="AQ235" s="1074"/>
      <c r="AR235" s="1074"/>
      <c r="AS235" s="1074"/>
      <c r="AT235" s="1075"/>
    </row>
    <row r="236" ht="14.25" customHeight="1">
      <c r="A236" s="1116"/>
      <c r="B236" s="1120"/>
      <c r="C236" s="1100"/>
      <c r="D236" s="1100"/>
      <c r="E236" s="1100"/>
      <c r="F236" s="1100"/>
      <c r="G236" s="1100"/>
      <c r="H236" s="1100"/>
      <c r="I236" s="1100"/>
      <c r="J236" s="1100"/>
      <c r="K236" s="1074"/>
      <c r="L236" s="1074"/>
      <c r="M236" s="1074"/>
      <c r="N236" s="1074"/>
      <c r="O236" s="1074"/>
      <c r="P236" s="1074"/>
      <c r="Q236" s="1074"/>
      <c r="R236" s="1074"/>
      <c r="S236" s="1074"/>
      <c r="T236" s="1074"/>
      <c r="U236" s="1074"/>
      <c r="V236" s="1074"/>
      <c r="W236" s="1074"/>
      <c r="X236" s="1074"/>
      <c r="Y236" s="1074"/>
      <c r="Z236" s="1074"/>
      <c r="AA236" s="1074"/>
      <c r="AB236" s="1074"/>
      <c r="AC236" s="1074"/>
      <c r="AD236" s="1074"/>
      <c r="AE236" s="1074"/>
      <c r="AF236" s="1074"/>
      <c r="AG236" s="1074"/>
      <c r="AH236" s="1074"/>
      <c r="AI236" s="1074"/>
      <c r="AJ236" s="1074"/>
      <c r="AK236" s="1074"/>
      <c r="AL236" s="1074"/>
      <c r="AM236" s="1074"/>
      <c r="AN236" s="1074"/>
      <c r="AO236" s="1074"/>
      <c r="AP236" s="1074"/>
      <c r="AQ236" s="1074"/>
      <c r="AR236" s="1074"/>
      <c r="AS236" s="1074"/>
      <c r="AT236" s="1075"/>
    </row>
    <row r="237" ht="14.25" customHeight="1">
      <c r="A237" s="1116"/>
      <c r="B237" s="1120"/>
      <c r="C237" s="1100"/>
      <c r="D237" s="1100"/>
      <c r="E237" s="1100"/>
      <c r="F237" s="1100"/>
      <c r="G237" s="1100"/>
      <c r="H237" s="1100"/>
      <c r="I237" s="1100"/>
      <c r="J237" s="1100"/>
      <c r="K237" s="1074"/>
      <c r="L237" s="1074"/>
      <c r="M237" s="1074"/>
      <c r="N237" s="1074"/>
      <c r="O237" s="1074"/>
      <c r="P237" s="1074"/>
      <c r="Q237" s="1074"/>
      <c r="R237" s="1074"/>
      <c r="S237" s="1074"/>
      <c r="T237" s="1074"/>
      <c r="U237" s="1074"/>
      <c r="V237" s="1074"/>
      <c r="W237" s="1074"/>
      <c r="X237" s="1074"/>
      <c r="Y237" s="1074"/>
      <c r="Z237" s="1074"/>
      <c r="AA237" s="1074"/>
      <c r="AB237" s="1074"/>
      <c r="AC237" s="1074"/>
      <c r="AD237" s="1074"/>
      <c r="AE237" s="1074"/>
      <c r="AF237" s="1074"/>
      <c r="AG237" s="1074"/>
      <c r="AH237" s="1074"/>
      <c r="AI237" s="1074"/>
      <c r="AJ237" s="1074"/>
      <c r="AK237" s="1074"/>
      <c r="AL237" s="1074"/>
      <c r="AM237" s="1074"/>
      <c r="AN237" s="1074"/>
      <c r="AO237" s="1074"/>
      <c r="AP237" s="1074"/>
      <c r="AQ237" s="1074"/>
      <c r="AR237" s="1074"/>
      <c r="AS237" s="1074"/>
      <c r="AT237" s="1075"/>
    </row>
    <row r="238" ht="14.25" customHeight="1">
      <c r="A238" s="1116"/>
      <c r="B238" s="1120"/>
      <c r="C238" s="1100"/>
      <c r="D238" s="1100"/>
      <c r="E238" s="1100"/>
      <c r="F238" s="1100"/>
      <c r="G238" s="1100"/>
      <c r="H238" s="1100"/>
      <c r="I238" s="1100"/>
      <c r="J238" s="1100"/>
      <c r="K238" s="1074"/>
      <c r="L238" s="1074"/>
      <c r="M238" s="1074"/>
      <c r="N238" s="1074"/>
      <c r="O238" s="1074"/>
      <c r="P238" s="1074"/>
      <c r="Q238" s="1074"/>
      <c r="R238" s="1074"/>
      <c r="S238" s="1074"/>
      <c r="T238" s="1074"/>
      <c r="U238" s="1074"/>
      <c r="V238" s="1074"/>
      <c r="W238" s="1074"/>
      <c r="X238" s="1074"/>
      <c r="Y238" s="1074"/>
      <c r="Z238" s="1074"/>
      <c r="AA238" s="1074"/>
      <c r="AB238" s="1074"/>
      <c r="AC238" s="1074"/>
      <c r="AD238" s="1074"/>
      <c r="AE238" s="1074"/>
      <c r="AF238" s="1074"/>
      <c r="AG238" s="1074"/>
      <c r="AH238" s="1074"/>
      <c r="AI238" s="1074"/>
      <c r="AJ238" s="1074"/>
      <c r="AK238" s="1074"/>
      <c r="AL238" s="1074"/>
      <c r="AM238" s="1074"/>
      <c r="AN238" s="1074"/>
      <c r="AO238" s="1074"/>
      <c r="AP238" s="1074"/>
      <c r="AQ238" s="1074"/>
      <c r="AR238" s="1074"/>
      <c r="AS238" s="1074"/>
      <c r="AT238" s="1075"/>
    </row>
    <row r="239" ht="14.25" customHeight="1">
      <c r="A239" s="1116"/>
      <c r="B239" s="1120"/>
      <c r="C239" s="1100"/>
      <c r="D239" s="1100"/>
      <c r="E239" s="1100"/>
      <c r="F239" s="1100"/>
      <c r="G239" s="1100"/>
      <c r="H239" s="1100"/>
      <c r="I239" s="1100"/>
      <c r="J239" s="1100"/>
      <c r="K239" s="1074"/>
      <c r="L239" s="1074"/>
      <c r="M239" s="1074"/>
      <c r="N239" s="1074"/>
      <c r="O239" s="1074"/>
      <c r="P239" s="1074"/>
      <c r="Q239" s="1074"/>
      <c r="R239" s="1074"/>
      <c r="S239" s="1074"/>
      <c r="T239" s="1074"/>
      <c r="U239" s="1074"/>
      <c r="V239" s="1074"/>
      <c r="W239" s="1074"/>
      <c r="X239" s="1074"/>
      <c r="Y239" s="1074"/>
      <c r="Z239" s="1074"/>
      <c r="AA239" s="1074"/>
      <c r="AB239" s="1074"/>
      <c r="AC239" s="1074"/>
      <c r="AD239" s="1074"/>
      <c r="AE239" s="1074"/>
      <c r="AF239" s="1074"/>
      <c r="AG239" s="1074"/>
      <c r="AH239" s="1074"/>
      <c r="AI239" s="1074"/>
      <c r="AJ239" s="1074"/>
      <c r="AK239" s="1074"/>
      <c r="AL239" s="1074"/>
      <c r="AM239" s="1074"/>
      <c r="AN239" s="1074"/>
      <c r="AO239" s="1074"/>
      <c r="AP239" s="1074"/>
      <c r="AQ239" s="1074"/>
      <c r="AR239" s="1074"/>
      <c r="AS239" s="1074"/>
      <c r="AT239" s="1075"/>
    </row>
    <row r="240" ht="14.25" customHeight="1">
      <c r="A240" s="1116"/>
      <c r="B240" s="1120"/>
      <c r="C240" s="1100"/>
      <c r="D240" s="1100"/>
      <c r="E240" s="1100"/>
      <c r="F240" s="1100"/>
      <c r="G240" s="1100"/>
      <c r="H240" s="1100"/>
      <c r="I240" s="1100"/>
      <c r="J240" s="1100"/>
      <c r="K240" s="1074"/>
      <c r="L240" s="1074"/>
      <c r="M240" s="1074"/>
      <c r="N240" s="1074"/>
      <c r="O240" s="1074"/>
      <c r="P240" s="1074"/>
      <c r="Q240" s="1074"/>
      <c r="R240" s="1074"/>
      <c r="S240" s="1074"/>
      <c r="T240" s="1074"/>
      <c r="U240" s="1074"/>
      <c r="V240" s="1074"/>
      <c r="W240" s="1074"/>
      <c r="X240" s="1074"/>
      <c r="Y240" s="1074"/>
      <c r="Z240" s="1074"/>
      <c r="AA240" s="1074"/>
      <c r="AB240" s="1074"/>
      <c r="AC240" s="1074"/>
      <c r="AD240" s="1074"/>
      <c r="AE240" s="1074"/>
      <c r="AF240" s="1074"/>
      <c r="AG240" s="1074"/>
      <c r="AH240" s="1074"/>
      <c r="AI240" s="1074"/>
      <c r="AJ240" s="1074"/>
      <c r="AK240" s="1074"/>
      <c r="AL240" s="1074"/>
      <c r="AM240" s="1074"/>
      <c r="AN240" s="1074"/>
      <c r="AO240" s="1074"/>
      <c r="AP240" s="1074"/>
      <c r="AQ240" s="1074"/>
      <c r="AR240" s="1074"/>
      <c r="AS240" s="1074"/>
      <c r="AT240" s="1075"/>
    </row>
    <row r="241" ht="14.25" customHeight="1">
      <c r="A241" s="1116"/>
      <c r="B241" s="1120"/>
      <c r="C241" s="1100"/>
      <c r="D241" s="1100"/>
      <c r="E241" s="1100"/>
      <c r="F241" s="1100"/>
      <c r="G241" s="1100"/>
      <c r="H241" s="1100"/>
      <c r="I241" s="1100"/>
      <c r="J241" s="1100"/>
      <c r="K241" s="1074"/>
      <c r="L241" s="1074"/>
      <c r="M241" s="1074"/>
      <c r="N241" s="1074"/>
      <c r="O241" s="1074"/>
      <c r="P241" s="1074"/>
      <c r="Q241" s="1074"/>
      <c r="R241" s="1074"/>
      <c r="S241" s="1074"/>
      <c r="T241" s="1074"/>
      <c r="U241" s="1074"/>
      <c r="V241" s="1074"/>
      <c r="W241" s="1074"/>
      <c r="X241" s="1074"/>
      <c r="Y241" s="1074"/>
      <c r="Z241" s="1074"/>
      <c r="AA241" s="1074"/>
      <c r="AB241" s="1074"/>
      <c r="AC241" s="1074"/>
      <c r="AD241" s="1074"/>
      <c r="AE241" s="1074"/>
      <c r="AF241" s="1074"/>
      <c r="AG241" s="1074"/>
      <c r="AH241" s="1074"/>
      <c r="AI241" s="1074"/>
      <c r="AJ241" s="1074"/>
      <c r="AK241" s="1074"/>
      <c r="AL241" s="1074"/>
      <c r="AM241" s="1074"/>
      <c r="AN241" s="1074"/>
      <c r="AO241" s="1074"/>
      <c r="AP241" s="1074"/>
      <c r="AQ241" s="1074"/>
      <c r="AR241" s="1074"/>
      <c r="AS241" s="1074"/>
      <c r="AT241" s="1075"/>
    </row>
    <row r="242" ht="14.25" customHeight="1">
      <c r="A242" s="1116"/>
      <c r="B242" s="1120"/>
      <c r="C242" s="1100"/>
      <c r="D242" s="1100"/>
      <c r="E242" s="1100"/>
      <c r="F242" s="1100"/>
      <c r="G242" s="1100"/>
      <c r="H242" s="1100"/>
      <c r="I242" s="1100"/>
      <c r="J242" s="1100"/>
      <c r="K242" s="1074"/>
      <c r="L242" s="1074"/>
      <c r="M242" s="1074"/>
      <c r="N242" s="1074"/>
      <c r="O242" s="1074"/>
      <c r="P242" s="1074"/>
      <c r="Q242" s="1074"/>
      <c r="R242" s="1074"/>
      <c r="S242" s="1074"/>
      <c r="T242" s="1074"/>
      <c r="U242" s="1074"/>
      <c r="V242" s="1074"/>
      <c r="W242" s="1074"/>
      <c r="X242" s="1074"/>
      <c r="Y242" s="1074"/>
      <c r="Z242" s="1074"/>
      <c r="AA242" s="1074"/>
      <c r="AB242" s="1074"/>
      <c r="AC242" s="1074"/>
      <c r="AD242" s="1074"/>
      <c r="AE242" s="1074"/>
      <c r="AF242" s="1074"/>
      <c r="AG242" s="1074"/>
      <c r="AH242" s="1074"/>
      <c r="AI242" s="1074"/>
      <c r="AJ242" s="1074"/>
      <c r="AK242" s="1074"/>
      <c r="AL242" s="1074"/>
      <c r="AM242" s="1074"/>
      <c r="AN242" s="1074"/>
      <c r="AO242" s="1074"/>
      <c r="AP242" s="1074"/>
      <c r="AQ242" s="1074"/>
      <c r="AR242" s="1074"/>
      <c r="AS242" s="1074"/>
      <c r="AT242" s="1075"/>
    </row>
    <row r="243" ht="14.25" customHeight="1">
      <c r="A243" s="1116"/>
      <c r="B243" s="1120"/>
      <c r="C243" s="1100"/>
      <c r="D243" s="1100"/>
      <c r="E243" s="1100"/>
      <c r="F243" s="1100"/>
      <c r="G243" s="1100"/>
      <c r="H243" s="1100"/>
      <c r="I243" s="1100"/>
      <c r="J243" s="1100"/>
      <c r="K243" s="1074"/>
      <c r="L243" s="1074"/>
      <c r="M243" s="1074"/>
      <c r="N243" s="1074"/>
      <c r="O243" s="1074"/>
      <c r="P243" s="1074"/>
      <c r="Q243" s="1074"/>
      <c r="R243" s="1074"/>
      <c r="S243" s="1074"/>
      <c r="T243" s="1074"/>
      <c r="U243" s="1074"/>
      <c r="V243" s="1074"/>
      <c r="W243" s="1074"/>
      <c r="X243" s="1074"/>
      <c r="Y243" s="1074"/>
      <c r="Z243" s="1074"/>
      <c r="AA243" s="1074"/>
      <c r="AB243" s="1074"/>
      <c r="AC243" s="1074"/>
      <c r="AD243" s="1074"/>
      <c r="AE243" s="1074"/>
      <c r="AF243" s="1074"/>
      <c r="AG243" s="1074"/>
      <c r="AH243" s="1074"/>
      <c r="AI243" s="1074"/>
      <c r="AJ243" s="1074"/>
      <c r="AK243" s="1074"/>
      <c r="AL243" s="1074"/>
      <c r="AM243" s="1074"/>
      <c r="AN243" s="1074"/>
      <c r="AO243" s="1074"/>
      <c r="AP243" s="1074"/>
      <c r="AQ243" s="1074"/>
      <c r="AR243" s="1074"/>
      <c r="AS243" s="1074"/>
      <c r="AT243" s="1075"/>
    </row>
    <row r="244" ht="14.25" customHeight="1">
      <c r="A244" s="1116"/>
      <c r="B244" s="1120"/>
      <c r="C244" s="1100"/>
      <c r="D244" s="1100"/>
      <c r="E244" s="1100"/>
      <c r="F244" s="1100"/>
      <c r="G244" s="1100"/>
      <c r="H244" s="1100"/>
      <c r="I244" s="1100"/>
      <c r="J244" s="1100"/>
      <c r="K244" s="1074"/>
      <c r="L244" s="1074"/>
      <c r="M244" s="1074"/>
      <c r="N244" s="1074"/>
      <c r="O244" s="1074"/>
      <c r="P244" s="1074"/>
      <c r="Q244" s="1074"/>
      <c r="R244" s="1074"/>
      <c r="S244" s="1074"/>
      <c r="T244" s="1074"/>
      <c r="U244" s="1074"/>
      <c r="V244" s="1074"/>
      <c r="W244" s="1074"/>
      <c r="X244" s="1074"/>
      <c r="Y244" s="1074"/>
      <c r="Z244" s="1074"/>
      <c r="AA244" s="1074"/>
      <c r="AB244" s="1074"/>
      <c r="AC244" s="1074"/>
      <c r="AD244" s="1074"/>
      <c r="AE244" s="1074"/>
      <c r="AF244" s="1074"/>
      <c r="AG244" s="1074"/>
      <c r="AH244" s="1074"/>
      <c r="AI244" s="1074"/>
      <c r="AJ244" s="1074"/>
      <c r="AK244" s="1074"/>
      <c r="AL244" s="1074"/>
      <c r="AM244" s="1074"/>
      <c r="AN244" s="1074"/>
      <c r="AO244" s="1074"/>
      <c r="AP244" s="1074"/>
      <c r="AQ244" s="1074"/>
      <c r="AR244" s="1074"/>
      <c r="AS244" s="1074"/>
      <c r="AT244" s="1075"/>
    </row>
    <row r="245" ht="14.25" customHeight="1">
      <c r="A245" s="1116"/>
      <c r="B245" s="1120"/>
      <c r="C245" s="1100"/>
      <c r="D245" s="1100"/>
      <c r="E245" s="1100"/>
      <c r="F245" s="1100"/>
      <c r="G245" s="1100"/>
      <c r="H245" s="1100"/>
      <c r="I245" s="1100"/>
      <c r="J245" s="1100"/>
      <c r="K245" s="1074"/>
      <c r="L245" s="1074"/>
      <c r="M245" s="1074"/>
      <c r="N245" s="1074"/>
      <c r="O245" s="1074"/>
      <c r="P245" s="1074"/>
      <c r="Q245" s="1074"/>
      <c r="R245" s="1074"/>
      <c r="S245" s="1074"/>
      <c r="T245" s="1074"/>
      <c r="U245" s="1074"/>
      <c r="V245" s="1074"/>
      <c r="W245" s="1074"/>
      <c r="X245" s="1074"/>
      <c r="Y245" s="1074"/>
      <c r="Z245" s="1074"/>
      <c r="AA245" s="1074"/>
      <c r="AB245" s="1074"/>
      <c r="AC245" s="1074"/>
      <c r="AD245" s="1074"/>
      <c r="AE245" s="1074"/>
      <c r="AF245" s="1074"/>
      <c r="AG245" s="1074"/>
      <c r="AH245" s="1074"/>
      <c r="AI245" s="1074"/>
      <c r="AJ245" s="1074"/>
      <c r="AK245" s="1074"/>
      <c r="AL245" s="1074"/>
      <c r="AM245" s="1074"/>
      <c r="AN245" s="1074"/>
      <c r="AO245" s="1074"/>
      <c r="AP245" s="1074"/>
      <c r="AQ245" s="1074"/>
      <c r="AR245" s="1074"/>
      <c r="AS245" s="1074"/>
      <c r="AT245" s="1075"/>
    </row>
    <row r="246" ht="14.25" customHeight="1">
      <c r="A246" s="1116"/>
      <c r="B246" s="1120"/>
      <c r="C246" s="1100"/>
      <c r="D246" s="1100"/>
      <c r="E246" s="1100"/>
      <c r="F246" s="1100"/>
      <c r="G246" s="1100"/>
      <c r="H246" s="1100"/>
      <c r="I246" s="1100"/>
      <c r="J246" s="1100"/>
      <c r="K246" s="1074"/>
      <c r="L246" s="1074"/>
      <c r="M246" s="1074"/>
      <c r="N246" s="1074"/>
      <c r="O246" s="1074"/>
      <c r="P246" s="1074"/>
      <c r="Q246" s="1074"/>
      <c r="R246" s="1074"/>
      <c r="S246" s="1074"/>
      <c r="T246" s="1074"/>
      <c r="U246" s="1074"/>
      <c r="V246" s="1074"/>
      <c r="W246" s="1074"/>
      <c r="X246" s="1074"/>
      <c r="Y246" s="1074"/>
      <c r="Z246" s="1074"/>
      <c r="AA246" s="1074"/>
      <c r="AB246" s="1074"/>
      <c r="AC246" s="1074"/>
      <c r="AD246" s="1074"/>
      <c r="AE246" s="1074"/>
      <c r="AF246" s="1074"/>
      <c r="AG246" s="1074"/>
      <c r="AH246" s="1074"/>
      <c r="AI246" s="1074"/>
      <c r="AJ246" s="1074"/>
      <c r="AK246" s="1074"/>
      <c r="AL246" s="1074"/>
      <c r="AM246" s="1074"/>
      <c r="AN246" s="1074"/>
      <c r="AO246" s="1074"/>
      <c r="AP246" s="1074"/>
      <c r="AQ246" s="1074"/>
      <c r="AR246" s="1074"/>
      <c r="AS246" s="1074"/>
      <c r="AT246" s="1075"/>
    </row>
    <row r="247" ht="14.25" customHeight="1">
      <c r="A247" s="1116"/>
      <c r="B247" s="1120"/>
      <c r="C247" s="1100"/>
      <c r="D247" s="1100"/>
      <c r="E247" s="1100"/>
      <c r="F247" s="1100"/>
      <c r="G247" s="1100"/>
      <c r="H247" s="1100"/>
      <c r="I247" s="1100"/>
      <c r="J247" s="1100"/>
      <c r="K247" s="1074"/>
      <c r="L247" s="1074"/>
      <c r="M247" s="1074"/>
      <c r="N247" s="1074"/>
      <c r="O247" s="1074"/>
      <c r="P247" s="1074"/>
      <c r="Q247" s="1074"/>
      <c r="R247" s="1074"/>
      <c r="S247" s="1074"/>
      <c r="T247" s="1074"/>
      <c r="U247" s="1074"/>
      <c r="V247" s="1074"/>
      <c r="W247" s="1074"/>
      <c r="X247" s="1074"/>
      <c r="Y247" s="1074"/>
      <c r="Z247" s="1074"/>
      <c r="AA247" s="1074"/>
      <c r="AB247" s="1074"/>
      <c r="AC247" s="1074"/>
      <c r="AD247" s="1074"/>
      <c r="AE247" s="1074"/>
      <c r="AF247" s="1074"/>
      <c r="AG247" s="1074"/>
      <c r="AH247" s="1074"/>
      <c r="AI247" s="1074"/>
      <c r="AJ247" s="1074"/>
      <c r="AK247" s="1074"/>
      <c r="AL247" s="1074"/>
      <c r="AM247" s="1074"/>
      <c r="AN247" s="1074"/>
      <c r="AO247" s="1074"/>
      <c r="AP247" s="1074"/>
      <c r="AQ247" s="1074"/>
      <c r="AR247" s="1074"/>
      <c r="AS247" s="1074"/>
      <c r="AT247" s="1075"/>
    </row>
    <row r="248" ht="14.25" customHeight="1">
      <c r="A248" s="1116"/>
      <c r="B248" s="1120"/>
      <c r="C248" s="1100"/>
      <c r="D248" s="1100"/>
      <c r="E248" s="1100"/>
      <c r="F248" s="1100"/>
      <c r="G248" s="1100"/>
      <c r="H248" s="1100"/>
      <c r="I248" s="1100"/>
      <c r="J248" s="1100"/>
      <c r="K248" s="1074"/>
      <c r="L248" s="1074"/>
      <c r="M248" s="1074"/>
      <c r="N248" s="1074"/>
      <c r="O248" s="1074"/>
      <c r="P248" s="1074"/>
      <c r="Q248" s="1074"/>
      <c r="R248" s="1074"/>
      <c r="S248" s="1074"/>
      <c r="T248" s="1074"/>
      <c r="U248" s="1074"/>
      <c r="V248" s="1074"/>
      <c r="W248" s="1074"/>
      <c r="X248" s="1074"/>
      <c r="Y248" s="1074"/>
      <c r="Z248" s="1074"/>
      <c r="AA248" s="1074"/>
      <c r="AB248" s="1074"/>
      <c r="AC248" s="1074"/>
      <c r="AD248" s="1074"/>
      <c r="AE248" s="1074"/>
      <c r="AF248" s="1074"/>
      <c r="AG248" s="1074"/>
      <c r="AH248" s="1074"/>
      <c r="AI248" s="1074"/>
      <c r="AJ248" s="1074"/>
      <c r="AK248" s="1074"/>
      <c r="AL248" s="1074"/>
      <c r="AM248" s="1074"/>
      <c r="AN248" s="1074"/>
      <c r="AO248" s="1074"/>
      <c r="AP248" s="1074"/>
      <c r="AQ248" s="1074"/>
      <c r="AR248" s="1074"/>
      <c r="AS248" s="1074"/>
      <c r="AT248" s="1075"/>
    </row>
    <row r="249" ht="14.25" customHeight="1">
      <c r="A249" s="1116"/>
      <c r="B249" s="1120"/>
      <c r="C249" s="1100"/>
      <c r="D249" s="1100"/>
      <c r="E249" s="1100"/>
      <c r="F249" s="1100"/>
      <c r="G249" s="1100"/>
      <c r="H249" s="1100"/>
      <c r="I249" s="1100"/>
      <c r="J249" s="1100"/>
      <c r="K249" s="1074"/>
      <c r="L249" s="1074"/>
      <c r="M249" s="1074"/>
      <c r="N249" s="1074"/>
      <c r="O249" s="1074"/>
      <c r="P249" s="1074"/>
      <c r="Q249" s="1074"/>
      <c r="R249" s="1074"/>
      <c r="S249" s="1074"/>
      <c r="T249" s="1074"/>
      <c r="U249" s="1074"/>
      <c r="V249" s="1074"/>
      <c r="W249" s="1074"/>
      <c r="X249" s="1074"/>
      <c r="Y249" s="1074"/>
      <c r="Z249" s="1074"/>
      <c r="AA249" s="1074"/>
      <c r="AB249" s="1074"/>
      <c r="AC249" s="1074"/>
      <c r="AD249" s="1074"/>
      <c r="AE249" s="1074"/>
      <c r="AF249" s="1074"/>
      <c r="AG249" s="1074"/>
      <c r="AH249" s="1074"/>
      <c r="AI249" s="1074"/>
      <c r="AJ249" s="1074"/>
      <c r="AK249" s="1074"/>
      <c r="AL249" s="1074"/>
      <c r="AM249" s="1074"/>
      <c r="AN249" s="1074"/>
      <c r="AO249" s="1074"/>
      <c r="AP249" s="1074"/>
      <c r="AQ249" s="1074"/>
      <c r="AR249" s="1074"/>
      <c r="AS249" s="1074"/>
      <c r="AT249" s="1075"/>
    </row>
    <row r="250" ht="14.25" customHeight="1">
      <c r="A250" s="1116"/>
      <c r="B250" s="1120"/>
      <c r="C250" s="1100"/>
      <c r="D250" s="1100"/>
      <c r="E250" s="1100"/>
      <c r="F250" s="1100"/>
      <c r="G250" s="1100"/>
      <c r="H250" s="1100"/>
      <c r="I250" s="1100"/>
      <c r="J250" s="1100"/>
      <c r="K250" s="1074"/>
      <c r="L250" s="1074"/>
      <c r="M250" s="1074"/>
      <c r="N250" s="1074"/>
      <c r="O250" s="1074"/>
      <c r="P250" s="1074"/>
      <c r="Q250" s="1074"/>
      <c r="R250" s="1074"/>
      <c r="S250" s="1074"/>
      <c r="T250" s="1074"/>
      <c r="U250" s="1074"/>
      <c r="V250" s="1074"/>
      <c r="W250" s="1074"/>
      <c r="X250" s="1074"/>
      <c r="Y250" s="1074"/>
      <c r="Z250" s="1074"/>
      <c r="AA250" s="1074"/>
      <c r="AB250" s="1074"/>
      <c r="AC250" s="1074"/>
      <c r="AD250" s="1074"/>
      <c r="AE250" s="1074"/>
      <c r="AF250" s="1074"/>
      <c r="AG250" s="1074"/>
      <c r="AH250" s="1074"/>
      <c r="AI250" s="1074"/>
      <c r="AJ250" s="1074"/>
      <c r="AK250" s="1074"/>
      <c r="AL250" s="1074"/>
      <c r="AM250" s="1074"/>
      <c r="AN250" s="1074"/>
      <c r="AO250" s="1074"/>
      <c r="AP250" s="1074"/>
      <c r="AQ250" s="1074"/>
      <c r="AR250" s="1074"/>
      <c r="AS250" s="1074"/>
      <c r="AT250" s="1075"/>
    </row>
    <row r="251" ht="14.25" customHeight="1">
      <c r="A251" s="1116"/>
      <c r="B251" s="1120"/>
      <c r="C251" s="1100"/>
      <c r="D251" s="1100"/>
      <c r="E251" s="1100"/>
      <c r="F251" s="1100"/>
      <c r="G251" s="1100"/>
      <c r="H251" s="1100"/>
      <c r="I251" s="1100"/>
      <c r="J251" s="1100"/>
      <c r="K251" s="1074"/>
      <c r="L251" s="1074"/>
      <c r="M251" s="1074"/>
      <c r="N251" s="1074"/>
      <c r="O251" s="1074"/>
      <c r="P251" s="1074"/>
      <c r="Q251" s="1074"/>
      <c r="R251" s="1074"/>
      <c r="S251" s="1074"/>
      <c r="T251" s="1074"/>
      <c r="U251" s="1074"/>
      <c r="V251" s="1074"/>
      <c r="W251" s="1074"/>
      <c r="X251" s="1074"/>
      <c r="Y251" s="1074"/>
      <c r="Z251" s="1074"/>
      <c r="AA251" s="1074"/>
      <c r="AB251" s="1074"/>
      <c r="AC251" s="1074"/>
      <c r="AD251" s="1074"/>
      <c r="AE251" s="1074"/>
      <c r="AF251" s="1074"/>
      <c r="AG251" s="1074"/>
      <c r="AH251" s="1074"/>
      <c r="AI251" s="1074"/>
      <c r="AJ251" s="1074"/>
      <c r="AK251" s="1074"/>
      <c r="AL251" s="1074"/>
      <c r="AM251" s="1074"/>
      <c r="AN251" s="1074"/>
      <c r="AO251" s="1074"/>
      <c r="AP251" s="1074"/>
      <c r="AQ251" s="1074"/>
      <c r="AR251" s="1074"/>
      <c r="AS251" s="1074"/>
      <c r="AT251" s="1075"/>
    </row>
    <row r="252" ht="14.25" customHeight="1">
      <c r="A252" s="1116"/>
      <c r="B252" s="1120"/>
      <c r="C252" s="1100"/>
      <c r="D252" s="1100"/>
      <c r="E252" s="1100"/>
      <c r="F252" s="1100"/>
      <c r="G252" s="1100"/>
      <c r="H252" s="1100"/>
      <c r="I252" s="1100"/>
      <c r="J252" s="1100"/>
      <c r="K252" s="1074"/>
      <c r="L252" s="1074"/>
      <c r="M252" s="1074"/>
      <c r="N252" s="1074"/>
      <c r="O252" s="1074"/>
      <c r="P252" s="1074"/>
      <c r="Q252" s="1074"/>
      <c r="R252" s="1074"/>
      <c r="S252" s="1074"/>
      <c r="T252" s="1074"/>
      <c r="U252" s="1074"/>
      <c r="V252" s="1074"/>
      <c r="W252" s="1074"/>
      <c r="X252" s="1074"/>
      <c r="Y252" s="1074"/>
      <c r="Z252" s="1074"/>
      <c r="AA252" s="1074"/>
      <c r="AB252" s="1074"/>
      <c r="AC252" s="1074"/>
      <c r="AD252" s="1074"/>
      <c r="AE252" s="1074"/>
      <c r="AF252" s="1074"/>
      <c r="AG252" s="1074"/>
      <c r="AH252" s="1074"/>
      <c r="AI252" s="1074"/>
      <c r="AJ252" s="1074"/>
      <c r="AK252" s="1074"/>
      <c r="AL252" s="1074"/>
      <c r="AM252" s="1074"/>
      <c r="AN252" s="1074"/>
      <c r="AO252" s="1074"/>
      <c r="AP252" s="1074"/>
      <c r="AQ252" s="1074"/>
      <c r="AR252" s="1074"/>
      <c r="AS252" s="1074"/>
      <c r="AT252" s="1075"/>
    </row>
    <row r="253" ht="14.25" customHeight="1">
      <c r="A253" s="1116"/>
      <c r="B253" s="1120"/>
      <c r="C253" s="1100"/>
      <c r="D253" s="1100"/>
      <c r="E253" s="1100"/>
      <c r="F253" s="1100"/>
      <c r="G253" s="1100"/>
      <c r="H253" s="1100"/>
      <c r="I253" s="1100"/>
      <c r="J253" s="1100"/>
      <c r="K253" s="1074"/>
      <c r="L253" s="1074"/>
      <c r="M253" s="1074"/>
      <c r="N253" s="1074"/>
      <c r="O253" s="1074"/>
      <c r="P253" s="1074"/>
      <c r="Q253" s="1074"/>
      <c r="R253" s="1074"/>
      <c r="S253" s="1074"/>
      <c r="T253" s="1074"/>
      <c r="U253" s="1074"/>
      <c r="V253" s="1074"/>
      <c r="W253" s="1074"/>
      <c r="X253" s="1074"/>
      <c r="Y253" s="1074"/>
      <c r="Z253" s="1074"/>
      <c r="AA253" s="1074"/>
      <c r="AB253" s="1074"/>
      <c r="AC253" s="1074"/>
      <c r="AD253" s="1074"/>
      <c r="AE253" s="1074"/>
      <c r="AF253" s="1074"/>
      <c r="AG253" s="1074"/>
      <c r="AH253" s="1074"/>
      <c r="AI253" s="1074"/>
      <c r="AJ253" s="1074"/>
      <c r="AK253" s="1074"/>
      <c r="AL253" s="1074"/>
      <c r="AM253" s="1074"/>
      <c r="AN253" s="1074"/>
      <c r="AO253" s="1074"/>
      <c r="AP253" s="1074"/>
      <c r="AQ253" s="1074"/>
      <c r="AR253" s="1074"/>
      <c r="AS253" s="1074"/>
      <c r="AT253" s="1075"/>
    </row>
    <row r="254" ht="14.25" customHeight="1">
      <c r="A254" s="1116"/>
      <c r="B254" s="1120"/>
      <c r="C254" s="1100"/>
      <c r="D254" s="1100"/>
      <c r="E254" s="1100"/>
      <c r="F254" s="1100"/>
      <c r="G254" s="1100"/>
      <c r="H254" s="1100"/>
      <c r="I254" s="1100"/>
      <c r="J254" s="1100"/>
      <c r="K254" s="1074"/>
      <c r="L254" s="1074"/>
      <c r="M254" s="1074"/>
      <c r="N254" s="1074"/>
      <c r="O254" s="1074"/>
      <c r="P254" s="1074"/>
      <c r="Q254" s="1074"/>
      <c r="R254" s="1074"/>
      <c r="S254" s="1074"/>
      <c r="T254" s="1074"/>
      <c r="U254" s="1074"/>
      <c r="V254" s="1074"/>
      <c r="W254" s="1074"/>
      <c r="X254" s="1074"/>
      <c r="Y254" s="1074"/>
      <c r="Z254" s="1074"/>
      <c r="AA254" s="1074"/>
      <c r="AB254" s="1074"/>
      <c r="AC254" s="1074"/>
      <c r="AD254" s="1074"/>
      <c r="AE254" s="1074"/>
      <c r="AF254" s="1074"/>
      <c r="AG254" s="1074"/>
      <c r="AH254" s="1074"/>
      <c r="AI254" s="1074"/>
      <c r="AJ254" s="1074"/>
      <c r="AK254" s="1074"/>
      <c r="AL254" s="1074"/>
      <c r="AM254" s="1074"/>
      <c r="AN254" s="1074"/>
      <c r="AO254" s="1074"/>
      <c r="AP254" s="1074"/>
      <c r="AQ254" s="1074"/>
      <c r="AR254" s="1074"/>
      <c r="AS254" s="1074"/>
      <c r="AT254" s="1075"/>
    </row>
    <row r="255" ht="14.25" customHeight="1">
      <c r="A255" s="1116"/>
      <c r="B255" s="1120"/>
      <c r="C255" s="1100"/>
      <c r="D255" s="1100"/>
      <c r="E255" s="1100"/>
      <c r="F255" s="1100"/>
      <c r="G255" s="1100"/>
      <c r="H255" s="1100"/>
      <c r="I255" s="1100"/>
      <c r="J255" s="1100"/>
      <c r="K255" s="1074"/>
      <c r="L255" s="1074"/>
      <c r="M255" s="1074"/>
      <c r="N255" s="1074"/>
      <c r="O255" s="1074"/>
      <c r="P255" s="1074"/>
      <c r="Q255" s="1074"/>
      <c r="R255" s="1074"/>
      <c r="S255" s="1074"/>
      <c r="T255" s="1074"/>
      <c r="U255" s="1074"/>
      <c r="V255" s="1074"/>
      <c r="W255" s="1074"/>
      <c r="X255" s="1074"/>
      <c r="Y255" s="1074"/>
      <c r="Z255" s="1074"/>
      <c r="AA255" s="1074"/>
      <c r="AB255" s="1074"/>
      <c r="AC255" s="1074"/>
      <c r="AD255" s="1074"/>
      <c r="AE255" s="1074"/>
      <c r="AF255" s="1074"/>
      <c r="AG255" s="1074"/>
      <c r="AH255" s="1074"/>
      <c r="AI255" s="1074"/>
      <c r="AJ255" s="1074"/>
      <c r="AK255" s="1074"/>
      <c r="AL255" s="1074"/>
      <c r="AM255" s="1074"/>
      <c r="AN255" s="1074"/>
      <c r="AO255" s="1074"/>
      <c r="AP255" s="1074"/>
      <c r="AQ255" s="1074"/>
      <c r="AR255" s="1074"/>
      <c r="AS255" s="1074"/>
      <c r="AT255" s="1075"/>
    </row>
    <row r="256" ht="14.25" customHeight="1">
      <c r="A256" s="1116"/>
      <c r="B256" s="1120"/>
      <c r="C256" s="1100"/>
      <c r="D256" s="1100"/>
      <c r="E256" s="1100"/>
      <c r="F256" s="1100"/>
      <c r="G256" s="1100"/>
      <c r="H256" s="1100"/>
      <c r="I256" s="1100"/>
      <c r="J256" s="1100"/>
      <c r="K256" s="1074"/>
      <c r="L256" s="1074"/>
      <c r="M256" s="1074"/>
      <c r="N256" s="1074"/>
      <c r="O256" s="1074"/>
      <c r="P256" s="1074"/>
      <c r="Q256" s="1074"/>
      <c r="R256" s="1074"/>
      <c r="S256" s="1074"/>
      <c r="T256" s="1074"/>
      <c r="U256" s="1074"/>
      <c r="V256" s="1074"/>
      <c r="W256" s="1074"/>
      <c r="X256" s="1074"/>
      <c r="Y256" s="1074"/>
      <c r="Z256" s="1074"/>
      <c r="AA256" s="1074"/>
      <c r="AB256" s="1074"/>
      <c r="AC256" s="1074"/>
      <c r="AD256" s="1074"/>
      <c r="AE256" s="1074"/>
      <c r="AF256" s="1074"/>
      <c r="AG256" s="1074"/>
      <c r="AH256" s="1074"/>
      <c r="AI256" s="1074"/>
      <c r="AJ256" s="1074"/>
      <c r="AK256" s="1074"/>
      <c r="AL256" s="1074"/>
      <c r="AM256" s="1074"/>
      <c r="AN256" s="1074"/>
      <c r="AO256" s="1074"/>
      <c r="AP256" s="1074"/>
      <c r="AQ256" s="1074"/>
      <c r="AR256" s="1074"/>
      <c r="AS256" s="1074"/>
      <c r="AT256" s="1075"/>
    </row>
    <row r="257" ht="14.25" customHeight="1">
      <c r="A257" s="1116"/>
      <c r="B257" s="1120"/>
      <c r="C257" s="1100"/>
      <c r="D257" s="1100"/>
      <c r="E257" s="1100"/>
      <c r="F257" s="1100"/>
      <c r="G257" s="1100"/>
      <c r="H257" s="1100"/>
      <c r="I257" s="1100"/>
      <c r="J257" s="1100"/>
      <c r="K257" s="1074"/>
      <c r="L257" s="1074"/>
      <c r="M257" s="1074"/>
      <c r="N257" s="1074"/>
      <c r="O257" s="1074"/>
      <c r="P257" s="1074"/>
      <c r="Q257" s="1074"/>
      <c r="R257" s="1074"/>
      <c r="S257" s="1074"/>
      <c r="T257" s="1074"/>
      <c r="U257" s="1074"/>
      <c r="V257" s="1074"/>
      <c r="W257" s="1074"/>
      <c r="X257" s="1074"/>
      <c r="Y257" s="1074"/>
      <c r="Z257" s="1074"/>
      <c r="AA257" s="1074"/>
      <c r="AB257" s="1074"/>
      <c r="AC257" s="1074"/>
      <c r="AD257" s="1074"/>
      <c r="AE257" s="1074"/>
      <c r="AF257" s="1074"/>
      <c r="AG257" s="1074"/>
      <c r="AH257" s="1074"/>
      <c r="AI257" s="1074"/>
      <c r="AJ257" s="1074"/>
      <c r="AK257" s="1074"/>
      <c r="AL257" s="1074"/>
      <c r="AM257" s="1074"/>
      <c r="AN257" s="1074"/>
      <c r="AO257" s="1074"/>
      <c r="AP257" s="1074"/>
      <c r="AQ257" s="1074"/>
      <c r="AR257" s="1074"/>
      <c r="AS257" s="1074"/>
      <c r="AT257" s="1075"/>
    </row>
    <row r="258" ht="14.25" customHeight="1">
      <c r="A258" s="1116"/>
      <c r="B258" s="1120"/>
      <c r="C258" s="1100"/>
      <c r="D258" s="1100"/>
      <c r="E258" s="1100"/>
      <c r="F258" s="1100"/>
      <c r="G258" s="1100"/>
      <c r="H258" s="1100"/>
      <c r="I258" s="1100"/>
      <c r="J258" s="1100"/>
      <c r="K258" s="1074"/>
      <c r="L258" s="1074"/>
      <c r="M258" s="1074"/>
      <c r="N258" s="1074"/>
      <c r="O258" s="1074"/>
      <c r="P258" s="1074"/>
      <c r="Q258" s="1074"/>
      <c r="R258" s="1074"/>
      <c r="S258" s="1074"/>
      <c r="T258" s="1074"/>
      <c r="U258" s="1074"/>
      <c r="V258" s="1074"/>
      <c r="W258" s="1074"/>
      <c r="X258" s="1074"/>
      <c r="Y258" s="1074"/>
      <c r="Z258" s="1074"/>
      <c r="AA258" s="1074"/>
      <c r="AB258" s="1074"/>
      <c r="AC258" s="1074"/>
      <c r="AD258" s="1074"/>
      <c r="AE258" s="1074"/>
      <c r="AF258" s="1074"/>
      <c r="AG258" s="1074"/>
      <c r="AH258" s="1074"/>
      <c r="AI258" s="1074"/>
      <c r="AJ258" s="1074"/>
      <c r="AK258" s="1074"/>
      <c r="AL258" s="1074"/>
      <c r="AM258" s="1074"/>
      <c r="AN258" s="1074"/>
      <c r="AO258" s="1074"/>
      <c r="AP258" s="1074"/>
      <c r="AQ258" s="1074"/>
      <c r="AR258" s="1074"/>
      <c r="AS258" s="1074"/>
      <c r="AT258" s="1075"/>
    </row>
    <row r="259" ht="14.25" customHeight="1">
      <c r="A259" s="1116"/>
      <c r="B259" s="1120"/>
      <c r="C259" s="1100"/>
      <c r="D259" s="1100"/>
      <c r="E259" s="1100"/>
      <c r="F259" s="1100"/>
      <c r="G259" s="1100"/>
      <c r="H259" s="1100"/>
      <c r="I259" s="1100"/>
      <c r="J259" s="1100"/>
      <c r="K259" s="1074"/>
      <c r="L259" s="1074"/>
      <c r="M259" s="1074"/>
      <c r="N259" s="1074"/>
      <c r="O259" s="1074"/>
      <c r="P259" s="1074"/>
      <c r="Q259" s="1074"/>
      <c r="R259" s="1074"/>
      <c r="S259" s="1074"/>
      <c r="T259" s="1074"/>
      <c r="U259" s="1074"/>
      <c r="V259" s="1074"/>
      <c r="W259" s="1074"/>
      <c r="X259" s="1074"/>
      <c r="Y259" s="1074"/>
      <c r="Z259" s="1074"/>
      <c r="AA259" s="1074"/>
      <c r="AB259" s="1074"/>
      <c r="AC259" s="1074"/>
      <c r="AD259" s="1074"/>
      <c r="AE259" s="1074"/>
      <c r="AF259" s="1074"/>
      <c r="AG259" s="1074"/>
      <c r="AH259" s="1074"/>
      <c r="AI259" s="1074"/>
      <c r="AJ259" s="1074"/>
      <c r="AK259" s="1074"/>
      <c r="AL259" s="1074"/>
      <c r="AM259" s="1074"/>
      <c r="AN259" s="1074"/>
      <c r="AO259" s="1074"/>
      <c r="AP259" s="1074"/>
      <c r="AQ259" s="1074"/>
      <c r="AR259" s="1074"/>
      <c r="AS259" s="1074"/>
      <c r="AT259" s="1075"/>
    </row>
    <row r="260" ht="14.25" customHeight="1">
      <c r="A260" s="1116"/>
      <c r="B260" s="1120"/>
      <c r="C260" s="1100"/>
      <c r="D260" s="1100"/>
      <c r="E260" s="1100"/>
      <c r="F260" s="1100"/>
      <c r="G260" s="1100"/>
      <c r="H260" s="1100"/>
      <c r="I260" s="1100"/>
      <c r="J260" s="1100"/>
      <c r="K260" s="1074"/>
      <c r="L260" s="1074"/>
      <c r="M260" s="1074"/>
      <c r="N260" s="1074"/>
      <c r="O260" s="1074"/>
      <c r="P260" s="1074"/>
      <c r="Q260" s="1074"/>
      <c r="R260" s="1074"/>
      <c r="S260" s="1074"/>
      <c r="T260" s="1074"/>
      <c r="U260" s="1074"/>
      <c r="V260" s="1074"/>
      <c r="W260" s="1074"/>
      <c r="X260" s="1074"/>
      <c r="Y260" s="1074"/>
      <c r="Z260" s="1074"/>
      <c r="AA260" s="1074"/>
      <c r="AB260" s="1074"/>
      <c r="AC260" s="1074"/>
      <c r="AD260" s="1074"/>
      <c r="AE260" s="1074"/>
      <c r="AF260" s="1074"/>
      <c r="AG260" s="1074"/>
      <c r="AH260" s="1074"/>
      <c r="AI260" s="1074"/>
      <c r="AJ260" s="1074"/>
      <c r="AK260" s="1074"/>
      <c r="AL260" s="1074"/>
      <c r="AM260" s="1074"/>
      <c r="AN260" s="1074"/>
      <c r="AO260" s="1074"/>
      <c r="AP260" s="1074"/>
      <c r="AQ260" s="1074"/>
      <c r="AR260" s="1074"/>
      <c r="AS260" s="1074"/>
      <c r="AT260" s="1075"/>
    </row>
    <row r="261" ht="14.25" customHeight="1">
      <c r="A261" s="1116"/>
      <c r="B261" s="1120"/>
      <c r="C261" s="1100"/>
      <c r="D261" s="1100"/>
      <c r="E261" s="1100"/>
      <c r="F261" s="1100"/>
      <c r="G261" s="1100"/>
      <c r="H261" s="1100"/>
      <c r="I261" s="1100"/>
      <c r="J261" s="1100"/>
      <c r="K261" s="1074"/>
      <c r="L261" s="1074"/>
      <c r="M261" s="1074"/>
      <c r="N261" s="1074"/>
      <c r="O261" s="1074"/>
      <c r="P261" s="1074"/>
      <c r="Q261" s="1074"/>
      <c r="R261" s="1074"/>
      <c r="S261" s="1074"/>
      <c r="T261" s="1074"/>
      <c r="U261" s="1074"/>
      <c r="V261" s="1074"/>
      <c r="W261" s="1074"/>
      <c r="X261" s="1074"/>
      <c r="Y261" s="1074"/>
      <c r="Z261" s="1074"/>
      <c r="AA261" s="1074"/>
      <c r="AB261" s="1074"/>
      <c r="AC261" s="1074"/>
      <c r="AD261" s="1074"/>
      <c r="AE261" s="1074"/>
      <c r="AF261" s="1074"/>
      <c r="AG261" s="1074"/>
      <c r="AH261" s="1074"/>
      <c r="AI261" s="1074"/>
      <c r="AJ261" s="1074"/>
      <c r="AK261" s="1074"/>
      <c r="AL261" s="1074"/>
      <c r="AM261" s="1074"/>
      <c r="AN261" s="1074"/>
      <c r="AO261" s="1074"/>
      <c r="AP261" s="1074"/>
      <c r="AQ261" s="1074"/>
      <c r="AR261" s="1074"/>
      <c r="AS261" s="1074"/>
      <c r="AT261" s="1075"/>
    </row>
    <row r="262" ht="14.25" customHeight="1">
      <c r="A262" s="1116"/>
      <c r="B262" s="1120"/>
      <c r="C262" s="1100"/>
      <c r="D262" s="1100"/>
      <c r="E262" s="1100"/>
      <c r="F262" s="1100"/>
      <c r="G262" s="1100"/>
      <c r="H262" s="1100"/>
      <c r="I262" s="1100"/>
      <c r="J262" s="1100"/>
      <c r="K262" s="1074"/>
      <c r="L262" s="1074"/>
      <c r="M262" s="1074"/>
      <c r="N262" s="1074"/>
      <c r="O262" s="1074"/>
      <c r="P262" s="1074"/>
      <c r="Q262" s="1074"/>
      <c r="R262" s="1074"/>
      <c r="S262" s="1074"/>
      <c r="T262" s="1074"/>
      <c r="U262" s="1074"/>
      <c r="V262" s="1074"/>
      <c r="W262" s="1074"/>
      <c r="X262" s="1074"/>
      <c r="Y262" s="1074"/>
      <c r="Z262" s="1074"/>
      <c r="AA262" s="1074"/>
      <c r="AB262" s="1074"/>
      <c r="AC262" s="1074"/>
      <c r="AD262" s="1074"/>
      <c r="AE262" s="1074"/>
      <c r="AF262" s="1074"/>
      <c r="AG262" s="1074"/>
      <c r="AH262" s="1074"/>
      <c r="AI262" s="1074"/>
      <c r="AJ262" s="1074"/>
      <c r="AK262" s="1074"/>
      <c r="AL262" s="1074"/>
      <c r="AM262" s="1074"/>
      <c r="AN262" s="1074"/>
      <c r="AO262" s="1074"/>
      <c r="AP262" s="1074"/>
      <c r="AQ262" s="1074"/>
      <c r="AR262" s="1074"/>
      <c r="AS262" s="1074"/>
      <c r="AT262" s="1075"/>
    </row>
    <row r="263" ht="14.25" customHeight="1">
      <c r="A263" s="1116"/>
      <c r="B263" s="1120"/>
      <c r="C263" s="1100"/>
      <c r="D263" s="1100"/>
      <c r="E263" s="1100"/>
      <c r="F263" s="1100"/>
      <c r="G263" s="1100"/>
      <c r="H263" s="1100"/>
      <c r="I263" s="1100"/>
      <c r="J263" s="1100"/>
      <c r="K263" s="1074"/>
      <c r="L263" s="1074"/>
      <c r="M263" s="1074"/>
      <c r="N263" s="1074"/>
      <c r="O263" s="1074"/>
      <c r="P263" s="1074"/>
      <c r="Q263" s="1074"/>
      <c r="R263" s="1074"/>
      <c r="S263" s="1074"/>
      <c r="T263" s="1074"/>
      <c r="U263" s="1074"/>
      <c r="V263" s="1074"/>
      <c r="W263" s="1074"/>
      <c r="X263" s="1074"/>
      <c r="Y263" s="1074"/>
      <c r="Z263" s="1074"/>
      <c r="AA263" s="1074"/>
      <c r="AB263" s="1074"/>
      <c r="AC263" s="1074"/>
      <c r="AD263" s="1074"/>
      <c r="AE263" s="1074"/>
      <c r="AF263" s="1074"/>
      <c r="AG263" s="1074"/>
      <c r="AH263" s="1074"/>
      <c r="AI263" s="1074"/>
      <c r="AJ263" s="1074"/>
      <c r="AK263" s="1074"/>
      <c r="AL263" s="1074"/>
      <c r="AM263" s="1074"/>
      <c r="AN263" s="1074"/>
      <c r="AO263" s="1074"/>
      <c r="AP263" s="1074"/>
      <c r="AQ263" s="1074"/>
      <c r="AR263" s="1074"/>
      <c r="AS263" s="1074"/>
      <c r="AT263" s="1075"/>
    </row>
    <row r="264" ht="14.25" customHeight="1">
      <c r="A264" s="1116"/>
      <c r="B264" s="1120"/>
      <c r="C264" s="1100"/>
      <c r="D264" s="1100"/>
      <c r="E264" s="1100"/>
      <c r="F264" s="1100"/>
      <c r="G264" s="1100"/>
      <c r="H264" s="1100"/>
      <c r="I264" s="1100"/>
      <c r="J264" s="1100"/>
      <c r="K264" s="1074"/>
      <c r="L264" s="1074"/>
      <c r="M264" s="1074"/>
      <c r="N264" s="1074"/>
      <c r="O264" s="1074"/>
      <c r="P264" s="1074"/>
      <c r="Q264" s="1074"/>
      <c r="R264" s="1074"/>
      <c r="S264" s="1074"/>
      <c r="T264" s="1074"/>
      <c r="U264" s="1074"/>
      <c r="V264" s="1074"/>
      <c r="W264" s="1074"/>
      <c r="X264" s="1074"/>
      <c r="Y264" s="1074"/>
      <c r="Z264" s="1074"/>
      <c r="AA264" s="1074"/>
      <c r="AB264" s="1074"/>
      <c r="AC264" s="1074"/>
      <c r="AD264" s="1074"/>
      <c r="AE264" s="1074"/>
      <c r="AF264" s="1074"/>
      <c r="AG264" s="1074"/>
      <c r="AH264" s="1074"/>
      <c r="AI264" s="1074"/>
      <c r="AJ264" s="1074"/>
      <c r="AK264" s="1074"/>
      <c r="AL264" s="1074"/>
      <c r="AM264" s="1074"/>
      <c r="AN264" s="1074"/>
      <c r="AO264" s="1074"/>
      <c r="AP264" s="1074"/>
      <c r="AQ264" s="1074"/>
      <c r="AR264" s="1074"/>
      <c r="AS264" s="1074"/>
      <c r="AT264" s="1075"/>
    </row>
    <row r="265" ht="14.25" customHeight="1">
      <c r="A265" s="1116"/>
      <c r="B265" s="1120"/>
      <c r="C265" s="1100"/>
      <c r="D265" s="1100"/>
      <c r="E265" s="1100"/>
      <c r="F265" s="1100"/>
      <c r="G265" s="1100"/>
      <c r="H265" s="1100"/>
      <c r="I265" s="1100"/>
      <c r="J265" s="1100"/>
      <c r="K265" s="1074"/>
      <c r="L265" s="1074"/>
      <c r="M265" s="1074"/>
      <c r="N265" s="1074"/>
      <c r="O265" s="1074"/>
      <c r="P265" s="1074"/>
      <c r="Q265" s="1074"/>
      <c r="R265" s="1074"/>
      <c r="S265" s="1074"/>
      <c r="T265" s="1074"/>
      <c r="U265" s="1074"/>
      <c r="V265" s="1074"/>
      <c r="W265" s="1074"/>
      <c r="X265" s="1074"/>
      <c r="Y265" s="1074"/>
      <c r="Z265" s="1074"/>
      <c r="AA265" s="1074"/>
      <c r="AB265" s="1074"/>
      <c r="AC265" s="1074"/>
      <c r="AD265" s="1074"/>
      <c r="AE265" s="1074"/>
      <c r="AF265" s="1074"/>
      <c r="AG265" s="1074"/>
      <c r="AH265" s="1074"/>
      <c r="AI265" s="1074"/>
      <c r="AJ265" s="1074"/>
      <c r="AK265" s="1074"/>
      <c r="AL265" s="1074"/>
      <c r="AM265" s="1074"/>
      <c r="AN265" s="1074"/>
      <c r="AO265" s="1074"/>
      <c r="AP265" s="1074"/>
      <c r="AQ265" s="1074"/>
      <c r="AR265" s="1074"/>
      <c r="AS265" s="1074"/>
      <c r="AT265" s="1075"/>
    </row>
    <row r="266" ht="14.25" customHeight="1">
      <c r="A266" s="1116"/>
      <c r="B266" s="1120"/>
      <c r="C266" s="1100"/>
      <c r="D266" s="1100"/>
      <c r="E266" s="1100"/>
      <c r="F266" s="1100"/>
      <c r="G266" s="1100"/>
      <c r="H266" s="1100"/>
      <c r="I266" s="1100"/>
      <c r="J266" s="1100"/>
      <c r="K266" s="1074"/>
      <c r="L266" s="1074"/>
      <c r="M266" s="1074"/>
      <c r="N266" s="1074"/>
      <c r="O266" s="1074"/>
      <c r="P266" s="1074"/>
      <c r="Q266" s="1074"/>
      <c r="R266" s="1074"/>
      <c r="S266" s="1074"/>
      <c r="T266" s="1074"/>
      <c r="U266" s="1074"/>
      <c r="V266" s="1074"/>
      <c r="W266" s="1074"/>
      <c r="X266" s="1074"/>
      <c r="Y266" s="1074"/>
      <c r="Z266" s="1074"/>
      <c r="AA266" s="1074"/>
      <c r="AB266" s="1074"/>
      <c r="AC266" s="1074"/>
      <c r="AD266" s="1074"/>
      <c r="AE266" s="1074"/>
      <c r="AF266" s="1074"/>
      <c r="AG266" s="1074"/>
      <c r="AH266" s="1074"/>
      <c r="AI266" s="1074"/>
      <c r="AJ266" s="1074"/>
      <c r="AK266" s="1074"/>
      <c r="AL266" s="1074"/>
      <c r="AM266" s="1074"/>
      <c r="AN266" s="1074"/>
      <c r="AO266" s="1074"/>
      <c r="AP266" s="1074"/>
      <c r="AQ266" s="1074"/>
      <c r="AR266" s="1074"/>
      <c r="AS266" s="1074"/>
      <c r="AT266" s="1075"/>
    </row>
    <row r="267" ht="14.25" customHeight="1">
      <c r="A267" s="1116"/>
      <c r="B267" s="1120"/>
      <c r="C267" s="1100"/>
      <c r="D267" s="1100"/>
      <c r="E267" s="1100"/>
      <c r="F267" s="1100"/>
      <c r="G267" s="1100"/>
      <c r="H267" s="1100"/>
      <c r="I267" s="1100"/>
      <c r="J267" s="1100"/>
      <c r="K267" s="1074"/>
      <c r="L267" s="1074"/>
      <c r="M267" s="1074"/>
      <c r="N267" s="1074"/>
      <c r="O267" s="1074"/>
      <c r="P267" s="1074"/>
      <c r="Q267" s="1074"/>
      <c r="R267" s="1074"/>
      <c r="S267" s="1074"/>
      <c r="T267" s="1074"/>
      <c r="U267" s="1074"/>
      <c r="V267" s="1074"/>
      <c r="W267" s="1074"/>
      <c r="X267" s="1074"/>
      <c r="Y267" s="1074"/>
      <c r="Z267" s="1074"/>
      <c r="AA267" s="1074"/>
      <c r="AB267" s="1074"/>
      <c r="AC267" s="1074"/>
      <c r="AD267" s="1074"/>
      <c r="AE267" s="1074"/>
      <c r="AF267" s="1074"/>
      <c r="AG267" s="1074"/>
      <c r="AH267" s="1074"/>
      <c r="AI267" s="1074"/>
      <c r="AJ267" s="1074"/>
      <c r="AK267" s="1074"/>
      <c r="AL267" s="1074"/>
      <c r="AM267" s="1074"/>
      <c r="AN267" s="1074"/>
      <c r="AO267" s="1074"/>
      <c r="AP267" s="1074"/>
      <c r="AQ267" s="1074"/>
      <c r="AR267" s="1074"/>
      <c r="AS267" s="1074"/>
      <c r="AT267" s="1075"/>
    </row>
    <row r="268" ht="14.25" customHeight="1">
      <c r="A268" s="1116"/>
      <c r="B268" s="1120"/>
      <c r="C268" s="1100"/>
      <c r="D268" s="1100"/>
      <c r="E268" s="1100"/>
      <c r="F268" s="1100"/>
      <c r="G268" s="1100"/>
      <c r="H268" s="1100"/>
      <c r="I268" s="1100"/>
      <c r="J268" s="1100"/>
      <c r="K268" s="1074"/>
      <c r="L268" s="1074"/>
      <c r="M268" s="1074"/>
      <c r="N268" s="1074"/>
      <c r="O268" s="1074"/>
      <c r="P268" s="1074"/>
      <c r="Q268" s="1074"/>
      <c r="R268" s="1074"/>
      <c r="S268" s="1074"/>
      <c r="T268" s="1074"/>
      <c r="U268" s="1074"/>
      <c r="V268" s="1074"/>
      <c r="W268" s="1074"/>
      <c r="X268" s="1074"/>
      <c r="Y268" s="1074"/>
      <c r="Z268" s="1074"/>
      <c r="AA268" s="1074"/>
      <c r="AB268" s="1074"/>
      <c r="AC268" s="1074"/>
      <c r="AD268" s="1074"/>
      <c r="AE268" s="1074"/>
      <c r="AF268" s="1074"/>
      <c r="AG268" s="1074"/>
      <c r="AH268" s="1074"/>
      <c r="AI268" s="1074"/>
      <c r="AJ268" s="1074"/>
      <c r="AK268" s="1074"/>
      <c r="AL268" s="1074"/>
      <c r="AM268" s="1074"/>
      <c r="AN268" s="1074"/>
      <c r="AO268" s="1074"/>
      <c r="AP268" s="1074"/>
      <c r="AQ268" s="1074"/>
      <c r="AR268" s="1074"/>
      <c r="AS268" s="1074"/>
      <c r="AT268" s="1075"/>
    </row>
    <row r="269" ht="14.25" customHeight="1">
      <c r="A269" s="1116"/>
      <c r="B269" s="1120"/>
      <c r="C269" s="1100"/>
      <c r="D269" s="1100"/>
      <c r="E269" s="1100"/>
      <c r="F269" s="1100"/>
      <c r="G269" s="1100"/>
      <c r="H269" s="1100"/>
      <c r="I269" s="1100"/>
      <c r="J269" s="1100"/>
      <c r="K269" s="1074"/>
      <c r="L269" s="1074"/>
      <c r="M269" s="1074"/>
      <c r="N269" s="1074"/>
      <c r="O269" s="1074"/>
      <c r="P269" s="1074"/>
      <c r="Q269" s="1074"/>
      <c r="R269" s="1074"/>
      <c r="S269" s="1074"/>
      <c r="T269" s="1074"/>
      <c r="U269" s="1074"/>
      <c r="V269" s="1074"/>
      <c r="W269" s="1074"/>
      <c r="X269" s="1074"/>
      <c r="Y269" s="1074"/>
      <c r="Z269" s="1074"/>
      <c r="AA269" s="1074"/>
      <c r="AB269" s="1074"/>
      <c r="AC269" s="1074"/>
      <c r="AD269" s="1074"/>
      <c r="AE269" s="1074"/>
      <c r="AF269" s="1074"/>
      <c r="AG269" s="1074"/>
      <c r="AH269" s="1074"/>
      <c r="AI269" s="1074"/>
      <c r="AJ269" s="1074"/>
      <c r="AK269" s="1074"/>
      <c r="AL269" s="1074"/>
      <c r="AM269" s="1074"/>
      <c r="AN269" s="1074"/>
      <c r="AO269" s="1074"/>
      <c r="AP269" s="1074"/>
      <c r="AQ269" s="1074"/>
      <c r="AR269" s="1074"/>
      <c r="AS269" s="1074"/>
      <c r="AT269" s="1075"/>
    </row>
    <row r="270" ht="14.25" customHeight="1">
      <c r="A270" s="1116"/>
      <c r="B270" s="1120"/>
      <c r="C270" s="1100"/>
      <c r="D270" s="1100"/>
      <c r="E270" s="1100"/>
      <c r="F270" s="1100"/>
      <c r="G270" s="1100"/>
      <c r="H270" s="1100"/>
      <c r="I270" s="1100"/>
      <c r="J270" s="1100"/>
      <c r="K270" s="1074"/>
      <c r="L270" s="1074"/>
      <c r="M270" s="1074"/>
      <c r="N270" s="1074"/>
      <c r="O270" s="1074"/>
      <c r="P270" s="1074"/>
      <c r="Q270" s="1074"/>
      <c r="R270" s="1074"/>
      <c r="S270" s="1074"/>
      <c r="T270" s="1074"/>
      <c r="U270" s="1074"/>
      <c r="V270" s="1074"/>
      <c r="W270" s="1074"/>
      <c r="X270" s="1074"/>
      <c r="Y270" s="1074"/>
      <c r="Z270" s="1074"/>
      <c r="AA270" s="1074"/>
      <c r="AB270" s="1074"/>
      <c r="AC270" s="1074"/>
      <c r="AD270" s="1074"/>
      <c r="AE270" s="1074"/>
      <c r="AF270" s="1074"/>
      <c r="AG270" s="1074"/>
      <c r="AH270" s="1074"/>
      <c r="AI270" s="1074"/>
      <c r="AJ270" s="1074"/>
      <c r="AK270" s="1074"/>
      <c r="AL270" s="1074"/>
      <c r="AM270" s="1074"/>
      <c r="AN270" s="1074"/>
      <c r="AO270" s="1074"/>
      <c r="AP270" s="1074"/>
      <c r="AQ270" s="1074"/>
      <c r="AR270" s="1074"/>
      <c r="AS270" s="1074"/>
      <c r="AT270" s="1075"/>
    </row>
    <row r="271" ht="14.25" customHeight="1">
      <c r="A271" s="1116"/>
      <c r="B271" s="1120"/>
      <c r="C271" s="1100"/>
      <c r="D271" s="1100"/>
      <c r="E271" s="1100"/>
      <c r="F271" s="1100"/>
      <c r="G271" s="1100"/>
      <c r="H271" s="1100"/>
      <c r="I271" s="1100"/>
      <c r="J271" s="1100"/>
      <c r="K271" s="1074"/>
      <c r="L271" s="1074"/>
      <c r="M271" s="1074"/>
      <c r="N271" s="1074"/>
      <c r="O271" s="1074"/>
      <c r="P271" s="1074"/>
      <c r="Q271" s="1074"/>
      <c r="R271" s="1074"/>
      <c r="S271" s="1074"/>
      <c r="T271" s="1074"/>
      <c r="U271" s="1074"/>
      <c r="V271" s="1074"/>
      <c r="W271" s="1074"/>
      <c r="X271" s="1074"/>
      <c r="Y271" s="1074"/>
      <c r="Z271" s="1074"/>
      <c r="AA271" s="1074"/>
      <c r="AB271" s="1074"/>
      <c r="AC271" s="1074"/>
      <c r="AD271" s="1074"/>
      <c r="AE271" s="1074"/>
      <c r="AF271" s="1074"/>
      <c r="AG271" s="1074"/>
      <c r="AH271" s="1074"/>
      <c r="AI271" s="1074"/>
      <c r="AJ271" s="1074"/>
      <c r="AK271" s="1074"/>
      <c r="AL271" s="1074"/>
      <c r="AM271" s="1074"/>
      <c r="AN271" s="1074"/>
      <c r="AO271" s="1074"/>
      <c r="AP271" s="1074"/>
      <c r="AQ271" s="1074"/>
      <c r="AR271" s="1074"/>
      <c r="AS271" s="1074"/>
      <c r="AT271" s="1075"/>
    </row>
    <row r="272" ht="14.25" customHeight="1">
      <c r="A272" s="1116"/>
      <c r="B272" s="1120"/>
      <c r="C272" s="1100"/>
      <c r="D272" s="1100"/>
      <c r="E272" s="1100"/>
      <c r="F272" s="1100"/>
      <c r="G272" s="1100"/>
      <c r="H272" s="1100"/>
      <c r="I272" s="1100"/>
      <c r="J272" s="1100"/>
      <c r="K272" s="1074"/>
      <c r="L272" s="1074"/>
      <c r="M272" s="1074"/>
      <c r="N272" s="1074"/>
      <c r="O272" s="1074"/>
      <c r="P272" s="1074"/>
      <c r="Q272" s="1074"/>
      <c r="R272" s="1074"/>
      <c r="S272" s="1074"/>
      <c r="T272" s="1074"/>
      <c r="U272" s="1074"/>
      <c r="V272" s="1074"/>
      <c r="W272" s="1074"/>
      <c r="X272" s="1074"/>
      <c r="Y272" s="1074"/>
      <c r="Z272" s="1074"/>
      <c r="AA272" s="1074"/>
      <c r="AB272" s="1074"/>
      <c r="AC272" s="1074"/>
      <c r="AD272" s="1074"/>
      <c r="AE272" s="1074"/>
      <c r="AF272" s="1074"/>
      <c r="AG272" s="1074"/>
      <c r="AH272" s="1074"/>
      <c r="AI272" s="1074"/>
      <c r="AJ272" s="1074"/>
      <c r="AK272" s="1074"/>
      <c r="AL272" s="1074"/>
      <c r="AM272" s="1074"/>
      <c r="AN272" s="1074"/>
      <c r="AO272" s="1074"/>
      <c r="AP272" s="1074"/>
      <c r="AQ272" s="1074"/>
      <c r="AR272" s="1074"/>
      <c r="AS272" s="1074"/>
      <c r="AT272" s="1075"/>
    </row>
    <row r="273" ht="14.25" customHeight="1">
      <c r="A273" s="1116"/>
      <c r="B273" s="1120"/>
      <c r="C273" s="1100"/>
      <c r="D273" s="1100"/>
      <c r="E273" s="1100"/>
      <c r="F273" s="1100"/>
      <c r="G273" s="1100"/>
      <c r="H273" s="1100"/>
      <c r="I273" s="1100"/>
      <c r="J273" s="1100"/>
      <c r="K273" s="1074"/>
      <c r="L273" s="1074"/>
      <c r="M273" s="1074"/>
      <c r="N273" s="1074"/>
      <c r="O273" s="1074"/>
      <c r="P273" s="1074"/>
      <c r="Q273" s="1074"/>
      <c r="R273" s="1074"/>
      <c r="S273" s="1074"/>
      <c r="T273" s="1074"/>
      <c r="U273" s="1074"/>
      <c r="V273" s="1074"/>
      <c r="W273" s="1074"/>
      <c r="X273" s="1074"/>
      <c r="Y273" s="1074"/>
      <c r="Z273" s="1074"/>
      <c r="AA273" s="1074"/>
      <c r="AB273" s="1074"/>
      <c r="AC273" s="1074"/>
      <c r="AD273" s="1074"/>
      <c r="AE273" s="1074"/>
      <c r="AF273" s="1074"/>
      <c r="AG273" s="1074"/>
      <c r="AH273" s="1074"/>
      <c r="AI273" s="1074"/>
      <c r="AJ273" s="1074"/>
      <c r="AK273" s="1074"/>
      <c r="AL273" s="1074"/>
      <c r="AM273" s="1074"/>
      <c r="AN273" s="1074"/>
      <c r="AO273" s="1074"/>
      <c r="AP273" s="1074"/>
      <c r="AQ273" s="1074"/>
      <c r="AR273" s="1074"/>
      <c r="AS273" s="1074"/>
      <c r="AT273" s="1075"/>
    </row>
    <row r="274" ht="14.25" customHeight="1">
      <c r="A274" s="1116"/>
      <c r="B274" s="1120"/>
      <c r="C274" s="1100"/>
      <c r="D274" s="1100"/>
      <c r="E274" s="1100"/>
      <c r="F274" s="1100"/>
      <c r="G274" s="1100"/>
      <c r="H274" s="1100"/>
      <c r="I274" s="1100"/>
      <c r="J274" s="1100"/>
      <c r="K274" s="1074"/>
      <c r="L274" s="1074"/>
      <c r="M274" s="1074"/>
      <c r="N274" s="1074"/>
      <c r="O274" s="1074"/>
      <c r="P274" s="1074"/>
      <c r="Q274" s="1074"/>
      <c r="R274" s="1074"/>
      <c r="S274" s="1074"/>
      <c r="T274" s="1074"/>
      <c r="U274" s="1074"/>
      <c r="V274" s="1074"/>
      <c r="W274" s="1074"/>
      <c r="X274" s="1074"/>
      <c r="Y274" s="1074"/>
      <c r="Z274" s="1074"/>
      <c r="AA274" s="1074"/>
      <c r="AB274" s="1074"/>
      <c r="AC274" s="1074"/>
      <c r="AD274" s="1074"/>
      <c r="AE274" s="1074"/>
      <c r="AF274" s="1074"/>
      <c r="AG274" s="1074"/>
      <c r="AH274" s="1074"/>
      <c r="AI274" s="1074"/>
      <c r="AJ274" s="1074"/>
      <c r="AK274" s="1074"/>
      <c r="AL274" s="1074"/>
      <c r="AM274" s="1074"/>
      <c r="AN274" s="1074"/>
      <c r="AO274" s="1074"/>
      <c r="AP274" s="1074"/>
      <c r="AQ274" s="1074"/>
      <c r="AR274" s="1074"/>
      <c r="AS274" s="1074"/>
      <c r="AT274" s="1075"/>
    </row>
    <row r="275" ht="14.25" customHeight="1">
      <c r="A275" s="1116"/>
      <c r="B275" s="1120"/>
      <c r="C275" s="1100"/>
      <c r="D275" s="1100"/>
      <c r="E275" s="1100"/>
      <c r="F275" s="1100"/>
      <c r="G275" s="1100"/>
      <c r="H275" s="1100"/>
      <c r="I275" s="1100"/>
      <c r="J275" s="1100"/>
      <c r="K275" s="1074"/>
      <c r="L275" s="1074"/>
      <c r="M275" s="1074"/>
      <c r="N275" s="1074"/>
      <c r="O275" s="1074"/>
      <c r="P275" s="1074"/>
      <c r="Q275" s="1074"/>
      <c r="R275" s="1074"/>
      <c r="S275" s="1074"/>
      <c r="T275" s="1074"/>
      <c r="U275" s="1074"/>
      <c r="V275" s="1074"/>
      <c r="W275" s="1074"/>
      <c r="X275" s="1074"/>
      <c r="Y275" s="1074"/>
      <c r="Z275" s="1074"/>
      <c r="AA275" s="1074"/>
      <c r="AB275" s="1074"/>
      <c r="AC275" s="1074"/>
      <c r="AD275" s="1074"/>
      <c r="AE275" s="1074"/>
      <c r="AF275" s="1074"/>
      <c r="AG275" s="1074"/>
      <c r="AH275" s="1074"/>
      <c r="AI275" s="1074"/>
      <c r="AJ275" s="1074"/>
      <c r="AK275" s="1074"/>
      <c r="AL275" s="1074"/>
      <c r="AM275" s="1074"/>
      <c r="AN275" s="1074"/>
      <c r="AO275" s="1074"/>
      <c r="AP275" s="1074"/>
      <c r="AQ275" s="1074"/>
      <c r="AR275" s="1074"/>
      <c r="AS275" s="1074"/>
      <c r="AT275" s="1075"/>
    </row>
    <row r="276" ht="14.25" customHeight="1">
      <c r="A276" s="1116"/>
      <c r="B276" s="1120"/>
      <c r="C276" s="1100"/>
      <c r="D276" s="1100"/>
      <c r="E276" s="1100"/>
      <c r="F276" s="1100"/>
      <c r="G276" s="1100"/>
      <c r="H276" s="1100"/>
      <c r="I276" s="1100"/>
      <c r="J276" s="1100"/>
      <c r="K276" s="1074"/>
      <c r="L276" s="1074"/>
      <c r="M276" s="1074"/>
      <c r="N276" s="1074"/>
      <c r="O276" s="1074"/>
      <c r="P276" s="1074"/>
      <c r="Q276" s="1074"/>
      <c r="R276" s="1074"/>
      <c r="S276" s="1074"/>
      <c r="T276" s="1074"/>
      <c r="U276" s="1074"/>
      <c r="V276" s="1074"/>
      <c r="W276" s="1074"/>
      <c r="X276" s="1074"/>
      <c r="Y276" s="1074"/>
      <c r="Z276" s="1074"/>
      <c r="AA276" s="1074"/>
      <c r="AB276" s="1074"/>
      <c r="AC276" s="1074"/>
      <c r="AD276" s="1074"/>
      <c r="AE276" s="1074"/>
      <c r="AF276" s="1074"/>
      <c r="AG276" s="1074"/>
      <c r="AH276" s="1074"/>
      <c r="AI276" s="1074"/>
      <c r="AJ276" s="1074"/>
      <c r="AK276" s="1074"/>
      <c r="AL276" s="1074"/>
      <c r="AM276" s="1074"/>
      <c r="AN276" s="1074"/>
      <c r="AO276" s="1074"/>
      <c r="AP276" s="1074"/>
      <c r="AQ276" s="1074"/>
      <c r="AR276" s="1074"/>
      <c r="AS276" s="1074"/>
      <c r="AT276" s="1075"/>
    </row>
    <row r="277" ht="14.25" customHeight="1">
      <c r="A277" s="1116"/>
      <c r="B277" s="1120"/>
      <c r="C277" s="1100"/>
      <c r="D277" s="1100"/>
      <c r="E277" s="1100"/>
      <c r="F277" s="1100"/>
      <c r="G277" s="1100"/>
      <c r="H277" s="1100"/>
      <c r="I277" s="1100"/>
      <c r="J277" s="1100"/>
      <c r="K277" s="1074"/>
      <c r="L277" s="1074"/>
      <c r="M277" s="1074"/>
      <c r="N277" s="1074"/>
      <c r="O277" s="1074"/>
      <c r="P277" s="1074"/>
      <c r="Q277" s="1074"/>
      <c r="R277" s="1074"/>
      <c r="S277" s="1074"/>
      <c r="T277" s="1074"/>
      <c r="U277" s="1074"/>
      <c r="V277" s="1074"/>
      <c r="W277" s="1074"/>
      <c r="X277" s="1074"/>
      <c r="Y277" s="1074"/>
      <c r="Z277" s="1074"/>
      <c r="AA277" s="1074"/>
      <c r="AB277" s="1074"/>
      <c r="AC277" s="1074"/>
      <c r="AD277" s="1074"/>
      <c r="AE277" s="1074"/>
      <c r="AF277" s="1074"/>
      <c r="AG277" s="1074"/>
      <c r="AH277" s="1074"/>
      <c r="AI277" s="1074"/>
      <c r="AJ277" s="1074"/>
      <c r="AK277" s="1074"/>
      <c r="AL277" s="1074"/>
      <c r="AM277" s="1074"/>
      <c r="AN277" s="1074"/>
      <c r="AO277" s="1074"/>
      <c r="AP277" s="1074"/>
      <c r="AQ277" s="1074"/>
      <c r="AR277" s="1074"/>
      <c r="AS277" s="1074"/>
      <c r="AT277" s="1075"/>
    </row>
    <row r="278" ht="14.25" customHeight="1">
      <c r="A278" s="1116"/>
      <c r="B278" s="1120"/>
      <c r="C278" s="1100"/>
      <c r="D278" s="1100"/>
      <c r="E278" s="1100"/>
      <c r="F278" s="1100"/>
      <c r="G278" s="1100"/>
      <c r="H278" s="1100"/>
      <c r="I278" s="1100"/>
      <c r="J278" s="1100"/>
      <c r="K278" s="1074"/>
      <c r="L278" s="1074"/>
      <c r="M278" s="1074"/>
      <c r="N278" s="1074"/>
      <c r="O278" s="1074"/>
      <c r="P278" s="1074"/>
      <c r="Q278" s="1074"/>
      <c r="R278" s="1074"/>
      <c r="S278" s="1074"/>
      <c r="T278" s="1074"/>
      <c r="U278" s="1074"/>
      <c r="V278" s="1074"/>
      <c r="W278" s="1074"/>
      <c r="X278" s="1074"/>
      <c r="Y278" s="1074"/>
      <c r="Z278" s="1074"/>
      <c r="AA278" s="1074"/>
      <c r="AB278" s="1074"/>
      <c r="AC278" s="1074"/>
      <c r="AD278" s="1074"/>
      <c r="AE278" s="1074"/>
      <c r="AF278" s="1074"/>
      <c r="AG278" s="1074"/>
      <c r="AH278" s="1074"/>
      <c r="AI278" s="1074"/>
      <c r="AJ278" s="1074"/>
      <c r="AK278" s="1074"/>
      <c r="AL278" s="1074"/>
      <c r="AM278" s="1074"/>
      <c r="AN278" s="1074"/>
      <c r="AO278" s="1074"/>
      <c r="AP278" s="1074"/>
      <c r="AQ278" s="1074"/>
      <c r="AR278" s="1074"/>
      <c r="AS278" s="1074"/>
      <c r="AT278" s="1075"/>
    </row>
    <row r="279" ht="14.25" customHeight="1">
      <c r="A279" s="1116"/>
      <c r="B279" s="1120"/>
      <c r="C279" s="1100"/>
      <c r="D279" s="1100"/>
      <c r="E279" s="1100"/>
      <c r="F279" s="1100"/>
      <c r="G279" s="1100"/>
      <c r="H279" s="1100"/>
      <c r="I279" s="1100"/>
      <c r="J279" s="1100"/>
      <c r="K279" s="1074"/>
      <c r="L279" s="1074"/>
      <c r="M279" s="1074"/>
      <c r="N279" s="1074"/>
      <c r="O279" s="1074"/>
      <c r="P279" s="1074"/>
      <c r="Q279" s="1074"/>
      <c r="R279" s="1074"/>
      <c r="S279" s="1074"/>
      <c r="T279" s="1074"/>
      <c r="U279" s="1074"/>
      <c r="V279" s="1074"/>
      <c r="W279" s="1074"/>
      <c r="X279" s="1074"/>
      <c r="Y279" s="1074"/>
      <c r="Z279" s="1074"/>
      <c r="AA279" s="1074"/>
      <c r="AB279" s="1074"/>
      <c r="AC279" s="1074"/>
      <c r="AD279" s="1074"/>
      <c r="AE279" s="1074"/>
      <c r="AF279" s="1074"/>
      <c r="AG279" s="1074"/>
      <c r="AH279" s="1074"/>
      <c r="AI279" s="1074"/>
      <c r="AJ279" s="1074"/>
      <c r="AK279" s="1074"/>
      <c r="AL279" s="1074"/>
      <c r="AM279" s="1074"/>
      <c r="AN279" s="1074"/>
      <c r="AO279" s="1074"/>
      <c r="AP279" s="1074"/>
      <c r="AQ279" s="1074"/>
      <c r="AR279" s="1074"/>
      <c r="AS279" s="1074"/>
      <c r="AT279" s="1075"/>
    </row>
    <row r="280" ht="14.25" customHeight="1">
      <c r="A280" s="1116"/>
      <c r="B280" s="1120"/>
      <c r="C280" s="1100"/>
      <c r="D280" s="1100"/>
      <c r="E280" s="1100"/>
      <c r="F280" s="1100"/>
      <c r="G280" s="1100"/>
      <c r="H280" s="1100"/>
      <c r="I280" s="1100"/>
      <c r="J280" s="1100"/>
      <c r="K280" s="1074"/>
      <c r="L280" s="1074"/>
      <c r="M280" s="1074"/>
      <c r="N280" s="1074"/>
      <c r="O280" s="1074"/>
      <c r="P280" s="1074"/>
      <c r="Q280" s="1074"/>
      <c r="R280" s="1074"/>
      <c r="S280" s="1074"/>
      <c r="T280" s="1074"/>
      <c r="U280" s="1074"/>
      <c r="V280" s="1074"/>
      <c r="W280" s="1074"/>
      <c r="X280" s="1074"/>
      <c r="Y280" s="1074"/>
      <c r="Z280" s="1074"/>
      <c r="AA280" s="1074"/>
      <c r="AB280" s="1074"/>
      <c r="AC280" s="1074"/>
      <c r="AD280" s="1074"/>
      <c r="AE280" s="1074"/>
      <c r="AF280" s="1074"/>
      <c r="AG280" s="1074"/>
      <c r="AH280" s="1074"/>
      <c r="AI280" s="1074"/>
      <c r="AJ280" s="1074"/>
      <c r="AK280" s="1074"/>
      <c r="AL280" s="1074"/>
      <c r="AM280" s="1074"/>
      <c r="AN280" s="1074"/>
      <c r="AO280" s="1074"/>
      <c r="AP280" s="1074"/>
      <c r="AQ280" s="1074"/>
      <c r="AR280" s="1074"/>
      <c r="AS280" s="1074"/>
      <c r="AT280" s="1075"/>
    </row>
    <row r="281" ht="14.25" customHeight="1">
      <c r="A281" s="1116"/>
      <c r="B281" s="1120"/>
      <c r="C281" s="1100"/>
      <c r="D281" s="1100"/>
      <c r="E281" s="1100"/>
      <c r="F281" s="1100"/>
      <c r="G281" s="1100"/>
      <c r="H281" s="1100"/>
      <c r="I281" s="1100"/>
      <c r="J281" s="1100"/>
      <c r="K281" s="1074"/>
      <c r="L281" s="1074"/>
      <c r="M281" s="1074"/>
      <c r="N281" s="1074"/>
      <c r="O281" s="1074"/>
      <c r="P281" s="1074"/>
      <c r="Q281" s="1074"/>
      <c r="R281" s="1074"/>
      <c r="S281" s="1074"/>
      <c r="T281" s="1074"/>
      <c r="U281" s="1074"/>
      <c r="V281" s="1074"/>
      <c r="W281" s="1074"/>
      <c r="X281" s="1074"/>
      <c r="Y281" s="1074"/>
      <c r="Z281" s="1074"/>
      <c r="AA281" s="1074"/>
      <c r="AB281" s="1074"/>
      <c r="AC281" s="1074"/>
      <c r="AD281" s="1074"/>
      <c r="AE281" s="1074"/>
      <c r="AF281" s="1074"/>
      <c r="AG281" s="1074"/>
      <c r="AH281" s="1074"/>
      <c r="AI281" s="1074"/>
      <c r="AJ281" s="1074"/>
      <c r="AK281" s="1074"/>
      <c r="AL281" s="1074"/>
      <c r="AM281" s="1074"/>
      <c r="AN281" s="1074"/>
      <c r="AO281" s="1074"/>
      <c r="AP281" s="1074"/>
      <c r="AQ281" s="1074"/>
      <c r="AR281" s="1074"/>
      <c r="AS281" s="1074"/>
      <c r="AT281" s="1075"/>
    </row>
    <row r="282" ht="14.25" customHeight="1">
      <c r="A282" s="1116"/>
      <c r="B282" s="1120"/>
      <c r="C282" s="1100"/>
      <c r="D282" s="1100"/>
      <c r="E282" s="1100"/>
      <c r="F282" s="1100"/>
      <c r="G282" s="1100"/>
      <c r="H282" s="1100"/>
      <c r="I282" s="1100"/>
      <c r="J282" s="1100"/>
      <c r="K282" s="1074"/>
      <c r="L282" s="1074"/>
      <c r="M282" s="1074"/>
      <c r="N282" s="1074"/>
      <c r="O282" s="1074"/>
      <c r="P282" s="1074"/>
      <c r="Q282" s="1074"/>
      <c r="R282" s="1074"/>
      <c r="S282" s="1074"/>
      <c r="T282" s="1074"/>
      <c r="U282" s="1074"/>
      <c r="V282" s="1074"/>
      <c r="W282" s="1074"/>
      <c r="X282" s="1074"/>
      <c r="Y282" s="1074"/>
      <c r="Z282" s="1074"/>
      <c r="AA282" s="1074"/>
      <c r="AB282" s="1074"/>
      <c r="AC282" s="1074"/>
      <c r="AD282" s="1074"/>
      <c r="AE282" s="1074"/>
      <c r="AF282" s="1074"/>
      <c r="AG282" s="1074"/>
      <c r="AH282" s="1074"/>
      <c r="AI282" s="1074"/>
      <c r="AJ282" s="1074"/>
      <c r="AK282" s="1074"/>
      <c r="AL282" s="1074"/>
      <c r="AM282" s="1074"/>
      <c r="AN282" s="1074"/>
      <c r="AO282" s="1074"/>
      <c r="AP282" s="1074"/>
      <c r="AQ282" s="1074"/>
      <c r="AR282" s="1074"/>
      <c r="AS282" s="1074"/>
      <c r="AT282" s="1075"/>
    </row>
    <row r="283" ht="14.25" customHeight="1">
      <c r="A283" s="1116"/>
      <c r="B283" s="1120"/>
      <c r="C283" s="1100"/>
      <c r="D283" s="1100"/>
      <c r="E283" s="1100"/>
      <c r="F283" s="1100"/>
      <c r="G283" s="1100"/>
      <c r="H283" s="1100"/>
      <c r="I283" s="1100"/>
      <c r="J283" s="1100"/>
      <c r="K283" s="1074"/>
      <c r="L283" s="1074"/>
      <c r="M283" s="1074"/>
      <c r="N283" s="1074"/>
      <c r="O283" s="1074"/>
      <c r="P283" s="1074"/>
      <c r="Q283" s="1074"/>
      <c r="R283" s="1074"/>
      <c r="S283" s="1074"/>
      <c r="T283" s="1074"/>
      <c r="U283" s="1074"/>
      <c r="V283" s="1074"/>
      <c r="W283" s="1074"/>
      <c r="X283" s="1074"/>
      <c r="Y283" s="1074"/>
      <c r="Z283" s="1074"/>
      <c r="AA283" s="1074"/>
      <c r="AB283" s="1074"/>
      <c r="AC283" s="1074"/>
      <c r="AD283" s="1074"/>
      <c r="AE283" s="1074"/>
      <c r="AF283" s="1074"/>
      <c r="AG283" s="1074"/>
      <c r="AH283" s="1074"/>
      <c r="AI283" s="1074"/>
      <c r="AJ283" s="1074"/>
      <c r="AK283" s="1074"/>
      <c r="AL283" s="1074"/>
      <c r="AM283" s="1074"/>
      <c r="AN283" s="1074"/>
      <c r="AO283" s="1074"/>
      <c r="AP283" s="1074"/>
      <c r="AQ283" s="1074"/>
      <c r="AR283" s="1074"/>
      <c r="AS283" s="1074"/>
      <c r="AT283" s="1075"/>
    </row>
    <row r="284" ht="14.25" customHeight="1">
      <c r="A284" s="1116"/>
      <c r="B284" s="1120"/>
      <c r="C284" s="1100"/>
      <c r="D284" s="1100"/>
      <c r="E284" s="1100"/>
      <c r="F284" s="1100"/>
      <c r="G284" s="1100"/>
      <c r="H284" s="1100"/>
      <c r="I284" s="1100"/>
      <c r="J284" s="1100"/>
      <c r="K284" s="1074"/>
      <c r="L284" s="1074"/>
      <c r="M284" s="1074"/>
      <c r="N284" s="1074"/>
      <c r="O284" s="1074"/>
      <c r="P284" s="1074"/>
      <c r="Q284" s="1074"/>
      <c r="R284" s="1074"/>
      <c r="S284" s="1074"/>
      <c r="T284" s="1074"/>
      <c r="U284" s="1074"/>
      <c r="V284" s="1074"/>
      <c r="W284" s="1074"/>
      <c r="X284" s="1074"/>
      <c r="Y284" s="1074"/>
      <c r="Z284" s="1074"/>
      <c r="AA284" s="1074"/>
      <c r="AB284" s="1074"/>
      <c r="AC284" s="1074"/>
      <c r="AD284" s="1074"/>
      <c r="AE284" s="1074"/>
      <c r="AF284" s="1074"/>
      <c r="AG284" s="1074"/>
      <c r="AH284" s="1074"/>
      <c r="AI284" s="1074"/>
      <c r="AJ284" s="1074"/>
      <c r="AK284" s="1074"/>
      <c r="AL284" s="1074"/>
      <c r="AM284" s="1074"/>
      <c r="AN284" s="1074"/>
      <c r="AO284" s="1074"/>
      <c r="AP284" s="1074"/>
      <c r="AQ284" s="1074"/>
      <c r="AR284" s="1074"/>
      <c r="AS284" s="1074"/>
      <c r="AT284" s="1075"/>
    </row>
    <row r="285" ht="14.25" customHeight="1">
      <c r="A285" s="1116"/>
      <c r="B285" s="1120"/>
      <c r="C285" s="1100"/>
      <c r="D285" s="1100"/>
      <c r="E285" s="1100"/>
      <c r="F285" s="1100"/>
      <c r="G285" s="1100"/>
      <c r="H285" s="1100"/>
      <c r="I285" s="1100"/>
      <c r="J285" s="1100"/>
      <c r="K285" s="1074"/>
      <c r="L285" s="1074"/>
      <c r="M285" s="1074"/>
      <c r="N285" s="1074"/>
      <c r="O285" s="1074"/>
      <c r="P285" s="1074"/>
      <c r="Q285" s="1074"/>
      <c r="R285" s="1074"/>
      <c r="S285" s="1074"/>
      <c r="T285" s="1074"/>
      <c r="U285" s="1074"/>
      <c r="V285" s="1074"/>
      <c r="W285" s="1074"/>
      <c r="X285" s="1074"/>
      <c r="Y285" s="1074"/>
      <c r="Z285" s="1074"/>
      <c r="AA285" s="1074"/>
      <c r="AB285" s="1074"/>
      <c r="AC285" s="1074"/>
      <c r="AD285" s="1074"/>
      <c r="AE285" s="1074"/>
      <c r="AF285" s="1074"/>
      <c r="AG285" s="1074"/>
      <c r="AH285" s="1074"/>
      <c r="AI285" s="1074"/>
      <c r="AJ285" s="1074"/>
      <c r="AK285" s="1074"/>
      <c r="AL285" s="1074"/>
      <c r="AM285" s="1074"/>
      <c r="AN285" s="1074"/>
      <c r="AO285" s="1074"/>
      <c r="AP285" s="1074"/>
      <c r="AQ285" s="1074"/>
      <c r="AR285" s="1074"/>
      <c r="AS285" s="1074"/>
      <c r="AT285" s="1075"/>
    </row>
    <row r="286" ht="14.25" customHeight="1">
      <c r="A286" s="1116"/>
      <c r="B286" s="1120"/>
      <c r="C286" s="1100"/>
      <c r="D286" s="1100"/>
      <c r="E286" s="1100"/>
      <c r="F286" s="1100"/>
      <c r="G286" s="1100"/>
      <c r="H286" s="1100"/>
      <c r="I286" s="1100"/>
      <c r="J286" s="1100"/>
      <c r="K286" s="1074"/>
      <c r="L286" s="1074"/>
      <c r="M286" s="1074"/>
      <c r="N286" s="1074"/>
      <c r="O286" s="1074"/>
      <c r="P286" s="1074"/>
      <c r="Q286" s="1074"/>
      <c r="R286" s="1074"/>
      <c r="S286" s="1074"/>
      <c r="T286" s="1074"/>
      <c r="U286" s="1074"/>
      <c r="V286" s="1074"/>
      <c r="W286" s="1074"/>
      <c r="X286" s="1074"/>
      <c r="Y286" s="1074"/>
      <c r="Z286" s="1074"/>
      <c r="AA286" s="1074"/>
      <c r="AB286" s="1074"/>
      <c r="AC286" s="1074"/>
      <c r="AD286" s="1074"/>
      <c r="AE286" s="1074"/>
      <c r="AF286" s="1074"/>
      <c r="AG286" s="1074"/>
      <c r="AH286" s="1074"/>
      <c r="AI286" s="1074"/>
      <c r="AJ286" s="1074"/>
      <c r="AK286" s="1074"/>
      <c r="AL286" s="1074"/>
      <c r="AM286" s="1074"/>
      <c r="AN286" s="1074"/>
      <c r="AO286" s="1074"/>
      <c r="AP286" s="1074"/>
      <c r="AQ286" s="1074"/>
      <c r="AR286" s="1074"/>
      <c r="AS286" s="1074"/>
      <c r="AT286" s="1075"/>
    </row>
    <row r="287" ht="14.25" customHeight="1">
      <c r="A287" s="1116"/>
      <c r="B287" s="1120"/>
      <c r="C287" s="1100"/>
      <c r="D287" s="1100"/>
      <c r="E287" s="1100"/>
      <c r="F287" s="1100"/>
      <c r="G287" s="1100"/>
      <c r="H287" s="1100"/>
      <c r="I287" s="1100"/>
      <c r="J287" s="1100"/>
      <c r="K287" s="1074"/>
      <c r="L287" s="1074"/>
      <c r="M287" s="1074"/>
      <c r="N287" s="1074"/>
      <c r="O287" s="1074"/>
      <c r="P287" s="1074"/>
      <c r="Q287" s="1074"/>
      <c r="R287" s="1074"/>
      <c r="S287" s="1074"/>
      <c r="T287" s="1074"/>
      <c r="U287" s="1074"/>
      <c r="V287" s="1074"/>
      <c r="W287" s="1074"/>
      <c r="X287" s="1074"/>
      <c r="Y287" s="1074"/>
      <c r="Z287" s="1074"/>
      <c r="AA287" s="1074"/>
      <c r="AB287" s="1074"/>
      <c r="AC287" s="1074"/>
      <c r="AD287" s="1074"/>
      <c r="AE287" s="1074"/>
      <c r="AF287" s="1074"/>
      <c r="AG287" s="1074"/>
      <c r="AH287" s="1074"/>
      <c r="AI287" s="1074"/>
      <c r="AJ287" s="1074"/>
      <c r="AK287" s="1074"/>
      <c r="AL287" s="1074"/>
      <c r="AM287" s="1074"/>
      <c r="AN287" s="1074"/>
      <c r="AO287" s="1074"/>
      <c r="AP287" s="1074"/>
      <c r="AQ287" s="1074"/>
      <c r="AR287" s="1074"/>
      <c r="AS287" s="1074"/>
      <c r="AT287" s="1075"/>
    </row>
    <row r="288" ht="14.25" customHeight="1">
      <c r="A288" s="1116"/>
      <c r="B288" s="1120"/>
      <c r="C288" s="1100"/>
      <c r="D288" s="1100"/>
      <c r="E288" s="1100"/>
      <c r="F288" s="1100"/>
      <c r="G288" s="1100"/>
      <c r="H288" s="1100"/>
      <c r="I288" s="1100"/>
      <c r="J288" s="1100"/>
      <c r="K288" s="1074"/>
      <c r="L288" s="1074"/>
      <c r="M288" s="1074"/>
      <c r="N288" s="1074"/>
      <c r="O288" s="1074"/>
      <c r="P288" s="1074"/>
      <c r="Q288" s="1074"/>
      <c r="R288" s="1074"/>
      <c r="S288" s="1074"/>
      <c r="T288" s="1074"/>
      <c r="U288" s="1074"/>
      <c r="V288" s="1074"/>
      <c r="W288" s="1074"/>
      <c r="X288" s="1074"/>
      <c r="Y288" s="1074"/>
      <c r="Z288" s="1074"/>
      <c r="AA288" s="1074"/>
      <c r="AB288" s="1074"/>
      <c r="AC288" s="1074"/>
      <c r="AD288" s="1074"/>
      <c r="AE288" s="1074"/>
      <c r="AF288" s="1074"/>
      <c r="AG288" s="1074"/>
      <c r="AH288" s="1074"/>
      <c r="AI288" s="1074"/>
      <c r="AJ288" s="1074"/>
      <c r="AK288" s="1074"/>
      <c r="AL288" s="1074"/>
      <c r="AM288" s="1074"/>
      <c r="AN288" s="1074"/>
      <c r="AO288" s="1074"/>
      <c r="AP288" s="1074"/>
      <c r="AQ288" s="1074"/>
      <c r="AR288" s="1074"/>
      <c r="AS288" s="1074"/>
      <c r="AT288" s="1075"/>
    </row>
    <row r="289" ht="14.25" customHeight="1">
      <c r="A289" s="1116"/>
      <c r="B289" s="1120"/>
      <c r="C289" s="1100"/>
      <c r="D289" s="1100"/>
      <c r="E289" s="1100"/>
      <c r="F289" s="1100"/>
      <c r="G289" s="1100"/>
      <c r="H289" s="1100"/>
      <c r="I289" s="1100"/>
      <c r="J289" s="1100"/>
      <c r="K289" s="1074"/>
      <c r="L289" s="1074"/>
      <c r="M289" s="1074"/>
      <c r="N289" s="1074"/>
      <c r="O289" s="1074"/>
      <c r="P289" s="1074"/>
      <c r="Q289" s="1074"/>
      <c r="R289" s="1074"/>
      <c r="S289" s="1074"/>
      <c r="T289" s="1074"/>
      <c r="U289" s="1074"/>
      <c r="V289" s="1074"/>
      <c r="W289" s="1074"/>
      <c r="X289" s="1074"/>
      <c r="Y289" s="1074"/>
      <c r="Z289" s="1074"/>
      <c r="AA289" s="1074"/>
      <c r="AB289" s="1074"/>
      <c r="AC289" s="1074"/>
      <c r="AD289" s="1074"/>
      <c r="AE289" s="1074"/>
      <c r="AF289" s="1074"/>
      <c r="AG289" s="1074"/>
      <c r="AH289" s="1074"/>
      <c r="AI289" s="1074"/>
      <c r="AJ289" s="1074"/>
      <c r="AK289" s="1074"/>
      <c r="AL289" s="1074"/>
      <c r="AM289" s="1074"/>
      <c r="AN289" s="1074"/>
      <c r="AO289" s="1074"/>
      <c r="AP289" s="1074"/>
      <c r="AQ289" s="1074"/>
      <c r="AR289" s="1074"/>
      <c r="AS289" s="1074"/>
      <c r="AT289" s="1075"/>
    </row>
    <row r="290" ht="14.25" customHeight="1">
      <c r="A290" s="1116"/>
      <c r="B290" s="1120"/>
      <c r="C290" s="1100"/>
      <c r="D290" s="1100"/>
      <c r="E290" s="1100"/>
      <c r="F290" s="1100"/>
      <c r="G290" s="1100"/>
      <c r="H290" s="1100"/>
      <c r="I290" s="1100"/>
      <c r="J290" s="1100"/>
      <c r="K290" s="1074"/>
      <c r="L290" s="1074"/>
      <c r="M290" s="1074"/>
      <c r="N290" s="1074"/>
      <c r="O290" s="1074"/>
      <c r="P290" s="1074"/>
      <c r="Q290" s="1074"/>
      <c r="R290" s="1074"/>
      <c r="S290" s="1074"/>
      <c r="T290" s="1074"/>
      <c r="U290" s="1074"/>
      <c r="V290" s="1074"/>
      <c r="W290" s="1074"/>
      <c r="X290" s="1074"/>
      <c r="Y290" s="1074"/>
      <c r="Z290" s="1074"/>
      <c r="AA290" s="1074"/>
      <c r="AB290" s="1074"/>
      <c r="AC290" s="1074"/>
      <c r="AD290" s="1074"/>
      <c r="AE290" s="1074"/>
      <c r="AF290" s="1074"/>
      <c r="AG290" s="1074"/>
      <c r="AH290" s="1074"/>
      <c r="AI290" s="1074"/>
      <c r="AJ290" s="1074"/>
      <c r="AK290" s="1074"/>
      <c r="AL290" s="1074"/>
      <c r="AM290" s="1074"/>
      <c r="AN290" s="1074"/>
      <c r="AO290" s="1074"/>
      <c r="AP290" s="1074"/>
      <c r="AQ290" s="1074"/>
      <c r="AR290" s="1074"/>
      <c r="AS290" s="1074"/>
      <c r="AT290" s="1075"/>
    </row>
    <row r="291" ht="14.25" customHeight="1">
      <c r="A291" s="1116"/>
      <c r="B291" s="1120"/>
      <c r="C291" s="1100"/>
      <c r="D291" s="1100"/>
      <c r="E291" s="1100"/>
      <c r="F291" s="1100"/>
      <c r="G291" s="1100"/>
      <c r="H291" s="1100"/>
      <c r="I291" s="1100"/>
      <c r="J291" s="1100"/>
      <c r="K291" s="1074"/>
      <c r="L291" s="1074"/>
      <c r="M291" s="1074"/>
      <c r="N291" s="1074"/>
      <c r="O291" s="1074"/>
      <c r="P291" s="1074"/>
      <c r="Q291" s="1074"/>
      <c r="R291" s="1074"/>
      <c r="S291" s="1074"/>
      <c r="T291" s="1074"/>
      <c r="U291" s="1074"/>
      <c r="V291" s="1074"/>
      <c r="W291" s="1074"/>
      <c r="X291" s="1074"/>
      <c r="Y291" s="1074"/>
      <c r="Z291" s="1074"/>
      <c r="AA291" s="1074"/>
      <c r="AB291" s="1074"/>
      <c r="AC291" s="1074"/>
      <c r="AD291" s="1074"/>
      <c r="AE291" s="1074"/>
      <c r="AF291" s="1074"/>
      <c r="AG291" s="1074"/>
      <c r="AH291" s="1074"/>
      <c r="AI291" s="1074"/>
      <c r="AJ291" s="1074"/>
      <c r="AK291" s="1074"/>
      <c r="AL291" s="1074"/>
      <c r="AM291" s="1074"/>
      <c r="AN291" s="1074"/>
      <c r="AO291" s="1074"/>
      <c r="AP291" s="1074"/>
      <c r="AQ291" s="1074"/>
      <c r="AR291" s="1074"/>
      <c r="AS291" s="1074"/>
      <c r="AT291" s="1075"/>
    </row>
    <row r="292" ht="14.25" customHeight="1">
      <c r="A292" s="1116"/>
      <c r="B292" s="1120"/>
      <c r="C292" s="1100"/>
      <c r="D292" s="1100"/>
      <c r="E292" s="1100"/>
      <c r="F292" s="1100"/>
      <c r="G292" s="1100"/>
      <c r="H292" s="1100"/>
      <c r="I292" s="1100"/>
      <c r="J292" s="1100"/>
      <c r="K292" s="1074"/>
      <c r="L292" s="1074"/>
      <c r="M292" s="1074"/>
      <c r="N292" s="1074"/>
      <c r="O292" s="1074"/>
      <c r="P292" s="1074"/>
      <c r="Q292" s="1074"/>
      <c r="R292" s="1074"/>
      <c r="S292" s="1074"/>
      <c r="T292" s="1074"/>
      <c r="U292" s="1074"/>
      <c r="V292" s="1074"/>
      <c r="W292" s="1074"/>
      <c r="X292" s="1074"/>
      <c r="Y292" s="1074"/>
      <c r="Z292" s="1074"/>
      <c r="AA292" s="1074"/>
      <c r="AB292" s="1074"/>
      <c r="AC292" s="1074"/>
      <c r="AD292" s="1074"/>
      <c r="AE292" s="1074"/>
      <c r="AF292" s="1074"/>
      <c r="AG292" s="1074"/>
      <c r="AH292" s="1074"/>
      <c r="AI292" s="1074"/>
      <c r="AJ292" s="1074"/>
      <c r="AK292" s="1074"/>
      <c r="AL292" s="1074"/>
      <c r="AM292" s="1074"/>
      <c r="AN292" s="1074"/>
      <c r="AO292" s="1074"/>
      <c r="AP292" s="1074"/>
      <c r="AQ292" s="1074"/>
      <c r="AR292" s="1074"/>
      <c r="AS292" s="1074"/>
      <c r="AT292" s="1075"/>
    </row>
    <row r="293" ht="14.25" customHeight="1">
      <c r="A293" s="1116"/>
      <c r="B293" s="1120"/>
      <c r="C293" s="1100"/>
      <c r="D293" s="1100"/>
      <c r="E293" s="1100"/>
      <c r="F293" s="1100"/>
      <c r="G293" s="1100"/>
      <c r="H293" s="1100"/>
      <c r="I293" s="1100"/>
      <c r="J293" s="1100"/>
      <c r="K293" s="1074"/>
      <c r="L293" s="1074"/>
      <c r="M293" s="1074"/>
      <c r="N293" s="1074"/>
      <c r="O293" s="1074"/>
      <c r="P293" s="1074"/>
      <c r="Q293" s="1074"/>
      <c r="R293" s="1074"/>
      <c r="S293" s="1074"/>
      <c r="T293" s="1074"/>
      <c r="U293" s="1074"/>
      <c r="V293" s="1074"/>
      <c r="W293" s="1074"/>
      <c r="X293" s="1074"/>
      <c r="Y293" s="1074"/>
      <c r="Z293" s="1074"/>
      <c r="AA293" s="1074"/>
      <c r="AB293" s="1074"/>
      <c r="AC293" s="1074"/>
      <c r="AD293" s="1074"/>
      <c r="AE293" s="1074"/>
      <c r="AF293" s="1074"/>
      <c r="AG293" s="1074"/>
      <c r="AH293" s="1074"/>
      <c r="AI293" s="1074"/>
      <c r="AJ293" s="1074"/>
      <c r="AK293" s="1074"/>
      <c r="AL293" s="1074"/>
      <c r="AM293" s="1074"/>
      <c r="AN293" s="1074"/>
      <c r="AO293" s="1074"/>
      <c r="AP293" s="1074"/>
      <c r="AQ293" s="1074"/>
      <c r="AR293" s="1074"/>
      <c r="AS293" s="1074"/>
      <c r="AT293" s="1075"/>
    </row>
    <row r="294" ht="14.25" customHeight="1">
      <c r="A294" s="1116"/>
      <c r="B294" s="1120"/>
      <c r="C294" s="1100"/>
      <c r="D294" s="1100"/>
      <c r="E294" s="1100"/>
      <c r="F294" s="1100"/>
      <c r="G294" s="1100"/>
      <c r="H294" s="1100"/>
      <c r="I294" s="1100"/>
      <c r="J294" s="1100"/>
      <c r="K294" s="1074"/>
      <c r="L294" s="1074"/>
      <c r="M294" s="1074"/>
      <c r="N294" s="1074"/>
      <c r="O294" s="1074"/>
      <c r="P294" s="1074"/>
      <c r="Q294" s="1074"/>
      <c r="R294" s="1074"/>
      <c r="S294" s="1074"/>
      <c r="T294" s="1074"/>
      <c r="U294" s="1074"/>
      <c r="V294" s="1074"/>
      <c r="W294" s="1074"/>
      <c r="X294" s="1074"/>
      <c r="Y294" s="1074"/>
      <c r="Z294" s="1074"/>
      <c r="AA294" s="1074"/>
      <c r="AB294" s="1074"/>
      <c r="AC294" s="1074"/>
      <c r="AD294" s="1074"/>
      <c r="AE294" s="1074"/>
      <c r="AF294" s="1074"/>
      <c r="AG294" s="1074"/>
      <c r="AH294" s="1074"/>
      <c r="AI294" s="1074"/>
      <c r="AJ294" s="1074"/>
      <c r="AK294" s="1074"/>
      <c r="AL294" s="1074"/>
      <c r="AM294" s="1074"/>
      <c r="AN294" s="1074"/>
      <c r="AO294" s="1074"/>
      <c r="AP294" s="1074"/>
      <c r="AQ294" s="1074"/>
      <c r="AR294" s="1074"/>
      <c r="AS294" s="1074"/>
      <c r="AT294" s="1075"/>
    </row>
    <row r="295" ht="14.25" customHeight="1">
      <c r="A295" s="1116"/>
      <c r="B295" s="1120"/>
      <c r="C295" s="1100"/>
      <c r="D295" s="1100"/>
      <c r="E295" s="1100"/>
      <c r="F295" s="1100"/>
      <c r="G295" s="1100"/>
      <c r="H295" s="1100"/>
      <c r="I295" s="1100"/>
      <c r="J295" s="1100"/>
      <c r="K295" s="1074"/>
      <c r="L295" s="1074"/>
      <c r="M295" s="1074"/>
      <c r="N295" s="1074"/>
      <c r="O295" s="1074"/>
      <c r="P295" s="1074"/>
      <c r="Q295" s="1074"/>
      <c r="R295" s="1074"/>
      <c r="S295" s="1074"/>
      <c r="T295" s="1074"/>
      <c r="U295" s="1074"/>
      <c r="V295" s="1074"/>
      <c r="W295" s="1074"/>
      <c r="X295" s="1074"/>
      <c r="Y295" s="1074"/>
      <c r="Z295" s="1074"/>
      <c r="AA295" s="1074"/>
      <c r="AB295" s="1074"/>
      <c r="AC295" s="1074"/>
      <c r="AD295" s="1074"/>
      <c r="AE295" s="1074"/>
      <c r="AF295" s="1074"/>
      <c r="AG295" s="1074"/>
      <c r="AH295" s="1074"/>
      <c r="AI295" s="1074"/>
      <c r="AJ295" s="1074"/>
      <c r="AK295" s="1074"/>
      <c r="AL295" s="1074"/>
      <c r="AM295" s="1074"/>
      <c r="AN295" s="1074"/>
      <c r="AO295" s="1074"/>
      <c r="AP295" s="1074"/>
      <c r="AQ295" s="1074"/>
      <c r="AR295" s="1074"/>
      <c r="AS295" s="1074"/>
      <c r="AT295" s="1075"/>
    </row>
    <row r="296" ht="14.25" customHeight="1">
      <c r="A296" s="1116"/>
      <c r="B296" s="1120"/>
      <c r="C296" s="1100"/>
      <c r="D296" s="1100"/>
      <c r="E296" s="1100"/>
      <c r="F296" s="1100"/>
      <c r="G296" s="1100"/>
      <c r="H296" s="1100"/>
      <c r="I296" s="1100"/>
      <c r="J296" s="1100"/>
      <c r="K296" s="1074"/>
      <c r="L296" s="1074"/>
      <c r="M296" s="1074"/>
      <c r="N296" s="1074"/>
      <c r="O296" s="1074"/>
      <c r="P296" s="1074"/>
      <c r="Q296" s="1074"/>
      <c r="R296" s="1074"/>
      <c r="S296" s="1074"/>
      <c r="T296" s="1074"/>
      <c r="U296" s="1074"/>
      <c r="V296" s="1074"/>
      <c r="W296" s="1074"/>
      <c r="X296" s="1074"/>
      <c r="Y296" s="1074"/>
      <c r="Z296" s="1074"/>
      <c r="AA296" s="1074"/>
      <c r="AB296" s="1074"/>
      <c r="AC296" s="1074"/>
      <c r="AD296" s="1074"/>
      <c r="AE296" s="1074"/>
      <c r="AF296" s="1074"/>
      <c r="AG296" s="1074"/>
      <c r="AH296" s="1074"/>
      <c r="AI296" s="1074"/>
      <c r="AJ296" s="1074"/>
      <c r="AK296" s="1074"/>
      <c r="AL296" s="1074"/>
      <c r="AM296" s="1074"/>
      <c r="AN296" s="1074"/>
      <c r="AO296" s="1074"/>
      <c r="AP296" s="1074"/>
      <c r="AQ296" s="1074"/>
      <c r="AR296" s="1074"/>
      <c r="AS296" s="1074"/>
      <c r="AT296" s="1075"/>
    </row>
    <row r="297" ht="14.25" customHeight="1">
      <c r="A297" s="1116"/>
      <c r="B297" s="1120"/>
      <c r="C297" s="1100"/>
      <c r="D297" s="1100"/>
      <c r="E297" s="1100"/>
      <c r="F297" s="1100"/>
      <c r="G297" s="1100"/>
      <c r="H297" s="1100"/>
      <c r="I297" s="1100"/>
      <c r="J297" s="1100"/>
      <c r="K297" s="1074"/>
      <c r="L297" s="1074"/>
      <c r="M297" s="1074"/>
      <c r="N297" s="1074"/>
      <c r="O297" s="1074"/>
      <c r="P297" s="1074"/>
      <c r="Q297" s="1074"/>
      <c r="R297" s="1074"/>
      <c r="S297" s="1074"/>
      <c r="T297" s="1074"/>
      <c r="U297" s="1074"/>
      <c r="V297" s="1074"/>
      <c r="W297" s="1074"/>
      <c r="X297" s="1074"/>
      <c r="Y297" s="1074"/>
      <c r="Z297" s="1074"/>
      <c r="AA297" s="1074"/>
      <c r="AB297" s="1074"/>
      <c r="AC297" s="1074"/>
      <c r="AD297" s="1074"/>
      <c r="AE297" s="1074"/>
      <c r="AF297" s="1074"/>
      <c r="AG297" s="1074"/>
      <c r="AH297" s="1074"/>
      <c r="AI297" s="1074"/>
      <c r="AJ297" s="1074"/>
      <c r="AK297" s="1074"/>
      <c r="AL297" s="1074"/>
      <c r="AM297" s="1074"/>
      <c r="AN297" s="1074"/>
      <c r="AO297" s="1074"/>
      <c r="AP297" s="1074"/>
      <c r="AQ297" s="1074"/>
      <c r="AR297" s="1074"/>
      <c r="AS297" s="1074"/>
      <c r="AT297" s="1075"/>
    </row>
    <row r="298" ht="14.25" customHeight="1">
      <c r="A298" s="1116"/>
      <c r="B298" s="1120"/>
      <c r="C298" s="1100"/>
      <c r="D298" s="1100"/>
      <c r="E298" s="1100"/>
      <c r="F298" s="1100"/>
      <c r="G298" s="1100"/>
      <c r="H298" s="1100"/>
      <c r="I298" s="1100"/>
      <c r="J298" s="1100"/>
      <c r="K298" s="1074"/>
      <c r="L298" s="1074"/>
      <c r="M298" s="1074"/>
      <c r="N298" s="1074"/>
      <c r="O298" s="1074"/>
      <c r="P298" s="1074"/>
      <c r="Q298" s="1074"/>
      <c r="R298" s="1074"/>
      <c r="S298" s="1074"/>
      <c r="T298" s="1074"/>
      <c r="U298" s="1074"/>
      <c r="V298" s="1074"/>
      <c r="W298" s="1074"/>
      <c r="X298" s="1074"/>
      <c r="Y298" s="1074"/>
      <c r="Z298" s="1074"/>
      <c r="AA298" s="1074"/>
      <c r="AB298" s="1074"/>
      <c r="AC298" s="1074"/>
      <c r="AD298" s="1074"/>
      <c r="AE298" s="1074"/>
      <c r="AF298" s="1074"/>
      <c r="AG298" s="1074"/>
      <c r="AH298" s="1074"/>
      <c r="AI298" s="1074"/>
      <c r="AJ298" s="1074"/>
      <c r="AK298" s="1074"/>
      <c r="AL298" s="1074"/>
      <c r="AM298" s="1074"/>
      <c r="AN298" s="1074"/>
      <c r="AO298" s="1074"/>
      <c r="AP298" s="1074"/>
      <c r="AQ298" s="1074"/>
      <c r="AR298" s="1074"/>
      <c r="AS298" s="1074"/>
      <c r="AT298" s="1075"/>
    </row>
    <row r="299" ht="14.25" customHeight="1">
      <c r="A299" s="1116"/>
      <c r="B299" s="1120"/>
      <c r="C299" s="1100"/>
      <c r="D299" s="1100"/>
      <c r="E299" s="1100"/>
      <c r="F299" s="1100"/>
      <c r="G299" s="1100"/>
      <c r="H299" s="1100"/>
      <c r="I299" s="1100"/>
      <c r="J299" s="1100"/>
      <c r="K299" s="1074"/>
      <c r="L299" s="1074"/>
      <c r="M299" s="1074"/>
      <c r="N299" s="1074"/>
      <c r="O299" s="1074"/>
      <c r="P299" s="1074"/>
      <c r="Q299" s="1074"/>
      <c r="R299" s="1074"/>
      <c r="S299" s="1074"/>
      <c r="T299" s="1074"/>
      <c r="U299" s="1074"/>
      <c r="V299" s="1074"/>
      <c r="W299" s="1074"/>
      <c r="X299" s="1074"/>
      <c r="Y299" s="1074"/>
      <c r="Z299" s="1074"/>
      <c r="AA299" s="1074"/>
      <c r="AB299" s="1074"/>
      <c r="AC299" s="1074"/>
      <c r="AD299" s="1074"/>
      <c r="AE299" s="1074"/>
      <c r="AF299" s="1074"/>
      <c r="AG299" s="1074"/>
      <c r="AH299" s="1074"/>
      <c r="AI299" s="1074"/>
      <c r="AJ299" s="1074"/>
      <c r="AK299" s="1074"/>
      <c r="AL299" s="1074"/>
      <c r="AM299" s="1074"/>
      <c r="AN299" s="1074"/>
      <c r="AO299" s="1074"/>
      <c r="AP299" s="1074"/>
      <c r="AQ299" s="1074"/>
      <c r="AR299" s="1074"/>
      <c r="AS299" s="1074"/>
      <c r="AT299" s="1075"/>
    </row>
    <row r="300" ht="14.25" customHeight="1">
      <c r="A300" s="1116"/>
      <c r="B300" s="1120"/>
      <c r="C300" s="1100"/>
      <c r="D300" s="1100"/>
      <c r="E300" s="1100"/>
      <c r="F300" s="1100"/>
      <c r="G300" s="1100"/>
      <c r="H300" s="1100"/>
      <c r="I300" s="1100"/>
      <c r="J300" s="1100"/>
      <c r="K300" s="1074"/>
      <c r="L300" s="1074"/>
      <c r="M300" s="1074"/>
      <c r="N300" s="1074"/>
      <c r="O300" s="1074"/>
      <c r="P300" s="1074"/>
      <c r="Q300" s="1074"/>
      <c r="R300" s="1074"/>
      <c r="S300" s="1074"/>
      <c r="T300" s="1074"/>
      <c r="U300" s="1074"/>
      <c r="V300" s="1074"/>
      <c r="W300" s="1074"/>
      <c r="X300" s="1074"/>
      <c r="Y300" s="1074"/>
      <c r="Z300" s="1074"/>
      <c r="AA300" s="1074"/>
      <c r="AB300" s="1074"/>
      <c r="AC300" s="1074"/>
      <c r="AD300" s="1074"/>
      <c r="AE300" s="1074"/>
      <c r="AF300" s="1074"/>
      <c r="AG300" s="1074"/>
      <c r="AH300" s="1074"/>
      <c r="AI300" s="1074"/>
      <c r="AJ300" s="1074"/>
      <c r="AK300" s="1074"/>
      <c r="AL300" s="1074"/>
      <c r="AM300" s="1074"/>
      <c r="AN300" s="1074"/>
      <c r="AO300" s="1074"/>
      <c r="AP300" s="1074"/>
      <c r="AQ300" s="1074"/>
      <c r="AR300" s="1074"/>
      <c r="AS300" s="1074"/>
      <c r="AT300" s="1075"/>
    </row>
    <row r="301" ht="14.25" customHeight="1">
      <c r="A301" s="1116"/>
      <c r="B301" s="1120"/>
      <c r="C301" s="1100"/>
      <c r="D301" s="1100"/>
      <c r="E301" s="1100"/>
      <c r="F301" s="1100"/>
      <c r="G301" s="1100"/>
      <c r="H301" s="1100"/>
      <c r="I301" s="1100"/>
      <c r="J301" s="1100"/>
      <c r="K301" s="1074"/>
      <c r="L301" s="1074"/>
      <c r="M301" s="1074"/>
      <c r="N301" s="1074"/>
      <c r="O301" s="1074"/>
      <c r="P301" s="1074"/>
      <c r="Q301" s="1074"/>
      <c r="R301" s="1074"/>
      <c r="S301" s="1074"/>
      <c r="T301" s="1074"/>
      <c r="U301" s="1074"/>
      <c r="V301" s="1074"/>
      <c r="W301" s="1074"/>
      <c r="X301" s="1074"/>
      <c r="Y301" s="1074"/>
      <c r="Z301" s="1074"/>
      <c r="AA301" s="1074"/>
      <c r="AB301" s="1074"/>
      <c r="AC301" s="1074"/>
      <c r="AD301" s="1074"/>
      <c r="AE301" s="1074"/>
      <c r="AF301" s="1074"/>
      <c r="AG301" s="1074"/>
      <c r="AH301" s="1074"/>
      <c r="AI301" s="1074"/>
      <c r="AJ301" s="1074"/>
      <c r="AK301" s="1074"/>
      <c r="AL301" s="1074"/>
      <c r="AM301" s="1074"/>
      <c r="AN301" s="1074"/>
      <c r="AO301" s="1074"/>
      <c r="AP301" s="1074"/>
      <c r="AQ301" s="1074"/>
      <c r="AR301" s="1074"/>
      <c r="AS301" s="1074"/>
      <c r="AT301" s="1075"/>
    </row>
    <row r="302" ht="14.25" customHeight="1">
      <c r="A302" s="1116"/>
      <c r="B302" s="1120"/>
      <c r="C302" s="1100"/>
      <c r="D302" s="1100"/>
      <c r="E302" s="1100"/>
      <c r="F302" s="1100"/>
      <c r="G302" s="1100"/>
      <c r="H302" s="1100"/>
      <c r="I302" s="1100"/>
      <c r="J302" s="1100"/>
      <c r="K302" s="1074"/>
      <c r="L302" s="1074"/>
      <c r="M302" s="1074"/>
      <c r="N302" s="1074"/>
      <c r="O302" s="1074"/>
      <c r="P302" s="1074"/>
      <c r="Q302" s="1074"/>
      <c r="R302" s="1074"/>
      <c r="S302" s="1074"/>
      <c r="T302" s="1074"/>
      <c r="U302" s="1074"/>
      <c r="V302" s="1074"/>
      <c r="W302" s="1074"/>
      <c r="X302" s="1074"/>
      <c r="Y302" s="1074"/>
      <c r="Z302" s="1074"/>
      <c r="AA302" s="1074"/>
      <c r="AB302" s="1074"/>
      <c r="AC302" s="1074"/>
      <c r="AD302" s="1074"/>
      <c r="AE302" s="1074"/>
      <c r="AF302" s="1074"/>
      <c r="AG302" s="1074"/>
      <c r="AH302" s="1074"/>
      <c r="AI302" s="1074"/>
      <c r="AJ302" s="1074"/>
      <c r="AK302" s="1074"/>
      <c r="AL302" s="1074"/>
      <c r="AM302" s="1074"/>
      <c r="AN302" s="1074"/>
      <c r="AO302" s="1074"/>
      <c r="AP302" s="1074"/>
      <c r="AQ302" s="1074"/>
      <c r="AR302" s="1074"/>
      <c r="AS302" s="1074"/>
      <c r="AT302" s="1075"/>
    </row>
    <row r="303" ht="14.25" customHeight="1">
      <c r="A303" s="1116"/>
      <c r="B303" s="1120"/>
      <c r="C303" s="1100"/>
      <c r="D303" s="1100"/>
      <c r="E303" s="1100"/>
      <c r="F303" s="1100"/>
      <c r="G303" s="1100"/>
      <c r="H303" s="1100"/>
      <c r="I303" s="1100"/>
      <c r="J303" s="1100"/>
      <c r="K303" s="1074"/>
      <c r="L303" s="1074"/>
      <c r="M303" s="1074"/>
      <c r="N303" s="1074"/>
      <c r="O303" s="1074"/>
      <c r="P303" s="1074"/>
      <c r="Q303" s="1074"/>
      <c r="R303" s="1074"/>
      <c r="S303" s="1074"/>
      <c r="T303" s="1074"/>
      <c r="U303" s="1074"/>
      <c r="V303" s="1074"/>
      <c r="W303" s="1074"/>
      <c r="X303" s="1074"/>
      <c r="Y303" s="1074"/>
      <c r="Z303" s="1074"/>
      <c r="AA303" s="1074"/>
      <c r="AB303" s="1074"/>
      <c r="AC303" s="1074"/>
      <c r="AD303" s="1074"/>
      <c r="AE303" s="1074"/>
      <c r="AF303" s="1074"/>
      <c r="AG303" s="1074"/>
      <c r="AH303" s="1074"/>
      <c r="AI303" s="1074"/>
      <c r="AJ303" s="1074"/>
      <c r="AK303" s="1074"/>
      <c r="AL303" s="1074"/>
      <c r="AM303" s="1074"/>
      <c r="AN303" s="1074"/>
      <c r="AO303" s="1074"/>
      <c r="AP303" s="1074"/>
      <c r="AQ303" s="1074"/>
      <c r="AR303" s="1074"/>
      <c r="AS303" s="1074"/>
      <c r="AT303" s="1075"/>
    </row>
    <row r="304" ht="14.25" customHeight="1">
      <c r="A304" s="1116"/>
      <c r="B304" s="1120"/>
      <c r="C304" s="1100"/>
      <c r="D304" s="1100"/>
      <c r="E304" s="1100"/>
      <c r="F304" s="1100"/>
      <c r="G304" s="1100"/>
      <c r="H304" s="1100"/>
      <c r="I304" s="1100"/>
      <c r="J304" s="1100"/>
      <c r="K304" s="1074"/>
      <c r="L304" s="1074"/>
      <c r="M304" s="1074"/>
      <c r="N304" s="1074"/>
      <c r="O304" s="1074"/>
      <c r="P304" s="1074"/>
      <c r="Q304" s="1074"/>
      <c r="R304" s="1074"/>
      <c r="S304" s="1074"/>
      <c r="T304" s="1074"/>
      <c r="U304" s="1074"/>
      <c r="V304" s="1074"/>
      <c r="W304" s="1074"/>
      <c r="X304" s="1074"/>
      <c r="Y304" s="1074"/>
      <c r="Z304" s="1074"/>
      <c r="AA304" s="1074"/>
      <c r="AB304" s="1074"/>
      <c r="AC304" s="1074"/>
      <c r="AD304" s="1074"/>
      <c r="AE304" s="1074"/>
      <c r="AF304" s="1074"/>
      <c r="AG304" s="1074"/>
      <c r="AH304" s="1074"/>
      <c r="AI304" s="1074"/>
      <c r="AJ304" s="1074"/>
      <c r="AK304" s="1074"/>
      <c r="AL304" s="1074"/>
      <c r="AM304" s="1074"/>
      <c r="AN304" s="1074"/>
      <c r="AO304" s="1074"/>
      <c r="AP304" s="1074"/>
      <c r="AQ304" s="1074"/>
      <c r="AR304" s="1074"/>
      <c r="AS304" s="1074"/>
      <c r="AT304" s="1075"/>
    </row>
    <row r="305" ht="14.25" customHeight="1">
      <c r="A305" s="1116"/>
      <c r="B305" s="1120"/>
      <c r="C305" s="1100"/>
      <c r="D305" s="1100"/>
      <c r="E305" s="1100"/>
      <c r="F305" s="1100"/>
      <c r="G305" s="1100"/>
      <c r="H305" s="1100"/>
      <c r="I305" s="1100"/>
      <c r="J305" s="1100"/>
      <c r="K305" s="1074"/>
      <c r="L305" s="1074"/>
      <c r="M305" s="1074"/>
      <c r="N305" s="1074"/>
      <c r="O305" s="1074"/>
      <c r="P305" s="1074"/>
      <c r="Q305" s="1074"/>
      <c r="R305" s="1074"/>
      <c r="S305" s="1074"/>
      <c r="T305" s="1074"/>
      <c r="U305" s="1074"/>
      <c r="V305" s="1074"/>
      <c r="W305" s="1074"/>
      <c r="X305" s="1074"/>
      <c r="Y305" s="1074"/>
      <c r="Z305" s="1074"/>
      <c r="AA305" s="1074"/>
      <c r="AB305" s="1074"/>
      <c r="AC305" s="1074"/>
      <c r="AD305" s="1074"/>
      <c r="AE305" s="1074"/>
      <c r="AF305" s="1074"/>
      <c r="AG305" s="1074"/>
      <c r="AH305" s="1074"/>
      <c r="AI305" s="1074"/>
      <c r="AJ305" s="1074"/>
      <c r="AK305" s="1074"/>
      <c r="AL305" s="1074"/>
      <c r="AM305" s="1074"/>
      <c r="AN305" s="1074"/>
      <c r="AO305" s="1074"/>
      <c r="AP305" s="1074"/>
      <c r="AQ305" s="1074"/>
      <c r="AR305" s="1074"/>
      <c r="AS305" s="1074"/>
      <c r="AT305" s="1075"/>
    </row>
    <row r="306" ht="14.25" customHeight="1">
      <c r="A306" s="1116"/>
      <c r="B306" s="1120"/>
      <c r="C306" s="1100"/>
      <c r="D306" s="1100"/>
      <c r="E306" s="1100"/>
      <c r="F306" s="1100"/>
      <c r="G306" s="1100"/>
      <c r="H306" s="1100"/>
      <c r="I306" s="1100"/>
      <c r="J306" s="1100"/>
      <c r="K306" s="1074"/>
      <c r="L306" s="1074"/>
      <c r="M306" s="1074"/>
      <c r="N306" s="1074"/>
      <c r="O306" s="1074"/>
      <c r="P306" s="1074"/>
      <c r="Q306" s="1074"/>
      <c r="R306" s="1074"/>
      <c r="S306" s="1074"/>
      <c r="T306" s="1074"/>
      <c r="U306" s="1074"/>
      <c r="V306" s="1074"/>
      <c r="W306" s="1074"/>
      <c r="X306" s="1074"/>
      <c r="Y306" s="1074"/>
      <c r="Z306" s="1074"/>
      <c r="AA306" s="1074"/>
      <c r="AB306" s="1074"/>
      <c r="AC306" s="1074"/>
      <c r="AD306" s="1074"/>
      <c r="AE306" s="1074"/>
      <c r="AF306" s="1074"/>
      <c r="AG306" s="1074"/>
      <c r="AH306" s="1074"/>
      <c r="AI306" s="1074"/>
      <c r="AJ306" s="1074"/>
      <c r="AK306" s="1074"/>
      <c r="AL306" s="1074"/>
      <c r="AM306" s="1074"/>
      <c r="AN306" s="1074"/>
      <c r="AO306" s="1074"/>
      <c r="AP306" s="1074"/>
      <c r="AQ306" s="1074"/>
      <c r="AR306" s="1074"/>
      <c r="AS306" s="1074"/>
      <c r="AT306" s="1075"/>
    </row>
    <row r="307" ht="14.25" customHeight="1">
      <c r="A307" s="1116"/>
      <c r="B307" s="1120"/>
      <c r="C307" s="1100"/>
      <c r="D307" s="1100"/>
      <c r="E307" s="1100"/>
      <c r="F307" s="1100"/>
      <c r="G307" s="1100"/>
      <c r="H307" s="1100"/>
      <c r="I307" s="1100"/>
      <c r="J307" s="1100"/>
      <c r="K307" s="1074"/>
      <c r="L307" s="1074"/>
      <c r="M307" s="1074"/>
      <c r="N307" s="1074"/>
      <c r="O307" s="1074"/>
      <c r="P307" s="1074"/>
      <c r="Q307" s="1074"/>
      <c r="R307" s="1074"/>
      <c r="S307" s="1074"/>
      <c r="T307" s="1074"/>
      <c r="U307" s="1074"/>
      <c r="V307" s="1074"/>
      <c r="W307" s="1074"/>
      <c r="X307" s="1074"/>
      <c r="Y307" s="1074"/>
      <c r="Z307" s="1074"/>
      <c r="AA307" s="1074"/>
      <c r="AB307" s="1074"/>
      <c r="AC307" s="1074"/>
      <c r="AD307" s="1074"/>
      <c r="AE307" s="1074"/>
      <c r="AF307" s="1074"/>
      <c r="AG307" s="1074"/>
      <c r="AH307" s="1074"/>
      <c r="AI307" s="1074"/>
      <c r="AJ307" s="1074"/>
      <c r="AK307" s="1074"/>
      <c r="AL307" s="1074"/>
      <c r="AM307" s="1074"/>
      <c r="AN307" s="1074"/>
      <c r="AO307" s="1074"/>
      <c r="AP307" s="1074"/>
      <c r="AQ307" s="1074"/>
      <c r="AR307" s="1074"/>
      <c r="AS307" s="1074"/>
      <c r="AT307" s="1075"/>
    </row>
    <row r="308" ht="14.25" customHeight="1">
      <c r="A308" s="1116"/>
      <c r="B308" s="1120"/>
      <c r="C308" s="1100"/>
      <c r="D308" s="1100"/>
      <c r="E308" s="1100"/>
      <c r="F308" s="1100"/>
      <c r="G308" s="1100"/>
      <c r="H308" s="1100"/>
      <c r="I308" s="1100"/>
      <c r="J308" s="1100"/>
      <c r="K308" s="1074"/>
      <c r="L308" s="1074"/>
      <c r="M308" s="1074"/>
      <c r="N308" s="1074"/>
      <c r="O308" s="1074"/>
      <c r="P308" s="1074"/>
      <c r="Q308" s="1074"/>
      <c r="R308" s="1074"/>
      <c r="S308" s="1074"/>
      <c r="T308" s="1074"/>
      <c r="U308" s="1074"/>
      <c r="V308" s="1074"/>
      <c r="W308" s="1074"/>
      <c r="X308" s="1074"/>
      <c r="Y308" s="1074"/>
      <c r="Z308" s="1074"/>
      <c r="AA308" s="1074"/>
      <c r="AB308" s="1074"/>
      <c r="AC308" s="1074"/>
      <c r="AD308" s="1074"/>
      <c r="AE308" s="1074"/>
      <c r="AF308" s="1074"/>
      <c r="AG308" s="1074"/>
      <c r="AH308" s="1074"/>
      <c r="AI308" s="1074"/>
      <c r="AJ308" s="1074"/>
      <c r="AK308" s="1074"/>
      <c r="AL308" s="1074"/>
      <c r="AM308" s="1074"/>
      <c r="AN308" s="1074"/>
      <c r="AO308" s="1074"/>
      <c r="AP308" s="1074"/>
      <c r="AQ308" s="1074"/>
      <c r="AR308" s="1074"/>
      <c r="AS308" s="1074"/>
      <c r="AT308" s="1075"/>
    </row>
    <row r="309" ht="14.25" customHeight="1">
      <c r="A309" s="1116"/>
      <c r="B309" s="1120"/>
      <c r="C309" s="1100"/>
      <c r="D309" s="1100"/>
      <c r="E309" s="1100"/>
      <c r="F309" s="1100"/>
      <c r="G309" s="1100"/>
      <c r="H309" s="1100"/>
      <c r="I309" s="1100"/>
      <c r="J309" s="1100"/>
      <c r="K309" s="1074"/>
      <c r="L309" s="1074"/>
      <c r="M309" s="1074"/>
      <c r="N309" s="1074"/>
      <c r="O309" s="1074"/>
      <c r="P309" s="1074"/>
      <c r="Q309" s="1074"/>
      <c r="R309" s="1074"/>
      <c r="S309" s="1074"/>
      <c r="T309" s="1074"/>
      <c r="U309" s="1074"/>
      <c r="V309" s="1074"/>
      <c r="W309" s="1074"/>
      <c r="X309" s="1074"/>
      <c r="Y309" s="1074"/>
      <c r="Z309" s="1074"/>
      <c r="AA309" s="1074"/>
      <c r="AB309" s="1074"/>
      <c r="AC309" s="1074"/>
      <c r="AD309" s="1074"/>
      <c r="AE309" s="1074"/>
      <c r="AF309" s="1074"/>
      <c r="AG309" s="1074"/>
      <c r="AH309" s="1074"/>
      <c r="AI309" s="1074"/>
      <c r="AJ309" s="1074"/>
      <c r="AK309" s="1074"/>
      <c r="AL309" s="1074"/>
      <c r="AM309" s="1074"/>
      <c r="AN309" s="1074"/>
      <c r="AO309" s="1074"/>
      <c r="AP309" s="1074"/>
      <c r="AQ309" s="1074"/>
      <c r="AR309" s="1074"/>
      <c r="AS309" s="1074"/>
      <c r="AT309" s="1075"/>
    </row>
    <row r="310" ht="14.25" customHeight="1">
      <c r="A310" s="1116"/>
      <c r="B310" s="1120"/>
      <c r="C310" s="1100"/>
      <c r="D310" s="1100"/>
      <c r="E310" s="1100"/>
      <c r="F310" s="1100"/>
      <c r="G310" s="1100"/>
      <c r="H310" s="1100"/>
      <c r="I310" s="1100"/>
      <c r="J310" s="1100"/>
      <c r="K310" s="1074"/>
      <c r="L310" s="1074"/>
      <c r="M310" s="1074"/>
      <c r="N310" s="1074"/>
      <c r="O310" s="1074"/>
      <c r="P310" s="1074"/>
      <c r="Q310" s="1074"/>
      <c r="R310" s="1074"/>
      <c r="S310" s="1074"/>
      <c r="T310" s="1074"/>
      <c r="U310" s="1074"/>
      <c r="V310" s="1074"/>
      <c r="W310" s="1074"/>
      <c r="X310" s="1074"/>
      <c r="Y310" s="1074"/>
      <c r="Z310" s="1074"/>
      <c r="AA310" s="1074"/>
      <c r="AB310" s="1074"/>
      <c r="AC310" s="1074"/>
      <c r="AD310" s="1074"/>
      <c r="AE310" s="1074"/>
      <c r="AF310" s="1074"/>
      <c r="AG310" s="1074"/>
      <c r="AH310" s="1074"/>
      <c r="AI310" s="1074"/>
      <c r="AJ310" s="1074"/>
      <c r="AK310" s="1074"/>
      <c r="AL310" s="1074"/>
      <c r="AM310" s="1074"/>
      <c r="AN310" s="1074"/>
      <c r="AO310" s="1074"/>
      <c r="AP310" s="1074"/>
      <c r="AQ310" s="1074"/>
      <c r="AR310" s="1074"/>
      <c r="AS310" s="1074"/>
      <c r="AT310" s="1075"/>
    </row>
    <row r="311" ht="14.25" customHeight="1">
      <c r="A311" s="1116"/>
      <c r="B311" s="1120"/>
      <c r="C311" s="1100"/>
      <c r="D311" s="1100"/>
      <c r="E311" s="1100"/>
      <c r="F311" s="1100"/>
      <c r="G311" s="1100"/>
      <c r="H311" s="1100"/>
      <c r="I311" s="1100"/>
      <c r="J311" s="1100"/>
      <c r="K311" s="1074"/>
      <c r="L311" s="1074"/>
      <c r="M311" s="1074"/>
      <c r="N311" s="1074"/>
      <c r="O311" s="1074"/>
      <c r="P311" s="1074"/>
      <c r="Q311" s="1074"/>
      <c r="R311" s="1074"/>
      <c r="S311" s="1074"/>
      <c r="T311" s="1074"/>
      <c r="U311" s="1074"/>
      <c r="V311" s="1074"/>
      <c r="W311" s="1074"/>
      <c r="X311" s="1074"/>
      <c r="Y311" s="1074"/>
      <c r="Z311" s="1074"/>
      <c r="AA311" s="1074"/>
      <c r="AB311" s="1074"/>
      <c r="AC311" s="1074"/>
      <c r="AD311" s="1074"/>
      <c r="AE311" s="1074"/>
      <c r="AF311" s="1074"/>
      <c r="AG311" s="1074"/>
      <c r="AH311" s="1074"/>
      <c r="AI311" s="1074"/>
      <c r="AJ311" s="1074"/>
      <c r="AK311" s="1074"/>
      <c r="AL311" s="1074"/>
      <c r="AM311" s="1074"/>
      <c r="AN311" s="1074"/>
      <c r="AO311" s="1074"/>
      <c r="AP311" s="1074"/>
      <c r="AQ311" s="1074"/>
      <c r="AR311" s="1074"/>
      <c r="AS311" s="1074"/>
      <c r="AT311" s="1075"/>
    </row>
    <row r="312" ht="14.25" customHeight="1">
      <c r="A312" s="1116"/>
      <c r="B312" s="1120"/>
      <c r="C312" s="1100"/>
      <c r="D312" s="1100"/>
      <c r="E312" s="1100"/>
      <c r="F312" s="1100"/>
      <c r="G312" s="1100"/>
      <c r="H312" s="1100"/>
      <c r="I312" s="1100"/>
      <c r="J312" s="1100"/>
      <c r="K312" s="1074"/>
      <c r="L312" s="1074"/>
      <c r="M312" s="1074"/>
      <c r="N312" s="1074"/>
      <c r="O312" s="1074"/>
      <c r="P312" s="1074"/>
      <c r="Q312" s="1074"/>
      <c r="R312" s="1074"/>
      <c r="S312" s="1074"/>
      <c r="T312" s="1074"/>
      <c r="U312" s="1074"/>
      <c r="V312" s="1074"/>
      <c r="W312" s="1074"/>
      <c r="X312" s="1074"/>
      <c r="Y312" s="1074"/>
      <c r="Z312" s="1074"/>
      <c r="AA312" s="1074"/>
      <c r="AB312" s="1074"/>
      <c r="AC312" s="1074"/>
      <c r="AD312" s="1074"/>
      <c r="AE312" s="1074"/>
      <c r="AF312" s="1074"/>
      <c r="AG312" s="1074"/>
      <c r="AH312" s="1074"/>
      <c r="AI312" s="1074"/>
      <c r="AJ312" s="1074"/>
      <c r="AK312" s="1074"/>
      <c r="AL312" s="1074"/>
      <c r="AM312" s="1074"/>
      <c r="AN312" s="1074"/>
      <c r="AO312" s="1074"/>
      <c r="AP312" s="1074"/>
      <c r="AQ312" s="1074"/>
      <c r="AR312" s="1074"/>
      <c r="AS312" s="1074"/>
      <c r="AT312" s="1075"/>
    </row>
    <row r="313" ht="14.25" customHeight="1">
      <c r="A313" s="1116"/>
      <c r="B313" s="1120"/>
      <c r="C313" s="1100"/>
      <c r="D313" s="1100"/>
      <c r="E313" s="1100"/>
      <c r="F313" s="1100"/>
      <c r="G313" s="1100"/>
      <c r="H313" s="1100"/>
      <c r="I313" s="1100"/>
      <c r="J313" s="1100"/>
      <c r="K313" s="1074"/>
      <c r="L313" s="1074"/>
      <c r="M313" s="1074"/>
      <c r="N313" s="1074"/>
      <c r="O313" s="1074"/>
      <c r="P313" s="1074"/>
      <c r="Q313" s="1074"/>
      <c r="R313" s="1074"/>
      <c r="S313" s="1074"/>
      <c r="T313" s="1074"/>
      <c r="U313" s="1074"/>
      <c r="V313" s="1074"/>
      <c r="W313" s="1074"/>
      <c r="X313" s="1074"/>
      <c r="Y313" s="1074"/>
      <c r="Z313" s="1074"/>
      <c r="AA313" s="1074"/>
      <c r="AB313" s="1074"/>
      <c r="AC313" s="1074"/>
      <c r="AD313" s="1074"/>
      <c r="AE313" s="1074"/>
      <c r="AF313" s="1074"/>
      <c r="AG313" s="1074"/>
      <c r="AH313" s="1074"/>
      <c r="AI313" s="1074"/>
      <c r="AJ313" s="1074"/>
      <c r="AK313" s="1074"/>
      <c r="AL313" s="1074"/>
      <c r="AM313" s="1074"/>
      <c r="AN313" s="1074"/>
      <c r="AO313" s="1074"/>
      <c r="AP313" s="1074"/>
      <c r="AQ313" s="1074"/>
      <c r="AR313" s="1074"/>
      <c r="AS313" s="1074"/>
      <c r="AT313" s="1075"/>
    </row>
    <row r="314" ht="14.25" customHeight="1">
      <c r="A314" s="1116"/>
      <c r="B314" s="1120"/>
      <c r="C314" s="1100"/>
      <c r="D314" s="1100"/>
      <c r="E314" s="1100"/>
      <c r="F314" s="1100"/>
      <c r="G314" s="1100"/>
      <c r="H314" s="1100"/>
      <c r="I314" s="1100"/>
      <c r="J314" s="1100"/>
      <c r="K314" s="1074"/>
      <c r="L314" s="1074"/>
      <c r="M314" s="1074"/>
      <c r="N314" s="1074"/>
      <c r="O314" s="1074"/>
      <c r="P314" s="1074"/>
      <c r="Q314" s="1074"/>
      <c r="R314" s="1074"/>
      <c r="S314" s="1074"/>
      <c r="T314" s="1074"/>
      <c r="U314" s="1074"/>
      <c r="V314" s="1074"/>
      <c r="W314" s="1074"/>
      <c r="X314" s="1074"/>
      <c r="Y314" s="1074"/>
      <c r="Z314" s="1074"/>
      <c r="AA314" s="1074"/>
      <c r="AB314" s="1074"/>
      <c r="AC314" s="1074"/>
      <c r="AD314" s="1074"/>
      <c r="AE314" s="1074"/>
      <c r="AF314" s="1074"/>
      <c r="AG314" s="1074"/>
      <c r="AH314" s="1074"/>
      <c r="AI314" s="1074"/>
      <c r="AJ314" s="1074"/>
      <c r="AK314" s="1074"/>
      <c r="AL314" s="1074"/>
      <c r="AM314" s="1074"/>
      <c r="AN314" s="1074"/>
      <c r="AO314" s="1074"/>
      <c r="AP314" s="1074"/>
      <c r="AQ314" s="1074"/>
      <c r="AR314" s="1074"/>
      <c r="AS314" s="1074"/>
      <c r="AT314" s="1075"/>
    </row>
    <row r="315" ht="14.25" customHeight="1">
      <c r="A315" s="1116"/>
      <c r="B315" s="1120"/>
      <c r="C315" s="1100"/>
      <c r="D315" s="1100"/>
      <c r="E315" s="1100"/>
      <c r="F315" s="1100"/>
      <c r="G315" s="1100"/>
      <c r="H315" s="1100"/>
      <c r="I315" s="1100"/>
      <c r="J315" s="1100"/>
      <c r="K315" s="1074"/>
      <c r="L315" s="1074"/>
      <c r="M315" s="1074"/>
      <c r="N315" s="1074"/>
      <c r="O315" s="1074"/>
      <c r="P315" s="1074"/>
      <c r="Q315" s="1074"/>
      <c r="R315" s="1074"/>
      <c r="S315" s="1074"/>
      <c r="T315" s="1074"/>
      <c r="U315" s="1074"/>
      <c r="V315" s="1074"/>
      <c r="W315" s="1074"/>
      <c r="X315" s="1074"/>
      <c r="Y315" s="1074"/>
      <c r="Z315" s="1074"/>
      <c r="AA315" s="1074"/>
      <c r="AB315" s="1074"/>
      <c r="AC315" s="1074"/>
      <c r="AD315" s="1074"/>
      <c r="AE315" s="1074"/>
      <c r="AF315" s="1074"/>
      <c r="AG315" s="1074"/>
      <c r="AH315" s="1074"/>
      <c r="AI315" s="1074"/>
      <c r="AJ315" s="1074"/>
      <c r="AK315" s="1074"/>
      <c r="AL315" s="1074"/>
      <c r="AM315" s="1074"/>
      <c r="AN315" s="1074"/>
      <c r="AO315" s="1074"/>
      <c r="AP315" s="1074"/>
      <c r="AQ315" s="1074"/>
      <c r="AR315" s="1074"/>
      <c r="AS315" s="1074"/>
      <c r="AT315" s="1075"/>
    </row>
    <row r="316" ht="14.25" customHeight="1">
      <c r="A316" s="1116"/>
      <c r="B316" s="1120"/>
      <c r="C316" s="1100"/>
      <c r="D316" s="1100"/>
      <c r="E316" s="1100"/>
      <c r="F316" s="1100"/>
      <c r="G316" s="1100"/>
      <c r="H316" s="1100"/>
      <c r="I316" s="1100"/>
      <c r="J316" s="1100"/>
      <c r="K316" s="1074"/>
      <c r="L316" s="1074"/>
      <c r="M316" s="1074"/>
      <c r="N316" s="1074"/>
      <c r="O316" s="1074"/>
      <c r="P316" s="1074"/>
      <c r="Q316" s="1074"/>
      <c r="R316" s="1074"/>
      <c r="S316" s="1074"/>
      <c r="T316" s="1074"/>
      <c r="U316" s="1074"/>
      <c r="V316" s="1074"/>
      <c r="W316" s="1074"/>
      <c r="X316" s="1074"/>
      <c r="Y316" s="1074"/>
      <c r="Z316" s="1074"/>
      <c r="AA316" s="1074"/>
      <c r="AB316" s="1074"/>
      <c r="AC316" s="1074"/>
      <c r="AD316" s="1074"/>
      <c r="AE316" s="1074"/>
      <c r="AF316" s="1074"/>
      <c r="AG316" s="1074"/>
      <c r="AH316" s="1074"/>
      <c r="AI316" s="1074"/>
      <c r="AJ316" s="1074"/>
      <c r="AK316" s="1074"/>
      <c r="AL316" s="1074"/>
      <c r="AM316" s="1074"/>
      <c r="AN316" s="1074"/>
      <c r="AO316" s="1074"/>
      <c r="AP316" s="1074"/>
      <c r="AQ316" s="1074"/>
      <c r="AR316" s="1074"/>
      <c r="AS316" s="1074"/>
      <c r="AT316" s="1075"/>
    </row>
    <row r="317" ht="14.25" customHeight="1">
      <c r="A317" s="1116"/>
      <c r="B317" s="1120"/>
      <c r="C317" s="1100"/>
      <c r="D317" s="1100"/>
      <c r="E317" s="1100"/>
      <c r="F317" s="1100"/>
      <c r="G317" s="1100"/>
      <c r="H317" s="1100"/>
      <c r="I317" s="1100"/>
      <c r="J317" s="1100"/>
      <c r="K317" s="1074"/>
      <c r="L317" s="1074"/>
      <c r="M317" s="1074"/>
      <c r="N317" s="1074"/>
      <c r="O317" s="1074"/>
      <c r="P317" s="1074"/>
      <c r="Q317" s="1074"/>
      <c r="R317" s="1074"/>
      <c r="S317" s="1074"/>
      <c r="T317" s="1074"/>
      <c r="U317" s="1074"/>
      <c r="V317" s="1074"/>
      <c r="W317" s="1074"/>
      <c r="X317" s="1074"/>
      <c r="Y317" s="1074"/>
      <c r="Z317" s="1074"/>
      <c r="AA317" s="1074"/>
      <c r="AB317" s="1074"/>
      <c r="AC317" s="1074"/>
      <c r="AD317" s="1074"/>
      <c r="AE317" s="1074"/>
      <c r="AF317" s="1074"/>
      <c r="AG317" s="1074"/>
      <c r="AH317" s="1074"/>
      <c r="AI317" s="1074"/>
      <c r="AJ317" s="1074"/>
      <c r="AK317" s="1074"/>
      <c r="AL317" s="1074"/>
      <c r="AM317" s="1074"/>
      <c r="AN317" s="1074"/>
      <c r="AO317" s="1074"/>
      <c r="AP317" s="1074"/>
      <c r="AQ317" s="1074"/>
      <c r="AR317" s="1074"/>
      <c r="AS317" s="1074"/>
      <c r="AT317" s="1075"/>
    </row>
    <row r="318" ht="14.25" customHeight="1">
      <c r="A318" s="1116"/>
      <c r="B318" s="1120"/>
      <c r="C318" s="1100"/>
      <c r="D318" s="1100"/>
      <c r="E318" s="1100"/>
      <c r="F318" s="1100"/>
      <c r="G318" s="1100"/>
      <c r="H318" s="1100"/>
      <c r="I318" s="1100"/>
      <c r="J318" s="1100"/>
      <c r="K318" s="1074"/>
      <c r="L318" s="1074"/>
      <c r="M318" s="1074"/>
      <c r="N318" s="1074"/>
      <c r="O318" s="1074"/>
      <c r="P318" s="1074"/>
      <c r="Q318" s="1074"/>
      <c r="R318" s="1074"/>
      <c r="S318" s="1074"/>
      <c r="T318" s="1074"/>
      <c r="U318" s="1074"/>
      <c r="V318" s="1074"/>
      <c r="W318" s="1074"/>
      <c r="X318" s="1074"/>
      <c r="Y318" s="1074"/>
      <c r="Z318" s="1074"/>
      <c r="AA318" s="1074"/>
      <c r="AB318" s="1074"/>
      <c r="AC318" s="1074"/>
      <c r="AD318" s="1074"/>
      <c r="AE318" s="1074"/>
      <c r="AF318" s="1074"/>
      <c r="AG318" s="1074"/>
      <c r="AH318" s="1074"/>
      <c r="AI318" s="1074"/>
      <c r="AJ318" s="1074"/>
      <c r="AK318" s="1074"/>
      <c r="AL318" s="1074"/>
      <c r="AM318" s="1074"/>
      <c r="AN318" s="1074"/>
      <c r="AO318" s="1074"/>
      <c r="AP318" s="1074"/>
      <c r="AQ318" s="1074"/>
      <c r="AR318" s="1074"/>
      <c r="AS318" s="1074"/>
      <c r="AT318" s="1075"/>
    </row>
    <row r="319" ht="14.25" customHeight="1">
      <c r="A319" s="1116"/>
      <c r="B319" s="1120"/>
      <c r="C319" s="1100"/>
      <c r="D319" s="1100"/>
      <c r="E319" s="1100"/>
      <c r="F319" s="1100"/>
      <c r="G319" s="1100"/>
      <c r="H319" s="1100"/>
      <c r="I319" s="1100"/>
      <c r="J319" s="1100"/>
      <c r="K319" s="1074"/>
      <c r="L319" s="1074"/>
      <c r="M319" s="1074"/>
      <c r="N319" s="1074"/>
      <c r="O319" s="1074"/>
      <c r="P319" s="1074"/>
      <c r="Q319" s="1074"/>
      <c r="R319" s="1074"/>
      <c r="S319" s="1074"/>
      <c r="T319" s="1074"/>
      <c r="U319" s="1074"/>
      <c r="V319" s="1074"/>
      <c r="W319" s="1074"/>
      <c r="X319" s="1074"/>
      <c r="Y319" s="1074"/>
      <c r="Z319" s="1074"/>
      <c r="AA319" s="1074"/>
      <c r="AB319" s="1074"/>
      <c r="AC319" s="1074"/>
      <c r="AD319" s="1074"/>
      <c r="AE319" s="1074"/>
      <c r="AF319" s="1074"/>
      <c r="AG319" s="1074"/>
      <c r="AH319" s="1074"/>
      <c r="AI319" s="1074"/>
      <c r="AJ319" s="1074"/>
      <c r="AK319" s="1074"/>
      <c r="AL319" s="1074"/>
      <c r="AM319" s="1074"/>
      <c r="AN319" s="1074"/>
      <c r="AO319" s="1074"/>
      <c r="AP319" s="1074"/>
      <c r="AQ319" s="1074"/>
      <c r="AR319" s="1074"/>
      <c r="AS319" s="1074"/>
      <c r="AT319" s="1075"/>
    </row>
    <row r="320" ht="14.25" customHeight="1">
      <c r="A320" s="1116"/>
      <c r="B320" s="1120"/>
      <c r="C320" s="1100"/>
      <c r="D320" s="1100"/>
      <c r="E320" s="1100"/>
      <c r="F320" s="1100"/>
      <c r="G320" s="1100"/>
      <c r="H320" s="1100"/>
      <c r="I320" s="1100"/>
      <c r="J320" s="1100"/>
      <c r="K320" s="1074"/>
      <c r="L320" s="1074"/>
      <c r="M320" s="1074"/>
      <c r="N320" s="1074"/>
      <c r="O320" s="1074"/>
      <c r="P320" s="1074"/>
      <c r="Q320" s="1074"/>
      <c r="R320" s="1074"/>
      <c r="S320" s="1074"/>
      <c r="T320" s="1074"/>
      <c r="U320" s="1074"/>
      <c r="V320" s="1074"/>
      <c r="W320" s="1074"/>
      <c r="X320" s="1074"/>
      <c r="Y320" s="1074"/>
      <c r="Z320" s="1074"/>
      <c r="AA320" s="1074"/>
      <c r="AB320" s="1074"/>
      <c r="AC320" s="1074"/>
      <c r="AD320" s="1074"/>
      <c r="AE320" s="1074"/>
      <c r="AF320" s="1074"/>
      <c r="AG320" s="1074"/>
      <c r="AH320" s="1074"/>
      <c r="AI320" s="1074"/>
      <c r="AJ320" s="1074"/>
      <c r="AK320" s="1074"/>
      <c r="AL320" s="1074"/>
      <c r="AM320" s="1074"/>
      <c r="AN320" s="1074"/>
      <c r="AO320" s="1074"/>
      <c r="AP320" s="1074"/>
      <c r="AQ320" s="1074"/>
      <c r="AR320" s="1074"/>
      <c r="AS320" s="1074"/>
      <c r="AT320" s="1075"/>
    </row>
    <row r="321" ht="14.25" customHeight="1">
      <c r="A321" s="1116"/>
      <c r="B321" s="1120"/>
      <c r="C321" s="1100"/>
      <c r="D321" s="1100"/>
      <c r="E321" s="1100"/>
      <c r="F321" s="1100"/>
      <c r="G321" s="1100"/>
      <c r="H321" s="1100"/>
      <c r="I321" s="1100"/>
      <c r="J321" s="1100"/>
      <c r="K321" s="1074"/>
      <c r="L321" s="1074"/>
      <c r="M321" s="1074"/>
      <c r="N321" s="1074"/>
      <c r="O321" s="1074"/>
      <c r="P321" s="1074"/>
      <c r="Q321" s="1074"/>
      <c r="R321" s="1074"/>
      <c r="S321" s="1074"/>
      <c r="T321" s="1074"/>
      <c r="U321" s="1074"/>
      <c r="V321" s="1074"/>
      <c r="W321" s="1074"/>
      <c r="X321" s="1074"/>
      <c r="Y321" s="1074"/>
      <c r="Z321" s="1074"/>
      <c r="AA321" s="1074"/>
      <c r="AB321" s="1074"/>
      <c r="AC321" s="1074"/>
      <c r="AD321" s="1074"/>
      <c r="AE321" s="1074"/>
      <c r="AF321" s="1074"/>
      <c r="AG321" s="1074"/>
      <c r="AH321" s="1074"/>
      <c r="AI321" s="1074"/>
      <c r="AJ321" s="1074"/>
      <c r="AK321" s="1074"/>
      <c r="AL321" s="1074"/>
      <c r="AM321" s="1074"/>
      <c r="AN321" s="1074"/>
      <c r="AO321" s="1074"/>
      <c r="AP321" s="1074"/>
      <c r="AQ321" s="1074"/>
      <c r="AR321" s="1074"/>
      <c r="AS321" s="1074"/>
      <c r="AT321" s="1075"/>
    </row>
    <row r="322" ht="14.25" customHeight="1">
      <c r="A322" s="1116"/>
      <c r="B322" s="1120"/>
      <c r="C322" s="1100"/>
      <c r="D322" s="1100"/>
      <c r="E322" s="1100"/>
      <c r="F322" s="1100"/>
      <c r="G322" s="1100"/>
      <c r="H322" s="1100"/>
      <c r="I322" s="1100"/>
      <c r="J322" s="1100"/>
      <c r="K322" s="1074"/>
      <c r="L322" s="1074"/>
      <c r="M322" s="1074"/>
      <c r="N322" s="1074"/>
      <c r="O322" s="1074"/>
      <c r="P322" s="1074"/>
      <c r="Q322" s="1074"/>
      <c r="R322" s="1074"/>
      <c r="S322" s="1074"/>
      <c r="T322" s="1074"/>
      <c r="U322" s="1074"/>
      <c r="V322" s="1074"/>
      <c r="W322" s="1074"/>
      <c r="X322" s="1074"/>
      <c r="Y322" s="1074"/>
      <c r="Z322" s="1074"/>
      <c r="AA322" s="1074"/>
      <c r="AB322" s="1074"/>
      <c r="AC322" s="1074"/>
      <c r="AD322" s="1074"/>
      <c r="AE322" s="1074"/>
      <c r="AF322" s="1074"/>
      <c r="AG322" s="1074"/>
      <c r="AH322" s="1074"/>
      <c r="AI322" s="1074"/>
      <c r="AJ322" s="1074"/>
      <c r="AK322" s="1074"/>
      <c r="AL322" s="1074"/>
      <c r="AM322" s="1074"/>
      <c r="AN322" s="1074"/>
      <c r="AO322" s="1074"/>
      <c r="AP322" s="1074"/>
      <c r="AQ322" s="1074"/>
      <c r="AR322" s="1074"/>
      <c r="AS322" s="1074"/>
      <c r="AT322" s="1075"/>
    </row>
    <row r="323" ht="14.25" customHeight="1">
      <c r="A323" s="1116"/>
      <c r="B323" s="1120"/>
      <c r="C323" s="1100"/>
      <c r="D323" s="1100"/>
      <c r="E323" s="1100"/>
      <c r="F323" s="1100"/>
      <c r="G323" s="1100"/>
      <c r="H323" s="1100"/>
      <c r="I323" s="1100"/>
      <c r="J323" s="1100"/>
      <c r="K323" s="1074"/>
      <c r="L323" s="1074"/>
      <c r="M323" s="1074"/>
      <c r="N323" s="1074"/>
      <c r="O323" s="1074"/>
      <c r="P323" s="1074"/>
      <c r="Q323" s="1074"/>
      <c r="R323" s="1074"/>
      <c r="S323" s="1074"/>
      <c r="T323" s="1074"/>
      <c r="U323" s="1074"/>
      <c r="V323" s="1074"/>
      <c r="W323" s="1074"/>
      <c r="X323" s="1074"/>
      <c r="Y323" s="1074"/>
      <c r="Z323" s="1074"/>
      <c r="AA323" s="1074"/>
      <c r="AB323" s="1074"/>
      <c r="AC323" s="1074"/>
      <c r="AD323" s="1074"/>
      <c r="AE323" s="1074"/>
      <c r="AF323" s="1074"/>
      <c r="AG323" s="1074"/>
      <c r="AH323" s="1074"/>
      <c r="AI323" s="1074"/>
      <c r="AJ323" s="1074"/>
      <c r="AK323" s="1074"/>
      <c r="AL323" s="1074"/>
      <c r="AM323" s="1074"/>
      <c r="AN323" s="1074"/>
      <c r="AO323" s="1074"/>
      <c r="AP323" s="1074"/>
      <c r="AQ323" s="1074"/>
      <c r="AR323" s="1074"/>
      <c r="AS323" s="1074"/>
      <c r="AT323" s="1075"/>
    </row>
    <row r="324" ht="14.25" customHeight="1">
      <c r="A324" s="1116"/>
      <c r="B324" s="1120"/>
      <c r="C324" s="1100"/>
      <c r="D324" s="1100"/>
      <c r="E324" s="1100"/>
      <c r="F324" s="1100"/>
      <c r="G324" s="1100"/>
      <c r="H324" s="1100"/>
      <c r="I324" s="1100"/>
      <c r="J324" s="1100"/>
      <c r="K324" s="1074"/>
      <c r="L324" s="1074"/>
      <c r="M324" s="1074"/>
      <c r="N324" s="1074"/>
      <c r="O324" s="1074"/>
      <c r="P324" s="1074"/>
      <c r="Q324" s="1074"/>
      <c r="R324" s="1074"/>
      <c r="S324" s="1074"/>
      <c r="T324" s="1074"/>
      <c r="U324" s="1074"/>
      <c r="V324" s="1074"/>
      <c r="W324" s="1074"/>
      <c r="X324" s="1074"/>
      <c r="Y324" s="1074"/>
      <c r="Z324" s="1074"/>
      <c r="AA324" s="1074"/>
      <c r="AB324" s="1074"/>
      <c r="AC324" s="1074"/>
      <c r="AD324" s="1074"/>
      <c r="AE324" s="1074"/>
      <c r="AF324" s="1074"/>
      <c r="AG324" s="1074"/>
      <c r="AH324" s="1074"/>
      <c r="AI324" s="1074"/>
      <c r="AJ324" s="1074"/>
      <c r="AK324" s="1074"/>
      <c r="AL324" s="1074"/>
      <c r="AM324" s="1074"/>
      <c r="AN324" s="1074"/>
      <c r="AO324" s="1074"/>
      <c r="AP324" s="1074"/>
      <c r="AQ324" s="1074"/>
      <c r="AR324" s="1074"/>
      <c r="AS324" s="1074"/>
      <c r="AT324" s="1075"/>
    </row>
    <row r="325" ht="14.25" customHeight="1">
      <c r="A325" s="1116"/>
      <c r="B325" s="1120"/>
      <c r="C325" s="1100"/>
      <c r="D325" s="1100"/>
      <c r="E325" s="1100"/>
      <c r="F325" s="1100"/>
      <c r="G325" s="1100"/>
      <c r="H325" s="1100"/>
      <c r="I325" s="1100"/>
      <c r="J325" s="1100"/>
      <c r="K325" s="1074"/>
      <c r="L325" s="1074"/>
      <c r="M325" s="1074"/>
      <c r="N325" s="1074"/>
      <c r="O325" s="1074"/>
      <c r="P325" s="1074"/>
      <c r="Q325" s="1074"/>
      <c r="R325" s="1074"/>
      <c r="S325" s="1074"/>
      <c r="T325" s="1074"/>
      <c r="U325" s="1074"/>
      <c r="V325" s="1074"/>
      <c r="W325" s="1074"/>
      <c r="X325" s="1074"/>
      <c r="Y325" s="1074"/>
      <c r="Z325" s="1074"/>
      <c r="AA325" s="1074"/>
      <c r="AB325" s="1074"/>
      <c r="AC325" s="1074"/>
      <c r="AD325" s="1074"/>
      <c r="AE325" s="1074"/>
      <c r="AF325" s="1074"/>
      <c r="AG325" s="1074"/>
      <c r="AH325" s="1074"/>
      <c r="AI325" s="1074"/>
      <c r="AJ325" s="1074"/>
      <c r="AK325" s="1074"/>
      <c r="AL325" s="1074"/>
      <c r="AM325" s="1074"/>
      <c r="AN325" s="1074"/>
      <c r="AO325" s="1074"/>
      <c r="AP325" s="1074"/>
      <c r="AQ325" s="1074"/>
      <c r="AR325" s="1074"/>
      <c r="AS325" s="1074"/>
      <c r="AT325" s="1075"/>
    </row>
    <row r="326" ht="14.25" customHeight="1">
      <c r="A326" s="1116"/>
      <c r="B326" s="1120"/>
      <c r="C326" s="1100"/>
      <c r="D326" s="1100"/>
      <c r="E326" s="1100"/>
      <c r="F326" s="1100"/>
      <c r="G326" s="1100"/>
      <c r="H326" s="1100"/>
      <c r="I326" s="1100"/>
      <c r="J326" s="1100"/>
      <c r="K326" s="1074"/>
      <c r="L326" s="1074"/>
      <c r="M326" s="1074"/>
      <c r="N326" s="1074"/>
      <c r="O326" s="1074"/>
      <c r="P326" s="1074"/>
      <c r="Q326" s="1074"/>
      <c r="R326" s="1074"/>
      <c r="S326" s="1074"/>
      <c r="T326" s="1074"/>
      <c r="U326" s="1074"/>
      <c r="V326" s="1074"/>
      <c r="W326" s="1074"/>
      <c r="X326" s="1074"/>
      <c r="Y326" s="1074"/>
      <c r="Z326" s="1074"/>
      <c r="AA326" s="1074"/>
      <c r="AB326" s="1074"/>
      <c r="AC326" s="1074"/>
      <c r="AD326" s="1074"/>
      <c r="AE326" s="1074"/>
      <c r="AF326" s="1074"/>
      <c r="AG326" s="1074"/>
      <c r="AH326" s="1074"/>
      <c r="AI326" s="1074"/>
      <c r="AJ326" s="1074"/>
      <c r="AK326" s="1074"/>
      <c r="AL326" s="1074"/>
      <c r="AM326" s="1074"/>
      <c r="AN326" s="1074"/>
      <c r="AO326" s="1074"/>
      <c r="AP326" s="1074"/>
      <c r="AQ326" s="1074"/>
      <c r="AR326" s="1074"/>
      <c r="AS326" s="1074"/>
      <c r="AT326" s="1075"/>
    </row>
    <row r="327" ht="14.25" customHeight="1">
      <c r="A327" s="1116"/>
      <c r="B327" s="1120"/>
      <c r="C327" s="1100"/>
      <c r="D327" s="1100"/>
      <c r="E327" s="1100"/>
      <c r="F327" s="1100"/>
      <c r="G327" s="1100"/>
      <c r="H327" s="1100"/>
      <c r="I327" s="1100"/>
      <c r="J327" s="1100"/>
      <c r="K327" s="1074"/>
      <c r="L327" s="1074"/>
      <c r="M327" s="1074"/>
      <c r="N327" s="1074"/>
      <c r="O327" s="1074"/>
      <c r="P327" s="1074"/>
      <c r="Q327" s="1074"/>
      <c r="R327" s="1074"/>
      <c r="S327" s="1074"/>
      <c r="T327" s="1074"/>
      <c r="U327" s="1074"/>
      <c r="V327" s="1074"/>
      <c r="W327" s="1074"/>
      <c r="X327" s="1074"/>
      <c r="Y327" s="1074"/>
      <c r="Z327" s="1074"/>
      <c r="AA327" s="1074"/>
      <c r="AB327" s="1074"/>
      <c r="AC327" s="1074"/>
      <c r="AD327" s="1074"/>
      <c r="AE327" s="1074"/>
      <c r="AF327" s="1074"/>
      <c r="AG327" s="1074"/>
      <c r="AH327" s="1074"/>
      <c r="AI327" s="1074"/>
      <c r="AJ327" s="1074"/>
      <c r="AK327" s="1074"/>
      <c r="AL327" s="1074"/>
      <c r="AM327" s="1074"/>
      <c r="AN327" s="1074"/>
      <c r="AO327" s="1074"/>
      <c r="AP327" s="1074"/>
      <c r="AQ327" s="1074"/>
      <c r="AR327" s="1074"/>
      <c r="AS327" s="1074"/>
      <c r="AT327" s="1075"/>
    </row>
    <row r="328" ht="14.25" customHeight="1">
      <c r="A328" s="1116"/>
      <c r="B328" s="1120"/>
      <c r="C328" s="1100"/>
      <c r="D328" s="1100"/>
      <c r="E328" s="1100"/>
      <c r="F328" s="1100"/>
      <c r="G328" s="1100"/>
      <c r="H328" s="1100"/>
      <c r="I328" s="1100"/>
      <c r="J328" s="1100"/>
      <c r="K328" s="1074"/>
      <c r="L328" s="1074"/>
      <c r="M328" s="1074"/>
      <c r="N328" s="1074"/>
      <c r="O328" s="1074"/>
      <c r="P328" s="1074"/>
      <c r="Q328" s="1074"/>
      <c r="R328" s="1074"/>
      <c r="S328" s="1074"/>
      <c r="T328" s="1074"/>
      <c r="U328" s="1074"/>
      <c r="V328" s="1074"/>
      <c r="W328" s="1074"/>
      <c r="X328" s="1074"/>
      <c r="Y328" s="1074"/>
      <c r="Z328" s="1074"/>
      <c r="AA328" s="1074"/>
      <c r="AB328" s="1074"/>
      <c r="AC328" s="1074"/>
      <c r="AD328" s="1074"/>
      <c r="AE328" s="1074"/>
      <c r="AF328" s="1074"/>
      <c r="AG328" s="1074"/>
      <c r="AH328" s="1074"/>
      <c r="AI328" s="1074"/>
      <c r="AJ328" s="1074"/>
      <c r="AK328" s="1074"/>
      <c r="AL328" s="1074"/>
      <c r="AM328" s="1074"/>
      <c r="AN328" s="1074"/>
      <c r="AO328" s="1074"/>
      <c r="AP328" s="1074"/>
      <c r="AQ328" s="1074"/>
      <c r="AR328" s="1074"/>
      <c r="AS328" s="1074"/>
      <c r="AT328" s="1075"/>
    </row>
    <row r="329" ht="14.25" customHeight="1">
      <c r="A329" s="1116"/>
      <c r="B329" s="1120"/>
      <c r="C329" s="1100"/>
      <c r="D329" s="1100"/>
      <c r="E329" s="1100"/>
      <c r="F329" s="1100"/>
      <c r="G329" s="1100"/>
      <c r="H329" s="1100"/>
      <c r="I329" s="1100"/>
      <c r="J329" s="1100"/>
      <c r="K329" s="1074"/>
      <c r="L329" s="1074"/>
      <c r="M329" s="1074"/>
      <c r="N329" s="1074"/>
      <c r="O329" s="1074"/>
      <c r="P329" s="1074"/>
      <c r="Q329" s="1074"/>
      <c r="R329" s="1074"/>
      <c r="S329" s="1074"/>
      <c r="T329" s="1074"/>
      <c r="U329" s="1074"/>
      <c r="V329" s="1074"/>
      <c r="W329" s="1074"/>
      <c r="X329" s="1074"/>
      <c r="Y329" s="1074"/>
      <c r="Z329" s="1074"/>
      <c r="AA329" s="1074"/>
      <c r="AB329" s="1074"/>
      <c r="AC329" s="1074"/>
      <c r="AD329" s="1074"/>
      <c r="AE329" s="1074"/>
      <c r="AF329" s="1074"/>
      <c r="AG329" s="1074"/>
      <c r="AH329" s="1074"/>
      <c r="AI329" s="1074"/>
      <c r="AJ329" s="1074"/>
      <c r="AK329" s="1074"/>
      <c r="AL329" s="1074"/>
      <c r="AM329" s="1074"/>
      <c r="AN329" s="1074"/>
      <c r="AO329" s="1074"/>
      <c r="AP329" s="1074"/>
      <c r="AQ329" s="1074"/>
      <c r="AR329" s="1074"/>
      <c r="AS329" s="1074"/>
      <c r="AT329" s="1075"/>
    </row>
    <row r="330" ht="14.25" customHeight="1">
      <c r="A330" s="1116"/>
      <c r="B330" s="1120"/>
      <c r="C330" s="1100"/>
      <c r="D330" s="1100"/>
      <c r="E330" s="1100"/>
      <c r="F330" s="1100"/>
      <c r="G330" s="1100"/>
      <c r="H330" s="1100"/>
      <c r="I330" s="1100"/>
      <c r="J330" s="1100"/>
      <c r="K330" s="1074"/>
      <c r="L330" s="1074"/>
      <c r="M330" s="1074"/>
      <c r="N330" s="1074"/>
      <c r="O330" s="1074"/>
      <c r="P330" s="1074"/>
      <c r="Q330" s="1074"/>
      <c r="R330" s="1074"/>
      <c r="S330" s="1074"/>
      <c r="T330" s="1074"/>
      <c r="U330" s="1074"/>
      <c r="V330" s="1074"/>
      <c r="W330" s="1074"/>
      <c r="X330" s="1074"/>
      <c r="Y330" s="1074"/>
      <c r="Z330" s="1074"/>
      <c r="AA330" s="1074"/>
      <c r="AB330" s="1074"/>
      <c r="AC330" s="1074"/>
      <c r="AD330" s="1074"/>
      <c r="AE330" s="1074"/>
      <c r="AF330" s="1074"/>
      <c r="AG330" s="1074"/>
      <c r="AH330" s="1074"/>
      <c r="AI330" s="1074"/>
      <c r="AJ330" s="1074"/>
      <c r="AK330" s="1074"/>
      <c r="AL330" s="1074"/>
      <c r="AM330" s="1074"/>
      <c r="AN330" s="1074"/>
      <c r="AO330" s="1074"/>
      <c r="AP330" s="1074"/>
      <c r="AQ330" s="1074"/>
      <c r="AR330" s="1074"/>
      <c r="AS330" s="1074"/>
      <c r="AT330" s="1075"/>
    </row>
    <row r="331" ht="14.25" customHeight="1">
      <c r="A331" s="1116"/>
      <c r="B331" s="1120"/>
      <c r="C331" s="1100"/>
      <c r="D331" s="1100"/>
      <c r="E331" s="1100"/>
      <c r="F331" s="1100"/>
      <c r="G331" s="1100"/>
      <c r="H331" s="1100"/>
      <c r="I331" s="1100"/>
      <c r="J331" s="1100"/>
      <c r="K331" s="1074"/>
      <c r="L331" s="1074"/>
      <c r="M331" s="1074"/>
      <c r="N331" s="1074"/>
      <c r="O331" s="1074"/>
      <c r="P331" s="1074"/>
      <c r="Q331" s="1074"/>
      <c r="R331" s="1074"/>
      <c r="S331" s="1074"/>
      <c r="T331" s="1074"/>
      <c r="U331" s="1074"/>
      <c r="V331" s="1074"/>
      <c r="W331" s="1074"/>
      <c r="X331" s="1074"/>
      <c r="Y331" s="1074"/>
      <c r="Z331" s="1074"/>
      <c r="AA331" s="1074"/>
      <c r="AB331" s="1074"/>
      <c r="AC331" s="1074"/>
      <c r="AD331" s="1074"/>
      <c r="AE331" s="1074"/>
      <c r="AF331" s="1074"/>
      <c r="AG331" s="1074"/>
      <c r="AH331" s="1074"/>
      <c r="AI331" s="1074"/>
      <c r="AJ331" s="1074"/>
      <c r="AK331" s="1074"/>
      <c r="AL331" s="1074"/>
      <c r="AM331" s="1074"/>
      <c r="AN331" s="1074"/>
      <c r="AO331" s="1074"/>
      <c r="AP331" s="1074"/>
      <c r="AQ331" s="1074"/>
      <c r="AR331" s="1074"/>
      <c r="AS331" s="1074"/>
      <c r="AT331" s="1075"/>
    </row>
    <row r="332" ht="14.25" customHeight="1">
      <c r="A332" s="1116"/>
      <c r="B332" s="1120"/>
      <c r="C332" s="1100"/>
      <c r="D332" s="1100"/>
      <c r="E332" s="1100"/>
      <c r="F332" s="1100"/>
      <c r="G332" s="1100"/>
      <c r="H332" s="1100"/>
      <c r="I332" s="1100"/>
      <c r="J332" s="1100"/>
      <c r="K332" s="1074"/>
      <c r="L332" s="1074"/>
      <c r="M332" s="1074"/>
      <c r="N332" s="1074"/>
      <c r="O332" s="1074"/>
      <c r="P332" s="1074"/>
      <c r="Q332" s="1074"/>
      <c r="R332" s="1074"/>
      <c r="S332" s="1074"/>
      <c r="T332" s="1074"/>
      <c r="U332" s="1074"/>
      <c r="V332" s="1074"/>
      <c r="W332" s="1074"/>
      <c r="X332" s="1074"/>
      <c r="Y332" s="1074"/>
      <c r="Z332" s="1074"/>
      <c r="AA332" s="1074"/>
      <c r="AB332" s="1074"/>
      <c r="AC332" s="1074"/>
      <c r="AD332" s="1074"/>
      <c r="AE332" s="1074"/>
      <c r="AF332" s="1074"/>
      <c r="AG332" s="1074"/>
      <c r="AH332" s="1074"/>
      <c r="AI332" s="1074"/>
      <c r="AJ332" s="1074"/>
      <c r="AK332" s="1074"/>
      <c r="AL332" s="1074"/>
      <c r="AM332" s="1074"/>
      <c r="AN332" s="1074"/>
      <c r="AO332" s="1074"/>
      <c r="AP332" s="1074"/>
      <c r="AQ332" s="1074"/>
      <c r="AR332" s="1074"/>
      <c r="AS332" s="1074"/>
      <c r="AT332" s="1075"/>
    </row>
    <row r="333" ht="14.25" customHeight="1">
      <c r="A333" s="1116"/>
      <c r="B333" s="1120"/>
      <c r="C333" s="1100"/>
      <c r="D333" s="1100"/>
      <c r="E333" s="1100"/>
      <c r="F333" s="1100"/>
      <c r="G333" s="1100"/>
      <c r="H333" s="1100"/>
      <c r="I333" s="1100"/>
      <c r="J333" s="1100"/>
      <c r="K333" s="1074"/>
      <c r="L333" s="1074"/>
      <c r="M333" s="1074"/>
      <c r="N333" s="1074"/>
      <c r="O333" s="1074"/>
      <c r="P333" s="1074"/>
      <c r="Q333" s="1074"/>
      <c r="R333" s="1074"/>
      <c r="S333" s="1074"/>
      <c r="T333" s="1074"/>
      <c r="U333" s="1074"/>
      <c r="V333" s="1074"/>
      <c r="W333" s="1074"/>
      <c r="X333" s="1074"/>
      <c r="Y333" s="1074"/>
      <c r="Z333" s="1074"/>
      <c r="AA333" s="1074"/>
      <c r="AB333" s="1074"/>
      <c r="AC333" s="1074"/>
      <c r="AD333" s="1074"/>
      <c r="AE333" s="1074"/>
      <c r="AF333" s="1074"/>
      <c r="AG333" s="1074"/>
      <c r="AH333" s="1074"/>
      <c r="AI333" s="1074"/>
      <c r="AJ333" s="1074"/>
      <c r="AK333" s="1074"/>
      <c r="AL333" s="1074"/>
      <c r="AM333" s="1074"/>
      <c r="AN333" s="1074"/>
      <c r="AO333" s="1074"/>
      <c r="AP333" s="1074"/>
      <c r="AQ333" s="1074"/>
      <c r="AR333" s="1074"/>
      <c r="AS333" s="1074"/>
      <c r="AT333" s="1075"/>
    </row>
    <row r="334" ht="14.25" customHeight="1">
      <c r="A334" s="1116"/>
      <c r="B334" s="1120"/>
      <c r="C334" s="1100"/>
      <c r="D334" s="1100"/>
      <c r="E334" s="1100"/>
      <c r="F334" s="1100"/>
      <c r="G334" s="1100"/>
      <c r="H334" s="1100"/>
      <c r="I334" s="1100"/>
      <c r="J334" s="1100"/>
      <c r="K334" s="1074"/>
      <c r="L334" s="1074"/>
      <c r="M334" s="1074"/>
      <c r="N334" s="1074"/>
      <c r="O334" s="1074"/>
      <c r="P334" s="1074"/>
      <c r="Q334" s="1074"/>
      <c r="R334" s="1074"/>
      <c r="S334" s="1074"/>
      <c r="T334" s="1074"/>
      <c r="U334" s="1074"/>
      <c r="V334" s="1074"/>
      <c r="W334" s="1074"/>
      <c r="X334" s="1074"/>
      <c r="Y334" s="1074"/>
      <c r="Z334" s="1074"/>
      <c r="AA334" s="1074"/>
      <c r="AB334" s="1074"/>
      <c r="AC334" s="1074"/>
      <c r="AD334" s="1074"/>
      <c r="AE334" s="1074"/>
      <c r="AF334" s="1074"/>
      <c r="AG334" s="1074"/>
      <c r="AH334" s="1074"/>
      <c r="AI334" s="1074"/>
      <c r="AJ334" s="1074"/>
      <c r="AK334" s="1074"/>
      <c r="AL334" s="1074"/>
      <c r="AM334" s="1074"/>
      <c r="AN334" s="1074"/>
      <c r="AO334" s="1074"/>
      <c r="AP334" s="1074"/>
      <c r="AQ334" s="1074"/>
      <c r="AR334" s="1074"/>
      <c r="AS334" s="1074"/>
      <c r="AT334" s="1075"/>
    </row>
    <row r="335" ht="14.25" customHeight="1">
      <c r="A335" s="1116"/>
      <c r="B335" s="1120"/>
      <c r="C335" s="1100"/>
      <c r="D335" s="1100"/>
      <c r="E335" s="1100"/>
      <c r="F335" s="1100"/>
      <c r="G335" s="1100"/>
      <c r="H335" s="1100"/>
      <c r="I335" s="1100"/>
      <c r="J335" s="1100"/>
      <c r="K335" s="1074"/>
      <c r="L335" s="1074"/>
      <c r="M335" s="1074"/>
      <c r="N335" s="1074"/>
      <c r="O335" s="1074"/>
      <c r="P335" s="1074"/>
      <c r="Q335" s="1074"/>
      <c r="R335" s="1074"/>
      <c r="S335" s="1074"/>
      <c r="T335" s="1074"/>
      <c r="U335" s="1074"/>
      <c r="V335" s="1074"/>
      <c r="W335" s="1074"/>
      <c r="X335" s="1074"/>
      <c r="Y335" s="1074"/>
      <c r="Z335" s="1074"/>
      <c r="AA335" s="1074"/>
      <c r="AB335" s="1074"/>
      <c r="AC335" s="1074"/>
      <c r="AD335" s="1074"/>
      <c r="AE335" s="1074"/>
      <c r="AF335" s="1074"/>
      <c r="AG335" s="1074"/>
      <c r="AH335" s="1074"/>
      <c r="AI335" s="1074"/>
      <c r="AJ335" s="1074"/>
      <c r="AK335" s="1074"/>
      <c r="AL335" s="1074"/>
      <c r="AM335" s="1074"/>
      <c r="AN335" s="1074"/>
      <c r="AO335" s="1074"/>
      <c r="AP335" s="1074"/>
      <c r="AQ335" s="1074"/>
      <c r="AR335" s="1074"/>
      <c r="AS335" s="1074"/>
      <c r="AT335" s="1075"/>
    </row>
    <row r="336" ht="14.25" customHeight="1">
      <c r="A336" s="1116"/>
      <c r="B336" s="1120"/>
      <c r="C336" s="1100"/>
      <c r="D336" s="1100"/>
      <c r="E336" s="1100"/>
      <c r="F336" s="1100"/>
      <c r="G336" s="1100"/>
      <c r="H336" s="1100"/>
      <c r="I336" s="1100"/>
      <c r="J336" s="1100"/>
      <c r="K336" s="1074"/>
      <c r="L336" s="1074"/>
      <c r="M336" s="1074"/>
      <c r="N336" s="1074"/>
      <c r="O336" s="1074"/>
      <c r="P336" s="1074"/>
      <c r="Q336" s="1074"/>
      <c r="R336" s="1074"/>
      <c r="S336" s="1074"/>
      <c r="T336" s="1074"/>
      <c r="U336" s="1074"/>
      <c r="V336" s="1074"/>
      <c r="W336" s="1074"/>
      <c r="X336" s="1074"/>
      <c r="Y336" s="1074"/>
      <c r="Z336" s="1074"/>
      <c r="AA336" s="1074"/>
      <c r="AB336" s="1074"/>
      <c r="AC336" s="1074"/>
      <c r="AD336" s="1074"/>
      <c r="AE336" s="1074"/>
      <c r="AF336" s="1074"/>
      <c r="AG336" s="1074"/>
      <c r="AH336" s="1074"/>
      <c r="AI336" s="1074"/>
      <c r="AJ336" s="1074"/>
      <c r="AK336" s="1074"/>
      <c r="AL336" s="1074"/>
      <c r="AM336" s="1074"/>
      <c r="AN336" s="1074"/>
      <c r="AO336" s="1074"/>
      <c r="AP336" s="1074"/>
      <c r="AQ336" s="1074"/>
      <c r="AR336" s="1074"/>
      <c r="AS336" s="1074"/>
      <c r="AT336" s="1075"/>
    </row>
    <row r="337" ht="14.25" customHeight="1">
      <c r="A337" s="1116"/>
      <c r="B337" s="1120"/>
      <c r="C337" s="1100"/>
      <c r="D337" s="1100"/>
      <c r="E337" s="1100"/>
      <c r="F337" s="1100"/>
      <c r="G337" s="1100"/>
      <c r="H337" s="1100"/>
      <c r="I337" s="1100"/>
      <c r="J337" s="1100"/>
      <c r="K337" s="1074"/>
      <c r="L337" s="1074"/>
      <c r="M337" s="1074"/>
      <c r="N337" s="1074"/>
      <c r="O337" s="1074"/>
      <c r="P337" s="1074"/>
      <c r="Q337" s="1074"/>
      <c r="R337" s="1074"/>
      <c r="S337" s="1074"/>
      <c r="T337" s="1074"/>
      <c r="U337" s="1074"/>
      <c r="V337" s="1074"/>
      <c r="W337" s="1074"/>
      <c r="X337" s="1074"/>
      <c r="Y337" s="1074"/>
      <c r="Z337" s="1074"/>
      <c r="AA337" s="1074"/>
      <c r="AB337" s="1074"/>
      <c r="AC337" s="1074"/>
      <c r="AD337" s="1074"/>
      <c r="AE337" s="1074"/>
      <c r="AF337" s="1074"/>
      <c r="AG337" s="1074"/>
      <c r="AH337" s="1074"/>
      <c r="AI337" s="1074"/>
      <c r="AJ337" s="1074"/>
      <c r="AK337" s="1074"/>
      <c r="AL337" s="1074"/>
      <c r="AM337" s="1074"/>
      <c r="AN337" s="1074"/>
      <c r="AO337" s="1074"/>
      <c r="AP337" s="1074"/>
      <c r="AQ337" s="1074"/>
      <c r="AR337" s="1074"/>
      <c r="AS337" s="1074"/>
      <c r="AT337" s="1075"/>
    </row>
    <row r="338" ht="14.25" customHeight="1">
      <c r="A338" s="1116"/>
      <c r="B338" s="1120"/>
      <c r="C338" s="1100"/>
      <c r="D338" s="1100"/>
      <c r="E338" s="1100"/>
      <c r="F338" s="1100"/>
      <c r="G338" s="1100"/>
      <c r="H338" s="1100"/>
      <c r="I338" s="1100"/>
      <c r="J338" s="1100"/>
      <c r="K338" s="1074"/>
      <c r="L338" s="1074"/>
      <c r="M338" s="1074"/>
      <c r="N338" s="1074"/>
      <c r="O338" s="1074"/>
      <c r="P338" s="1074"/>
      <c r="Q338" s="1074"/>
      <c r="R338" s="1074"/>
      <c r="S338" s="1074"/>
      <c r="T338" s="1074"/>
      <c r="U338" s="1074"/>
      <c r="V338" s="1074"/>
      <c r="W338" s="1074"/>
      <c r="X338" s="1074"/>
      <c r="Y338" s="1074"/>
      <c r="Z338" s="1074"/>
      <c r="AA338" s="1074"/>
      <c r="AB338" s="1074"/>
      <c r="AC338" s="1074"/>
      <c r="AD338" s="1074"/>
      <c r="AE338" s="1074"/>
      <c r="AF338" s="1074"/>
      <c r="AG338" s="1074"/>
      <c r="AH338" s="1074"/>
      <c r="AI338" s="1074"/>
      <c r="AJ338" s="1074"/>
      <c r="AK338" s="1074"/>
      <c r="AL338" s="1074"/>
      <c r="AM338" s="1074"/>
      <c r="AN338" s="1074"/>
      <c r="AO338" s="1074"/>
      <c r="AP338" s="1074"/>
      <c r="AQ338" s="1074"/>
      <c r="AR338" s="1074"/>
      <c r="AS338" s="1074"/>
      <c r="AT338" s="1075"/>
    </row>
    <row r="339" ht="14.25" customHeight="1">
      <c r="A339" s="1116"/>
      <c r="B339" s="1120"/>
      <c r="C339" s="1100"/>
      <c r="D339" s="1100"/>
      <c r="E339" s="1100"/>
      <c r="F339" s="1100"/>
      <c r="G339" s="1100"/>
      <c r="H339" s="1100"/>
      <c r="I339" s="1100"/>
      <c r="J339" s="1100"/>
      <c r="K339" s="1074"/>
      <c r="L339" s="1074"/>
      <c r="M339" s="1074"/>
      <c r="N339" s="1074"/>
      <c r="O339" s="1074"/>
      <c r="P339" s="1074"/>
      <c r="Q339" s="1074"/>
      <c r="R339" s="1074"/>
      <c r="S339" s="1074"/>
      <c r="T339" s="1074"/>
      <c r="U339" s="1074"/>
      <c r="V339" s="1074"/>
      <c r="W339" s="1074"/>
      <c r="X339" s="1074"/>
      <c r="Y339" s="1074"/>
      <c r="Z339" s="1074"/>
      <c r="AA339" s="1074"/>
      <c r="AB339" s="1074"/>
      <c r="AC339" s="1074"/>
      <c r="AD339" s="1074"/>
      <c r="AE339" s="1074"/>
      <c r="AF339" s="1074"/>
      <c r="AG339" s="1074"/>
      <c r="AH339" s="1074"/>
      <c r="AI339" s="1074"/>
      <c r="AJ339" s="1074"/>
      <c r="AK339" s="1074"/>
      <c r="AL339" s="1074"/>
      <c r="AM339" s="1074"/>
      <c r="AN339" s="1074"/>
      <c r="AO339" s="1074"/>
      <c r="AP339" s="1074"/>
      <c r="AQ339" s="1074"/>
      <c r="AR339" s="1074"/>
      <c r="AS339" s="1074"/>
      <c r="AT339" s="1075"/>
    </row>
    <row r="340" ht="14.25" customHeight="1">
      <c r="A340" s="1116"/>
      <c r="B340" s="1120"/>
      <c r="C340" s="1100"/>
      <c r="D340" s="1100"/>
      <c r="E340" s="1100"/>
      <c r="F340" s="1100"/>
      <c r="G340" s="1100"/>
      <c r="H340" s="1100"/>
      <c r="I340" s="1100"/>
      <c r="J340" s="1100"/>
      <c r="K340" s="1074"/>
      <c r="L340" s="1074"/>
      <c r="M340" s="1074"/>
      <c r="N340" s="1074"/>
      <c r="O340" s="1074"/>
      <c r="P340" s="1074"/>
      <c r="Q340" s="1074"/>
      <c r="R340" s="1074"/>
      <c r="S340" s="1074"/>
      <c r="T340" s="1074"/>
      <c r="U340" s="1074"/>
      <c r="V340" s="1074"/>
      <c r="W340" s="1074"/>
      <c r="X340" s="1074"/>
      <c r="Y340" s="1074"/>
      <c r="Z340" s="1074"/>
      <c r="AA340" s="1074"/>
      <c r="AB340" s="1074"/>
      <c r="AC340" s="1074"/>
      <c r="AD340" s="1074"/>
      <c r="AE340" s="1074"/>
      <c r="AF340" s="1074"/>
      <c r="AG340" s="1074"/>
      <c r="AH340" s="1074"/>
      <c r="AI340" s="1074"/>
      <c r="AJ340" s="1074"/>
      <c r="AK340" s="1074"/>
      <c r="AL340" s="1074"/>
      <c r="AM340" s="1074"/>
      <c r="AN340" s="1074"/>
      <c r="AO340" s="1074"/>
      <c r="AP340" s="1074"/>
      <c r="AQ340" s="1074"/>
      <c r="AR340" s="1074"/>
      <c r="AS340" s="1074"/>
      <c r="AT340" s="1075"/>
    </row>
    <row r="341" ht="14.25" customHeight="1">
      <c r="A341" s="1116"/>
      <c r="B341" s="1120"/>
      <c r="C341" s="1100"/>
      <c r="D341" s="1100"/>
      <c r="E341" s="1100"/>
      <c r="F341" s="1100"/>
      <c r="G341" s="1100"/>
      <c r="H341" s="1100"/>
      <c r="I341" s="1100"/>
      <c r="J341" s="1100"/>
      <c r="K341" s="1074"/>
      <c r="L341" s="1074"/>
      <c r="M341" s="1074"/>
      <c r="N341" s="1074"/>
      <c r="O341" s="1074"/>
      <c r="P341" s="1074"/>
      <c r="Q341" s="1074"/>
      <c r="R341" s="1074"/>
      <c r="S341" s="1074"/>
      <c r="T341" s="1074"/>
      <c r="U341" s="1074"/>
      <c r="V341" s="1074"/>
      <c r="W341" s="1074"/>
      <c r="X341" s="1074"/>
      <c r="Y341" s="1074"/>
      <c r="Z341" s="1074"/>
      <c r="AA341" s="1074"/>
      <c r="AB341" s="1074"/>
      <c r="AC341" s="1074"/>
      <c r="AD341" s="1074"/>
      <c r="AE341" s="1074"/>
      <c r="AF341" s="1074"/>
      <c r="AG341" s="1074"/>
      <c r="AH341" s="1074"/>
      <c r="AI341" s="1074"/>
      <c r="AJ341" s="1074"/>
      <c r="AK341" s="1074"/>
      <c r="AL341" s="1074"/>
      <c r="AM341" s="1074"/>
      <c r="AN341" s="1074"/>
      <c r="AO341" s="1074"/>
      <c r="AP341" s="1074"/>
      <c r="AQ341" s="1074"/>
      <c r="AR341" s="1074"/>
      <c r="AS341" s="1074"/>
      <c r="AT341" s="1075"/>
    </row>
    <row r="342" ht="14.25" customHeight="1">
      <c r="A342" s="1116"/>
      <c r="B342" s="1120"/>
      <c r="C342" s="1100"/>
      <c r="D342" s="1100"/>
      <c r="E342" s="1100"/>
      <c r="F342" s="1100"/>
      <c r="G342" s="1100"/>
      <c r="H342" s="1100"/>
      <c r="I342" s="1100"/>
      <c r="J342" s="1100"/>
      <c r="K342" s="1074"/>
      <c r="L342" s="1074"/>
      <c r="M342" s="1074"/>
      <c r="N342" s="1074"/>
      <c r="O342" s="1074"/>
      <c r="P342" s="1074"/>
      <c r="Q342" s="1074"/>
      <c r="R342" s="1074"/>
      <c r="S342" s="1074"/>
      <c r="T342" s="1074"/>
      <c r="U342" s="1074"/>
      <c r="V342" s="1074"/>
      <c r="W342" s="1074"/>
      <c r="X342" s="1074"/>
      <c r="Y342" s="1074"/>
      <c r="Z342" s="1074"/>
      <c r="AA342" s="1074"/>
      <c r="AB342" s="1074"/>
      <c r="AC342" s="1074"/>
      <c r="AD342" s="1074"/>
      <c r="AE342" s="1074"/>
      <c r="AF342" s="1074"/>
      <c r="AG342" s="1074"/>
      <c r="AH342" s="1074"/>
      <c r="AI342" s="1074"/>
      <c r="AJ342" s="1074"/>
      <c r="AK342" s="1074"/>
      <c r="AL342" s="1074"/>
      <c r="AM342" s="1074"/>
      <c r="AN342" s="1074"/>
      <c r="AO342" s="1074"/>
      <c r="AP342" s="1074"/>
      <c r="AQ342" s="1074"/>
      <c r="AR342" s="1074"/>
      <c r="AS342" s="1074"/>
      <c r="AT342" s="1075"/>
    </row>
    <row r="343" ht="14.25" customHeight="1">
      <c r="A343" s="1116"/>
      <c r="B343" s="1120"/>
      <c r="C343" s="1100"/>
      <c r="D343" s="1100"/>
      <c r="E343" s="1100"/>
      <c r="F343" s="1100"/>
      <c r="G343" s="1100"/>
      <c r="H343" s="1100"/>
      <c r="I343" s="1100"/>
      <c r="J343" s="1100"/>
      <c r="K343" s="1074"/>
      <c r="L343" s="1074"/>
      <c r="M343" s="1074"/>
      <c r="N343" s="1074"/>
      <c r="O343" s="1074"/>
      <c r="P343" s="1074"/>
      <c r="Q343" s="1074"/>
      <c r="R343" s="1074"/>
      <c r="S343" s="1074"/>
      <c r="T343" s="1074"/>
      <c r="U343" s="1074"/>
      <c r="V343" s="1074"/>
      <c r="W343" s="1074"/>
      <c r="X343" s="1074"/>
      <c r="Y343" s="1074"/>
      <c r="Z343" s="1074"/>
      <c r="AA343" s="1074"/>
      <c r="AB343" s="1074"/>
      <c r="AC343" s="1074"/>
      <c r="AD343" s="1074"/>
      <c r="AE343" s="1074"/>
      <c r="AF343" s="1074"/>
      <c r="AG343" s="1074"/>
      <c r="AH343" s="1074"/>
      <c r="AI343" s="1074"/>
      <c r="AJ343" s="1074"/>
      <c r="AK343" s="1074"/>
      <c r="AL343" s="1074"/>
      <c r="AM343" s="1074"/>
      <c r="AN343" s="1074"/>
      <c r="AO343" s="1074"/>
      <c r="AP343" s="1074"/>
      <c r="AQ343" s="1074"/>
      <c r="AR343" s="1074"/>
      <c r="AS343" s="1074"/>
      <c r="AT343" s="1075"/>
    </row>
    <row r="344" ht="14.25" customHeight="1">
      <c r="A344" s="1116"/>
      <c r="B344" s="1120"/>
      <c r="C344" s="1100"/>
      <c r="D344" s="1100"/>
      <c r="E344" s="1100"/>
      <c r="F344" s="1100"/>
      <c r="G344" s="1100"/>
      <c r="H344" s="1100"/>
      <c r="I344" s="1100"/>
      <c r="J344" s="1100"/>
      <c r="K344" s="1074"/>
      <c r="L344" s="1074"/>
      <c r="M344" s="1074"/>
      <c r="N344" s="1074"/>
      <c r="O344" s="1074"/>
      <c r="P344" s="1074"/>
      <c r="Q344" s="1074"/>
      <c r="R344" s="1074"/>
      <c r="S344" s="1074"/>
      <c r="T344" s="1074"/>
      <c r="U344" s="1074"/>
      <c r="V344" s="1074"/>
      <c r="W344" s="1074"/>
      <c r="X344" s="1074"/>
      <c r="Y344" s="1074"/>
      <c r="Z344" s="1074"/>
      <c r="AA344" s="1074"/>
      <c r="AB344" s="1074"/>
      <c r="AC344" s="1074"/>
      <c r="AD344" s="1074"/>
      <c r="AE344" s="1074"/>
      <c r="AF344" s="1074"/>
      <c r="AG344" s="1074"/>
      <c r="AH344" s="1074"/>
      <c r="AI344" s="1074"/>
      <c r="AJ344" s="1074"/>
      <c r="AK344" s="1074"/>
      <c r="AL344" s="1074"/>
      <c r="AM344" s="1074"/>
      <c r="AN344" s="1074"/>
      <c r="AO344" s="1074"/>
      <c r="AP344" s="1074"/>
      <c r="AQ344" s="1074"/>
      <c r="AR344" s="1074"/>
      <c r="AS344" s="1074"/>
      <c r="AT344" s="1075"/>
    </row>
    <row r="345" ht="14.25" customHeight="1">
      <c r="A345" s="1116"/>
      <c r="B345" s="1120"/>
      <c r="C345" s="1100"/>
      <c r="D345" s="1100"/>
      <c r="E345" s="1100"/>
      <c r="F345" s="1100"/>
      <c r="G345" s="1100"/>
      <c r="H345" s="1100"/>
      <c r="I345" s="1100"/>
      <c r="J345" s="1100"/>
      <c r="K345" s="1074"/>
      <c r="L345" s="1074"/>
      <c r="M345" s="1074"/>
      <c r="N345" s="1074"/>
      <c r="O345" s="1074"/>
      <c r="P345" s="1074"/>
      <c r="Q345" s="1074"/>
      <c r="R345" s="1074"/>
      <c r="S345" s="1074"/>
      <c r="T345" s="1074"/>
      <c r="U345" s="1074"/>
      <c r="V345" s="1074"/>
      <c r="W345" s="1074"/>
      <c r="X345" s="1074"/>
      <c r="Y345" s="1074"/>
      <c r="Z345" s="1074"/>
      <c r="AA345" s="1074"/>
      <c r="AB345" s="1074"/>
      <c r="AC345" s="1074"/>
      <c r="AD345" s="1074"/>
      <c r="AE345" s="1074"/>
      <c r="AF345" s="1074"/>
      <c r="AG345" s="1074"/>
      <c r="AH345" s="1074"/>
      <c r="AI345" s="1074"/>
      <c r="AJ345" s="1074"/>
      <c r="AK345" s="1074"/>
      <c r="AL345" s="1074"/>
      <c r="AM345" s="1074"/>
      <c r="AN345" s="1074"/>
      <c r="AO345" s="1074"/>
      <c r="AP345" s="1074"/>
      <c r="AQ345" s="1074"/>
      <c r="AR345" s="1074"/>
      <c r="AS345" s="1074"/>
      <c r="AT345" s="1075"/>
    </row>
    <row r="346" ht="14.25" customHeight="1">
      <c r="A346" s="1116"/>
      <c r="B346" s="1120"/>
      <c r="C346" s="1100"/>
      <c r="D346" s="1100"/>
      <c r="E346" s="1100"/>
      <c r="F346" s="1100"/>
      <c r="G346" s="1100"/>
      <c r="H346" s="1100"/>
      <c r="I346" s="1100"/>
      <c r="J346" s="1100"/>
      <c r="K346" s="1074"/>
      <c r="L346" s="1074"/>
      <c r="M346" s="1074"/>
      <c r="N346" s="1074"/>
      <c r="O346" s="1074"/>
      <c r="P346" s="1074"/>
      <c r="Q346" s="1074"/>
      <c r="R346" s="1074"/>
      <c r="S346" s="1074"/>
      <c r="T346" s="1074"/>
      <c r="U346" s="1074"/>
      <c r="V346" s="1074"/>
      <c r="W346" s="1074"/>
      <c r="X346" s="1074"/>
      <c r="Y346" s="1074"/>
      <c r="Z346" s="1074"/>
      <c r="AA346" s="1074"/>
      <c r="AB346" s="1074"/>
      <c r="AC346" s="1074"/>
      <c r="AD346" s="1074"/>
      <c r="AE346" s="1074"/>
      <c r="AF346" s="1074"/>
      <c r="AG346" s="1074"/>
      <c r="AH346" s="1074"/>
      <c r="AI346" s="1074"/>
      <c r="AJ346" s="1074"/>
      <c r="AK346" s="1074"/>
      <c r="AL346" s="1074"/>
      <c r="AM346" s="1074"/>
      <c r="AN346" s="1074"/>
      <c r="AO346" s="1074"/>
      <c r="AP346" s="1074"/>
      <c r="AQ346" s="1074"/>
      <c r="AR346" s="1074"/>
      <c r="AS346" s="1074"/>
      <c r="AT346" s="1075"/>
    </row>
    <row r="347" ht="14.25" customHeight="1">
      <c r="A347" s="1116"/>
      <c r="B347" s="1120"/>
      <c r="C347" s="1100"/>
      <c r="D347" s="1100"/>
      <c r="E347" s="1100"/>
      <c r="F347" s="1100"/>
      <c r="G347" s="1100"/>
      <c r="H347" s="1100"/>
      <c r="I347" s="1100"/>
      <c r="J347" s="1100"/>
      <c r="K347" s="1074"/>
      <c r="L347" s="1074"/>
      <c r="M347" s="1074"/>
      <c r="N347" s="1074"/>
      <c r="O347" s="1074"/>
      <c r="P347" s="1074"/>
      <c r="Q347" s="1074"/>
      <c r="R347" s="1074"/>
      <c r="S347" s="1074"/>
      <c r="T347" s="1074"/>
      <c r="U347" s="1074"/>
      <c r="V347" s="1074"/>
      <c r="W347" s="1074"/>
      <c r="X347" s="1074"/>
      <c r="Y347" s="1074"/>
      <c r="Z347" s="1074"/>
      <c r="AA347" s="1074"/>
      <c r="AB347" s="1074"/>
      <c r="AC347" s="1074"/>
      <c r="AD347" s="1074"/>
      <c r="AE347" s="1074"/>
      <c r="AF347" s="1074"/>
      <c r="AG347" s="1074"/>
      <c r="AH347" s="1074"/>
      <c r="AI347" s="1074"/>
      <c r="AJ347" s="1074"/>
      <c r="AK347" s="1074"/>
      <c r="AL347" s="1074"/>
      <c r="AM347" s="1074"/>
      <c r="AN347" s="1074"/>
      <c r="AO347" s="1074"/>
      <c r="AP347" s="1074"/>
      <c r="AQ347" s="1074"/>
      <c r="AR347" s="1074"/>
      <c r="AS347" s="1074"/>
      <c r="AT347" s="1075"/>
    </row>
    <row r="348" ht="14.25" customHeight="1">
      <c r="A348" s="1116"/>
      <c r="B348" s="1120"/>
      <c r="C348" s="1100"/>
      <c r="D348" s="1100"/>
      <c r="E348" s="1100"/>
      <c r="F348" s="1100"/>
      <c r="G348" s="1100"/>
      <c r="H348" s="1100"/>
      <c r="I348" s="1100"/>
      <c r="J348" s="1100"/>
      <c r="K348" s="1074"/>
      <c r="L348" s="1074"/>
      <c r="M348" s="1074"/>
      <c r="N348" s="1074"/>
      <c r="O348" s="1074"/>
      <c r="P348" s="1074"/>
      <c r="Q348" s="1074"/>
      <c r="R348" s="1074"/>
      <c r="S348" s="1074"/>
      <c r="T348" s="1074"/>
      <c r="U348" s="1074"/>
      <c r="V348" s="1074"/>
      <c r="W348" s="1074"/>
      <c r="X348" s="1074"/>
      <c r="Y348" s="1074"/>
      <c r="Z348" s="1074"/>
      <c r="AA348" s="1074"/>
      <c r="AB348" s="1074"/>
      <c r="AC348" s="1074"/>
      <c r="AD348" s="1074"/>
      <c r="AE348" s="1074"/>
      <c r="AF348" s="1074"/>
      <c r="AG348" s="1074"/>
      <c r="AH348" s="1074"/>
      <c r="AI348" s="1074"/>
      <c r="AJ348" s="1074"/>
      <c r="AK348" s="1074"/>
      <c r="AL348" s="1074"/>
      <c r="AM348" s="1074"/>
      <c r="AN348" s="1074"/>
      <c r="AO348" s="1074"/>
      <c r="AP348" s="1074"/>
      <c r="AQ348" s="1074"/>
      <c r="AR348" s="1074"/>
      <c r="AS348" s="1074"/>
      <c r="AT348" s="1075"/>
    </row>
    <row r="349" ht="14.25" customHeight="1">
      <c r="A349" s="1116"/>
      <c r="B349" s="1120"/>
      <c r="C349" s="1100"/>
      <c r="D349" s="1100"/>
      <c r="E349" s="1100"/>
      <c r="F349" s="1100"/>
      <c r="G349" s="1100"/>
      <c r="H349" s="1100"/>
      <c r="I349" s="1100"/>
      <c r="J349" s="1100"/>
      <c r="K349" s="1074"/>
      <c r="L349" s="1074"/>
      <c r="M349" s="1074"/>
      <c r="N349" s="1074"/>
      <c r="O349" s="1074"/>
      <c r="P349" s="1074"/>
      <c r="Q349" s="1074"/>
      <c r="R349" s="1074"/>
      <c r="S349" s="1074"/>
      <c r="T349" s="1074"/>
      <c r="U349" s="1074"/>
      <c r="V349" s="1074"/>
      <c r="W349" s="1074"/>
      <c r="X349" s="1074"/>
      <c r="Y349" s="1074"/>
      <c r="Z349" s="1074"/>
      <c r="AA349" s="1074"/>
      <c r="AB349" s="1074"/>
      <c r="AC349" s="1074"/>
      <c r="AD349" s="1074"/>
      <c r="AE349" s="1074"/>
      <c r="AF349" s="1074"/>
      <c r="AG349" s="1074"/>
      <c r="AH349" s="1074"/>
      <c r="AI349" s="1074"/>
      <c r="AJ349" s="1074"/>
      <c r="AK349" s="1074"/>
      <c r="AL349" s="1074"/>
      <c r="AM349" s="1074"/>
      <c r="AN349" s="1074"/>
      <c r="AO349" s="1074"/>
      <c r="AP349" s="1074"/>
      <c r="AQ349" s="1074"/>
      <c r="AR349" s="1074"/>
      <c r="AS349" s="1074"/>
      <c r="AT349" s="1075"/>
    </row>
    <row r="350" ht="14.25" customHeight="1">
      <c r="A350" s="1116"/>
      <c r="B350" s="1120"/>
      <c r="C350" s="1100"/>
      <c r="D350" s="1100"/>
      <c r="E350" s="1100"/>
      <c r="F350" s="1100"/>
      <c r="G350" s="1100"/>
      <c r="H350" s="1100"/>
      <c r="I350" s="1100"/>
      <c r="J350" s="1100"/>
      <c r="K350" s="1074"/>
      <c r="L350" s="1074"/>
      <c r="M350" s="1074"/>
      <c r="N350" s="1074"/>
      <c r="O350" s="1074"/>
      <c r="P350" s="1074"/>
      <c r="Q350" s="1074"/>
      <c r="R350" s="1074"/>
      <c r="S350" s="1074"/>
      <c r="T350" s="1074"/>
      <c r="U350" s="1074"/>
      <c r="V350" s="1074"/>
      <c r="W350" s="1074"/>
      <c r="X350" s="1074"/>
      <c r="Y350" s="1074"/>
      <c r="Z350" s="1074"/>
      <c r="AA350" s="1074"/>
      <c r="AB350" s="1074"/>
      <c r="AC350" s="1074"/>
      <c r="AD350" s="1074"/>
      <c r="AE350" s="1074"/>
      <c r="AF350" s="1074"/>
      <c r="AG350" s="1074"/>
      <c r="AH350" s="1074"/>
      <c r="AI350" s="1074"/>
      <c r="AJ350" s="1074"/>
      <c r="AK350" s="1074"/>
      <c r="AL350" s="1074"/>
      <c r="AM350" s="1074"/>
      <c r="AN350" s="1074"/>
      <c r="AO350" s="1074"/>
      <c r="AP350" s="1074"/>
      <c r="AQ350" s="1074"/>
      <c r="AR350" s="1074"/>
      <c r="AS350" s="1074"/>
      <c r="AT350" s="1075"/>
    </row>
    <row r="351" ht="14.25" customHeight="1">
      <c r="A351" s="1116"/>
      <c r="B351" s="1120"/>
      <c r="C351" s="1100"/>
      <c r="D351" s="1100"/>
      <c r="E351" s="1100"/>
      <c r="F351" s="1100"/>
      <c r="G351" s="1100"/>
      <c r="H351" s="1100"/>
      <c r="I351" s="1100"/>
      <c r="J351" s="1100"/>
      <c r="K351" s="1074"/>
      <c r="L351" s="1074"/>
      <c r="M351" s="1074"/>
      <c r="N351" s="1074"/>
      <c r="O351" s="1074"/>
      <c r="P351" s="1074"/>
      <c r="Q351" s="1074"/>
      <c r="R351" s="1074"/>
      <c r="S351" s="1074"/>
      <c r="T351" s="1074"/>
      <c r="U351" s="1074"/>
      <c r="V351" s="1074"/>
      <c r="W351" s="1074"/>
      <c r="X351" s="1074"/>
      <c r="Y351" s="1074"/>
      <c r="Z351" s="1074"/>
      <c r="AA351" s="1074"/>
      <c r="AB351" s="1074"/>
      <c r="AC351" s="1074"/>
      <c r="AD351" s="1074"/>
      <c r="AE351" s="1074"/>
      <c r="AF351" s="1074"/>
      <c r="AG351" s="1074"/>
      <c r="AH351" s="1074"/>
      <c r="AI351" s="1074"/>
      <c r="AJ351" s="1074"/>
      <c r="AK351" s="1074"/>
      <c r="AL351" s="1074"/>
      <c r="AM351" s="1074"/>
      <c r="AN351" s="1074"/>
      <c r="AO351" s="1074"/>
      <c r="AP351" s="1074"/>
      <c r="AQ351" s="1074"/>
      <c r="AR351" s="1074"/>
      <c r="AS351" s="1074"/>
      <c r="AT351" s="1075"/>
    </row>
    <row r="352" ht="14.25" customHeight="1">
      <c r="A352" s="1116"/>
      <c r="B352" s="1120"/>
      <c r="C352" s="1100"/>
      <c r="D352" s="1100"/>
      <c r="E352" s="1100"/>
      <c r="F352" s="1100"/>
      <c r="G352" s="1100"/>
      <c r="H352" s="1100"/>
      <c r="I352" s="1100"/>
      <c r="J352" s="1100"/>
      <c r="K352" s="1074"/>
      <c r="L352" s="1074"/>
      <c r="M352" s="1074"/>
      <c r="N352" s="1074"/>
      <c r="O352" s="1074"/>
      <c r="P352" s="1074"/>
      <c r="Q352" s="1074"/>
      <c r="R352" s="1074"/>
      <c r="S352" s="1074"/>
      <c r="T352" s="1074"/>
      <c r="U352" s="1074"/>
      <c r="V352" s="1074"/>
      <c r="W352" s="1074"/>
      <c r="X352" s="1074"/>
      <c r="Y352" s="1074"/>
      <c r="Z352" s="1074"/>
      <c r="AA352" s="1074"/>
      <c r="AB352" s="1074"/>
      <c r="AC352" s="1074"/>
      <c r="AD352" s="1074"/>
      <c r="AE352" s="1074"/>
      <c r="AF352" s="1074"/>
      <c r="AG352" s="1074"/>
      <c r="AH352" s="1074"/>
      <c r="AI352" s="1074"/>
      <c r="AJ352" s="1074"/>
      <c r="AK352" s="1074"/>
      <c r="AL352" s="1074"/>
      <c r="AM352" s="1074"/>
      <c r="AN352" s="1074"/>
      <c r="AO352" s="1074"/>
      <c r="AP352" s="1074"/>
      <c r="AQ352" s="1074"/>
      <c r="AR352" s="1074"/>
      <c r="AS352" s="1074"/>
      <c r="AT352" s="1075"/>
    </row>
    <row r="353" ht="14.25" customHeight="1">
      <c r="A353" s="1116"/>
      <c r="B353" s="1120"/>
      <c r="C353" s="1100"/>
      <c r="D353" s="1100"/>
      <c r="E353" s="1100"/>
      <c r="F353" s="1100"/>
      <c r="G353" s="1100"/>
      <c r="H353" s="1100"/>
      <c r="I353" s="1100"/>
      <c r="J353" s="1100"/>
      <c r="K353" s="1074"/>
      <c r="L353" s="1074"/>
      <c r="M353" s="1074"/>
      <c r="N353" s="1074"/>
      <c r="O353" s="1074"/>
      <c r="P353" s="1074"/>
      <c r="Q353" s="1074"/>
      <c r="R353" s="1074"/>
      <c r="S353" s="1074"/>
      <c r="T353" s="1074"/>
      <c r="U353" s="1074"/>
      <c r="V353" s="1074"/>
      <c r="W353" s="1074"/>
      <c r="X353" s="1074"/>
      <c r="Y353" s="1074"/>
      <c r="Z353" s="1074"/>
      <c r="AA353" s="1074"/>
      <c r="AB353" s="1074"/>
      <c r="AC353" s="1074"/>
      <c r="AD353" s="1074"/>
      <c r="AE353" s="1074"/>
      <c r="AF353" s="1074"/>
      <c r="AG353" s="1074"/>
      <c r="AH353" s="1074"/>
      <c r="AI353" s="1074"/>
      <c r="AJ353" s="1074"/>
      <c r="AK353" s="1074"/>
      <c r="AL353" s="1074"/>
      <c r="AM353" s="1074"/>
      <c r="AN353" s="1074"/>
      <c r="AO353" s="1074"/>
      <c r="AP353" s="1074"/>
      <c r="AQ353" s="1074"/>
      <c r="AR353" s="1074"/>
      <c r="AS353" s="1074"/>
      <c r="AT353" s="1075"/>
    </row>
    <row r="354" ht="14.25" customHeight="1">
      <c r="A354" s="1116"/>
      <c r="B354" s="1120"/>
      <c r="C354" s="1100"/>
      <c r="D354" s="1100"/>
      <c r="E354" s="1100"/>
      <c r="F354" s="1100"/>
      <c r="G354" s="1100"/>
      <c r="H354" s="1100"/>
      <c r="I354" s="1100"/>
      <c r="J354" s="1100"/>
      <c r="K354" s="1074"/>
      <c r="L354" s="1074"/>
      <c r="M354" s="1074"/>
      <c r="N354" s="1074"/>
      <c r="O354" s="1074"/>
      <c r="P354" s="1074"/>
      <c r="Q354" s="1074"/>
      <c r="R354" s="1074"/>
      <c r="S354" s="1074"/>
      <c r="T354" s="1074"/>
      <c r="U354" s="1074"/>
      <c r="V354" s="1074"/>
      <c r="W354" s="1074"/>
      <c r="X354" s="1074"/>
      <c r="Y354" s="1074"/>
      <c r="Z354" s="1074"/>
      <c r="AA354" s="1074"/>
      <c r="AB354" s="1074"/>
      <c r="AC354" s="1074"/>
      <c r="AD354" s="1074"/>
      <c r="AE354" s="1074"/>
      <c r="AF354" s="1074"/>
      <c r="AG354" s="1074"/>
      <c r="AH354" s="1074"/>
      <c r="AI354" s="1074"/>
      <c r="AJ354" s="1074"/>
      <c r="AK354" s="1074"/>
      <c r="AL354" s="1074"/>
      <c r="AM354" s="1074"/>
      <c r="AN354" s="1074"/>
      <c r="AO354" s="1074"/>
      <c r="AP354" s="1074"/>
      <c r="AQ354" s="1074"/>
      <c r="AR354" s="1074"/>
      <c r="AS354" s="1074"/>
      <c r="AT354" s="1075"/>
    </row>
    <row r="355" ht="14.25" customHeight="1">
      <c r="A355" s="1116"/>
      <c r="B355" s="1120"/>
      <c r="C355" s="1100"/>
      <c r="D355" s="1100"/>
      <c r="E355" s="1100"/>
      <c r="F355" s="1100"/>
      <c r="G355" s="1100"/>
      <c r="H355" s="1100"/>
      <c r="I355" s="1100"/>
      <c r="J355" s="1100"/>
      <c r="K355" s="1074"/>
      <c r="L355" s="1074"/>
      <c r="M355" s="1074"/>
      <c r="N355" s="1074"/>
      <c r="O355" s="1074"/>
      <c r="P355" s="1074"/>
      <c r="Q355" s="1074"/>
      <c r="R355" s="1074"/>
      <c r="S355" s="1074"/>
      <c r="T355" s="1074"/>
      <c r="U355" s="1074"/>
      <c r="V355" s="1074"/>
      <c r="W355" s="1074"/>
      <c r="X355" s="1074"/>
      <c r="Y355" s="1074"/>
      <c r="Z355" s="1074"/>
      <c r="AA355" s="1074"/>
      <c r="AB355" s="1074"/>
      <c r="AC355" s="1074"/>
      <c r="AD355" s="1074"/>
      <c r="AE355" s="1074"/>
      <c r="AF355" s="1074"/>
      <c r="AG355" s="1074"/>
      <c r="AH355" s="1074"/>
      <c r="AI355" s="1074"/>
      <c r="AJ355" s="1074"/>
      <c r="AK355" s="1074"/>
      <c r="AL355" s="1074"/>
      <c r="AM355" s="1074"/>
      <c r="AN355" s="1074"/>
      <c r="AO355" s="1074"/>
      <c r="AP355" s="1074"/>
      <c r="AQ355" s="1074"/>
      <c r="AR355" s="1074"/>
      <c r="AS355" s="1074"/>
      <c r="AT355" s="1075"/>
    </row>
    <row r="356" ht="14.25" customHeight="1">
      <c r="A356" s="1116"/>
      <c r="B356" s="1120"/>
      <c r="C356" s="1100"/>
      <c r="D356" s="1100"/>
      <c r="E356" s="1100"/>
      <c r="F356" s="1100"/>
      <c r="G356" s="1100"/>
      <c r="H356" s="1100"/>
      <c r="I356" s="1100"/>
      <c r="J356" s="1100"/>
      <c r="K356" s="1074"/>
      <c r="L356" s="1074"/>
      <c r="M356" s="1074"/>
      <c r="N356" s="1074"/>
      <c r="O356" s="1074"/>
      <c r="P356" s="1074"/>
      <c r="Q356" s="1074"/>
      <c r="R356" s="1074"/>
      <c r="S356" s="1074"/>
      <c r="T356" s="1074"/>
      <c r="U356" s="1074"/>
      <c r="V356" s="1074"/>
      <c r="W356" s="1074"/>
      <c r="X356" s="1074"/>
      <c r="Y356" s="1074"/>
      <c r="Z356" s="1074"/>
      <c r="AA356" s="1074"/>
      <c r="AB356" s="1074"/>
      <c r="AC356" s="1074"/>
      <c r="AD356" s="1074"/>
      <c r="AE356" s="1074"/>
      <c r="AF356" s="1074"/>
      <c r="AG356" s="1074"/>
      <c r="AH356" s="1074"/>
      <c r="AI356" s="1074"/>
      <c r="AJ356" s="1074"/>
      <c r="AK356" s="1074"/>
      <c r="AL356" s="1074"/>
      <c r="AM356" s="1074"/>
      <c r="AN356" s="1074"/>
      <c r="AO356" s="1074"/>
      <c r="AP356" s="1074"/>
      <c r="AQ356" s="1074"/>
      <c r="AR356" s="1074"/>
      <c r="AS356" s="1074"/>
      <c r="AT356" s="1075"/>
    </row>
    <row r="357" ht="14.25" customHeight="1">
      <c r="A357" s="1116"/>
      <c r="B357" s="1120"/>
      <c r="C357" s="1100"/>
      <c r="D357" s="1100"/>
      <c r="E357" s="1100"/>
      <c r="F357" s="1100"/>
      <c r="G357" s="1100"/>
      <c r="H357" s="1100"/>
      <c r="I357" s="1100"/>
      <c r="J357" s="1100"/>
      <c r="K357" s="1074"/>
      <c r="L357" s="1074"/>
      <c r="M357" s="1074"/>
      <c r="N357" s="1074"/>
      <c r="O357" s="1074"/>
      <c r="P357" s="1074"/>
      <c r="Q357" s="1074"/>
      <c r="R357" s="1074"/>
      <c r="S357" s="1074"/>
      <c r="T357" s="1074"/>
      <c r="U357" s="1074"/>
      <c r="V357" s="1074"/>
      <c r="W357" s="1074"/>
      <c r="X357" s="1074"/>
      <c r="Y357" s="1074"/>
      <c r="Z357" s="1074"/>
      <c r="AA357" s="1074"/>
      <c r="AB357" s="1074"/>
      <c r="AC357" s="1074"/>
      <c r="AD357" s="1074"/>
      <c r="AE357" s="1074"/>
      <c r="AF357" s="1074"/>
      <c r="AG357" s="1074"/>
      <c r="AH357" s="1074"/>
      <c r="AI357" s="1074"/>
      <c r="AJ357" s="1074"/>
      <c r="AK357" s="1074"/>
      <c r="AL357" s="1074"/>
      <c r="AM357" s="1074"/>
      <c r="AN357" s="1074"/>
      <c r="AO357" s="1074"/>
      <c r="AP357" s="1074"/>
      <c r="AQ357" s="1074"/>
      <c r="AR357" s="1074"/>
      <c r="AS357" s="1074"/>
      <c r="AT357" s="1075"/>
    </row>
    <row r="358" ht="14.25" customHeight="1">
      <c r="A358" s="1116"/>
      <c r="B358" s="1120"/>
      <c r="C358" s="1100"/>
      <c r="D358" s="1100"/>
      <c r="E358" s="1100"/>
      <c r="F358" s="1100"/>
      <c r="G358" s="1100"/>
      <c r="H358" s="1100"/>
      <c r="I358" s="1100"/>
      <c r="J358" s="1100"/>
      <c r="K358" s="1074"/>
      <c r="L358" s="1074"/>
      <c r="M358" s="1074"/>
      <c r="N358" s="1074"/>
      <c r="O358" s="1074"/>
      <c r="P358" s="1074"/>
      <c r="Q358" s="1074"/>
      <c r="R358" s="1074"/>
      <c r="S358" s="1074"/>
      <c r="T358" s="1074"/>
      <c r="U358" s="1074"/>
      <c r="V358" s="1074"/>
      <c r="W358" s="1074"/>
      <c r="X358" s="1074"/>
      <c r="Y358" s="1074"/>
      <c r="Z358" s="1074"/>
      <c r="AA358" s="1074"/>
      <c r="AB358" s="1074"/>
      <c r="AC358" s="1074"/>
      <c r="AD358" s="1074"/>
      <c r="AE358" s="1074"/>
      <c r="AF358" s="1074"/>
      <c r="AG358" s="1074"/>
      <c r="AH358" s="1074"/>
      <c r="AI358" s="1074"/>
      <c r="AJ358" s="1074"/>
      <c r="AK358" s="1074"/>
      <c r="AL358" s="1074"/>
      <c r="AM358" s="1074"/>
      <c r="AN358" s="1074"/>
      <c r="AO358" s="1074"/>
      <c r="AP358" s="1074"/>
      <c r="AQ358" s="1074"/>
      <c r="AR358" s="1074"/>
      <c r="AS358" s="1074"/>
      <c r="AT358" s="1075"/>
    </row>
    <row r="359" ht="14.25" customHeight="1">
      <c r="A359" s="1116"/>
      <c r="B359" s="1120"/>
      <c r="C359" s="1100"/>
      <c r="D359" s="1100"/>
      <c r="E359" s="1100"/>
      <c r="F359" s="1100"/>
      <c r="G359" s="1100"/>
      <c r="H359" s="1100"/>
      <c r="I359" s="1100"/>
      <c r="J359" s="1100"/>
      <c r="K359" s="1074"/>
      <c r="L359" s="1074"/>
      <c r="M359" s="1074"/>
      <c r="N359" s="1074"/>
      <c r="O359" s="1074"/>
      <c r="P359" s="1074"/>
      <c r="Q359" s="1074"/>
      <c r="R359" s="1074"/>
      <c r="S359" s="1074"/>
      <c r="T359" s="1074"/>
      <c r="U359" s="1074"/>
      <c r="V359" s="1074"/>
      <c r="W359" s="1074"/>
      <c r="X359" s="1074"/>
      <c r="Y359" s="1074"/>
      <c r="Z359" s="1074"/>
      <c r="AA359" s="1074"/>
      <c r="AB359" s="1074"/>
      <c r="AC359" s="1074"/>
      <c r="AD359" s="1074"/>
      <c r="AE359" s="1074"/>
      <c r="AF359" s="1074"/>
      <c r="AG359" s="1074"/>
      <c r="AH359" s="1074"/>
      <c r="AI359" s="1074"/>
      <c r="AJ359" s="1074"/>
      <c r="AK359" s="1074"/>
      <c r="AL359" s="1074"/>
      <c r="AM359" s="1074"/>
      <c r="AN359" s="1074"/>
      <c r="AO359" s="1074"/>
      <c r="AP359" s="1074"/>
      <c r="AQ359" s="1074"/>
      <c r="AR359" s="1074"/>
      <c r="AS359" s="1074"/>
      <c r="AT359" s="1075"/>
    </row>
    <row r="360" ht="14.25" customHeight="1">
      <c r="A360" s="1116"/>
      <c r="B360" s="1120"/>
      <c r="C360" s="1100"/>
      <c r="D360" s="1100"/>
      <c r="E360" s="1100"/>
      <c r="F360" s="1100"/>
      <c r="G360" s="1100"/>
      <c r="H360" s="1100"/>
      <c r="I360" s="1100"/>
      <c r="J360" s="1100"/>
      <c r="K360" s="1074"/>
      <c r="L360" s="1074"/>
      <c r="M360" s="1074"/>
      <c r="N360" s="1074"/>
      <c r="O360" s="1074"/>
      <c r="P360" s="1074"/>
      <c r="Q360" s="1074"/>
      <c r="R360" s="1074"/>
      <c r="S360" s="1074"/>
      <c r="T360" s="1074"/>
      <c r="U360" s="1074"/>
      <c r="V360" s="1074"/>
      <c r="W360" s="1074"/>
      <c r="X360" s="1074"/>
      <c r="Y360" s="1074"/>
      <c r="Z360" s="1074"/>
      <c r="AA360" s="1074"/>
      <c r="AB360" s="1074"/>
      <c r="AC360" s="1074"/>
      <c r="AD360" s="1074"/>
      <c r="AE360" s="1074"/>
      <c r="AF360" s="1074"/>
      <c r="AG360" s="1074"/>
      <c r="AH360" s="1074"/>
      <c r="AI360" s="1074"/>
      <c r="AJ360" s="1074"/>
      <c r="AK360" s="1074"/>
      <c r="AL360" s="1074"/>
      <c r="AM360" s="1074"/>
      <c r="AN360" s="1074"/>
      <c r="AO360" s="1074"/>
      <c r="AP360" s="1074"/>
      <c r="AQ360" s="1074"/>
      <c r="AR360" s="1074"/>
      <c r="AS360" s="1074"/>
      <c r="AT360" s="1075"/>
    </row>
    <row r="361" ht="14.25" customHeight="1">
      <c r="A361" s="1116"/>
      <c r="B361" s="1120"/>
      <c r="C361" s="1100"/>
      <c r="D361" s="1100"/>
      <c r="E361" s="1100"/>
      <c r="F361" s="1100"/>
      <c r="G361" s="1100"/>
      <c r="H361" s="1100"/>
      <c r="I361" s="1100"/>
      <c r="J361" s="1100"/>
      <c r="K361" s="1074"/>
      <c r="L361" s="1074"/>
      <c r="M361" s="1074"/>
      <c r="N361" s="1074"/>
      <c r="O361" s="1074"/>
      <c r="P361" s="1074"/>
      <c r="Q361" s="1074"/>
      <c r="R361" s="1074"/>
      <c r="S361" s="1074"/>
      <c r="T361" s="1074"/>
      <c r="U361" s="1074"/>
      <c r="V361" s="1074"/>
      <c r="W361" s="1074"/>
      <c r="X361" s="1074"/>
      <c r="Y361" s="1074"/>
      <c r="Z361" s="1074"/>
      <c r="AA361" s="1074"/>
      <c r="AB361" s="1074"/>
      <c r="AC361" s="1074"/>
      <c r="AD361" s="1074"/>
      <c r="AE361" s="1074"/>
      <c r="AF361" s="1074"/>
      <c r="AG361" s="1074"/>
      <c r="AH361" s="1074"/>
      <c r="AI361" s="1074"/>
      <c r="AJ361" s="1074"/>
      <c r="AK361" s="1074"/>
      <c r="AL361" s="1074"/>
      <c r="AM361" s="1074"/>
      <c r="AN361" s="1074"/>
      <c r="AO361" s="1074"/>
      <c r="AP361" s="1074"/>
      <c r="AQ361" s="1074"/>
      <c r="AR361" s="1074"/>
      <c r="AS361" s="1074"/>
      <c r="AT361" s="1075"/>
    </row>
    <row r="362" ht="14.25" customHeight="1">
      <c r="A362" s="1116"/>
      <c r="B362" s="1120"/>
      <c r="C362" s="1100"/>
      <c r="D362" s="1100"/>
      <c r="E362" s="1100"/>
      <c r="F362" s="1100"/>
      <c r="G362" s="1100"/>
      <c r="H362" s="1100"/>
      <c r="I362" s="1100"/>
      <c r="J362" s="1100"/>
      <c r="K362" s="1074"/>
      <c r="L362" s="1074"/>
      <c r="M362" s="1074"/>
      <c r="N362" s="1074"/>
      <c r="O362" s="1074"/>
      <c r="P362" s="1074"/>
      <c r="Q362" s="1074"/>
      <c r="R362" s="1074"/>
      <c r="S362" s="1074"/>
      <c r="T362" s="1074"/>
      <c r="U362" s="1074"/>
      <c r="V362" s="1074"/>
      <c r="W362" s="1074"/>
      <c r="X362" s="1074"/>
      <c r="Y362" s="1074"/>
      <c r="Z362" s="1074"/>
      <c r="AA362" s="1074"/>
      <c r="AB362" s="1074"/>
      <c r="AC362" s="1074"/>
      <c r="AD362" s="1074"/>
      <c r="AE362" s="1074"/>
      <c r="AF362" s="1074"/>
      <c r="AG362" s="1074"/>
      <c r="AH362" s="1074"/>
      <c r="AI362" s="1074"/>
      <c r="AJ362" s="1074"/>
      <c r="AK362" s="1074"/>
      <c r="AL362" s="1074"/>
      <c r="AM362" s="1074"/>
      <c r="AN362" s="1074"/>
      <c r="AO362" s="1074"/>
      <c r="AP362" s="1074"/>
      <c r="AQ362" s="1074"/>
      <c r="AR362" s="1074"/>
      <c r="AS362" s="1074"/>
      <c r="AT362" s="1075"/>
    </row>
    <row r="363" ht="14.25" customHeight="1">
      <c r="A363" s="1116"/>
      <c r="B363" s="1120"/>
      <c r="C363" s="1100"/>
      <c r="D363" s="1100"/>
      <c r="E363" s="1100"/>
      <c r="F363" s="1100"/>
      <c r="G363" s="1100"/>
      <c r="H363" s="1100"/>
      <c r="I363" s="1100"/>
      <c r="J363" s="1100"/>
      <c r="K363" s="1074"/>
      <c r="L363" s="1074"/>
      <c r="M363" s="1074"/>
      <c r="N363" s="1074"/>
      <c r="O363" s="1074"/>
      <c r="P363" s="1074"/>
      <c r="Q363" s="1074"/>
      <c r="R363" s="1074"/>
      <c r="S363" s="1074"/>
      <c r="T363" s="1074"/>
      <c r="U363" s="1074"/>
      <c r="V363" s="1074"/>
      <c r="W363" s="1074"/>
      <c r="X363" s="1074"/>
      <c r="Y363" s="1074"/>
      <c r="Z363" s="1074"/>
      <c r="AA363" s="1074"/>
      <c r="AB363" s="1074"/>
      <c r="AC363" s="1074"/>
      <c r="AD363" s="1074"/>
      <c r="AE363" s="1074"/>
      <c r="AF363" s="1074"/>
      <c r="AG363" s="1074"/>
      <c r="AH363" s="1074"/>
      <c r="AI363" s="1074"/>
      <c r="AJ363" s="1074"/>
      <c r="AK363" s="1074"/>
      <c r="AL363" s="1074"/>
      <c r="AM363" s="1074"/>
      <c r="AN363" s="1074"/>
      <c r="AO363" s="1074"/>
      <c r="AP363" s="1074"/>
      <c r="AQ363" s="1074"/>
      <c r="AR363" s="1074"/>
      <c r="AS363" s="1074"/>
      <c r="AT363" s="1075"/>
    </row>
    <row r="364" ht="14.25" customHeight="1">
      <c r="A364" s="1116"/>
      <c r="B364" s="1120"/>
      <c r="C364" s="1100"/>
      <c r="D364" s="1100"/>
      <c r="E364" s="1100"/>
      <c r="F364" s="1100"/>
      <c r="G364" s="1100"/>
      <c r="H364" s="1100"/>
      <c r="I364" s="1100"/>
      <c r="J364" s="1100"/>
      <c r="K364" s="1074"/>
      <c r="L364" s="1074"/>
      <c r="M364" s="1074"/>
      <c r="N364" s="1074"/>
      <c r="O364" s="1074"/>
      <c r="P364" s="1074"/>
      <c r="Q364" s="1074"/>
      <c r="R364" s="1074"/>
      <c r="S364" s="1074"/>
      <c r="T364" s="1074"/>
      <c r="U364" s="1074"/>
      <c r="V364" s="1074"/>
      <c r="W364" s="1074"/>
      <c r="X364" s="1074"/>
      <c r="Y364" s="1074"/>
      <c r="Z364" s="1074"/>
      <c r="AA364" s="1074"/>
      <c r="AB364" s="1074"/>
      <c r="AC364" s="1074"/>
      <c r="AD364" s="1074"/>
      <c r="AE364" s="1074"/>
      <c r="AF364" s="1074"/>
      <c r="AG364" s="1074"/>
      <c r="AH364" s="1074"/>
      <c r="AI364" s="1074"/>
      <c r="AJ364" s="1074"/>
      <c r="AK364" s="1074"/>
      <c r="AL364" s="1074"/>
      <c r="AM364" s="1074"/>
      <c r="AN364" s="1074"/>
      <c r="AO364" s="1074"/>
      <c r="AP364" s="1074"/>
      <c r="AQ364" s="1074"/>
      <c r="AR364" s="1074"/>
      <c r="AS364" s="1074"/>
      <c r="AT364" s="1075"/>
    </row>
    <row r="365" ht="14.25" customHeight="1">
      <c r="A365" s="1116"/>
      <c r="B365" s="1120"/>
      <c r="C365" s="1100"/>
      <c r="D365" s="1100"/>
      <c r="E365" s="1100"/>
      <c r="F365" s="1100"/>
      <c r="G365" s="1100"/>
      <c r="H365" s="1100"/>
      <c r="I365" s="1100"/>
      <c r="J365" s="1100"/>
      <c r="K365" s="1074"/>
      <c r="L365" s="1074"/>
      <c r="M365" s="1074"/>
      <c r="N365" s="1074"/>
      <c r="O365" s="1074"/>
      <c r="P365" s="1074"/>
      <c r="Q365" s="1074"/>
      <c r="R365" s="1074"/>
      <c r="S365" s="1074"/>
      <c r="T365" s="1074"/>
      <c r="U365" s="1074"/>
      <c r="V365" s="1074"/>
      <c r="W365" s="1074"/>
      <c r="X365" s="1074"/>
      <c r="Y365" s="1074"/>
      <c r="Z365" s="1074"/>
      <c r="AA365" s="1074"/>
      <c r="AB365" s="1074"/>
      <c r="AC365" s="1074"/>
      <c r="AD365" s="1074"/>
      <c r="AE365" s="1074"/>
      <c r="AF365" s="1074"/>
      <c r="AG365" s="1074"/>
      <c r="AH365" s="1074"/>
      <c r="AI365" s="1074"/>
      <c r="AJ365" s="1074"/>
      <c r="AK365" s="1074"/>
      <c r="AL365" s="1074"/>
      <c r="AM365" s="1074"/>
      <c r="AN365" s="1074"/>
      <c r="AO365" s="1074"/>
      <c r="AP365" s="1074"/>
      <c r="AQ365" s="1074"/>
      <c r="AR365" s="1074"/>
      <c r="AS365" s="1074"/>
      <c r="AT365" s="1075"/>
    </row>
    <row r="366" ht="14.25" customHeight="1">
      <c r="A366" s="1116"/>
      <c r="B366" s="1120"/>
      <c r="C366" s="1100"/>
      <c r="D366" s="1100"/>
      <c r="E366" s="1100"/>
      <c r="F366" s="1100"/>
      <c r="G366" s="1100"/>
      <c r="H366" s="1100"/>
      <c r="I366" s="1100"/>
      <c r="J366" s="1100"/>
      <c r="K366" s="1074"/>
      <c r="L366" s="1074"/>
      <c r="M366" s="1074"/>
      <c r="N366" s="1074"/>
      <c r="O366" s="1074"/>
      <c r="P366" s="1074"/>
      <c r="Q366" s="1074"/>
      <c r="R366" s="1074"/>
      <c r="S366" s="1074"/>
      <c r="T366" s="1074"/>
      <c r="U366" s="1074"/>
      <c r="V366" s="1074"/>
      <c r="W366" s="1074"/>
      <c r="X366" s="1074"/>
      <c r="Y366" s="1074"/>
      <c r="Z366" s="1074"/>
      <c r="AA366" s="1074"/>
      <c r="AB366" s="1074"/>
      <c r="AC366" s="1074"/>
      <c r="AD366" s="1074"/>
      <c r="AE366" s="1074"/>
      <c r="AF366" s="1074"/>
      <c r="AG366" s="1074"/>
      <c r="AH366" s="1074"/>
      <c r="AI366" s="1074"/>
      <c r="AJ366" s="1074"/>
      <c r="AK366" s="1074"/>
      <c r="AL366" s="1074"/>
      <c r="AM366" s="1074"/>
      <c r="AN366" s="1074"/>
      <c r="AO366" s="1074"/>
      <c r="AP366" s="1074"/>
      <c r="AQ366" s="1074"/>
      <c r="AR366" s="1074"/>
      <c r="AS366" s="1074"/>
      <c r="AT366" s="1075"/>
    </row>
    <row r="367" ht="14.25" customHeight="1">
      <c r="A367" s="1116"/>
      <c r="B367" s="1120"/>
      <c r="C367" s="1100"/>
      <c r="D367" s="1100"/>
      <c r="E367" s="1100"/>
      <c r="F367" s="1100"/>
      <c r="G367" s="1100"/>
      <c r="H367" s="1100"/>
      <c r="I367" s="1100"/>
      <c r="J367" s="1100"/>
      <c r="K367" s="1074"/>
      <c r="L367" s="1074"/>
      <c r="M367" s="1074"/>
      <c r="N367" s="1074"/>
      <c r="O367" s="1074"/>
      <c r="P367" s="1074"/>
      <c r="Q367" s="1074"/>
      <c r="R367" s="1074"/>
      <c r="S367" s="1074"/>
      <c r="T367" s="1074"/>
      <c r="U367" s="1074"/>
      <c r="V367" s="1074"/>
      <c r="W367" s="1074"/>
      <c r="X367" s="1074"/>
      <c r="Y367" s="1074"/>
      <c r="Z367" s="1074"/>
      <c r="AA367" s="1074"/>
      <c r="AB367" s="1074"/>
      <c r="AC367" s="1074"/>
      <c r="AD367" s="1074"/>
      <c r="AE367" s="1074"/>
      <c r="AF367" s="1074"/>
      <c r="AG367" s="1074"/>
      <c r="AH367" s="1074"/>
      <c r="AI367" s="1074"/>
      <c r="AJ367" s="1074"/>
      <c r="AK367" s="1074"/>
      <c r="AL367" s="1074"/>
      <c r="AM367" s="1074"/>
      <c r="AN367" s="1074"/>
      <c r="AO367" s="1074"/>
      <c r="AP367" s="1074"/>
      <c r="AQ367" s="1074"/>
      <c r="AR367" s="1074"/>
      <c r="AS367" s="1074"/>
      <c r="AT367" s="1075"/>
    </row>
    <row r="368" ht="14.25" customHeight="1">
      <c r="A368" s="1116"/>
      <c r="B368" s="1120"/>
      <c r="C368" s="1100"/>
      <c r="D368" s="1100"/>
      <c r="E368" s="1100"/>
      <c r="F368" s="1100"/>
      <c r="G368" s="1100"/>
      <c r="H368" s="1100"/>
      <c r="I368" s="1100"/>
      <c r="J368" s="1100"/>
      <c r="K368" s="1074"/>
      <c r="L368" s="1074"/>
      <c r="M368" s="1074"/>
      <c r="N368" s="1074"/>
      <c r="O368" s="1074"/>
      <c r="P368" s="1074"/>
      <c r="Q368" s="1074"/>
      <c r="R368" s="1074"/>
      <c r="S368" s="1074"/>
      <c r="T368" s="1074"/>
      <c r="U368" s="1074"/>
      <c r="V368" s="1074"/>
      <c r="W368" s="1074"/>
      <c r="X368" s="1074"/>
      <c r="Y368" s="1074"/>
      <c r="Z368" s="1074"/>
      <c r="AA368" s="1074"/>
      <c r="AB368" s="1074"/>
      <c r="AC368" s="1074"/>
      <c r="AD368" s="1074"/>
      <c r="AE368" s="1074"/>
      <c r="AF368" s="1074"/>
      <c r="AG368" s="1074"/>
      <c r="AH368" s="1074"/>
      <c r="AI368" s="1074"/>
      <c r="AJ368" s="1074"/>
      <c r="AK368" s="1074"/>
      <c r="AL368" s="1074"/>
      <c r="AM368" s="1074"/>
      <c r="AN368" s="1074"/>
      <c r="AO368" s="1074"/>
      <c r="AP368" s="1074"/>
      <c r="AQ368" s="1074"/>
      <c r="AR368" s="1074"/>
      <c r="AS368" s="1074"/>
      <c r="AT368" s="1075"/>
    </row>
    <row r="369" ht="14.25" customHeight="1">
      <c r="A369" s="1116"/>
      <c r="B369" s="1120"/>
      <c r="C369" s="1100"/>
      <c r="D369" s="1100"/>
      <c r="E369" s="1100"/>
      <c r="F369" s="1100"/>
      <c r="G369" s="1100"/>
      <c r="H369" s="1100"/>
      <c r="I369" s="1100"/>
      <c r="J369" s="1100"/>
      <c r="K369" s="1074"/>
      <c r="L369" s="1074"/>
      <c r="M369" s="1074"/>
      <c r="N369" s="1074"/>
      <c r="O369" s="1074"/>
      <c r="P369" s="1074"/>
      <c r="Q369" s="1074"/>
      <c r="R369" s="1074"/>
      <c r="S369" s="1074"/>
      <c r="T369" s="1074"/>
      <c r="U369" s="1074"/>
      <c r="V369" s="1074"/>
      <c r="W369" s="1074"/>
      <c r="X369" s="1074"/>
      <c r="Y369" s="1074"/>
      <c r="Z369" s="1074"/>
      <c r="AA369" s="1074"/>
      <c r="AB369" s="1074"/>
      <c r="AC369" s="1074"/>
      <c r="AD369" s="1074"/>
      <c r="AE369" s="1074"/>
      <c r="AF369" s="1074"/>
      <c r="AG369" s="1074"/>
      <c r="AH369" s="1074"/>
      <c r="AI369" s="1074"/>
      <c r="AJ369" s="1074"/>
      <c r="AK369" s="1074"/>
      <c r="AL369" s="1074"/>
      <c r="AM369" s="1074"/>
      <c r="AN369" s="1074"/>
      <c r="AO369" s="1074"/>
      <c r="AP369" s="1074"/>
      <c r="AQ369" s="1074"/>
      <c r="AR369" s="1074"/>
      <c r="AS369" s="1074"/>
      <c r="AT369" s="1075"/>
    </row>
    <row r="370" ht="14.25" customHeight="1">
      <c r="A370" s="1116"/>
      <c r="B370" s="1120"/>
      <c r="C370" s="1100"/>
      <c r="D370" s="1100"/>
      <c r="E370" s="1100"/>
      <c r="F370" s="1100"/>
      <c r="G370" s="1100"/>
      <c r="H370" s="1100"/>
      <c r="I370" s="1100"/>
      <c r="J370" s="1100"/>
      <c r="K370" s="1074"/>
      <c r="L370" s="1074"/>
      <c r="M370" s="1074"/>
      <c r="N370" s="1074"/>
      <c r="O370" s="1074"/>
      <c r="P370" s="1074"/>
      <c r="Q370" s="1074"/>
      <c r="R370" s="1074"/>
      <c r="S370" s="1074"/>
      <c r="T370" s="1074"/>
      <c r="U370" s="1074"/>
      <c r="V370" s="1074"/>
      <c r="W370" s="1074"/>
      <c r="X370" s="1074"/>
      <c r="Y370" s="1074"/>
      <c r="Z370" s="1074"/>
      <c r="AA370" s="1074"/>
      <c r="AB370" s="1074"/>
      <c r="AC370" s="1074"/>
      <c r="AD370" s="1074"/>
      <c r="AE370" s="1074"/>
      <c r="AF370" s="1074"/>
      <c r="AG370" s="1074"/>
      <c r="AH370" s="1074"/>
      <c r="AI370" s="1074"/>
      <c r="AJ370" s="1074"/>
      <c r="AK370" s="1074"/>
      <c r="AL370" s="1074"/>
      <c r="AM370" s="1074"/>
      <c r="AN370" s="1074"/>
      <c r="AO370" s="1074"/>
      <c r="AP370" s="1074"/>
      <c r="AQ370" s="1074"/>
      <c r="AR370" s="1074"/>
      <c r="AS370" s="1074"/>
      <c r="AT370" s="1075"/>
    </row>
    <row r="371" ht="14.25" customHeight="1">
      <c r="A371" s="1116"/>
      <c r="B371" s="1120"/>
      <c r="C371" s="1100"/>
      <c r="D371" s="1100"/>
      <c r="E371" s="1100"/>
      <c r="F371" s="1100"/>
      <c r="G371" s="1100"/>
      <c r="H371" s="1100"/>
      <c r="I371" s="1100"/>
      <c r="J371" s="1100"/>
      <c r="K371" s="1074"/>
      <c r="L371" s="1074"/>
      <c r="M371" s="1074"/>
      <c r="N371" s="1074"/>
      <c r="O371" s="1074"/>
      <c r="P371" s="1074"/>
      <c r="Q371" s="1074"/>
      <c r="R371" s="1074"/>
      <c r="S371" s="1074"/>
      <c r="T371" s="1074"/>
      <c r="U371" s="1074"/>
      <c r="V371" s="1074"/>
      <c r="W371" s="1074"/>
      <c r="X371" s="1074"/>
      <c r="Y371" s="1074"/>
      <c r="Z371" s="1074"/>
      <c r="AA371" s="1074"/>
      <c r="AB371" s="1074"/>
      <c r="AC371" s="1074"/>
      <c r="AD371" s="1074"/>
      <c r="AE371" s="1074"/>
      <c r="AF371" s="1074"/>
      <c r="AG371" s="1074"/>
      <c r="AH371" s="1074"/>
      <c r="AI371" s="1074"/>
      <c r="AJ371" s="1074"/>
      <c r="AK371" s="1074"/>
      <c r="AL371" s="1074"/>
      <c r="AM371" s="1074"/>
      <c r="AN371" s="1074"/>
      <c r="AO371" s="1074"/>
      <c r="AP371" s="1074"/>
      <c r="AQ371" s="1074"/>
      <c r="AR371" s="1074"/>
      <c r="AS371" s="1074"/>
      <c r="AT371" s="1075"/>
    </row>
    <row r="372" ht="14.25" customHeight="1">
      <c r="A372" s="1116"/>
      <c r="B372" s="1120"/>
      <c r="C372" s="1100"/>
      <c r="D372" s="1100"/>
      <c r="E372" s="1100"/>
      <c r="F372" s="1100"/>
      <c r="G372" s="1100"/>
      <c r="H372" s="1100"/>
      <c r="I372" s="1100"/>
      <c r="J372" s="1100"/>
      <c r="K372" s="1074"/>
      <c r="L372" s="1074"/>
      <c r="M372" s="1074"/>
      <c r="N372" s="1074"/>
      <c r="O372" s="1074"/>
      <c r="P372" s="1074"/>
      <c r="Q372" s="1074"/>
      <c r="R372" s="1074"/>
      <c r="S372" s="1074"/>
      <c r="T372" s="1074"/>
      <c r="U372" s="1074"/>
      <c r="V372" s="1074"/>
      <c r="W372" s="1074"/>
      <c r="X372" s="1074"/>
      <c r="Y372" s="1074"/>
      <c r="Z372" s="1074"/>
      <c r="AA372" s="1074"/>
      <c r="AB372" s="1074"/>
      <c r="AC372" s="1074"/>
      <c r="AD372" s="1074"/>
      <c r="AE372" s="1074"/>
      <c r="AF372" s="1074"/>
      <c r="AG372" s="1074"/>
      <c r="AH372" s="1074"/>
      <c r="AI372" s="1074"/>
      <c r="AJ372" s="1074"/>
      <c r="AK372" s="1074"/>
      <c r="AL372" s="1074"/>
      <c r="AM372" s="1074"/>
      <c r="AN372" s="1074"/>
      <c r="AO372" s="1074"/>
      <c r="AP372" s="1074"/>
      <c r="AQ372" s="1074"/>
      <c r="AR372" s="1074"/>
      <c r="AS372" s="1074"/>
      <c r="AT372" s="1075"/>
    </row>
    <row r="373" ht="14.25" customHeight="1">
      <c r="A373" s="1116"/>
      <c r="B373" s="1120"/>
      <c r="C373" s="1100"/>
      <c r="D373" s="1100"/>
      <c r="E373" s="1100"/>
      <c r="F373" s="1100"/>
      <c r="G373" s="1100"/>
      <c r="H373" s="1100"/>
      <c r="I373" s="1100"/>
      <c r="J373" s="1100"/>
      <c r="K373" s="1074"/>
      <c r="L373" s="1074"/>
      <c r="M373" s="1074"/>
      <c r="N373" s="1074"/>
      <c r="O373" s="1074"/>
      <c r="P373" s="1074"/>
      <c r="Q373" s="1074"/>
      <c r="R373" s="1074"/>
      <c r="S373" s="1074"/>
      <c r="T373" s="1074"/>
      <c r="U373" s="1074"/>
      <c r="V373" s="1074"/>
      <c r="W373" s="1074"/>
      <c r="X373" s="1074"/>
      <c r="Y373" s="1074"/>
      <c r="Z373" s="1074"/>
      <c r="AA373" s="1074"/>
      <c r="AB373" s="1074"/>
      <c r="AC373" s="1074"/>
      <c r="AD373" s="1074"/>
      <c r="AE373" s="1074"/>
      <c r="AF373" s="1074"/>
      <c r="AG373" s="1074"/>
      <c r="AH373" s="1074"/>
      <c r="AI373" s="1074"/>
      <c r="AJ373" s="1074"/>
      <c r="AK373" s="1074"/>
      <c r="AL373" s="1074"/>
      <c r="AM373" s="1074"/>
      <c r="AN373" s="1074"/>
      <c r="AO373" s="1074"/>
      <c r="AP373" s="1074"/>
      <c r="AQ373" s="1074"/>
      <c r="AR373" s="1074"/>
      <c r="AS373" s="1074"/>
      <c r="AT373" s="1075"/>
    </row>
    <row r="374" ht="14.25" customHeight="1">
      <c r="A374" s="1116"/>
      <c r="B374" s="1120"/>
      <c r="C374" s="1100"/>
      <c r="D374" s="1100"/>
      <c r="E374" s="1100"/>
      <c r="F374" s="1100"/>
      <c r="G374" s="1100"/>
      <c r="H374" s="1100"/>
      <c r="I374" s="1100"/>
      <c r="J374" s="1100"/>
      <c r="K374" s="1074"/>
      <c r="L374" s="1074"/>
      <c r="M374" s="1074"/>
      <c r="N374" s="1074"/>
      <c r="O374" s="1074"/>
      <c r="P374" s="1074"/>
      <c r="Q374" s="1074"/>
      <c r="R374" s="1074"/>
      <c r="S374" s="1074"/>
      <c r="T374" s="1074"/>
      <c r="U374" s="1074"/>
      <c r="V374" s="1074"/>
      <c r="W374" s="1074"/>
      <c r="X374" s="1074"/>
      <c r="Y374" s="1074"/>
      <c r="Z374" s="1074"/>
      <c r="AA374" s="1074"/>
      <c r="AB374" s="1074"/>
      <c r="AC374" s="1074"/>
      <c r="AD374" s="1074"/>
      <c r="AE374" s="1074"/>
      <c r="AF374" s="1074"/>
      <c r="AG374" s="1074"/>
      <c r="AH374" s="1074"/>
      <c r="AI374" s="1074"/>
      <c r="AJ374" s="1074"/>
      <c r="AK374" s="1074"/>
      <c r="AL374" s="1074"/>
      <c r="AM374" s="1074"/>
      <c r="AN374" s="1074"/>
      <c r="AO374" s="1074"/>
      <c r="AP374" s="1074"/>
      <c r="AQ374" s="1074"/>
      <c r="AR374" s="1074"/>
      <c r="AS374" s="1074"/>
      <c r="AT374" s="1075"/>
    </row>
    <row r="375" ht="14.25" customHeight="1">
      <c r="A375" s="1116"/>
      <c r="B375" s="1120"/>
      <c r="C375" s="1100"/>
      <c r="D375" s="1100"/>
      <c r="E375" s="1100"/>
      <c r="F375" s="1100"/>
      <c r="G375" s="1100"/>
      <c r="H375" s="1100"/>
      <c r="I375" s="1100"/>
      <c r="J375" s="1100"/>
      <c r="K375" s="1074"/>
      <c r="L375" s="1074"/>
      <c r="M375" s="1074"/>
      <c r="N375" s="1074"/>
      <c r="O375" s="1074"/>
      <c r="P375" s="1074"/>
      <c r="Q375" s="1074"/>
      <c r="R375" s="1074"/>
      <c r="S375" s="1074"/>
      <c r="T375" s="1074"/>
      <c r="U375" s="1074"/>
      <c r="V375" s="1074"/>
      <c r="W375" s="1074"/>
      <c r="X375" s="1074"/>
      <c r="Y375" s="1074"/>
      <c r="Z375" s="1074"/>
      <c r="AA375" s="1074"/>
      <c r="AB375" s="1074"/>
      <c r="AC375" s="1074"/>
      <c r="AD375" s="1074"/>
      <c r="AE375" s="1074"/>
      <c r="AF375" s="1074"/>
      <c r="AG375" s="1074"/>
      <c r="AH375" s="1074"/>
      <c r="AI375" s="1074"/>
      <c r="AJ375" s="1074"/>
      <c r="AK375" s="1074"/>
      <c r="AL375" s="1074"/>
      <c r="AM375" s="1074"/>
      <c r="AN375" s="1074"/>
      <c r="AO375" s="1074"/>
      <c r="AP375" s="1074"/>
      <c r="AQ375" s="1074"/>
      <c r="AR375" s="1074"/>
      <c r="AS375" s="1074"/>
      <c r="AT375" s="1075"/>
    </row>
    <row r="376" ht="14.25" customHeight="1">
      <c r="A376" s="1116"/>
      <c r="B376" s="1120"/>
      <c r="C376" s="1100"/>
      <c r="D376" s="1100"/>
      <c r="E376" s="1100"/>
      <c r="F376" s="1100"/>
      <c r="G376" s="1100"/>
      <c r="H376" s="1100"/>
      <c r="I376" s="1100"/>
      <c r="J376" s="1100"/>
      <c r="K376" s="1074"/>
      <c r="L376" s="1074"/>
      <c r="M376" s="1074"/>
      <c r="N376" s="1074"/>
      <c r="O376" s="1074"/>
      <c r="P376" s="1074"/>
      <c r="Q376" s="1074"/>
      <c r="R376" s="1074"/>
      <c r="S376" s="1074"/>
      <c r="T376" s="1074"/>
      <c r="U376" s="1074"/>
      <c r="V376" s="1074"/>
      <c r="W376" s="1074"/>
      <c r="X376" s="1074"/>
      <c r="Y376" s="1074"/>
      <c r="Z376" s="1074"/>
      <c r="AA376" s="1074"/>
      <c r="AB376" s="1074"/>
      <c r="AC376" s="1074"/>
      <c r="AD376" s="1074"/>
      <c r="AE376" s="1074"/>
      <c r="AF376" s="1074"/>
      <c r="AG376" s="1074"/>
      <c r="AH376" s="1074"/>
      <c r="AI376" s="1074"/>
      <c r="AJ376" s="1074"/>
      <c r="AK376" s="1074"/>
      <c r="AL376" s="1074"/>
      <c r="AM376" s="1074"/>
      <c r="AN376" s="1074"/>
      <c r="AO376" s="1074"/>
      <c r="AP376" s="1074"/>
      <c r="AQ376" s="1074"/>
      <c r="AR376" s="1074"/>
      <c r="AS376" s="1074"/>
      <c r="AT376" s="1075"/>
    </row>
    <row r="377" ht="14.25" customHeight="1">
      <c r="A377" s="1116"/>
      <c r="B377" s="1120"/>
      <c r="C377" s="1100"/>
      <c r="D377" s="1100"/>
      <c r="E377" s="1100"/>
      <c r="F377" s="1100"/>
      <c r="G377" s="1100"/>
      <c r="H377" s="1100"/>
      <c r="I377" s="1100"/>
      <c r="J377" s="1100"/>
      <c r="K377" s="1074"/>
      <c r="L377" s="1074"/>
      <c r="M377" s="1074"/>
      <c r="N377" s="1074"/>
      <c r="O377" s="1074"/>
      <c r="P377" s="1074"/>
      <c r="Q377" s="1074"/>
      <c r="R377" s="1074"/>
      <c r="S377" s="1074"/>
      <c r="T377" s="1074"/>
      <c r="U377" s="1074"/>
      <c r="V377" s="1074"/>
      <c r="W377" s="1074"/>
      <c r="X377" s="1074"/>
      <c r="Y377" s="1074"/>
      <c r="Z377" s="1074"/>
      <c r="AA377" s="1074"/>
      <c r="AB377" s="1074"/>
      <c r="AC377" s="1074"/>
      <c r="AD377" s="1074"/>
      <c r="AE377" s="1074"/>
      <c r="AF377" s="1074"/>
      <c r="AG377" s="1074"/>
      <c r="AH377" s="1074"/>
      <c r="AI377" s="1074"/>
      <c r="AJ377" s="1074"/>
      <c r="AK377" s="1074"/>
      <c r="AL377" s="1074"/>
      <c r="AM377" s="1074"/>
      <c r="AN377" s="1074"/>
      <c r="AO377" s="1074"/>
      <c r="AP377" s="1074"/>
      <c r="AQ377" s="1074"/>
      <c r="AR377" s="1074"/>
      <c r="AS377" s="1074"/>
      <c r="AT377" s="1075"/>
    </row>
    <row r="378" ht="14.25" customHeight="1">
      <c r="A378" s="1116"/>
      <c r="B378" s="1120"/>
      <c r="C378" s="1100"/>
      <c r="D378" s="1100"/>
      <c r="E378" s="1100"/>
      <c r="F378" s="1100"/>
      <c r="G378" s="1100"/>
      <c r="H378" s="1100"/>
      <c r="I378" s="1100"/>
      <c r="J378" s="1100"/>
      <c r="K378" s="1074"/>
      <c r="L378" s="1074"/>
      <c r="M378" s="1074"/>
      <c r="N378" s="1074"/>
      <c r="O378" s="1074"/>
      <c r="P378" s="1074"/>
      <c r="Q378" s="1074"/>
      <c r="R378" s="1074"/>
      <c r="S378" s="1074"/>
      <c r="T378" s="1074"/>
      <c r="U378" s="1074"/>
      <c r="V378" s="1074"/>
      <c r="W378" s="1074"/>
      <c r="X378" s="1074"/>
      <c r="Y378" s="1074"/>
      <c r="Z378" s="1074"/>
      <c r="AA378" s="1074"/>
      <c r="AB378" s="1074"/>
      <c r="AC378" s="1074"/>
      <c r="AD378" s="1074"/>
      <c r="AE378" s="1074"/>
      <c r="AF378" s="1074"/>
      <c r="AG378" s="1074"/>
      <c r="AH378" s="1074"/>
      <c r="AI378" s="1074"/>
      <c r="AJ378" s="1074"/>
      <c r="AK378" s="1074"/>
      <c r="AL378" s="1074"/>
      <c r="AM378" s="1074"/>
      <c r="AN378" s="1074"/>
      <c r="AO378" s="1074"/>
      <c r="AP378" s="1074"/>
      <c r="AQ378" s="1074"/>
      <c r="AR378" s="1074"/>
      <c r="AS378" s="1074"/>
      <c r="AT378" s="1075"/>
    </row>
    <row r="379" ht="14.25" customHeight="1">
      <c r="A379" s="1116"/>
      <c r="B379" s="1120"/>
      <c r="C379" s="1100"/>
      <c r="D379" s="1100"/>
      <c r="E379" s="1100"/>
      <c r="F379" s="1100"/>
      <c r="G379" s="1100"/>
      <c r="H379" s="1100"/>
      <c r="I379" s="1100"/>
      <c r="J379" s="1100"/>
      <c r="K379" s="1074"/>
      <c r="L379" s="1074"/>
      <c r="M379" s="1074"/>
      <c r="N379" s="1074"/>
      <c r="O379" s="1074"/>
      <c r="P379" s="1074"/>
      <c r="Q379" s="1074"/>
      <c r="R379" s="1074"/>
      <c r="S379" s="1074"/>
      <c r="T379" s="1074"/>
      <c r="U379" s="1074"/>
      <c r="V379" s="1074"/>
      <c r="W379" s="1074"/>
      <c r="X379" s="1074"/>
      <c r="Y379" s="1074"/>
      <c r="Z379" s="1074"/>
      <c r="AA379" s="1074"/>
      <c r="AB379" s="1074"/>
      <c r="AC379" s="1074"/>
      <c r="AD379" s="1074"/>
      <c r="AE379" s="1074"/>
      <c r="AF379" s="1074"/>
      <c r="AG379" s="1074"/>
      <c r="AH379" s="1074"/>
      <c r="AI379" s="1074"/>
      <c r="AJ379" s="1074"/>
      <c r="AK379" s="1074"/>
      <c r="AL379" s="1074"/>
      <c r="AM379" s="1074"/>
      <c r="AN379" s="1074"/>
      <c r="AO379" s="1074"/>
      <c r="AP379" s="1074"/>
      <c r="AQ379" s="1074"/>
      <c r="AR379" s="1074"/>
      <c r="AS379" s="1074"/>
      <c r="AT379" s="1075"/>
    </row>
    <row r="380" ht="14.25" customHeight="1">
      <c r="A380" s="1116"/>
      <c r="B380" s="1120"/>
      <c r="C380" s="1100"/>
      <c r="D380" s="1100"/>
      <c r="E380" s="1100"/>
      <c r="F380" s="1100"/>
      <c r="G380" s="1100"/>
      <c r="H380" s="1100"/>
      <c r="I380" s="1100"/>
      <c r="J380" s="1100"/>
      <c r="K380" s="1074"/>
      <c r="L380" s="1074"/>
      <c r="M380" s="1074"/>
      <c r="N380" s="1074"/>
      <c r="O380" s="1074"/>
      <c r="P380" s="1074"/>
      <c r="Q380" s="1074"/>
      <c r="R380" s="1074"/>
      <c r="S380" s="1074"/>
      <c r="T380" s="1074"/>
      <c r="U380" s="1074"/>
      <c r="V380" s="1074"/>
      <c r="W380" s="1074"/>
      <c r="X380" s="1074"/>
      <c r="Y380" s="1074"/>
      <c r="Z380" s="1074"/>
      <c r="AA380" s="1074"/>
      <c r="AB380" s="1074"/>
      <c r="AC380" s="1074"/>
      <c r="AD380" s="1074"/>
      <c r="AE380" s="1074"/>
      <c r="AF380" s="1074"/>
      <c r="AG380" s="1074"/>
      <c r="AH380" s="1074"/>
      <c r="AI380" s="1074"/>
      <c r="AJ380" s="1074"/>
      <c r="AK380" s="1074"/>
      <c r="AL380" s="1074"/>
      <c r="AM380" s="1074"/>
      <c r="AN380" s="1074"/>
      <c r="AO380" s="1074"/>
      <c r="AP380" s="1074"/>
      <c r="AQ380" s="1074"/>
      <c r="AR380" s="1074"/>
      <c r="AS380" s="1074"/>
      <c r="AT380" s="1075"/>
    </row>
    <row r="381" ht="14.25" customHeight="1">
      <c r="A381" s="1116"/>
      <c r="B381" s="1120"/>
      <c r="C381" s="1100"/>
      <c r="D381" s="1100"/>
      <c r="E381" s="1100"/>
      <c r="F381" s="1100"/>
      <c r="G381" s="1100"/>
      <c r="H381" s="1100"/>
      <c r="I381" s="1100"/>
      <c r="J381" s="1100"/>
      <c r="K381" s="1074"/>
      <c r="L381" s="1074"/>
      <c r="M381" s="1074"/>
      <c r="N381" s="1074"/>
      <c r="O381" s="1074"/>
      <c r="P381" s="1074"/>
      <c r="Q381" s="1074"/>
      <c r="R381" s="1074"/>
      <c r="S381" s="1074"/>
      <c r="T381" s="1074"/>
      <c r="U381" s="1074"/>
      <c r="V381" s="1074"/>
      <c r="W381" s="1074"/>
      <c r="X381" s="1074"/>
      <c r="Y381" s="1074"/>
      <c r="Z381" s="1074"/>
      <c r="AA381" s="1074"/>
      <c r="AB381" s="1074"/>
      <c r="AC381" s="1074"/>
      <c r="AD381" s="1074"/>
      <c r="AE381" s="1074"/>
      <c r="AF381" s="1074"/>
      <c r="AG381" s="1074"/>
      <c r="AH381" s="1074"/>
      <c r="AI381" s="1074"/>
      <c r="AJ381" s="1074"/>
      <c r="AK381" s="1074"/>
      <c r="AL381" s="1074"/>
      <c r="AM381" s="1074"/>
      <c r="AN381" s="1074"/>
      <c r="AO381" s="1074"/>
      <c r="AP381" s="1074"/>
      <c r="AQ381" s="1074"/>
      <c r="AR381" s="1074"/>
      <c r="AS381" s="1074"/>
      <c r="AT381" s="1075"/>
    </row>
    <row r="382" ht="14.25" customHeight="1">
      <c r="A382" s="1116"/>
      <c r="B382" s="1120"/>
      <c r="C382" s="1100"/>
      <c r="D382" s="1100"/>
      <c r="E382" s="1100"/>
      <c r="F382" s="1100"/>
      <c r="G382" s="1100"/>
      <c r="H382" s="1100"/>
      <c r="I382" s="1100"/>
      <c r="J382" s="1100"/>
      <c r="K382" s="1074"/>
      <c r="L382" s="1074"/>
      <c r="M382" s="1074"/>
      <c r="N382" s="1074"/>
      <c r="O382" s="1074"/>
      <c r="P382" s="1074"/>
      <c r="Q382" s="1074"/>
      <c r="R382" s="1074"/>
      <c r="S382" s="1074"/>
      <c r="T382" s="1074"/>
      <c r="U382" s="1074"/>
      <c r="V382" s="1074"/>
      <c r="W382" s="1074"/>
      <c r="X382" s="1074"/>
      <c r="Y382" s="1074"/>
      <c r="Z382" s="1074"/>
      <c r="AA382" s="1074"/>
      <c r="AB382" s="1074"/>
      <c r="AC382" s="1074"/>
      <c r="AD382" s="1074"/>
      <c r="AE382" s="1074"/>
      <c r="AF382" s="1074"/>
      <c r="AG382" s="1074"/>
      <c r="AH382" s="1074"/>
      <c r="AI382" s="1074"/>
      <c r="AJ382" s="1074"/>
      <c r="AK382" s="1074"/>
      <c r="AL382" s="1074"/>
      <c r="AM382" s="1074"/>
      <c r="AN382" s="1074"/>
      <c r="AO382" s="1074"/>
      <c r="AP382" s="1074"/>
      <c r="AQ382" s="1074"/>
      <c r="AR382" s="1074"/>
      <c r="AS382" s="1074"/>
      <c r="AT382" s="1075"/>
    </row>
    <row r="383" ht="14.25" customHeight="1">
      <c r="A383" s="1116"/>
      <c r="B383" s="1120"/>
      <c r="C383" s="1100"/>
      <c r="D383" s="1100"/>
      <c r="E383" s="1100"/>
      <c r="F383" s="1100"/>
      <c r="G383" s="1100"/>
      <c r="H383" s="1100"/>
      <c r="I383" s="1100"/>
      <c r="J383" s="1100"/>
      <c r="K383" s="1074"/>
      <c r="L383" s="1074"/>
      <c r="M383" s="1074"/>
      <c r="N383" s="1074"/>
      <c r="O383" s="1074"/>
      <c r="P383" s="1074"/>
      <c r="Q383" s="1074"/>
      <c r="R383" s="1074"/>
      <c r="S383" s="1074"/>
      <c r="T383" s="1074"/>
      <c r="U383" s="1074"/>
      <c r="V383" s="1074"/>
      <c r="W383" s="1074"/>
      <c r="X383" s="1074"/>
      <c r="Y383" s="1074"/>
      <c r="Z383" s="1074"/>
      <c r="AA383" s="1074"/>
      <c r="AB383" s="1074"/>
      <c r="AC383" s="1074"/>
      <c r="AD383" s="1074"/>
      <c r="AE383" s="1074"/>
      <c r="AF383" s="1074"/>
      <c r="AG383" s="1074"/>
      <c r="AH383" s="1074"/>
      <c r="AI383" s="1074"/>
      <c r="AJ383" s="1074"/>
      <c r="AK383" s="1074"/>
      <c r="AL383" s="1074"/>
      <c r="AM383" s="1074"/>
      <c r="AN383" s="1074"/>
      <c r="AO383" s="1074"/>
      <c r="AP383" s="1074"/>
      <c r="AQ383" s="1074"/>
      <c r="AR383" s="1074"/>
      <c r="AS383" s="1074"/>
      <c r="AT383" s="1075"/>
    </row>
    <row r="384" ht="14.25" customHeight="1">
      <c r="A384" s="1116"/>
      <c r="B384" s="1120"/>
      <c r="C384" s="1100"/>
      <c r="D384" s="1100"/>
      <c r="E384" s="1100"/>
      <c r="F384" s="1100"/>
      <c r="G384" s="1100"/>
      <c r="H384" s="1100"/>
      <c r="I384" s="1100"/>
      <c r="J384" s="1100"/>
      <c r="K384" s="1074"/>
      <c r="L384" s="1074"/>
      <c r="M384" s="1074"/>
      <c r="N384" s="1074"/>
      <c r="O384" s="1074"/>
      <c r="P384" s="1074"/>
      <c r="Q384" s="1074"/>
      <c r="R384" s="1074"/>
      <c r="S384" s="1074"/>
      <c r="T384" s="1074"/>
      <c r="U384" s="1074"/>
      <c r="V384" s="1074"/>
      <c r="W384" s="1074"/>
      <c r="X384" s="1074"/>
      <c r="Y384" s="1074"/>
      <c r="Z384" s="1074"/>
      <c r="AA384" s="1074"/>
      <c r="AB384" s="1074"/>
      <c r="AC384" s="1074"/>
      <c r="AD384" s="1074"/>
      <c r="AE384" s="1074"/>
      <c r="AF384" s="1074"/>
      <c r="AG384" s="1074"/>
      <c r="AH384" s="1074"/>
      <c r="AI384" s="1074"/>
      <c r="AJ384" s="1074"/>
      <c r="AK384" s="1074"/>
      <c r="AL384" s="1074"/>
      <c r="AM384" s="1074"/>
      <c r="AN384" s="1074"/>
      <c r="AO384" s="1074"/>
      <c r="AP384" s="1074"/>
      <c r="AQ384" s="1074"/>
      <c r="AR384" s="1074"/>
      <c r="AS384" s="1074"/>
      <c r="AT384" s="1075"/>
    </row>
    <row r="385" ht="14.25" customHeight="1">
      <c r="A385" s="1116"/>
      <c r="B385" s="1120"/>
      <c r="C385" s="1100"/>
      <c r="D385" s="1100"/>
      <c r="E385" s="1100"/>
      <c r="F385" s="1100"/>
      <c r="G385" s="1100"/>
      <c r="H385" s="1100"/>
      <c r="I385" s="1100"/>
      <c r="J385" s="1100"/>
      <c r="K385" s="1074"/>
      <c r="L385" s="1074"/>
      <c r="M385" s="1074"/>
      <c r="N385" s="1074"/>
      <c r="O385" s="1074"/>
      <c r="P385" s="1074"/>
      <c r="Q385" s="1074"/>
      <c r="R385" s="1074"/>
      <c r="S385" s="1074"/>
      <c r="T385" s="1074"/>
      <c r="U385" s="1074"/>
      <c r="V385" s="1074"/>
      <c r="W385" s="1074"/>
      <c r="X385" s="1074"/>
      <c r="Y385" s="1074"/>
      <c r="Z385" s="1074"/>
      <c r="AA385" s="1074"/>
      <c r="AB385" s="1074"/>
      <c r="AC385" s="1074"/>
      <c r="AD385" s="1074"/>
      <c r="AE385" s="1074"/>
      <c r="AF385" s="1074"/>
      <c r="AG385" s="1074"/>
      <c r="AH385" s="1074"/>
      <c r="AI385" s="1074"/>
      <c r="AJ385" s="1074"/>
      <c r="AK385" s="1074"/>
      <c r="AL385" s="1074"/>
      <c r="AM385" s="1074"/>
      <c r="AN385" s="1074"/>
      <c r="AO385" s="1074"/>
      <c r="AP385" s="1074"/>
      <c r="AQ385" s="1074"/>
      <c r="AR385" s="1074"/>
      <c r="AS385" s="1074"/>
      <c r="AT385" s="1075"/>
    </row>
    <row r="386" ht="14.25" customHeight="1">
      <c r="A386" s="1116"/>
      <c r="B386" s="1120"/>
      <c r="C386" s="1100"/>
      <c r="D386" s="1100"/>
      <c r="E386" s="1100"/>
      <c r="F386" s="1100"/>
      <c r="G386" s="1100"/>
      <c r="H386" s="1100"/>
      <c r="I386" s="1100"/>
      <c r="J386" s="1100"/>
      <c r="K386" s="1074"/>
      <c r="L386" s="1074"/>
      <c r="M386" s="1074"/>
      <c r="N386" s="1074"/>
      <c r="O386" s="1074"/>
      <c r="P386" s="1074"/>
      <c r="Q386" s="1074"/>
      <c r="R386" s="1074"/>
      <c r="S386" s="1074"/>
      <c r="T386" s="1074"/>
      <c r="U386" s="1074"/>
      <c r="V386" s="1074"/>
      <c r="W386" s="1074"/>
      <c r="X386" s="1074"/>
      <c r="Y386" s="1074"/>
      <c r="Z386" s="1074"/>
      <c r="AA386" s="1074"/>
      <c r="AB386" s="1074"/>
      <c r="AC386" s="1074"/>
      <c r="AD386" s="1074"/>
      <c r="AE386" s="1074"/>
      <c r="AF386" s="1074"/>
      <c r="AG386" s="1074"/>
      <c r="AH386" s="1074"/>
      <c r="AI386" s="1074"/>
      <c r="AJ386" s="1074"/>
      <c r="AK386" s="1074"/>
      <c r="AL386" s="1074"/>
      <c r="AM386" s="1074"/>
      <c r="AN386" s="1074"/>
      <c r="AO386" s="1074"/>
      <c r="AP386" s="1074"/>
      <c r="AQ386" s="1074"/>
      <c r="AR386" s="1074"/>
      <c r="AS386" s="1074"/>
      <c r="AT386" s="1075"/>
    </row>
    <row r="387" ht="14.25" customHeight="1">
      <c r="A387" s="1116"/>
      <c r="B387" s="1120"/>
      <c r="C387" s="1100"/>
      <c r="D387" s="1100"/>
      <c r="E387" s="1100"/>
      <c r="F387" s="1100"/>
      <c r="G387" s="1100"/>
      <c r="H387" s="1100"/>
      <c r="I387" s="1100"/>
      <c r="J387" s="1100"/>
      <c r="K387" s="1074"/>
      <c r="L387" s="1074"/>
      <c r="M387" s="1074"/>
      <c r="N387" s="1074"/>
      <c r="O387" s="1074"/>
      <c r="P387" s="1074"/>
      <c r="Q387" s="1074"/>
      <c r="R387" s="1074"/>
      <c r="S387" s="1074"/>
      <c r="T387" s="1074"/>
      <c r="U387" s="1074"/>
      <c r="V387" s="1074"/>
      <c r="W387" s="1074"/>
      <c r="X387" s="1074"/>
      <c r="Y387" s="1074"/>
      <c r="Z387" s="1074"/>
      <c r="AA387" s="1074"/>
      <c r="AB387" s="1074"/>
      <c r="AC387" s="1074"/>
      <c r="AD387" s="1074"/>
      <c r="AE387" s="1074"/>
      <c r="AF387" s="1074"/>
      <c r="AG387" s="1074"/>
      <c r="AH387" s="1074"/>
      <c r="AI387" s="1074"/>
      <c r="AJ387" s="1074"/>
      <c r="AK387" s="1074"/>
      <c r="AL387" s="1074"/>
      <c r="AM387" s="1074"/>
      <c r="AN387" s="1074"/>
      <c r="AO387" s="1074"/>
      <c r="AP387" s="1074"/>
      <c r="AQ387" s="1074"/>
      <c r="AR387" s="1074"/>
      <c r="AS387" s="1074"/>
      <c r="AT387" s="1075"/>
    </row>
    <row r="388" ht="14.25" customHeight="1">
      <c r="A388" s="1116"/>
      <c r="B388" s="1120"/>
      <c r="C388" s="1100"/>
      <c r="D388" s="1100"/>
      <c r="E388" s="1100"/>
      <c r="F388" s="1100"/>
      <c r="G388" s="1100"/>
      <c r="H388" s="1100"/>
      <c r="I388" s="1100"/>
      <c r="J388" s="1100"/>
      <c r="K388" s="1074"/>
      <c r="L388" s="1074"/>
      <c r="M388" s="1074"/>
      <c r="N388" s="1074"/>
      <c r="O388" s="1074"/>
      <c r="P388" s="1074"/>
      <c r="Q388" s="1074"/>
      <c r="R388" s="1074"/>
      <c r="S388" s="1074"/>
      <c r="T388" s="1074"/>
      <c r="U388" s="1074"/>
      <c r="V388" s="1074"/>
      <c r="W388" s="1074"/>
      <c r="X388" s="1074"/>
      <c r="Y388" s="1074"/>
      <c r="Z388" s="1074"/>
      <c r="AA388" s="1074"/>
      <c r="AB388" s="1074"/>
      <c r="AC388" s="1074"/>
      <c r="AD388" s="1074"/>
      <c r="AE388" s="1074"/>
      <c r="AF388" s="1074"/>
      <c r="AG388" s="1074"/>
      <c r="AH388" s="1074"/>
      <c r="AI388" s="1074"/>
      <c r="AJ388" s="1074"/>
      <c r="AK388" s="1074"/>
      <c r="AL388" s="1074"/>
      <c r="AM388" s="1074"/>
      <c r="AN388" s="1074"/>
      <c r="AO388" s="1074"/>
      <c r="AP388" s="1074"/>
      <c r="AQ388" s="1074"/>
      <c r="AR388" s="1074"/>
      <c r="AS388" s="1074"/>
      <c r="AT388" s="1075"/>
    </row>
    <row r="389" ht="14.25" customHeight="1">
      <c r="A389" s="1116"/>
      <c r="B389" s="1120"/>
      <c r="C389" s="1100"/>
      <c r="D389" s="1100"/>
      <c r="E389" s="1100"/>
      <c r="F389" s="1100"/>
      <c r="G389" s="1100"/>
      <c r="H389" s="1100"/>
      <c r="I389" s="1100"/>
      <c r="J389" s="1100"/>
      <c r="K389" s="1074"/>
      <c r="L389" s="1074"/>
      <c r="M389" s="1074"/>
      <c r="N389" s="1074"/>
      <c r="O389" s="1074"/>
      <c r="P389" s="1074"/>
      <c r="Q389" s="1074"/>
      <c r="R389" s="1074"/>
      <c r="S389" s="1074"/>
      <c r="T389" s="1074"/>
      <c r="U389" s="1074"/>
      <c r="V389" s="1074"/>
      <c r="W389" s="1074"/>
      <c r="X389" s="1074"/>
      <c r="Y389" s="1074"/>
      <c r="Z389" s="1074"/>
      <c r="AA389" s="1074"/>
      <c r="AB389" s="1074"/>
      <c r="AC389" s="1074"/>
      <c r="AD389" s="1074"/>
      <c r="AE389" s="1074"/>
      <c r="AF389" s="1074"/>
      <c r="AG389" s="1074"/>
      <c r="AH389" s="1074"/>
      <c r="AI389" s="1074"/>
      <c r="AJ389" s="1074"/>
      <c r="AK389" s="1074"/>
      <c r="AL389" s="1074"/>
      <c r="AM389" s="1074"/>
      <c r="AN389" s="1074"/>
      <c r="AO389" s="1074"/>
      <c r="AP389" s="1074"/>
      <c r="AQ389" s="1074"/>
      <c r="AR389" s="1074"/>
      <c r="AS389" s="1074"/>
      <c r="AT389" s="1075"/>
    </row>
    <row r="390" ht="14.25" customHeight="1">
      <c r="A390" s="1116"/>
      <c r="B390" s="1120"/>
      <c r="C390" s="1100"/>
      <c r="D390" s="1100"/>
      <c r="E390" s="1100"/>
      <c r="F390" s="1100"/>
      <c r="G390" s="1100"/>
      <c r="H390" s="1100"/>
      <c r="I390" s="1100"/>
      <c r="J390" s="1100"/>
      <c r="K390" s="1074"/>
      <c r="L390" s="1074"/>
      <c r="M390" s="1074"/>
      <c r="N390" s="1074"/>
      <c r="O390" s="1074"/>
      <c r="P390" s="1074"/>
      <c r="Q390" s="1074"/>
      <c r="R390" s="1074"/>
      <c r="S390" s="1074"/>
      <c r="T390" s="1074"/>
      <c r="U390" s="1074"/>
      <c r="V390" s="1074"/>
      <c r="W390" s="1074"/>
      <c r="X390" s="1074"/>
      <c r="Y390" s="1074"/>
      <c r="Z390" s="1074"/>
      <c r="AA390" s="1074"/>
      <c r="AB390" s="1074"/>
      <c r="AC390" s="1074"/>
      <c r="AD390" s="1074"/>
      <c r="AE390" s="1074"/>
      <c r="AF390" s="1074"/>
      <c r="AG390" s="1074"/>
      <c r="AH390" s="1074"/>
      <c r="AI390" s="1074"/>
      <c r="AJ390" s="1074"/>
      <c r="AK390" s="1074"/>
      <c r="AL390" s="1074"/>
      <c r="AM390" s="1074"/>
      <c r="AN390" s="1074"/>
      <c r="AO390" s="1074"/>
      <c r="AP390" s="1074"/>
      <c r="AQ390" s="1074"/>
      <c r="AR390" s="1074"/>
      <c r="AS390" s="1074"/>
      <c r="AT390" s="1075"/>
    </row>
    <row r="391" ht="14.25" customHeight="1">
      <c r="A391" s="1116"/>
      <c r="B391" s="1120"/>
      <c r="C391" s="1100"/>
      <c r="D391" s="1100"/>
      <c r="E391" s="1100"/>
      <c r="F391" s="1100"/>
      <c r="G391" s="1100"/>
      <c r="H391" s="1100"/>
      <c r="I391" s="1100"/>
      <c r="J391" s="1100"/>
      <c r="K391" s="1074"/>
      <c r="L391" s="1074"/>
      <c r="M391" s="1074"/>
      <c r="N391" s="1074"/>
      <c r="O391" s="1074"/>
      <c r="P391" s="1074"/>
      <c r="Q391" s="1074"/>
      <c r="R391" s="1074"/>
      <c r="S391" s="1074"/>
      <c r="T391" s="1074"/>
      <c r="U391" s="1074"/>
      <c r="V391" s="1074"/>
      <c r="W391" s="1074"/>
      <c r="X391" s="1074"/>
      <c r="Y391" s="1074"/>
      <c r="Z391" s="1074"/>
      <c r="AA391" s="1074"/>
      <c r="AB391" s="1074"/>
      <c r="AC391" s="1074"/>
      <c r="AD391" s="1074"/>
      <c r="AE391" s="1074"/>
      <c r="AF391" s="1074"/>
      <c r="AG391" s="1074"/>
      <c r="AH391" s="1074"/>
      <c r="AI391" s="1074"/>
      <c r="AJ391" s="1074"/>
      <c r="AK391" s="1074"/>
      <c r="AL391" s="1074"/>
      <c r="AM391" s="1074"/>
      <c r="AN391" s="1074"/>
      <c r="AO391" s="1074"/>
      <c r="AP391" s="1074"/>
      <c r="AQ391" s="1074"/>
      <c r="AR391" s="1074"/>
      <c r="AS391" s="1074"/>
      <c r="AT391" s="1075"/>
    </row>
    <row r="392" ht="14.25" customHeight="1">
      <c r="A392" s="1116"/>
      <c r="B392" s="1120"/>
      <c r="C392" s="1100"/>
      <c r="D392" s="1100"/>
      <c r="E392" s="1100"/>
      <c r="F392" s="1100"/>
      <c r="G392" s="1100"/>
      <c r="H392" s="1100"/>
      <c r="I392" s="1100"/>
      <c r="J392" s="1100"/>
      <c r="K392" s="1074"/>
      <c r="L392" s="1074"/>
      <c r="M392" s="1074"/>
      <c r="N392" s="1074"/>
      <c r="O392" s="1074"/>
      <c r="P392" s="1074"/>
      <c r="Q392" s="1074"/>
      <c r="R392" s="1074"/>
      <c r="S392" s="1074"/>
      <c r="T392" s="1074"/>
      <c r="U392" s="1074"/>
      <c r="V392" s="1074"/>
      <c r="W392" s="1074"/>
      <c r="X392" s="1074"/>
      <c r="Y392" s="1074"/>
      <c r="Z392" s="1074"/>
      <c r="AA392" s="1074"/>
      <c r="AB392" s="1074"/>
      <c r="AC392" s="1074"/>
      <c r="AD392" s="1074"/>
      <c r="AE392" s="1074"/>
      <c r="AF392" s="1074"/>
      <c r="AG392" s="1074"/>
      <c r="AH392" s="1074"/>
      <c r="AI392" s="1074"/>
      <c r="AJ392" s="1074"/>
      <c r="AK392" s="1074"/>
      <c r="AL392" s="1074"/>
      <c r="AM392" s="1074"/>
      <c r="AN392" s="1074"/>
      <c r="AO392" s="1074"/>
      <c r="AP392" s="1074"/>
      <c r="AQ392" s="1074"/>
      <c r="AR392" s="1074"/>
      <c r="AS392" s="1074"/>
      <c r="AT392" s="1075"/>
    </row>
    <row r="393" ht="14.25" customHeight="1">
      <c r="A393" s="1116"/>
      <c r="B393" s="1120"/>
      <c r="C393" s="1100"/>
      <c r="D393" s="1100"/>
      <c r="E393" s="1100"/>
      <c r="F393" s="1100"/>
      <c r="G393" s="1100"/>
      <c r="H393" s="1100"/>
      <c r="I393" s="1100"/>
      <c r="J393" s="1100"/>
      <c r="K393" s="1074"/>
      <c r="L393" s="1074"/>
      <c r="M393" s="1074"/>
      <c r="N393" s="1074"/>
      <c r="O393" s="1074"/>
      <c r="P393" s="1074"/>
      <c r="Q393" s="1074"/>
      <c r="R393" s="1074"/>
      <c r="S393" s="1074"/>
      <c r="T393" s="1074"/>
      <c r="U393" s="1074"/>
      <c r="V393" s="1074"/>
      <c r="W393" s="1074"/>
      <c r="X393" s="1074"/>
      <c r="Y393" s="1074"/>
      <c r="Z393" s="1074"/>
      <c r="AA393" s="1074"/>
      <c r="AB393" s="1074"/>
      <c r="AC393" s="1074"/>
      <c r="AD393" s="1074"/>
      <c r="AE393" s="1074"/>
      <c r="AF393" s="1074"/>
      <c r="AG393" s="1074"/>
      <c r="AH393" s="1074"/>
      <c r="AI393" s="1074"/>
      <c r="AJ393" s="1074"/>
      <c r="AK393" s="1074"/>
      <c r="AL393" s="1074"/>
      <c r="AM393" s="1074"/>
      <c r="AN393" s="1074"/>
      <c r="AO393" s="1074"/>
      <c r="AP393" s="1074"/>
      <c r="AQ393" s="1074"/>
      <c r="AR393" s="1074"/>
      <c r="AS393" s="1074"/>
      <c r="AT393" s="1075"/>
    </row>
    <row r="394" ht="14.25" customHeight="1">
      <c r="A394" s="1116"/>
      <c r="B394" s="1120"/>
      <c r="C394" s="1100"/>
      <c r="D394" s="1100"/>
      <c r="E394" s="1100"/>
      <c r="F394" s="1100"/>
      <c r="G394" s="1100"/>
      <c r="H394" s="1100"/>
      <c r="I394" s="1100"/>
      <c r="J394" s="1100"/>
      <c r="K394" s="1074"/>
      <c r="L394" s="1074"/>
      <c r="M394" s="1074"/>
      <c r="N394" s="1074"/>
      <c r="O394" s="1074"/>
      <c r="P394" s="1074"/>
      <c r="Q394" s="1074"/>
      <c r="R394" s="1074"/>
      <c r="S394" s="1074"/>
      <c r="T394" s="1074"/>
      <c r="U394" s="1074"/>
      <c r="V394" s="1074"/>
      <c r="W394" s="1074"/>
      <c r="X394" s="1074"/>
      <c r="Y394" s="1074"/>
      <c r="Z394" s="1074"/>
      <c r="AA394" s="1074"/>
      <c r="AB394" s="1074"/>
      <c r="AC394" s="1074"/>
      <c r="AD394" s="1074"/>
      <c r="AE394" s="1074"/>
      <c r="AF394" s="1074"/>
      <c r="AG394" s="1074"/>
      <c r="AH394" s="1074"/>
      <c r="AI394" s="1074"/>
      <c r="AJ394" s="1074"/>
      <c r="AK394" s="1074"/>
      <c r="AL394" s="1074"/>
      <c r="AM394" s="1074"/>
      <c r="AN394" s="1074"/>
      <c r="AO394" s="1074"/>
      <c r="AP394" s="1074"/>
      <c r="AQ394" s="1074"/>
      <c r="AR394" s="1074"/>
      <c r="AS394" s="1074"/>
      <c r="AT394" s="1075"/>
    </row>
    <row r="395" ht="14.25" customHeight="1">
      <c r="A395" s="1116"/>
      <c r="B395" s="1120"/>
      <c r="C395" s="1100"/>
      <c r="D395" s="1100"/>
      <c r="E395" s="1100"/>
      <c r="F395" s="1100"/>
      <c r="G395" s="1100"/>
      <c r="H395" s="1100"/>
      <c r="I395" s="1100"/>
      <c r="J395" s="1100"/>
      <c r="K395" s="1074"/>
      <c r="L395" s="1074"/>
      <c r="M395" s="1074"/>
      <c r="N395" s="1074"/>
      <c r="O395" s="1074"/>
      <c r="P395" s="1074"/>
      <c r="Q395" s="1074"/>
      <c r="R395" s="1074"/>
      <c r="S395" s="1074"/>
      <c r="T395" s="1074"/>
      <c r="U395" s="1074"/>
      <c r="V395" s="1074"/>
      <c r="W395" s="1074"/>
      <c r="X395" s="1074"/>
      <c r="Y395" s="1074"/>
      <c r="Z395" s="1074"/>
      <c r="AA395" s="1074"/>
      <c r="AB395" s="1074"/>
      <c r="AC395" s="1074"/>
      <c r="AD395" s="1074"/>
      <c r="AE395" s="1074"/>
      <c r="AF395" s="1074"/>
      <c r="AG395" s="1074"/>
      <c r="AH395" s="1074"/>
      <c r="AI395" s="1074"/>
      <c r="AJ395" s="1074"/>
      <c r="AK395" s="1074"/>
      <c r="AL395" s="1074"/>
      <c r="AM395" s="1074"/>
      <c r="AN395" s="1074"/>
      <c r="AO395" s="1074"/>
      <c r="AP395" s="1074"/>
      <c r="AQ395" s="1074"/>
      <c r="AR395" s="1074"/>
      <c r="AS395" s="1074"/>
      <c r="AT395" s="1075"/>
    </row>
    <row r="396" ht="14.25" customHeight="1">
      <c r="A396" s="1116"/>
      <c r="B396" s="1120"/>
      <c r="C396" s="1100"/>
      <c r="D396" s="1100"/>
      <c r="E396" s="1100"/>
      <c r="F396" s="1100"/>
      <c r="G396" s="1100"/>
      <c r="H396" s="1100"/>
      <c r="I396" s="1100"/>
      <c r="J396" s="1100"/>
      <c r="K396" s="1074"/>
      <c r="L396" s="1074"/>
      <c r="M396" s="1074"/>
      <c r="N396" s="1074"/>
      <c r="O396" s="1074"/>
      <c r="P396" s="1074"/>
      <c r="Q396" s="1074"/>
      <c r="R396" s="1074"/>
      <c r="S396" s="1074"/>
      <c r="T396" s="1074"/>
      <c r="U396" s="1074"/>
      <c r="V396" s="1074"/>
      <c r="W396" s="1074"/>
      <c r="X396" s="1074"/>
      <c r="Y396" s="1074"/>
      <c r="Z396" s="1074"/>
      <c r="AA396" s="1074"/>
      <c r="AB396" s="1074"/>
      <c r="AC396" s="1074"/>
      <c r="AD396" s="1074"/>
      <c r="AE396" s="1074"/>
      <c r="AF396" s="1074"/>
      <c r="AG396" s="1074"/>
      <c r="AH396" s="1074"/>
      <c r="AI396" s="1074"/>
      <c r="AJ396" s="1074"/>
      <c r="AK396" s="1074"/>
      <c r="AL396" s="1074"/>
      <c r="AM396" s="1074"/>
      <c r="AN396" s="1074"/>
      <c r="AO396" s="1074"/>
      <c r="AP396" s="1074"/>
      <c r="AQ396" s="1074"/>
      <c r="AR396" s="1074"/>
      <c r="AS396" s="1074"/>
      <c r="AT396" s="1075"/>
    </row>
    <row r="397" ht="14.25" customHeight="1">
      <c r="A397" s="1116"/>
      <c r="B397" s="1120"/>
      <c r="C397" s="1100"/>
      <c r="D397" s="1100"/>
      <c r="E397" s="1100"/>
      <c r="F397" s="1100"/>
      <c r="G397" s="1100"/>
      <c r="H397" s="1100"/>
      <c r="I397" s="1100"/>
      <c r="J397" s="1100"/>
      <c r="K397" s="1074"/>
      <c r="L397" s="1074"/>
      <c r="M397" s="1074"/>
      <c r="N397" s="1074"/>
      <c r="O397" s="1074"/>
      <c r="P397" s="1074"/>
      <c r="Q397" s="1074"/>
      <c r="R397" s="1074"/>
      <c r="S397" s="1074"/>
      <c r="T397" s="1074"/>
      <c r="U397" s="1074"/>
      <c r="V397" s="1074"/>
      <c r="W397" s="1074"/>
      <c r="X397" s="1074"/>
      <c r="Y397" s="1074"/>
      <c r="Z397" s="1074"/>
      <c r="AA397" s="1074"/>
      <c r="AB397" s="1074"/>
      <c r="AC397" s="1074"/>
      <c r="AD397" s="1074"/>
      <c r="AE397" s="1074"/>
      <c r="AF397" s="1074"/>
      <c r="AG397" s="1074"/>
      <c r="AH397" s="1074"/>
      <c r="AI397" s="1074"/>
      <c r="AJ397" s="1074"/>
      <c r="AK397" s="1074"/>
      <c r="AL397" s="1074"/>
      <c r="AM397" s="1074"/>
      <c r="AN397" s="1074"/>
      <c r="AO397" s="1074"/>
      <c r="AP397" s="1074"/>
      <c r="AQ397" s="1074"/>
      <c r="AR397" s="1074"/>
      <c r="AS397" s="1074"/>
      <c r="AT397" s="1075"/>
    </row>
    <row r="398" ht="14.25" customHeight="1">
      <c r="A398" s="1116"/>
      <c r="B398" s="1120"/>
      <c r="C398" s="1100"/>
      <c r="D398" s="1100"/>
      <c r="E398" s="1100"/>
      <c r="F398" s="1100"/>
      <c r="G398" s="1100"/>
      <c r="H398" s="1100"/>
      <c r="I398" s="1100"/>
      <c r="J398" s="1100"/>
      <c r="K398" s="1074"/>
      <c r="L398" s="1074"/>
      <c r="M398" s="1074"/>
      <c r="N398" s="1074"/>
      <c r="O398" s="1074"/>
      <c r="P398" s="1074"/>
      <c r="Q398" s="1074"/>
      <c r="R398" s="1074"/>
      <c r="S398" s="1074"/>
      <c r="T398" s="1074"/>
      <c r="U398" s="1074"/>
      <c r="V398" s="1074"/>
      <c r="W398" s="1074"/>
      <c r="X398" s="1074"/>
      <c r="Y398" s="1074"/>
      <c r="Z398" s="1074"/>
      <c r="AA398" s="1074"/>
      <c r="AB398" s="1074"/>
      <c r="AC398" s="1074"/>
      <c r="AD398" s="1074"/>
      <c r="AE398" s="1074"/>
      <c r="AF398" s="1074"/>
      <c r="AG398" s="1074"/>
      <c r="AH398" s="1074"/>
      <c r="AI398" s="1074"/>
      <c r="AJ398" s="1074"/>
      <c r="AK398" s="1074"/>
      <c r="AL398" s="1074"/>
      <c r="AM398" s="1074"/>
      <c r="AN398" s="1074"/>
      <c r="AO398" s="1074"/>
      <c r="AP398" s="1074"/>
      <c r="AQ398" s="1074"/>
      <c r="AR398" s="1074"/>
      <c r="AS398" s="1074"/>
      <c r="AT398" s="1075"/>
    </row>
    <row r="399" ht="14.25" customHeight="1">
      <c r="A399" s="1116"/>
      <c r="B399" s="1120"/>
      <c r="C399" s="1100"/>
      <c r="D399" s="1100"/>
      <c r="E399" s="1100"/>
      <c r="F399" s="1100"/>
      <c r="G399" s="1100"/>
      <c r="H399" s="1100"/>
      <c r="I399" s="1100"/>
      <c r="J399" s="1100"/>
      <c r="K399" s="1074"/>
      <c r="L399" s="1074"/>
      <c r="M399" s="1074"/>
      <c r="N399" s="1074"/>
      <c r="O399" s="1074"/>
      <c r="P399" s="1074"/>
      <c r="Q399" s="1074"/>
      <c r="R399" s="1074"/>
      <c r="S399" s="1074"/>
      <c r="T399" s="1074"/>
      <c r="U399" s="1074"/>
      <c r="V399" s="1074"/>
      <c r="W399" s="1074"/>
      <c r="X399" s="1074"/>
      <c r="Y399" s="1074"/>
      <c r="Z399" s="1074"/>
      <c r="AA399" s="1074"/>
      <c r="AB399" s="1074"/>
      <c r="AC399" s="1074"/>
      <c r="AD399" s="1074"/>
      <c r="AE399" s="1074"/>
      <c r="AF399" s="1074"/>
      <c r="AG399" s="1074"/>
      <c r="AH399" s="1074"/>
      <c r="AI399" s="1074"/>
      <c r="AJ399" s="1074"/>
      <c r="AK399" s="1074"/>
      <c r="AL399" s="1074"/>
      <c r="AM399" s="1074"/>
      <c r="AN399" s="1074"/>
      <c r="AO399" s="1074"/>
      <c r="AP399" s="1074"/>
      <c r="AQ399" s="1074"/>
      <c r="AR399" s="1074"/>
      <c r="AS399" s="1074"/>
      <c r="AT399" s="1075"/>
    </row>
    <row r="400" ht="14.25" customHeight="1">
      <c r="A400" s="1116"/>
      <c r="B400" s="1120"/>
      <c r="C400" s="1100"/>
      <c r="D400" s="1100"/>
      <c r="E400" s="1100"/>
      <c r="F400" s="1100"/>
      <c r="G400" s="1100"/>
      <c r="H400" s="1100"/>
      <c r="I400" s="1100"/>
      <c r="J400" s="1100"/>
      <c r="K400" s="1074"/>
      <c r="L400" s="1074"/>
      <c r="M400" s="1074"/>
      <c r="N400" s="1074"/>
      <c r="O400" s="1074"/>
      <c r="P400" s="1074"/>
      <c r="Q400" s="1074"/>
      <c r="R400" s="1074"/>
      <c r="S400" s="1074"/>
      <c r="T400" s="1074"/>
      <c r="U400" s="1074"/>
      <c r="V400" s="1074"/>
      <c r="W400" s="1074"/>
      <c r="X400" s="1074"/>
      <c r="Y400" s="1074"/>
      <c r="Z400" s="1074"/>
      <c r="AA400" s="1074"/>
      <c r="AB400" s="1074"/>
      <c r="AC400" s="1074"/>
      <c r="AD400" s="1074"/>
      <c r="AE400" s="1074"/>
      <c r="AF400" s="1074"/>
      <c r="AG400" s="1074"/>
      <c r="AH400" s="1074"/>
      <c r="AI400" s="1074"/>
      <c r="AJ400" s="1074"/>
      <c r="AK400" s="1074"/>
      <c r="AL400" s="1074"/>
      <c r="AM400" s="1074"/>
      <c r="AN400" s="1074"/>
      <c r="AO400" s="1074"/>
      <c r="AP400" s="1074"/>
      <c r="AQ400" s="1074"/>
      <c r="AR400" s="1074"/>
      <c r="AS400" s="1074"/>
      <c r="AT400" s="1075"/>
    </row>
    <row r="401" ht="14.25" customHeight="1">
      <c r="A401" s="1116"/>
      <c r="B401" s="1120"/>
      <c r="C401" s="1100"/>
      <c r="D401" s="1100"/>
      <c r="E401" s="1100"/>
      <c r="F401" s="1100"/>
      <c r="G401" s="1100"/>
      <c r="H401" s="1100"/>
      <c r="I401" s="1100"/>
      <c r="J401" s="1100"/>
      <c r="K401" s="1074"/>
      <c r="L401" s="1074"/>
      <c r="M401" s="1074"/>
      <c r="N401" s="1074"/>
      <c r="O401" s="1074"/>
      <c r="P401" s="1074"/>
      <c r="Q401" s="1074"/>
      <c r="R401" s="1074"/>
      <c r="S401" s="1074"/>
      <c r="T401" s="1074"/>
      <c r="U401" s="1074"/>
      <c r="V401" s="1074"/>
      <c r="W401" s="1074"/>
      <c r="X401" s="1074"/>
      <c r="Y401" s="1074"/>
      <c r="Z401" s="1074"/>
      <c r="AA401" s="1074"/>
      <c r="AB401" s="1074"/>
      <c r="AC401" s="1074"/>
      <c r="AD401" s="1074"/>
      <c r="AE401" s="1074"/>
      <c r="AF401" s="1074"/>
      <c r="AG401" s="1074"/>
      <c r="AH401" s="1074"/>
      <c r="AI401" s="1074"/>
      <c r="AJ401" s="1074"/>
      <c r="AK401" s="1074"/>
      <c r="AL401" s="1074"/>
      <c r="AM401" s="1074"/>
      <c r="AN401" s="1074"/>
      <c r="AO401" s="1074"/>
      <c r="AP401" s="1074"/>
      <c r="AQ401" s="1074"/>
      <c r="AR401" s="1074"/>
      <c r="AS401" s="1074"/>
      <c r="AT401" s="1075"/>
    </row>
    <row r="402" ht="14.25" customHeight="1">
      <c r="A402" s="1116"/>
      <c r="B402" s="1120"/>
      <c r="C402" s="1100"/>
      <c r="D402" s="1100"/>
      <c r="E402" s="1100"/>
      <c r="F402" s="1100"/>
      <c r="G402" s="1100"/>
      <c r="H402" s="1100"/>
      <c r="I402" s="1100"/>
      <c r="J402" s="1100"/>
      <c r="K402" s="1074"/>
      <c r="L402" s="1074"/>
      <c r="M402" s="1074"/>
      <c r="N402" s="1074"/>
      <c r="O402" s="1074"/>
      <c r="P402" s="1074"/>
      <c r="Q402" s="1074"/>
      <c r="R402" s="1074"/>
      <c r="S402" s="1074"/>
      <c r="T402" s="1074"/>
      <c r="U402" s="1074"/>
      <c r="V402" s="1074"/>
      <c r="W402" s="1074"/>
      <c r="X402" s="1074"/>
      <c r="Y402" s="1074"/>
      <c r="Z402" s="1074"/>
      <c r="AA402" s="1074"/>
      <c r="AB402" s="1074"/>
      <c r="AC402" s="1074"/>
      <c r="AD402" s="1074"/>
      <c r="AE402" s="1074"/>
      <c r="AF402" s="1074"/>
      <c r="AG402" s="1074"/>
      <c r="AH402" s="1074"/>
      <c r="AI402" s="1074"/>
      <c r="AJ402" s="1074"/>
      <c r="AK402" s="1074"/>
      <c r="AL402" s="1074"/>
      <c r="AM402" s="1074"/>
      <c r="AN402" s="1074"/>
      <c r="AO402" s="1074"/>
      <c r="AP402" s="1074"/>
      <c r="AQ402" s="1074"/>
      <c r="AR402" s="1074"/>
      <c r="AS402" s="1074"/>
      <c r="AT402" s="1075"/>
    </row>
    <row r="403" ht="14.25" customHeight="1">
      <c r="A403" s="1116"/>
      <c r="B403" s="1120"/>
      <c r="C403" s="1100"/>
      <c r="D403" s="1100"/>
      <c r="E403" s="1100"/>
      <c r="F403" s="1100"/>
      <c r="G403" s="1100"/>
      <c r="H403" s="1100"/>
      <c r="I403" s="1100"/>
      <c r="J403" s="1100"/>
      <c r="K403" s="1074"/>
      <c r="L403" s="1074"/>
      <c r="M403" s="1074"/>
      <c r="N403" s="1074"/>
      <c r="O403" s="1074"/>
      <c r="P403" s="1074"/>
      <c r="Q403" s="1074"/>
      <c r="R403" s="1074"/>
      <c r="S403" s="1074"/>
      <c r="T403" s="1074"/>
      <c r="U403" s="1074"/>
      <c r="V403" s="1074"/>
      <c r="W403" s="1074"/>
      <c r="X403" s="1074"/>
      <c r="Y403" s="1074"/>
      <c r="Z403" s="1074"/>
      <c r="AA403" s="1074"/>
      <c r="AB403" s="1074"/>
      <c r="AC403" s="1074"/>
      <c r="AD403" s="1074"/>
      <c r="AE403" s="1074"/>
      <c r="AF403" s="1074"/>
      <c r="AG403" s="1074"/>
      <c r="AH403" s="1074"/>
      <c r="AI403" s="1074"/>
      <c r="AJ403" s="1074"/>
      <c r="AK403" s="1074"/>
      <c r="AL403" s="1074"/>
      <c r="AM403" s="1074"/>
      <c r="AN403" s="1074"/>
      <c r="AO403" s="1074"/>
      <c r="AP403" s="1074"/>
      <c r="AQ403" s="1074"/>
      <c r="AR403" s="1074"/>
      <c r="AS403" s="1074"/>
      <c r="AT403" s="1075"/>
    </row>
    <row r="404" ht="14.25" customHeight="1">
      <c r="A404" s="1116"/>
      <c r="B404" s="1120"/>
      <c r="C404" s="1100"/>
      <c r="D404" s="1100"/>
      <c r="E404" s="1100"/>
      <c r="F404" s="1100"/>
      <c r="G404" s="1100"/>
      <c r="H404" s="1100"/>
      <c r="I404" s="1100"/>
      <c r="J404" s="1100"/>
      <c r="K404" s="1074"/>
      <c r="L404" s="1074"/>
      <c r="M404" s="1074"/>
      <c r="N404" s="1074"/>
      <c r="O404" s="1074"/>
      <c r="P404" s="1074"/>
      <c r="Q404" s="1074"/>
      <c r="R404" s="1074"/>
      <c r="S404" s="1074"/>
      <c r="T404" s="1074"/>
      <c r="U404" s="1074"/>
      <c r="V404" s="1074"/>
      <c r="W404" s="1074"/>
      <c r="X404" s="1074"/>
      <c r="Y404" s="1074"/>
      <c r="Z404" s="1074"/>
      <c r="AA404" s="1074"/>
      <c r="AB404" s="1074"/>
      <c r="AC404" s="1074"/>
      <c r="AD404" s="1074"/>
      <c r="AE404" s="1074"/>
      <c r="AF404" s="1074"/>
      <c r="AG404" s="1074"/>
      <c r="AH404" s="1074"/>
      <c r="AI404" s="1074"/>
      <c r="AJ404" s="1074"/>
      <c r="AK404" s="1074"/>
      <c r="AL404" s="1074"/>
      <c r="AM404" s="1074"/>
      <c r="AN404" s="1074"/>
      <c r="AO404" s="1074"/>
      <c r="AP404" s="1074"/>
      <c r="AQ404" s="1074"/>
      <c r="AR404" s="1074"/>
      <c r="AS404" s="1074"/>
      <c r="AT404" s="1075"/>
    </row>
    <row r="405" ht="14.25" customHeight="1">
      <c r="A405" s="1116"/>
      <c r="B405" s="1120"/>
      <c r="C405" s="1100"/>
      <c r="D405" s="1100"/>
      <c r="E405" s="1100"/>
      <c r="F405" s="1100"/>
      <c r="G405" s="1100"/>
      <c r="H405" s="1100"/>
      <c r="I405" s="1100"/>
      <c r="J405" s="1100"/>
      <c r="K405" s="1074"/>
      <c r="L405" s="1074"/>
      <c r="M405" s="1074"/>
      <c r="N405" s="1074"/>
      <c r="O405" s="1074"/>
      <c r="P405" s="1074"/>
      <c r="Q405" s="1074"/>
      <c r="R405" s="1074"/>
      <c r="S405" s="1074"/>
      <c r="T405" s="1074"/>
      <c r="U405" s="1074"/>
      <c r="V405" s="1074"/>
      <c r="W405" s="1074"/>
      <c r="X405" s="1074"/>
      <c r="Y405" s="1074"/>
      <c r="Z405" s="1074"/>
      <c r="AA405" s="1074"/>
      <c r="AB405" s="1074"/>
      <c r="AC405" s="1074"/>
      <c r="AD405" s="1074"/>
      <c r="AE405" s="1074"/>
      <c r="AF405" s="1074"/>
      <c r="AG405" s="1074"/>
      <c r="AH405" s="1074"/>
      <c r="AI405" s="1074"/>
      <c r="AJ405" s="1074"/>
      <c r="AK405" s="1074"/>
      <c r="AL405" s="1074"/>
      <c r="AM405" s="1074"/>
      <c r="AN405" s="1074"/>
      <c r="AO405" s="1074"/>
      <c r="AP405" s="1074"/>
      <c r="AQ405" s="1074"/>
      <c r="AR405" s="1074"/>
      <c r="AS405" s="1074"/>
      <c r="AT405" s="1075"/>
    </row>
    <row r="406" ht="14.25" customHeight="1">
      <c r="A406" s="1116"/>
      <c r="B406" s="1120"/>
      <c r="C406" s="1100"/>
      <c r="D406" s="1100"/>
      <c r="E406" s="1100"/>
      <c r="F406" s="1100"/>
      <c r="G406" s="1100"/>
      <c r="H406" s="1100"/>
      <c r="I406" s="1100"/>
      <c r="J406" s="1100"/>
      <c r="K406" s="1074"/>
      <c r="L406" s="1074"/>
      <c r="M406" s="1074"/>
      <c r="N406" s="1074"/>
      <c r="O406" s="1074"/>
      <c r="P406" s="1074"/>
      <c r="Q406" s="1074"/>
      <c r="R406" s="1074"/>
      <c r="S406" s="1074"/>
      <c r="T406" s="1074"/>
      <c r="U406" s="1074"/>
      <c r="V406" s="1074"/>
      <c r="W406" s="1074"/>
      <c r="X406" s="1074"/>
      <c r="Y406" s="1074"/>
      <c r="Z406" s="1074"/>
      <c r="AA406" s="1074"/>
      <c r="AB406" s="1074"/>
      <c r="AC406" s="1074"/>
      <c r="AD406" s="1074"/>
      <c r="AE406" s="1074"/>
      <c r="AF406" s="1074"/>
      <c r="AG406" s="1074"/>
      <c r="AH406" s="1074"/>
      <c r="AI406" s="1074"/>
      <c r="AJ406" s="1074"/>
      <c r="AK406" s="1074"/>
      <c r="AL406" s="1074"/>
      <c r="AM406" s="1074"/>
      <c r="AN406" s="1074"/>
      <c r="AO406" s="1074"/>
      <c r="AP406" s="1074"/>
      <c r="AQ406" s="1074"/>
      <c r="AR406" s="1074"/>
      <c r="AS406" s="1074"/>
      <c r="AT406" s="1075"/>
    </row>
    <row r="407" ht="14.25" customHeight="1">
      <c r="A407" s="1116"/>
      <c r="B407" s="1120"/>
      <c r="C407" s="1100"/>
      <c r="D407" s="1100"/>
      <c r="E407" s="1100"/>
      <c r="F407" s="1100"/>
      <c r="G407" s="1100"/>
      <c r="H407" s="1100"/>
      <c r="I407" s="1100"/>
      <c r="J407" s="1100"/>
      <c r="K407" s="1074"/>
      <c r="L407" s="1074"/>
      <c r="M407" s="1074"/>
      <c r="N407" s="1074"/>
      <c r="O407" s="1074"/>
      <c r="P407" s="1074"/>
      <c r="Q407" s="1074"/>
      <c r="R407" s="1074"/>
      <c r="S407" s="1074"/>
      <c r="T407" s="1074"/>
      <c r="U407" s="1074"/>
      <c r="V407" s="1074"/>
      <c r="W407" s="1074"/>
      <c r="X407" s="1074"/>
      <c r="Y407" s="1074"/>
      <c r="Z407" s="1074"/>
      <c r="AA407" s="1074"/>
      <c r="AB407" s="1074"/>
      <c r="AC407" s="1074"/>
      <c r="AD407" s="1074"/>
      <c r="AE407" s="1074"/>
      <c r="AF407" s="1074"/>
      <c r="AG407" s="1074"/>
      <c r="AH407" s="1074"/>
      <c r="AI407" s="1074"/>
      <c r="AJ407" s="1074"/>
      <c r="AK407" s="1074"/>
      <c r="AL407" s="1074"/>
      <c r="AM407" s="1074"/>
      <c r="AN407" s="1074"/>
      <c r="AO407" s="1074"/>
      <c r="AP407" s="1074"/>
      <c r="AQ407" s="1074"/>
      <c r="AR407" s="1074"/>
      <c r="AS407" s="1074"/>
      <c r="AT407" s="1075"/>
    </row>
    <row r="408" ht="14.25" customHeight="1">
      <c r="A408" s="1116"/>
      <c r="B408" s="1120"/>
      <c r="C408" s="1100"/>
      <c r="D408" s="1100"/>
      <c r="E408" s="1100"/>
      <c r="F408" s="1100"/>
      <c r="G408" s="1100"/>
      <c r="H408" s="1100"/>
      <c r="I408" s="1100"/>
      <c r="J408" s="1100"/>
      <c r="K408" s="1074"/>
      <c r="L408" s="1074"/>
      <c r="M408" s="1074"/>
      <c r="N408" s="1074"/>
      <c r="O408" s="1074"/>
      <c r="P408" s="1074"/>
      <c r="Q408" s="1074"/>
      <c r="R408" s="1074"/>
      <c r="S408" s="1074"/>
      <c r="T408" s="1074"/>
      <c r="U408" s="1074"/>
      <c r="V408" s="1074"/>
      <c r="W408" s="1074"/>
      <c r="X408" s="1074"/>
      <c r="Y408" s="1074"/>
      <c r="Z408" s="1074"/>
      <c r="AA408" s="1074"/>
      <c r="AB408" s="1074"/>
      <c r="AC408" s="1074"/>
      <c r="AD408" s="1074"/>
      <c r="AE408" s="1074"/>
      <c r="AF408" s="1074"/>
      <c r="AG408" s="1074"/>
      <c r="AH408" s="1074"/>
      <c r="AI408" s="1074"/>
      <c r="AJ408" s="1074"/>
      <c r="AK408" s="1074"/>
      <c r="AL408" s="1074"/>
      <c r="AM408" s="1074"/>
      <c r="AN408" s="1074"/>
      <c r="AO408" s="1074"/>
      <c r="AP408" s="1074"/>
      <c r="AQ408" s="1074"/>
      <c r="AR408" s="1074"/>
      <c r="AS408" s="1074"/>
      <c r="AT408" s="1075"/>
    </row>
    <row r="409" ht="14.25" customHeight="1">
      <c r="A409" s="1116"/>
      <c r="B409" s="1120"/>
      <c r="C409" s="1100"/>
      <c r="D409" s="1100"/>
      <c r="E409" s="1100"/>
      <c r="F409" s="1100"/>
      <c r="G409" s="1100"/>
      <c r="H409" s="1100"/>
      <c r="I409" s="1100"/>
      <c r="J409" s="1100"/>
      <c r="K409" s="1074"/>
      <c r="L409" s="1074"/>
      <c r="M409" s="1074"/>
      <c r="N409" s="1074"/>
      <c r="O409" s="1074"/>
      <c r="P409" s="1074"/>
      <c r="Q409" s="1074"/>
      <c r="R409" s="1074"/>
      <c r="S409" s="1074"/>
      <c r="T409" s="1074"/>
      <c r="U409" s="1074"/>
      <c r="V409" s="1074"/>
      <c r="W409" s="1074"/>
      <c r="X409" s="1074"/>
      <c r="Y409" s="1074"/>
      <c r="Z409" s="1074"/>
      <c r="AA409" s="1074"/>
      <c r="AB409" s="1074"/>
      <c r="AC409" s="1074"/>
      <c r="AD409" s="1074"/>
      <c r="AE409" s="1074"/>
      <c r="AF409" s="1074"/>
      <c r="AG409" s="1074"/>
      <c r="AH409" s="1074"/>
      <c r="AI409" s="1074"/>
      <c r="AJ409" s="1074"/>
      <c r="AK409" s="1074"/>
      <c r="AL409" s="1074"/>
      <c r="AM409" s="1074"/>
      <c r="AN409" s="1074"/>
      <c r="AO409" s="1074"/>
      <c r="AP409" s="1074"/>
      <c r="AQ409" s="1074"/>
      <c r="AR409" s="1074"/>
      <c r="AS409" s="1074"/>
      <c r="AT409" s="1075"/>
    </row>
    <row r="410" ht="14.25" customHeight="1">
      <c r="A410" s="1116"/>
      <c r="B410" s="1120"/>
      <c r="C410" s="1100"/>
      <c r="D410" s="1100"/>
      <c r="E410" s="1100"/>
      <c r="F410" s="1100"/>
      <c r="G410" s="1100"/>
      <c r="H410" s="1100"/>
      <c r="I410" s="1100"/>
      <c r="J410" s="1100"/>
      <c r="K410" s="1074"/>
      <c r="L410" s="1074"/>
      <c r="M410" s="1074"/>
      <c r="N410" s="1074"/>
      <c r="O410" s="1074"/>
      <c r="P410" s="1074"/>
      <c r="Q410" s="1074"/>
      <c r="R410" s="1074"/>
      <c r="S410" s="1074"/>
      <c r="T410" s="1074"/>
      <c r="U410" s="1074"/>
      <c r="V410" s="1074"/>
      <c r="W410" s="1074"/>
      <c r="X410" s="1074"/>
      <c r="Y410" s="1074"/>
      <c r="Z410" s="1074"/>
      <c r="AA410" s="1074"/>
      <c r="AB410" s="1074"/>
      <c r="AC410" s="1074"/>
      <c r="AD410" s="1074"/>
      <c r="AE410" s="1074"/>
      <c r="AF410" s="1074"/>
      <c r="AG410" s="1074"/>
      <c r="AH410" s="1074"/>
      <c r="AI410" s="1074"/>
      <c r="AJ410" s="1074"/>
      <c r="AK410" s="1074"/>
      <c r="AL410" s="1074"/>
      <c r="AM410" s="1074"/>
      <c r="AN410" s="1074"/>
      <c r="AO410" s="1074"/>
      <c r="AP410" s="1074"/>
      <c r="AQ410" s="1074"/>
      <c r="AR410" s="1074"/>
      <c r="AS410" s="1074"/>
      <c r="AT410" s="1075"/>
    </row>
    <row r="411" ht="14.25" customHeight="1">
      <c r="A411" s="1116"/>
      <c r="B411" s="1120"/>
      <c r="C411" s="1100"/>
      <c r="D411" s="1100"/>
      <c r="E411" s="1100"/>
      <c r="F411" s="1100"/>
      <c r="G411" s="1100"/>
      <c r="H411" s="1100"/>
      <c r="I411" s="1100"/>
      <c r="J411" s="1100"/>
      <c r="K411" s="1074"/>
      <c r="L411" s="1074"/>
      <c r="M411" s="1074"/>
      <c r="N411" s="1074"/>
      <c r="O411" s="1074"/>
      <c r="P411" s="1074"/>
      <c r="Q411" s="1074"/>
      <c r="R411" s="1074"/>
      <c r="S411" s="1074"/>
      <c r="T411" s="1074"/>
      <c r="U411" s="1074"/>
      <c r="V411" s="1074"/>
      <c r="W411" s="1074"/>
      <c r="X411" s="1074"/>
      <c r="Y411" s="1074"/>
      <c r="Z411" s="1074"/>
      <c r="AA411" s="1074"/>
      <c r="AB411" s="1074"/>
      <c r="AC411" s="1074"/>
      <c r="AD411" s="1074"/>
      <c r="AE411" s="1074"/>
      <c r="AF411" s="1074"/>
      <c r="AG411" s="1074"/>
      <c r="AH411" s="1074"/>
      <c r="AI411" s="1074"/>
      <c r="AJ411" s="1074"/>
      <c r="AK411" s="1074"/>
      <c r="AL411" s="1074"/>
      <c r="AM411" s="1074"/>
      <c r="AN411" s="1074"/>
      <c r="AO411" s="1074"/>
      <c r="AP411" s="1074"/>
      <c r="AQ411" s="1074"/>
      <c r="AR411" s="1074"/>
      <c r="AS411" s="1074"/>
      <c r="AT411" s="1075"/>
    </row>
    <row r="412" ht="14.25" customHeight="1">
      <c r="A412" s="1116"/>
      <c r="B412" s="1120"/>
      <c r="C412" s="1100"/>
      <c r="D412" s="1100"/>
      <c r="E412" s="1100"/>
      <c r="F412" s="1100"/>
      <c r="G412" s="1100"/>
      <c r="H412" s="1100"/>
      <c r="I412" s="1100"/>
      <c r="J412" s="1100"/>
      <c r="K412" s="1074"/>
      <c r="L412" s="1074"/>
      <c r="M412" s="1074"/>
      <c r="N412" s="1074"/>
      <c r="O412" s="1074"/>
      <c r="P412" s="1074"/>
      <c r="Q412" s="1074"/>
      <c r="R412" s="1074"/>
      <c r="S412" s="1074"/>
      <c r="T412" s="1074"/>
      <c r="U412" s="1074"/>
      <c r="V412" s="1074"/>
      <c r="W412" s="1074"/>
      <c r="X412" s="1074"/>
      <c r="Y412" s="1074"/>
      <c r="Z412" s="1074"/>
      <c r="AA412" s="1074"/>
      <c r="AB412" s="1074"/>
      <c r="AC412" s="1074"/>
      <c r="AD412" s="1074"/>
      <c r="AE412" s="1074"/>
      <c r="AF412" s="1074"/>
      <c r="AG412" s="1074"/>
      <c r="AH412" s="1074"/>
      <c r="AI412" s="1074"/>
      <c r="AJ412" s="1074"/>
      <c r="AK412" s="1074"/>
      <c r="AL412" s="1074"/>
      <c r="AM412" s="1074"/>
      <c r="AN412" s="1074"/>
      <c r="AO412" s="1074"/>
      <c r="AP412" s="1074"/>
      <c r="AQ412" s="1074"/>
      <c r="AR412" s="1074"/>
      <c r="AS412" s="1074"/>
      <c r="AT412" s="1075"/>
    </row>
    <row r="413" ht="14.25" customHeight="1">
      <c r="A413" s="1116"/>
      <c r="B413" s="1120"/>
      <c r="C413" s="1100"/>
      <c r="D413" s="1100"/>
      <c r="E413" s="1100"/>
      <c r="F413" s="1100"/>
      <c r="G413" s="1100"/>
      <c r="H413" s="1100"/>
      <c r="I413" s="1100"/>
      <c r="J413" s="1100"/>
      <c r="K413" s="1074"/>
      <c r="L413" s="1074"/>
      <c r="M413" s="1074"/>
      <c r="N413" s="1074"/>
      <c r="O413" s="1074"/>
      <c r="P413" s="1074"/>
      <c r="Q413" s="1074"/>
      <c r="R413" s="1074"/>
      <c r="S413" s="1074"/>
      <c r="T413" s="1074"/>
      <c r="U413" s="1074"/>
      <c r="V413" s="1074"/>
      <c r="W413" s="1074"/>
      <c r="X413" s="1074"/>
      <c r="Y413" s="1074"/>
      <c r="Z413" s="1074"/>
      <c r="AA413" s="1074"/>
      <c r="AB413" s="1074"/>
      <c r="AC413" s="1074"/>
      <c r="AD413" s="1074"/>
      <c r="AE413" s="1074"/>
      <c r="AF413" s="1074"/>
      <c r="AG413" s="1074"/>
      <c r="AH413" s="1074"/>
      <c r="AI413" s="1074"/>
      <c r="AJ413" s="1074"/>
      <c r="AK413" s="1074"/>
      <c r="AL413" s="1074"/>
      <c r="AM413" s="1074"/>
      <c r="AN413" s="1074"/>
      <c r="AO413" s="1074"/>
      <c r="AP413" s="1074"/>
      <c r="AQ413" s="1074"/>
      <c r="AR413" s="1074"/>
      <c r="AS413" s="1074"/>
      <c r="AT413" s="1075"/>
    </row>
    <row r="414" ht="14.25" customHeight="1">
      <c r="A414" s="1116"/>
      <c r="B414" s="1120"/>
      <c r="C414" s="1100"/>
      <c r="D414" s="1100"/>
      <c r="E414" s="1100"/>
      <c r="F414" s="1100"/>
      <c r="G414" s="1100"/>
      <c r="H414" s="1100"/>
      <c r="I414" s="1100"/>
      <c r="J414" s="1100"/>
      <c r="K414" s="1074"/>
      <c r="L414" s="1074"/>
      <c r="M414" s="1074"/>
      <c r="N414" s="1074"/>
      <c r="O414" s="1074"/>
      <c r="P414" s="1074"/>
      <c r="Q414" s="1074"/>
      <c r="R414" s="1074"/>
      <c r="S414" s="1074"/>
      <c r="T414" s="1074"/>
      <c r="U414" s="1074"/>
      <c r="V414" s="1074"/>
      <c r="W414" s="1074"/>
      <c r="X414" s="1074"/>
      <c r="Y414" s="1074"/>
      <c r="Z414" s="1074"/>
      <c r="AA414" s="1074"/>
      <c r="AB414" s="1074"/>
      <c r="AC414" s="1074"/>
      <c r="AD414" s="1074"/>
      <c r="AE414" s="1074"/>
      <c r="AF414" s="1074"/>
      <c r="AG414" s="1074"/>
      <c r="AH414" s="1074"/>
      <c r="AI414" s="1074"/>
      <c r="AJ414" s="1074"/>
      <c r="AK414" s="1074"/>
      <c r="AL414" s="1074"/>
      <c r="AM414" s="1074"/>
      <c r="AN414" s="1074"/>
      <c r="AO414" s="1074"/>
      <c r="AP414" s="1074"/>
      <c r="AQ414" s="1074"/>
      <c r="AR414" s="1074"/>
      <c r="AS414" s="1074"/>
      <c r="AT414" s="1075"/>
    </row>
    <row r="415" ht="14.25" customHeight="1">
      <c r="A415" s="1116"/>
      <c r="B415" s="1120"/>
      <c r="C415" s="1100"/>
      <c r="D415" s="1100"/>
      <c r="E415" s="1100"/>
      <c r="F415" s="1100"/>
      <c r="G415" s="1100"/>
      <c r="H415" s="1100"/>
      <c r="I415" s="1100"/>
      <c r="J415" s="1100"/>
      <c r="K415" s="1074"/>
      <c r="L415" s="1074"/>
      <c r="M415" s="1074"/>
      <c r="N415" s="1074"/>
      <c r="O415" s="1074"/>
      <c r="P415" s="1074"/>
      <c r="Q415" s="1074"/>
      <c r="R415" s="1074"/>
      <c r="S415" s="1074"/>
      <c r="T415" s="1074"/>
      <c r="U415" s="1074"/>
      <c r="V415" s="1074"/>
      <c r="W415" s="1074"/>
      <c r="X415" s="1074"/>
      <c r="Y415" s="1074"/>
      <c r="Z415" s="1074"/>
      <c r="AA415" s="1074"/>
      <c r="AB415" s="1074"/>
      <c r="AC415" s="1074"/>
      <c r="AD415" s="1074"/>
      <c r="AE415" s="1074"/>
      <c r="AF415" s="1074"/>
      <c r="AG415" s="1074"/>
      <c r="AH415" s="1074"/>
      <c r="AI415" s="1074"/>
      <c r="AJ415" s="1074"/>
      <c r="AK415" s="1074"/>
      <c r="AL415" s="1074"/>
      <c r="AM415" s="1074"/>
      <c r="AN415" s="1074"/>
      <c r="AO415" s="1074"/>
      <c r="AP415" s="1074"/>
      <c r="AQ415" s="1074"/>
      <c r="AR415" s="1074"/>
      <c r="AS415" s="1074"/>
      <c r="AT415" s="1075"/>
    </row>
    <row r="416" ht="14.25" customHeight="1">
      <c r="A416" s="1116"/>
      <c r="B416" s="1120"/>
      <c r="C416" s="1100"/>
      <c r="D416" s="1100"/>
      <c r="E416" s="1100"/>
      <c r="F416" s="1100"/>
      <c r="G416" s="1100"/>
      <c r="H416" s="1100"/>
      <c r="I416" s="1100"/>
      <c r="J416" s="1100"/>
      <c r="K416" s="1074"/>
      <c r="L416" s="1074"/>
      <c r="M416" s="1074"/>
      <c r="N416" s="1074"/>
      <c r="O416" s="1074"/>
      <c r="P416" s="1074"/>
      <c r="Q416" s="1074"/>
      <c r="R416" s="1074"/>
      <c r="S416" s="1074"/>
      <c r="T416" s="1074"/>
      <c r="U416" s="1074"/>
      <c r="V416" s="1074"/>
      <c r="W416" s="1074"/>
      <c r="X416" s="1074"/>
      <c r="Y416" s="1074"/>
      <c r="Z416" s="1074"/>
      <c r="AA416" s="1074"/>
      <c r="AB416" s="1074"/>
      <c r="AC416" s="1074"/>
      <c r="AD416" s="1074"/>
      <c r="AE416" s="1074"/>
      <c r="AF416" s="1074"/>
      <c r="AG416" s="1074"/>
      <c r="AH416" s="1074"/>
      <c r="AI416" s="1074"/>
      <c r="AJ416" s="1074"/>
      <c r="AK416" s="1074"/>
      <c r="AL416" s="1074"/>
      <c r="AM416" s="1074"/>
      <c r="AN416" s="1074"/>
      <c r="AO416" s="1074"/>
      <c r="AP416" s="1074"/>
      <c r="AQ416" s="1074"/>
      <c r="AR416" s="1074"/>
      <c r="AS416" s="1074"/>
      <c r="AT416" s="1075"/>
    </row>
    <row r="417" ht="14.25" customHeight="1">
      <c r="A417" s="1116"/>
      <c r="B417" s="1120"/>
      <c r="C417" s="1100"/>
      <c r="D417" s="1100"/>
      <c r="E417" s="1100"/>
      <c r="F417" s="1100"/>
      <c r="G417" s="1100"/>
      <c r="H417" s="1100"/>
      <c r="I417" s="1100"/>
      <c r="J417" s="1100"/>
      <c r="K417" s="1074"/>
      <c r="L417" s="1074"/>
      <c r="M417" s="1074"/>
      <c r="N417" s="1074"/>
      <c r="O417" s="1074"/>
      <c r="P417" s="1074"/>
      <c r="Q417" s="1074"/>
      <c r="R417" s="1074"/>
      <c r="S417" s="1074"/>
      <c r="T417" s="1074"/>
      <c r="U417" s="1074"/>
      <c r="V417" s="1074"/>
      <c r="W417" s="1074"/>
      <c r="X417" s="1074"/>
      <c r="Y417" s="1074"/>
      <c r="Z417" s="1074"/>
      <c r="AA417" s="1074"/>
      <c r="AB417" s="1074"/>
      <c r="AC417" s="1074"/>
      <c r="AD417" s="1074"/>
      <c r="AE417" s="1074"/>
      <c r="AF417" s="1074"/>
      <c r="AG417" s="1074"/>
      <c r="AH417" s="1074"/>
      <c r="AI417" s="1074"/>
      <c r="AJ417" s="1074"/>
      <c r="AK417" s="1074"/>
      <c r="AL417" s="1074"/>
      <c r="AM417" s="1074"/>
      <c r="AN417" s="1074"/>
      <c r="AO417" s="1074"/>
      <c r="AP417" s="1074"/>
      <c r="AQ417" s="1074"/>
      <c r="AR417" s="1074"/>
      <c r="AS417" s="1074"/>
      <c r="AT417" s="1075"/>
    </row>
    <row r="418" ht="14.25" customHeight="1">
      <c r="A418" s="1116"/>
      <c r="B418" s="1120"/>
      <c r="C418" s="1100"/>
      <c r="D418" s="1100"/>
      <c r="E418" s="1100"/>
      <c r="F418" s="1100"/>
      <c r="G418" s="1100"/>
      <c r="H418" s="1100"/>
      <c r="I418" s="1100"/>
      <c r="J418" s="1100"/>
      <c r="K418" s="1074"/>
      <c r="L418" s="1074"/>
      <c r="M418" s="1074"/>
      <c r="N418" s="1074"/>
      <c r="O418" s="1074"/>
      <c r="P418" s="1074"/>
      <c r="Q418" s="1074"/>
      <c r="R418" s="1074"/>
      <c r="S418" s="1074"/>
      <c r="T418" s="1074"/>
      <c r="U418" s="1074"/>
      <c r="V418" s="1074"/>
      <c r="W418" s="1074"/>
      <c r="X418" s="1074"/>
      <c r="Y418" s="1074"/>
      <c r="Z418" s="1074"/>
      <c r="AA418" s="1074"/>
      <c r="AB418" s="1074"/>
      <c r="AC418" s="1074"/>
      <c r="AD418" s="1074"/>
      <c r="AE418" s="1074"/>
      <c r="AF418" s="1074"/>
      <c r="AG418" s="1074"/>
      <c r="AH418" s="1074"/>
      <c r="AI418" s="1074"/>
      <c r="AJ418" s="1074"/>
      <c r="AK418" s="1074"/>
      <c r="AL418" s="1074"/>
      <c r="AM418" s="1074"/>
      <c r="AN418" s="1074"/>
      <c r="AO418" s="1074"/>
      <c r="AP418" s="1074"/>
      <c r="AQ418" s="1074"/>
      <c r="AR418" s="1074"/>
      <c r="AS418" s="1074"/>
      <c r="AT418" s="1075"/>
    </row>
    <row r="419" ht="14.25" customHeight="1">
      <c r="A419" s="1116"/>
      <c r="B419" s="1120"/>
      <c r="C419" s="1100"/>
      <c r="D419" s="1100"/>
      <c r="E419" s="1100"/>
      <c r="F419" s="1100"/>
      <c r="G419" s="1100"/>
      <c r="H419" s="1100"/>
      <c r="I419" s="1100"/>
      <c r="J419" s="1100"/>
      <c r="K419" s="1074"/>
      <c r="L419" s="1074"/>
      <c r="M419" s="1074"/>
      <c r="N419" s="1074"/>
      <c r="O419" s="1074"/>
      <c r="P419" s="1074"/>
      <c r="Q419" s="1074"/>
      <c r="R419" s="1074"/>
      <c r="S419" s="1074"/>
      <c r="T419" s="1074"/>
      <c r="U419" s="1074"/>
      <c r="V419" s="1074"/>
      <c r="W419" s="1074"/>
      <c r="X419" s="1074"/>
      <c r="Y419" s="1074"/>
      <c r="Z419" s="1074"/>
      <c r="AA419" s="1074"/>
      <c r="AB419" s="1074"/>
      <c r="AC419" s="1074"/>
      <c r="AD419" s="1074"/>
      <c r="AE419" s="1074"/>
      <c r="AF419" s="1074"/>
      <c r="AG419" s="1074"/>
      <c r="AH419" s="1074"/>
      <c r="AI419" s="1074"/>
      <c r="AJ419" s="1074"/>
      <c r="AK419" s="1074"/>
      <c r="AL419" s="1074"/>
      <c r="AM419" s="1074"/>
      <c r="AN419" s="1074"/>
      <c r="AO419" s="1074"/>
      <c r="AP419" s="1074"/>
      <c r="AQ419" s="1074"/>
      <c r="AR419" s="1074"/>
      <c r="AS419" s="1074"/>
      <c r="AT419" s="1075"/>
    </row>
    <row r="420" ht="14.25" customHeight="1">
      <c r="A420" s="1116"/>
      <c r="B420" s="1120"/>
      <c r="C420" s="1100"/>
      <c r="D420" s="1100"/>
      <c r="E420" s="1100"/>
      <c r="F420" s="1100"/>
      <c r="G420" s="1100"/>
      <c r="H420" s="1100"/>
      <c r="I420" s="1100"/>
      <c r="J420" s="1100"/>
      <c r="K420" s="1074"/>
      <c r="L420" s="1074"/>
      <c r="M420" s="1074"/>
      <c r="N420" s="1074"/>
      <c r="O420" s="1074"/>
      <c r="P420" s="1074"/>
      <c r="Q420" s="1074"/>
      <c r="R420" s="1074"/>
      <c r="S420" s="1074"/>
      <c r="T420" s="1074"/>
      <c r="U420" s="1074"/>
      <c r="V420" s="1074"/>
      <c r="W420" s="1074"/>
      <c r="X420" s="1074"/>
      <c r="Y420" s="1074"/>
      <c r="Z420" s="1074"/>
      <c r="AA420" s="1074"/>
      <c r="AB420" s="1074"/>
      <c r="AC420" s="1074"/>
      <c r="AD420" s="1074"/>
      <c r="AE420" s="1074"/>
      <c r="AF420" s="1074"/>
      <c r="AG420" s="1074"/>
      <c r="AH420" s="1074"/>
      <c r="AI420" s="1074"/>
      <c r="AJ420" s="1074"/>
      <c r="AK420" s="1074"/>
      <c r="AL420" s="1074"/>
      <c r="AM420" s="1074"/>
      <c r="AN420" s="1074"/>
      <c r="AO420" s="1074"/>
      <c r="AP420" s="1074"/>
      <c r="AQ420" s="1074"/>
      <c r="AR420" s="1074"/>
      <c r="AS420" s="1074"/>
      <c r="AT420" s="1075"/>
    </row>
    <row r="421" ht="14.25" customHeight="1">
      <c r="A421" s="1116"/>
      <c r="B421" s="1120"/>
      <c r="C421" s="1100"/>
      <c r="D421" s="1100"/>
      <c r="E421" s="1100"/>
      <c r="F421" s="1100"/>
      <c r="G421" s="1100"/>
      <c r="H421" s="1100"/>
      <c r="I421" s="1100"/>
      <c r="J421" s="1100"/>
      <c r="K421" s="1074"/>
      <c r="L421" s="1074"/>
      <c r="M421" s="1074"/>
      <c r="N421" s="1074"/>
      <c r="O421" s="1074"/>
      <c r="P421" s="1074"/>
      <c r="Q421" s="1074"/>
      <c r="R421" s="1074"/>
      <c r="S421" s="1074"/>
      <c r="T421" s="1074"/>
      <c r="U421" s="1074"/>
      <c r="V421" s="1074"/>
      <c r="W421" s="1074"/>
      <c r="X421" s="1074"/>
      <c r="Y421" s="1074"/>
      <c r="Z421" s="1074"/>
      <c r="AA421" s="1074"/>
      <c r="AB421" s="1074"/>
      <c r="AC421" s="1074"/>
      <c r="AD421" s="1074"/>
      <c r="AE421" s="1074"/>
      <c r="AF421" s="1074"/>
      <c r="AG421" s="1074"/>
      <c r="AH421" s="1074"/>
      <c r="AI421" s="1074"/>
      <c r="AJ421" s="1074"/>
      <c r="AK421" s="1074"/>
      <c r="AL421" s="1074"/>
      <c r="AM421" s="1074"/>
      <c r="AN421" s="1074"/>
      <c r="AO421" s="1074"/>
      <c r="AP421" s="1074"/>
      <c r="AQ421" s="1074"/>
      <c r="AR421" s="1074"/>
      <c r="AS421" s="1074"/>
      <c r="AT421" s="1075"/>
    </row>
    <row r="422" ht="14.25" customHeight="1">
      <c r="A422" s="1116"/>
      <c r="B422" s="1120"/>
      <c r="C422" s="1100"/>
      <c r="D422" s="1100"/>
      <c r="E422" s="1100"/>
      <c r="F422" s="1100"/>
      <c r="G422" s="1100"/>
      <c r="H422" s="1100"/>
      <c r="I422" s="1100"/>
      <c r="J422" s="1100"/>
      <c r="K422" s="1074"/>
      <c r="L422" s="1074"/>
      <c r="M422" s="1074"/>
      <c r="N422" s="1074"/>
      <c r="O422" s="1074"/>
      <c r="P422" s="1074"/>
      <c r="Q422" s="1074"/>
      <c r="R422" s="1074"/>
      <c r="S422" s="1074"/>
      <c r="T422" s="1074"/>
      <c r="U422" s="1074"/>
      <c r="V422" s="1074"/>
      <c r="W422" s="1074"/>
      <c r="X422" s="1074"/>
      <c r="Y422" s="1074"/>
      <c r="Z422" s="1074"/>
      <c r="AA422" s="1074"/>
      <c r="AB422" s="1074"/>
      <c r="AC422" s="1074"/>
      <c r="AD422" s="1074"/>
      <c r="AE422" s="1074"/>
      <c r="AF422" s="1074"/>
      <c r="AG422" s="1074"/>
      <c r="AH422" s="1074"/>
      <c r="AI422" s="1074"/>
      <c r="AJ422" s="1074"/>
      <c r="AK422" s="1074"/>
      <c r="AL422" s="1074"/>
      <c r="AM422" s="1074"/>
      <c r="AN422" s="1074"/>
      <c r="AO422" s="1074"/>
      <c r="AP422" s="1074"/>
      <c r="AQ422" s="1074"/>
      <c r="AR422" s="1074"/>
      <c r="AS422" s="1074"/>
      <c r="AT422" s="1075"/>
    </row>
    <row r="423" ht="14.25" customHeight="1">
      <c r="A423" s="1116"/>
      <c r="B423" s="1120"/>
      <c r="C423" s="1100"/>
      <c r="D423" s="1100"/>
      <c r="E423" s="1100"/>
      <c r="F423" s="1100"/>
      <c r="G423" s="1100"/>
      <c r="H423" s="1100"/>
      <c r="I423" s="1100"/>
      <c r="J423" s="1100"/>
      <c r="K423" s="1074"/>
      <c r="L423" s="1074"/>
      <c r="M423" s="1074"/>
      <c r="N423" s="1074"/>
      <c r="O423" s="1074"/>
      <c r="P423" s="1074"/>
      <c r="Q423" s="1074"/>
      <c r="R423" s="1074"/>
      <c r="S423" s="1074"/>
      <c r="T423" s="1074"/>
      <c r="U423" s="1074"/>
      <c r="V423" s="1074"/>
      <c r="W423" s="1074"/>
      <c r="X423" s="1074"/>
      <c r="Y423" s="1074"/>
      <c r="Z423" s="1074"/>
      <c r="AA423" s="1074"/>
      <c r="AB423" s="1074"/>
      <c r="AC423" s="1074"/>
      <c r="AD423" s="1074"/>
      <c r="AE423" s="1074"/>
      <c r="AF423" s="1074"/>
      <c r="AG423" s="1074"/>
      <c r="AH423" s="1074"/>
      <c r="AI423" s="1074"/>
      <c r="AJ423" s="1074"/>
      <c r="AK423" s="1074"/>
      <c r="AL423" s="1074"/>
      <c r="AM423" s="1074"/>
      <c r="AN423" s="1074"/>
      <c r="AO423" s="1074"/>
      <c r="AP423" s="1074"/>
      <c r="AQ423" s="1074"/>
      <c r="AR423" s="1074"/>
      <c r="AS423" s="1074"/>
      <c r="AT423" s="1075"/>
    </row>
    <row r="424" ht="14.25" customHeight="1">
      <c r="A424" s="1116"/>
      <c r="B424" s="1120"/>
      <c r="C424" s="1100"/>
      <c r="D424" s="1100"/>
      <c r="E424" s="1100"/>
      <c r="F424" s="1100"/>
      <c r="G424" s="1100"/>
      <c r="H424" s="1100"/>
      <c r="I424" s="1100"/>
      <c r="J424" s="1100"/>
      <c r="K424" s="1074"/>
      <c r="L424" s="1074"/>
      <c r="M424" s="1074"/>
      <c r="N424" s="1074"/>
      <c r="O424" s="1074"/>
      <c r="P424" s="1074"/>
      <c r="Q424" s="1074"/>
      <c r="R424" s="1074"/>
      <c r="S424" s="1074"/>
      <c r="T424" s="1074"/>
      <c r="U424" s="1074"/>
      <c r="V424" s="1074"/>
      <c r="W424" s="1074"/>
      <c r="X424" s="1074"/>
      <c r="Y424" s="1074"/>
      <c r="Z424" s="1074"/>
      <c r="AA424" s="1074"/>
      <c r="AB424" s="1074"/>
      <c r="AC424" s="1074"/>
      <c r="AD424" s="1074"/>
      <c r="AE424" s="1074"/>
      <c r="AF424" s="1074"/>
      <c r="AG424" s="1074"/>
      <c r="AH424" s="1074"/>
      <c r="AI424" s="1074"/>
      <c r="AJ424" s="1074"/>
      <c r="AK424" s="1074"/>
      <c r="AL424" s="1074"/>
      <c r="AM424" s="1074"/>
      <c r="AN424" s="1074"/>
      <c r="AO424" s="1074"/>
      <c r="AP424" s="1074"/>
      <c r="AQ424" s="1074"/>
      <c r="AR424" s="1074"/>
      <c r="AS424" s="1074"/>
      <c r="AT424" s="1075"/>
    </row>
    <row r="425" ht="14.25" customHeight="1">
      <c r="A425" s="1116"/>
      <c r="B425" s="1120"/>
      <c r="C425" s="1100"/>
      <c r="D425" s="1100"/>
      <c r="E425" s="1100"/>
      <c r="F425" s="1100"/>
      <c r="G425" s="1100"/>
      <c r="H425" s="1100"/>
      <c r="I425" s="1100"/>
      <c r="J425" s="1100"/>
      <c r="K425" s="1074"/>
      <c r="L425" s="1074"/>
      <c r="M425" s="1074"/>
      <c r="N425" s="1074"/>
      <c r="O425" s="1074"/>
      <c r="P425" s="1074"/>
      <c r="Q425" s="1074"/>
      <c r="R425" s="1074"/>
      <c r="S425" s="1074"/>
      <c r="T425" s="1074"/>
      <c r="U425" s="1074"/>
      <c r="V425" s="1074"/>
      <c r="W425" s="1074"/>
      <c r="X425" s="1074"/>
      <c r="Y425" s="1074"/>
      <c r="Z425" s="1074"/>
      <c r="AA425" s="1074"/>
      <c r="AB425" s="1074"/>
      <c r="AC425" s="1074"/>
      <c r="AD425" s="1074"/>
      <c r="AE425" s="1074"/>
      <c r="AF425" s="1074"/>
      <c r="AG425" s="1074"/>
      <c r="AH425" s="1074"/>
      <c r="AI425" s="1074"/>
      <c r="AJ425" s="1074"/>
      <c r="AK425" s="1074"/>
      <c r="AL425" s="1074"/>
      <c r="AM425" s="1074"/>
      <c r="AN425" s="1074"/>
      <c r="AO425" s="1074"/>
      <c r="AP425" s="1074"/>
      <c r="AQ425" s="1074"/>
      <c r="AR425" s="1074"/>
      <c r="AS425" s="1074"/>
      <c r="AT425" s="1075"/>
    </row>
    <row r="426" ht="14.25" customHeight="1">
      <c r="A426" s="1116"/>
      <c r="B426" s="1120"/>
      <c r="C426" s="1100"/>
      <c r="D426" s="1100"/>
      <c r="E426" s="1100"/>
      <c r="F426" s="1100"/>
      <c r="G426" s="1100"/>
      <c r="H426" s="1100"/>
      <c r="I426" s="1100"/>
      <c r="J426" s="1100"/>
      <c r="K426" s="1074"/>
      <c r="L426" s="1074"/>
      <c r="M426" s="1074"/>
      <c r="N426" s="1074"/>
      <c r="O426" s="1074"/>
      <c r="P426" s="1074"/>
      <c r="Q426" s="1074"/>
      <c r="R426" s="1074"/>
      <c r="S426" s="1074"/>
      <c r="T426" s="1074"/>
      <c r="U426" s="1074"/>
      <c r="V426" s="1074"/>
      <c r="W426" s="1074"/>
      <c r="X426" s="1074"/>
      <c r="Y426" s="1074"/>
      <c r="Z426" s="1074"/>
      <c r="AA426" s="1074"/>
      <c r="AB426" s="1074"/>
      <c r="AC426" s="1074"/>
      <c r="AD426" s="1074"/>
      <c r="AE426" s="1074"/>
      <c r="AF426" s="1074"/>
      <c r="AG426" s="1074"/>
      <c r="AH426" s="1074"/>
      <c r="AI426" s="1074"/>
      <c r="AJ426" s="1074"/>
      <c r="AK426" s="1074"/>
      <c r="AL426" s="1074"/>
      <c r="AM426" s="1074"/>
      <c r="AN426" s="1074"/>
      <c r="AO426" s="1074"/>
      <c r="AP426" s="1074"/>
      <c r="AQ426" s="1074"/>
      <c r="AR426" s="1074"/>
      <c r="AS426" s="1074"/>
      <c r="AT426" s="1075"/>
    </row>
    <row r="427" ht="14.25" customHeight="1">
      <c r="A427" s="1116"/>
      <c r="B427" s="1120"/>
      <c r="C427" s="1100"/>
      <c r="D427" s="1100"/>
      <c r="E427" s="1100"/>
      <c r="F427" s="1100"/>
      <c r="G427" s="1100"/>
      <c r="H427" s="1100"/>
      <c r="I427" s="1100"/>
      <c r="J427" s="1100"/>
      <c r="K427" s="1074"/>
      <c r="L427" s="1074"/>
      <c r="M427" s="1074"/>
      <c r="N427" s="1074"/>
      <c r="O427" s="1074"/>
      <c r="P427" s="1074"/>
      <c r="Q427" s="1074"/>
      <c r="R427" s="1074"/>
      <c r="S427" s="1074"/>
      <c r="T427" s="1074"/>
      <c r="U427" s="1074"/>
      <c r="V427" s="1074"/>
      <c r="W427" s="1074"/>
      <c r="X427" s="1074"/>
      <c r="Y427" s="1074"/>
      <c r="Z427" s="1074"/>
      <c r="AA427" s="1074"/>
      <c r="AB427" s="1074"/>
      <c r="AC427" s="1074"/>
      <c r="AD427" s="1074"/>
      <c r="AE427" s="1074"/>
      <c r="AF427" s="1074"/>
      <c r="AG427" s="1074"/>
      <c r="AH427" s="1074"/>
      <c r="AI427" s="1074"/>
      <c r="AJ427" s="1074"/>
      <c r="AK427" s="1074"/>
      <c r="AL427" s="1074"/>
      <c r="AM427" s="1074"/>
      <c r="AN427" s="1074"/>
      <c r="AO427" s="1074"/>
      <c r="AP427" s="1074"/>
      <c r="AQ427" s="1074"/>
      <c r="AR427" s="1074"/>
      <c r="AS427" s="1074"/>
      <c r="AT427" s="1075"/>
    </row>
    <row r="428" ht="14.25" customHeight="1">
      <c r="A428" s="1116"/>
      <c r="B428" s="1120"/>
      <c r="C428" s="1100"/>
      <c r="D428" s="1100"/>
      <c r="E428" s="1100"/>
      <c r="F428" s="1100"/>
      <c r="G428" s="1100"/>
      <c r="H428" s="1100"/>
      <c r="I428" s="1100"/>
      <c r="J428" s="1100"/>
      <c r="K428" s="1074"/>
      <c r="L428" s="1074"/>
      <c r="M428" s="1074"/>
      <c r="N428" s="1074"/>
      <c r="O428" s="1074"/>
      <c r="P428" s="1074"/>
      <c r="Q428" s="1074"/>
      <c r="R428" s="1074"/>
      <c r="S428" s="1074"/>
      <c r="T428" s="1074"/>
      <c r="U428" s="1074"/>
      <c r="V428" s="1074"/>
      <c r="W428" s="1074"/>
      <c r="X428" s="1074"/>
      <c r="Y428" s="1074"/>
      <c r="Z428" s="1074"/>
      <c r="AA428" s="1074"/>
      <c r="AB428" s="1074"/>
      <c r="AC428" s="1074"/>
      <c r="AD428" s="1074"/>
      <c r="AE428" s="1074"/>
      <c r="AF428" s="1074"/>
      <c r="AG428" s="1074"/>
      <c r="AH428" s="1074"/>
      <c r="AI428" s="1074"/>
      <c r="AJ428" s="1074"/>
      <c r="AK428" s="1074"/>
      <c r="AL428" s="1074"/>
      <c r="AM428" s="1074"/>
      <c r="AN428" s="1074"/>
      <c r="AO428" s="1074"/>
      <c r="AP428" s="1074"/>
      <c r="AQ428" s="1074"/>
      <c r="AR428" s="1074"/>
      <c r="AS428" s="1074"/>
      <c r="AT428" s="1075"/>
    </row>
    <row r="429" ht="14.25" customHeight="1">
      <c r="A429" s="1116"/>
      <c r="B429" s="1120"/>
      <c r="C429" s="1100"/>
      <c r="D429" s="1100"/>
      <c r="E429" s="1100"/>
      <c r="F429" s="1100"/>
      <c r="G429" s="1100"/>
      <c r="H429" s="1100"/>
      <c r="I429" s="1100"/>
      <c r="J429" s="1100"/>
      <c r="K429" s="1074"/>
      <c r="L429" s="1074"/>
      <c r="M429" s="1074"/>
      <c r="N429" s="1074"/>
      <c r="O429" s="1074"/>
      <c r="P429" s="1074"/>
      <c r="Q429" s="1074"/>
      <c r="R429" s="1074"/>
      <c r="S429" s="1074"/>
      <c r="T429" s="1074"/>
      <c r="U429" s="1074"/>
      <c r="V429" s="1074"/>
      <c r="W429" s="1074"/>
      <c r="X429" s="1074"/>
      <c r="Y429" s="1074"/>
      <c r="Z429" s="1074"/>
      <c r="AA429" s="1074"/>
      <c r="AB429" s="1074"/>
      <c r="AC429" s="1074"/>
      <c r="AD429" s="1074"/>
      <c r="AE429" s="1074"/>
      <c r="AF429" s="1074"/>
      <c r="AG429" s="1074"/>
      <c r="AH429" s="1074"/>
      <c r="AI429" s="1074"/>
      <c r="AJ429" s="1074"/>
      <c r="AK429" s="1074"/>
      <c r="AL429" s="1074"/>
      <c r="AM429" s="1074"/>
      <c r="AN429" s="1074"/>
      <c r="AO429" s="1074"/>
      <c r="AP429" s="1074"/>
      <c r="AQ429" s="1074"/>
      <c r="AR429" s="1074"/>
      <c r="AS429" s="1074"/>
      <c r="AT429" s="1075"/>
    </row>
    <row r="430" ht="14.25" customHeight="1">
      <c r="A430" s="1116"/>
      <c r="B430" s="1120"/>
      <c r="C430" s="1100"/>
      <c r="D430" s="1100"/>
      <c r="E430" s="1100"/>
      <c r="F430" s="1100"/>
      <c r="G430" s="1100"/>
      <c r="H430" s="1100"/>
      <c r="I430" s="1100"/>
      <c r="J430" s="1100"/>
      <c r="K430" s="1074"/>
      <c r="L430" s="1074"/>
      <c r="M430" s="1074"/>
      <c r="N430" s="1074"/>
      <c r="O430" s="1074"/>
      <c r="P430" s="1074"/>
      <c r="Q430" s="1074"/>
      <c r="R430" s="1074"/>
      <c r="S430" s="1074"/>
      <c r="T430" s="1074"/>
      <c r="U430" s="1074"/>
      <c r="V430" s="1074"/>
      <c r="W430" s="1074"/>
      <c r="X430" s="1074"/>
      <c r="Y430" s="1074"/>
      <c r="Z430" s="1074"/>
      <c r="AA430" s="1074"/>
      <c r="AB430" s="1074"/>
      <c r="AC430" s="1074"/>
      <c r="AD430" s="1074"/>
      <c r="AE430" s="1074"/>
      <c r="AF430" s="1074"/>
      <c r="AG430" s="1074"/>
      <c r="AH430" s="1074"/>
      <c r="AI430" s="1074"/>
      <c r="AJ430" s="1074"/>
      <c r="AK430" s="1074"/>
      <c r="AL430" s="1074"/>
      <c r="AM430" s="1074"/>
      <c r="AN430" s="1074"/>
      <c r="AO430" s="1074"/>
      <c r="AP430" s="1074"/>
      <c r="AQ430" s="1074"/>
      <c r="AR430" s="1074"/>
      <c r="AS430" s="1074"/>
      <c r="AT430" s="1075"/>
    </row>
    <row r="431" ht="14.25" customHeight="1">
      <c r="A431" s="1116"/>
      <c r="B431" s="1120"/>
      <c r="C431" s="1100"/>
      <c r="D431" s="1100"/>
      <c r="E431" s="1100"/>
      <c r="F431" s="1100"/>
      <c r="G431" s="1100"/>
      <c r="H431" s="1100"/>
      <c r="I431" s="1100"/>
      <c r="J431" s="1100"/>
      <c r="K431" s="1074"/>
      <c r="L431" s="1074"/>
      <c r="M431" s="1074"/>
      <c r="N431" s="1074"/>
      <c r="O431" s="1074"/>
      <c r="P431" s="1074"/>
      <c r="Q431" s="1074"/>
      <c r="R431" s="1074"/>
      <c r="S431" s="1074"/>
      <c r="T431" s="1074"/>
      <c r="U431" s="1074"/>
      <c r="V431" s="1074"/>
      <c r="W431" s="1074"/>
      <c r="X431" s="1074"/>
      <c r="Y431" s="1074"/>
      <c r="Z431" s="1074"/>
      <c r="AA431" s="1074"/>
      <c r="AB431" s="1074"/>
      <c r="AC431" s="1074"/>
      <c r="AD431" s="1074"/>
      <c r="AE431" s="1074"/>
      <c r="AF431" s="1074"/>
      <c r="AG431" s="1074"/>
      <c r="AH431" s="1074"/>
      <c r="AI431" s="1074"/>
      <c r="AJ431" s="1074"/>
      <c r="AK431" s="1074"/>
      <c r="AL431" s="1074"/>
      <c r="AM431" s="1074"/>
      <c r="AN431" s="1074"/>
      <c r="AO431" s="1074"/>
      <c r="AP431" s="1074"/>
      <c r="AQ431" s="1074"/>
      <c r="AR431" s="1074"/>
      <c r="AS431" s="1074"/>
      <c r="AT431" s="1075"/>
    </row>
    <row r="432" ht="14.25" customHeight="1">
      <c r="A432" s="1116"/>
      <c r="B432" s="1120"/>
      <c r="C432" s="1100"/>
      <c r="D432" s="1100"/>
      <c r="E432" s="1100"/>
      <c r="F432" s="1100"/>
      <c r="G432" s="1100"/>
      <c r="H432" s="1100"/>
      <c r="I432" s="1100"/>
      <c r="J432" s="1100"/>
      <c r="K432" s="1074"/>
      <c r="L432" s="1074"/>
      <c r="M432" s="1074"/>
      <c r="N432" s="1074"/>
      <c r="O432" s="1074"/>
      <c r="P432" s="1074"/>
      <c r="Q432" s="1074"/>
      <c r="R432" s="1074"/>
      <c r="S432" s="1074"/>
      <c r="T432" s="1074"/>
      <c r="U432" s="1074"/>
      <c r="V432" s="1074"/>
      <c r="W432" s="1074"/>
      <c r="X432" s="1074"/>
      <c r="Y432" s="1074"/>
      <c r="Z432" s="1074"/>
      <c r="AA432" s="1074"/>
      <c r="AB432" s="1074"/>
      <c r="AC432" s="1074"/>
      <c r="AD432" s="1074"/>
      <c r="AE432" s="1074"/>
      <c r="AF432" s="1074"/>
      <c r="AG432" s="1074"/>
      <c r="AH432" s="1074"/>
      <c r="AI432" s="1074"/>
      <c r="AJ432" s="1074"/>
      <c r="AK432" s="1074"/>
      <c r="AL432" s="1074"/>
      <c r="AM432" s="1074"/>
      <c r="AN432" s="1074"/>
      <c r="AO432" s="1074"/>
      <c r="AP432" s="1074"/>
      <c r="AQ432" s="1074"/>
      <c r="AR432" s="1074"/>
      <c r="AS432" s="1074"/>
      <c r="AT432" s="1075"/>
    </row>
    <row r="433" ht="14.25" customHeight="1">
      <c r="A433" s="1116"/>
      <c r="B433" s="1120"/>
      <c r="C433" s="1100"/>
      <c r="D433" s="1100"/>
      <c r="E433" s="1100"/>
      <c r="F433" s="1100"/>
      <c r="G433" s="1100"/>
      <c r="H433" s="1100"/>
      <c r="I433" s="1100"/>
      <c r="J433" s="1100"/>
      <c r="K433" s="1074"/>
      <c r="L433" s="1074"/>
      <c r="M433" s="1074"/>
      <c r="N433" s="1074"/>
      <c r="O433" s="1074"/>
      <c r="P433" s="1074"/>
      <c r="Q433" s="1074"/>
      <c r="R433" s="1074"/>
      <c r="S433" s="1074"/>
      <c r="T433" s="1074"/>
      <c r="U433" s="1074"/>
      <c r="V433" s="1074"/>
      <c r="W433" s="1074"/>
      <c r="X433" s="1074"/>
      <c r="Y433" s="1074"/>
      <c r="Z433" s="1074"/>
      <c r="AA433" s="1074"/>
      <c r="AB433" s="1074"/>
      <c r="AC433" s="1074"/>
      <c r="AD433" s="1074"/>
      <c r="AE433" s="1074"/>
      <c r="AF433" s="1074"/>
      <c r="AG433" s="1074"/>
      <c r="AH433" s="1074"/>
      <c r="AI433" s="1074"/>
      <c r="AJ433" s="1074"/>
      <c r="AK433" s="1074"/>
      <c r="AL433" s="1074"/>
      <c r="AM433" s="1074"/>
      <c r="AN433" s="1074"/>
      <c r="AO433" s="1074"/>
      <c r="AP433" s="1074"/>
      <c r="AQ433" s="1074"/>
      <c r="AR433" s="1074"/>
      <c r="AS433" s="1074"/>
      <c r="AT433" s="1075"/>
    </row>
    <row r="434" ht="14.25" customHeight="1">
      <c r="A434" s="1116"/>
      <c r="B434" s="1120"/>
      <c r="C434" s="1100"/>
      <c r="D434" s="1100"/>
      <c r="E434" s="1100"/>
      <c r="F434" s="1100"/>
      <c r="G434" s="1100"/>
      <c r="H434" s="1100"/>
      <c r="I434" s="1100"/>
      <c r="J434" s="1100"/>
      <c r="K434" s="1074"/>
      <c r="L434" s="1074"/>
      <c r="M434" s="1074"/>
      <c r="N434" s="1074"/>
      <c r="O434" s="1074"/>
      <c r="P434" s="1074"/>
      <c r="Q434" s="1074"/>
      <c r="R434" s="1074"/>
      <c r="S434" s="1074"/>
      <c r="T434" s="1074"/>
      <c r="U434" s="1074"/>
      <c r="V434" s="1074"/>
      <c r="W434" s="1074"/>
      <c r="X434" s="1074"/>
      <c r="Y434" s="1074"/>
      <c r="Z434" s="1074"/>
      <c r="AA434" s="1074"/>
      <c r="AB434" s="1074"/>
      <c r="AC434" s="1074"/>
      <c r="AD434" s="1074"/>
      <c r="AE434" s="1074"/>
      <c r="AF434" s="1074"/>
      <c r="AG434" s="1074"/>
      <c r="AH434" s="1074"/>
      <c r="AI434" s="1074"/>
      <c r="AJ434" s="1074"/>
      <c r="AK434" s="1074"/>
      <c r="AL434" s="1074"/>
      <c r="AM434" s="1074"/>
      <c r="AN434" s="1074"/>
      <c r="AO434" s="1074"/>
      <c r="AP434" s="1074"/>
      <c r="AQ434" s="1074"/>
      <c r="AR434" s="1074"/>
      <c r="AS434" s="1074"/>
      <c r="AT434" s="1075"/>
    </row>
    <row r="435" ht="14.25" customHeight="1">
      <c r="A435" s="1116"/>
      <c r="B435" s="1120"/>
      <c r="C435" s="1100"/>
      <c r="D435" s="1100"/>
      <c r="E435" s="1100"/>
      <c r="F435" s="1100"/>
      <c r="G435" s="1100"/>
      <c r="H435" s="1100"/>
      <c r="I435" s="1100"/>
      <c r="J435" s="1100"/>
      <c r="K435" s="1074"/>
      <c r="L435" s="1074"/>
      <c r="M435" s="1074"/>
      <c r="N435" s="1074"/>
      <c r="O435" s="1074"/>
      <c r="P435" s="1074"/>
      <c r="Q435" s="1074"/>
      <c r="R435" s="1074"/>
      <c r="S435" s="1074"/>
      <c r="T435" s="1074"/>
      <c r="U435" s="1074"/>
      <c r="V435" s="1074"/>
      <c r="W435" s="1074"/>
      <c r="X435" s="1074"/>
      <c r="Y435" s="1074"/>
      <c r="Z435" s="1074"/>
      <c r="AA435" s="1074"/>
      <c r="AB435" s="1074"/>
      <c r="AC435" s="1074"/>
      <c r="AD435" s="1074"/>
      <c r="AE435" s="1074"/>
      <c r="AF435" s="1074"/>
      <c r="AG435" s="1074"/>
      <c r="AH435" s="1074"/>
      <c r="AI435" s="1074"/>
      <c r="AJ435" s="1074"/>
      <c r="AK435" s="1074"/>
      <c r="AL435" s="1074"/>
      <c r="AM435" s="1074"/>
      <c r="AN435" s="1074"/>
      <c r="AO435" s="1074"/>
      <c r="AP435" s="1074"/>
      <c r="AQ435" s="1074"/>
      <c r="AR435" s="1074"/>
      <c r="AS435" s="1074"/>
      <c r="AT435" s="1075"/>
    </row>
    <row r="436" ht="14.25" customHeight="1">
      <c r="A436" s="1116"/>
      <c r="B436" s="1120"/>
      <c r="C436" s="1100"/>
      <c r="D436" s="1100"/>
      <c r="E436" s="1100"/>
      <c r="F436" s="1100"/>
      <c r="G436" s="1100"/>
      <c r="H436" s="1100"/>
      <c r="I436" s="1100"/>
      <c r="J436" s="1100"/>
      <c r="K436" s="1074"/>
      <c r="L436" s="1074"/>
      <c r="M436" s="1074"/>
      <c r="N436" s="1074"/>
      <c r="O436" s="1074"/>
      <c r="P436" s="1074"/>
      <c r="Q436" s="1074"/>
      <c r="R436" s="1074"/>
      <c r="S436" s="1074"/>
      <c r="T436" s="1074"/>
      <c r="U436" s="1074"/>
      <c r="V436" s="1074"/>
      <c r="W436" s="1074"/>
      <c r="X436" s="1074"/>
      <c r="Y436" s="1074"/>
      <c r="Z436" s="1074"/>
      <c r="AA436" s="1074"/>
      <c r="AB436" s="1074"/>
      <c r="AC436" s="1074"/>
      <c r="AD436" s="1074"/>
      <c r="AE436" s="1074"/>
      <c r="AF436" s="1074"/>
      <c r="AG436" s="1074"/>
      <c r="AH436" s="1074"/>
      <c r="AI436" s="1074"/>
      <c r="AJ436" s="1074"/>
      <c r="AK436" s="1074"/>
      <c r="AL436" s="1074"/>
      <c r="AM436" s="1074"/>
      <c r="AN436" s="1074"/>
      <c r="AO436" s="1074"/>
      <c r="AP436" s="1074"/>
      <c r="AQ436" s="1074"/>
      <c r="AR436" s="1074"/>
      <c r="AS436" s="1074"/>
      <c r="AT436" s="1075"/>
    </row>
    <row r="437" ht="14.25" customHeight="1">
      <c r="A437" s="1116"/>
      <c r="B437" s="1120"/>
      <c r="C437" s="1100"/>
      <c r="D437" s="1100"/>
      <c r="E437" s="1100"/>
      <c r="F437" s="1100"/>
      <c r="G437" s="1100"/>
      <c r="H437" s="1100"/>
      <c r="I437" s="1100"/>
      <c r="J437" s="1100"/>
      <c r="K437" s="1074"/>
      <c r="L437" s="1074"/>
      <c r="M437" s="1074"/>
      <c r="N437" s="1074"/>
      <c r="O437" s="1074"/>
      <c r="P437" s="1074"/>
      <c r="Q437" s="1074"/>
      <c r="R437" s="1074"/>
      <c r="S437" s="1074"/>
      <c r="T437" s="1074"/>
      <c r="U437" s="1074"/>
      <c r="V437" s="1074"/>
      <c r="W437" s="1074"/>
      <c r="X437" s="1074"/>
      <c r="Y437" s="1074"/>
      <c r="Z437" s="1074"/>
      <c r="AA437" s="1074"/>
      <c r="AB437" s="1074"/>
      <c r="AC437" s="1074"/>
      <c r="AD437" s="1074"/>
      <c r="AE437" s="1074"/>
      <c r="AF437" s="1074"/>
      <c r="AG437" s="1074"/>
      <c r="AH437" s="1074"/>
      <c r="AI437" s="1074"/>
      <c r="AJ437" s="1074"/>
      <c r="AK437" s="1074"/>
      <c r="AL437" s="1074"/>
      <c r="AM437" s="1074"/>
      <c r="AN437" s="1074"/>
      <c r="AO437" s="1074"/>
      <c r="AP437" s="1074"/>
      <c r="AQ437" s="1074"/>
      <c r="AR437" s="1074"/>
      <c r="AS437" s="1074"/>
      <c r="AT437" s="1075"/>
    </row>
    <row r="438" ht="14.25" customHeight="1">
      <c r="A438" s="1116"/>
      <c r="B438" s="1120"/>
      <c r="C438" s="1100"/>
      <c r="D438" s="1100"/>
      <c r="E438" s="1100"/>
      <c r="F438" s="1100"/>
      <c r="G438" s="1100"/>
      <c r="H438" s="1100"/>
      <c r="I438" s="1100"/>
      <c r="J438" s="1100"/>
      <c r="K438" s="1074"/>
      <c r="L438" s="1074"/>
      <c r="M438" s="1074"/>
      <c r="N438" s="1074"/>
      <c r="O438" s="1074"/>
      <c r="P438" s="1074"/>
      <c r="Q438" s="1074"/>
      <c r="R438" s="1074"/>
      <c r="S438" s="1074"/>
      <c r="T438" s="1074"/>
      <c r="U438" s="1074"/>
      <c r="V438" s="1074"/>
      <c r="W438" s="1074"/>
      <c r="X438" s="1074"/>
      <c r="Y438" s="1074"/>
      <c r="Z438" s="1074"/>
      <c r="AA438" s="1074"/>
      <c r="AB438" s="1074"/>
      <c r="AC438" s="1074"/>
      <c r="AD438" s="1074"/>
      <c r="AE438" s="1074"/>
      <c r="AF438" s="1074"/>
      <c r="AG438" s="1074"/>
      <c r="AH438" s="1074"/>
      <c r="AI438" s="1074"/>
      <c r="AJ438" s="1074"/>
      <c r="AK438" s="1074"/>
      <c r="AL438" s="1074"/>
      <c r="AM438" s="1074"/>
      <c r="AN438" s="1074"/>
      <c r="AO438" s="1074"/>
      <c r="AP438" s="1074"/>
      <c r="AQ438" s="1074"/>
      <c r="AR438" s="1074"/>
      <c r="AS438" s="1074"/>
      <c r="AT438" s="1075"/>
    </row>
    <row r="439" ht="14.25" customHeight="1">
      <c r="A439" s="1116"/>
      <c r="B439" s="1120"/>
      <c r="C439" s="1100"/>
      <c r="D439" s="1100"/>
      <c r="E439" s="1100"/>
      <c r="F439" s="1100"/>
      <c r="G439" s="1100"/>
      <c r="H439" s="1100"/>
      <c r="I439" s="1100"/>
      <c r="J439" s="1100"/>
      <c r="K439" s="1074"/>
      <c r="L439" s="1074"/>
      <c r="M439" s="1074"/>
      <c r="N439" s="1074"/>
      <c r="O439" s="1074"/>
      <c r="P439" s="1074"/>
      <c r="Q439" s="1074"/>
      <c r="R439" s="1074"/>
      <c r="S439" s="1074"/>
      <c r="T439" s="1074"/>
      <c r="U439" s="1074"/>
      <c r="V439" s="1074"/>
      <c r="W439" s="1074"/>
      <c r="X439" s="1074"/>
      <c r="Y439" s="1074"/>
      <c r="Z439" s="1074"/>
      <c r="AA439" s="1074"/>
      <c r="AB439" s="1074"/>
      <c r="AC439" s="1074"/>
      <c r="AD439" s="1074"/>
      <c r="AE439" s="1074"/>
      <c r="AF439" s="1074"/>
      <c r="AG439" s="1074"/>
      <c r="AH439" s="1074"/>
      <c r="AI439" s="1074"/>
      <c r="AJ439" s="1074"/>
      <c r="AK439" s="1074"/>
      <c r="AL439" s="1074"/>
      <c r="AM439" s="1074"/>
      <c r="AN439" s="1074"/>
      <c r="AO439" s="1074"/>
      <c r="AP439" s="1074"/>
      <c r="AQ439" s="1074"/>
      <c r="AR439" s="1074"/>
      <c r="AS439" s="1074"/>
      <c r="AT439" s="1075"/>
    </row>
    <row r="440" ht="14.25" customHeight="1">
      <c r="A440" s="1116"/>
      <c r="B440" s="1120"/>
      <c r="C440" s="1100"/>
      <c r="D440" s="1100"/>
      <c r="E440" s="1100"/>
      <c r="F440" s="1100"/>
      <c r="G440" s="1100"/>
      <c r="H440" s="1100"/>
      <c r="I440" s="1100"/>
      <c r="J440" s="1100"/>
      <c r="K440" s="1074"/>
      <c r="L440" s="1074"/>
      <c r="M440" s="1074"/>
      <c r="N440" s="1074"/>
      <c r="O440" s="1074"/>
      <c r="P440" s="1074"/>
      <c r="Q440" s="1074"/>
      <c r="R440" s="1074"/>
      <c r="S440" s="1074"/>
      <c r="T440" s="1074"/>
      <c r="U440" s="1074"/>
      <c r="V440" s="1074"/>
      <c r="W440" s="1074"/>
      <c r="X440" s="1074"/>
      <c r="Y440" s="1074"/>
      <c r="Z440" s="1074"/>
      <c r="AA440" s="1074"/>
      <c r="AB440" s="1074"/>
      <c r="AC440" s="1074"/>
      <c r="AD440" s="1074"/>
      <c r="AE440" s="1074"/>
      <c r="AF440" s="1074"/>
      <c r="AG440" s="1074"/>
      <c r="AH440" s="1074"/>
      <c r="AI440" s="1074"/>
      <c r="AJ440" s="1074"/>
      <c r="AK440" s="1074"/>
      <c r="AL440" s="1074"/>
      <c r="AM440" s="1074"/>
      <c r="AN440" s="1074"/>
      <c r="AO440" s="1074"/>
      <c r="AP440" s="1074"/>
      <c r="AQ440" s="1074"/>
      <c r="AR440" s="1074"/>
      <c r="AS440" s="1074"/>
      <c r="AT440" s="1075"/>
    </row>
    <row r="441" ht="14.25" customHeight="1">
      <c r="A441" s="1116"/>
      <c r="B441" s="1120"/>
      <c r="C441" s="1100"/>
      <c r="D441" s="1100"/>
      <c r="E441" s="1100"/>
      <c r="F441" s="1100"/>
      <c r="G441" s="1100"/>
      <c r="H441" s="1100"/>
      <c r="I441" s="1100"/>
      <c r="J441" s="1100"/>
      <c r="K441" s="1074"/>
      <c r="L441" s="1074"/>
      <c r="M441" s="1074"/>
      <c r="N441" s="1074"/>
      <c r="O441" s="1074"/>
      <c r="P441" s="1074"/>
      <c r="Q441" s="1074"/>
      <c r="R441" s="1074"/>
      <c r="S441" s="1074"/>
      <c r="T441" s="1074"/>
      <c r="U441" s="1074"/>
      <c r="V441" s="1074"/>
      <c r="W441" s="1074"/>
      <c r="X441" s="1074"/>
      <c r="Y441" s="1074"/>
      <c r="Z441" s="1074"/>
      <c r="AA441" s="1074"/>
      <c r="AB441" s="1074"/>
      <c r="AC441" s="1074"/>
      <c r="AD441" s="1074"/>
      <c r="AE441" s="1074"/>
      <c r="AF441" s="1074"/>
      <c r="AG441" s="1074"/>
      <c r="AH441" s="1074"/>
      <c r="AI441" s="1074"/>
      <c r="AJ441" s="1074"/>
      <c r="AK441" s="1074"/>
      <c r="AL441" s="1074"/>
      <c r="AM441" s="1074"/>
      <c r="AN441" s="1074"/>
      <c r="AO441" s="1074"/>
      <c r="AP441" s="1074"/>
      <c r="AQ441" s="1074"/>
      <c r="AR441" s="1074"/>
      <c r="AS441" s="1074"/>
      <c r="AT441" s="1075"/>
    </row>
    <row r="442" ht="14.25" customHeight="1">
      <c r="A442" s="1116"/>
      <c r="B442" s="1120"/>
      <c r="C442" s="1100"/>
      <c r="D442" s="1100"/>
      <c r="E442" s="1100"/>
      <c r="F442" s="1100"/>
      <c r="G442" s="1100"/>
      <c r="H442" s="1100"/>
      <c r="I442" s="1100"/>
      <c r="J442" s="1100"/>
      <c r="K442" s="1074"/>
      <c r="L442" s="1074"/>
      <c r="M442" s="1074"/>
      <c r="N442" s="1074"/>
      <c r="O442" s="1074"/>
      <c r="P442" s="1074"/>
      <c r="Q442" s="1074"/>
      <c r="R442" s="1074"/>
      <c r="S442" s="1074"/>
      <c r="T442" s="1074"/>
      <c r="U442" s="1074"/>
      <c r="V442" s="1074"/>
      <c r="W442" s="1074"/>
      <c r="X442" s="1074"/>
      <c r="Y442" s="1074"/>
      <c r="Z442" s="1074"/>
      <c r="AA442" s="1074"/>
      <c r="AB442" s="1074"/>
      <c r="AC442" s="1074"/>
      <c r="AD442" s="1074"/>
      <c r="AE442" s="1074"/>
      <c r="AF442" s="1074"/>
      <c r="AG442" s="1074"/>
      <c r="AH442" s="1074"/>
      <c r="AI442" s="1074"/>
      <c r="AJ442" s="1074"/>
      <c r="AK442" s="1074"/>
      <c r="AL442" s="1074"/>
      <c r="AM442" s="1074"/>
      <c r="AN442" s="1074"/>
      <c r="AO442" s="1074"/>
      <c r="AP442" s="1074"/>
      <c r="AQ442" s="1074"/>
      <c r="AR442" s="1074"/>
      <c r="AS442" s="1074"/>
      <c r="AT442" s="1075"/>
    </row>
    <row r="443" ht="14.25" customHeight="1">
      <c r="A443" s="1116"/>
      <c r="B443" s="1120"/>
      <c r="C443" s="1100"/>
      <c r="D443" s="1100"/>
      <c r="E443" s="1100"/>
      <c r="F443" s="1100"/>
      <c r="G443" s="1100"/>
      <c r="H443" s="1100"/>
      <c r="I443" s="1100"/>
      <c r="J443" s="1100"/>
      <c r="K443" s="1074"/>
      <c r="L443" s="1074"/>
      <c r="M443" s="1074"/>
      <c r="N443" s="1074"/>
      <c r="O443" s="1074"/>
      <c r="P443" s="1074"/>
      <c r="Q443" s="1074"/>
      <c r="R443" s="1074"/>
      <c r="S443" s="1074"/>
      <c r="T443" s="1074"/>
      <c r="U443" s="1074"/>
      <c r="V443" s="1074"/>
      <c r="W443" s="1074"/>
      <c r="X443" s="1074"/>
      <c r="Y443" s="1074"/>
      <c r="Z443" s="1074"/>
      <c r="AA443" s="1074"/>
      <c r="AB443" s="1074"/>
      <c r="AC443" s="1074"/>
      <c r="AD443" s="1074"/>
      <c r="AE443" s="1074"/>
      <c r="AF443" s="1074"/>
      <c r="AG443" s="1074"/>
      <c r="AH443" s="1074"/>
      <c r="AI443" s="1074"/>
      <c r="AJ443" s="1074"/>
      <c r="AK443" s="1074"/>
      <c r="AL443" s="1074"/>
      <c r="AM443" s="1074"/>
      <c r="AN443" s="1074"/>
      <c r="AO443" s="1074"/>
      <c r="AP443" s="1074"/>
      <c r="AQ443" s="1074"/>
      <c r="AR443" s="1074"/>
      <c r="AS443" s="1074"/>
      <c r="AT443" s="1075"/>
    </row>
    <row r="444" ht="14.25" customHeight="1">
      <c r="A444" s="1116"/>
      <c r="B444" s="1120"/>
      <c r="C444" s="1100"/>
      <c r="D444" s="1100"/>
      <c r="E444" s="1100"/>
      <c r="F444" s="1100"/>
      <c r="G444" s="1100"/>
      <c r="H444" s="1100"/>
      <c r="I444" s="1100"/>
      <c r="J444" s="1100"/>
      <c r="K444" s="1074"/>
      <c r="L444" s="1074"/>
      <c r="M444" s="1074"/>
      <c r="N444" s="1074"/>
      <c r="O444" s="1074"/>
      <c r="P444" s="1074"/>
      <c r="Q444" s="1074"/>
      <c r="R444" s="1074"/>
      <c r="S444" s="1074"/>
      <c r="T444" s="1074"/>
      <c r="U444" s="1074"/>
      <c r="V444" s="1074"/>
      <c r="W444" s="1074"/>
      <c r="X444" s="1074"/>
      <c r="Y444" s="1074"/>
      <c r="Z444" s="1074"/>
      <c r="AA444" s="1074"/>
      <c r="AB444" s="1074"/>
      <c r="AC444" s="1074"/>
      <c r="AD444" s="1074"/>
      <c r="AE444" s="1074"/>
      <c r="AF444" s="1074"/>
      <c r="AG444" s="1074"/>
      <c r="AH444" s="1074"/>
      <c r="AI444" s="1074"/>
      <c r="AJ444" s="1074"/>
      <c r="AK444" s="1074"/>
      <c r="AL444" s="1074"/>
      <c r="AM444" s="1074"/>
      <c r="AN444" s="1074"/>
      <c r="AO444" s="1074"/>
      <c r="AP444" s="1074"/>
      <c r="AQ444" s="1074"/>
      <c r="AR444" s="1074"/>
      <c r="AS444" s="1074"/>
      <c r="AT444" s="1075"/>
    </row>
    <row r="445" ht="14.25" customHeight="1">
      <c r="A445" s="1116"/>
      <c r="B445" s="1120"/>
      <c r="C445" s="1100"/>
      <c r="D445" s="1100"/>
      <c r="E445" s="1100"/>
      <c r="F445" s="1100"/>
      <c r="G445" s="1100"/>
      <c r="H445" s="1100"/>
      <c r="I445" s="1100"/>
      <c r="J445" s="1100"/>
      <c r="K445" s="1074"/>
      <c r="L445" s="1074"/>
      <c r="M445" s="1074"/>
      <c r="N445" s="1074"/>
      <c r="O445" s="1074"/>
      <c r="P445" s="1074"/>
      <c r="Q445" s="1074"/>
      <c r="R445" s="1074"/>
      <c r="S445" s="1074"/>
      <c r="T445" s="1074"/>
      <c r="U445" s="1074"/>
      <c r="V445" s="1074"/>
      <c r="W445" s="1074"/>
      <c r="X445" s="1074"/>
      <c r="Y445" s="1074"/>
      <c r="Z445" s="1074"/>
      <c r="AA445" s="1074"/>
      <c r="AB445" s="1074"/>
      <c r="AC445" s="1074"/>
      <c r="AD445" s="1074"/>
      <c r="AE445" s="1074"/>
      <c r="AF445" s="1074"/>
      <c r="AG445" s="1074"/>
      <c r="AH445" s="1074"/>
      <c r="AI445" s="1074"/>
      <c r="AJ445" s="1074"/>
      <c r="AK445" s="1074"/>
      <c r="AL445" s="1074"/>
      <c r="AM445" s="1074"/>
      <c r="AN445" s="1074"/>
      <c r="AO445" s="1074"/>
      <c r="AP445" s="1074"/>
      <c r="AQ445" s="1074"/>
      <c r="AR445" s="1074"/>
      <c r="AS445" s="1074"/>
      <c r="AT445" s="1075"/>
    </row>
    <row r="446" ht="14.25" customHeight="1">
      <c r="A446" s="1116"/>
      <c r="B446" s="1120"/>
      <c r="C446" s="1100"/>
      <c r="D446" s="1100"/>
      <c r="E446" s="1100"/>
      <c r="F446" s="1100"/>
      <c r="G446" s="1100"/>
      <c r="H446" s="1100"/>
      <c r="I446" s="1100"/>
      <c r="J446" s="1100"/>
      <c r="K446" s="1074"/>
      <c r="L446" s="1074"/>
      <c r="M446" s="1074"/>
      <c r="N446" s="1074"/>
      <c r="O446" s="1074"/>
      <c r="P446" s="1074"/>
      <c r="Q446" s="1074"/>
      <c r="R446" s="1074"/>
      <c r="S446" s="1074"/>
      <c r="T446" s="1074"/>
      <c r="U446" s="1074"/>
      <c r="V446" s="1074"/>
      <c r="W446" s="1074"/>
      <c r="X446" s="1074"/>
      <c r="Y446" s="1074"/>
      <c r="Z446" s="1074"/>
      <c r="AA446" s="1074"/>
      <c r="AB446" s="1074"/>
      <c r="AC446" s="1074"/>
      <c r="AD446" s="1074"/>
      <c r="AE446" s="1074"/>
      <c r="AF446" s="1074"/>
      <c r="AG446" s="1074"/>
      <c r="AH446" s="1074"/>
      <c r="AI446" s="1074"/>
      <c r="AJ446" s="1074"/>
      <c r="AK446" s="1074"/>
      <c r="AL446" s="1074"/>
      <c r="AM446" s="1074"/>
      <c r="AN446" s="1074"/>
      <c r="AO446" s="1074"/>
      <c r="AP446" s="1074"/>
      <c r="AQ446" s="1074"/>
      <c r="AR446" s="1074"/>
      <c r="AS446" s="1074"/>
      <c r="AT446" s="1075"/>
    </row>
    <row r="447" ht="14.25" customHeight="1">
      <c r="A447" s="1116"/>
      <c r="B447" s="1120"/>
      <c r="C447" s="1100"/>
      <c r="D447" s="1100"/>
      <c r="E447" s="1100"/>
      <c r="F447" s="1100"/>
      <c r="G447" s="1100"/>
      <c r="H447" s="1100"/>
      <c r="I447" s="1100"/>
      <c r="J447" s="1100"/>
      <c r="K447" s="1074"/>
      <c r="L447" s="1074"/>
      <c r="M447" s="1074"/>
      <c r="N447" s="1074"/>
      <c r="O447" s="1074"/>
      <c r="P447" s="1074"/>
      <c r="Q447" s="1074"/>
      <c r="R447" s="1074"/>
      <c r="S447" s="1074"/>
      <c r="T447" s="1074"/>
      <c r="U447" s="1074"/>
      <c r="V447" s="1074"/>
      <c r="W447" s="1074"/>
      <c r="X447" s="1074"/>
      <c r="Y447" s="1074"/>
      <c r="Z447" s="1074"/>
      <c r="AA447" s="1074"/>
      <c r="AB447" s="1074"/>
      <c r="AC447" s="1074"/>
      <c r="AD447" s="1074"/>
      <c r="AE447" s="1074"/>
      <c r="AF447" s="1074"/>
      <c r="AG447" s="1074"/>
      <c r="AH447" s="1074"/>
      <c r="AI447" s="1074"/>
      <c r="AJ447" s="1074"/>
      <c r="AK447" s="1074"/>
      <c r="AL447" s="1074"/>
      <c r="AM447" s="1074"/>
      <c r="AN447" s="1074"/>
      <c r="AO447" s="1074"/>
      <c r="AP447" s="1074"/>
      <c r="AQ447" s="1074"/>
      <c r="AR447" s="1074"/>
      <c r="AS447" s="1074"/>
      <c r="AT447" s="1075"/>
    </row>
    <row r="448" ht="14.25" customHeight="1">
      <c r="A448" s="1116"/>
      <c r="B448" s="1120"/>
      <c r="C448" s="1100"/>
      <c r="D448" s="1100"/>
      <c r="E448" s="1100"/>
      <c r="F448" s="1100"/>
      <c r="G448" s="1100"/>
      <c r="H448" s="1100"/>
      <c r="I448" s="1100"/>
      <c r="J448" s="1100"/>
      <c r="K448" s="1074"/>
      <c r="L448" s="1074"/>
      <c r="M448" s="1074"/>
      <c r="N448" s="1074"/>
      <c r="O448" s="1074"/>
      <c r="P448" s="1074"/>
      <c r="Q448" s="1074"/>
      <c r="R448" s="1074"/>
      <c r="S448" s="1074"/>
      <c r="T448" s="1074"/>
      <c r="U448" s="1074"/>
      <c r="V448" s="1074"/>
      <c r="W448" s="1074"/>
      <c r="X448" s="1074"/>
      <c r="Y448" s="1074"/>
      <c r="Z448" s="1074"/>
      <c r="AA448" s="1074"/>
      <c r="AB448" s="1074"/>
      <c r="AC448" s="1074"/>
      <c r="AD448" s="1074"/>
      <c r="AE448" s="1074"/>
      <c r="AF448" s="1074"/>
      <c r="AG448" s="1074"/>
      <c r="AH448" s="1074"/>
      <c r="AI448" s="1074"/>
      <c r="AJ448" s="1074"/>
      <c r="AK448" s="1074"/>
      <c r="AL448" s="1074"/>
      <c r="AM448" s="1074"/>
      <c r="AN448" s="1074"/>
      <c r="AO448" s="1074"/>
      <c r="AP448" s="1074"/>
      <c r="AQ448" s="1074"/>
      <c r="AR448" s="1074"/>
      <c r="AS448" s="1074"/>
      <c r="AT448" s="1075"/>
    </row>
    <row r="449" ht="14.25" customHeight="1">
      <c r="A449" s="1116"/>
      <c r="B449" s="1120"/>
      <c r="C449" s="1100"/>
      <c r="D449" s="1100"/>
      <c r="E449" s="1100"/>
      <c r="F449" s="1100"/>
      <c r="G449" s="1100"/>
      <c r="H449" s="1100"/>
      <c r="I449" s="1100"/>
      <c r="J449" s="1100"/>
      <c r="K449" s="1074"/>
      <c r="L449" s="1074"/>
      <c r="M449" s="1074"/>
      <c r="N449" s="1074"/>
      <c r="O449" s="1074"/>
      <c r="P449" s="1074"/>
      <c r="Q449" s="1074"/>
      <c r="R449" s="1074"/>
      <c r="S449" s="1074"/>
      <c r="T449" s="1074"/>
      <c r="U449" s="1074"/>
      <c r="V449" s="1074"/>
      <c r="W449" s="1074"/>
      <c r="X449" s="1074"/>
      <c r="Y449" s="1074"/>
      <c r="Z449" s="1074"/>
      <c r="AA449" s="1074"/>
      <c r="AB449" s="1074"/>
      <c r="AC449" s="1074"/>
      <c r="AD449" s="1074"/>
      <c r="AE449" s="1074"/>
      <c r="AF449" s="1074"/>
      <c r="AG449" s="1074"/>
      <c r="AH449" s="1074"/>
      <c r="AI449" s="1074"/>
      <c r="AJ449" s="1074"/>
      <c r="AK449" s="1074"/>
      <c r="AL449" s="1074"/>
      <c r="AM449" s="1074"/>
      <c r="AN449" s="1074"/>
      <c r="AO449" s="1074"/>
      <c r="AP449" s="1074"/>
      <c r="AQ449" s="1074"/>
      <c r="AR449" s="1074"/>
      <c r="AS449" s="1074"/>
      <c r="AT449" s="1075"/>
    </row>
    <row r="450" ht="14.25" customHeight="1">
      <c r="A450" s="1116"/>
      <c r="B450" s="1120"/>
      <c r="C450" s="1100"/>
      <c r="D450" s="1100"/>
      <c r="E450" s="1100"/>
      <c r="F450" s="1100"/>
      <c r="G450" s="1100"/>
      <c r="H450" s="1100"/>
      <c r="I450" s="1100"/>
      <c r="J450" s="1100"/>
      <c r="K450" s="1074"/>
      <c r="L450" s="1074"/>
      <c r="M450" s="1074"/>
      <c r="N450" s="1074"/>
      <c r="O450" s="1074"/>
      <c r="P450" s="1074"/>
      <c r="Q450" s="1074"/>
      <c r="R450" s="1074"/>
      <c r="S450" s="1074"/>
      <c r="T450" s="1074"/>
      <c r="U450" s="1074"/>
      <c r="V450" s="1074"/>
      <c r="W450" s="1074"/>
      <c r="X450" s="1074"/>
      <c r="Y450" s="1074"/>
      <c r="Z450" s="1074"/>
      <c r="AA450" s="1074"/>
      <c r="AB450" s="1074"/>
      <c r="AC450" s="1074"/>
      <c r="AD450" s="1074"/>
      <c r="AE450" s="1074"/>
      <c r="AF450" s="1074"/>
      <c r="AG450" s="1074"/>
      <c r="AH450" s="1074"/>
      <c r="AI450" s="1074"/>
      <c r="AJ450" s="1074"/>
      <c r="AK450" s="1074"/>
      <c r="AL450" s="1074"/>
      <c r="AM450" s="1074"/>
      <c r="AN450" s="1074"/>
      <c r="AO450" s="1074"/>
      <c r="AP450" s="1074"/>
      <c r="AQ450" s="1074"/>
      <c r="AR450" s="1074"/>
      <c r="AS450" s="1074"/>
      <c r="AT450" s="1075"/>
    </row>
    <row r="451" ht="14.25" customHeight="1">
      <c r="A451" s="1116"/>
      <c r="B451" s="1120"/>
      <c r="C451" s="1100"/>
      <c r="D451" s="1100"/>
      <c r="E451" s="1100"/>
      <c r="F451" s="1100"/>
      <c r="G451" s="1100"/>
      <c r="H451" s="1100"/>
      <c r="I451" s="1100"/>
      <c r="J451" s="1100"/>
      <c r="K451" s="1074"/>
      <c r="L451" s="1074"/>
      <c r="M451" s="1074"/>
      <c r="N451" s="1074"/>
      <c r="O451" s="1074"/>
      <c r="P451" s="1074"/>
      <c r="Q451" s="1074"/>
      <c r="R451" s="1074"/>
      <c r="S451" s="1074"/>
      <c r="T451" s="1074"/>
      <c r="U451" s="1074"/>
      <c r="V451" s="1074"/>
      <c r="W451" s="1074"/>
      <c r="X451" s="1074"/>
      <c r="Y451" s="1074"/>
      <c r="Z451" s="1074"/>
      <c r="AA451" s="1074"/>
      <c r="AB451" s="1074"/>
      <c r="AC451" s="1074"/>
      <c r="AD451" s="1074"/>
      <c r="AE451" s="1074"/>
      <c r="AF451" s="1074"/>
      <c r="AG451" s="1074"/>
      <c r="AH451" s="1074"/>
      <c r="AI451" s="1074"/>
      <c r="AJ451" s="1074"/>
      <c r="AK451" s="1074"/>
      <c r="AL451" s="1074"/>
      <c r="AM451" s="1074"/>
      <c r="AN451" s="1074"/>
      <c r="AO451" s="1074"/>
      <c r="AP451" s="1074"/>
      <c r="AQ451" s="1074"/>
      <c r="AR451" s="1074"/>
      <c r="AS451" s="1074"/>
      <c r="AT451" s="1075"/>
    </row>
    <row r="452" ht="14.25" customHeight="1">
      <c r="A452" s="1116"/>
      <c r="B452" s="1120"/>
      <c r="C452" s="1100"/>
      <c r="D452" s="1100"/>
      <c r="E452" s="1100"/>
      <c r="F452" s="1100"/>
      <c r="G452" s="1100"/>
      <c r="H452" s="1100"/>
      <c r="I452" s="1100"/>
      <c r="J452" s="1100"/>
      <c r="K452" s="1074"/>
      <c r="L452" s="1074"/>
      <c r="M452" s="1074"/>
      <c r="N452" s="1074"/>
      <c r="O452" s="1074"/>
      <c r="P452" s="1074"/>
      <c r="Q452" s="1074"/>
      <c r="R452" s="1074"/>
      <c r="S452" s="1074"/>
      <c r="T452" s="1074"/>
      <c r="U452" s="1074"/>
      <c r="V452" s="1074"/>
      <c r="W452" s="1074"/>
      <c r="X452" s="1074"/>
      <c r="Y452" s="1074"/>
      <c r="Z452" s="1074"/>
      <c r="AA452" s="1074"/>
      <c r="AB452" s="1074"/>
      <c r="AC452" s="1074"/>
      <c r="AD452" s="1074"/>
      <c r="AE452" s="1074"/>
      <c r="AF452" s="1074"/>
      <c r="AG452" s="1074"/>
      <c r="AH452" s="1074"/>
      <c r="AI452" s="1074"/>
      <c r="AJ452" s="1074"/>
      <c r="AK452" s="1074"/>
      <c r="AL452" s="1074"/>
      <c r="AM452" s="1074"/>
      <c r="AN452" s="1074"/>
      <c r="AO452" s="1074"/>
      <c r="AP452" s="1074"/>
      <c r="AQ452" s="1074"/>
      <c r="AR452" s="1074"/>
      <c r="AS452" s="1074"/>
      <c r="AT452" s="1075"/>
    </row>
    <row r="453" ht="14.25" customHeight="1">
      <c r="A453" s="1116"/>
      <c r="B453" s="1120"/>
      <c r="C453" s="1100"/>
      <c r="D453" s="1100"/>
      <c r="E453" s="1100"/>
      <c r="F453" s="1100"/>
      <c r="G453" s="1100"/>
      <c r="H453" s="1100"/>
      <c r="I453" s="1100"/>
      <c r="J453" s="1100"/>
      <c r="K453" s="1074"/>
      <c r="L453" s="1074"/>
      <c r="M453" s="1074"/>
      <c r="N453" s="1074"/>
      <c r="O453" s="1074"/>
      <c r="P453" s="1074"/>
      <c r="Q453" s="1074"/>
      <c r="R453" s="1074"/>
      <c r="S453" s="1074"/>
      <c r="T453" s="1074"/>
      <c r="U453" s="1074"/>
      <c r="V453" s="1074"/>
      <c r="W453" s="1074"/>
      <c r="X453" s="1074"/>
      <c r="Y453" s="1074"/>
      <c r="Z453" s="1074"/>
      <c r="AA453" s="1074"/>
      <c r="AB453" s="1074"/>
      <c r="AC453" s="1074"/>
      <c r="AD453" s="1074"/>
      <c r="AE453" s="1074"/>
      <c r="AF453" s="1074"/>
      <c r="AG453" s="1074"/>
      <c r="AH453" s="1074"/>
      <c r="AI453" s="1074"/>
      <c r="AJ453" s="1074"/>
      <c r="AK453" s="1074"/>
      <c r="AL453" s="1074"/>
      <c r="AM453" s="1074"/>
      <c r="AN453" s="1074"/>
      <c r="AO453" s="1074"/>
      <c r="AP453" s="1074"/>
      <c r="AQ453" s="1074"/>
      <c r="AR453" s="1074"/>
      <c r="AS453" s="1074"/>
      <c r="AT453" s="1075"/>
    </row>
    <row r="454" ht="14.25" customHeight="1">
      <c r="A454" s="1116"/>
      <c r="B454" s="1120"/>
      <c r="C454" s="1100"/>
      <c r="D454" s="1100"/>
      <c r="E454" s="1100"/>
      <c r="F454" s="1100"/>
      <c r="G454" s="1100"/>
      <c r="H454" s="1100"/>
      <c r="I454" s="1100"/>
      <c r="J454" s="1100"/>
      <c r="K454" s="1074"/>
      <c r="L454" s="1074"/>
      <c r="M454" s="1074"/>
      <c r="N454" s="1074"/>
      <c r="O454" s="1074"/>
      <c r="P454" s="1074"/>
      <c r="Q454" s="1074"/>
      <c r="R454" s="1074"/>
      <c r="S454" s="1074"/>
      <c r="T454" s="1074"/>
      <c r="U454" s="1074"/>
      <c r="V454" s="1074"/>
      <c r="W454" s="1074"/>
      <c r="X454" s="1074"/>
      <c r="Y454" s="1074"/>
      <c r="Z454" s="1074"/>
      <c r="AA454" s="1074"/>
      <c r="AB454" s="1074"/>
      <c r="AC454" s="1074"/>
      <c r="AD454" s="1074"/>
      <c r="AE454" s="1074"/>
      <c r="AF454" s="1074"/>
      <c r="AG454" s="1074"/>
      <c r="AH454" s="1074"/>
      <c r="AI454" s="1074"/>
      <c r="AJ454" s="1074"/>
      <c r="AK454" s="1074"/>
      <c r="AL454" s="1074"/>
      <c r="AM454" s="1074"/>
      <c r="AN454" s="1074"/>
      <c r="AO454" s="1074"/>
      <c r="AP454" s="1074"/>
      <c r="AQ454" s="1074"/>
      <c r="AR454" s="1074"/>
      <c r="AS454" s="1074"/>
      <c r="AT454" s="1075"/>
    </row>
    <row r="455" ht="14.25" customHeight="1">
      <c r="A455" s="1116"/>
      <c r="B455" s="1120"/>
      <c r="C455" s="1100"/>
      <c r="D455" s="1100"/>
      <c r="E455" s="1100"/>
      <c r="F455" s="1100"/>
      <c r="G455" s="1100"/>
      <c r="H455" s="1100"/>
      <c r="I455" s="1100"/>
      <c r="J455" s="1100"/>
      <c r="K455" s="1074"/>
      <c r="L455" s="1074"/>
      <c r="M455" s="1074"/>
      <c r="N455" s="1074"/>
      <c r="O455" s="1074"/>
      <c r="P455" s="1074"/>
      <c r="Q455" s="1074"/>
      <c r="R455" s="1074"/>
      <c r="S455" s="1074"/>
      <c r="T455" s="1074"/>
      <c r="U455" s="1074"/>
      <c r="V455" s="1074"/>
      <c r="W455" s="1074"/>
      <c r="X455" s="1074"/>
      <c r="Y455" s="1074"/>
      <c r="Z455" s="1074"/>
      <c r="AA455" s="1074"/>
      <c r="AB455" s="1074"/>
      <c r="AC455" s="1074"/>
      <c r="AD455" s="1074"/>
      <c r="AE455" s="1074"/>
      <c r="AF455" s="1074"/>
      <c r="AG455" s="1074"/>
      <c r="AH455" s="1074"/>
      <c r="AI455" s="1074"/>
      <c r="AJ455" s="1074"/>
      <c r="AK455" s="1074"/>
      <c r="AL455" s="1074"/>
      <c r="AM455" s="1074"/>
      <c r="AN455" s="1074"/>
      <c r="AO455" s="1074"/>
      <c r="AP455" s="1074"/>
      <c r="AQ455" s="1074"/>
      <c r="AR455" s="1074"/>
      <c r="AS455" s="1074"/>
      <c r="AT455" s="1075"/>
    </row>
    <row r="456" ht="14.25" customHeight="1">
      <c r="A456" s="1116"/>
      <c r="B456" s="1120"/>
      <c r="C456" s="1100"/>
      <c r="D456" s="1100"/>
      <c r="E456" s="1100"/>
      <c r="F456" s="1100"/>
      <c r="G456" s="1100"/>
      <c r="H456" s="1100"/>
      <c r="I456" s="1100"/>
      <c r="J456" s="1100"/>
      <c r="K456" s="1074"/>
      <c r="L456" s="1074"/>
      <c r="M456" s="1074"/>
      <c r="N456" s="1074"/>
      <c r="O456" s="1074"/>
      <c r="P456" s="1074"/>
      <c r="Q456" s="1074"/>
      <c r="R456" s="1074"/>
      <c r="S456" s="1074"/>
      <c r="T456" s="1074"/>
      <c r="U456" s="1074"/>
      <c r="V456" s="1074"/>
      <c r="W456" s="1074"/>
      <c r="X456" s="1074"/>
      <c r="Y456" s="1074"/>
      <c r="Z456" s="1074"/>
      <c r="AA456" s="1074"/>
      <c r="AB456" s="1074"/>
      <c r="AC456" s="1074"/>
      <c r="AD456" s="1074"/>
      <c r="AE456" s="1074"/>
      <c r="AF456" s="1074"/>
      <c r="AG456" s="1074"/>
      <c r="AH456" s="1074"/>
      <c r="AI456" s="1074"/>
      <c r="AJ456" s="1074"/>
      <c r="AK456" s="1074"/>
      <c r="AL456" s="1074"/>
      <c r="AM456" s="1074"/>
      <c r="AN456" s="1074"/>
      <c r="AO456" s="1074"/>
      <c r="AP456" s="1074"/>
      <c r="AQ456" s="1074"/>
      <c r="AR456" s="1074"/>
      <c r="AS456" s="1074"/>
      <c r="AT456" s="1075"/>
    </row>
    <row r="457" ht="14.25" customHeight="1">
      <c r="A457" s="1116"/>
      <c r="B457" s="1120"/>
      <c r="C457" s="1100"/>
      <c r="D457" s="1100"/>
      <c r="E457" s="1100"/>
      <c r="F457" s="1100"/>
      <c r="G457" s="1100"/>
      <c r="H457" s="1100"/>
      <c r="I457" s="1100"/>
      <c r="J457" s="1100"/>
      <c r="K457" s="1074"/>
      <c r="L457" s="1074"/>
      <c r="M457" s="1074"/>
      <c r="N457" s="1074"/>
      <c r="O457" s="1074"/>
      <c r="P457" s="1074"/>
      <c r="Q457" s="1074"/>
      <c r="R457" s="1074"/>
      <c r="S457" s="1074"/>
      <c r="T457" s="1074"/>
      <c r="U457" s="1074"/>
      <c r="V457" s="1074"/>
      <c r="W457" s="1074"/>
      <c r="X457" s="1074"/>
      <c r="Y457" s="1074"/>
      <c r="Z457" s="1074"/>
      <c r="AA457" s="1074"/>
      <c r="AB457" s="1074"/>
      <c r="AC457" s="1074"/>
      <c r="AD457" s="1074"/>
      <c r="AE457" s="1074"/>
      <c r="AF457" s="1074"/>
      <c r="AG457" s="1074"/>
      <c r="AH457" s="1074"/>
      <c r="AI457" s="1074"/>
      <c r="AJ457" s="1074"/>
      <c r="AK457" s="1074"/>
      <c r="AL457" s="1074"/>
      <c r="AM457" s="1074"/>
      <c r="AN457" s="1074"/>
      <c r="AO457" s="1074"/>
      <c r="AP457" s="1074"/>
      <c r="AQ457" s="1074"/>
      <c r="AR457" s="1074"/>
      <c r="AS457" s="1074"/>
      <c r="AT457" s="1075"/>
    </row>
    <row r="458" ht="14.25" customHeight="1">
      <c r="A458" s="1116"/>
      <c r="B458" s="1120"/>
      <c r="C458" s="1100"/>
      <c r="D458" s="1100"/>
      <c r="E458" s="1100"/>
      <c r="F458" s="1100"/>
      <c r="G458" s="1100"/>
      <c r="H458" s="1100"/>
      <c r="I458" s="1100"/>
      <c r="J458" s="1100"/>
      <c r="K458" s="1074"/>
      <c r="L458" s="1074"/>
      <c r="M458" s="1074"/>
      <c r="N458" s="1074"/>
      <c r="O458" s="1074"/>
      <c r="P458" s="1074"/>
      <c r="Q458" s="1074"/>
      <c r="R458" s="1074"/>
      <c r="S458" s="1074"/>
      <c r="T458" s="1074"/>
      <c r="U458" s="1074"/>
      <c r="V458" s="1074"/>
      <c r="W458" s="1074"/>
      <c r="X458" s="1074"/>
      <c r="Y458" s="1074"/>
      <c r="Z458" s="1074"/>
      <c r="AA458" s="1074"/>
      <c r="AB458" s="1074"/>
      <c r="AC458" s="1074"/>
      <c r="AD458" s="1074"/>
      <c r="AE458" s="1074"/>
      <c r="AF458" s="1074"/>
      <c r="AG458" s="1074"/>
      <c r="AH458" s="1074"/>
      <c r="AI458" s="1074"/>
      <c r="AJ458" s="1074"/>
      <c r="AK458" s="1074"/>
      <c r="AL458" s="1074"/>
      <c r="AM458" s="1074"/>
      <c r="AN458" s="1074"/>
      <c r="AO458" s="1074"/>
      <c r="AP458" s="1074"/>
      <c r="AQ458" s="1074"/>
      <c r="AR458" s="1074"/>
      <c r="AS458" s="1074"/>
      <c r="AT458" s="1075"/>
    </row>
    <row r="459" ht="14.25" customHeight="1">
      <c r="A459" s="1116"/>
      <c r="B459" s="1120"/>
      <c r="C459" s="1100"/>
      <c r="D459" s="1100"/>
      <c r="E459" s="1100"/>
      <c r="F459" s="1100"/>
      <c r="G459" s="1100"/>
      <c r="H459" s="1100"/>
      <c r="I459" s="1100"/>
      <c r="J459" s="1100"/>
      <c r="K459" s="1074"/>
      <c r="L459" s="1074"/>
      <c r="M459" s="1074"/>
      <c r="N459" s="1074"/>
      <c r="O459" s="1074"/>
      <c r="P459" s="1074"/>
      <c r="Q459" s="1074"/>
      <c r="R459" s="1074"/>
      <c r="S459" s="1074"/>
      <c r="T459" s="1074"/>
      <c r="U459" s="1074"/>
      <c r="V459" s="1074"/>
      <c r="W459" s="1074"/>
      <c r="X459" s="1074"/>
      <c r="Y459" s="1074"/>
      <c r="Z459" s="1074"/>
      <c r="AA459" s="1074"/>
      <c r="AB459" s="1074"/>
      <c r="AC459" s="1074"/>
      <c r="AD459" s="1074"/>
      <c r="AE459" s="1074"/>
      <c r="AF459" s="1074"/>
      <c r="AG459" s="1074"/>
      <c r="AH459" s="1074"/>
      <c r="AI459" s="1074"/>
      <c r="AJ459" s="1074"/>
      <c r="AK459" s="1074"/>
      <c r="AL459" s="1074"/>
      <c r="AM459" s="1074"/>
      <c r="AN459" s="1074"/>
      <c r="AO459" s="1074"/>
      <c r="AP459" s="1074"/>
      <c r="AQ459" s="1074"/>
      <c r="AR459" s="1074"/>
      <c r="AS459" s="1074"/>
      <c r="AT459" s="1075"/>
    </row>
    <row r="460" ht="14.25" customHeight="1">
      <c r="A460" s="1116"/>
      <c r="B460" s="1120"/>
      <c r="C460" s="1100"/>
      <c r="D460" s="1100"/>
      <c r="E460" s="1100"/>
      <c r="F460" s="1100"/>
      <c r="G460" s="1100"/>
      <c r="H460" s="1100"/>
      <c r="I460" s="1100"/>
      <c r="J460" s="1100"/>
      <c r="K460" s="1074"/>
      <c r="L460" s="1074"/>
      <c r="M460" s="1074"/>
      <c r="N460" s="1074"/>
      <c r="O460" s="1074"/>
      <c r="P460" s="1074"/>
      <c r="Q460" s="1074"/>
      <c r="R460" s="1074"/>
      <c r="S460" s="1074"/>
      <c r="T460" s="1074"/>
      <c r="U460" s="1074"/>
      <c r="V460" s="1074"/>
      <c r="W460" s="1074"/>
      <c r="X460" s="1074"/>
      <c r="Y460" s="1074"/>
      <c r="Z460" s="1074"/>
      <c r="AA460" s="1074"/>
      <c r="AB460" s="1074"/>
      <c r="AC460" s="1074"/>
      <c r="AD460" s="1074"/>
      <c r="AE460" s="1074"/>
      <c r="AF460" s="1074"/>
      <c r="AG460" s="1074"/>
      <c r="AH460" s="1074"/>
      <c r="AI460" s="1074"/>
      <c r="AJ460" s="1074"/>
      <c r="AK460" s="1074"/>
      <c r="AL460" s="1074"/>
      <c r="AM460" s="1074"/>
      <c r="AN460" s="1074"/>
      <c r="AO460" s="1074"/>
      <c r="AP460" s="1074"/>
      <c r="AQ460" s="1074"/>
      <c r="AR460" s="1074"/>
      <c r="AS460" s="1074"/>
      <c r="AT460" s="1075"/>
    </row>
    <row r="461" ht="14.25" customHeight="1">
      <c r="A461" s="1116"/>
      <c r="B461" s="1120"/>
      <c r="C461" s="1100"/>
      <c r="D461" s="1100"/>
      <c r="E461" s="1100"/>
      <c r="F461" s="1100"/>
      <c r="G461" s="1100"/>
      <c r="H461" s="1100"/>
      <c r="I461" s="1100"/>
      <c r="J461" s="1100"/>
      <c r="K461" s="1074"/>
      <c r="L461" s="1074"/>
      <c r="M461" s="1074"/>
      <c r="N461" s="1074"/>
      <c r="O461" s="1074"/>
      <c r="P461" s="1074"/>
      <c r="Q461" s="1074"/>
      <c r="R461" s="1074"/>
      <c r="S461" s="1074"/>
      <c r="T461" s="1074"/>
      <c r="U461" s="1074"/>
      <c r="V461" s="1074"/>
      <c r="W461" s="1074"/>
      <c r="X461" s="1074"/>
      <c r="Y461" s="1074"/>
      <c r="Z461" s="1074"/>
      <c r="AA461" s="1074"/>
      <c r="AB461" s="1074"/>
      <c r="AC461" s="1074"/>
      <c r="AD461" s="1074"/>
      <c r="AE461" s="1074"/>
      <c r="AF461" s="1074"/>
      <c r="AG461" s="1074"/>
      <c r="AH461" s="1074"/>
      <c r="AI461" s="1074"/>
      <c r="AJ461" s="1074"/>
      <c r="AK461" s="1074"/>
      <c r="AL461" s="1074"/>
      <c r="AM461" s="1074"/>
      <c r="AN461" s="1074"/>
      <c r="AO461" s="1074"/>
      <c r="AP461" s="1074"/>
      <c r="AQ461" s="1074"/>
      <c r="AR461" s="1074"/>
      <c r="AS461" s="1074"/>
      <c r="AT461" s="1075"/>
    </row>
    <row r="462" ht="14.25" customHeight="1">
      <c r="A462" s="1116"/>
      <c r="B462" s="1120"/>
      <c r="C462" s="1100"/>
      <c r="D462" s="1100"/>
      <c r="E462" s="1100"/>
      <c r="F462" s="1100"/>
      <c r="G462" s="1100"/>
      <c r="H462" s="1100"/>
      <c r="I462" s="1100"/>
      <c r="J462" s="1100"/>
      <c r="K462" s="1074"/>
      <c r="L462" s="1074"/>
      <c r="M462" s="1074"/>
      <c r="N462" s="1074"/>
      <c r="O462" s="1074"/>
      <c r="P462" s="1074"/>
      <c r="Q462" s="1074"/>
      <c r="R462" s="1074"/>
      <c r="S462" s="1074"/>
      <c r="T462" s="1074"/>
      <c r="U462" s="1074"/>
      <c r="V462" s="1074"/>
      <c r="W462" s="1074"/>
      <c r="X462" s="1074"/>
      <c r="Y462" s="1074"/>
      <c r="Z462" s="1074"/>
      <c r="AA462" s="1074"/>
      <c r="AB462" s="1074"/>
      <c r="AC462" s="1074"/>
      <c r="AD462" s="1074"/>
      <c r="AE462" s="1074"/>
      <c r="AF462" s="1074"/>
      <c r="AG462" s="1074"/>
      <c r="AH462" s="1074"/>
      <c r="AI462" s="1074"/>
      <c r="AJ462" s="1074"/>
      <c r="AK462" s="1074"/>
      <c r="AL462" s="1074"/>
      <c r="AM462" s="1074"/>
      <c r="AN462" s="1074"/>
      <c r="AO462" s="1074"/>
      <c r="AP462" s="1074"/>
      <c r="AQ462" s="1074"/>
      <c r="AR462" s="1074"/>
      <c r="AS462" s="1074"/>
      <c r="AT462" s="1075"/>
    </row>
    <row r="463" ht="14.25" customHeight="1">
      <c r="A463" s="1116"/>
      <c r="B463" s="1120"/>
      <c r="C463" s="1100"/>
      <c r="D463" s="1100"/>
      <c r="E463" s="1100"/>
      <c r="F463" s="1100"/>
      <c r="G463" s="1100"/>
      <c r="H463" s="1100"/>
      <c r="I463" s="1100"/>
      <c r="J463" s="1100"/>
      <c r="K463" s="1074"/>
      <c r="L463" s="1074"/>
      <c r="M463" s="1074"/>
      <c r="N463" s="1074"/>
      <c r="O463" s="1074"/>
      <c r="P463" s="1074"/>
      <c r="Q463" s="1074"/>
      <c r="R463" s="1074"/>
      <c r="S463" s="1074"/>
      <c r="T463" s="1074"/>
      <c r="U463" s="1074"/>
      <c r="V463" s="1074"/>
      <c r="W463" s="1074"/>
      <c r="X463" s="1074"/>
      <c r="Y463" s="1074"/>
      <c r="Z463" s="1074"/>
      <c r="AA463" s="1074"/>
      <c r="AB463" s="1074"/>
      <c r="AC463" s="1074"/>
      <c r="AD463" s="1074"/>
      <c r="AE463" s="1074"/>
      <c r="AF463" s="1074"/>
      <c r="AG463" s="1074"/>
      <c r="AH463" s="1074"/>
      <c r="AI463" s="1074"/>
      <c r="AJ463" s="1074"/>
      <c r="AK463" s="1074"/>
      <c r="AL463" s="1074"/>
      <c r="AM463" s="1074"/>
      <c r="AN463" s="1074"/>
      <c r="AO463" s="1074"/>
      <c r="AP463" s="1074"/>
      <c r="AQ463" s="1074"/>
      <c r="AR463" s="1074"/>
      <c r="AS463" s="1074"/>
      <c r="AT463" s="1075"/>
    </row>
    <row r="464" ht="14.25" customHeight="1">
      <c r="A464" s="1116"/>
      <c r="B464" s="1120"/>
      <c r="C464" s="1100"/>
      <c r="D464" s="1100"/>
      <c r="E464" s="1100"/>
      <c r="F464" s="1100"/>
      <c r="G464" s="1100"/>
      <c r="H464" s="1100"/>
      <c r="I464" s="1100"/>
      <c r="J464" s="1100"/>
      <c r="K464" s="1074"/>
      <c r="L464" s="1074"/>
      <c r="M464" s="1074"/>
      <c r="N464" s="1074"/>
      <c r="O464" s="1074"/>
      <c r="P464" s="1074"/>
      <c r="Q464" s="1074"/>
      <c r="R464" s="1074"/>
      <c r="S464" s="1074"/>
      <c r="T464" s="1074"/>
      <c r="U464" s="1074"/>
      <c r="V464" s="1074"/>
      <c r="W464" s="1074"/>
      <c r="X464" s="1074"/>
      <c r="Y464" s="1074"/>
      <c r="Z464" s="1074"/>
      <c r="AA464" s="1074"/>
      <c r="AB464" s="1074"/>
      <c r="AC464" s="1074"/>
      <c r="AD464" s="1074"/>
      <c r="AE464" s="1074"/>
      <c r="AF464" s="1074"/>
      <c r="AG464" s="1074"/>
      <c r="AH464" s="1074"/>
      <c r="AI464" s="1074"/>
      <c r="AJ464" s="1074"/>
      <c r="AK464" s="1074"/>
      <c r="AL464" s="1074"/>
      <c r="AM464" s="1074"/>
      <c r="AN464" s="1074"/>
      <c r="AO464" s="1074"/>
      <c r="AP464" s="1074"/>
      <c r="AQ464" s="1074"/>
      <c r="AR464" s="1074"/>
      <c r="AS464" s="1074"/>
      <c r="AT464" s="1075"/>
    </row>
    <row r="465" ht="14.25" customHeight="1">
      <c r="A465" s="1116"/>
      <c r="B465" s="1120"/>
      <c r="C465" s="1100"/>
      <c r="D465" s="1100"/>
      <c r="E465" s="1100"/>
      <c r="F465" s="1100"/>
      <c r="G465" s="1100"/>
      <c r="H465" s="1100"/>
      <c r="I465" s="1100"/>
      <c r="J465" s="1100"/>
      <c r="K465" s="1074"/>
      <c r="L465" s="1074"/>
      <c r="M465" s="1074"/>
      <c r="N465" s="1074"/>
      <c r="O465" s="1074"/>
      <c r="P465" s="1074"/>
      <c r="Q465" s="1074"/>
      <c r="R465" s="1074"/>
      <c r="S465" s="1074"/>
      <c r="T465" s="1074"/>
      <c r="U465" s="1074"/>
      <c r="V465" s="1074"/>
      <c r="W465" s="1074"/>
      <c r="X465" s="1074"/>
      <c r="Y465" s="1074"/>
      <c r="Z465" s="1074"/>
      <c r="AA465" s="1074"/>
      <c r="AB465" s="1074"/>
      <c r="AC465" s="1074"/>
      <c r="AD465" s="1074"/>
      <c r="AE465" s="1074"/>
      <c r="AF465" s="1074"/>
      <c r="AG465" s="1074"/>
      <c r="AH465" s="1074"/>
      <c r="AI465" s="1074"/>
      <c r="AJ465" s="1074"/>
      <c r="AK465" s="1074"/>
      <c r="AL465" s="1074"/>
      <c r="AM465" s="1074"/>
      <c r="AN465" s="1074"/>
      <c r="AO465" s="1074"/>
      <c r="AP465" s="1074"/>
      <c r="AQ465" s="1074"/>
      <c r="AR465" s="1074"/>
      <c r="AS465" s="1074"/>
      <c r="AT465" s="1075"/>
    </row>
    <row r="466" ht="14.25" customHeight="1">
      <c r="A466" s="1116"/>
      <c r="B466" s="1120"/>
      <c r="C466" s="1100"/>
      <c r="D466" s="1100"/>
      <c r="E466" s="1100"/>
      <c r="F466" s="1100"/>
      <c r="G466" s="1100"/>
      <c r="H466" s="1100"/>
      <c r="I466" s="1100"/>
      <c r="J466" s="1100"/>
      <c r="K466" s="1074"/>
      <c r="L466" s="1074"/>
      <c r="M466" s="1074"/>
      <c r="N466" s="1074"/>
      <c r="O466" s="1074"/>
      <c r="P466" s="1074"/>
      <c r="Q466" s="1074"/>
      <c r="R466" s="1074"/>
      <c r="S466" s="1074"/>
      <c r="T466" s="1074"/>
      <c r="U466" s="1074"/>
      <c r="V466" s="1074"/>
      <c r="W466" s="1074"/>
      <c r="X466" s="1074"/>
      <c r="Y466" s="1074"/>
      <c r="Z466" s="1074"/>
      <c r="AA466" s="1074"/>
      <c r="AB466" s="1074"/>
      <c r="AC466" s="1074"/>
      <c r="AD466" s="1074"/>
      <c r="AE466" s="1074"/>
      <c r="AF466" s="1074"/>
      <c r="AG466" s="1074"/>
      <c r="AH466" s="1074"/>
      <c r="AI466" s="1074"/>
      <c r="AJ466" s="1074"/>
      <c r="AK466" s="1074"/>
      <c r="AL466" s="1074"/>
      <c r="AM466" s="1074"/>
      <c r="AN466" s="1074"/>
      <c r="AO466" s="1074"/>
      <c r="AP466" s="1074"/>
      <c r="AQ466" s="1074"/>
      <c r="AR466" s="1074"/>
      <c r="AS466" s="1074"/>
      <c r="AT466" s="1075"/>
    </row>
    <row r="467" ht="14.25" customHeight="1">
      <c r="A467" s="1116"/>
      <c r="B467" s="1120"/>
      <c r="C467" s="1100"/>
      <c r="D467" s="1100"/>
      <c r="E467" s="1100"/>
      <c r="F467" s="1100"/>
      <c r="G467" s="1100"/>
      <c r="H467" s="1100"/>
      <c r="I467" s="1100"/>
      <c r="J467" s="1100"/>
      <c r="K467" s="1074"/>
      <c r="L467" s="1074"/>
      <c r="M467" s="1074"/>
      <c r="N467" s="1074"/>
      <c r="O467" s="1074"/>
      <c r="P467" s="1074"/>
      <c r="Q467" s="1074"/>
      <c r="R467" s="1074"/>
      <c r="S467" s="1074"/>
      <c r="T467" s="1074"/>
      <c r="U467" s="1074"/>
      <c r="V467" s="1074"/>
      <c r="W467" s="1074"/>
      <c r="X467" s="1074"/>
      <c r="Y467" s="1074"/>
      <c r="Z467" s="1074"/>
      <c r="AA467" s="1074"/>
      <c r="AB467" s="1074"/>
      <c r="AC467" s="1074"/>
      <c r="AD467" s="1074"/>
      <c r="AE467" s="1074"/>
      <c r="AF467" s="1074"/>
      <c r="AG467" s="1074"/>
      <c r="AH467" s="1074"/>
      <c r="AI467" s="1074"/>
      <c r="AJ467" s="1074"/>
      <c r="AK467" s="1074"/>
      <c r="AL467" s="1074"/>
      <c r="AM467" s="1074"/>
      <c r="AN467" s="1074"/>
      <c r="AO467" s="1074"/>
      <c r="AP467" s="1074"/>
      <c r="AQ467" s="1074"/>
      <c r="AR467" s="1074"/>
      <c r="AS467" s="1074"/>
      <c r="AT467" s="1075"/>
    </row>
    <row r="468" ht="14.25" customHeight="1">
      <c r="A468" s="1116"/>
      <c r="B468" s="1120"/>
      <c r="C468" s="1100"/>
      <c r="D468" s="1100"/>
      <c r="E468" s="1100"/>
      <c r="F468" s="1100"/>
      <c r="G468" s="1100"/>
      <c r="H468" s="1100"/>
      <c r="I468" s="1100"/>
      <c r="J468" s="1100"/>
      <c r="K468" s="1074"/>
      <c r="L468" s="1074"/>
      <c r="M468" s="1074"/>
      <c r="N468" s="1074"/>
      <c r="O468" s="1074"/>
      <c r="P468" s="1074"/>
      <c r="Q468" s="1074"/>
      <c r="R468" s="1074"/>
      <c r="S468" s="1074"/>
      <c r="T468" s="1074"/>
      <c r="U468" s="1074"/>
      <c r="V468" s="1074"/>
      <c r="W468" s="1074"/>
      <c r="X468" s="1074"/>
      <c r="Y468" s="1074"/>
      <c r="Z468" s="1074"/>
      <c r="AA468" s="1074"/>
      <c r="AB468" s="1074"/>
      <c r="AC468" s="1074"/>
      <c r="AD468" s="1074"/>
      <c r="AE468" s="1074"/>
      <c r="AF468" s="1074"/>
      <c r="AG468" s="1074"/>
      <c r="AH468" s="1074"/>
      <c r="AI468" s="1074"/>
      <c r="AJ468" s="1074"/>
      <c r="AK468" s="1074"/>
      <c r="AL468" s="1074"/>
      <c r="AM468" s="1074"/>
      <c r="AN468" s="1074"/>
      <c r="AO468" s="1074"/>
      <c r="AP468" s="1074"/>
      <c r="AQ468" s="1074"/>
      <c r="AR468" s="1074"/>
      <c r="AS468" s="1074"/>
      <c r="AT468" s="1075"/>
    </row>
    <row r="469" ht="14.25" customHeight="1">
      <c r="A469" s="1116"/>
      <c r="B469" s="1120"/>
      <c r="C469" s="1100"/>
      <c r="D469" s="1100"/>
      <c r="E469" s="1100"/>
      <c r="F469" s="1100"/>
      <c r="G469" s="1100"/>
      <c r="H469" s="1100"/>
      <c r="I469" s="1100"/>
      <c r="J469" s="1100"/>
      <c r="K469" s="1074"/>
      <c r="L469" s="1074"/>
      <c r="M469" s="1074"/>
      <c r="N469" s="1074"/>
      <c r="O469" s="1074"/>
      <c r="P469" s="1074"/>
      <c r="Q469" s="1074"/>
      <c r="R469" s="1074"/>
      <c r="S469" s="1074"/>
      <c r="T469" s="1074"/>
      <c r="U469" s="1074"/>
      <c r="V469" s="1074"/>
      <c r="W469" s="1074"/>
      <c r="X469" s="1074"/>
      <c r="Y469" s="1074"/>
      <c r="Z469" s="1074"/>
      <c r="AA469" s="1074"/>
      <c r="AB469" s="1074"/>
      <c r="AC469" s="1074"/>
      <c r="AD469" s="1074"/>
      <c r="AE469" s="1074"/>
      <c r="AF469" s="1074"/>
      <c r="AG469" s="1074"/>
      <c r="AH469" s="1074"/>
      <c r="AI469" s="1074"/>
      <c r="AJ469" s="1074"/>
      <c r="AK469" s="1074"/>
      <c r="AL469" s="1074"/>
      <c r="AM469" s="1074"/>
      <c r="AN469" s="1074"/>
      <c r="AO469" s="1074"/>
      <c r="AP469" s="1074"/>
      <c r="AQ469" s="1074"/>
      <c r="AR469" s="1074"/>
      <c r="AS469" s="1074"/>
      <c r="AT469" s="1075"/>
    </row>
    <row r="470" ht="14.25" customHeight="1">
      <c r="A470" s="1116"/>
      <c r="B470" s="1120"/>
      <c r="C470" s="1100"/>
      <c r="D470" s="1100"/>
      <c r="E470" s="1100"/>
      <c r="F470" s="1100"/>
      <c r="G470" s="1100"/>
      <c r="H470" s="1100"/>
      <c r="I470" s="1100"/>
      <c r="J470" s="1100"/>
      <c r="K470" s="1074"/>
      <c r="L470" s="1074"/>
      <c r="M470" s="1074"/>
      <c r="N470" s="1074"/>
      <c r="O470" s="1074"/>
      <c r="P470" s="1074"/>
      <c r="Q470" s="1074"/>
      <c r="R470" s="1074"/>
      <c r="S470" s="1074"/>
      <c r="T470" s="1074"/>
      <c r="U470" s="1074"/>
      <c r="V470" s="1074"/>
      <c r="W470" s="1074"/>
      <c r="X470" s="1074"/>
      <c r="Y470" s="1074"/>
      <c r="Z470" s="1074"/>
      <c r="AA470" s="1074"/>
      <c r="AB470" s="1074"/>
      <c r="AC470" s="1074"/>
      <c r="AD470" s="1074"/>
      <c r="AE470" s="1074"/>
      <c r="AF470" s="1074"/>
      <c r="AG470" s="1074"/>
      <c r="AH470" s="1074"/>
      <c r="AI470" s="1074"/>
      <c r="AJ470" s="1074"/>
      <c r="AK470" s="1074"/>
      <c r="AL470" s="1074"/>
      <c r="AM470" s="1074"/>
      <c r="AN470" s="1074"/>
      <c r="AO470" s="1074"/>
      <c r="AP470" s="1074"/>
      <c r="AQ470" s="1074"/>
      <c r="AR470" s="1074"/>
      <c r="AS470" s="1074"/>
      <c r="AT470" s="1075"/>
    </row>
    <row r="471" ht="14.25" customHeight="1">
      <c r="A471" s="1116"/>
      <c r="B471" s="1120"/>
      <c r="C471" s="1100"/>
      <c r="D471" s="1100"/>
      <c r="E471" s="1100"/>
      <c r="F471" s="1100"/>
      <c r="G471" s="1100"/>
      <c r="H471" s="1100"/>
      <c r="I471" s="1100"/>
      <c r="J471" s="1100"/>
      <c r="K471" s="1074"/>
      <c r="L471" s="1074"/>
      <c r="M471" s="1074"/>
      <c r="N471" s="1074"/>
      <c r="O471" s="1074"/>
      <c r="P471" s="1074"/>
      <c r="Q471" s="1074"/>
      <c r="R471" s="1074"/>
      <c r="S471" s="1074"/>
      <c r="T471" s="1074"/>
      <c r="U471" s="1074"/>
      <c r="V471" s="1074"/>
      <c r="W471" s="1074"/>
      <c r="X471" s="1074"/>
      <c r="Y471" s="1074"/>
      <c r="Z471" s="1074"/>
      <c r="AA471" s="1074"/>
      <c r="AB471" s="1074"/>
      <c r="AC471" s="1074"/>
      <c r="AD471" s="1074"/>
      <c r="AE471" s="1074"/>
      <c r="AF471" s="1074"/>
      <c r="AG471" s="1074"/>
      <c r="AH471" s="1074"/>
      <c r="AI471" s="1074"/>
      <c r="AJ471" s="1074"/>
      <c r="AK471" s="1074"/>
      <c r="AL471" s="1074"/>
      <c r="AM471" s="1074"/>
      <c r="AN471" s="1074"/>
      <c r="AO471" s="1074"/>
      <c r="AP471" s="1074"/>
      <c r="AQ471" s="1074"/>
      <c r="AR471" s="1074"/>
      <c r="AS471" s="1074"/>
      <c r="AT471" s="1075"/>
    </row>
    <row r="472" ht="14.25" customHeight="1">
      <c r="A472" s="1116"/>
      <c r="B472" s="1120"/>
      <c r="C472" s="1100"/>
      <c r="D472" s="1100"/>
      <c r="E472" s="1100"/>
      <c r="F472" s="1100"/>
      <c r="G472" s="1100"/>
      <c r="H472" s="1100"/>
      <c r="I472" s="1100"/>
      <c r="J472" s="1100"/>
      <c r="K472" s="1074"/>
      <c r="L472" s="1074"/>
      <c r="M472" s="1074"/>
      <c r="N472" s="1074"/>
      <c r="O472" s="1074"/>
      <c r="P472" s="1074"/>
      <c r="Q472" s="1074"/>
      <c r="R472" s="1074"/>
      <c r="S472" s="1074"/>
      <c r="T472" s="1074"/>
      <c r="U472" s="1074"/>
      <c r="V472" s="1074"/>
      <c r="W472" s="1074"/>
      <c r="X472" s="1074"/>
      <c r="Y472" s="1074"/>
      <c r="Z472" s="1074"/>
      <c r="AA472" s="1074"/>
      <c r="AB472" s="1074"/>
      <c r="AC472" s="1074"/>
      <c r="AD472" s="1074"/>
      <c r="AE472" s="1074"/>
      <c r="AF472" s="1074"/>
      <c r="AG472" s="1074"/>
      <c r="AH472" s="1074"/>
      <c r="AI472" s="1074"/>
      <c r="AJ472" s="1074"/>
      <c r="AK472" s="1074"/>
      <c r="AL472" s="1074"/>
      <c r="AM472" s="1074"/>
      <c r="AN472" s="1074"/>
      <c r="AO472" s="1074"/>
      <c r="AP472" s="1074"/>
      <c r="AQ472" s="1074"/>
      <c r="AR472" s="1074"/>
      <c r="AS472" s="1074"/>
      <c r="AT472" s="1075"/>
    </row>
    <row r="473" ht="14.25" customHeight="1">
      <c r="A473" s="1116"/>
      <c r="B473" s="1120"/>
      <c r="C473" s="1100"/>
      <c r="D473" s="1100"/>
      <c r="E473" s="1100"/>
      <c r="F473" s="1100"/>
      <c r="G473" s="1100"/>
      <c r="H473" s="1100"/>
      <c r="I473" s="1100"/>
      <c r="J473" s="1100"/>
      <c r="K473" s="1074"/>
      <c r="L473" s="1074"/>
      <c r="M473" s="1074"/>
      <c r="N473" s="1074"/>
      <c r="O473" s="1074"/>
      <c r="P473" s="1074"/>
      <c r="Q473" s="1074"/>
      <c r="R473" s="1074"/>
      <c r="S473" s="1074"/>
      <c r="T473" s="1074"/>
      <c r="U473" s="1074"/>
      <c r="V473" s="1074"/>
      <c r="W473" s="1074"/>
      <c r="X473" s="1074"/>
      <c r="Y473" s="1074"/>
      <c r="Z473" s="1074"/>
      <c r="AA473" s="1074"/>
      <c r="AB473" s="1074"/>
      <c r="AC473" s="1074"/>
      <c r="AD473" s="1074"/>
      <c r="AE473" s="1074"/>
      <c r="AF473" s="1074"/>
      <c r="AG473" s="1074"/>
      <c r="AH473" s="1074"/>
      <c r="AI473" s="1074"/>
      <c r="AJ473" s="1074"/>
      <c r="AK473" s="1074"/>
      <c r="AL473" s="1074"/>
      <c r="AM473" s="1074"/>
      <c r="AN473" s="1074"/>
      <c r="AO473" s="1074"/>
      <c r="AP473" s="1074"/>
      <c r="AQ473" s="1074"/>
      <c r="AR473" s="1074"/>
      <c r="AS473" s="1074"/>
      <c r="AT473" s="1075"/>
    </row>
    <row r="474" ht="14.25" customHeight="1">
      <c r="A474" s="1116"/>
      <c r="B474" s="1120"/>
      <c r="C474" s="1100"/>
      <c r="D474" s="1100"/>
      <c r="E474" s="1100"/>
      <c r="F474" s="1100"/>
      <c r="G474" s="1100"/>
      <c r="H474" s="1100"/>
      <c r="I474" s="1100"/>
      <c r="J474" s="1100"/>
      <c r="K474" s="1074"/>
      <c r="L474" s="1074"/>
      <c r="M474" s="1074"/>
      <c r="N474" s="1074"/>
      <c r="O474" s="1074"/>
      <c r="P474" s="1074"/>
      <c r="Q474" s="1074"/>
      <c r="R474" s="1074"/>
      <c r="S474" s="1074"/>
      <c r="T474" s="1074"/>
      <c r="U474" s="1074"/>
      <c r="V474" s="1074"/>
      <c r="W474" s="1074"/>
      <c r="X474" s="1074"/>
      <c r="Y474" s="1074"/>
      <c r="Z474" s="1074"/>
      <c r="AA474" s="1074"/>
      <c r="AB474" s="1074"/>
      <c r="AC474" s="1074"/>
      <c r="AD474" s="1074"/>
      <c r="AE474" s="1074"/>
      <c r="AF474" s="1074"/>
      <c r="AG474" s="1074"/>
      <c r="AH474" s="1074"/>
      <c r="AI474" s="1074"/>
      <c r="AJ474" s="1074"/>
      <c r="AK474" s="1074"/>
      <c r="AL474" s="1074"/>
      <c r="AM474" s="1074"/>
      <c r="AN474" s="1074"/>
      <c r="AO474" s="1074"/>
      <c r="AP474" s="1074"/>
      <c r="AQ474" s="1074"/>
      <c r="AR474" s="1074"/>
      <c r="AS474" s="1074"/>
      <c r="AT474" s="1075"/>
    </row>
    <row r="475" ht="14.25" customHeight="1">
      <c r="A475" s="1116"/>
      <c r="B475" s="1120"/>
      <c r="C475" s="1100"/>
      <c r="D475" s="1100"/>
      <c r="E475" s="1100"/>
      <c r="F475" s="1100"/>
      <c r="G475" s="1100"/>
      <c r="H475" s="1100"/>
      <c r="I475" s="1100"/>
      <c r="J475" s="1100"/>
      <c r="K475" s="1074"/>
      <c r="L475" s="1074"/>
      <c r="M475" s="1074"/>
      <c r="N475" s="1074"/>
      <c r="O475" s="1074"/>
      <c r="P475" s="1074"/>
      <c r="Q475" s="1074"/>
      <c r="R475" s="1074"/>
      <c r="S475" s="1074"/>
      <c r="T475" s="1074"/>
      <c r="U475" s="1074"/>
      <c r="V475" s="1074"/>
      <c r="W475" s="1074"/>
      <c r="X475" s="1074"/>
      <c r="Y475" s="1074"/>
      <c r="Z475" s="1074"/>
      <c r="AA475" s="1074"/>
      <c r="AB475" s="1074"/>
      <c r="AC475" s="1074"/>
      <c r="AD475" s="1074"/>
      <c r="AE475" s="1074"/>
      <c r="AF475" s="1074"/>
      <c r="AG475" s="1074"/>
      <c r="AH475" s="1074"/>
      <c r="AI475" s="1074"/>
      <c r="AJ475" s="1074"/>
      <c r="AK475" s="1074"/>
      <c r="AL475" s="1074"/>
      <c r="AM475" s="1074"/>
      <c r="AN475" s="1074"/>
      <c r="AO475" s="1074"/>
      <c r="AP475" s="1074"/>
      <c r="AQ475" s="1074"/>
      <c r="AR475" s="1074"/>
      <c r="AS475" s="1074"/>
      <c r="AT475" s="1075"/>
    </row>
    <row r="476" ht="14.25" customHeight="1">
      <c r="A476" s="1116"/>
      <c r="B476" s="1120"/>
      <c r="C476" s="1100"/>
      <c r="D476" s="1100"/>
      <c r="E476" s="1100"/>
      <c r="F476" s="1100"/>
      <c r="G476" s="1100"/>
      <c r="H476" s="1100"/>
      <c r="I476" s="1100"/>
      <c r="J476" s="1100"/>
      <c r="K476" s="1074"/>
      <c r="L476" s="1074"/>
      <c r="M476" s="1074"/>
      <c r="N476" s="1074"/>
      <c r="O476" s="1074"/>
      <c r="P476" s="1074"/>
      <c r="Q476" s="1074"/>
      <c r="R476" s="1074"/>
      <c r="S476" s="1074"/>
      <c r="T476" s="1074"/>
      <c r="U476" s="1074"/>
      <c r="V476" s="1074"/>
      <c r="W476" s="1074"/>
      <c r="X476" s="1074"/>
      <c r="Y476" s="1074"/>
      <c r="Z476" s="1074"/>
      <c r="AA476" s="1074"/>
      <c r="AB476" s="1074"/>
      <c r="AC476" s="1074"/>
      <c r="AD476" s="1074"/>
      <c r="AE476" s="1074"/>
      <c r="AF476" s="1074"/>
      <c r="AG476" s="1074"/>
      <c r="AH476" s="1074"/>
      <c r="AI476" s="1074"/>
      <c r="AJ476" s="1074"/>
      <c r="AK476" s="1074"/>
      <c r="AL476" s="1074"/>
      <c r="AM476" s="1074"/>
      <c r="AN476" s="1074"/>
      <c r="AO476" s="1074"/>
      <c r="AP476" s="1074"/>
      <c r="AQ476" s="1074"/>
      <c r="AR476" s="1074"/>
      <c r="AS476" s="1074"/>
      <c r="AT476" s="1075"/>
    </row>
    <row r="477" ht="14.25" customHeight="1">
      <c r="A477" s="1116"/>
      <c r="B477" s="1120"/>
      <c r="C477" s="1100"/>
      <c r="D477" s="1100"/>
      <c r="E477" s="1100"/>
      <c r="F477" s="1100"/>
      <c r="G477" s="1100"/>
      <c r="H477" s="1100"/>
      <c r="I477" s="1100"/>
      <c r="J477" s="1100"/>
      <c r="K477" s="1074"/>
      <c r="L477" s="1074"/>
      <c r="M477" s="1074"/>
      <c r="N477" s="1074"/>
      <c r="O477" s="1074"/>
      <c r="P477" s="1074"/>
      <c r="Q477" s="1074"/>
      <c r="R477" s="1074"/>
      <c r="S477" s="1074"/>
      <c r="T477" s="1074"/>
      <c r="U477" s="1074"/>
      <c r="V477" s="1074"/>
      <c r="W477" s="1074"/>
      <c r="X477" s="1074"/>
      <c r="Y477" s="1074"/>
      <c r="Z477" s="1074"/>
      <c r="AA477" s="1074"/>
      <c r="AB477" s="1074"/>
      <c r="AC477" s="1074"/>
      <c r="AD477" s="1074"/>
      <c r="AE477" s="1074"/>
      <c r="AF477" s="1074"/>
      <c r="AG477" s="1074"/>
      <c r="AH477" s="1074"/>
      <c r="AI477" s="1074"/>
      <c r="AJ477" s="1074"/>
      <c r="AK477" s="1074"/>
      <c r="AL477" s="1074"/>
      <c r="AM477" s="1074"/>
      <c r="AN477" s="1074"/>
      <c r="AO477" s="1074"/>
      <c r="AP477" s="1074"/>
      <c r="AQ477" s="1074"/>
      <c r="AR477" s="1074"/>
      <c r="AS477" s="1074"/>
      <c r="AT477" s="1075"/>
    </row>
    <row r="478" ht="14.25" customHeight="1">
      <c r="A478" s="1116"/>
      <c r="B478" s="1120"/>
      <c r="C478" s="1100"/>
      <c r="D478" s="1100"/>
      <c r="E478" s="1100"/>
      <c r="F478" s="1100"/>
      <c r="G478" s="1100"/>
      <c r="H478" s="1100"/>
      <c r="I478" s="1100"/>
      <c r="J478" s="1100"/>
      <c r="K478" s="1074"/>
      <c r="L478" s="1074"/>
      <c r="M478" s="1074"/>
      <c r="N478" s="1074"/>
      <c r="O478" s="1074"/>
      <c r="P478" s="1074"/>
      <c r="Q478" s="1074"/>
      <c r="R478" s="1074"/>
      <c r="S478" s="1074"/>
      <c r="T478" s="1074"/>
      <c r="U478" s="1074"/>
      <c r="V478" s="1074"/>
      <c r="W478" s="1074"/>
      <c r="X478" s="1074"/>
      <c r="Y478" s="1074"/>
      <c r="Z478" s="1074"/>
      <c r="AA478" s="1074"/>
      <c r="AB478" s="1074"/>
      <c r="AC478" s="1074"/>
      <c r="AD478" s="1074"/>
      <c r="AE478" s="1074"/>
      <c r="AF478" s="1074"/>
      <c r="AG478" s="1074"/>
      <c r="AH478" s="1074"/>
      <c r="AI478" s="1074"/>
      <c r="AJ478" s="1074"/>
      <c r="AK478" s="1074"/>
      <c r="AL478" s="1074"/>
      <c r="AM478" s="1074"/>
      <c r="AN478" s="1074"/>
      <c r="AO478" s="1074"/>
      <c r="AP478" s="1074"/>
      <c r="AQ478" s="1074"/>
      <c r="AR478" s="1074"/>
      <c r="AS478" s="1074"/>
      <c r="AT478" s="1075"/>
    </row>
    <row r="479" ht="14.25" customHeight="1">
      <c r="A479" s="1116"/>
      <c r="B479" s="1120"/>
      <c r="C479" s="1100"/>
      <c r="D479" s="1100"/>
      <c r="E479" s="1100"/>
      <c r="F479" s="1100"/>
      <c r="G479" s="1100"/>
      <c r="H479" s="1100"/>
      <c r="I479" s="1100"/>
      <c r="J479" s="1100"/>
      <c r="K479" s="1074"/>
      <c r="L479" s="1074"/>
      <c r="M479" s="1074"/>
      <c r="N479" s="1074"/>
      <c r="O479" s="1074"/>
      <c r="P479" s="1074"/>
      <c r="Q479" s="1074"/>
      <c r="R479" s="1074"/>
      <c r="S479" s="1074"/>
      <c r="T479" s="1074"/>
      <c r="U479" s="1074"/>
      <c r="V479" s="1074"/>
      <c r="W479" s="1074"/>
      <c r="X479" s="1074"/>
      <c r="Y479" s="1074"/>
      <c r="Z479" s="1074"/>
      <c r="AA479" s="1074"/>
      <c r="AB479" s="1074"/>
      <c r="AC479" s="1074"/>
      <c r="AD479" s="1074"/>
      <c r="AE479" s="1074"/>
      <c r="AF479" s="1074"/>
      <c r="AG479" s="1074"/>
      <c r="AH479" s="1074"/>
      <c r="AI479" s="1074"/>
      <c r="AJ479" s="1074"/>
      <c r="AK479" s="1074"/>
      <c r="AL479" s="1074"/>
      <c r="AM479" s="1074"/>
      <c r="AN479" s="1074"/>
      <c r="AO479" s="1074"/>
      <c r="AP479" s="1074"/>
      <c r="AQ479" s="1074"/>
      <c r="AR479" s="1074"/>
      <c r="AS479" s="1074"/>
      <c r="AT479" s="1075"/>
    </row>
    <row r="480" ht="14.25" customHeight="1">
      <c r="A480" s="1116"/>
      <c r="B480" s="1120"/>
      <c r="C480" s="1100"/>
      <c r="D480" s="1100"/>
      <c r="E480" s="1100"/>
      <c r="F480" s="1100"/>
      <c r="G480" s="1100"/>
      <c r="H480" s="1100"/>
      <c r="I480" s="1100"/>
      <c r="J480" s="1100"/>
      <c r="K480" s="1074"/>
      <c r="L480" s="1074"/>
      <c r="M480" s="1074"/>
      <c r="N480" s="1074"/>
      <c r="O480" s="1074"/>
      <c r="P480" s="1074"/>
      <c r="Q480" s="1074"/>
      <c r="R480" s="1074"/>
      <c r="S480" s="1074"/>
      <c r="T480" s="1074"/>
      <c r="U480" s="1074"/>
      <c r="V480" s="1074"/>
      <c r="W480" s="1074"/>
      <c r="X480" s="1074"/>
      <c r="Y480" s="1074"/>
      <c r="Z480" s="1074"/>
      <c r="AA480" s="1074"/>
      <c r="AB480" s="1074"/>
      <c r="AC480" s="1074"/>
      <c r="AD480" s="1074"/>
      <c r="AE480" s="1074"/>
      <c r="AF480" s="1074"/>
      <c r="AG480" s="1074"/>
      <c r="AH480" s="1074"/>
      <c r="AI480" s="1074"/>
      <c r="AJ480" s="1074"/>
      <c r="AK480" s="1074"/>
      <c r="AL480" s="1074"/>
      <c r="AM480" s="1074"/>
      <c r="AN480" s="1074"/>
      <c r="AO480" s="1074"/>
      <c r="AP480" s="1074"/>
      <c r="AQ480" s="1074"/>
      <c r="AR480" s="1074"/>
      <c r="AS480" s="1074"/>
      <c r="AT480" s="1075"/>
    </row>
    <row r="481" ht="14.25" customHeight="1">
      <c r="A481" s="1116"/>
      <c r="B481" s="1120"/>
      <c r="C481" s="1100"/>
      <c r="D481" s="1100"/>
      <c r="E481" s="1100"/>
      <c r="F481" s="1100"/>
      <c r="G481" s="1100"/>
      <c r="H481" s="1100"/>
      <c r="I481" s="1100"/>
      <c r="J481" s="1100"/>
      <c r="K481" s="1074"/>
      <c r="L481" s="1074"/>
      <c r="M481" s="1074"/>
      <c r="N481" s="1074"/>
      <c r="O481" s="1074"/>
      <c r="P481" s="1074"/>
      <c r="Q481" s="1074"/>
      <c r="R481" s="1074"/>
      <c r="S481" s="1074"/>
      <c r="T481" s="1074"/>
      <c r="U481" s="1074"/>
      <c r="V481" s="1074"/>
      <c r="W481" s="1074"/>
      <c r="X481" s="1074"/>
      <c r="Y481" s="1074"/>
      <c r="Z481" s="1074"/>
      <c r="AA481" s="1074"/>
      <c r="AB481" s="1074"/>
      <c r="AC481" s="1074"/>
      <c r="AD481" s="1074"/>
      <c r="AE481" s="1074"/>
      <c r="AF481" s="1074"/>
      <c r="AG481" s="1074"/>
      <c r="AH481" s="1074"/>
      <c r="AI481" s="1074"/>
      <c r="AJ481" s="1074"/>
      <c r="AK481" s="1074"/>
      <c r="AL481" s="1074"/>
      <c r="AM481" s="1074"/>
      <c r="AN481" s="1074"/>
      <c r="AO481" s="1074"/>
      <c r="AP481" s="1074"/>
      <c r="AQ481" s="1074"/>
      <c r="AR481" s="1074"/>
      <c r="AS481" s="1074"/>
      <c r="AT481" s="1075"/>
    </row>
    <row r="482" ht="14.25" customHeight="1">
      <c r="A482" s="1116"/>
      <c r="B482" s="1120"/>
      <c r="C482" s="1100"/>
      <c r="D482" s="1100"/>
      <c r="E482" s="1100"/>
      <c r="F482" s="1100"/>
      <c r="G482" s="1100"/>
      <c r="H482" s="1100"/>
      <c r="I482" s="1100"/>
      <c r="J482" s="1100"/>
      <c r="K482" s="1074"/>
      <c r="L482" s="1074"/>
      <c r="M482" s="1074"/>
      <c r="N482" s="1074"/>
      <c r="O482" s="1074"/>
      <c r="P482" s="1074"/>
      <c r="Q482" s="1074"/>
      <c r="R482" s="1074"/>
      <c r="S482" s="1074"/>
      <c r="T482" s="1074"/>
      <c r="U482" s="1074"/>
      <c r="V482" s="1074"/>
      <c r="W482" s="1074"/>
      <c r="X482" s="1074"/>
      <c r="Y482" s="1074"/>
      <c r="Z482" s="1074"/>
      <c r="AA482" s="1074"/>
      <c r="AB482" s="1074"/>
      <c r="AC482" s="1074"/>
      <c r="AD482" s="1074"/>
      <c r="AE482" s="1074"/>
      <c r="AF482" s="1074"/>
      <c r="AG482" s="1074"/>
      <c r="AH482" s="1074"/>
      <c r="AI482" s="1074"/>
      <c r="AJ482" s="1074"/>
      <c r="AK482" s="1074"/>
      <c r="AL482" s="1074"/>
      <c r="AM482" s="1074"/>
      <c r="AN482" s="1074"/>
      <c r="AO482" s="1074"/>
      <c r="AP482" s="1074"/>
      <c r="AQ482" s="1074"/>
      <c r="AR482" s="1074"/>
      <c r="AS482" s="1074"/>
      <c r="AT482" s="1075"/>
    </row>
    <row r="483" ht="14.25" customHeight="1">
      <c r="A483" s="1116"/>
      <c r="B483" s="1120"/>
      <c r="C483" s="1100"/>
      <c r="D483" s="1100"/>
      <c r="E483" s="1100"/>
      <c r="F483" s="1100"/>
      <c r="G483" s="1100"/>
      <c r="H483" s="1100"/>
      <c r="I483" s="1100"/>
      <c r="J483" s="1100"/>
      <c r="K483" s="1074"/>
      <c r="L483" s="1074"/>
      <c r="M483" s="1074"/>
      <c r="N483" s="1074"/>
      <c r="O483" s="1074"/>
      <c r="P483" s="1074"/>
      <c r="Q483" s="1074"/>
      <c r="R483" s="1074"/>
      <c r="S483" s="1074"/>
      <c r="T483" s="1074"/>
      <c r="U483" s="1074"/>
      <c r="V483" s="1074"/>
      <c r="W483" s="1074"/>
      <c r="X483" s="1074"/>
      <c r="Y483" s="1074"/>
      <c r="Z483" s="1074"/>
      <c r="AA483" s="1074"/>
      <c r="AB483" s="1074"/>
      <c r="AC483" s="1074"/>
      <c r="AD483" s="1074"/>
      <c r="AE483" s="1074"/>
      <c r="AF483" s="1074"/>
      <c r="AG483" s="1074"/>
      <c r="AH483" s="1074"/>
      <c r="AI483" s="1074"/>
      <c r="AJ483" s="1074"/>
      <c r="AK483" s="1074"/>
      <c r="AL483" s="1074"/>
      <c r="AM483" s="1074"/>
      <c r="AN483" s="1074"/>
      <c r="AO483" s="1074"/>
      <c r="AP483" s="1074"/>
      <c r="AQ483" s="1074"/>
      <c r="AR483" s="1074"/>
      <c r="AS483" s="1074"/>
      <c r="AT483" s="1075"/>
    </row>
    <row r="484" ht="14.25" customHeight="1">
      <c r="A484" s="1116"/>
      <c r="B484" s="1120"/>
      <c r="C484" s="1100"/>
      <c r="D484" s="1100"/>
      <c r="E484" s="1100"/>
      <c r="F484" s="1100"/>
      <c r="G484" s="1100"/>
      <c r="H484" s="1100"/>
      <c r="I484" s="1100"/>
      <c r="J484" s="1100"/>
      <c r="K484" s="1074"/>
      <c r="L484" s="1074"/>
      <c r="M484" s="1074"/>
      <c r="N484" s="1074"/>
      <c r="O484" s="1074"/>
      <c r="P484" s="1074"/>
      <c r="Q484" s="1074"/>
      <c r="R484" s="1074"/>
      <c r="S484" s="1074"/>
      <c r="T484" s="1074"/>
      <c r="U484" s="1074"/>
      <c r="V484" s="1074"/>
      <c r="W484" s="1074"/>
      <c r="X484" s="1074"/>
      <c r="Y484" s="1074"/>
      <c r="Z484" s="1074"/>
      <c r="AA484" s="1074"/>
      <c r="AB484" s="1074"/>
      <c r="AC484" s="1074"/>
      <c r="AD484" s="1074"/>
      <c r="AE484" s="1074"/>
      <c r="AF484" s="1074"/>
      <c r="AG484" s="1074"/>
      <c r="AH484" s="1074"/>
      <c r="AI484" s="1074"/>
      <c r="AJ484" s="1074"/>
      <c r="AK484" s="1074"/>
      <c r="AL484" s="1074"/>
      <c r="AM484" s="1074"/>
      <c r="AN484" s="1074"/>
      <c r="AO484" s="1074"/>
      <c r="AP484" s="1074"/>
      <c r="AQ484" s="1074"/>
      <c r="AR484" s="1074"/>
      <c r="AS484" s="1074"/>
      <c r="AT484" s="1075"/>
    </row>
    <row r="485" ht="14.25" customHeight="1">
      <c r="A485" s="1116"/>
      <c r="B485" s="1120"/>
      <c r="C485" s="1100"/>
      <c r="D485" s="1100"/>
      <c r="E485" s="1100"/>
      <c r="F485" s="1100"/>
      <c r="G485" s="1100"/>
      <c r="H485" s="1100"/>
      <c r="I485" s="1100"/>
      <c r="J485" s="1100"/>
      <c r="K485" s="1074"/>
      <c r="L485" s="1074"/>
      <c r="M485" s="1074"/>
      <c r="N485" s="1074"/>
      <c r="O485" s="1074"/>
      <c r="P485" s="1074"/>
      <c r="Q485" s="1074"/>
      <c r="R485" s="1074"/>
      <c r="S485" s="1074"/>
      <c r="T485" s="1074"/>
      <c r="U485" s="1074"/>
      <c r="V485" s="1074"/>
      <c r="W485" s="1074"/>
      <c r="X485" s="1074"/>
      <c r="Y485" s="1074"/>
      <c r="Z485" s="1074"/>
      <c r="AA485" s="1074"/>
      <c r="AB485" s="1074"/>
      <c r="AC485" s="1074"/>
      <c r="AD485" s="1074"/>
      <c r="AE485" s="1074"/>
      <c r="AF485" s="1074"/>
      <c r="AG485" s="1074"/>
      <c r="AH485" s="1074"/>
      <c r="AI485" s="1074"/>
      <c r="AJ485" s="1074"/>
      <c r="AK485" s="1074"/>
      <c r="AL485" s="1074"/>
      <c r="AM485" s="1074"/>
      <c r="AN485" s="1074"/>
      <c r="AO485" s="1074"/>
      <c r="AP485" s="1074"/>
      <c r="AQ485" s="1074"/>
      <c r="AR485" s="1074"/>
      <c r="AS485" s="1074"/>
      <c r="AT485" s="1075"/>
    </row>
    <row r="486" ht="14.25" customHeight="1">
      <c r="A486" s="1116"/>
      <c r="B486" s="1120"/>
      <c r="C486" s="1100"/>
      <c r="D486" s="1100"/>
      <c r="E486" s="1100"/>
      <c r="F486" s="1100"/>
      <c r="G486" s="1100"/>
      <c r="H486" s="1100"/>
      <c r="I486" s="1100"/>
      <c r="J486" s="1100"/>
      <c r="K486" s="1074"/>
      <c r="L486" s="1074"/>
      <c r="M486" s="1074"/>
      <c r="N486" s="1074"/>
      <c r="O486" s="1074"/>
      <c r="P486" s="1074"/>
      <c r="Q486" s="1074"/>
      <c r="R486" s="1074"/>
      <c r="S486" s="1074"/>
      <c r="T486" s="1074"/>
      <c r="U486" s="1074"/>
      <c r="V486" s="1074"/>
      <c r="W486" s="1074"/>
      <c r="X486" s="1074"/>
      <c r="Y486" s="1074"/>
      <c r="Z486" s="1074"/>
      <c r="AA486" s="1074"/>
      <c r="AB486" s="1074"/>
      <c r="AC486" s="1074"/>
      <c r="AD486" s="1074"/>
      <c r="AE486" s="1074"/>
      <c r="AF486" s="1074"/>
      <c r="AG486" s="1074"/>
      <c r="AH486" s="1074"/>
      <c r="AI486" s="1074"/>
      <c r="AJ486" s="1074"/>
      <c r="AK486" s="1074"/>
      <c r="AL486" s="1074"/>
      <c r="AM486" s="1074"/>
      <c r="AN486" s="1074"/>
      <c r="AO486" s="1074"/>
      <c r="AP486" s="1074"/>
      <c r="AQ486" s="1074"/>
      <c r="AR486" s="1074"/>
      <c r="AS486" s="1074"/>
      <c r="AT486" s="1075"/>
    </row>
    <row r="487" ht="14.25" customHeight="1">
      <c r="A487" s="1116"/>
      <c r="B487" s="1120"/>
      <c r="C487" s="1100"/>
      <c r="D487" s="1100"/>
      <c r="E487" s="1100"/>
      <c r="F487" s="1100"/>
      <c r="G487" s="1100"/>
      <c r="H487" s="1100"/>
      <c r="I487" s="1100"/>
      <c r="J487" s="1100"/>
      <c r="K487" s="1074"/>
      <c r="L487" s="1074"/>
      <c r="M487" s="1074"/>
      <c r="N487" s="1074"/>
      <c r="O487" s="1074"/>
      <c r="P487" s="1074"/>
      <c r="Q487" s="1074"/>
      <c r="R487" s="1074"/>
      <c r="S487" s="1074"/>
      <c r="T487" s="1074"/>
      <c r="U487" s="1074"/>
      <c r="V487" s="1074"/>
      <c r="W487" s="1074"/>
      <c r="X487" s="1074"/>
      <c r="Y487" s="1074"/>
      <c r="Z487" s="1074"/>
      <c r="AA487" s="1074"/>
      <c r="AB487" s="1074"/>
      <c r="AC487" s="1074"/>
      <c r="AD487" s="1074"/>
      <c r="AE487" s="1074"/>
      <c r="AF487" s="1074"/>
      <c r="AG487" s="1074"/>
      <c r="AH487" s="1074"/>
      <c r="AI487" s="1074"/>
      <c r="AJ487" s="1074"/>
      <c r="AK487" s="1074"/>
      <c r="AL487" s="1074"/>
      <c r="AM487" s="1074"/>
      <c r="AN487" s="1074"/>
      <c r="AO487" s="1074"/>
      <c r="AP487" s="1074"/>
      <c r="AQ487" s="1074"/>
      <c r="AR487" s="1074"/>
      <c r="AS487" s="1074"/>
      <c r="AT487" s="1075"/>
    </row>
    <row r="488" ht="14.25" customHeight="1">
      <c r="A488" s="1116"/>
      <c r="B488" s="1120"/>
      <c r="C488" s="1100"/>
      <c r="D488" s="1100"/>
      <c r="E488" s="1100"/>
      <c r="F488" s="1100"/>
      <c r="G488" s="1100"/>
      <c r="H488" s="1100"/>
      <c r="I488" s="1100"/>
      <c r="J488" s="1100"/>
      <c r="K488" s="1074"/>
      <c r="L488" s="1074"/>
      <c r="M488" s="1074"/>
      <c r="N488" s="1074"/>
      <c r="O488" s="1074"/>
      <c r="P488" s="1074"/>
      <c r="Q488" s="1074"/>
      <c r="R488" s="1074"/>
      <c r="S488" s="1074"/>
      <c r="T488" s="1074"/>
      <c r="U488" s="1074"/>
      <c r="V488" s="1074"/>
      <c r="W488" s="1074"/>
      <c r="X488" s="1074"/>
      <c r="Y488" s="1074"/>
      <c r="Z488" s="1074"/>
      <c r="AA488" s="1074"/>
      <c r="AB488" s="1074"/>
      <c r="AC488" s="1074"/>
      <c r="AD488" s="1074"/>
      <c r="AE488" s="1074"/>
      <c r="AF488" s="1074"/>
      <c r="AG488" s="1074"/>
      <c r="AH488" s="1074"/>
      <c r="AI488" s="1074"/>
      <c r="AJ488" s="1074"/>
      <c r="AK488" s="1074"/>
      <c r="AL488" s="1074"/>
      <c r="AM488" s="1074"/>
      <c r="AN488" s="1074"/>
      <c r="AO488" s="1074"/>
      <c r="AP488" s="1074"/>
      <c r="AQ488" s="1074"/>
      <c r="AR488" s="1074"/>
      <c r="AS488" s="1074"/>
      <c r="AT488" s="1075"/>
    </row>
    <row r="489" ht="14.25" customHeight="1">
      <c r="A489" s="1116"/>
      <c r="B489" s="1120"/>
      <c r="C489" s="1100"/>
      <c r="D489" s="1100"/>
      <c r="E489" s="1100"/>
      <c r="F489" s="1100"/>
      <c r="G489" s="1100"/>
      <c r="H489" s="1100"/>
      <c r="I489" s="1100"/>
      <c r="J489" s="1100"/>
      <c r="K489" s="1074"/>
      <c r="L489" s="1074"/>
      <c r="M489" s="1074"/>
      <c r="N489" s="1074"/>
      <c r="O489" s="1074"/>
      <c r="P489" s="1074"/>
      <c r="Q489" s="1074"/>
      <c r="R489" s="1074"/>
      <c r="S489" s="1074"/>
      <c r="T489" s="1074"/>
      <c r="U489" s="1074"/>
      <c r="V489" s="1074"/>
      <c r="W489" s="1074"/>
      <c r="X489" s="1074"/>
      <c r="Y489" s="1074"/>
      <c r="Z489" s="1074"/>
      <c r="AA489" s="1074"/>
      <c r="AB489" s="1074"/>
      <c r="AC489" s="1074"/>
      <c r="AD489" s="1074"/>
      <c r="AE489" s="1074"/>
      <c r="AF489" s="1074"/>
      <c r="AG489" s="1074"/>
      <c r="AH489" s="1074"/>
      <c r="AI489" s="1074"/>
      <c r="AJ489" s="1074"/>
      <c r="AK489" s="1074"/>
      <c r="AL489" s="1074"/>
      <c r="AM489" s="1074"/>
      <c r="AN489" s="1074"/>
      <c r="AO489" s="1074"/>
      <c r="AP489" s="1074"/>
      <c r="AQ489" s="1074"/>
      <c r="AR489" s="1074"/>
      <c r="AS489" s="1074"/>
      <c r="AT489" s="1075"/>
    </row>
    <row r="490" ht="14.25" customHeight="1">
      <c r="A490" s="1116"/>
      <c r="B490" s="1120"/>
      <c r="C490" s="1100"/>
      <c r="D490" s="1100"/>
      <c r="E490" s="1100"/>
      <c r="F490" s="1100"/>
      <c r="G490" s="1100"/>
      <c r="H490" s="1100"/>
      <c r="I490" s="1100"/>
      <c r="J490" s="1100"/>
      <c r="K490" s="1074"/>
      <c r="L490" s="1074"/>
      <c r="M490" s="1074"/>
      <c r="N490" s="1074"/>
      <c r="O490" s="1074"/>
      <c r="P490" s="1074"/>
      <c r="Q490" s="1074"/>
      <c r="R490" s="1074"/>
      <c r="S490" s="1074"/>
      <c r="T490" s="1074"/>
      <c r="U490" s="1074"/>
      <c r="V490" s="1074"/>
      <c r="W490" s="1074"/>
      <c r="X490" s="1074"/>
      <c r="Y490" s="1074"/>
      <c r="Z490" s="1074"/>
      <c r="AA490" s="1074"/>
      <c r="AB490" s="1074"/>
      <c r="AC490" s="1074"/>
      <c r="AD490" s="1074"/>
      <c r="AE490" s="1074"/>
      <c r="AF490" s="1074"/>
      <c r="AG490" s="1074"/>
      <c r="AH490" s="1074"/>
      <c r="AI490" s="1074"/>
      <c r="AJ490" s="1074"/>
      <c r="AK490" s="1074"/>
      <c r="AL490" s="1074"/>
      <c r="AM490" s="1074"/>
      <c r="AN490" s="1074"/>
      <c r="AO490" s="1074"/>
      <c r="AP490" s="1074"/>
      <c r="AQ490" s="1074"/>
      <c r="AR490" s="1074"/>
      <c r="AS490" s="1074"/>
      <c r="AT490" s="1075"/>
    </row>
    <row r="491" ht="14.25" customHeight="1">
      <c r="A491" s="1116"/>
      <c r="B491" s="1120"/>
      <c r="C491" s="1100"/>
      <c r="D491" s="1100"/>
      <c r="E491" s="1100"/>
      <c r="F491" s="1100"/>
      <c r="G491" s="1100"/>
      <c r="H491" s="1100"/>
      <c r="I491" s="1100"/>
      <c r="J491" s="1100"/>
      <c r="K491" s="1074"/>
      <c r="L491" s="1074"/>
      <c r="M491" s="1074"/>
      <c r="N491" s="1074"/>
      <c r="O491" s="1074"/>
      <c r="P491" s="1074"/>
      <c r="Q491" s="1074"/>
      <c r="R491" s="1074"/>
      <c r="S491" s="1074"/>
      <c r="T491" s="1074"/>
      <c r="U491" s="1074"/>
      <c r="V491" s="1074"/>
      <c r="W491" s="1074"/>
      <c r="X491" s="1074"/>
      <c r="Y491" s="1074"/>
      <c r="Z491" s="1074"/>
      <c r="AA491" s="1074"/>
      <c r="AB491" s="1074"/>
      <c r="AC491" s="1074"/>
      <c r="AD491" s="1074"/>
      <c r="AE491" s="1074"/>
      <c r="AF491" s="1074"/>
      <c r="AG491" s="1074"/>
      <c r="AH491" s="1074"/>
      <c r="AI491" s="1074"/>
      <c r="AJ491" s="1074"/>
      <c r="AK491" s="1074"/>
      <c r="AL491" s="1074"/>
      <c r="AM491" s="1074"/>
      <c r="AN491" s="1074"/>
      <c r="AO491" s="1074"/>
      <c r="AP491" s="1074"/>
      <c r="AQ491" s="1074"/>
      <c r="AR491" s="1074"/>
      <c r="AS491" s="1074"/>
      <c r="AT491" s="1075"/>
    </row>
    <row r="492" ht="14.25" customHeight="1">
      <c r="A492" s="1116"/>
      <c r="B492" s="1120"/>
      <c r="C492" s="1100"/>
      <c r="D492" s="1100"/>
      <c r="E492" s="1100"/>
      <c r="F492" s="1100"/>
      <c r="G492" s="1100"/>
      <c r="H492" s="1100"/>
      <c r="I492" s="1100"/>
      <c r="J492" s="1100"/>
      <c r="K492" s="1074"/>
      <c r="L492" s="1074"/>
      <c r="M492" s="1074"/>
      <c r="N492" s="1074"/>
      <c r="O492" s="1074"/>
      <c r="P492" s="1074"/>
      <c r="Q492" s="1074"/>
      <c r="R492" s="1074"/>
      <c r="S492" s="1074"/>
      <c r="T492" s="1074"/>
      <c r="U492" s="1074"/>
      <c r="V492" s="1074"/>
      <c r="W492" s="1074"/>
      <c r="X492" s="1074"/>
      <c r="Y492" s="1074"/>
      <c r="Z492" s="1074"/>
      <c r="AA492" s="1074"/>
      <c r="AB492" s="1074"/>
      <c r="AC492" s="1074"/>
      <c r="AD492" s="1074"/>
      <c r="AE492" s="1074"/>
      <c r="AF492" s="1074"/>
      <c r="AG492" s="1074"/>
      <c r="AH492" s="1074"/>
      <c r="AI492" s="1074"/>
      <c r="AJ492" s="1074"/>
      <c r="AK492" s="1074"/>
      <c r="AL492" s="1074"/>
      <c r="AM492" s="1074"/>
      <c r="AN492" s="1074"/>
      <c r="AO492" s="1074"/>
      <c r="AP492" s="1074"/>
      <c r="AQ492" s="1074"/>
      <c r="AR492" s="1074"/>
      <c r="AS492" s="1074"/>
      <c r="AT492" s="1075"/>
    </row>
    <row r="493" ht="14.25" customHeight="1">
      <c r="A493" s="1116"/>
      <c r="B493" s="1120"/>
      <c r="C493" s="1100"/>
      <c r="D493" s="1100"/>
      <c r="E493" s="1100"/>
      <c r="F493" s="1100"/>
      <c r="G493" s="1100"/>
      <c r="H493" s="1100"/>
      <c r="I493" s="1100"/>
      <c r="J493" s="1100"/>
      <c r="K493" s="1074"/>
      <c r="L493" s="1074"/>
      <c r="M493" s="1074"/>
      <c r="N493" s="1074"/>
      <c r="O493" s="1074"/>
      <c r="P493" s="1074"/>
      <c r="Q493" s="1074"/>
      <c r="R493" s="1074"/>
      <c r="S493" s="1074"/>
      <c r="T493" s="1074"/>
      <c r="U493" s="1074"/>
      <c r="V493" s="1074"/>
      <c r="W493" s="1074"/>
      <c r="X493" s="1074"/>
      <c r="Y493" s="1074"/>
      <c r="Z493" s="1074"/>
      <c r="AA493" s="1074"/>
      <c r="AB493" s="1074"/>
      <c r="AC493" s="1074"/>
      <c r="AD493" s="1074"/>
      <c r="AE493" s="1074"/>
      <c r="AF493" s="1074"/>
      <c r="AG493" s="1074"/>
      <c r="AH493" s="1074"/>
      <c r="AI493" s="1074"/>
      <c r="AJ493" s="1074"/>
      <c r="AK493" s="1074"/>
      <c r="AL493" s="1074"/>
      <c r="AM493" s="1074"/>
      <c r="AN493" s="1074"/>
      <c r="AO493" s="1074"/>
      <c r="AP493" s="1074"/>
      <c r="AQ493" s="1074"/>
      <c r="AR493" s="1074"/>
      <c r="AS493" s="1074"/>
      <c r="AT493" s="1075"/>
    </row>
    <row r="494" ht="14.25" customHeight="1">
      <c r="A494" s="1116"/>
      <c r="B494" s="1120"/>
      <c r="C494" s="1100"/>
      <c r="D494" s="1100"/>
      <c r="E494" s="1100"/>
      <c r="F494" s="1100"/>
      <c r="G494" s="1100"/>
      <c r="H494" s="1100"/>
      <c r="I494" s="1100"/>
      <c r="J494" s="1100"/>
      <c r="K494" s="1074"/>
      <c r="L494" s="1074"/>
      <c r="M494" s="1074"/>
      <c r="N494" s="1074"/>
      <c r="O494" s="1074"/>
      <c r="P494" s="1074"/>
      <c r="Q494" s="1074"/>
      <c r="R494" s="1074"/>
      <c r="S494" s="1074"/>
      <c r="T494" s="1074"/>
      <c r="U494" s="1074"/>
      <c r="V494" s="1074"/>
      <c r="W494" s="1074"/>
      <c r="X494" s="1074"/>
      <c r="Y494" s="1074"/>
      <c r="Z494" s="1074"/>
      <c r="AA494" s="1074"/>
      <c r="AB494" s="1074"/>
      <c r="AC494" s="1074"/>
      <c r="AD494" s="1074"/>
      <c r="AE494" s="1074"/>
      <c r="AF494" s="1074"/>
      <c r="AG494" s="1074"/>
      <c r="AH494" s="1074"/>
      <c r="AI494" s="1074"/>
      <c r="AJ494" s="1074"/>
      <c r="AK494" s="1074"/>
      <c r="AL494" s="1074"/>
      <c r="AM494" s="1074"/>
      <c r="AN494" s="1074"/>
      <c r="AO494" s="1074"/>
      <c r="AP494" s="1074"/>
      <c r="AQ494" s="1074"/>
      <c r="AR494" s="1074"/>
      <c r="AS494" s="1074"/>
      <c r="AT494" s="1075"/>
    </row>
    <row r="495" ht="14.25" customHeight="1">
      <c r="A495" s="1116"/>
      <c r="B495" s="1120"/>
      <c r="C495" s="1100"/>
      <c r="D495" s="1100"/>
      <c r="E495" s="1100"/>
      <c r="F495" s="1100"/>
      <c r="G495" s="1100"/>
      <c r="H495" s="1100"/>
      <c r="I495" s="1100"/>
      <c r="J495" s="1100"/>
      <c r="K495" s="1074"/>
      <c r="L495" s="1074"/>
      <c r="M495" s="1074"/>
      <c r="N495" s="1074"/>
      <c r="O495" s="1074"/>
      <c r="P495" s="1074"/>
      <c r="Q495" s="1074"/>
      <c r="R495" s="1074"/>
      <c r="S495" s="1074"/>
      <c r="T495" s="1074"/>
      <c r="U495" s="1074"/>
      <c r="V495" s="1074"/>
      <c r="W495" s="1074"/>
      <c r="X495" s="1074"/>
      <c r="Y495" s="1074"/>
      <c r="Z495" s="1074"/>
      <c r="AA495" s="1074"/>
      <c r="AB495" s="1074"/>
      <c r="AC495" s="1074"/>
      <c r="AD495" s="1074"/>
      <c r="AE495" s="1074"/>
      <c r="AF495" s="1074"/>
      <c r="AG495" s="1074"/>
      <c r="AH495" s="1074"/>
      <c r="AI495" s="1074"/>
      <c r="AJ495" s="1074"/>
      <c r="AK495" s="1074"/>
      <c r="AL495" s="1074"/>
      <c r="AM495" s="1074"/>
      <c r="AN495" s="1074"/>
      <c r="AO495" s="1074"/>
      <c r="AP495" s="1074"/>
      <c r="AQ495" s="1074"/>
      <c r="AR495" s="1074"/>
      <c r="AS495" s="1074"/>
      <c r="AT495" s="1075"/>
    </row>
    <row r="496" ht="14.25" customHeight="1">
      <c r="A496" s="1116"/>
      <c r="B496" s="1120"/>
      <c r="C496" s="1100"/>
      <c r="D496" s="1100"/>
      <c r="E496" s="1100"/>
      <c r="F496" s="1100"/>
      <c r="G496" s="1100"/>
      <c r="H496" s="1100"/>
      <c r="I496" s="1100"/>
      <c r="J496" s="1100"/>
      <c r="K496" s="1074"/>
      <c r="L496" s="1074"/>
      <c r="M496" s="1074"/>
      <c r="N496" s="1074"/>
      <c r="O496" s="1074"/>
      <c r="P496" s="1074"/>
      <c r="Q496" s="1074"/>
      <c r="R496" s="1074"/>
      <c r="S496" s="1074"/>
      <c r="T496" s="1074"/>
      <c r="U496" s="1074"/>
      <c r="V496" s="1074"/>
      <c r="W496" s="1074"/>
      <c r="X496" s="1074"/>
      <c r="Y496" s="1074"/>
      <c r="Z496" s="1074"/>
      <c r="AA496" s="1074"/>
      <c r="AB496" s="1074"/>
      <c r="AC496" s="1074"/>
      <c r="AD496" s="1074"/>
      <c r="AE496" s="1074"/>
      <c r="AF496" s="1074"/>
      <c r="AG496" s="1074"/>
      <c r="AH496" s="1074"/>
      <c r="AI496" s="1074"/>
      <c r="AJ496" s="1074"/>
      <c r="AK496" s="1074"/>
      <c r="AL496" s="1074"/>
      <c r="AM496" s="1074"/>
      <c r="AN496" s="1074"/>
      <c r="AO496" s="1074"/>
      <c r="AP496" s="1074"/>
      <c r="AQ496" s="1074"/>
      <c r="AR496" s="1074"/>
      <c r="AS496" s="1074"/>
      <c r="AT496" s="1075"/>
    </row>
    <row r="497" ht="14.25" customHeight="1">
      <c r="A497" s="1116"/>
      <c r="B497" s="1120"/>
      <c r="C497" s="1100"/>
      <c r="D497" s="1100"/>
      <c r="E497" s="1100"/>
      <c r="F497" s="1100"/>
      <c r="G497" s="1100"/>
      <c r="H497" s="1100"/>
      <c r="I497" s="1100"/>
      <c r="J497" s="1100"/>
      <c r="K497" s="1074"/>
      <c r="L497" s="1074"/>
      <c r="M497" s="1074"/>
      <c r="N497" s="1074"/>
      <c r="O497" s="1074"/>
      <c r="P497" s="1074"/>
      <c r="Q497" s="1074"/>
      <c r="R497" s="1074"/>
      <c r="S497" s="1074"/>
      <c r="T497" s="1074"/>
      <c r="U497" s="1074"/>
      <c r="V497" s="1074"/>
      <c r="W497" s="1074"/>
      <c r="X497" s="1074"/>
      <c r="Y497" s="1074"/>
      <c r="Z497" s="1074"/>
      <c r="AA497" s="1074"/>
      <c r="AB497" s="1074"/>
      <c r="AC497" s="1074"/>
      <c r="AD497" s="1074"/>
      <c r="AE497" s="1074"/>
      <c r="AF497" s="1074"/>
      <c r="AG497" s="1074"/>
      <c r="AH497" s="1074"/>
      <c r="AI497" s="1074"/>
      <c r="AJ497" s="1074"/>
      <c r="AK497" s="1074"/>
      <c r="AL497" s="1074"/>
      <c r="AM497" s="1074"/>
      <c r="AN497" s="1074"/>
      <c r="AO497" s="1074"/>
      <c r="AP497" s="1074"/>
      <c r="AQ497" s="1074"/>
      <c r="AR497" s="1074"/>
      <c r="AS497" s="1074"/>
      <c r="AT497" s="1075"/>
    </row>
    <row r="498" ht="14.25" customHeight="1">
      <c r="A498" s="1116"/>
      <c r="B498" s="1120"/>
      <c r="C498" s="1100"/>
      <c r="D498" s="1100"/>
      <c r="E498" s="1100"/>
      <c r="F498" s="1100"/>
      <c r="G498" s="1100"/>
      <c r="H498" s="1100"/>
      <c r="I498" s="1100"/>
      <c r="J498" s="1100"/>
      <c r="K498" s="1074"/>
      <c r="L498" s="1074"/>
      <c r="M498" s="1074"/>
      <c r="N498" s="1074"/>
      <c r="O498" s="1074"/>
      <c r="P498" s="1074"/>
      <c r="Q498" s="1074"/>
      <c r="R498" s="1074"/>
      <c r="S498" s="1074"/>
      <c r="T498" s="1074"/>
      <c r="U498" s="1074"/>
      <c r="V498" s="1074"/>
      <c r="W498" s="1074"/>
      <c r="X498" s="1074"/>
      <c r="Y498" s="1074"/>
      <c r="Z498" s="1074"/>
      <c r="AA498" s="1074"/>
      <c r="AB498" s="1074"/>
      <c r="AC498" s="1074"/>
      <c r="AD498" s="1074"/>
      <c r="AE498" s="1074"/>
      <c r="AF498" s="1074"/>
      <c r="AG498" s="1074"/>
      <c r="AH498" s="1074"/>
      <c r="AI498" s="1074"/>
      <c r="AJ498" s="1074"/>
      <c r="AK498" s="1074"/>
      <c r="AL498" s="1074"/>
      <c r="AM498" s="1074"/>
      <c r="AN498" s="1074"/>
      <c r="AO498" s="1074"/>
      <c r="AP498" s="1074"/>
      <c r="AQ498" s="1074"/>
      <c r="AR498" s="1074"/>
      <c r="AS498" s="1074"/>
      <c r="AT498" s="1075"/>
    </row>
    <row r="499" ht="14.25" customHeight="1">
      <c r="A499" s="1116"/>
      <c r="B499" s="1120"/>
      <c r="C499" s="1100"/>
      <c r="D499" s="1100"/>
      <c r="E499" s="1100"/>
      <c r="F499" s="1100"/>
      <c r="G499" s="1100"/>
      <c r="H499" s="1100"/>
      <c r="I499" s="1100"/>
      <c r="J499" s="1100"/>
      <c r="K499" s="1074"/>
      <c r="L499" s="1074"/>
      <c r="M499" s="1074"/>
      <c r="N499" s="1074"/>
      <c r="O499" s="1074"/>
      <c r="P499" s="1074"/>
      <c r="Q499" s="1074"/>
      <c r="R499" s="1074"/>
      <c r="S499" s="1074"/>
      <c r="T499" s="1074"/>
      <c r="U499" s="1074"/>
      <c r="V499" s="1074"/>
      <c r="W499" s="1074"/>
      <c r="X499" s="1074"/>
      <c r="Y499" s="1074"/>
      <c r="Z499" s="1074"/>
      <c r="AA499" s="1074"/>
      <c r="AB499" s="1074"/>
      <c r="AC499" s="1074"/>
      <c r="AD499" s="1074"/>
      <c r="AE499" s="1074"/>
      <c r="AF499" s="1074"/>
      <c r="AG499" s="1074"/>
      <c r="AH499" s="1074"/>
      <c r="AI499" s="1074"/>
      <c r="AJ499" s="1074"/>
      <c r="AK499" s="1074"/>
      <c r="AL499" s="1074"/>
      <c r="AM499" s="1074"/>
      <c r="AN499" s="1074"/>
      <c r="AO499" s="1074"/>
      <c r="AP499" s="1074"/>
      <c r="AQ499" s="1074"/>
      <c r="AR499" s="1074"/>
      <c r="AS499" s="1074"/>
      <c r="AT499" s="1075"/>
    </row>
    <row r="500" ht="14.25" customHeight="1">
      <c r="A500" s="1116"/>
      <c r="B500" s="1120"/>
      <c r="C500" s="1100"/>
      <c r="D500" s="1100"/>
      <c r="E500" s="1100"/>
      <c r="F500" s="1100"/>
      <c r="G500" s="1100"/>
      <c r="H500" s="1100"/>
      <c r="I500" s="1100"/>
      <c r="J500" s="1100"/>
      <c r="K500" s="1074"/>
      <c r="L500" s="1074"/>
      <c r="M500" s="1074"/>
      <c r="N500" s="1074"/>
      <c r="O500" s="1074"/>
      <c r="P500" s="1074"/>
      <c r="Q500" s="1074"/>
      <c r="R500" s="1074"/>
      <c r="S500" s="1074"/>
      <c r="T500" s="1074"/>
      <c r="U500" s="1074"/>
      <c r="V500" s="1074"/>
      <c r="W500" s="1074"/>
      <c r="X500" s="1074"/>
      <c r="Y500" s="1074"/>
      <c r="Z500" s="1074"/>
      <c r="AA500" s="1074"/>
      <c r="AB500" s="1074"/>
      <c r="AC500" s="1074"/>
      <c r="AD500" s="1074"/>
      <c r="AE500" s="1074"/>
      <c r="AF500" s="1074"/>
      <c r="AG500" s="1074"/>
      <c r="AH500" s="1074"/>
      <c r="AI500" s="1074"/>
      <c r="AJ500" s="1074"/>
      <c r="AK500" s="1074"/>
      <c r="AL500" s="1074"/>
      <c r="AM500" s="1074"/>
      <c r="AN500" s="1074"/>
      <c r="AO500" s="1074"/>
      <c r="AP500" s="1074"/>
      <c r="AQ500" s="1074"/>
      <c r="AR500" s="1074"/>
      <c r="AS500" s="1074"/>
      <c r="AT500" s="1075"/>
    </row>
    <row r="501" ht="14.25" customHeight="1">
      <c r="A501" s="1116"/>
      <c r="B501" s="1120"/>
      <c r="C501" s="1100"/>
      <c r="D501" s="1100"/>
      <c r="E501" s="1100"/>
      <c r="F501" s="1100"/>
      <c r="G501" s="1100"/>
      <c r="H501" s="1100"/>
      <c r="I501" s="1100"/>
      <c r="J501" s="1100"/>
      <c r="K501" s="1074"/>
      <c r="L501" s="1074"/>
      <c r="M501" s="1074"/>
      <c r="N501" s="1074"/>
      <c r="O501" s="1074"/>
      <c r="P501" s="1074"/>
      <c r="Q501" s="1074"/>
      <c r="R501" s="1074"/>
      <c r="S501" s="1074"/>
      <c r="T501" s="1074"/>
      <c r="U501" s="1074"/>
      <c r="V501" s="1074"/>
      <c r="W501" s="1074"/>
      <c r="X501" s="1074"/>
      <c r="Y501" s="1074"/>
      <c r="Z501" s="1074"/>
      <c r="AA501" s="1074"/>
      <c r="AB501" s="1074"/>
      <c r="AC501" s="1074"/>
      <c r="AD501" s="1074"/>
      <c r="AE501" s="1074"/>
      <c r="AF501" s="1074"/>
      <c r="AG501" s="1074"/>
      <c r="AH501" s="1074"/>
      <c r="AI501" s="1074"/>
      <c r="AJ501" s="1074"/>
      <c r="AK501" s="1074"/>
      <c r="AL501" s="1074"/>
      <c r="AM501" s="1074"/>
      <c r="AN501" s="1074"/>
      <c r="AO501" s="1074"/>
      <c r="AP501" s="1074"/>
      <c r="AQ501" s="1074"/>
      <c r="AR501" s="1074"/>
      <c r="AS501" s="1074"/>
      <c r="AT501" s="1075"/>
    </row>
    <row r="502" ht="14.25" customHeight="1">
      <c r="A502" s="1116"/>
      <c r="B502" s="1120"/>
      <c r="C502" s="1100"/>
      <c r="D502" s="1100"/>
      <c r="E502" s="1100"/>
      <c r="F502" s="1100"/>
      <c r="G502" s="1100"/>
      <c r="H502" s="1100"/>
      <c r="I502" s="1100"/>
      <c r="J502" s="1100"/>
      <c r="K502" s="1074"/>
      <c r="L502" s="1074"/>
      <c r="M502" s="1074"/>
      <c r="N502" s="1074"/>
      <c r="O502" s="1074"/>
      <c r="P502" s="1074"/>
      <c r="Q502" s="1074"/>
      <c r="R502" s="1074"/>
      <c r="S502" s="1074"/>
      <c r="T502" s="1074"/>
      <c r="U502" s="1074"/>
      <c r="V502" s="1074"/>
      <c r="W502" s="1074"/>
      <c r="X502" s="1074"/>
      <c r="Y502" s="1074"/>
      <c r="Z502" s="1074"/>
      <c r="AA502" s="1074"/>
      <c r="AB502" s="1074"/>
      <c r="AC502" s="1074"/>
      <c r="AD502" s="1074"/>
      <c r="AE502" s="1074"/>
      <c r="AF502" s="1074"/>
      <c r="AG502" s="1074"/>
      <c r="AH502" s="1074"/>
      <c r="AI502" s="1074"/>
      <c r="AJ502" s="1074"/>
      <c r="AK502" s="1074"/>
      <c r="AL502" s="1074"/>
      <c r="AM502" s="1074"/>
      <c r="AN502" s="1074"/>
      <c r="AO502" s="1074"/>
      <c r="AP502" s="1074"/>
      <c r="AQ502" s="1074"/>
      <c r="AR502" s="1074"/>
      <c r="AS502" s="1074"/>
      <c r="AT502" s="1075"/>
    </row>
    <row r="503" ht="14.25" customHeight="1">
      <c r="A503" s="1116"/>
      <c r="B503" s="1120"/>
      <c r="C503" s="1100"/>
      <c r="D503" s="1100"/>
      <c r="E503" s="1100"/>
      <c r="F503" s="1100"/>
      <c r="G503" s="1100"/>
      <c r="H503" s="1100"/>
      <c r="I503" s="1100"/>
      <c r="J503" s="1100"/>
      <c r="K503" s="1074"/>
      <c r="L503" s="1074"/>
      <c r="M503" s="1074"/>
      <c r="N503" s="1074"/>
      <c r="O503" s="1074"/>
      <c r="P503" s="1074"/>
      <c r="Q503" s="1074"/>
      <c r="R503" s="1074"/>
      <c r="S503" s="1074"/>
      <c r="T503" s="1074"/>
      <c r="U503" s="1074"/>
      <c r="V503" s="1074"/>
      <c r="W503" s="1074"/>
      <c r="X503" s="1074"/>
      <c r="Y503" s="1074"/>
      <c r="Z503" s="1074"/>
      <c r="AA503" s="1074"/>
      <c r="AB503" s="1074"/>
      <c r="AC503" s="1074"/>
      <c r="AD503" s="1074"/>
      <c r="AE503" s="1074"/>
      <c r="AF503" s="1074"/>
      <c r="AG503" s="1074"/>
      <c r="AH503" s="1074"/>
      <c r="AI503" s="1074"/>
      <c r="AJ503" s="1074"/>
      <c r="AK503" s="1074"/>
      <c r="AL503" s="1074"/>
      <c r="AM503" s="1074"/>
      <c r="AN503" s="1074"/>
      <c r="AO503" s="1074"/>
      <c r="AP503" s="1074"/>
      <c r="AQ503" s="1074"/>
      <c r="AR503" s="1074"/>
      <c r="AS503" s="1074"/>
      <c r="AT503" s="1075"/>
    </row>
    <row r="504" ht="14.25" customHeight="1">
      <c r="A504" s="1116"/>
      <c r="B504" s="1120"/>
      <c r="C504" s="1100"/>
      <c r="D504" s="1100"/>
      <c r="E504" s="1100"/>
      <c r="F504" s="1100"/>
      <c r="G504" s="1100"/>
      <c r="H504" s="1100"/>
      <c r="I504" s="1100"/>
      <c r="J504" s="1100"/>
      <c r="K504" s="1074"/>
      <c r="L504" s="1074"/>
      <c r="M504" s="1074"/>
      <c r="N504" s="1074"/>
      <c r="O504" s="1074"/>
      <c r="P504" s="1074"/>
      <c r="Q504" s="1074"/>
      <c r="R504" s="1074"/>
      <c r="S504" s="1074"/>
      <c r="T504" s="1074"/>
      <c r="U504" s="1074"/>
      <c r="V504" s="1074"/>
      <c r="W504" s="1074"/>
      <c r="X504" s="1074"/>
      <c r="Y504" s="1074"/>
      <c r="Z504" s="1074"/>
      <c r="AA504" s="1074"/>
      <c r="AB504" s="1074"/>
      <c r="AC504" s="1074"/>
      <c r="AD504" s="1074"/>
      <c r="AE504" s="1074"/>
      <c r="AF504" s="1074"/>
      <c r="AG504" s="1074"/>
      <c r="AH504" s="1074"/>
      <c r="AI504" s="1074"/>
      <c r="AJ504" s="1074"/>
      <c r="AK504" s="1074"/>
      <c r="AL504" s="1074"/>
      <c r="AM504" s="1074"/>
      <c r="AN504" s="1074"/>
      <c r="AO504" s="1074"/>
      <c r="AP504" s="1074"/>
      <c r="AQ504" s="1074"/>
      <c r="AR504" s="1074"/>
      <c r="AS504" s="1074"/>
      <c r="AT504" s="1075"/>
    </row>
    <row r="505" ht="14.25" customHeight="1">
      <c r="A505" s="1116"/>
      <c r="B505" s="1120"/>
      <c r="C505" s="1100"/>
      <c r="D505" s="1100"/>
      <c r="E505" s="1100"/>
      <c r="F505" s="1100"/>
      <c r="G505" s="1100"/>
      <c r="H505" s="1100"/>
      <c r="I505" s="1100"/>
      <c r="J505" s="1100"/>
      <c r="K505" s="1074"/>
      <c r="L505" s="1074"/>
      <c r="M505" s="1074"/>
      <c r="N505" s="1074"/>
      <c r="O505" s="1074"/>
      <c r="P505" s="1074"/>
      <c r="Q505" s="1074"/>
      <c r="R505" s="1074"/>
      <c r="S505" s="1074"/>
      <c r="T505" s="1074"/>
      <c r="U505" s="1074"/>
      <c r="V505" s="1074"/>
      <c r="W505" s="1074"/>
      <c r="X505" s="1074"/>
      <c r="Y505" s="1074"/>
      <c r="Z505" s="1074"/>
      <c r="AA505" s="1074"/>
      <c r="AB505" s="1074"/>
      <c r="AC505" s="1074"/>
      <c r="AD505" s="1074"/>
      <c r="AE505" s="1074"/>
      <c r="AF505" s="1074"/>
      <c r="AG505" s="1074"/>
      <c r="AH505" s="1074"/>
      <c r="AI505" s="1074"/>
      <c r="AJ505" s="1074"/>
      <c r="AK505" s="1074"/>
      <c r="AL505" s="1074"/>
      <c r="AM505" s="1074"/>
      <c r="AN505" s="1074"/>
      <c r="AO505" s="1074"/>
      <c r="AP505" s="1074"/>
      <c r="AQ505" s="1074"/>
      <c r="AR505" s="1074"/>
      <c r="AS505" s="1074"/>
      <c r="AT505" s="1075"/>
    </row>
    <row r="506" ht="14.25" customHeight="1">
      <c r="A506" s="1116"/>
      <c r="B506" s="1120"/>
      <c r="C506" s="1100"/>
      <c r="D506" s="1100"/>
      <c r="E506" s="1100"/>
      <c r="F506" s="1100"/>
      <c r="G506" s="1100"/>
      <c r="H506" s="1100"/>
      <c r="I506" s="1100"/>
      <c r="J506" s="1100"/>
      <c r="K506" s="1074"/>
      <c r="L506" s="1074"/>
      <c r="M506" s="1074"/>
      <c r="N506" s="1074"/>
      <c r="O506" s="1074"/>
      <c r="P506" s="1074"/>
      <c r="Q506" s="1074"/>
      <c r="R506" s="1074"/>
      <c r="S506" s="1074"/>
      <c r="T506" s="1074"/>
      <c r="U506" s="1074"/>
      <c r="V506" s="1074"/>
      <c r="W506" s="1074"/>
      <c r="X506" s="1074"/>
      <c r="Y506" s="1074"/>
      <c r="Z506" s="1074"/>
      <c r="AA506" s="1074"/>
      <c r="AB506" s="1074"/>
      <c r="AC506" s="1074"/>
      <c r="AD506" s="1074"/>
      <c r="AE506" s="1074"/>
      <c r="AF506" s="1074"/>
      <c r="AG506" s="1074"/>
      <c r="AH506" s="1074"/>
      <c r="AI506" s="1074"/>
      <c r="AJ506" s="1074"/>
      <c r="AK506" s="1074"/>
      <c r="AL506" s="1074"/>
      <c r="AM506" s="1074"/>
      <c r="AN506" s="1074"/>
      <c r="AO506" s="1074"/>
      <c r="AP506" s="1074"/>
      <c r="AQ506" s="1074"/>
      <c r="AR506" s="1074"/>
      <c r="AS506" s="1074"/>
      <c r="AT506" s="1075"/>
    </row>
    <row r="507" ht="14.25" customHeight="1">
      <c r="A507" s="1116"/>
      <c r="B507" s="1120"/>
      <c r="C507" s="1100"/>
      <c r="D507" s="1100"/>
      <c r="E507" s="1100"/>
      <c r="F507" s="1100"/>
      <c r="G507" s="1100"/>
      <c r="H507" s="1100"/>
      <c r="I507" s="1100"/>
      <c r="J507" s="1100"/>
      <c r="K507" s="1074"/>
      <c r="L507" s="1074"/>
      <c r="M507" s="1074"/>
      <c r="N507" s="1074"/>
      <c r="O507" s="1074"/>
      <c r="P507" s="1074"/>
      <c r="Q507" s="1074"/>
      <c r="R507" s="1074"/>
      <c r="S507" s="1074"/>
      <c r="T507" s="1074"/>
      <c r="U507" s="1074"/>
      <c r="V507" s="1074"/>
      <c r="W507" s="1074"/>
      <c r="X507" s="1074"/>
      <c r="Y507" s="1074"/>
      <c r="Z507" s="1074"/>
      <c r="AA507" s="1074"/>
      <c r="AB507" s="1074"/>
      <c r="AC507" s="1074"/>
      <c r="AD507" s="1074"/>
      <c r="AE507" s="1074"/>
      <c r="AF507" s="1074"/>
      <c r="AG507" s="1074"/>
      <c r="AH507" s="1074"/>
      <c r="AI507" s="1074"/>
      <c r="AJ507" s="1074"/>
      <c r="AK507" s="1074"/>
      <c r="AL507" s="1074"/>
      <c r="AM507" s="1074"/>
      <c r="AN507" s="1074"/>
      <c r="AO507" s="1074"/>
      <c r="AP507" s="1074"/>
      <c r="AQ507" s="1074"/>
      <c r="AR507" s="1074"/>
      <c r="AS507" s="1074"/>
      <c r="AT507" s="1075"/>
    </row>
    <row r="508" ht="14.25" customHeight="1">
      <c r="A508" s="1116"/>
      <c r="B508" s="1120"/>
      <c r="C508" s="1100"/>
      <c r="D508" s="1100"/>
      <c r="E508" s="1100"/>
      <c r="F508" s="1100"/>
      <c r="G508" s="1100"/>
      <c r="H508" s="1100"/>
      <c r="I508" s="1100"/>
      <c r="J508" s="1100"/>
      <c r="K508" s="1074"/>
      <c r="L508" s="1074"/>
      <c r="M508" s="1074"/>
      <c r="N508" s="1074"/>
      <c r="O508" s="1074"/>
      <c r="P508" s="1074"/>
      <c r="Q508" s="1074"/>
      <c r="R508" s="1074"/>
      <c r="S508" s="1074"/>
      <c r="T508" s="1074"/>
      <c r="U508" s="1074"/>
      <c r="V508" s="1074"/>
      <c r="W508" s="1074"/>
      <c r="X508" s="1074"/>
      <c r="Y508" s="1074"/>
      <c r="Z508" s="1074"/>
      <c r="AA508" s="1074"/>
      <c r="AB508" s="1074"/>
      <c r="AC508" s="1074"/>
      <c r="AD508" s="1074"/>
      <c r="AE508" s="1074"/>
      <c r="AF508" s="1074"/>
      <c r="AG508" s="1074"/>
      <c r="AH508" s="1074"/>
      <c r="AI508" s="1074"/>
      <c r="AJ508" s="1074"/>
      <c r="AK508" s="1074"/>
      <c r="AL508" s="1074"/>
      <c r="AM508" s="1074"/>
      <c r="AN508" s="1074"/>
      <c r="AO508" s="1074"/>
      <c r="AP508" s="1074"/>
      <c r="AQ508" s="1074"/>
      <c r="AR508" s="1074"/>
      <c r="AS508" s="1074"/>
      <c r="AT508" s="1075"/>
    </row>
    <row r="509" ht="14.25" customHeight="1">
      <c r="A509" s="1116"/>
      <c r="B509" s="1120"/>
      <c r="C509" s="1100"/>
      <c r="D509" s="1100"/>
      <c r="E509" s="1100"/>
      <c r="F509" s="1100"/>
      <c r="G509" s="1100"/>
      <c r="H509" s="1100"/>
      <c r="I509" s="1100"/>
      <c r="J509" s="1100"/>
      <c r="K509" s="1074"/>
      <c r="L509" s="1074"/>
      <c r="M509" s="1074"/>
      <c r="N509" s="1074"/>
      <c r="O509" s="1074"/>
      <c r="P509" s="1074"/>
      <c r="Q509" s="1074"/>
      <c r="R509" s="1074"/>
      <c r="S509" s="1074"/>
      <c r="T509" s="1074"/>
      <c r="U509" s="1074"/>
      <c r="V509" s="1074"/>
      <c r="W509" s="1074"/>
      <c r="X509" s="1074"/>
      <c r="Y509" s="1074"/>
      <c r="Z509" s="1074"/>
      <c r="AA509" s="1074"/>
      <c r="AB509" s="1074"/>
      <c r="AC509" s="1074"/>
      <c r="AD509" s="1074"/>
      <c r="AE509" s="1074"/>
      <c r="AF509" s="1074"/>
      <c r="AG509" s="1074"/>
      <c r="AH509" s="1074"/>
      <c r="AI509" s="1074"/>
      <c r="AJ509" s="1074"/>
      <c r="AK509" s="1074"/>
      <c r="AL509" s="1074"/>
      <c r="AM509" s="1074"/>
      <c r="AN509" s="1074"/>
      <c r="AO509" s="1074"/>
      <c r="AP509" s="1074"/>
      <c r="AQ509" s="1074"/>
      <c r="AR509" s="1074"/>
      <c r="AS509" s="1074"/>
      <c r="AT509" s="1075"/>
    </row>
    <row r="510" ht="14.25" customHeight="1">
      <c r="A510" s="1116"/>
      <c r="B510" s="1120"/>
      <c r="C510" s="1100"/>
      <c r="D510" s="1100"/>
      <c r="E510" s="1100"/>
      <c r="F510" s="1100"/>
      <c r="G510" s="1100"/>
      <c r="H510" s="1100"/>
      <c r="I510" s="1100"/>
      <c r="J510" s="1100"/>
      <c r="K510" s="1074"/>
      <c r="L510" s="1074"/>
      <c r="M510" s="1074"/>
      <c r="N510" s="1074"/>
      <c r="O510" s="1074"/>
      <c r="P510" s="1074"/>
      <c r="Q510" s="1074"/>
      <c r="R510" s="1074"/>
      <c r="S510" s="1074"/>
      <c r="T510" s="1074"/>
      <c r="U510" s="1074"/>
      <c r="V510" s="1074"/>
      <c r="W510" s="1074"/>
      <c r="X510" s="1074"/>
      <c r="Y510" s="1074"/>
      <c r="Z510" s="1074"/>
      <c r="AA510" s="1074"/>
      <c r="AB510" s="1074"/>
      <c r="AC510" s="1074"/>
      <c r="AD510" s="1074"/>
      <c r="AE510" s="1074"/>
      <c r="AF510" s="1074"/>
      <c r="AG510" s="1074"/>
      <c r="AH510" s="1074"/>
      <c r="AI510" s="1074"/>
      <c r="AJ510" s="1074"/>
      <c r="AK510" s="1074"/>
      <c r="AL510" s="1074"/>
      <c r="AM510" s="1074"/>
      <c r="AN510" s="1074"/>
      <c r="AO510" s="1074"/>
      <c r="AP510" s="1074"/>
      <c r="AQ510" s="1074"/>
      <c r="AR510" s="1074"/>
      <c r="AS510" s="1074"/>
      <c r="AT510" s="1075"/>
    </row>
    <row r="511" ht="14.25" customHeight="1">
      <c r="A511" s="1116"/>
      <c r="B511" s="1120"/>
      <c r="C511" s="1100"/>
      <c r="D511" s="1100"/>
      <c r="E511" s="1100"/>
      <c r="F511" s="1100"/>
      <c r="G511" s="1100"/>
      <c r="H511" s="1100"/>
      <c r="I511" s="1100"/>
      <c r="J511" s="1100"/>
      <c r="K511" s="1074"/>
      <c r="L511" s="1074"/>
      <c r="M511" s="1074"/>
      <c r="N511" s="1074"/>
      <c r="O511" s="1074"/>
      <c r="P511" s="1074"/>
      <c r="Q511" s="1074"/>
      <c r="R511" s="1074"/>
      <c r="S511" s="1074"/>
      <c r="T511" s="1074"/>
      <c r="U511" s="1074"/>
      <c r="V511" s="1074"/>
      <c r="W511" s="1074"/>
      <c r="X511" s="1074"/>
      <c r="Y511" s="1074"/>
      <c r="Z511" s="1074"/>
      <c r="AA511" s="1074"/>
      <c r="AB511" s="1074"/>
      <c r="AC511" s="1074"/>
      <c r="AD511" s="1074"/>
      <c r="AE511" s="1074"/>
      <c r="AF511" s="1074"/>
      <c r="AG511" s="1074"/>
      <c r="AH511" s="1074"/>
      <c r="AI511" s="1074"/>
      <c r="AJ511" s="1074"/>
      <c r="AK511" s="1074"/>
      <c r="AL511" s="1074"/>
      <c r="AM511" s="1074"/>
      <c r="AN511" s="1074"/>
      <c r="AO511" s="1074"/>
      <c r="AP511" s="1074"/>
      <c r="AQ511" s="1074"/>
      <c r="AR511" s="1074"/>
      <c r="AS511" s="1074"/>
      <c r="AT511" s="1075"/>
    </row>
    <row r="512" ht="14.25" customHeight="1">
      <c r="A512" s="1116"/>
      <c r="B512" s="1120"/>
      <c r="C512" s="1100"/>
      <c r="D512" s="1100"/>
      <c r="E512" s="1100"/>
      <c r="F512" s="1100"/>
      <c r="G512" s="1100"/>
      <c r="H512" s="1100"/>
      <c r="I512" s="1100"/>
      <c r="J512" s="1100"/>
      <c r="K512" s="1074"/>
      <c r="L512" s="1074"/>
      <c r="M512" s="1074"/>
      <c r="N512" s="1074"/>
      <c r="O512" s="1074"/>
      <c r="P512" s="1074"/>
      <c r="Q512" s="1074"/>
      <c r="R512" s="1074"/>
      <c r="S512" s="1074"/>
      <c r="T512" s="1074"/>
      <c r="U512" s="1074"/>
      <c r="V512" s="1074"/>
      <c r="W512" s="1074"/>
      <c r="X512" s="1074"/>
      <c r="Y512" s="1074"/>
      <c r="Z512" s="1074"/>
      <c r="AA512" s="1074"/>
      <c r="AB512" s="1074"/>
      <c r="AC512" s="1074"/>
      <c r="AD512" s="1074"/>
      <c r="AE512" s="1074"/>
      <c r="AF512" s="1074"/>
      <c r="AG512" s="1074"/>
      <c r="AH512" s="1074"/>
      <c r="AI512" s="1074"/>
      <c r="AJ512" s="1074"/>
      <c r="AK512" s="1074"/>
      <c r="AL512" s="1074"/>
      <c r="AM512" s="1074"/>
      <c r="AN512" s="1074"/>
      <c r="AO512" s="1074"/>
      <c r="AP512" s="1074"/>
      <c r="AQ512" s="1074"/>
      <c r="AR512" s="1074"/>
      <c r="AS512" s="1074"/>
      <c r="AT512" s="1075"/>
    </row>
    <row r="513" ht="14.25" customHeight="1">
      <c r="A513" s="1116"/>
      <c r="B513" s="1120"/>
      <c r="C513" s="1100"/>
      <c r="D513" s="1100"/>
      <c r="E513" s="1100"/>
      <c r="F513" s="1100"/>
      <c r="G513" s="1100"/>
      <c r="H513" s="1100"/>
      <c r="I513" s="1100"/>
      <c r="J513" s="1100"/>
      <c r="K513" s="1074"/>
      <c r="L513" s="1074"/>
      <c r="M513" s="1074"/>
      <c r="N513" s="1074"/>
      <c r="O513" s="1074"/>
      <c r="P513" s="1074"/>
      <c r="Q513" s="1074"/>
      <c r="R513" s="1074"/>
      <c r="S513" s="1074"/>
      <c r="T513" s="1074"/>
      <c r="U513" s="1074"/>
      <c r="V513" s="1074"/>
      <c r="W513" s="1074"/>
      <c r="X513" s="1074"/>
      <c r="Y513" s="1074"/>
      <c r="Z513" s="1074"/>
      <c r="AA513" s="1074"/>
      <c r="AB513" s="1074"/>
      <c r="AC513" s="1074"/>
      <c r="AD513" s="1074"/>
      <c r="AE513" s="1074"/>
      <c r="AF513" s="1074"/>
      <c r="AG513" s="1074"/>
      <c r="AH513" s="1074"/>
      <c r="AI513" s="1074"/>
      <c r="AJ513" s="1074"/>
      <c r="AK513" s="1074"/>
      <c r="AL513" s="1074"/>
      <c r="AM513" s="1074"/>
      <c r="AN513" s="1074"/>
      <c r="AO513" s="1074"/>
      <c r="AP513" s="1074"/>
      <c r="AQ513" s="1074"/>
      <c r="AR513" s="1074"/>
      <c r="AS513" s="1074"/>
      <c r="AT513" s="1075"/>
    </row>
    <row r="514" ht="14.25" customHeight="1">
      <c r="A514" s="1116"/>
      <c r="B514" s="1120"/>
      <c r="C514" s="1100"/>
      <c r="D514" s="1100"/>
      <c r="E514" s="1100"/>
      <c r="F514" s="1100"/>
      <c r="G514" s="1100"/>
      <c r="H514" s="1100"/>
      <c r="I514" s="1100"/>
      <c r="J514" s="1100"/>
      <c r="K514" s="1074"/>
      <c r="L514" s="1074"/>
      <c r="M514" s="1074"/>
      <c r="N514" s="1074"/>
      <c r="O514" s="1074"/>
      <c r="P514" s="1074"/>
      <c r="Q514" s="1074"/>
      <c r="R514" s="1074"/>
      <c r="S514" s="1074"/>
      <c r="T514" s="1074"/>
      <c r="U514" s="1074"/>
      <c r="V514" s="1074"/>
      <c r="W514" s="1074"/>
      <c r="X514" s="1074"/>
      <c r="Y514" s="1074"/>
      <c r="Z514" s="1074"/>
      <c r="AA514" s="1074"/>
      <c r="AB514" s="1074"/>
      <c r="AC514" s="1074"/>
      <c r="AD514" s="1074"/>
      <c r="AE514" s="1074"/>
      <c r="AF514" s="1074"/>
      <c r="AG514" s="1074"/>
      <c r="AH514" s="1074"/>
      <c r="AI514" s="1074"/>
      <c r="AJ514" s="1074"/>
      <c r="AK514" s="1074"/>
      <c r="AL514" s="1074"/>
      <c r="AM514" s="1074"/>
      <c r="AN514" s="1074"/>
      <c r="AO514" s="1074"/>
      <c r="AP514" s="1074"/>
      <c r="AQ514" s="1074"/>
      <c r="AR514" s="1074"/>
      <c r="AS514" s="1074"/>
      <c r="AT514" s="1075"/>
    </row>
    <row r="515" ht="14.25" customHeight="1">
      <c r="A515" s="1116"/>
      <c r="B515" s="1120"/>
      <c r="C515" s="1100"/>
      <c r="D515" s="1100"/>
      <c r="E515" s="1100"/>
      <c r="F515" s="1100"/>
      <c r="G515" s="1100"/>
      <c r="H515" s="1100"/>
      <c r="I515" s="1100"/>
      <c r="J515" s="1100"/>
      <c r="K515" s="1074"/>
      <c r="L515" s="1074"/>
      <c r="M515" s="1074"/>
      <c r="N515" s="1074"/>
      <c r="O515" s="1074"/>
      <c r="P515" s="1074"/>
      <c r="Q515" s="1074"/>
      <c r="R515" s="1074"/>
      <c r="S515" s="1074"/>
      <c r="T515" s="1074"/>
      <c r="U515" s="1074"/>
      <c r="V515" s="1074"/>
      <c r="W515" s="1074"/>
      <c r="X515" s="1074"/>
      <c r="Y515" s="1074"/>
      <c r="Z515" s="1074"/>
      <c r="AA515" s="1074"/>
      <c r="AB515" s="1074"/>
      <c r="AC515" s="1074"/>
      <c r="AD515" s="1074"/>
      <c r="AE515" s="1074"/>
      <c r="AF515" s="1074"/>
      <c r="AG515" s="1074"/>
      <c r="AH515" s="1074"/>
      <c r="AI515" s="1074"/>
      <c r="AJ515" s="1074"/>
      <c r="AK515" s="1074"/>
      <c r="AL515" s="1074"/>
      <c r="AM515" s="1074"/>
      <c r="AN515" s="1074"/>
      <c r="AO515" s="1074"/>
      <c r="AP515" s="1074"/>
      <c r="AQ515" s="1074"/>
      <c r="AR515" s="1074"/>
      <c r="AS515" s="1074"/>
      <c r="AT515" s="1075"/>
    </row>
    <row r="516" ht="14.25" customHeight="1">
      <c r="A516" s="1116"/>
      <c r="B516" s="1120"/>
      <c r="C516" s="1100"/>
      <c r="D516" s="1100"/>
      <c r="E516" s="1100"/>
      <c r="F516" s="1100"/>
      <c r="G516" s="1100"/>
      <c r="H516" s="1100"/>
      <c r="I516" s="1100"/>
      <c r="J516" s="1100"/>
      <c r="K516" s="1074"/>
      <c r="L516" s="1074"/>
      <c r="M516" s="1074"/>
      <c r="N516" s="1074"/>
      <c r="O516" s="1074"/>
      <c r="P516" s="1074"/>
      <c r="Q516" s="1074"/>
      <c r="R516" s="1074"/>
      <c r="S516" s="1074"/>
      <c r="T516" s="1074"/>
      <c r="U516" s="1074"/>
      <c r="V516" s="1074"/>
      <c r="W516" s="1074"/>
      <c r="X516" s="1074"/>
      <c r="Y516" s="1074"/>
      <c r="Z516" s="1074"/>
      <c r="AA516" s="1074"/>
      <c r="AB516" s="1074"/>
      <c r="AC516" s="1074"/>
      <c r="AD516" s="1074"/>
      <c r="AE516" s="1074"/>
      <c r="AF516" s="1074"/>
      <c r="AG516" s="1074"/>
      <c r="AH516" s="1074"/>
      <c r="AI516" s="1074"/>
      <c r="AJ516" s="1074"/>
      <c r="AK516" s="1074"/>
      <c r="AL516" s="1074"/>
      <c r="AM516" s="1074"/>
      <c r="AN516" s="1074"/>
      <c r="AO516" s="1074"/>
      <c r="AP516" s="1074"/>
      <c r="AQ516" s="1074"/>
      <c r="AR516" s="1074"/>
      <c r="AS516" s="1074"/>
      <c r="AT516" s="1075"/>
    </row>
    <row r="517" ht="14.25" customHeight="1">
      <c r="A517" s="1116"/>
      <c r="B517" s="1120"/>
      <c r="C517" s="1100"/>
      <c r="D517" s="1100"/>
      <c r="E517" s="1100"/>
      <c r="F517" s="1100"/>
      <c r="G517" s="1100"/>
      <c r="H517" s="1100"/>
      <c r="I517" s="1100"/>
      <c r="J517" s="1100"/>
      <c r="K517" s="1074"/>
      <c r="L517" s="1074"/>
      <c r="M517" s="1074"/>
      <c r="N517" s="1074"/>
      <c r="O517" s="1074"/>
      <c r="P517" s="1074"/>
      <c r="Q517" s="1074"/>
      <c r="R517" s="1074"/>
      <c r="S517" s="1074"/>
      <c r="T517" s="1074"/>
      <c r="U517" s="1074"/>
      <c r="V517" s="1074"/>
      <c r="W517" s="1074"/>
      <c r="X517" s="1074"/>
      <c r="Y517" s="1074"/>
      <c r="Z517" s="1074"/>
      <c r="AA517" s="1074"/>
      <c r="AB517" s="1074"/>
      <c r="AC517" s="1074"/>
      <c r="AD517" s="1074"/>
      <c r="AE517" s="1074"/>
      <c r="AF517" s="1074"/>
      <c r="AG517" s="1074"/>
      <c r="AH517" s="1074"/>
      <c r="AI517" s="1074"/>
      <c r="AJ517" s="1074"/>
      <c r="AK517" s="1074"/>
      <c r="AL517" s="1074"/>
      <c r="AM517" s="1074"/>
      <c r="AN517" s="1074"/>
      <c r="AO517" s="1074"/>
      <c r="AP517" s="1074"/>
      <c r="AQ517" s="1074"/>
      <c r="AR517" s="1074"/>
      <c r="AS517" s="1074"/>
      <c r="AT517" s="1075"/>
    </row>
    <row r="518" ht="14.25" customHeight="1">
      <c r="A518" s="1116"/>
      <c r="B518" s="1120"/>
      <c r="C518" s="1100"/>
      <c r="D518" s="1100"/>
      <c r="E518" s="1100"/>
      <c r="F518" s="1100"/>
      <c r="G518" s="1100"/>
      <c r="H518" s="1100"/>
      <c r="I518" s="1100"/>
      <c r="J518" s="1100"/>
      <c r="K518" s="1074"/>
      <c r="L518" s="1074"/>
      <c r="M518" s="1074"/>
      <c r="N518" s="1074"/>
      <c r="O518" s="1074"/>
      <c r="P518" s="1074"/>
      <c r="Q518" s="1074"/>
      <c r="R518" s="1074"/>
      <c r="S518" s="1074"/>
      <c r="T518" s="1074"/>
      <c r="U518" s="1074"/>
      <c r="V518" s="1074"/>
      <c r="W518" s="1074"/>
      <c r="X518" s="1074"/>
      <c r="Y518" s="1074"/>
      <c r="Z518" s="1074"/>
      <c r="AA518" s="1074"/>
      <c r="AB518" s="1074"/>
      <c r="AC518" s="1074"/>
      <c r="AD518" s="1074"/>
      <c r="AE518" s="1074"/>
      <c r="AF518" s="1074"/>
      <c r="AG518" s="1074"/>
      <c r="AH518" s="1074"/>
      <c r="AI518" s="1074"/>
      <c r="AJ518" s="1074"/>
      <c r="AK518" s="1074"/>
      <c r="AL518" s="1074"/>
      <c r="AM518" s="1074"/>
      <c r="AN518" s="1074"/>
      <c r="AO518" s="1074"/>
      <c r="AP518" s="1074"/>
      <c r="AQ518" s="1074"/>
      <c r="AR518" s="1074"/>
      <c r="AS518" s="1074"/>
      <c r="AT518" s="1075"/>
    </row>
    <row r="519" ht="14.25" customHeight="1">
      <c r="A519" s="1116"/>
      <c r="B519" s="1120"/>
      <c r="C519" s="1100"/>
      <c r="D519" s="1100"/>
      <c r="E519" s="1100"/>
      <c r="F519" s="1100"/>
      <c r="G519" s="1100"/>
      <c r="H519" s="1100"/>
      <c r="I519" s="1100"/>
      <c r="J519" s="1100"/>
      <c r="K519" s="1074"/>
      <c r="L519" s="1074"/>
      <c r="M519" s="1074"/>
      <c r="N519" s="1074"/>
      <c r="O519" s="1074"/>
      <c r="P519" s="1074"/>
      <c r="Q519" s="1074"/>
      <c r="R519" s="1074"/>
      <c r="S519" s="1074"/>
      <c r="T519" s="1074"/>
      <c r="U519" s="1074"/>
      <c r="V519" s="1074"/>
      <c r="W519" s="1074"/>
      <c r="X519" s="1074"/>
      <c r="Y519" s="1074"/>
      <c r="Z519" s="1074"/>
      <c r="AA519" s="1074"/>
      <c r="AB519" s="1074"/>
      <c r="AC519" s="1074"/>
      <c r="AD519" s="1074"/>
      <c r="AE519" s="1074"/>
      <c r="AF519" s="1074"/>
      <c r="AG519" s="1074"/>
      <c r="AH519" s="1074"/>
      <c r="AI519" s="1074"/>
      <c r="AJ519" s="1074"/>
      <c r="AK519" s="1074"/>
      <c r="AL519" s="1074"/>
      <c r="AM519" s="1074"/>
      <c r="AN519" s="1074"/>
      <c r="AO519" s="1074"/>
      <c r="AP519" s="1074"/>
      <c r="AQ519" s="1074"/>
      <c r="AR519" s="1074"/>
      <c r="AS519" s="1074"/>
      <c r="AT519" s="1075"/>
    </row>
    <row r="520" ht="14.25" customHeight="1">
      <c r="A520" s="1116"/>
      <c r="B520" s="1120"/>
      <c r="C520" s="1100"/>
      <c r="D520" s="1100"/>
      <c r="E520" s="1100"/>
      <c r="F520" s="1100"/>
      <c r="G520" s="1100"/>
      <c r="H520" s="1100"/>
      <c r="I520" s="1100"/>
      <c r="J520" s="1100"/>
      <c r="K520" s="1074"/>
      <c r="L520" s="1074"/>
      <c r="M520" s="1074"/>
      <c r="N520" s="1074"/>
      <c r="O520" s="1074"/>
      <c r="P520" s="1074"/>
      <c r="Q520" s="1074"/>
      <c r="R520" s="1074"/>
      <c r="S520" s="1074"/>
      <c r="T520" s="1074"/>
      <c r="U520" s="1074"/>
      <c r="V520" s="1074"/>
      <c r="W520" s="1074"/>
      <c r="X520" s="1074"/>
      <c r="Y520" s="1074"/>
      <c r="Z520" s="1074"/>
      <c r="AA520" s="1074"/>
      <c r="AB520" s="1074"/>
      <c r="AC520" s="1074"/>
      <c r="AD520" s="1074"/>
      <c r="AE520" s="1074"/>
      <c r="AF520" s="1074"/>
      <c r="AG520" s="1074"/>
      <c r="AH520" s="1074"/>
      <c r="AI520" s="1074"/>
      <c r="AJ520" s="1074"/>
      <c r="AK520" s="1074"/>
      <c r="AL520" s="1074"/>
      <c r="AM520" s="1074"/>
      <c r="AN520" s="1074"/>
      <c r="AO520" s="1074"/>
      <c r="AP520" s="1074"/>
      <c r="AQ520" s="1074"/>
      <c r="AR520" s="1074"/>
      <c r="AS520" s="1074"/>
      <c r="AT520" s="1075"/>
    </row>
    <row r="521" ht="14.25" customHeight="1">
      <c r="A521" s="1116"/>
      <c r="B521" s="1120"/>
      <c r="C521" s="1100"/>
      <c r="D521" s="1100"/>
      <c r="E521" s="1100"/>
      <c r="F521" s="1100"/>
      <c r="G521" s="1100"/>
      <c r="H521" s="1100"/>
      <c r="I521" s="1100"/>
      <c r="J521" s="1100"/>
      <c r="K521" s="1074"/>
      <c r="L521" s="1074"/>
      <c r="M521" s="1074"/>
      <c r="N521" s="1074"/>
      <c r="O521" s="1074"/>
      <c r="P521" s="1074"/>
      <c r="Q521" s="1074"/>
      <c r="R521" s="1074"/>
      <c r="S521" s="1074"/>
      <c r="T521" s="1074"/>
      <c r="U521" s="1074"/>
      <c r="V521" s="1074"/>
      <c r="W521" s="1074"/>
      <c r="X521" s="1074"/>
      <c r="Y521" s="1074"/>
      <c r="Z521" s="1074"/>
      <c r="AA521" s="1074"/>
      <c r="AB521" s="1074"/>
      <c r="AC521" s="1074"/>
      <c r="AD521" s="1074"/>
      <c r="AE521" s="1074"/>
      <c r="AF521" s="1074"/>
      <c r="AG521" s="1074"/>
      <c r="AH521" s="1074"/>
      <c r="AI521" s="1074"/>
      <c r="AJ521" s="1074"/>
      <c r="AK521" s="1074"/>
      <c r="AL521" s="1074"/>
      <c r="AM521" s="1074"/>
      <c r="AN521" s="1074"/>
      <c r="AO521" s="1074"/>
      <c r="AP521" s="1074"/>
      <c r="AQ521" s="1074"/>
      <c r="AR521" s="1074"/>
      <c r="AS521" s="1074"/>
      <c r="AT521" s="1075"/>
    </row>
    <row r="522" ht="14.25" customHeight="1">
      <c r="A522" s="1116"/>
      <c r="B522" s="1120"/>
      <c r="C522" s="1100"/>
      <c r="D522" s="1100"/>
      <c r="E522" s="1100"/>
      <c r="F522" s="1100"/>
      <c r="G522" s="1100"/>
      <c r="H522" s="1100"/>
      <c r="I522" s="1100"/>
      <c r="J522" s="1100"/>
      <c r="K522" s="1074"/>
      <c r="L522" s="1074"/>
      <c r="M522" s="1074"/>
      <c r="N522" s="1074"/>
      <c r="O522" s="1074"/>
      <c r="P522" s="1074"/>
      <c r="Q522" s="1074"/>
      <c r="R522" s="1074"/>
      <c r="S522" s="1074"/>
      <c r="T522" s="1074"/>
      <c r="U522" s="1074"/>
      <c r="V522" s="1074"/>
      <c r="W522" s="1074"/>
      <c r="X522" s="1074"/>
      <c r="Y522" s="1074"/>
      <c r="Z522" s="1074"/>
      <c r="AA522" s="1074"/>
      <c r="AB522" s="1074"/>
      <c r="AC522" s="1074"/>
      <c r="AD522" s="1074"/>
      <c r="AE522" s="1074"/>
      <c r="AF522" s="1074"/>
      <c r="AG522" s="1074"/>
      <c r="AH522" s="1074"/>
      <c r="AI522" s="1074"/>
      <c r="AJ522" s="1074"/>
      <c r="AK522" s="1074"/>
      <c r="AL522" s="1074"/>
      <c r="AM522" s="1074"/>
      <c r="AN522" s="1074"/>
      <c r="AO522" s="1074"/>
      <c r="AP522" s="1074"/>
      <c r="AQ522" s="1074"/>
      <c r="AR522" s="1074"/>
      <c r="AS522" s="1074"/>
      <c r="AT522" s="1075"/>
    </row>
    <row r="523" ht="14.25" customHeight="1">
      <c r="A523" s="1116"/>
      <c r="B523" s="1120"/>
      <c r="C523" s="1100"/>
      <c r="D523" s="1100"/>
      <c r="E523" s="1100"/>
      <c r="F523" s="1100"/>
      <c r="G523" s="1100"/>
      <c r="H523" s="1100"/>
      <c r="I523" s="1100"/>
      <c r="J523" s="1100"/>
      <c r="K523" s="1074"/>
      <c r="L523" s="1074"/>
      <c r="M523" s="1074"/>
      <c r="N523" s="1074"/>
      <c r="O523" s="1074"/>
      <c r="P523" s="1074"/>
      <c r="Q523" s="1074"/>
      <c r="R523" s="1074"/>
      <c r="S523" s="1074"/>
      <c r="T523" s="1074"/>
      <c r="U523" s="1074"/>
      <c r="V523" s="1074"/>
      <c r="W523" s="1074"/>
      <c r="X523" s="1074"/>
      <c r="Y523" s="1074"/>
      <c r="Z523" s="1074"/>
      <c r="AA523" s="1074"/>
      <c r="AB523" s="1074"/>
      <c r="AC523" s="1074"/>
      <c r="AD523" s="1074"/>
      <c r="AE523" s="1074"/>
      <c r="AF523" s="1074"/>
      <c r="AG523" s="1074"/>
      <c r="AH523" s="1074"/>
      <c r="AI523" s="1074"/>
      <c r="AJ523" s="1074"/>
      <c r="AK523" s="1074"/>
      <c r="AL523" s="1074"/>
      <c r="AM523" s="1074"/>
      <c r="AN523" s="1074"/>
      <c r="AO523" s="1074"/>
      <c r="AP523" s="1074"/>
      <c r="AQ523" s="1074"/>
      <c r="AR523" s="1074"/>
      <c r="AS523" s="1074"/>
      <c r="AT523" s="1075"/>
    </row>
    <row r="524" ht="14.25" customHeight="1">
      <c r="A524" s="1116"/>
      <c r="B524" s="1120"/>
      <c r="C524" s="1100"/>
      <c r="D524" s="1100"/>
      <c r="E524" s="1100"/>
      <c r="F524" s="1100"/>
      <c r="G524" s="1100"/>
      <c r="H524" s="1100"/>
      <c r="I524" s="1100"/>
      <c r="J524" s="1100"/>
      <c r="K524" s="1074"/>
      <c r="L524" s="1074"/>
      <c r="M524" s="1074"/>
      <c r="N524" s="1074"/>
      <c r="O524" s="1074"/>
      <c r="P524" s="1074"/>
      <c r="Q524" s="1074"/>
      <c r="R524" s="1074"/>
      <c r="S524" s="1074"/>
      <c r="T524" s="1074"/>
      <c r="U524" s="1074"/>
      <c r="V524" s="1074"/>
      <c r="W524" s="1074"/>
      <c r="X524" s="1074"/>
      <c r="Y524" s="1074"/>
      <c r="Z524" s="1074"/>
      <c r="AA524" s="1074"/>
      <c r="AB524" s="1074"/>
      <c r="AC524" s="1074"/>
      <c r="AD524" s="1074"/>
      <c r="AE524" s="1074"/>
      <c r="AF524" s="1074"/>
      <c r="AG524" s="1074"/>
      <c r="AH524" s="1074"/>
      <c r="AI524" s="1074"/>
      <c r="AJ524" s="1074"/>
      <c r="AK524" s="1074"/>
      <c r="AL524" s="1074"/>
      <c r="AM524" s="1074"/>
      <c r="AN524" s="1074"/>
      <c r="AO524" s="1074"/>
      <c r="AP524" s="1074"/>
      <c r="AQ524" s="1074"/>
      <c r="AR524" s="1074"/>
      <c r="AS524" s="1074"/>
      <c r="AT524" s="1075"/>
    </row>
    <row r="525" ht="14.25" customHeight="1">
      <c r="A525" s="1116"/>
      <c r="B525" s="1120"/>
      <c r="C525" s="1100"/>
      <c r="D525" s="1100"/>
      <c r="E525" s="1100"/>
      <c r="F525" s="1100"/>
      <c r="G525" s="1100"/>
      <c r="H525" s="1100"/>
      <c r="I525" s="1100"/>
      <c r="J525" s="1100"/>
      <c r="K525" s="1074"/>
      <c r="L525" s="1074"/>
      <c r="M525" s="1074"/>
      <c r="N525" s="1074"/>
      <c r="O525" s="1074"/>
      <c r="P525" s="1074"/>
      <c r="Q525" s="1074"/>
      <c r="R525" s="1074"/>
      <c r="S525" s="1074"/>
      <c r="T525" s="1074"/>
      <c r="U525" s="1074"/>
      <c r="V525" s="1074"/>
      <c r="W525" s="1074"/>
      <c r="X525" s="1074"/>
      <c r="Y525" s="1074"/>
      <c r="Z525" s="1074"/>
      <c r="AA525" s="1074"/>
      <c r="AB525" s="1074"/>
      <c r="AC525" s="1074"/>
      <c r="AD525" s="1074"/>
      <c r="AE525" s="1074"/>
      <c r="AF525" s="1074"/>
      <c r="AG525" s="1074"/>
      <c r="AH525" s="1074"/>
      <c r="AI525" s="1074"/>
      <c r="AJ525" s="1074"/>
      <c r="AK525" s="1074"/>
      <c r="AL525" s="1074"/>
      <c r="AM525" s="1074"/>
      <c r="AN525" s="1074"/>
      <c r="AO525" s="1074"/>
      <c r="AP525" s="1074"/>
      <c r="AQ525" s="1074"/>
      <c r="AR525" s="1074"/>
      <c r="AS525" s="1074"/>
      <c r="AT525" s="1075"/>
    </row>
    <row r="526" ht="14.25" customHeight="1">
      <c r="A526" s="1116"/>
      <c r="B526" s="1120"/>
      <c r="C526" s="1100"/>
      <c r="D526" s="1100"/>
      <c r="E526" s="1100"/>
      <c r="F526" s="1100"/>
      <c r="G526" s="1100"/>
      <c r="H526" s="1100"/>
      <c r="I526" s="1100"/>
      <c r="J526" s="1100"/>
      <c r="K526" s="1074"/>
      <c r="L526" s="1074"/>
      <c r="M526" s="1074"/>
      <c r="N526" s="1074"/>
      <c r="O526" s="1074"/>
      <c r="P526" s="1074"/>
      <c r="Q526" s="1074"/>
      <c r="R526" s="1074"/>
      <c r="S526" s="1074"/>
      <c r="T526" s="1074"/>
      <c r="U526" s="1074"/>
      <c r="V526" s="1074"/>
      <c r="W526" s="1074"/>
      <c r="X526" s="1074"/>
      <c r="Y526" s="1074"/>
      <c r="Z526" s="1074"/>
      <c r="AA526" s="1074"/>
      <c r="AB526" s="1074"/>
      <c r="AC526" s="1074"/>
      <c r="AD526" s="1074"/>
      <c r="AE526" s="1074"/>
      <c r="AF526" s="1074"/>
      <c r="AG526" s="1074"/>
      <c r="AH526" s="1074"/>
      <c r="AI526" s="1074"/>
      <c r="AJ526" s="1074"/>
      <c r="AK526" s="1074"/>
      <c r="AL526" s="1074"/>
      <c r="AM526" s="1074"/>
      <c r="AN526" s="1074"/>
      <c r="AO526" s="1074"/>
      <c r="AP526" s="1074"/>
      <c r="AQ526" s="1074"/>
      <c r="AR526" s="1074"/>
      <c r="AS526" s="1074"/>
      <c r="AT526" s="1075"/>
    </row>
    <row r="527" ht="14.25" customHeight="1">
      <c r="A527" s="1116"/>
      <c r="B527" s="1120"/>
      <c r="C527" s="1100"/>
      <c r="D527" s="1100"/>
      <c r="E527" s="1100"/>
      <c r="F527" s="1100"/>
      <c r="G527" s="1100"/>
      <c r="H527" s="1100"/>
      <c r="I527" s="1100"/>
      <c r="J527" s="1100"/>
      <c r="K527" s="1074"/>
      <c r="L527" s="1074"/>
      <c r="M527" s="1074"/>
      <c r="N527" s="1074"/>
      <c r="O527" s="1074"/>
      <c r="P527" s="1074"/>
      <c r="Q527" s="1074"/>
      <c r="R527" s="1074"/>
      <c r="S527" s="1074"/>
      <c r="T527" s="1074"/>
      <c r="U527" s="1074"/>
      <c r="V527" s="1074"/>
      <c r="W527" s="1074"/>
      <c r="X527" s="1074"/>
      <c r="Y527" s="1074"/>
      <c r="Z527" s="1074"/>
      <c r="AA527" s="1074"/>
      <c r="AB527" s="1074"/>
      <c r="AC527" s="1074"/>
      <c r="AD527" s="1074"/>
      <c r="AE527" s="1074"/>
      <c r="AF527" s="1074"/>
      <c r="AG527" s="1074"/>
      <c r="AH527" s="1074"/>
      <c r="AI527" s="1074"/>
      <c r="AJ527" s="1074"/>
      <c r="AK527" s="1074"/>
      <c r="AL527" s="1074"/>
      <c r="AM527" s="1074"/>
      <c r="AN527" s="1074"/>
      <c r="AO527" s="1074"/>
      <c r="AP527" s="1074"/>
      <c r="AQ527" s="1074"/>
      <c r="AR527" s="1074"/>
      <c r="AS527" s="1074"/>
      <c r="AT527" s="1075"/>
    </row>
    <row r="528" ht="14.25" customHeight="1">
      <c r="A528" s="1116"/>
      <c r="B528" s="1120"/>
      <c r="C528" s="1100"/>
      <c r="D528" s="1100"/>
      <c r="E528" s="1100"/>
      <c r="F528" s="1100"/>
      <c r="G528" s="1100"/>
      <c r="H528" s="1100"/>
      <c r="I528" s="1100"/>
      <c r="J528" s="1100"/>
      <c r="K528" s="1074"/>
      <c r="L528" s="1074"/>
      <c r="M528" s="1074"/>
      <c r="N528" s="1074"/>
      <c r="O528" s="1074"/>
      <c r="P528" s="1074"/>
      <c r="Q528" s="1074"/>
      <c r="R528" s="1074"/>
      <c r="S528" s="1074"/>
      <c r="T528" s="1074"/>
      <c r="U528" s="1074"/>
      <c r="V528" s="1074"/>
      <c r="W528" s="1074"/>
      <c r="X528" s="1074"/>
      <c r="Y528" s="1074"/>
      <c r="Z528" s="1074"/>
      <c r="AA528" s="1074"/>
      <c r="AB528" s="1074"/>
      <c r="AC528" s="1074"/>
      <c r="AD528" s="1074"/>
      <c r="AE528" s="1074"/>
      <c r="AF528" s="1074"/>
      <c r="AG528" s="1074"/>
      <c r="AH528" s="1074"/>
      <c r="AI528" s="1074"/>
      <c r="AJ528" s="1074"/>
      <c r="AK528" s="1074"/>
      <c r="AL528" s="1074"/>
      <c r="AM528" s="1074"/>
      <c r="AN528" s="1074"/>
      <c r="AO528" s="1074"/>
      <c r="AP528" s="1074"/>
      <c r="AQ528" s="1074"/>
      <c r="AR528" s="1074"/>
      <c r="AS528" s="1074"/>
      <c r="AT528" s="1075"/>
    </row>
    <row r="529" ht="14.25" customHeight="1">
      <c r="A529" s="1116"/>
      <c r="B529" s="1120"/>
      <c r="C529" s="1100"/>
      <c r="D529" s="1100"/>
      <c r="E529" s="1100"/>
      <c r="F529" s="1100"/>
      <c r="G529" s="1100"/>
      <c r="H529" s="1100"/>
      <c r="I529" s="1100"/>
      <c r="J529" s="1100"/>
      <c r="K529" s="1074"/>
      <c r="L529" s="1074"/>
      <c r="M529" s="1074"/>
      <c r="N529" s="1074"/>
      <c r="O529" s="1074"/>
      <c r="P529" s="1074"/>
      <c r="Q529" s="1074"/>
      <c r="R529" s="1074"/>
      <c r="S529" s="1074"/>
      <c r="T529" s="1074"/>
      <c r="U529" s="1074"/>
      <c r="V529" s="1074"/>
      <c r="W529" s="1074"/>
      <c r="X529" s="1074"/>
      <c r="Y529" s="1074"/>
      <c r="Z529" s="1074"/>
      <c r="AA529" s="1074"/>
      <c r="AB529" s="1074"/>
      <c r="AC529" s="1074"/>
      <c r="AD529" s="1074"/>
      <c r="AE529" s="1074"/>
      <c r="AF529" s="1074"/>
      <c r="AG529" s="1074"/>
      <c r="AH529" s="1074"/>
      <c r="AI529" s="1074"/>
      <c r="AJ529" s="1074"/>
      <c r="AK529" s="1074"/>
      <c r="AL529" s="1074"/>
      <c r="AM529" s="1074"/>
      <c r="AN529" s="1074"/>
      <c r="AO529" s="1074"/>
      <c r="AP529" s="1074"/>
      <c r="AQ529" s="1074"/>
      <c r="AR529" s="1074"/>
      <c r="AS529" s="1074"/>
      <c r="AT529" s="1075"/>
    </row>
    <row r="530" ht="14.25" customHeight="1">
      <c r="A530" s="1116"/>
      <c r="B530" s="1120"/>
      <c r="C530" s="1100"/>
      <c r="D530" s="1100"/>
      <c r="E530" s="1100"/>
      <c r="F530" s="1100"/>
      <c r="G530" s="1100"/>
      <c r="H530" s="1100"/>
      <c r="I530" s="1100"/>
      <c r="J530" s="1100"/>
      <c r="K530" s="1074"/>
      <c r="L530" s="1074"/>
      <c r="M530" s="1074"/>
      <c r="N530" s="1074"/>
      <c r="O530" s="1074"/>
      <c r="P530" s="1074"/>
      <c r="Q530" s="1074"/>
      <c r="R530" s="1074"/>
      <c r="S530" s="1074"/>
      <c r="T530" s="1074"/>
      <c r="U530" s="1074"/>
      <c r="V530" s="1074"/>
      <c r="W530" s="1074"/>
      <c r="X530" s="1074"/>
      <c r="Y530" s="1074"/>
      <c r="Z530" s="1074"/>
      <c r="AA530" s="1074"/>
      <c r="AB530" s="1074"/>
      <c r="AC530" s="1074"/>
      <c r="AD530" s="1074"/>
      <c r="AE530" s="1074"/>
      <c r="AF530" s="1074"/>
      <c r="AG530" s="1074"/>
      <c r="AH530" s="1074"/>
      <c r="AI530" s="1074"/>
      <c r="AJ530" s="1074"/>
      <c r="AK530" s="1074"/>
      <c r="AL530" s="1074"/>
      <c r="AM530" s="1074"/>
      <c r="AN530" s="1074"/>
      <c r="AO530" s="1074"/>
      <c r="AP530" s="1074"/>
      <c r="AQ530" s="1074"/>
      <c r="AR530" s="1074"/>
      <c r="AS530" s="1074"/>
      <c r="AT530" s="1075"/>
    </row>
    <row r="531" ht="14.25" customHeight="1">
      <c r="A531" s="1116"/>
      <c r="B531" s="1120"/>
      <c r="C531" s="1100"/>
      <c r="D531" s="1100"/>
      <c r="E531" s="1100"/>
      <c r="F531" s="1100"/>
      <c r="G531" s="1100"/>
      <c r="H531" s="1100"/>
      <c r="I531" s="1100"/>
      <c r="J531" s="1100"/>
      <c r="K531" s="1074"/>
      <c r="L531" s="1074"/>
      <c r="M531" s="1074"/>
      <c r="N531" s="1074"/>
      <c r="O531" s="1074"/>
      <c r="P531" s="1074"/>
      <c r="Q531" s="1074"/>
      <c r="R531" s="1074"/>
      <c r="S531" s="1074"/>
      <c r="T531" s="1074"/>
      <c r="U531" s="1074"/>
      <c r="V531" s="1074"/>
      <c r="W531" s="1074"/>
      <c r="X531" s="1074"/>
      <c r="Y531" s="1074"/>
      <c r="Z531" s="1074"/>
      <c r="AA531" s="1074"/>
      <c r="AB531" s="1074"/>
      <c r="AC531" s="1074"/>
      <c r="AD531" s="1074"/>
      <c r="AE531" s="1074"/>
      <c r="AF531" s="1074"/>
      <c r="AG531" s="1074"/>
      <c r="AH531" s="1074"/>
      <c r="AI531" s="1074"/>
      <c r="AJ531" s="1074"/>
      <c r="AK531" s="1074"/>
      <c r="AL531" s="1074"/>
      <c r="AM531" s="1074"/>
      <c r="AN531" s="1074"/>
      <c r="AO531" s="1074"/>
      <c r="AP531" s="1074"/>
      <c r="AQ531" s="1074"/>
      <c r="AR531" s="1074"/>
      <c r="AS531" s="1074"/>
      <c r="AT531" s="1075"/>
    </row>
    <row r="532" ht="14.25" customHeight="1">
      <c r="A532" s="1116"/>
      <c r="B532" s="1120"/>
      <c r="C532" s="1100"/>
      <c r="D532" s="1100"/>
      <c r="E532" s="1100"/>
      <c r="F532" s="1100"/>
      <c r="G532" s="1100"/>
      <c r="H532" s="1100"/>
      <c r="I532" s="1100"/>
      <c r="J532" s="1100"/>
      <c r="K532" s="1074"/>
      <c r="L532" s="1074"/>
      <c r="M532" s="1074"/>
      <c r="N532" s="1074"/>
      <c r="O532" s="1074"/>
      <c r="P532" s="1074"/>
      <c r="Q532" s="1074"/>
      <c r="R532" s="1074"/>
      <c r="S532" s="1074"/>
      <c r="T532" s="1074"/>
      <c r="U532" s="1074"/>
      <c r="V532" s="1074"/>
      <c r="W532" s="1074"/>
      <c r="X532" s="1074"/>
      <c r="Y532" s="1074"/>
      <c r="Z532" s="1074"/>
      <c r="AA532" s="1074"/>
      <c r="AB532" s="1074"/>
      <c r="AC532" s="1074"/>
      <c r="AD532" s="1074"/>
      <c r="AE532" s="1074"/>
      <c r="AF532" s="1074"/>
      <c r="AG532" s="1074"/>
      <c r="AH532" s="1074"/>
      <c r="AI532" s="1074"/>
      <c r="AJ532" s="1074"/>
      <c r="AK532" s="1074"/>
      <c r="AL532" s="1074"/>
      <c r="AM532" s="1074"/>
      <c r="AN532" s="1074"/>
      <c r="AO532" s="1074"/>
      <c r="AP532" s="1074"/>
      <c r="AQ532" s="1074"/>
      <c r="AR532" s="1074"/>
      <c r="AS532" s="1074"/>
      <c r="AT532" s="1075"/>
    </row>
    <row r="533" ht="14.25" customHeight="1">
      <c r="A533" s="1116"/>
      <c r="B533" s="1120"/>
      <c r="C533" s="1100"/>
      <c r="D533" s="1100"/>
      <c r="E533" s="1100"/>
      <c r="F533" s="1100"/>
      <c r="G533" s="1100"/>
      <c r="H533" s="1100"/>
      <c r="I533" s="1100"/>
      <c r="J533" s="1100"/>
      <c r="K533" s="1074"/>
      <c r="L533" s="1074"/>
      <c r="M533" s="1074"/>
      <c r="N533" s="1074"/>
      <c r="O533" s="1074"/>
      <c r="P533" s="1074"/>
      <c r="Q533" s="1074"/>
      <c r="R533" s="1074"/>
      <c r="S533" s="1074"/>
      <c r="T533" s="1074"/>
      <c r="U533" s="1074"/>
      <c r="V533" s="1074"/>
      <c r="W533" s="1074"/>
      <c r="X533" s="1074"/>
      <c r="Y533" s="1074"/>
      <c r="Z533" s="1074"/>
      <c r="AA533" s="1074"/>
      <c r="AB533" s="1074"/>
      <c r="AC533" s="1074"/>
      <c r="AD533" s="1074"/>
      <c r="AE533" s="1074"/>
      <c r="AF533" s="1074"/>
      <c r="AG533" s="1074"/>
      <c r="AH533" s="1074"/>
      <c r="AI533" s="1074"/>
      <c r="AJ533" s="1074"/>
      <c r="AK533" s="1074"/>
      <c r="AL533" s="1074"/>
      <c r="AM533" s="1074"/>
      <c r="AN533" s="1074"/>
      <c r="AO533" s="1074"/>
      <c r="AP533" s="1074"/>
      <c r="AQ533" s="1074"/>
      <c r="AR533" s="1074"/>
      <c r="AS533" s="1074"/>
      <c r="AT533" s="1075"/>
    </row>
    <row r="534" ht="14.25" customHeight="1">
      <c r="A534" s="1116"/>
      <c r="B534" s="1120"/>
      <c r="C534" s="1100"/>
      <c r="D534" s="1100"/>
      <c r="E534" s="1100"/>
      <c r="F534" s="1100"/>
      <c r="G534" s="1100"/>
      <c r="H534" s="1100"/>
      <c r="I534" s="1100"/>
      <c r="J534" s="1100"/>
      <c r="K534" s="1074"/>
      <c r="L534" s="1074"/>
      <c r="M534" s="1074"/>
      <c r="N534" s="1074"/>
      <c r="O534" s="1074"/>
      <c r="P534" s="1074"/>
      <c r="Q534" s="1074"/>
      <c r="R534" s="1074"/>
      <c r="S534" s="1074"/>
      <c r="T534" s="1074"/>
      <c r="U534" s="1074"/>
      <c r="V534" s="1074"/>
      <c r="W534" s="1074"/>
      <c r="X534" s="1074"/>
      <c r="Y534" s="1074"/>
      <c r="Z534" s="1074"/>
      <c r="AA534" s="1074"/>
      <c r="AB534" s="1074"/>
      <c r="AC534" s="1074"/>
      <c r="AD534" s="1074"/>
      <c r="AE534" s="1074"/>
      <c r="AF534" s="1074"/>
      <c r="AG534" s="1074"/>
      <c r="AH534" s="1074"/>
      <c r="AI534" s="1074"/>
      <c r="AJ534" s="1074"/>
      <c r="AK534" s="1074"/>
      <c r="AL534" s="1074"/>
      <c r="AM534" s="1074"/>
      <c r="AN534" s="1074"/>
      <c r="AO534" s="1074"/>
      <c r="AP534" s="1074"/>
      <c r="AQ534" s="1074"/>
      <c r="AR534" s="1074"/>
      <c r="AS534" s="1074"/>
      <c r="AT534" s="1075"/>
    </row>
    <row r="535" ht="14.25" customHeight="1">
      <c r="A535" s="1116"/>
      <c r="B535" s="1120"/>
      <c r="C535" s="1100"/>
      <c r="D535" s="1100"/>
      <c r="E535" s="1100"/>
      <c r="F535" s="1100"/>
      <c r="G535" s="1100"/>
      <c r="H535" s="1100"/>
      <c r="I535" s="1100"/>
      <c r="J535" s="1100"/>
      <c r="K535" s="1074"/>
      <c r="L535" s="1074"/>
      <c r="M535" s="1074"/>
      <c r="N535" s="1074"/>
      <c r="O535" s="1074"/>
      <c r="P535" s="1074"/>
      <c r="Q535" s="1074"/>
      <c r="R535" s="1074"/>
      <c r="S535" s="1074"/>
      <c r="T535" s="1074"/>
      <c r="U535" s="1074"/>
      <c r="V535" s="1074"/>
      <c r="W535" s="1074"/>
      <c r="X535" s="1074"/>
      <c r="Y535" s="1074"/>
      <c r="Z535" s="1074"/>
      <c r="AA535" s="1074"/>
      <c r="AB535" s="1074"/>
      <c r="AC535" s="1074"/>
      <c r="AD535" s="1074"/>
      <c r="AE535" s="1074"/>
      <c r="AF535" s="1074"/>
      <c r="AG535" s="1074"/>
      <c r="AH535" s="1074"/>
      <c r="AI535" s="1074"/>
      <c r="AJ535" s="1074"/>
      <c r="AK535" s="1074"/>
      <c r="AL535" s="1074"/>
      <c r="AM535" s="1074"/>
      <c r="AN535" s="1074"/>
      <c r="AO535" s="1074"/>
      <c r="AP535" s="1074"/>
      <c r="AQ535" s="1074"/>
      <c r="AR535" s="1074"/>
      <c r="AS535" s="1074"/>
      <c r="AT535" s="1075"/>
    </row>
    <row r="536" ht="14.25" customHeight="1">
      <c r="A536" s="1116"/>
      <c r="B536" s="1120"/>
      <c r="C536" s="1100"/>
      <c r="D536" s="1100"/>
      <c r="E536" s="1100"/>
      <c r="F536" s="1100"/>
      <c r="G536" s="1100"/>
      <c r="H536" s="1100"/>
      <c r="I536" s="1100"/>
      <c r="J536" s="1100"/>
      <c r="K536" s="1074"/>
      <c r="L536" s="1074"/>
      <c r="M536" s="1074"/>
      <c r="N536" s="1074"/>
      <c r="O536" s="1074"/>
      <c r="P536" s="1074"/>
      <c r="Q536" s="1074"/>
      <c r="R536" s="1074"/>
      <c r="S536" s="1074"/>
      <c r="T536" s="1074"/>
      <c r="U536" s="1074"/>
      <c r="V536" s="1074"/>
      <c r="W536" s="1074"/>
      <c r="X536" s="1074"/>
      <c r="Y536" s="1074"/>
      <c r="Z536" s="1074"/>
      <c r="AA536" s="1074"/>
      <c r="AB536" s="1074"/>
      <c r="AC536" s="1074"/>
      <c r="AD536" s="1074"/>
      <c r="AE536" s="1074"/>
      <c r="AF536" s="1074"/>
      <c r="AG536" s="1074"/>
      <c r="AH536" s="1074"/>
      <c r="AI536" s="1074"/>
      <c r="AJ536" s="1074"/>
      <c r="AK536" s="1074"/>
      <c r="AL536" s="1074"/>
      <c r="AM536" s="1074"/>
      <c r="AN536" s="1074"/>
      <c r="AO536" s="1074"/>
      <c r="AP536" s="1074"/>
      <c r="AQ536" s="1074"/>
      <c r="AR536" s="1074"/>
      <c r="AS536" s="1074"/>
      <c r="AT536" s="1075"/>
    </row>
    <row r="537" ht="14.25" customHeight="1">
      <c r="A537" s="1116"/>
      <c r="B537" s="1120"/>
      <c r="C537" s="1100"/>
      <c r="D537" s="1100"/>
      <c r="E537" s="1100"/>
      <c r="F537" s="1100"/>
      <c r="G537" s="1100"/>
      <c r="H537" s="1100"/>
      <c r="I537" s="1100"/>
      <c r="J537" s="1100"/>
      <c r="K537" s="1074"/>
      <c r="L537" s="1074"/>
      <c r="M537" s="1074"/>
      <c r="N537" s="1074"/>
      <c r="O537" s="1074"/>
      <c r="P537" s="1074"/>
      <c r="Q537" s="1074"/>
      <c r="R537" s="1074"/>
      <c r="S537" s="1074"/>
      <c r="T537" s="1074"/>
      <c r="U537" s="1074"/>
      <c r="V537" s="1074"/>
      <c r="W537" s="1074"/>
      <c r="X537" s="1074"/>
      <c r="Y537" s="1074"/>
      <c r="Z537" s="1074"/>
      <c r="AA537" s="1074"/>
      <c r="AB537" s="1074"/>
      <c r="AC537" s="1074"/>
      <c r="AD537" s="1074"/>
      <c r="AE537" s="1074"/>
      <c r="AF537" s="1074"/>
      <c r="AG537" s="1074"/>
      <c r="AH537" s="1074"/>
      <c r="AI537" s="1074"/>
      <c r="AJ537" s="1074"/>
      <c r="AK537" s="1074"/>
      <c r="AL537" s="1074"/>
      <c r="AM537" s="1074"/>
      <c r="AN537" s="1074"/>
      <c r="AO537" s="1074"/>
      <c r="AP537" s="1074"/>
      <c r="AQ537" s="1074"/>
      <c r="AR537" s="1074"/>
      <c r="AS537" s="1074"/>
      <c r="AT537" s="1075"/>
    </row>
    <row r="538" ht="14.25" customHeight="1">
      <c r="A538" s="1116"/>
      <c r="B538" s="1120"/>
      <c r="C538" s="1100"/>
      <c r="D538" s="1100"/>
      <c r="E538" s="1100"/>
      <c r="F538" s="1100"/>
      <c r="G538" s="1100"/>
      <c r="H538" s="1100"/>
      <c r="I538" s="1100"/>
      <c r="J538" s="1100"/>
      <c r="K538" s="1074"/>
      <c r="L538" s="1074"/>
      <c r="M538" s="1074"/>
      <c r="N538" s="1074"/>
      <c r="O538" s="1074"/>
      <c r="P538" s="1074"/>
      <c r="Q538" s="1074"/>
      <c r="R538" s="1074"/>
      <c r="S538" s="1074"/>
      <c r="T538" s="1074"/>
      <c r="U538" s="1074"/>
      <c r="V538" s="1074"/>
      <c r="W538" s="1074"/>
      <c r="X538" s="1074"/>
      <c r="Y538" s="1074"/>
      <c r="Z538" s="1074"/>
      <c r="AA538" s="1074"/>
      <c r="AB538" s="1074"/>
      <c r="AC538" s="1074"/>
      <c r="AD538" s="1074"/>
      <c r="AE538" s="1074"/>
      <c r="AF538" s="1074"/>
      <c r="AG538" s="1074"/>
      <c r="AH538" s="1074"/>
      <c r="AI538" s="1074"/>
      <c r="AJ538" s="1074"/>
      <c r="AK538" s="1074"/>
      <c r="AL538" s="1074"/>
      <c r="AM538" s="1074"/>
      <c r="AN538" s="1074"/>
      <c r="AO538" s="1074"/>
      <c r="AP538" s="1074"/>
      <c r="AQ538" s="1074"/>
      <c r="AR538" s="1074"/>
      <c r="AS538" s="1074"/>
      <c r="AT538" s="1075"/>
    </row>
    <row r="539" ht="14.25" customHeight="1">
      <c r="A539" s="1116"/>
      <c r="B539" s="1120"/>
      <c r="C539" s="1100"/>
      <c r="D539" s="1100"/>
      <c r="E539" s="1100"/>
      <c r="F539" s="1100"/>
      <c r="G539" s="1100"/>
      <c r="H539" s="1100"/>
      <c r="I539" s="1100"/>
      <c r="J539" s="1100"/>
      <c r="K539" s="1074"/>
      <c r="L539" s="1074"/>
      <c r="M539" s="1074"/>
      <c r="N539" s="1074"/>
      <c r="O539" s="1074"/>
      <c r="P539" s="1074"/>
      <c r="Q539" s="1074"/>
      <c r="R539" s="1074"/>
      <c r="S539" s="1074"/>
      <c r="T539" s="1074"/>
      <c r="U539" s="1074"/>
      <c r="V539" s="1074"/>
      <c r="W539" s="1074"/>
      <c r="X539" s="1074"/>
      <c r="Y539" s="1074"/>
      <c r="Z539" s="1074"/>
      <c r="AA539" s="1074"/>
      <c r="AB539" s="1074"/>
      <c r="AC539" s="1074"/>
      <c r="AD539" s="1074"/>
      <c r="AE539" s="1074"/>
      <c r="AF539" s="1074"/>
      <c r="AG539" s="1074"/>
      <c r="AH539" s="1074"/>
      <c r="AI539" s="1074"/>
      <c r="AJ539" s="1074"/>
      <c r="AK539" s="1074"/>
      <c r="AL539" s="1074"/>
      <c r="AM539" s="1074"/>
      <c r="AN539" s="1074"/>
      <c r="AO539" s="1074"/>
      <c r="AP539" s="1074"/>
      <c r="AQ539" s="1074"/>
      <c r="AR539" s="1074"/>
      <c r="AS539" s="1074"/>
      <c r="AT539" s="1075"/>
    </row>
    <row r="540" ht="14.25" customHeight="1">
      <c r="A540" s="1116"/>
      <c r="B540" s="1120"/>
      <c r="C540" s="1100"/>
      <c r="D540" s="1100"/>
      <c r="E540" s="1100"/>
      <c r="F540" s="1100"/>
      <c r="G540" s="1100"/>
      <c r="H540" s="1100"/>
      <c r="I540" s="1100"/>
      <c r="J540" s="1100"/>
      <c r="K540" s="1074"/>
      <c r="L540" s="1074"/>
      <c r="M540" s="1074"/>
      <c r="N540" s="1074"/>
      <c r="O540" s="1074"/>
      <c r="P540" s="1074"/>
      <c r="Q540" s="1074"/>
      <c r="R540" s="1074"/>
      <c r="S540" s="1074"/>
      <c r="T540" s="1074"/>
      <c r="U540" s="1074"/>
      <c r="V540" s="1074"/>
      <c r="W540" s="1074"/>
      <c r="X540" s="1074"/>
      <c r="Y540" s="1074"/>
      <c r="Z540" s="1074"/>
      <c r="AA540" s="1074"/>
      <c r="AB540" s="1074"/>
      <c r="AC540" s="1074"/>
      <c r="AD540" s="1074"/>
      <c r="AE540" s="1074"/>
      <c r="AF540" s="1074"/>
      <c r="AG540" s="1074"/>
      <c r="AH540" s="1074"/>
      <c r="AI540" s="1074"/>
      <c r="AJ540" s="1074"/>
      <c r="AK540" s="1074"/>
      <c r="AL540" s="1074"/>
      <c r="AM540" s="1074"/>
      <c r="AN540" s="1074"/>
      <c r="AO540" s="1074"/>
      <c r="AP540" s="1074"/>
      <c r="AQ540" s="1074"/>
      <c r="AR540" s="1074"/>
      <c r="AS540" s="1074"/>
      <c r="AT540" s="1075"/>
    </row>
    <row r="541" ht="14.25" customHeight="1">
      <c r="A541" s="1116"/>
      <c r="B541" s="1120"/>
      <c r="C541" s="1100"/>
      <c r="D541" s="1100"/>
      <c r="E541" s="1100"/>
      <c r="F541" s="1100"/>
      <c r="G541" s="1100"/>
      <c r="H541" s="1100"/>
      <c r="I541" s="1100"/>
      <c r="J541" s="1100"/>
      <c r="K541" s="1074"/>
      <c r="L541" s="1074"/>
      <c r="M541" s="1074"/>
      <c r="N541" s="1074"/>
      <c r="O541" s="1074"/>
      <c r="P541" s="1074"/>
      <c r="Q541" s="1074"/>
      <c r="R541" s="1074"/>
      <c r="S541" s="1074"/>
      <c r="T541" s="1074"/>
      <c r="U541" s="1074"/>
      <c r="V541" s="1074"/>
      <c r="W541" s="1074"/>
      <c r="X541" s="1074"/>
      <c r="Y541" s="1074"/>
      <c r="Z541" s="1074"/>
      <c r="AA541" s="1074"/>
      <c r="AB541" s="1074"/>
      <c r="AC541" s="1074"/>
      <c r="AD541" s="1074"/>
      <c r="AE541" s="1074"/>
      <c r="AF541" s="1074"/>
      <c r="AG541" s="1074"/>
      <c r="AH541" s="1074"/>
      <c r="AI541" s="1074"/>
      <c r="AJ541" s="1074"/>
      <c r="AK541" s="1074"/>
      <c r="AL541" s="1074"/>
      <c r="AM541" s="1074"/>
      <c r="AN541" s="1074"/>
      <c r="AO541" s="1074"/>
      <c r="AP541" s="1074"/>
      <c r="AQ541" s="1074"/>
      <c r="AR541" s="1074"/>
      <c r="AS541" s="1074"/>
      <c r="AT541" s="1075"/>
    </row>
    <row r="542" ht="14.25" customHeight="1">
      <c r="A542" s="1116"/>
      <c r="B542" s="1120"/>
      <c r="C542" s="1100"/>
      <c r="D542" s="1100"/>
      <c r="E542" s="1100"/>
      <c r="F542" s="1100"/>
      <c r="G542" s="1100"/>
      <c r="H542" s="1100"/>
      <c r="I542" s="1100"/>
      <c r="J542" s="1100"/>
      <c r="K542" s="1074"/>
      <c r="L542" s="1074"/>
      <c r="M542" s="1074"/>
      <c r="N542" s="1074"/>
      <c r="O542" s="1074"/>
      <c r="P542" s="1074"/>
      <c r="Q542" s="1074"/>
      <c r="R542" s="1074"/>
      <c r="S542" s="1074"/>
      <c r="T542" s="1074"/>
      <c r="U542" s="1074"/>
      <c r="V542" s="1074"/>
      <c r="W542" s="1074"/>
      <c r="X542" s="1074"/>
      <c r="Y542" s="1074"/>
      <c r="Z542" s="1074"/>
      <c r="AA542" s="1074"/>
      <c r="AB542" s="1074"/>
      <c r="AC542" s="1074"/>
      <c r="AD542" s="1074"/>
      <c r="AE542" s="1074"/>
      <c r="AF542" s="1074"/>
      <c r="AG542" s="1074"/>
      <c r="AH542" s="1074"/>
      <c r="AI542" s="1074"/>
      <c r="AJ542" s="1074"/>
      <c r="AK542" s="1074"/>
      <c r="AL542" s="1074"/>
      <c r="AM542" s="1074"/>
      <c r="AN542" s="1074"/>
      <c r="AO542" s="1074"/>
      <c r="AP542" s="1074"/>
      <c r="AQ542" s="1074"/>
      <c r="AR542" s="1074"/>
      <c r="AS542" s="1074"/>
      <c r="AT542" s="1075"/>
    </row>
    <row r="543" ht="14.25" customHeight="1">
      <c r="A543" s="1116"/>
      <c r="B543" s="1120"/>
      <c r="C543" s="1100"/>
      <c r="D543" s="1100"/>
      <c r="E543" s="1100"/>
      <c r="F543" s="1100"/>
      <c r="G543" s="1100"/>
      <c r="H543" s="1100"/>
      <c r="I543" s="1100"/>
      <c r="J543" s="1100"/>
      <c r="K543" s="1074"/>
      <c r="L543" s="1074"/>
      <c r="M543" s="1074"/>
      <c r="N543" s="1074"/>
      <c r="O543" s="1074"/>
      <c r="P543" s="1074"/>
      <c r="Q543" s="1074"/>
      <c r="R543" s="1074"/>
      <c r="S543" s="1074"/>
      <c r="T543" s="1074"/>
      <c r="U543" s="1074"/>
      <c r="V543" s="1074"/>
      <c r="W543" s="1074"/>
      <c r="X543" s="1074"/>
      <c r="Y543" s="1074"/>
      <c r="Z543" s="1074"/>
      <c r="AA543" s="1074"/>
      <c r="AB543" s="1074"/>
      <c r="AC543" s="1074"/>
      <c r="AD543" s="1074"/>
      <c r="AE543" s="1074"/>
      <c r="AF543" s="1074"/>
      <c r="AG543" s="1074"/>
      <c r="AH543" s="1074"/>
      <c r="AI543" s="1074"/>
      <c r="AJ543" s="1074"/>
      <c r="AK543" s="1074"/>
      <c r="AL543" s="1074"/>
      <c r="AM543" s="1074"/>
      <c r="AN543" s="1074"/>
      <c r="AO543" s="1074"/>
      <c r="AP543" s="1074"/>
      <c r="AQ543" s="1074"/>
      <c r="AR543" s="1074"/>
      <c r="AS543" s="1074"/>
      <c r="AT543" s="1075"/>
    </row>
    <row r="544" ht="14.25" customHeight="1">
      <c r="A544" s="1116"/>
      <c r="B544" s="1120"/>
      <c r="C544" s="1100"/>
      <c r="D544" s="1100"/>
      <c r="E544" s="1100"/>
      <c r="F544" s="1100"/>
      <c r="G544" s="1100"/>
      <c r="H544" s="1100"/>
      <c r="I544" s="1100"/>
      <c r="J544" s="1100"/>
      <c r="K544" s="1074"/>
      <c r="L544" s="1074"/>
      <c r="M544" s="1074"/>
      <c r="N544" s="1074"/>
      <c r="O544" s="1074"/>
      <c r="P544" s="1074"/>
      <c r="Q544" s="1074"/>
      <c r="R544" s="1074"/>
      <c r="S544" s="1074"/>
      <c r="T544" s="1074"/>
      <c r="U544" s="1074"/>
      <c r="V544" s="1074"/>
      <c r="W544" s="1074"/>
      <c r="X544" s="1074"/>
      <c r="Y544" s="1074"/>
      <c r="Z544" s="1074"/>
      <c r="AA544" s="1074"/>
      <c r="AB544" s="1074"/>
      <c r="AC544" s="1074"/>
      <c r="AD544" s="1074"/>
      <c r="AE544" s="1074"/>
      <c r="AF544" s="1074"/>
      <c r="AG544" s="1074"/>
      <c r="AH544" s="1074"/>
      <c r="AI544" s="1074"/>
      <c r="AJ544" s="1074"/>
      <c r="AK544" s="1074"/>
      <c r="AL544" s="1074"/>
      <c r="AM544" s="1074"/>
      <c r="AN544" s="1074"/>
      <c r="AO544" s="1074"/>
      <c r="AP544" s="1074"/>
      <c r="AQ544" s="1074"/>
      <c r="AR544" s="1074"/>
      <c r="AS544" s="1074"/>
      <c r="AT544" s="1075"/>
    </row>
    <row r="545" ht="14.25" customHeight="1">
      <c r="A545" s="1116"/>
      <c r="B545" s="1120"/>
      <c r="C545" s="1100"/>
      <c r="D545" s="1100"/>
      <c r="E545" s="1100"/>
      <c r="F545" s="1100"/>
      <c r="G545" s="1100"/>
      <c r="H545" s="1100"/>
      <c r="I545" s="1100"/>
      <c r="J545" s="1100"/>
      <c r="K545" s="1074"/>
      <c r="L545" s="1074"/>
      <c r="M545" s="1074"/>
      <c r="N545" s="1074"/>
      <c r="O545" s="1074"/>
      <c r="P545" s="1074"/>
      <c r="Q545" s="1074"/>
      <c r="R545" s="1074"/>
      <c r="S545" s="1074"/>
      <c r="T545" s="1074"/>
      <c r="U545" s="1074"/>
      <c r="V545" s="1074"/>
      <c r="W545" s="1074"/>
      <c r="X545" s="1074"/>
      <c r="Y545" s="1074"/>
      <c r="Z545" s="1074"/>
      <c r="AA545" s="1074"/>
      <c r="AB545" s="1074"/>
      <c r="AC545" s="1074"/>
      <c r="AD545" s="1074"/>
      <c r="AE545" s="1074"/>
      <c r="AF545" s="1074"/>
      <c r="AG545" s="1074"/>
      <c r="AH545" s="1074"/>
      <c r="AI545" s="1074"/>
      <c r="AJ545" s="1074"/>
      <c r="AK545" s="1074"/>
      <c r="AL545" s="1074"/>
      <c r="AM545" s="1074"/>
      <c r="AN545" s="1074"/>
      <c r="AO545" s="1074"/>
      <c r="AP545" s="1074"/>
      <c r="AQ545" s="1074"/>
      <c r="AR545" s="1074"/>
      <c r="AS545" s="1074"/>
      <c r="AT545" s="1075"/>
    </row>
    <row r="546" ht="14.25" customHeight="1">
      <c r="A546" s="1116"/>
      <c r="B546" s="1120"/>
      <c r="C546" s="1100"/>
      <c r="D546" s="1100"/>
      <c r="E546" s="1100"/>
      <c r="F546" s="1100"/>
      <c r="G546" s="1100"/>
      <c r="H546" s="1100"/>
      <c r="I546" s="1100"/>
      <c r="J546" s="1100"/>
      <c r="K546" s="1074"/>
      <c r="L546" s="1074"/>
      <c r="M546" s="1074"/>
      <c r="N546" s="1074"/>
      <c r="O546" s="1074"/>
      <c r="P546" s="1074"/>
      <c r="Q546" s="1074"/>
      <c r="R546" s="1074"/>
      <c r="S546" s="1074"/>
      <c r="T546" s="1074"/>
      <c r="U546" s="1074"/>
      <c r="V546" s="1074"/>
      <c r="W546" s="1074"/>
      <c r="X546" s="1074"/>
      <c r="Y546" s="1074"/>
      <c r="Z546" s="1074"/>
      <c r="AA546" s="1074"/>
      <c r="AB546" s="1074"/>
      <c r="AC546" s="1074"/>
      <c r="AD546" s="1074"/>
      <c r="AE546" s="1074"/>
      <c r="AF546" s="1074"/>
      <c r="AG546" s="1074"/>
      <c r="AH546" s="1074"/>
      <c r="AI546" s="1074"/>
      <c r="AJ546" s="1074"/>
      <c r="AK546" s="1074"/>
      <c r="AL546" s="1074"/>
      <c r="AM546" s="1074"/>
      <c r="AN546" s="1074"/>
      <c r="AO546" s="1074"/>
      <c r="AP546" s="1074"/>
      <c r="AQ546" s="1074"/>
      <c r="AR546" s="1074"/>
      <c r="AS546" s="1074"/>
      <c r="AT546" s="1075"/>
    </row>
    <row r="547" ht="14.25" customHeight="1">
      <c r="A547" s="1116"/>
      <c r="B547" s="1120"/>
      <c r="C547" s="1100"/>
      <c r="D547" s="1100"/>
      <c r="E547" s="1100"/>
      <c r="F547" s="1100"/>
      <c r="G547" s="1100"/>
      <c r="H547" s="1100"/>
      <c r="I547" s="1100"/>
      <c r="J547" s="1100"/>
      <c r="K547" s="1074"/>
      <c r="L547" s="1074"/>
      <c r="M547" s="1074"/>
      <c r="N547" s="1074"/>
      <c r="O547" s="1074"/>
      <c r="P547" s="1074"/>
      <c r="Q547" s="1074"/>
      <c r="R547" s="1074"/>
      <c r="S547" s="1074"/>
      <c r="T547" s="1074"/>
      <c r="U547" s="1074"/>
      <c r="V547" s="1074"/>
      <c r="W547" s="1074"/>
      <c r="X547" s="1074"/>
      <c r="Y547" s="1074"/>
      <c r="Z547" s="1074"/>
      <c r="AA547" s="1074"/>
      <c r="AB547" s="1074"/>
      <c r="AC547" s="1074"/>
      <c r="AD547" s="1074"/>
      <c r="AE547" s="1074"/>
      <c r="AF547" s="1074"/>
      <c r="AG547" s="1074"/>
      <c r="AH547" s="1074"/>
      <c r="AI547" s="1074"/>
      <c r="AJ547" s="1074"/>
      <c r="AK547" s="1074"/>
      <c r="AL547" s="1074"/>
      <c r="AM547" s="1074"/>
      <c r="AN547" s="1074"/>
      <c r="AO547" s="1074"/>
      <c r="AP547" s="1074"/>
      <c r="AQ547" s="1074"/>
      <c r="AR547" s="1074"/>
      <c r="AS547" s="1074"/>
      <c r="AT547" s="1075"/>
    </row>
    <row r="548" ht="14.25" customHeight="1">
      <c r="A548" s="1116"/>
      <c r="B548" s="1120"/>
      <c r="C548" s="1100"/>
      <c r="D548" s="1100"/>
      <c r="E548" s="1100"/>
      <c r="F548" s="1100"/>
      <c r="G548" s="1100"/>
      <c r="H548" s="1100"/>
      <c r="I548" s="1100"/>
      <c r="J548" s="1100"/>
      <c r="K548" s="1074"/>
      <c r="L548" s="1074"/>
      <c r="M548" s="1074"/>
      <c r="N548" s="1074"/>
      <c r="O548" s="1074"/>
      <c r="P548" s="1074"/>
      <c r="Q548" s="1074"/>
      <c r="R548" s="1074"/>
      <c r="S548" s="1074"/>
      <c r="T548" s="1074"/>
      <c r="U548" s="1074"/>
      <c r="V548" s="1074"/>
      <c r="W548" s="1074"/>
      <c r="X548" s="1074"/>
      <c r="Y548" s="1074"/>
      <c r="Z548" s="1074"/>
      <c r="AA548" s="1074"/>
      <c r="AB548" s="1074"/>
      <c r="AC548" s="1074"/>
      <c r="AD548" s="1074"/>
      <c r="AE548" s="1074"/>
      <c r="AF548" s="1074"/>
      <c r="AG548" s="1074"/>
      <c r="AH548" s="1074"/>
      <c r="AI548" s="1074"/>
      <c r="AJ548" s="1074"/>
      <c r="AK548" s="1074"/>
      <c r="AL548" s="1074"/>
      <c r="AM548" s="1074"/>
      <c r="AN548" s="1074"/>
      <c r="AO548" s="1074"/>
      <c r="AP548" s="1074"/>
      <c r="AQ548" s="1074"/>
      <c r="AR548" s="1074"/>
      <c r="AS548" s="1074"/>
      <c r="AT548" s="1075"/>
    </row>
    <row r="549" ht="14.25" customHeight="1">
      <c r="A549" s="1116"/>
      <c r="B549" s="1120"/>
      <c r="C549" s="1100"/>
      <c r="D549" s="1100"/>
      <c r="E549" s="1100"/>
      <c r="F549" s="1100"/>
      <c r="G549" s="1100"/>
      <c r="H549" s="1100"/>
      <c r="I549" s="1100"/>
      <c r="J549" s="1100"/>
      <c r="K549" s="1074"/>
      <c r="L549" s="1074"/>
      <c r="M549" s="1074"/>
      <c r="N549" s="1074"/>
      <c r="O549" s="1074"/>
      <c r="P549" s="1074"/>
      <c r="Q549" s="1074"/>
      <c r="R549" s="1074"/>
      <c r="S549" s="1074"/>
      <c r="T549" s="1074"/>
      <c r="U549" s="1074"/>
      <c r="V549" s="1074"/>
      <c r="W549" s="1074"/>
      <c r="X549" s="1074"/>
      <c r="Y549" s="1074"/>
      <c r="Z549" s="1074"/>
      <c r="AA549" s="1074"/>
      <c r="AB549" s="1074"/>
      <c r="AC549" s="1074"/>
      <c r="AD549" s="1074"/>
      <c r="AE549" s="1074"/>
      <c r="AF549" s="1074"/>
      <c r="AG549" s="1074"/>
      <c r="AH549" s="1074"/>
      <c r="AI549" s="1074"/>
      <c r="AJ549" s="1074"/>
      <c r="AK549" s="1074"/>
      <c r="AL549" s="1074"/>
      <c r="AM549" s="1074"/>
      <c r="AN549" s="1074"/>
      <c r="AO549" s="1074"/>
      <c r="AP549" s="1074"/>
      <c r="AQ549" s="1074"/>
      <c r="AR549" s="1074"/>
      <c r="AS549" s="1074"/>
      <c r="AT549" s="1075"/>
    </row>
    <row r="550" ht="14.25" customHeight="1">
      <c r="A550" s="1116"/>
      <c r="B550" s="1120"/>
      <c r="C550" s="1100"/>
      <c r="D550" s="1100"/>
      <c r="E550" s="1100"/>
      <c r="F550" s="1100"/>
      <c r="G550" s="1100"/>
      <c r="H550" s="1100"/>
      <c r="I550" s="1100"/>
      <c r="J550" s="1100"/>
      <c r="K550" s="1074"/>
      <c r="L550" s="1074"/>
      <c r="M550" s="1074"/>
      <c r="N550" s="1074"/>
      <c r="O550" s="1074"/>
      <c r="P550" s="1074"/>
      <c r="Q550" s="1074"/>
      <c r="R550" s="1074"/>
      <c r="S550" s="1074"/>
      <c r="T550" s="1074"/>
      <c r="U550" s="1074"/>
      <c r="V550" s="1074"/>
      <c r="W550" s="1074"/>
      <c r="X550" s="1074"/>
      <c r="Y550" s="1074"/>
      <c r="Z550" s="1074"/>
      <c r="AA550" s="1074"/>
      <c r="AB550" s="1074"/>
      <c r="AC550" s="1074"/>
      <c r="AD550" s="1074"/>
      <c r="AE550" s="1074"/>
      <c r="AF550" s="1074"/>
      <c r="AG550" s="1074"/>
      <c r="AH550" s="1074"/>
      <c r="AI550" s="1074"/>
      <c r="AJ550" s="1074"/>
      <c r="AK550" s="1074"/>
      <c r="AL550" s="1074"/>
      <c r="AM550" s="1074"/>
      <c r="AN550" s="1074"/>
      <c r="AO550" s="1074"/>
      <c r="AP550" s="1074"/>
      <c r="AQ550" s="1074"/>
      <c r="AR550" s="1074"/>
      <c r="AS550" s="1074"/>
      <c r="AT550" s="1075"/>
    </row>
    <row r="551" ht="14.25" customHeight="1">
      <c r="A551" s="1116"/>
      <c r="B551" s="1120"/>
      <c r="C551" s="1100"/>
      <c r="D551" s="1100"/>
      <c r="E551" s="1100"/>
      <c r="F551" s="1100"/>
      <c r="G551" s="1100"/>
      <c r="H551" s="1100"/>
      <c r="I551" s="1100"/>
      <c r="J551" s="1100"/>
      <c r="K551" s="1074"/>
      <c r="L551" s="1074"/>
      <c r="M551" s="1074"/>
      <c r="N551" s="1074"/>
      <c r="O551" s="1074"/>
      <c r="P551" s="1074"/>
      <c r="Q551" s="1074"/>
      <c r="R551" s="1074"/>
      <c r="S551" s="1074"/>
      <c r="T551" s="1074"/>
      <c r="U551" s="1074"/>
      <c r="V551" s="1074"/>
      <c r="W551" s="1074"/>
      <c r="X551" s="1074"/>
      <c r="Y551" s="1074"/>
      <c r="Z551" s="1074"/>
      <c r="AA551" s="1074"/>
      <c r="AB551" s="1074"/>
      <c r="AC551" s="1074"/>
      <c r="AD551" s="1074"/>
      <c r="AE551" s="1074"/>
      <c r="AF551" s="1074"/>
      <c r="AG551" s="1074"/>
      <c r="AH551" s="1074"/>
      <c r="AI551" s="1074"/>
      <c r="AJ551" s="1074"/>
      <c r="AK551" s="1074"/>
      <c r="AL551" s="1074"/>
      <c r="AM551" s="1074"/>
      <c r="AN551" s="1074"/>
      <c r="AO551" s="1074"/>
      <c r="AP551" s="1074"/>
      <c r="AQ551" s="1074"/>
      <c r="AR551" s="1074"/>
      <c r="AS551" s="1074"/>
      <c r="AT551" s="1075"/>
    </row>
    <row r="552" ht="14.25" customHeight="1">
      <c r="A552" s="1116"/>
      <c r="B552" s="1120"/>
      <c r="C552" s="1100"/>
      <c r="D552" s="1100"/>
      <c r="E552" s="1100"/>
      <c r="F552" s="1100"/>
      <c r="G552" s="1100"/>
      <c r="H552" s="1100"/>
      <c r="I552" s="1100"/>
      <c r="J552" s="1100"/>
      <c r="K552" s="1074"/>
      <c r="L552" s="1074"/>
      <c r="M552" s="1074"/>
      <c r="N552" s="1074"/>
      <c r="O552" s="1074"/>
      <c r="P552" s="1074"/>
      <c r="Q552" s="1074"/>
      <c r="R552" s="1074"/>
      <c r="S552" s="1074"/>
      <c r="T552" s="1074"/>
      <c r="U552" s="1074"/>
      <c r="V552" s="1074"/>
      <c r="W552" s="1074"/>
      <c r="X552" s="1074"/>
      <c r="Y552" s="1074"/>
      <c r="Z552" s="1074"/>
      <c r="AA552" s="1074"/>
      <c r="AB552" s="1074"/>
      <c r="AC552" s="1074"/>
      <c r="AD552" s="1074"/>
      <c r="AE552" s="1074"/>
      <c r="AF552" s="1074"/>
      <c r="AG552" s="1074"/>
      <c r="AH552" s="1074"/>
      <c r="AI552" s="1074"/>
      <c r="AJ552" s="1074"/>
      <c r="AK552" s="1074"/>
      <c r="AL552" s="1074"/>
      <c r="AM552" s="1074"/>
      <c r="AN552" s="1074"/>
      <c r="AO552" s="1074"/>
      <c r="AP552" s="1074"/>
      <c r="AQ552" s="1074"/>
      <c r="AR552" s="1074"/>
      <c r="AS552" s="1074"/>
      <c r="AT552" s="1075"/>
    </row>
    <row r="553" ht="14.25" customHeight="1">
      <c r="A553" s="1116"/>
      <c r="B553" s="1120"/>
      <c r="C553" s="1100"/>
      <c r="D553" s="1100"/>
      <c r="E553" s="1100"/>
      <c r="F553" s="1100"/>
      <c r="G553" s="1100"/>
      <c r="H553" s="1100"/>
      <c r="I553" s="1100"/>
      <c r="J553" s="1100"/>
      <c r="K553" s="1074"/>
      <c r="L553" s="1074"/>
      <c r="M553" s="1074"/>
      <c r="N553" s="1074"/>
      <c r="O553" s="1074"/>
      <c r="P553" s="1074"/>
      <c r="Q553" s="1074"/>
      <c r="R553" s="1074"/>
      <c r="S553" s="1074"/>
      <c r="T553" s="1074"/>
      <c r="U553" s="1074"/>
      <c r="V553" s="1074"/>
      <c r="W553" s="1074"/>
      <c r="X553" s="1074"/>
      <c r="Y553" s="1074"/>
      <c r="Z553" s="1074"/>
      <c r="AA553" s="1074"/>
      <c r="AB553" s="1074"/>
      <c r="AC553" s="1074"/>
      <c r="AD553" s="1074"/>
      <c r="AE553" s="1074"/>
      <c r="AF553" s="1074"/>
      <c r="AG553" s="1074"/>
      <c r="AH553" s="1074"/>
      <c r="AI553" s="1074"/>
      <c r="AJ553" s="1074"/>
      <c r="AK553" s="1074"/>
      <c r="AL553" s="1074"/>
      <c r="AM553" s="1074"/>
      <c r="AN553" s="1074"/>
      <c r="AO553" s="1074"/>
      <c r="AP553" s="1074"/>
      <c r="AQ553" s="1074"/>
      <c r="AR553" s="1074"/>
      <c r="AS553" s="1074"/>
      <c r="AT553" s="1075"/>
    </row>
    <row r="554" ht="14.25" customHeight="1">
      <c r="A554" s="1116"/>
      <c r="B554" s="1120"/>
      <c r="C554" s="1100"/>
      <c r="D554" s="1100"/>
      <c r="E554" s="1100"/>
      <c r="F554" s="1100"/>
      <c r="G554" s="1100"/>
      <c r="H554" s="1100"/>
      <c r="I554" s="1100"/>
      <c r="J554" s="1100"/>
      <c r="K554" s="1074"/>
      <c r="L554" s="1074"/>
      <c r="M554" s="1074"/>
      <c r="N554" s="1074"/>
      <c r="O554" s="1074"/>
      <c r="P554" s="1074"/>
      <c r="Q554" s="1074"/>
      <c r="R554" s="1074"/>
      <c r="S554" s="1074"/>
      <c r="T554" s="1074"/>
      <c r="U554" s="1074"/>
      <c r="V554" s="1074"/>
      <c r="W554" s="1074"/>
      <c r="X554" s="1074"/>
      <c r="Y554" s="1074"/>
      <c r="Z554" s="1074"/>
      <c r="AA554" s="1074"/>
      <c r="AB554" s="1074"/>
      <c r="AC554" s="1074"/>
      <c r="AD554" s="1074"/>
      <c r="AE554" s="1074"/>
      <c r="AF554" s="1074"/>
      <c r="AG554" s="1074"/>
      <c r="AH554" s="1074"/>
      <c r="AI554" s="1074"/>
      <c r="AJ554" s="1074"/>
      <c r="AK554" s="1074"/>
      <c r="AL554" s="1074"/>
      <c r="AM554" s="1074"/>
      <c r="AN554" s="1074"/>
      <c r="AO554" s="1074"/>
      <c r="AP554" s="1074"/>
      <c r="AQ554" s="1074"/>
      <c r="AR554" s="1074"/>
      <c r="AS554" s="1074"/>
      <c r="AT554" s="1075"/>
    </row>
    <row r="555" ht="14.25" customHeight="1">
      <c r="A555" s="1116"/>
      <c r="B555" s="1120"/>
      <c r="C555" s="1100"/>
      <c r="D555" s="1100"/>
      <c r="E555" s="1100"/>
      <c r="F555" s="1100"/>
      <c r="G555" s="1100"/>
      <c r="H555" s="1100"/>
      <c r="I555" s="1100"/>
      <c r="J555" s="1100"/>
      <c r="K555" s="1074"/>
      <c r="L555" s="1074"/>
      <c r="M555" s="1074"/>
      <c r="N555" s="1074"/>
      <c r="O555" s="1074"/>
      <c r="P555" s="1074"/>
      <c r="Q555" s="1074"/>
      <c r="R555" s="1074"/>
      <c r="S555" s="1074"/>
      <c r="T555" s="1074"/>
      <c r="U555" s="1074"/>
      <c r="V555" s="1074"/>
      <c r="W555" s="1074"/>
      <c r="X555" s="1074"/>
      <c r="Y555" s="1074"/>
      <c r="Z555" s="1074"/>
      <c r="AA555" s="1074"/>
      <c r="AB555" s="1074"/>
      <c r="AC555" s="1074"/>
      <c r="AD555" s="1074"/>
      <c r="AE555" s="1074"/>
      <c r="AF555" s="1074"/>
      <c r="AG555" s="1074"/>
      <c r="AH555" s="1074"/>
      <c r="AI555" s="1074"/>
      <c r="AJ555" s="1074"/>
      <c r="AK555" s="1074"/>
      <c r="AL555" s="1074"/>
      <c r="AM555" s="1074"/>
      <c r="AN555" s="1074"/>
      <c r="AO555" s="1074"/>
      <c r="AP555" s="1074"/>
      <c r="AQ555" s="1074"/>
      <c r="AR555" s="1074"/>
      <c r="AS555" s="1074"/>
      <c r="AT555" s="1075"/>
    </row>
    <row r="556" ht="14.25" customHeight="1">
      <c r="A556" s="1116"/>
      <c r="B556" s="1120"/>
      <c r="C556" s="1100"/>
      <c r="D556" s="1100"/>
      <c r="E556" s="1100"/>
      <c r="F556" s="1100"/>
      <c r="G556" s="1100"/>
      <c r="H556" s="1100"/>
      <c r="I556" s="1100"/>
      <c r="J556" s="1100"/>
      <c r="K556" s="1074"/>
      <c r="L556" s="1074"/>
      <c r="M556" s="1074"/>
      <c r="N556" s="1074"/>
      <c r="O556" s="1074"/>
      <c r="P556" s="1074"/>
      <c r="Q556" s="1074"/>
      <c r="R556" s="1074"/>
      <c r="S556" s="1074"/>
      <c r="T556" s="1074"/>
      <c r="U556" s="1074"/>
      <c r="V556" s="1074"/>
      <c r="W556" s="1074"/>
      <c r="X556" s="1074"/>
      <c r="Y556" s="1074"/>
      <c r="Z556" s="1074"/>
      <c r="AA556" s="1074"/>
      <c r="AB556" s="1074"/>
      <c r="AC556" s="1074"/>
      <c r="AD556" s="1074"/>
      <c r="AE556" s="1074"/>
      <c r="AF556" s="1074"/>
      <c r="AG556" s="1074"/>
      <c r="AH556" s="1074"/>
      <c r="AI556" s="1074"/>
      <c r="AJ556" s="1074"/>
      <c r="AK556" s="1074"/>
      <c r="AL556" s="1074"/>
      <c r="AM556" s="1074"/>
      <c r="AN556" s="1074"/>
      <c r="AO556" s="1074"/>
      <c r="AP556" s="1074"/>
      <c r="AQ556" s="1074"/>
      <c r="AR556" s="1074"/>
      <c r="AS556" s="1074"/>
      <c r="AT556" s="1075"/>
    </row>
    <row r="557" ht="14.25" customHeight="1">
      <c r="A557" s="1116"/>
      <c r="B557" s="1120"/>
      <c r="C557" s="1100"/>
      <c r="D557" s="1100"/>
      <c r="E557" s="1100"/>
      <c r="F557" s="1100"/>
      <c r="G557" s="1100"/>
      <c r="H557" s="1100"/>
      <c r="I557" s="1100"/>
      <c r="J557" s="1100"/>
      <c r="K557" s="1074"/>
      <c r="L557" s="1074"/>
      <c r="M557" s="1074"/>
      <c r="N557" s="1074"/>
      <c r="O557" s="1074"/>
      <c r="P557" s="1074"/>
      <c r="Q557" s="1074"/>
      <c r="R557" s="1074"/>
      <c r="S557" s="1074"/>
      <c r="T557" s="1074"/>
      <c r="U557" s="1074"/>
      <c r="V557" s="1074"/>
      <c r="W557" s="1074"/>
      <c r="X557" s="1074"/>
      <c r="Y557" s="1074"/>
      <c r="Z557" s="1074"/>
      <c r="AA557" s="1074"/>
      <c r="AB557" s="1074"/>
      <c r="AC557" s="1074"/>
      <c r="AD557" s="1074"/>
      <c r="AE557" s="1074"/>
      <c r="AF557" s="1074"/>
      <c r="AG557" s="1074"/>
      <c r="AH557" s="1074"/>
      <c r="AI557" s="1074"/>
      <c r="AJ557" s="1074"/>
      <c r="AK557" s="1074"/>
      <c r="AL557" s="1074"/>
      <c r="AM557" s="1074"/>
      <c r="AN557" s="1074"/>
      <c r="AO557" s="1074"/>
      <c r="AP557" s="1074"/>
      <c r="AQ557" s="1074"/>
      <c r="AR557" s="1074"/>
      <c r="AS557" s="1074"/>
      <c r="AT557" s="1075"/>
    </row>
    <row r="558" ht="14.25" customHeight="1">
      <c r="A558" s="1116"/>
      <c r="B558" s="1120"/>
      <c r="C558" s="1100"/>
      <c r="D558" s="1100"/>
      <c r="E558" s="1100"/>
      <c r="F558" s="1100"/>
      <c r="G558" s="1100"/>
      <c r="H558" s="1100"/>
      <c r="I558" s="1100"/>
      <c r="J558" s="1100"/>
      <c r="K558" s="1074"/>
      <c r="L558" s="1074"/>
      <c r="M558" s="1074"/>
      <c r="N558" s="1074"/>
      <c r="O558" s="1074"/>
      <c r="P558" s="1074"/>
      <c r="Q558" s="1074"/>
      <c r="R558" s="1074"/>
      <c r="S558" s="1074"/>
      <c r="T558" s="1074"/>
      <c r="U558" s="1074"/>
      <c r="V558" s="1074"/>
      <c r="W558" s="1074"/>
      <c r="X558" s="1074"/>
      <c r="Y558" s="1074"/>
      <c r="Z558" s="1074"/>
      <c r="AA558" s="1074"/>
      <c r="AB558" s="1074"/>
      <c r="AC558" s="1074"/>
      <c r="AD558" s="1074"/>
      <c r="AE558" s="1074"/>
      <c r="AF558" s="1074"/>
      <c r="AG558" s="1074"/>
      <c r="AH558" s="1074"/>
      <c r="AI558" s="1074"/>
      <c r="AJ558" s="1074"/>
      <c r="AK558" s="1074"/>
      <c r="AL558" s="1074"/>
      <c r="AM558" s="1074"/>
      <c r="AN558" s="1074"/>
      <c r="AO558" s="1074"/>
      <c r="AP558" s="1074"/>
      <c r="AQ558" s="1074"/>
      <c r="AR558" s="1074"/>
      <c r="AS558" s="1074"/>
      <c r="AT558" s="1075"/>
    </row>
    <row r="559" ht="14.25" customHeight="1">
      <c r="A559" s="1116"/>
      <c r="B559" s="1120"/>
      <c r="C559" s="1100"/>
      <c r="D559" s="1100"/>
      <c r="E559" s="1100"/>
      <c r="F559" s="1100"/>
      <c r="G559" s="1100"/>
      <c r="H559" s="1100"/>
      <c r="I559" s="1100"/>
      <c r="J559" s="1100"/>
      <c r="K559" s="1074"/>
      <c r="L559" s="1074"/>
      <c r="M559" s="1074"/>
      <c r="N559" s="1074"/>
      <c r="O559" s="1074"/>
      <c r="P559" s="1074"/>
      <c r="Q559" s="1074"/>
      <c r="R559" s="1074"/>
      <c r="S559" s="1074"/>
      <c r="T559" s="1074"/>
      <c r="U559" s="1074"/>
      <c r="V559" s="1074"/>
      <c r="W559" s="1074"/>
      <c r="X559" s="1074"/>
      <c r="Y559" s="1074"/>
      <c r="Z559" s="1074"/>
      <c r="AA559" s="1074"/>
      <c r="AB559" s="1074"/>
      <c r="AC559" s="1074"/>
      <c r="AD559" s="1074"/>
      <c r="AE559" s="1074"/>
      <c r="AF559" s="1074"/>
      <c r="AG559" s="1074"/>
      <c r="AH559" s="1074"/>
      <c r="AI559" s="1074"/>
      <c r="AJ559" s="1074"/>
      <c r="AK559" s="1074"/>
      <c r="AL559" s="1074"/>
      <c r="AM559" s="1074"/>
      <c r="AN559" s="1074"/>
      <c r="AO559" s="1074"/>
      <c r="AP559" s="1074"/>
      <c r="AQ559" s="1074"/>
      <c r="AR559" s="1074"/>
      <c r="AS559" s="1074"/>
      <c r="AT559" s="1075"/>
    </row>
    <row r="560" ht="14.25" customHeight="1">
      <c r="A560" s="1116"/>
      <c r="B560" s="1120"/>
      <c r="C560" s="1100"/>
      <c r="D560" s="1100"/>
      <c r="E560" s="1100"/>
      <c r="F560" s="1100"/>
      <c r="G560" s="1100"/>
      <c r="H560" s="1100"/>
      <c r="I560" s="1100"/>
      <c r="J560" s="1100"/>
      <c r="K560" s="1074"/>
      <c r="L560" s="1074"/>
      <c r="M560" s="1074"/>
      <c r="N560" s="1074"/>
      <c r="O560" s="1074"/>
      <c r="P560" s="1074"/>
      <c r="Q560" s="1074"/>
      <c r="R560" s="1074"/>
      <c r="S560" s="1074"/>
      <c r="T560" s="1074"/>
      <c r="U560" s="1074"/>
      <c r="V560" s="1074"/>
      <c r="W560" s="1074"/>
      <c r="X560" s="1074"/>
      <c r="Y560" s="1074"/>
      <c r="Z560" s="1074"/>
      <c r="AA560" s="1074"/>
      <c r="AB560" s="1074"/>
      <c r="AC560" s="1074"/>
      <c r="AD560" s="1074"/>
      <c r="AE560" s="1074"/>
      <c r="AF560" s="1074"/>
      <c r="AG560" s="1074"/>
      <c r="AH560" s="1074"/>
      <c r="AI560" s="1074"/>
      <c r="AJ560" s="1074"/>
      <c r="AK560" s="1074"/>
      <c r="AL560" s="1074"/>
      <c r="AM560" s="1074"/>
      <c r="AN560" s="1074"/>
      <c r="AO560" s="1074"/>
      <c r="AP560" s="1074"/>
      <c r="AQ560" s="1074"/>
      <c r="AR560" s="1074"/>
      <c r="AS560" s="1074"/>
      <c r="AT560" s="1075"/>
    </row>
    <row r="561" ht="14.25" customHeight="1">
      <c r="A561" s="1116"/>
      <c r="B561" s="1120"/>
      <c r="C561" s="1100"/>
      <c r="D561" s="1100"/>
      <c r="E561" s="1100"/>
      <c r="F561" s="1100"/>
      <c r="G561" s="1100"/>
      <c r="H561" s="1100"/>
      <c r="I561" s="1100"/>
      <c r="J561" s="1100"/>
      <c r="K561" s="1074"/>
      <c r="L561" s="1074"/>
      <c r="M561" s="1074"/>
      <c r="N561" s="1074"/>
      <c r="O561" s="1074"/>
      <c r="P561" s="1074"/>
      <c r="Q561" s="1074"/>
      <c r="R561" s="1074"/>
      <c r="S561" s="1074"/>
      <c r="T561" s="1074"/>
      <c r="U561" s="1074"/>
      <c r="V561" s="1074"/>
      <c r="W561" s="1074"/>
      <c r="X561" s="1074"/>
      <c r="Y561" s="1074"/>
      <c r="Z561" s="1074"/>
      <c r="AA561" s="1074"/>
      <c r="AB561" s="1074"/>
      <c r="AC561" s="1074"/>
      <c r="AD561" s="1074"/>
      <c r="AE561" s="1074"/>
      <c r="AF561" s="1074"/>
      <c r="AG561" s="1074"/>
      <c r="AH561" s="1074"/>
      <c r="AI561" s="1074"/>
      <c r="AJ561" s="1074"/>
      <c r="AK561" s="1074"/>
      <c r="AL561" s="1074"/>
      <c r="AM561" s="1074"/>
      <c r="AN561" s="1074"/>
      <c r="AO561" s="1074"/>
      <c r="AP561" s="1074"/>
      <c r="AQ561" s="1074"/>
      <c r="AR561" s="1074"/>
      <c r="AS561" s="1074"/>
      <c r="AT561" s="1075"/>
    </row>
    <row r="562" ht="14.25" customHeight="1">
      <c r="A562" s="1116"/>
      <c r="B562" s="1120"/>
      <c r="C562" s="1100"/>
      <c r="D562" s="1100"/>
      <c r="E562" s="1100"/>
      <c r="F562" s="1100"/>
      <c r="G562" s="1100"/>
      <c r="H562" s="1100"/>
      <c r="I562" s="1100"/>
      <c r="J562" s="1100"/>
      <c r="K562" s="1074"/>
      <c r="L562" s="1074"/>
      <c r="M562" s="1074"/>
      <c r="N562" s="1074"/>
      <c r="O562" s="1074"/>
      <c r="P562" s="1074"/>
      <c r="Q562" s="1074"/>
      <c r="R562" s="1074"/>
      <c r="S562" s="1074"/>
      <c r="T562" s="1074"/>
      <c r="U562" s="1074"/>
      <c r="V562" s="1074"/>
      <c r="W562" s="1074"/>
      <c r="X562" s="1074"/>
      <c r="Y562" s="1074"/>
      <c r="Z562" s="1074"/>
      <c r="AA562" s="1074"/>
      <c r="AB562" s="1074"/>
      <c r="AC562" s="1074"/>
      <c r="AD562" s="1074"/>
      <c r="AE562" s="1074"/>
      <c r="AF562" s="1074"/>
      <c r="AG562" s="1074"/>
      <c r="AH562" s="1074"/>
      <c r="AI562" s="1074"/>
      <c r="AJ562" s="1074"/>
      <c r="AK562" s="1074"/>
      <c r="AL562" s="1074"/>
      <c r="AM562" s="1074"/>
      <c r="AN562" s="1074"/>
      <c r="AO562" s="1074"/>
      <c r="AP562" s="1074"/>
      <c r="AQ562" s="1074"/>
      <c r="AR562" s="1074"/>
      <c r="AS562" s="1074"/>
      <c r="AT562" s="1075"/>
    </row>
    <row r="563" ht="14.25" customHeight="1">
      <c r="A563" s="1116"/>
      <c r="B563" s="1120"/>
      <c r="C563" s="1100"/>
      <c r="D563" s="1100"/>
      <c r="E563" s="1100"/>
      <c r="F563" s="1100"/>
      <c r="G563" s="1100"/>
      <c r="H563" s="1100"/>
      <c r="I563" s="1100"/>
      <c r="J563" s="1100"/>
      <c r="K563" s="1074"/>
      <c r="L563" s="1074"/>
      <c r="M563" s="1074"/>
      <c r="N563" s="1074"/>
      <c r="O563" s="1074"/>
      <c r="P563" s="1074"/>
      <c r="Q563" s="1074"/>
      <c r="R563" s="1074"/>
      <c r="S563" s="1074"/>
      <c r="T563" s="1074"/>
      <c r="U563" s="1074"/>
      <c r="V563" s="1074"/>
      <c r="W563" s="1074"/>
      <c r="X563" s="1074"/>
      <c r="Y563" s="1074"/>
      <c r="Z563" s="1074"/>
      <c r="AA563" s="1074"/>
      <c r="AB563" s="1074"/>
      <c r="AC563" s="1074"/>
      <c r="AD563" s="1074"/>
      <c r="AE563" s="1074"/>
      <c r="AF563" s="1074"/>
      <c r="AG563" s="1074"/>
      <c r="AH563" s="1074"/>
      <c r="AI563" s="1074"/>
      <c r="AJ563" s="1074"/>
      <c r="AK563" s="1074"/>
      <c r="AL563" s="1074"/>
      <c r="AM563" s="1074"/>
      <c r="AN563" s="1074"/>
      <c r="AO563" s="1074"/>
      <c r="AP563" s="1074"/>
      <c r="AQ563" s="1074"/>
      <c r="AR563" s="1074"/>
      <c r="AS563" s="1074"/>
      <c r="AT563" s="1075"/>
    </row>
    <row r="564" ht="14.25" customHeight="1">
      <c r="A564" s="1116"/>
      <c r="B564" s="1120"/>
      <c r="C564" s="1100"/>
      <c r="D564" s="1100"/>
      <c r="E564" s="1100"/>
      <c r="F564" s="1100"/>
      <c r="G564" s="1100"/>
      <c r="H564" s="1100"/>
      <c r="I564" s="1100"/>
      <c r="J564" s="1100"/>
      <c r="K564" s="1074"/>
      <c r="L564" s="1074"/>
      <c r="M564" s="1074"/>
      <c r="N564" s="1074"/>
      <c r="O564" s="1074"/>
      <c r="P564" s="1074"/>
      <c r="Q564" s="1074"/>
      <c r="R564" s="1074"/>
      <c r="S564" s="1074"/>
      <c r="T564" s="1074"/>
      <c r="U564" s="1074"/>
      <c r="V564" s="1074"/>
      <c r="W564" s="1074"/>
      <c r="X564" s="1074"/>
      <c r="Y564" s="1074"/>
      <c r="Z564" s="1074"/>
      <c r="AA564" s="1074"/>
      <c r="AB564" s="1074"/>
      <c r="AC564" s="1074"/>
      <c r="AD564" s="1074"/>
      <c r="AE564" s="1074"/>
      <c r="AF564" s="1074"/>
      <c r="AG564" s="1074"/>
      <c r="AH564" s="1074"/>
      <c r="AI564" s="1074"/>
      <c r="AJ564" s="1074"/>
      <c r="AK564" s="1074"/>
      <c r="AL564" s="1074"/>
      <c r="AM564" s="1074"/>
      <c r="AN564" s="1074"/>
      <c r="AO564" s="1074"/>
      <c r="AP564" s="1074"/>
      <c r="AQ564" s="1074"/>
      <c r="AR564" s="1074"/>
      <c r="AS564" s="1074"/>
      <c r="AT564" s="1075"/>
    </row>
    <row r="565" ht="14.25" customHeight="1">
      <c r="A565" s="1116"/>
      <c r="B565" s="1120"/>
      <c r="C565" s="1100"/>
      <c r="D565" s="1100"/>
      <c r="E565" s="1100"/>
      <c r="F565" s="1100"/>
      <c r="G565" s="1100"/>
      <c r="H565" s="1100"/>
      <c r="I565" s="1100"/>
      <c r="J565" s="1100"/>
      <c r="K565" s="1074"/>
      <c r="L565" s="1074"/>
      <c r="M565" s="1074"/>
      <c r="N565" s="1074"/>
      <c r="O565" s="1074"/>
      <c r="P565" s="1074"/>
      <c r="Q565" s="1074"/>
      <c r="R565" s="1074"/>
      <c r="S565" s="1074"/>
      <c r="T565" s="1074"/>
      <c r="U565" s="1074"/>
      <c r="V565" s="1074"/>
      <c r="W565" s="1074"/>
      <c r="X565" s="1074"/>
      <c r="Y565" s="1074"/>
      <c r="Z565" s="1074"/>
      <c r="AA565" s="1074"/>
      <c r="AB565" s="1074"/>
      <c r="AC565" s="1074"/>
      <c r="AD565" s="1074"/>
      <c r="AE565" s="1074"/>
      <c r="AF565" s="1074"/>
      <c r="AG565" s="1074"/>
      <c r="AH565" s="1074"/>
      <c r="AI565" s="1074"/>
      <c r="AJ565" s="1074"/>
      <c r="AK565" s="1074"/>
      <c r="AL565" s="1074"/>
      <c r="AM565" s="1074"/>
      <c r="AN565" s="1074"/>
      <c r="AO565" s="1074"/>
      <c r="AP565" s="1074"/>
      <c r="AQ565" s="1074"/>
      <c r="AR565" s="1074"/>
      <c r="AS565" s="1074"/>
      <c r="AT565" s="1075"/>
    </row>
    <row r="566" ht="14.25" customHeight="1">
      <c r="A566" s="1116"/>
      <c r="B566" s="1120"/>
      <c r="C566" s="1100"/>
      <c r="D566" s="1100"/>
      <c r="E566" s="1100"/>
      <c r="F566" s="1100"/>
      <c r="G566" s="1100"/>
      <c r="H566" s="1100"/>
      <c r="I566" s="1100"/>
      <c r="J566" s="1100"/>
      <c r="K566" s="1074"/>
      <c r="L566" s="1074"/>
      <c r="M566" s="1074"/>
      <c r="N566" s="1074"/>
      <c r="O566" s="1074"/>
      <c r="P566" s="1074"/>
      <c r="Q566" s="1074"/>
      <c r="R566" s="1074"/>
      <c r="S566" s="1074"/>
      <c r="T566" s="1074"/>
      <c r="U566" s="1074"/>
      <c r="V566" s="1074"/>
      <c r="W566" s="1074"/>
      <c r="X566" s="1074"/>
      <c r="Y566" s="1074"/>
      <c r="Z566" s="1074"/>
      <c r="AA566" s="1074"/>
      <c r="AB566" s="1074"/>
      <c r="AC566" s="1074"/>
      <c r="AD566" s="1074"/>
      <c r="AE566" s="1074"/>
      <c r="AF566" s="1074"/>
      <c r="AG566" s="1074"/>
      <c r="AH566" s="1074"/>
      <c r="AI566" s="1074"/>
      <c r="AJ566" s="1074"/>
      <c r="AK566" s="1074"/>
      <c r="AL566" s="1074"/>
      <c r="AM566" s="1074"/>
      <c r="AN566" s="1074"/>
      <c r="AO566" s="1074"/>
      <c r="AP566" s="1074"/>
      <c r="AQ566" s="1074"/>
      <c r="AR566" s="1074"/>
      <c r="AS566" s="1074"/>
      <c r="AT566" s="1075"/>
    </row>
    <row r="567" ht="14.25" customHeight="1">
      <c r="A567" s="1116"/>
      <c r="B567" s="1120"/>
      <c r="C567" s="1100"/>
      <c r="D567" s="1100"/>
      <c r="E567" s="1100"/>
      <c r="F567" s="1100"/>
      <c r="G567" s="1100"/>
      <c r="H567" s="1100"/>
      <c r="I567" s="1100"/>
      <c r="J567" s="1100"/>
      <c r="K567" s="1074"/>
      <c r="L567" s="1074"/>
      <c r="M567" s="1074"/>
      <c r="N567" s="1074"/>
      <c r="O567" s="1074"/>
      <c r="P567" s="1074"/>
      <c r="Q567" s="1074"/>
      <c r="R567" s="1074"/>
      <c r="S567" s="1074"/>
      <c r="T567" s="1074"/>
      <c r="U567" s="1074"/>
      <c r="V567" s="1074"/>
      <c r="W567" s="1074"/>
      <c r="X567" s="1074"/>
      <c r="Y567" s="1074"/>
      <c r="Z567" s="1074"/>
      <c r="AA567" s="1074"/>
      <c r="AB567" s="1074"/>
      <c r="AC567" s="1074"/>
      <c r="AD567" s="1074"/>
      <c r="AE567" s="1074"/>
      <c r="AF567" s="1074"/>
      <c r="AG567" s="1074"/>
      <c r="AH567" s="1074"/>
      <c r="AI567" s="1074"/>
      <c r="AJ567" s="1074"/>
      <c r="AK567" s="1074"/>
      <c r="AL567" s="1074"/>
      <c r="AM567" s="1074"/>
      <c r="AN567" s="1074"/>
      <c r="AO567" s="1074"/>
      <c r="AP567" s="1074"/>
      <c r="AQ567" s="1074"/>
      <c r="AR567" s="1074"/>
      <c r="AS567" s="1074"/>
      <c r="AT567" s="1075"/>
    </row>
    <row r="568" ht="14.25" customHeight="1">
      <c r="A568" s="1116"/>
      <c r="B568" s="1120"/>
      <c r="C568" s="1100"/>
      <c r="D568" s="1100"/>
      <c r="E568" s="1100"/>
      <c r="F568" s="1100"/>
      <c r="G568" s="1100"/>
      <c r="H568" s="1100"/>
      <c r="I568" s="1100"/>
      <c r="J568" s="1100"/>
      <c r="K568" s="1074"/>
      <c r="L568" s="1074"/>
      <c r="M568" s="1074"/>
      <c r="N568" s="1074"/>
      <c r="O568" s="1074"/>
      <c r="P568" s="1074"/>
      <c r="Q568" s="1074"/>
      <c r="R568" s="1074"/>
      <c r="S568" s="1074"/>
      <c r="T568" s="1074"/>
      <c r="U568" s="1074"/>
      <c r="V568" s="1074"/>
      <c r="W568" s="1074"/>
      <c r="X568" s="1074"/>
      <c r="Y568" s="1074"/>
      <c r="Z568" s="1074"/>
      <c r="AA568" s="1074"/>
      <c r="AB568" s="1074"/>
      <c r="AC568" s="1074"/>
      <c r="AD568" s="1074"/>
      <c r="AE568" s="1074"/>
      <c r="AF568" s="1074"/>
      <c r="AG568" s="1074"/>
      <c r="AH568" s="1074"/>
      <c r="AI568" s="1074"/>
      <c r="AJ568" s="1074"/>
      <c r="AK568" s="1074"/>
      <c r="AL568" s="1074"/>
      <c r="AM568" s="1074"/>
      <c r="AN568" s="1074"/>
      <c r="AO568" s="1074"/>
      <c r="AP568" s="1074"/>
      <c r="AQ568" s="1074"/>
      <c r="AR568" s="1074"/>
      <c r="AS568" s="1074"/>
      <c r="AT568" s="1075"/>
    </row>
    <row r="569" ht="14.25" customHeight="1">
      <c r="A569" s="1116"/>
      <c r="B569" s="1120"/>
      <c r="C569" s="1100"/>
      <c r="D569" s="1100"/>
      <c r="E569" s="1100"/>
      <c r="F569" s="1100"/>
      <c r="G569" s="1100"/>
      <c r="H569" s="1100"/>
      <c r="I569" s="1100"/>
      <c r="J569" s="1100"/>
      <c r="K569" s="1074"/>
      <c r="L569" s="1074"/>
      <c r="M569" s="1074"/>
      <c r="N569" s="1074"/>
      <c r="O569" s="1074"/>
      <c r="P569" s="1074"/>
      <c r="Q569" s="1074"/>
      <c r="R569" s="1074"/>
      <c r="S569" s="1074"/>
      <c r="T569" s="1074"/>
      <c r="U569" s="1074"/>
      <c r="V569" s="1074"/>
      <c r="W569" s="1074"/>
      <c r="X569" s="1074"/>
      <c r="Y569" s="1074"/>
      <c r="Z569" s="1074"/>
      <c r="AA569" s="1074"/>
      <c r="AB569" s="1074"/>
      <c r="AC569" s="1074"/>
      <c r="AD569" s="1074"/>
      <c r="AE569" s="1074"/>
      <c r="AF569" s="1074"/>
      <c r="AG569" s="1074"/>
      <c r="AH569" s="1074"/>
      <c r="AI569" s="1074"/>
      <c r="AJ569" s="1074"/>
      <c r="AK569" s="1074"/>
      <c r="AL569" s="1074"/>
      <c r="AM569" s="1074"/>
      <c r="AN569" s="1074"/>
      <c r="AO569" s="1074"/>
      <c r="AP569" s="1074"/>
      <c r="AQ569" s="1074"/>
      <c r="AR569" s="1074"/>
      <c r="AS569" s="1074"/>
      <c r="AT569" s="1075"/>
    </row>
    <row r="570" ht="14.25" customHeight="1">
      <c r="A570" s="1116"/>
      <c r="B570" s="1120"/>
      <c r="C570" s="1100"/>
      <c r="D570" s="1100"/>
      <c r="E570" s="1100"/>
      <c r="F570" s="1100"/>
      <c r="G570" s="1100"/>
      <c r="H570" s="1100"/>
      <c r="I570" s="1100"/>
      <c r="J570" s="1100"/>
      <c r="K570" s="1074"/>
      <c r="L570" s="1074"/>
      <c r="M570" s="1074"/>
      <c r="N570" s="1074"/>
      <c r="O570" s="1074"/>
      <c r="P570" s="1074"/>
      <c r="Q570" s="1074"/>
      <c r="R570" s="1074"/>
      <c r="S570" s="1074"/>
      <c r="T570" s="1074"/>
      <c r="U570" s="1074"/>
      <c r="V570" s="1074"/>
      <c r="W570" s="1074"/>
      <c r="X570" s="1074"/>
      <c r="Y570" s="1074"/>
      <c r="Z570" s="1074"/>
      <c r="AA570" s="1074"/>
      <c r="AB570" s="1074"/>
      <c r="AC570" s="1074"/>
      <c r="AD570" s="1074"/>
      <c r="AE570" s="1074"/>
      <c r="AF570" s="1074"/>
      <c r="AG570" s="1074"/>
      <c r="AH570" s="1074"/>
      <c r="AI570" s="1074"/>
      <c r="AJ570" s="1074"/>
      <c r="AK570" s="1074"/>
      <c r="AL570" s="1074"/>
      <c r="AM570" s="1074"/>
      <c r="AN570" s="1074"/>
      <c r="AO570" s="1074"/>
      <c r="AP570" s="1074"/>
      <c r="AQ570" s="1074"/>
      <c r="AR570" s="1074"/>
      <c r="AS570" s="1074"/>
      <c r="AT570" s="1075"/>
    </row>
    <row r="571" ht="14.25" customHeight="1">
      <c r="A571" s="1116"/>
      <c r="B571" s="1120"/>
      <c r="C571" s="1100"/>
      <c r="D571" s="1100"/>
      <c r="E571" s="1100"/>
      <c r="F571" s="1100"/>
      <c r="G571" s="1100"/>
      <c r="H571" s="1100"/>
      <c r="I571" s="1100"/>
      <c r="J571" s="1100"/>
      <c r="K571" s="1074"/>
      <c r="L571" s="1074"/>
      <c r="M571" s="1074"/>
      <c r="N571" s="1074"/>
      <c r="O571" s="1074"/>
      <c r="P571" s="1074"/>
      <c r="Q571" s="1074"/>
      <c r="R571" s="1074"/>
      <c r="S571" s="1074"/>
      <c r="T571" s="1074"/>
      <c r="U571" s="1074"/>
      <c r="V571" s="1074"/>
      <c r="W571" s="1074"/>
      <c r="X571" s="1074"/>
      <c r="Y571" s="1074"/>
      <c r="Z571" s="1074"/>
      <c r="AA571" s="1074"/>
      <c r="AB571" s="1074"/>
      <c r="AC571" s="1074"/>
      <c r="AD571" s="1074"/>
      <c r="AE571" s="1074"/>
      <c r="AF571" s="1074"/>
      <c r="AG571" s="1074"/>
      <c r="AH571" s="1074"/>
      <c r="AI571" s="1074"/>
      <c r="AJ571" s="1074"/>
      <c r="AK571" s="1074"/>
      <c r="AL571" s="1074"/>
      <c r="AM571" s="1074"/>
      <c r="AN571" s="1074"/>
      <c r="AO571" s="1074"/>
      <c r="AP571" s="1074"/>
      <c r="AQ571" s="1074"/>
      <c r="AR571" s="1074"/>
      <c r="AS571" s="1074"/>
      <c r="AT571" s="1075"/>
    </row>
    <row r="572" ht="14.25" customHeight="1">
      <c r="A572" s="1116"/>
      <c r="B572" s="1120"/>
      <c r="C572" s="1100"/>
      <c r="D572" s="1100"/>
      <c r="E572" s="1100"/>
      <c r="F572" s="1100"/>
      <c r="G572" s="1100"/>
      <c r="H572" s="1100"/>
      <c r="I572" s="1100"/>
      <c r="J572" s="1100"/>
      <c r="K572" s="1074"/>
      <c r="L572" s="1074"/>
      <c r="M572" s="1074"/>
      <c r="N572" s="1074"/>
      <c r="O572" s="1074"/>
      <c r="P572" s="1074"/>
      <c r="Q572" s="1074"/>
      <c r="R572" s="1074"/>
      <c r="S572" s="1074"/>
      <c r="T572" s="1074"/>
      <c r="U572" s="1074"/>
      <c r="V572" s="1074"/>
      <c r="W572" s="1074"/>
      <c r="X572" s="1074"/>
      <c r="Y572" s="1074"/>
      <c r="Z572" s="1074"/>
      <c r="AA572" s="1074"/>
      <c r="AB572" s="1074"/>
      <c r="AC572" s="1074"/>
      <c r="AD572" s="1074"/>
      <c r="AE572" s="1074"/>
      <c r="AF572" s="1074"/>
      <c r="AG572" s="1074"/>
      <c r="AH572" s="1074"/>
      <c r="AI572" s="1074"/>
      <c r="AJ572" s="1074"/>
      <c r="AK572" s="1074"/>
      <c r="AL572" s="1074"/>
      <c r="AM572" s="1074"/>
      <c r="AN572" s="1074"/>
      <c r="AO572" s="1074"/>
      <c r="AP572" s="1074"/>
      <c r="AQ572" s="1074"/>
      <c r="AR572" s="1074"/>
      <c r="AS572" s="1074"/>
      <c r="AT572" s="1075"/>
    </row>
    <row r="573" ht="14.25" customHeight="1">
      <c r="A573" s="1116"/>
      <c r="B573" s="1120"/>
      <c r="C573" s="1100"/>
      <c r="D573" s="1100"/>
      <c r="E573" s="1100"/>
      <c r="F573" s="1100"/>
      <c r="G573" s="1100"/>
      <c r="H573" s="1100"/>
      <c r="I573" s="1100"/>
      <c r="J573" s="1100"/>
      <c r="K573" s="1074"/>
      <c r="L573" s="1074"/>
      <c r="M573" s="1074"/>
      <c r="N573" s="1074"/>
      <c r="O573" s="1074"/>
      <c r="P573" s="1074"/>
      <c r="Q573" s="1074"/>
      <c r="R573" s="1074"/>
      <c r="S573" s="1074"/>
      <c r="T573" s="1074"/>
      <c r="U573" s="1074"/>
      <c r="V573" s="1074"/>
      <c r="W573" s="1074"/>
      <c r="X573" s="1074"/>
      <c r="Y573" s="1074"/>
      <c r="Z573" s="1074"/>
      <c r="AA573" s="1074"/>
      <c r="AB573" s="1074"/>
      <c r="AC573" s="1074"/>
      <c r="AD573" s="1074"/>
      <c r="AE573" s="1074"/>
      <c r="AF573" s="1074"/>
      <c r="AG573" s="1074"/>
      <c r="AH573" s="1074"/>
      <c r="AI573" s="1074"/>
      <c r="AJ573" s="1074"/>
      <c r="AK573" s="1074"/>
      <c r="AL573" s="1074"/>
      <c r="AM573" s="1074"/>
      <c r="AN573" s="1074"/>
      <c r="AO573" s="1074"/>
      <c r="AP573" s="1074"/>
      <c r="AQ573" s="1074"/>
      <c r="AR573" s="1074"/>
      <c r="AS573" s="1074"/>
      <c r="AT573" s="1075"/>
    </row>
    <row r="574" ht="14.25" customHeight="1">
      <c r="A574" s="1116"/>
      <c r="B574" s="1120"/>
      <c r="C574" s="1100"/>
      <c r="D574" s="1100"/>
      <c r="E574" s="1100"/>
      <c r="F574" s="1100"/>
      <c r="G574" s="1100"/>
      <c r="H574" s="1100"/>
      <c r="I574" s="1100"/>
      <c r="J574" s="1100"/>
      <c r="K574" s="1074"/>
      <c r="L574" s="1074"/>
      <c r="M574" s="1074"/>
      <c r="N574" s="1074"/>
      <c r="O574" s="1074"/>
      <c r="P574" s="1074"/>
      <c r="Q574" s="1074"/>
      <c r="R574" s="1074"/>
      <c r="S574" s="1074"/>
      <c r="T574" s="1074"/>
      <c r="U574" s="1074"/>
      <c r="V574" s="1074"/>
      <c r="W574" s="1074"/>
      <c r="X574" s="1074"/>
      <c r="Y574" s="1074"/>
      <c r="Z574" s="1074"/>
      <c r="AA574" s="1074"/>
      <c r="AB574" s="1074"/>
      <c r="AC574" s="1074"/>
      <c r="AD574" s="1074"/>
      <c r="AE574" s="1074"/>
      <c r="AF574" s="1074"/>
      <c r="AG574" s="1074"/>
      <c r="AH574" s="1074"/>
      <c r="AI574" s="1074"/>
      <c r="AJ574" s="1074"/>
      <c r="AK574" s="1074"/>
      <c r="AL574" s="1074"/>
      <c r="AM574" s="1074"/>
      <c r="AN574" s="1074"/>
      <c r="AO574" s="1074"/>
      <c r="AP574" s="1074"/>
      <c r="AQ574" s="1074"/>
      <c r="AR574" s="1074"/>
      <c r="AS574" s="1074"/>
      <c r="AT574" s="1075"/>
    </row>
    <row r="575" ht="14.25" customHeight="1">
      <c r="A575" s="1116"/>
      <c r="B575" s="1120"/>
      <c r="C575" s="1100"/>
      <c r="D575" s="1100"/>
      <c r="E575" s="1100"/>
      <c r="F575" s="1100"/>
      <c r="G575" s="1100"/>
      <c r="H575" s="1100"/>
      <c r="I575" s="1100"/>
      <c r="J575" s="1100"/>
      <c r="K575" s="1074"/>
      <c r="L575" s="1074"/>
      <c r="M575" s="1074"/>
      <c r="N575" s="1074"/>
      <c r="O575" s="1074"/>
      <c r="P575" s="1074"/>
      <c r="Q575" s="1074"/>
      <c r="R575" s="1074"/>
      <c r="S575" s="1074"/>
      <c r="T575" s="1074"/>
      <c r="U575" s="1074"/>
      <c r="V575" s="1074"/>
      <c r="W575" s="1074"/>
      <c r="X575" s="1074"/>
      <c r="Y575" s="1074"/>
      <c r="Z575" s="1074"/>
      <c r="AA575" s="1074"/>
      <c r="AB575" s="1074"/>
      <c r="AC575" s="1074"/>
      <c r="AD575" s="1074"/>
      <c r="AE575" s="1074"/>
      <c r="AF575" s="1074"/>
      <c r="AG575" s="1074"/>
      <c r="AH575" s="1074"/>
      <c r="AI575" s="1074"/>
      <c r="AJ575" s="1074"/>
      <c r="AK575" s="1074"/>
      <c r="AL575" s="1074"/>
      <c r="AM575" s="1074"/>
      <c r="AN575" s="1074"/>
      <c r="AO575" s="1074"/>
      <c r="AP575" s="1074"/>
      <c r="AQ575" s="1074"/>
      <c r="AR575" s="1074"/>
      <c r="AS575" s="1074"/>
      <c r="AT575" s="1075"/>
    </row>
    <row r="576" ht="14.25" customHeight="1">
      <c r="A576" s="1116"/>
      <c r="B576" s="1120"/>
      <c r="C576" s="1100"/>
      <c r="D576" s="1100"/>
      <c r="E576" s="1100"/>
      <c r="F576" s="1100"/>
      <c r="G576" s="1100"/>
      <c r="H576" s="1100"/>
      <c r="I576" s="1100"/>
      <c r="J576" s="1100"/>
      <c r="K576" s="1074"/>
      <c r="L576" s="1074"/>
      <c r="M576" s="1074"/>
      <c r="N576" s="1074"/>
      <c r="O576" s="1074"/>
      <c r="P576" s="1074"/>
      <c r="Q576" s="1074"/>
      <c r="R576" s="1074"/>
      <c r="S576" s="1074"/>
      <c r="T576" s="1074"/>
      <c r="U576" s="1074"/>
      <c r="V576" s="1074"/>
      <c r="W576" s="1074"/>
      <c r="X576" s="1074"/>
      <c r="Y576" s="1074"/>
      <c r="Z576" s="1074"/>
      <c r="AA576" s="1074"/>
      <c r="AB576" s="1074"/>
      <c r="AC576" s="1074"/>
      <c r="AD576" s="1074"/>
      <c r="AE576" s="1074"/>
      <c r="AF576" s="1074"/>
      <c r="AG576" s="1074"/>
      <c r="AH576" s="1074"/>
      <c r="AI576" s="1074"/>
      <c r="AJ576" s="1074"/>
      <c r="AK576" s="1074"/>
      <c r="AL576" s="1074"/>
      <c r="AM576" s="1074"/>
      <c r="AN576" s="1074"/>
      <c r="AO576" s="1074"/>
      <c r="AP576" s="1074"/>
      <c r="AQ576" s="1074"/>
      <c r="AR576" s="1074"/>
      <c r="AS576" s="1074"/>
      <c r="AT576" s="1075"/>
    </row>
    <row r="577" ht="14.25" customHeight="1">
      <c r="A577" s="1116"/>
      <c r="B577" s="1120"/>
      <c r="C577" s="1100"/>
      <c r="D577" s="1100"/>
      <c r="E577" s="1100"/>
      <c r="F577" s="1100"/>
      <c r="G577" s="1100"/>
      <c r="H577" s="1100"/>
      <c r="I577" s="1100"/>
      <c r="J577" s="1100"/>
      <c r="K577" s="1074"/>
      <c r="L577" s="1074"/>
      <c r="M577" s="1074"/>
      <c r="N577" s="1074"/>
      <c r="O577" s="1074"/>
      <c r="P577" s="1074"/>
      <c r="Q577" s="1074"/>
      <c r="R577" s="1074"/>
      <c r="S577" s="1074"/>
      <c r="T577" s="1074"/>
      <c r="U577" s="1074"/>
      <c r="V577" s="1074"/>
      <c r="W577" s="1074"/>
      <c r="X577" s="1074"/>
      <c r="Y577" s="1074"/>
      <c r="Z577" s="1074"/>
      <c r="AA577" s="1074"/>
      <c r="AB577" s="1074"/>
      <c r="AC577" s="1074"/>
      <c r="AD577" s="1074"/>
      <c r="AE577" s="1074"/>
      <c r="AF577" s="1074"/>
      <c r="AG577" s="1074"/>
      <c r="AH577" s="1074"/>
      <c r="AI577" s="1074"/>
      <c r="AJ577" s="1074"/>
      <c r="AK577" s="1074"/>
      <c r="AL577" s="1074"/>
      <c r="AM577" s="1074"/>
      <c r="AN577" s="1074"/>
      <c r="AO577" s="1074"/>
      <c r="AP577" s="1074"/>
      <c r="AQ577" s="1074"/>
      <c r="AR577" s="1074"/>
      <c r="AS577" s="1074"/>
      <c r="AT577" s="1075"/>
    </row>
    <row r="578" ht="14.25" customHeight="1">
      <c r="A578" s="1116"/>
      <c r="B578" s="1120"/>
      <c r="C578" s="1100"/>
      <c r="D578" s="1100"/>
      <c r="E578" s="1100"/>
      <c r="F578" s="1100"/>
      <c r="G578" s="1100"/>
      <c r="H578" s="1100"/>
      <c r="I578" s="1100"/>
      <c r="J578" s="1100"/>
      <c r="K578" s="1074"/>
      <c r="L578" s="1074"/>
      <c r="M578" s="1074"/>
      <c r="N578" s="1074"/>
      <c r="O578" s="1074"/>
      <c r="P578" s="1074"/>
      <c r="Q578" s="1074"/>
      <c r="R578" s="1074"/>
      <c r="S578" s="1074"/>
      <c r="T578" s="1074"/>
      <c r="U578" s="1074"/>
      <c r="V578" s="1074"/>
      <c r="W578" s="1074"/>
      <c r="X578" s="1074"/>
      <c r="Y578" s="1074"/>
      <c r="Z578" s="1074"/>
      <c r="AA578" s="1074"/>
      <c r="AB578" s="1074"/>
      <c r="AC578" s="1074"/>
      <c r="AD578" s="1074"/>
      <c r="AE578" s="1074"/>
      <c r="AF578" s="1074"/>
      <c r="AG578" s="1074"/>
      <c r="AH578" s="1074"/>
      <c r="AI578" s="1074"/>
      <c r="AJ578" s="1074"/>
      <c r="AK578" s="1074"/>
      <c r="AL578" s="1074"/>
      <c r="AM578" s="1074"/>
      <c r="AN578" s="1074"/>
      <c r="AO578" s="1074"/>
      <c r="AP578" s="1074"/>
      <c r="AQ578" s="1074"/>
      <c r="AR578" s="1074"/>
      <c r="AS578" s="1074"/>
      <c r="AT578" s="1075"/>
    </row>
    <row r="579" ht="14.25" customHeight="1">
      <c r="A579" s="1116"/>
      <c r="B579" s="1120"/>
      <c r="C579" s="1100"/>
      <c r="D579" s="1100"/>
      <c r="E579" s="1100"/>
      <c r="F579" s="1100"/>
      <c r="G579" s="1100"/>
      <c r="H579" s="1100"/>
      <c r="I579" s="1100"/>
      <c r="J579" s="1100"/>
      <c r="K579" s="1074"/>
      <c r="L579" s="1074"/>
      <c r="M579" s="1074"/>
      <c r="N579" s="1074"/>
      <c r="O579" s="1074"/>
      <c r="P579" s="1074"/>
      <c r="Q579" s="1074"/>
      <c r="R579" s="1074"/>
      <c r="S579" s="1074"/>
      <c r="T579" s="1074"/>
      <c r="U579" s="1074"/>
      <c r="V579" s="1074"/>
      <c r="W579" s="1074"/>
      <c r="X579" s="1074"/>
      <c r="Y579" s="1074"/>
      <c r="Z579" s="1074"/>
      <c r="AA579" s="1074"/>
      <c r="AB579" s="1074"/>
      <c r="AC579" s="1074"/>
      <c r="AD579" s="1074"/>
      <c r="AE579" s="1074"/>
      <c r="AF579" s="1074"/>
      <c r="AG579" s="1074"/>
      <c r="AH579" s="1074"/>
      <c r="AI579" s="1074"/>
      <c r="AJ579" s="1074"/>
      <c r="AK579" s="1074"/>
      <c r="AL579" s="1074"/>
      <c r="AM579" s="1074"/>
      <c r="AN579" s="1074"/>
      <c r="AO579" s="1074"/>
      <c r="AP579" s="1074"/>
      <c r="AQ579" s="1074"/>
      <c r="AR579" s="1074"/>
      <c r="AS579" s="1074"/>
      <c r="AT579" s="1075"/>
    </row>
    <row r="580" ht="14.25" customHeight="1">
      <c r="A580" s="1116"/>
      <c r="B580" s="1120"/>
      <c r="C580" s="1100"/>
      <c r="D580" s="1100"/>
      <c r="E580" s="1100"/>
      <c r="F580" s="1100"/>
      <c r="G580" s="1100"/>
      <c r="H580" s="1100"/>
      <c r="I580" s="1100"/>
      <c r="J580" s="1100"/>
      <c r="K580" s="1074"/>
      <c r="L580" s="1074"/>
      <c r="M580" s="1074"/>
      <c r="N580" s="1074"/>
      <c r="O580" s="1074"/>
      <c r="P580" s="1074"/>
      <c r="Q580" s="1074"/>
      <c r="R580" s="1074"/>
      <c r="S580" s="1074"/>
      <c r="T580" s="1074"/>
      <c r="U580" s="1074"/>
      <c r="V580" s="1074"/>
      <c r="W580" s="1074"/>
      <c r="X580" s="1074"/>
      <c r="Y580" s="1074"/>
      <c r="Z580" s="1074"/>
      <c r="AA580" s="1074"/>
      <c r="AB580" s="1074"/>
      <c r="AC580" s="1074"/>
      <c r="AD580" s="1074"/>
      <c r="AE580" s="1074"/>
      <c r="AF580" s="1074"/>
      <c r="AG580" s="1074"/>
      <c r="AH580" s="1074"/>
      <c r="AI580" s="1074"/>
      <c r="AJ580" s="1074"/>
      <c r="AK580" s="1074"/>
      <c r="AL580" s="1074"/>
      <c r="AM580" s="1074"/>
      <c r="AN580" s="1074"/>
      <c r="AO580" s="1074"/>
      <c r="AP580" s="1074"/>
      <c r="AQ580" s="1074"/>
      <c r="AR580" s="1074"/>
      <c r="AS580" s="1074"/>
      <c r="AT580" s="1075"/>
    </row>
    <row r="581" ht="14.25" customHeight="1">
      <c r="A581" s="1116"/>
      <c r="B581" s="1120"/>
      <c r="C581" s="1100"/>
      <c r="D581" s="1100"/>
      <c r="E581" s="1100"/>
      <c r="F581" s="1100"/>
      <c r="G581" s="1100"/>
      <c r="H581" s="1100"/>
      <c r="I581" s="1100"/>
      <c r="J581" s="1100"/>
      <c r="K581" s="1074"/>
      <c r="L581" s="1074"/>
      <c r="M581" s="1074"/>
      <c r="N581" s="1074"/>
      <c r="O581" s="1074"/>
      <c r="P581" s="1074"/>
      <c r="Q581" s="1074"/>
      <c r="R581" s="1074"/>
      <c r="S581" s="1074"/>
      <c r="T581" s="1074"/>
      <c r="U581" s="1074"/>
      <c r="V581" s="1074"/>
      <c r="W581" s="1074"/>
      <c r="X581" s="1074"/>
      <c r="Y581" s="1074"/>
      <c r="Z581" s="1074"/>
      <c r="AA581" s="1074"/>
      <c r="AB581" s="1074"/>
      <c r="AC581" s="1074"/>
      <c r="AD581" s="1074"/>
      <c r="AE581" s="1074"/>
      <c r="AF581" s="1074"/>
      <c r="AG581" s="1074"/>
      <c r="AH581" s="1074"/>
      <c r="AI581" s="1074"/>
      <c r="AJ581" s="1074"/>
      <c r="AK581" s="1074"/>
      <c r="AL581" s="1074"/>
      <c r="AM581" s="1074"/>
      <c r="AN581" s="1074"/>
      <c r="AO581" s="1074"/>
      <c r="AP581" s="1074"/>
      <c r="AQ581" s="1074"/>
      <c r="AR581" s="1074"/>
      <c r="AS581" s="1074"/>
      <c r="AT581" s="1075"/>
    </row>
    <row r="582" ht="14.25" customHeight="1">
      <c r="A582" s="1116"/>
      <c r="B582" s="1120"/>
      <c r="C582" s="1100"/>
      <c r="D582" s="1100"/>
      <c r="E582" s="1100"/>
      <c r="F582" s="1100"/>
      <c r="G582" s="1100"/>
      <c r="H582" s="1100"/>
      <c r="I582" s="1100"/>
      <c r="J582" s="1100"/>
      <c r="K582" s="1074"/>
      <c r="L582" s="1074"/>
      <c r="M582" s="1074"/>
      <c r="N582" s="1074"/>
      <c r="O582" s="1074"/>
      <c r="P582" s="1074"/>
      <c r="Q582" s="1074"/>
      <c r="R582" s="1074"/>
      <c r="S582" s="1074"/>
      <c r="T582" s="1074"/>
      <c r="U582" s="1074"/>
      <c r="V582" s="1074"/>
      <c r="W582" s="1074"/>
      <c r="X582" s="1074"/>
      <c r="Y582" s="1074"/>
      <c r="Z582" s="1074"/>
      <c r="AA582" s="1074"/>
      <c r="AB582" s="1074"/>
      <c r="AC582" s="1074"/>
      <c r="AD582" s="1074"/>
      <c r="AE582" s="1074"/>
      <c r="AF582" s="1074"/>
      <c r="AG582" s="1074"/>
      <c r="AH582" s="1074"/>
      <c r="AI582" s="1074"/>
      <c r="AJ582" s="1074"/>
      <c r="AK582" s="1074"/>
      <c r="AL582" s="1074"/>
      <c r="AM582" s="1074"/>
      <c r="AN582" s="1074"/>
      <c r="AO582" s="1074"/>
      <c r="AP582" s="1074"/>
      <c r="AQ582" s="1074"/>
      <c r="AR582" s="1074"/>
      <c r="AS582" s="1074"/>
      <c r="AT582" s="1075"/>
    </row>
    <row r="583" ht="14.25" customHeight="1">
      <c r="A583" s="1116"/>
      <c r="B583" s="1120"/>
      <c r="C583" s="1100"/>
      <c r="D583" s="1100"/>
      <c r="E583" s="1100"/>
      <c r="F583" s="1100"/>
      <c r="G583" s="1100"/>
      <c r="H583" s="1100"/>
      <c r="I583" s="1100"/>
      <c r="J583" s="1100"/>
      <c r="K583" s="1074"/>
      <c r="L583" s="1074"/>
      <c r="M583" s="1074"/>
      <c r="N583" s="1074"/>
      <c r="O583" s="1074"/>
      <c r="P583" s="1074"/>
      <c r="Q583" s="1074"/>
      <c r="R583" s="1074"/>
      <c r="S583" s="1074"/>
      <c r="T583" s="1074"/>
      <c r="U583" s="1074"/>
      <c r="V583" s="1074"/>
      <c r="W583" s="1074"/>
      <c r="X583" s="1074"/>
      <c r="Y583" s="1074"/>
      <c r="Z583" s="1074"/>
      <c r="AA583" s="1074"/>
      <c r="AB583" s="1074"/>
      <c r="AC583" s="1074"/>
      <c r="AD583" s="1074"/>
      <c r="AE583" s="1074"/>
      <c r="AF583" s="1074"/>
      <c r="AG583" s="1074"/>
      <c r="AH583" s="1074"/>
      <c r="AI583" s="1074"/>
      <c r="AJ583" s="1074"/>
      <c r="AK583" s="1074"/>
      <c r="AL583" s="1074"/>
      <c r="AM583" s="1074"/>
      <c r="AN583" s="1074"/>
      <c r="AO583" s="1074"/>
      <c r="AP583" s="1074"/>
      <c r="AQ583" s="1074"/>
      <c r="AR583" s="1074"/>
      <c r="AS583" s="1074"/>
      <c r="AT583" s="1075"/>
    </row>
    <row r="584" ht="14.25" customHeight="1">
      <c r="A584" s="1116"/>
      <c r="B584" s="1120"/>
      <c r="C584" s="1100"/>
      <c r="D584" s="1100"/>
      <c r="E584" s="1100"/>
      <c r="F584" s="1100"/>
      <c r="G584" s="1100"/>
      <c r="H584" s="1100"/>
      <c r="I584" s="1100"/>
      <c r="J584" s="1100"/>
      <c r="K584" s="1074"/>
      <c r="L584" s="1074"/>
      <c r="M584" s="1074"/>
      <c r="N584" s="1074"/>
      <c r="O584" s="1074"/>
      <c r="P584" s="1074"/>
      <c r="Q584" s="1074"/>
      <c r="R584" s="1074"/>
      <c r="S584" s="1074"/>
      <c r="T584" s="1074"/>
      <c r="U584" s="1074"/>
      <c r="V584" s="1074"/>
      <c r="W584" s="1074"/>
      <c r="X584" s="1074"/>
      <c r="Y584" s="1074"/>
      <c r="Z584" s="1074"/>
      <c r="AA584" s="1074"/>
      <c r="AB584" s="1074"/>
      <c r="AC584" s="1074"/>
      <c r="AD584" s="1074"/>
      <c r="AE584" s="1074"/>
      <c r="AF584" s="1074"/>
      <c r="AG584" s="1074"/>
      <c r="AH584" s="1074"/>
      <c r="AI584" s="1074"/>
      <c r="AJ584" s="1074"/>
      <c r="AK584" s="1074"/>
      <c r="AL584" s="1074"/>
      <c r="AM584" s="1074"/>
      <c r="AN584" s="1074"/>
      <c r="AO584" s="1074"/>
      <c r="AP584" s="1074"/>
      <c r="AQ584" s="1074"/>
      <c r="AR584" s="1074"/>
      <c r="AS584" s="1074"/>
      <c r="AT584" s="1075"/>
    </row>
    <row r="585" ht="14.25" customHeight="1">
      <c r="A585" s="1116"/>
      <c r="B585" s="1120"/>
      <c r="C585" s="1100"/>
      <c r="D585" s="1100"/>
      <c r="E585" s="1100"/>
      <c r="F585" s="1100"/>
      <c r="G585" s="1100"/>
      <c r="H585" s="1100"/>
      <c r="I585" s="1100"/>
      <c r="J585" s="1100"/>
      <c r="K585" s="1074"/>
      <c r="L585" s="1074"/>
      <c r="M585" s="1074"/>
      <c r="N585" s="1074"/>
      <c r="O585" s="1074"/>
      <c r="P585" s="1074"/>
      <c r="Q585" s="1074"/>
      <c r="R585" s="1074"/>
      <c r="S585" s="1074"/>
      <c r="T585" s="1074"/>
      <c r="U585" s="1074"/>
      <c r="V585" s="1074"/>
      <c r="W585" s="1074"/>
      <c r="X585" s="1074"/>
      <c r="Y585" s="1074"/>
      <c r="Z585" s="1074"/>
      <c r="AA585" s="1074"/>
      <c r="AB585" s="1074"/>
      <c r="AC585" s="1074"/>
      <c r="AD585" s="1074"/>
      <c r="AE585" s="1074"/>
      <c r="AF585" s="1074"/>
      <c r="AG585" s="1074"/>
      <c r="AH585" s="1074"/>
      <c r="AI585" s="1074"/>
      <c r="AJ585" s="1074"/>
      <c r="AK585" s="1074"/>
      <c r="AL585" s="1074"/>
      <c r="AM585" s="1074"/>
      <c r="AN585" s="1074"/>
      <c r="AO585" s="1074"/>
      <c r="AP585" s="1074"/>
      <c r="AQ585" s="1074"/>
      <c r="AR585" s="1074"/>
      <c r="AS585" s="1074"/>
      <c r="AT585" s="1075"/>
    </row>
    <row r="586" ht="14.25" customHeight="1">
      <c r="A586" s="1116"/>
      <c r="B586" s="1120"/>
      <c r="C586" s="1100"/>
      <c r="D586" s="1100"/>
      <c r="E586" s="1100"/>
      <c r="F586" s="1100"/>
      <c r="G586" s="1100"/>
      <c r="H586" s="1100"/>
      <c r="I586" s="1100"/>
      <c r="J586" s="1100"/>
      <c r="K586" s="1074"/>
      <c r="L586" s="1074"/>
      <c r="M586" s="1074"/>
      <c r="N586" s="1074"/>
      <c r="O586" s="1074"/>
      <c r="P586" s="1074"/>
      <c r="Q586" s="1074"/>
      <c r="R586" s="1074"/>
      <c r="S586" s="1074"/>
      <c r="T586" s="1074"/>
      <c r="U586" s="1074"/>
      <c r="V586" s="1074"/>
      <c r="W586" s="1074"/>
      <c r="X586" s="1074"/>
      <c r="Y586" s="1074"/>
      <c r="Z586" s="1074"/>
      <c r="AA586" s="1074"/>
      <c r="AB586" s="1074"/>
      <c r="AC586" s="1074"/>
      <c r="AD586" s="1074"/>
      <c r="AE586" s="1074"/>
      <c r="AF586" s="1074"/>
      <c r="AG586" s="1074"/>
      <c r="AH586" s="1074"/>
      <c r="AI586" s="1074"/>
      <c r="AJ586" s="1074"/>
      <c r="AK586" s="1074"/>
      <c r="AL586" s="1074"/>
      <c r="AM586" s="1074"/>
      <c r="AN586" s="1074"/>
      <c r="AO586" s="1074"/>
      <c r="AP586" s="1074"/>
      <c r="AQ586" s="1074"/>
      <c r="AR586" s="1074"/>
      <c r="AS586" s="1074"/>
      <c r="AT586" s="1075"/>
    </row>
    <row r="587" ht="14.25" customHeight="1">
      <c r="A587" s="1116"/>
      <c r="B587" s="1120"/>
      <c r="C587" s="1100"/>
      <c r="D587" s="1100"/>
      <c r="E587" s="1100"/>
      <c r="F587" s="1100"/>
      <c r="G587" s="1100"/>
      <c r="H587" s="1100"/>
      <c r="I587" s="1100"/>
      <c r="J587" s="1100"/>
      <c r="K587" s="1074"/>
      <c r="L587" s="1074"/>
      <c r="M587" s="1074"/>
      <c r="N587" s="1074"/>
      <c r="O587" s="1074"/>
      <c r="P587" s="1074"/>
      <c r="Q587" s="1074"/>
      <c r="R587" s="1074"/>
      <c r="S587" s="1074"/>
      <c r="T587" s="1074"/>
      <c r="U587" s="1074"/>
      <c r="V587" s="1074"/>
      <c r="W587" s="1074"/>
      <c r="X587" s="1074"/>
      <c r="Y587" s="1074"/>
      <c r="Z587" s="1074"/>
      <c r="AA587" s="1074"/>
      <c r="AB587" s="1074"/>
      <c r="AC587" s="1074"/>
      <c r="AD587" s="1074"/>
      <c r="AE587" s="1074"/>
      <c r="AF587" s="1074"/>
      <c r="AG587" s="1074"/>
      <c r="AH587" s="1074"/>
      <c r="AI587" s="1074"/>
      <c r="AJ587" s="1074"/>
      <c r="AK587" s="1074"/>
      <c r="AL587" s="1074"/>
      <c r="AM587" s="1074"/>
      <c r="AN587" s="1074"/>
      <c r="AO587" s="1074"/>
      <c r="AP587" s="1074"/>
      <c r="AQ587" s="1074"/>
      <c r="AR587" s="1074"/>
      <c r="AS587" s="1074"/>
      <c r="AT587" s="1075"/>
    </row>
    <row r="588" ht="14.25" customHeight="1">
      <c r="A588" s="1116"/>
      <c r="B588" s="1120"/>
      <c r="C588" s="1100"/>
      <c r="D588" s="1100"/>
      <c r="E588" s="1100"/>
      <c r="F588" s="1100"/>
      <c r="G588" s="1100"/>
      <c r="H588" s="1100"/>
      <c r="I588" s="1100"/>
      <c r="J588" s="1100"/>
      <c r="K588" s="1074"/>
      <c r="L588" s="1074"/>
      <c r="M588" s="1074"/>
      <c r="N588" s="1074"/>
      <c r="O588" s="1074"/>
      <c r="P588" s="1074"/>
      <c r="Q588" s="1074"/>
      <c r="R588" s="1074"/>
      <c r="S588" s="1074"/>
      <c r="T588" s="1074"/>
      <c r="U588" s="1074"/>
      <c r="V588" s="1074"/>
      <c r="W588" s="1074"/>
      <c r="X588" s="1074"/>
      <c r="Y588" s="1074"/>
      <c r="Z588" s="1074"/>
      <c r="AA588" s="1074"/>
      <c r="AB588" s="1074"/>
      <c r="AC588" s="1074"/>
      <c r="AD588" s="1074"/>
      <c r="AE588" s="1074"/>
      <c r="AF588" s="1074"/>
      <c r="AG588" s="1074"/>
      <c r="AH588" s="1074"/>
      <c r="AI588" s="1074"/>
      <c r="AJ588" s="1074"/>
      <c r="AK588" s="1074"/>
      <c r="AL588" s="1074"/>
      <c r="AM588" s="1074"/>
      <c r="AN588" s="1074"/>
      <c r="AO588" s="1074"/>
      <c r="AP588" s="1074"/>
      <c r="AQ588" s="1074"/>
      <c r="AR588" s="1074"/>
      <c r="AS588" s="1074"/>
      <c r="AT588" s="1075"/>
    </row>
    <row r="589" ht="14.25" customHeight="1">
      <c r="A589" s="1116"/>
      <c r="B589" s="1120"/>
      <c r="C589" s="1100"/>
      <c r="D589" s="1100"/>
      <c r="E589" s="1100"/>
      <c r="F589" s="1100"/>
      <c r="G589" s="1100"/>
      <c r="H589" s="1100"/>
      <c r="I589" s="1100"/>
      <c r="J589" s="1100"/>
      <c r="K589" s="1074"/>
      <c r="L589" s="1074"/>
      <c r="M589" s="1074"/>
      <c r="N589" s="1074"/>
      <c r="O589" s="1074"/>
      <c r="P589" s="1074"/>
      <c r="Q589" s="1074"/>
      <c r="R589" s="1074"/>
      <c r="S589" s="1074"/>
      <c r="T589" s="1074"/>
      <c r="U589" s="1074"/>
      <c r="V589" s="1074"/>
      <c r="W589" s="1074"/>
      <c r="X589" s="1074"/>
      <c r="Y589" s="1074"/>
      <c r="Z589" s="1074"/>
      <c r="AA589" s="1074"/>
      <c r="AB589" s="1074"/>
      <c r="AC589" s="1074"/>
      <c r="AD589" s="1074"/>
      <c r="AE589" s="1074"/>
      <c r="AF589" s="1074"/>
      <c r="AG589" s="1074"/>
      <c r="AH589" s="1074"/>
      <c r="AI589" s="1074"/>
      <c r="AJ589" s="1074"/>
      <c r="AK589" s="1074"/>
      <c r="AL589" s="1074"/>
      <c r="AM589" s="1074"/>
      <c r="AN589" s="1074"/>
      <c r="AO589" s="1074"/>
      <c r="AP589" s="1074"/>
      <c r="AQ589" s="1074"/>
      <c r="AR589" s="1074"/>
      <c r="AS589" s="1074"/>
      <c r="AT589" s="1075"/>
    </row>
    <row r="590" ht="14.25" customHeight="1">
      <c r="A590" s="1116"/>
      <c r="B590" s="1120"/>
      <c r="C590" s="1100"/>
      <c r="D590" s="1100"/>
      <c r="E590" s="1100"/>
      <c r="F590" s="1100"/>
      <c r="G590" s="1100"/>
      <c r="H590" s="1100"/>
      <c r="I590" s="1100"/>
      <c r="J590" s="1100"/>
      <c r="K590" s="1074"/>
      <c r="L590" s="1074"/>
      <c r="M590" s="1074"/>
      <c r="N590" s="1074"/>
      <c r="O590" s="1074"/>
      <c r="P590" s="1074"/>
      <c r="Q590" s="1074"/>
      <c r="R590" s="1074"/>
      <c r="S590" s="1074"/>
      <c r="T590" s="1074"/>
      <c r="U590" s="1074"/>
      <c r="V590" s="1074"/>
      <c r="W590" s="1074"/>
      <c r="X590" s="1074"/>
      <c r="Y590" s="1074"/>
      <c r="Z590" s="1074"/>
      <c r="AA590" s="1074"/>
      <c r="AB590" s="1074"/>
      <c r="AC590" s="1074"/>
      <c r="AD590" s="1074"/>
      <c r="AE590" s="1074"/>
      <c r="AF590" s="1074"/>
      <c r="AG590" s="1074"/>
      <c r="AH590" s="1074"/>
      <c r="AI590" s="1074"/>
      <c r="AJ590" s="1074"/>
      <c r="AK590" s="1074"/>
      <c r="AL590" s="1074"/>
      <c r="AM590" s="1074"/>
      <c r="AN590" s="1074"/>
      <c r="AO590" s="1074"/>
      <c r="AP590" s="1074"/>
      <c r="AQ590" s="1074"/>
      <c r="AR590" s="1074"/>
      <c r="AS590" s="1074"/>
      <c r="AT590" s="1075"/>
    </row>
    <row r="591" ht="14.25" customHeight="1">
      <c r="A591" s="1116"/>
      <c r="B591" s="1120"/>
      <c r="C591" s="1100"/>
      <c r="D591" s="1100"/>
      <c r="E591" s="1100"/>
      <c r="F591" s="1100"/>
      <c r="G591" s="1100"/>
      <c r="H591" s="1100"/>
      <c r="I591" s="1100"/>
      <c r="J591" s="1100"/>
      <c r="K591" s="1074"/>
      <c r="L591" s="1074"/>
      <c r="M591" s="1074"/>
      <c r="N591" s="1074"/>
      <c r="O591" s="1074"/>
      <c r="P591" s="1074"/>
      <c r="Q591" s="1074"/>
      <c r="R591" s="1074"/>
      <c r="S591" s="1074"/>
      <c r="T591" s="1074"/>
      <c r="U591" s="1074"/>
      <c r="V591" s="1074"/>
      <c r="W591" s="1074"/>
      <c r="X591" s="1074"/>
      <c r="Y591" s="1074"/>
      <c r="Z591" s="1074"/>
      <c r="AA591" s="1074"/>
      <c r="AB591" s="1074"/>
      <c r="AC591" s="1074"/>
      <c r="AD591" s="1074"/>
      <c r="AE591" s="1074"/>
      <c r="AF591" s="1074"/>
      <c r="AG591" s="1074"/>
      <c r="AH591" s="1074"/>
      <c r="AI591" s="1074"/>
      <c r="AJ591" s="1074"/>
      <c r="AK591" s="1074"/>
      <c r="AL591" s="1074"/>
      <c r="AM591" s="1074"/>
      <c r="AN591" s="1074"/>
      <c r="AO591" s="1074"/>
      <c r="AP591" s="1074"/>
      <c r="AQ591" s="1074"/>
      <c r="AR591" s="1074"/>
      <c r="AS591" s="1074"/>
      <c r="AT591" s="1075"/>
    </row>
    <row r="592" ht="14.25" customHeight="1">
      <c r="A592" s="1116"/>
      <c r="B592" s="1120"/>
      <c r="C592" s="1100"/>
      <c r="D592" s="1100"/>
      <c r="E592" s="1100"/>
      <c r="F592" s="1100"/>
      <c r="G592" s="1100"/>
      <c r="H592" s="1100"/>
      <c r="I592" s="1100"/>
      <c r="J592" s="1100"/>
      <c r="K592" s="1074"/>
      <c r="L592" s="1074"/>
      <c r="M592" s="1074"/>
      <c r="N592" s="1074"/>
      <c r="O592" s="1074"/>
      <c r="P592" s="1074"/>
      <c r="Q592" s="1074"/>
      <c r="R592" s="1074"/>
      <c r="S592" s="1074"/>
      <c r="T592" s="1074"/>
      <c r="U592" s="1074"/>
      <c r="V592" s="1074"/>
      <c r="W592" s="1074"/>
      <c r="X592" s="1074"/>
      <c r="Y592" s="1074"/>
      <c r="Z592" s="1074"/>
      <c r="AA592" s="1074"/>
      <c r="AB592" s="1074"/>
      <c r="AC592" s="1074"/>
      <c r="AD592" s="1074"/>
      <c r="AE592" s="1074"/>
      <c r="AF592" s="1074"/>
      <c r="AG592" s="1074"/>
      <c r="AH592" s="1074"/>
      <c r="AI592" s="1074"/>
      <c r="AJ592" s="1074"/>
      <c r="AK592" s="1074"/>
      <c r="AL592" s="1074"/>
      <c r="AM592" s="1074"/>
      <c r="AN592" s="1074"/>
      <c r="AO592" s="1074"/>
      <c r="AP592" s="1074"/>
      <c r="AQ592" s="1074"/>
      <c r="AR592" s="1074"/>
      <c r="AS592" s="1074"/>
      <c r="AT592" s="1075"/>
    </row>
    <row r="593" ht="14.25" customHeight="1">
      <c r="A593" s="1116"/>
      <c r="B593" s="1120"/>
      <c r="C593" s="1100"/>
      <c r="D593" s="1100"/>
      <c r="E593" s="1100"/>
      <c r="F593" s="1100"/>
      <c r="G593" s="1100"/>
      <c r="H593" s="1100"/>
      <c r="I593" s="1100"/>
      <c r="J593" s="1100"/>
      <c r="K593" s="1074"/>
      <c r="L593" s="1074"/>
      <c r="M593" s="1074"/>
      <c r="N593" s="1074"/>
      <c r="O593" s="1074"/>
      <c r="P593" s="1074"/>
      <c r="Q593" s="1074"/>
      <c r="R593" s="1074"/>
      <c r="S593" s="1074"/>
      <c r="T593" s="1074"/>
      <c r="U593" s="1074"/>
      <c r="V593" s="1074"/>
      <c r="W593" s="1074"/>
      <c r="X593" s="1074"/>
      <c r="Y593" s="1074"/>
      <c r="Z593" s="1074"/>
      <c r="AA593" s="1074"/>
      <c r="AB593" s="1074"/>
      <c r="AC593" s="1074"/>
      <c r="AD593" s="1074"/>
      <c r="AE593" s="1074"/>
      <c r="AF593" s="1074"/>
      <c r="AG593" s="1074"/>
      <c r="AH593" s="1074"/>
      <c r="AI593" s="1074"/>
      <c r="AJ593" s="1074"/>
      <c r="AK593" s="1074"/>
      <c r="AL593" s="1074"/>
      <c r="AM593" s="1074"/>
      <c r="AN593" s="1074"/>
      <c r="AO593" s="1074"/>
      <c r="AP593" s="1074"/>
      <c r="AQ593" s="1074"/>
      <c r="AR593" s="1074"/>
      <c r="AS593" s="1074"/>
      <c r="AT593" s="1075"/>
    </row>
    <row r="594" ht="14.25" customHeight="1">
      <c r="A594" s="1116"/>
      <c r="B594" s="1120"/>
      <c r="C594" s="1100"/>
      <c r="D594" s="1100"/>
      <c r="E594" s="1100"/>
      <c r="F594" s="1100"/>
      <c r="G594" s="1100"/>
      <c r="H594" s="1100"/>
      <c r="I594" s="1100"/>
      <c r="J594" s="1100"/>
      <c r="K594" s="1074"/>
      <c r="L594" s="1074"/>
      <c r="M594" s="1074"/>
      <c r="N594" s="1074"/>
      <c r="O594" s="1074"/>
      <c r="P594" s="1074"/>
      <c r="Q594" s="1074"/>
      <c r="R594" s="1074"/>
      <c r="S594" s="1074"/>
      <c r="T594" s="1074"/>
      <c r="U594" s="1074"/>
      <c r="V594" s="1074"/>
      <c r="W594" s="1074"/>
      <c r="X594" s="1074"/>
      <c r="Y594" s="1074"/>
      <c r="Z594" s="1074"/>
      <c r="AA594" s="1074"/>
      <c r="AB594" s="1074"/>
      <c r="AC594" s="1074"/>
      <c r="AD594" s="1074"/>
      <c r="AE594" s="1074"/>
      <c r="AF594" s="1074"/>
      <c r="AG594" s="1074"/>
      <c r="AH594" s="1074"/>
      <c r="AI594" s="1074"/>
      <c r="AJ594" s="1074"/>
      <c r="AK594" s="1074"/>
      <c r="AL594" s="1074"/>
      <c r="AM594" s="1074"/>
      <c r="AN594" s="1074"/>
      <c r="AO594" s="1074"/>
      <c r="AP594" s="1074"/>
      <c r="AQ594" s="1074"/>
      <c r="AR594" s="1074"/>
      <c r="AS594" s="1074"/>
      <c r="AT594" s="1075"/>
    </row>
    <row r="595" ht="14.25" customHeight="1">
      <c r="A595" s="1116"/>
      <c r="B595" s="1120"/>
      <c r="C595" s="1100"/>
      <c r="D595" s="1100"/>
      <c r="E595" s="1100"/>
      <c r="F595" s="1100"/>
      <c r="G595" s="1100"/>
      <c r="H595" s="1100"/>
      <c r="I595" s="1100"/>
      <c r="J595" s="1100"/>
      <c r="K595" s="1074"/>
      <c r="L595" s="1074"/>
      <c r="M595" s="1074"/>
      <c r="N595" s="1074"/>
      <c r="O595" s="1074"/>
      <c r="P595" s="1074"/>
      <c r="Q595" s="1074"/>
      <c r="R595" s="1074"/>
      <c r="S595" s="1074"/>
      <c r="T595" s="1074"/>
      <c r="U595" s="1074"/>
      <c r="V595" s="1074"/>
      <c r="W595" s="1074"/>
      <c r="X595" s="1074"/>
      <c r="Y595" s="1074"/>
      <c r="Z595" s="1074"/>
      <c r="AA595" s="1074"/>
      <c r="AB595" s="1074"/>
      <c r="AC595" s="1074"/>
      <c r="AD595" s="1074"/>
      <c r="AE595" s="1074"/>
      <c r="AF595" s="1074"/>
      <c r="AG595" s="1074"/>
      <c r="AH595" s="1074"/>
      <c r="AI595" s="1074"/>
      <c r="AJ595" s="1074"/>
      <c r="AK595" s="1074"/>
      <c r="AL595" s="1074"/>
      <c r="AM595" s="1074"/>
      <c r="AN595" s="1074"/>
      <c r="AO595" s="1074"/>
      <c r="AP595" s="1074"/>
      <c r="AQ595" s="1074"/>
      <c r="AR595" s="1074"/>
      <c r="AS595" s="1074"/>
      <c r="AT595" s="1075"/>
    </row>
    <row r="596" ht="14.25" customHeight="1">
      <c r="A596" s="1116"/>
      <c r="B596" s="1120"/>
      <c r="C596" s="1100"/>
      <c r="D596" s="1100"/>
      <c r="E596" s="1100"/>
      <c r="F596" s="1100"/>
      <c r="G596" s="1100"/>
      <c r="H596" s="1100"/>
      <c r="I596" s="1100"/>
      <c r="J596" s="1100"/>
      <c r="K596" s="1074"/>
      <c r="L596" s="1074"/>
      <c r="M596" s="1074"/>
      <c r="N596" s="1074"/>
      <c r="O596" s="1074"/>
      <c r="P596" s="1074"/>
      <c r="Q596" s="1074"/>
      <c r="R596" s="1074"/>
      <c r="S596" s="1074"/>
      <c r="T596" s="1074"/>
      <c r="U596" s="1074"/>
      <c r="V596" s="1074"/>
      <c r="W596" s="1074"/>
      <c r="X596" s="1074"/>
      <c r="Y596" s="1074"/>
      <c r="Z596" s="1074"/>
      <c r="AA596" s="1074"/>
      <c r="AB596" s="1074"/>
      <c r="AC596" s="1074"/>
      <c r="AD596" s="1074"/>
      <c r="AE596" s="1074"/>
      <c r="AF596" s="1074"/>
      <c r="AG596" s="1074"/>
      <c r="AH596" s="1074"/>
      <c r="AI596" s="1074"/>
      <c r="AJ596" s="1074"/>
      <c r="AK596" s="1074"/>
      <c r="AL596" s="1074"/>
      <c r="AM596" s="1074"/>
      <c r="AN596" s="1074"/>
      <c r="AO596" s="1074"/>
      <c r="AP596" s="1074"/>
      <c r="AQ596" s="1074"/>
      <c r="AR596" s="1074"/>
      <c r="AS596" s="1074"/>
      <c r="AT596" s="1075"/>
    </row>
    <row r="597" ht="14.25" customHeight="1">
      <c r="A597" s="1116"/>
      <c r="B597" s="1120"/>
      <c r="C597" s="1100"/>
      <c r="D597" s="1100"/>
      <c r="E597" s="1100"/>
      <c r="F597" s="1100"/>
      <c r="G597" s="1100"/>
      <c r="H597" s="1100"/>
      <c r="I597" s="1100"/>
      <c r="J597" s="1100"/>
      <c r="K597" s="1074"/>
      <c r="L597" s="1074"/>
      <c r="M597" s="1074"/>
      <c r="N597" s="1074"/>
      <c r="O597" s="1074"/>
      <c r="P597" s="1074"/>
      <c r="Q597" s="1074"/>
      <c r="R597" s="1074"/>
      <c r="S597" s="1074"/>
      <c r="T597" s="1074"/>
      <c r="U597" s="1074"/>
      <c r="V597" s="1074"/>
      <c r="W597" s="1074"/>
      <c r="X597" s="1074"/>
      <c r="Y597" s="1074"/>
      <c r="Z597" s="1074"/>
      <c r="AA597" s="1074"/>
      <c r="AB597" s="1074"/>
      <c r="AC597" s="1074"/>
      <c r="AD597" s="1074"/>
      <c r="AE597" s="1074"/>
      <c r="AF597" s="1074"/>
      <c r="AG597" s="1074"/>
      <c r="AH597" s="1074"/>
      <c r="AI597" s="1074"/>
      <c r="AJ597" s="1074"/>
      <c r="AK597" s="1074"/>
      <c r="AL597" s="1074"/>
      <c r="AM597" s="1074"/>
      <c r="AN597" s="1074"/>
      <c r="AO597" s="1074"/>
      <c r="AP597" s="1074"/>
      <c r="AQ597" s="1074"/>
      <c r="AR597" s="1074"/>
      <c r="AS597" s="1074"/>
      <c r="AT597" s="1075"/>
    </row>
    <row r="598" ht="14.25" customHeight="1">
      <c r="A598" s="1116"/>
      <c r="B598" s="1120"/>
      <c r="C598" s="1100"/>
      <c r="D598" s="1100"/>
      <c r="E598" s="1100"/>
      <c r="F598" s="1100"/>
      <c r="G598" s="1100"/>
      <c r="H598" s="1100"/>
      <c r="I598" s="1100"/>
      <c r="J598" s="1100"/>
      <c r="K598" s="1074"/>
      <c r="L598" s="1074"/>
      <c r="M598" s="1074"/>
      <c r="N598" s="1074"/>
      <c r="O598" s="1074"/>
      <c r="P598" s="1074"/>
      <c r="Q598" s="1074"/>
      <c r="R598" s="1074"/>
      <c r="S598" s="1074"/>
      <c r="T598" s="1074"/>
      <c r="U598" s="1074"/>
      <c r="V598" s="1074"/>
      <c r="W598" s="1074"/>
      <c r="X598" s="1074"/>
      <c r="Y598" s="1074"/>
      <c r="Z598" s="1074"/>
      <c r="AA598" s="1074"/>
      <c r="AB598" s="1074"/>
      <c r="AC598" s="1074"/>
      <c r="AD598" s="1074"/>
      <c r="AE598" s="1074"/>
      <c r="AF598" s="1074"/>
      <c r="AG598" s="1074"/>
      <c r="AH598" s="1074"/>
      <c r="AI598" s="1074"/>
      <c r="AJ598" s="1074"/>
      <c r="AK598" s="1074"/>
      <c r="AL598" s="1074"/>
      <c r="AM598" s="1074"/>
      <c r="AN598" s="1074"/>
      <c r="AO598" s="1074"/>
      <c r="AP598" s="1074"/>
      <c r="AQ598" s="1074"/>
      <c r="AR598" s="1074"/>
      <c r="AS598" s="1074"/>
      <c r="AT598" s="1075"/>
    </row>
    <row r="599" ht="14.25" customHeight="1">
      <c r="A599" s="1116"/>
      <c r="B599" s="1120"/>
      <c r="C599" s="1100"/>
      <c r="D599" s="1100"/>
      <c r="E599" s="1100"/>
      <c r="F599" s="1100"/>
      <c r="G599" s="1100"/>
      <c r="H599" s="1100"/>
      <c r="I599" s="1100"/>
      <c r="J599" s="1100"/>
      <c r="K599" s="1074"/>
      <c r="L599" s="1074"/>
      <c r="M599" s="1074"/>
      <c r="N599" s="1074"/>
      <c r="O599" s="1074"/>
      <c r="P599" s="1074"/>
      <c r="Q599" s="1074"/>
      <c r="R599" s="1074"/>
      <c r="S599" s="1074"/>
      <c r="T599" s="1074"/>
      <c r="U599" s="1074"/>
      <c r="V599" s="1074"/>
      <c r="W599" s="1074"/>
      <c r="X599" s="1074"/>
      <c r="Y599" s="1074"/>
      <c r="Z599" s="1074"/>
      <c r="AA599" s="1074"/>
      <c r="AB599" s="1074"/>
      <c r="AC599" s="1074"/>
      <c r="AD599" s="1074"/>
      <c r="AE599" s="1074"/>
      <c r="AF599" s="1074"/>
      <c r="AG599" s="1074"/>
      <c r="AH599" s="1074"/>
      <c r="AI599" s="1074"/>
      <c r="AJ599" s="1074"/>
      <c r="AK599" s="1074"/>
      <c r="AL599" s="1074"/>
      <c r="AM599" s="1074"/>
      <c r="AN599" s="1074"/>
      <c r="AO599" s="1074"/>
      <c r="AP599" s="1074"/>
      <c r="AQ599" s="1074"/>
      <c r="AR599" s="1074"/>
      <c r="AS599" s="1074"/>
      <c r="AT599" s="1075"/>
    </row>
    <row r="600" ht="14.25" customHeight="1">
      <c r="A600" s="1116"/>
      <c r="B600" s="1120"/>
      <c r="C600" s="1100"/>
      <c r="D600" s="1100"/>
      <c r="E600" s="1100"/>
      <c r="F600" s="1100"/>
      <c r="G600" s="1100"/>
      <c r="H600" s="1100"/>
      <c r="I600" s="1100"/>
      <c r="J600" s="1100"/>
      <c r="K600" s="1074"/>
      <c r="L600" s="1074"/>
      <c r="M600" s="1074"/>
      <c r="N600" s="1074"/>
      <c r="O600" s="1074"/>
      <c r="P600" s="1074"/>
      <c r="Q600" s="1074"/>
      <c r="R600" s="1074"/>
      <c r="S600" s="1074"/>
      <c r="T600" s="1074"/>
      <c r="U600" s="1074"/>
      <c r="V600" s="1074"/>
      <c r="W600" s="1074"/>
      <c r="X600" s="1074"/>
      <c r="Y600" s="1074"/>
      <c r="Z600" s="1074"/>
      <c r="AA600" s="1074"/>
      <c r="AB600" s="1074"/>
      <c r="AC600" s="1074"/>
      <c r="AD600" s="1074"/>
      <c r="AE600" s="1074"/>
      <c r="AF600" s="1074"/>
      <c r="AG600" s="1074"/>
      <c r="AH600" s="1074"/>
      <c r="AI600" s="1074"/>
      <c r="AJ600" s="1074"/>
      <c r="AK600" s="1074"/>
      <c r="AL600" s="1074"/>
      <c r="AM600" s="1074"/>
      <c r="AN600" s="1074"/>
      <c r="AO600" s="1074"/>
      <c r="AP600" s="1074"/>
      <c r="AQ600" s="1074"/>
      <c r="AR600" s="1074"/>
      <c r="AS600" s="1074"/>
      <c r="AT600" s="1075"/>
    </row>
    <row r="601" ht="14.25" customHeight="1">
      <c r="A601" s="1116"/>
      <c r="B601" s="1120"/>
      <c r="C601" s="1100"/>
      <c r="D601" s="1100"/>
      <c r="E601" s="1100"/>
      <c r="F601" s="1100"/>
      <c r="G601" s="1100"/>
      <c r="H601" s="1100"/>
      <c r="I601" s="1100"/>
      <c r="J601" s="1100"/>
      <c r="K601" s="1074"/>
      <c r="L601" s="1074"/>
      <c r="M601" s="1074"/>
      <c r="N601" s="1074"/>
      <c r="O601" s="1074"/>
      <c r="P601" s="1074"/>
      <c r="Q601" s="1074"/>
      <c r="R601" s="1074"/>
      <c r="S601" s="1074"/>
      <c r="T601" s="1074"/>
      <c r="U601" s="1074"/>
      <c r="V601" s="1074"/>
      <c r="W601" s="1074"/>
      <c r="X601" s="1074"/>
      <c r="Y601" s="1074"/>
      <c r="Z601" s="1074"/>
      <c r="AA601" s="1074"/>
      <c r="AB601" s="1074"/>
      <c r="AC601" s="1074"/>
      <c r="AD601" s="1074"/>
      <c r="AE601" s="1074"/>
      <c r="AF601" s="1074"/>
      <c r="AG601" s="1074"/>
      <c r="AH601" s="1074"/>
      <c r="AI601" s="1074"/>
      <c r="AJ601" s="1074"/>
      <c r="AK601" s="1074"/>
      <c r="AL601" s="1074"/>
      <c r="AM601" s="1074"/>
      <c r="AN601" s="1074"/>
      <c r="AO601" s="1074"/>
      <c r="AP601" s="1074"/>
      <c r="AQ601" s="1074"/>
      <c r="AR601" s="1074"/>
      <c r="AS601" s="1074"/>
      <c r="AT601" s="1075"/>
    </row>
    <row r="602" ht="14.25" customHeight="1">
      <c r="A602" s="1116"/>
      <c r="B602" s="1120"/>
      <c r="C602" s="1100"/>
      <c r="D602" s="1100"/>
      <c r="E602" s="1100"/>
      <c r="F602" s="1100"/>
      <c r="G602" s="1100"/>
      <c r="H602" s="1100"/>
      <c r="I602" s="1100"/>
      <c r="J602" s="1100"/>
      <c r="K602" s="1074"/>
      <c r="L602" s="1074"/>
      <c r="M602" s="1074"/>
      <c r="N602" s="1074"/>
      <c r="O602" s="1074"/>
      <c r="P602" s="1074"/>
      <c r="Q602" s="1074"/>
      <c r="R602" s="1074"/>
      <c r="S602" s="1074"/>
      <c r="T602" s="1074"/>
      <c r="U602" s="1074"/>
      <c r="V602" s="1074"/>
      <c r="W602" s="1074"/>
      <c r="X602" s="1074"/>
      <c r="Y602" s="1074"/>
      <c r="Z602" s="1074"/>
      <c r="AA602" s="1074"/>
      <c r="AB602" s="1074"/>
      <c r="AC602" s="1074"/>
      <c r="AD602" s="1074"/>
      <c r="AE602" s="1074"/>
      <c r="AF602" s="1074"/>
      <c r="AG602" s="1074"/>
      <c r="AH602" s="1074"/>
      <c r="AI602" s="1074"/>
      <c r="AJ602" s="1074"/>
      <c r="AK602" s="1074"/>
      <c r="AL602" s="1074"/>
      <c r="AM602" s="1074"/>
      <c r="AN602" s="1074"/>
      <c r="AO602" s="1074"/>
      <c r="AP602" s="1074"/>
      <c r="AQ602" s="1074"/>
      <c r="AR602" s="1074"/>
      <c r="AS602" s="1074"/>
      <c r="AT602" s="1075"/>
    </row>
    <row r="603" ht="14.25" customHeight="1">
      <c r="A603" s="1116"/>
      <c r="B603" s="1120"/>
      <c r="C603" s="1100"/>
      <c r="D603" s="1100"/>
      <c r="E603" s="1100"/>
      <c r="F603" s="1100"/>
      <c r="G603" s="1100"/>
      <c r="H603" s="1100"/>
      <c r="I603" s="1100"/>
      <c r="J603" s="1100"/>
      <c r="K603" s="1074"/>
      <c r="L603" s="1074"/>
      <c r="M603" s="1074"/>
      <c r="N603" s="1074"/>
      <c r="O603" s="1074"/>
      <c r="P603" s="1074"/>
      <c r="Q603" s="1074"/>
      <c r="R603" s="1074"/>
      <c r="S603" s="1074"/>
      <c r="T603" s="1074"/>
      <c r="U603" s="1074"/>
      <c r="V603" s="1074"/>
      <c r="W603" s="1074"/>
      <c r="X603" s="1074"/>
      <c r="Y603" s="1074"/>
      <c r="Z603" s="1074"/>
      <c r="AA603" s="1074"/>
      <c r="AB603" s="1074"/>
      <c r="AC603" s="1074"/>
      <c r="AD603" s="1074"/>
      <c r="AE603" s="1074"/>
      <c r="AF603" s="1074"/>
      <c r="AG603" s="1074"/>
      <c r="AH603" s="1074"/>
      <c r="AI603" s="1074"/>
      <c r="AJ603" s="1074"/>
      <c r="AK603" s="1074"/>
      <c r="AL603" s="1074"/>
      <c r="AM603" s="1074"/>
      <c r="AN603" s="1074"/>
      <c r="AO603" s="1074"/>
      <c r="AP603" s="1074"/>
      <c r="AQ603" s="1074"/>
      <c r="AR603" s="1074"/>
      <c r="AS603" s="1074"/>
      <c r="AT603" s="1075"/>
    </row>
    <row r="604" ht="14.25" customHeight="1">
      <c r="A604" s="1116"/>
      <c r="B604" s="1120"/>
      <c r="C604" s="1100"/>
      <c r="D604" s="1100"/>
      <c r="E604" s="1100"/>
      <c r="F604" s="1100"/>
      <c r="G604" s="1100"/>
      <c r="H604" s="1100"/>
      <c r="I604" s="1100"/>
      <c r="J604" s="1100"/>
      <c r="K604" s="1074"/>
      <c r="L604" s="1074"/>
      <c r="M604" s="1074"/>
      <c r="N604" s="1074"/>
      <c r="O604" s="1074"/>
      <c r="P604" s="1074"/>
      <c r="Q604" s="1074"/>
      <c r="R604" s="1074"/>
      <c r="S604" s="1074"/>
      <c r="T604" s="1074"/>
      <c r="U604" s="1074"/>
      <c r="V604" s="1074"/>
      <c r="W604" s="1074"/>
      <c r="X604" s="1074"/>
      <c r="Y604" s="1074"/>
      <c r="Z604" s="1074"/>
      <c r="AA604" s="1074"/>
      <c r="AB604" s="1074"/>
      <c r="AC604" s="1074"/>
      <c r="AD604" s="1074"/>
      <c r="AE604" s="1074"/>
      <c r="AF604" s="1074"/>
      <c r="AG604" s="1074"/>
      <c r="AH604" s="1074"/>
      <c r="AI604" s="1074"/>
      <c r="AJ604" s="1074"/>
      <c r="AK604" s="1074"/>
      <c r="AL604" s="1074"/>
      <c r="AM604" s="1074"/>
      <c r="AN604" s="1074"/>
      <c r="AO604" s="1074"/>
      <c r="AP604" s="1074"/>
      <c r="AQ604" s="1074"/>
      <c r="AR604" s="1074"/>
      <c r="AS604" s="1074"/>
      <c r="AT604" s="1075"/>
    </row>
    <row r="605" ht="14.25" customHeight="1">
      <c r="A605" s="1116"/>
      <c r="B605" s="1120"/>
      <c r="C605" s="1100"/>
      <c r="D605" s="1100"/>
      <c r="E605" s="1100"/>
      <c r="F605" s="1100"/>
      <c r="G605" s="1100"/>
      <c r="H605" s="1100"/>
      <c r="I605" s="1100"/>
      <c r="J605" s="1100"/>
      <c r="K605" s="1074"/>
      <c r="L605" s="1074"/>
      <c r="M605" s="1074"/>
      <c r="N605" s="1074"/>
      <c r="O605" s="1074"/>
      <c r="P605" s="1074"/>
      <c r="Q605" s="1074"/>
      <c r="R605" s="1074"/>
      <c r="S605" s="1074"/>
      <c r="T605" s="1074"/>
      <c r="U605" s="1074"/>
      <c r="V605" s="1074"/>
      <c r="W605" s="1074"/>
      <c r="X605" s="1074"/>
      <c r="Y605" s="1074"/>
      <c r="Z605" s="1074"/>
      <c r="AA605" s="1074"/>
      <c r="AB605" s="1074"/>
      <c r="AC605" s="1074"/>
      <c r="AD605" s="1074"/>
      <c r="AE605" s="1074"/>
      <c r="AF605" s="1074"/>
      <c r="AG605" s="1074"/>
      <c r="AH605" s="1074"/>
      <c r="AI605" s="1074"/>
      <c r="AJ605" s="1074"/>
      <c r="AK605" s="1074"/>
      <c r="AL605" s="1074"/>
      <c r="AM605" s="1074"/>
      <c r="AN605" s="1074"/>
      <c r="AO605" s="1074"/>
      <c r="AP605" s="1074"/>
      <c r="AQ605" s="1074"/>
      <c r="AR605" s="1074"/>
      <c r="AS605" s="1074"/>
      <c r="AT605" s="1075"/>
    </row>
    <row r="606" ht="14.25" customHeight="1">
      <c r="A606" s="1116"/>
      <c r="B606" s="1120"/>
      <c r="C606" s="1100"/>
      <c r="D606" s="1100"/>
      <c r="E606" s="1100"/>
      <c r="F606" s="1100"/>
      <c r="G606" s="1100"/>
      <c r="H606" s="1100"/>
      <c r="I606" s="1100"/>
      <c r="J606" s="1100"/>
      <c r="K606" s="1074"/>
      <c r="L606" s="1074"/>
      <c r="M606" s="1074"/>
      <c r="N606" s="1074"/>
      <c r="O606" s="1074"/>
      <c r="P606" s="1074"/>
      <c r="Q606" s="1074"/>
      <c r="R606" s="1074"/>
      <c r="S606" s="1074"/>
      <c r="T606" s="1074"/>
      <c r="U606" s="1074"/>
      <c r="V606" s="1074"/>
      <c r="W606" s="1074"/>
      <c r="X606" s="1074"/>
      <c r="Y606" s="1074"/>
      <c r="Z606" s="1074"/>
      <c r="AA606" s="1074"/>
      <c r="AB606" s="1074"/>
      <c r="AC606" s="1074"/>
      <c r="AD606" s="1074"/>
      <c r="AE606" s="1074"/>
      <c r="AF606" s="1074"/>
      <c r="AG606" s="1074"/>
      <c r="AH606" s="1074"/>
      <c r="AI606" s="1074"/>
      <c r="AJ606" s="1074"/>
      <c r="AK606" s="1074"/>
      <c r="AL606" s="1074"/>
      <c r="AM606" s="1074"/>
      <c r="AN606" s="1074"/>
      <c r="AO606" s="1074"/>
      <c r="AP606" s="1074"/>
      <c r="AQ606" s="1074"/>
      <c r="AR606" s="1074"/>
      <c r="AS606" s="1074"/>
      <c r="AT606" s="1075"/>
    </row>
    <row r="607" ht="14.25" customHeight="1">
      <c r="A607" s="1116"/>
      <c r="B607" s="1120"/>
      <c r="C607" s="1100"/>
      <c r="D607" s="1100"/>
      <c r="E607" s="1100"/>
      <c r="F607" s="1100"/>
      <c r="G607" s="1100"/>
      <c r="H607" s="1100"/>
      <c r="I607" s="1100"/>
      <c r="J607" s="1100"/>
      <c r="K607" s="1074"/>
      <c r="L607" s="1074"/>
      <c r="M607" s="1074"/>
      <c r="N607" s="1074"/>
      <c r="O607" s="1074"/>
      <c r="P607" s="1074"/>
      <c r="Q607" s="1074"/>
      <c r="R607" s="1074"/>
      <c r="S607" s="1074"/>
      <c r="T607" s="1074"/>
      <c r="U607" s="1074"/>
      <c r="V607" s="1074"/>
      <c r="W607" s="1074"/>
      <c r="X607" s="1074"/>
      <c r="Y607" s="1074"/>
      <c r="Z607" s="1074"/>
      <c r="AA607" s="1074"/>
      <c r="AB607" s="1074"/>
      <c r="AC607" s="1074"/>
      <c r="AD607" s="1074"/>
      <c r="AE607" s="1074"/>
      <c r="AF607" s="1074"/>
      <c r="AG607" s="1074"/>
      <c r="AH607" s="1074"/>
      <c r="AI607" s="1074"/>
      <c r="AJ607" s="1074"/>
      <c r="AK607" s="1074"/>
      <c r="AL607" s="1074"/>
      <c r="AM607" s="1074"/>
      <c r="AN607" s="1074"/>
      <c r="AO607" s="1074"/>
      <c r="AP607" s="1074"/>
      <c r="AQ607" s="1074"/>
      <c r="AR607" s="1074"/>
      <c r="AS607" s="1074"/>
      <c r="AT607" s="1075"/>
    </row>
    <row r="608" ht="14.25" customHeight="1">
      <c r="A608" s="1116"/>
      <c r="B608" s="1120"/>
      <c r="C608" s="1100"/>
      <c r="D608" s="1100"/>
      <c r="E608" s="1100"/>
      <c r="F608" s="1100"/>
      <c r="G608" s="1100"/>
      <c r="H608" s="1100"/>
      <c r="I608" s="1100"/>
      <c r="J608" s="1100"/>
      <c r="K608" s="1074"/>
      <c r="L608" s="1074"/>
      <c r="M608" s="1074"/>
      <c r="N608" s="1074"/>
      <c r="O608" s="1074"/>
      <c r="P608" s="1074"/>
      <c r="Q608" s="1074"/>
      <c r="R608" s="1074"/>
      <c r="S608" s="1074"/>
      <c r="T608" s="1074"/>
      <c r="U608" s="1074"/>
      <c r="V608" s="1074"/>
      <c r="W608" s="1074"/>
      <c r="X608" s="1074"/>
      <c r="Y608" s="1074"/>
      <c r="Z608" s="1074"/>
      <c r="AA608" s="1074"/>
      <c r="AB608" s="1074"/>
      <c r="AC608" s="1074"/>
      <c r="AD608" s="1074"/>
      <c r="AE608" s="1074"/>
      <c r="AF608" s="1074"/>
      <c r="AG608" s="1074"/>
      <c r="AH608" s="1074"/>
      <c r="AI608" s="1074"/>
      <c r="AJ608" s="1074"/>
      <c r="AK608" s="1074"/>
      <c r="AL608" s="1074"/>
      <c r="AM608" s="1074"/>
      <c r="AN608" s="1074"/>
      <c r="AO608" s="1074"/>
      <c r="AP608" s="1074"/>
      <c r="AQ608" s="1074"/>
      <c r="AR608" s="1074"/>
      <c r="AS608" s="1074"/>
      <c r="AT608" s="1075"/>
    </row>
    <row r="609" ht="14.25" customHeight="1">
      <c r="A609" s="1116"/>
      <c r="B609" s="1120"/>
      <c r="C609" s="1100"/>
      <c r="D609" s="1100"/>
      <c r="E609" s="1100"/>
      <c r="F609" s="1100"/>
      <c r="G609" s="1100"/>
      <c r="H609" s="1100"/>
      <c r="I609" s="1100"/>
      <c r="J609" s="1100"/>
      <c r="K609" s="1074"/>
      <c r="L609" s="1074"/>
      <c r="M609" s="1074"/>
      <c r="N609" s="1074"/>
      <c r="O609" s="1074"/>
      <c r="P609" s="1074"/>
      <c r="Q609" s="1074"/>
      <c r="R609" s="1074"/>
      <c r="S609" s="1074"/>
      <c r="T609" s="1074"/>
      <c r="U609" s="1074"/>
      <c r="V609" s="1074"/>
      <c r="W609" s="1074"/>
      <c r="X609" s="1074"/>
      <c r="Y609" s="1074"/>
      <c r="Z609" s="1074"/>
      <c r="AA609" s="1074"/>
      <c r="AB609" s="1074"/>
      <c r="AC609" s="1074"/>
      <c r="AD609" s="1074"/>
      <c r="AE609" s="1074"/>
      <c r="AF609" s="1074"/>
      <c r="AG609" s="1074"/>
      <c r="AH609" s="1074"/>
      <c r="AI609" s="1074"/>
      <c r="AJ609" s="1074"/>
      <c r="AK609" s="1074"/>
      <c r="AL609" s="1074"/>
      <c r="AM609" s="1074"/>
      <c r="AN609" s="1074"/>
      <c r="AO609" s="1074"/>
      <c r="AP609" s="1074"/>
      <c r="AQ609" s="1074"/>
      <c r="AR609" s="1074"/>
      <c r="AS609" s="1074"/>
      <c r="AT609" s="1075"/>
    </row>
    <row r="610" ht="14.25" customHeight="1">
      <c r="A610" s="1116"/>
      <c r="B610" s="1120"/>
      <c r="C610" s="1100"/>
      <c r="D610" s="1100"/>
      <c r="E610" s="1100"/>
      <c r="F610" s="1100"/>
      <c r="G610" s="1100"/>
      <c r="H610" s="1100"/>
      <c r="I610" s="1100"/>
      <c r="J610" s="1100"/>
      <c r="K610" s="1074"/>
      <c r="L610" s="1074"/>
      <c r="M610" s="1074"/>
      <c r="N610" s="1074"/>
      <c r="O610" s="1074"/>
      <c r="P610" s="1074"/>
      <c r="Q610" s="1074"/>
      <c r="R610" s="1074"/>
      <c r="S610" s="1074"/>
      <c r="T610" s="1074"/>
      <c r="U610" s="1074"/>
      <c r="V610" s="1074"/>
      <c r="W610" s="1074"/>
      <c r="X610" s="1074"/>
      <c r="Y610" s="1074"/>
      <c r="Z610" s="1074"/>
      <c r="AA610" s="1074"/>
      <c r="AB610" s="1074"/>
      <c r="AC610" s="1074"/>
      <c r="AD610" s="1074"/>
      <c r="AE610" s="1074"/>
      <c r="AF610" s="1074"/>
      <c r="AG610" s="1074"/>
      <c r="AH610" s="1074"/>
      <c r="AI610" s="1074"/>
      <c r="AJ610" s="1074"/>
      <c r="AK610" s="1074"/>
      <c r="AL610" s="1074"/>
      <c r="AM610" s="1074"/>
      <c r="AN610" s="1074"/>
      <c r="AO610" s="1074"/>
      <c r="AP610" s="1074"/>
      <c r="AQ610" s="1074"/>
      <c r="AR610" s="1074"/>
      <c r="AS610" s="1074"/>
      <c r="AT610" s="1075"/>
    </row>
    <row r="611" ht="14.25" customHeight="1">
      <c r="A611" s="1116"/>
      <c r="B611" s="1120"/>
      <c r="C611" s="1100"/>
      <c r="D611" s="1100"/>
      <c r="E611" s="1100"/>
      <c r="F611" s="1100"/>
      <c r="G611" s="1100"/>
      <c r="H611" s="1100"/>
      <c r="I611" s="1100"/>
      <c r="J611" s="1100"/>
      <c r="K611" s="1074"/>
      <c r="L611" s="1074"/>
      <c r="M611" s="1074"/>
      <c r="N611" s="1074"/>
      <c r="O611" s="1074"/>
      <c r="P611" s="1074"/>
      <c r="Q611" s="1074"/>
      <c r="R611" s="1074"/>
      <c r="S611" s="1074"/>
      <c r="T611" s="1074"/>
      <c r="U611" s="1074"/>
      <c r="V611" s="1074"/>
      <c r="W611" s="1074"/>
      <c r="X611" s="1074"/>
      <c r="Y611" s="1074"/>
      <c r="Z611" s="1074"/>
      <c r="AA611" s="1074"/>
      <c r="AB611" s="1074"/>
      <c r="AC611" s="1074"/>
      <c r="AD611" s="1074"/>
      <c r="AE611" s="1074"/>
      <c r="AF611" s="1074"/>
      <c r="AG611" s="1074"/>
      <c r="AH611" s="1074"/>
      <c r="AI611" s="1074"/>
      <c r="AJ611" s="1074"/>
      <c r="AK611" s="1074"/>
      <c r="AL611" s="1074"/>
      <c r="AM611" s="1074"/>
      <c r="AN611" s="1074"/>
      <c r="AO611" s="1074"/>
      <c r="AP611" s="1074"/>
      <c r="AQ611" s="1074"/>
      <c r="AR611" s="1074"/>
      <c r="AS611" s="1074"/>
      <c r="AT611" s="1075"/>
    </row>
    <row r="612" ht="14.25" customHeight="1">
      <c r="A612" s="1116"/>
      <c r="B612" s="1120"/>
      <c r="C612" s="1100"/>
      <c r="D612" s="1100"/>
      <c r="E612" s="1100"/>
      <c r="F612" s="1100"/>
      <c r="G612" s="1100"/>
      <c r="H612" s="1100"/>
      <c r="I612" s="1100"/>
      <c r="J612" s="1100"/>
      <c r="K612" s="1074"/>
      <c r="L612" s="1074"/>
      <c r="M612" s="1074"/>
      <c r="N612" s="1074"/>
      <c r="O612" s="1074"/>
      <c r="P612" s="1074"/>
      <c r="Q612" s="1074"/>
      <c r="R612" s="1074"/>
      <c r="S612" s="1074"/>
      <c r="T612" s="1074"/>
      <c r="U612" s="1074"/>
      <c r="V612" s="1074"/>
      <c r="W612" s="1074"/>
      <c r="X612" s="1074"/>
      <c r="Y612" s="1074"/>
      <c r="Z612" s="1074"/>
      <c r="AA612" s="1074"/>
      <c r="AB612" s="1074"/>
      <c r="AC612" s="1074"/>
      <c r="AD612" s="1074"/>
      <c r="AE612" s="1074"/>
      <c r="AF612" s="1074"/>
      <c r="AG612" s="1074"/>
      <c r="AH612" s="1074"/>
      <c r="AI612" s="1074"/>
      <c r="AJ612" s="1074"/>
      <c r="AK612" s="1074"/>
      <c r="AL612" s="1074"/>
      <c r="AM612" s="1074"/>
      <c r="AN612" s="1074"/>
      <c r="AO612" s="1074"/>
      <c r="AP612" s="1074"/>
      <c r="AQ612" s="1074"/>
      <c r="AR612" s="1074"/>
      <c r="AS612" s="1074"/>
      <c r="AT612" s="1075"/>
    </row>
    <row r="613" ht="14.25" customHeight="1">
      <c r="A613" s="1116"/>
      <c r="B613" s="1120"/>
      <c r="C613" s="1100"/>
      <c r="D613" s="1100"/>
      <c r="E613" s="1100"/>
      <c r="F613" s="1100"/>
      <c r="G613" s="1100"/>
      <c r="H613" s="1100"/>
      <c r="I613" s="1100"/>
      <c r="J613" s="1100"/>
      <c r="K613" s="1074"/>
      <c r="L613" s="1074"/>
      <c r="M613" s="1074"/>
      <c r="N613" s="1074"/>
      <c r="O613" s="1074"/>
      <c r="P613" s="1074"/>
      <c r="Q613" s="1074"/>
      <c r="R613" s="1074"/>
      <c r="S613" s="1074"/>
      <c r="T613" s="1074"/>
      <c r="U613" s="1074"/>
      <c r="V613" s="1074"/>
      <c r="W613" s="1074"/>
      <c r="X613" s="1074"/>
      <c r="Y613" s="1074"/>
      <c r="Z613" s="1074"/>
      <c r="AA613" s="1074"/>
      <c r="AB613" s="1074"/>
      <c r="AC613" s="1074"/>
      <c r="AD613" s="1074"/>
      <c r="AE613" s="1074"/>
      <c r="AF613" s="1074"/>
      <c r="AG613" s="1074"/>
      <c r="AH613" s="1074"/>
      <c r="AI613" s="1074"/>
      <c r="AJ613" s="1074"/>
      <c r="AK613" s="1074"/>
      <c r="AL613" s="1074"/>
      <c r="AM613" s="1074"/>
      <c r="AN613" s="1074"/>
      <c r="AO613" s="1074"/>
      <c r="AP613" s="1074"/>
      <c r="AQ613" s="1074"/>
      <c r="AR613" s="1074"/>
      <c r="AS613" s="1074"/>
      <c r="AT613" s="1075"/>
    </row>
    <row r="614" ht="14.25" customHeight="1">
      <c r="A614" s="1116"/>
      <c r="B614" s="1120"/>
      <c r="C614" s="1100"/>
      <c r="D614" s="1100"/>
      <c r="E614" s="1100"/>
      <c r="F614" s="1100"/>
      <c r="G614" s="1100"/>
      <c r="H614" s="1100"/>
      <c r="I614" s="1100"/>
      <c r="J614" s="1100"/>
      <c r="K614" s="1074"/>
      <c r="L614" s="1074"/>
      <c r="M614" s="1074"/>
      <c r="N614" s="1074"/>
      <c r="O614" s="1074"/>
      <c r="P614" s="1074"/>
      <c r="Q614" s="1074"/>
      <c r="R614" s="1074"/>
      <c r="S614" s="1074"/>
      <c r="T614" s="1074"/>
      <c r="U614" s="1074"/>
      <c r="V614" s="1074"/>
      <c r="W614" s="1074"/>
      <c r="X614" s="1074"/>
      <c r="Y614" s="1074"/>
      <c r="Z614" s="1074"/>
      <c r="AA614" s="1074"/>
      <c r="AB614" s="1074"/>
      <c r="AC614" s="1074"/>
      <c r="AD614" s="1074"/>
      <c r="AE614" s="1074"/>
      <c r="AF614" s="1074"/>
      <c r="AG614" s="1074"/>
      <c r="AH614" s="1074"/>
      <c r="AI614" s="1074"/>
      <c r="AJ614" s="1074"/>
      <c r="AK614" s="1074"/>
      <c r="AL614" s="1074"/>
      <c r="AM614" s="1074"/>
      <c r="AN614" s="1074"/>
      <c r="AO614" s="1074"/>
      <c r="AP614" s="1074"/>
      <c r="AQ614" s="1074"/>
      <c r="AR614" s="1074"/>
      <c r="AS614" s="1074"/>
      <c r="AT614" s="1075"/>
    </row>
    <row r="615" ht="14.25" customHeight="1">
      <c r="A615" s="1116"/>
      <c r="B615" s="1120"/>
      <c r="C615" s="1100"/>
      <c r="D615" s="1100"/>
      <c r="E615" s="1100"/>
      <c r="F615" s="1100"/>
      <c r="G615" s="1100"/>
      <c r="H615" s="1100"/>
      <c r="I615" s="1100"/>
      <c r="J615" s="1100"/>
      <c r="K615" s="1074"/>
      <c r="L615" s="1074"/>
      <c r="M615" s="1074"/>
      <c r="N615" s="1074"/>
      <c r="O615" s="1074"/>
      <c r="P615" s="1074"/>
      <c r="Q615" s="1074"/>
      <c r="R615" s="1074"/>
      <c r="S615" s="1074"/>
      <c r="T615" s="1074"/>
      <c r="U615" s="1074"/>
      <c r="V615" s="1074"/>
      <c r="W615" s="1074"/>
      <c r="X615" s="1074"/>
      <c r="Y615" s="1074"/>
      <c r="Z615" s="1074"/>
      <c r="AA615" s="1074"/>
      <c r="AB615" s="1074"/>
      <c r="AC615" s="1074"/>
      <c r="AD615" s="1074"/>
      <c r="AE615" s="1074"/>
      <c r="AF615" s="1074"/>
      <c r="AG615" s="1074"/>
      <c r="AH615" s="1074"/>
      <c r="AI615" s="1074"/>
      <c r="AJ615" s="1074"/>
      <c r="AK615" s="1074"/>
      <c r="AL615" s="1074"/>
      <c r="AM615" s="1074"/>
      <c r="AN615" s="1074"/>
      <c r="AO615" s="1074"/>
      <c r="AP615" s="1074"/>
      <c r="AQ615" s="1074"/>
      <c r="AR615" s="1074"/>
      <c r="AS615" s="1074"/>
      <c r="AT615" s="1075"/>
    </row>
    <row r="616" ht="14.25" customHeight="1">
      <c r="A616" s="1116"/>
      <c r="B616" s="1120"/>
      <c r="C616" s="1100"/>
      <c r="D616" s="1100"/>
      <c r="E616" s="1100"/>
      <c r="F616" s="1100"/>
      <c r="G616" s="1100"/>
      <c r="H616" s="1100"/>
      <c r="I616" s="1100"/>
      <c r="J616" s="1100"/>
      <c r="K616" s="1074"/>
      <c r="L616" s="1074"/>
      <c r="M616" s="1074"/>
      <c r="N616" s="1074"/>
      <c r="O616" s="1074"/>
      <c r="P616" s="1074"/>
      <c r="Q616" s="1074"/>
      <c r="R616" s="1074"/>
      <c r="S616" s="1074"/>
      <c r="T616" s="1074"/>
      <c r="U616" s="1074"/>
      <c r="V616" s="1074"/>
      <c r="W616" s="1074"/>
      <c r="X616" s="1074"/>
      <c r="Y616" s="1074"/>
      <c r="Z616" s="1074"/>
      <c r="AA616" s="1074"/>
      <c r="AB616" s="1074"/>
      <c r="AC616" s="1074"/>
      <c r="AD616" s="1074"/>
      <c r="AE616" s="1074"/>
      <c r="AF616" s="1074"/>
      <c r="AG616" s="1074"/>
      <c r="AH616" s="1074"/>
      <c r="AI616" s="1074"/>
      <c r="AJ616" s="1074"/>
      <c r="AK616" s="1074"/>
      <c r="AL616" s="1074"/>
      <c r="AM616" s="1074"/>
      <c r="AN616" s="1074"/>
      <c r="AO616" s="1074"/>
      <c r="AP616" s="1074"/>
      <c r="AQ616" s="1074"/>
      <c r="AR616" s="1074"/>
      <c r="AS616" s="1074"/>
      <c r="AT616" s="1075"/>
    </row>
    <row r="617" ht="14.25" customHeight="1">
      <c r="A617" s="1116"/>
      <c r="B617" s="1120"/>
      <c r="C617" s="1100"/>
      <c r="D617" s="1100"/>
      <c r="E617" s="1100"/>
      <c r="F617" s="1100"/>
      <c r="G617" s="1100"/>
      <c r="H617" s="1100"/>
      <c r="I617" s="1100"/>
      <c r="J617" s="1100"/>
      <c r="K617" s="1074"/>
      <c r="L617" s="1074"/>
      <c r="M617" s="1074"/>
      <c r="N617" s="1074"/>
      <c r="O617" s="1074"/>
      <c r="P617" s="1074"/>
      <c r="Q617" s="1074"/>
      <c r="R617" s="1074"/>
      <c r="S617" s="1074"/>
      <c r="T617" s="1074"/>
      <c r="U617" s="1074"/>
      <c r="V617" s="1074"/>
      <c r="W617" s="1074"/>
      <c r="X617" s="1074"/>
      <c r="Y617" s="1074"/>
      <c r="Z617" s="1074"/>
      <c r="AA617" s="1074"/>
      <c r="AB617" s="1074"/>
      <c r="AC617" s="1074"/>
      <c r="AD617" s="1074"/>
      <c r="AE617" s="1074"/>
      <c r="AF617" s="1074"/>
      <c r="AG617" s="1074"/>
      <c r="AH617" s="1074"/>
      <c r="AI617" s="1074"/>
      <c r="AJ617" s="1074"/>
      <c r="AK617" s="1074"/>
      <c r="AL617" s="1074"/>
      <c r="AM617" s="1074"/>
      <c r="AN617" s="1074"/>
      <c r="AO617" s="1074"/>
      <c r="AP617" s="1074"/>
      <c r="AQ617" s="1074"/>
      <c r="AR617" s="1074"/>
      <c r="AS617" s="1074"/>
      <c r="AT617" s="1075"/>
    </row>
    <row r="618" ht="14.25" customHeight="1">
      <c r="A618" s="1116"/>
      <c r="B618" s="1120"/>
      <c r="C618" s="1100"/>
      <c r="D618" s="1100"/>
      <c r="E618" s="1100"/>
      <c r="F618" s="1100"/>
      <c r="G618" s="1100"/>
      <c r="H618" s="1100"/>
      <c r="I618" s="1100"/>
      <c r="J618" s="1100"/>
      <c r="K618" s="1074"/>
      <c r="L618" s="1074"/>
      <c r="M618" s="1074"/>
      <c r="N618" s="1074"/>
      <c r="O618" s="1074"/>
      <c r="P618" s="1074"/>
      <c r="Q618" s="1074"/>
      <c r="R618" s="1074"/>
      <c r="S618" s="1074"/>
      <c r="T618" s="1074"/>
      <c r="U618" s="1074"/>
      <c r="V618" s="1074"/>
      <c r="W618" s="1074"/>
      <c r="X618" s="1074"/>
      <c r="Y618" s="1074"/>
      <c r="Z618" s="1074"/>
      <c r="AA618" s="1074"/>
      <c r="AB618" s="1074"/>
      <c r="AC618" s="1074"/>
      <c r="AD618" s="1074"/>
      <c r="AE618" s="1074"/>
      <c r="AF618" s="1074"/>
      <c r="AG618" s="1074"/>
      <c r="AH618" s="1074"/>
      <c r="AI618" s="1074"/>
      <c r="AJ618" s="1074"/>
      <c r="AK618" s="1074"/>
      <c r="AL618" s="1074"/>
      <c r="AM618" s="1074"/>
      <c r="AN618" s="1074"/>
      <c r="AO618" s="1074"/>
      <c r="AP618" s="1074"/>
      <c r="AQ618" s="1074"/>
      <c r="AR618" s="1074"/>
      <c r="AS618" s="1074"/>
      <c r="AT618" s="1075"/>
    </row>
    <row r="619" ht="14.25" customHeight="1">
      <c r="A619" s="1116"/>
      <c r="B619" s="1120"/>
      <c r="C619" s="1100"/>
      <c r="D619" s="1100"/>
      <c r="E619" s="1100"/>
      <c r="F619" s="1100"/>
      <c r="G619" s="1100"/>
      <c r="H619" s="1100"/>
      <c r="I619" s="1100"/>
      <c r="J619" s="1100"/>
      <c r="K619" s="1074"/>
      <c r="L619" s="1074"/>
      <c r="M619" s="1074"/>
      <c r="N619" s="1074"/>
      <c r="O619" s="1074"/>
      <c r="P619" s="1074"/>
      <c r="Q619" s="1074"/>
      <c r="R619" s="1074"/>
      <c r="S619" s="1074"/>
      <c r="T619" s="1074"/>
      <c r="U619" s="1074"/>
      <c r="V619" s="1074"/>
      <c r="W619" s="1074"/>
      <c r="X619" s="1074"/>
      <c r="Y619" s="1074"/>
      <c r="Z619" s="1074"/>
      <c r="AA619" s="1074"/>
      <c r="AB619" s="1074"/>
      <c r="AC619" s="1074"/>
      <c r="AD619" s="1074"/>
      <c r="AE619" s="1074"/>
      <c r="AF619" s="1074"/>
      <c r="AG619" s="1074"/>
      <c r="AH619" s="1074"/>
      <c r="AI619" s="1074"/>
      <c r="AJ619" s="1074"/>
      <c r="AK619" s="1074"/>
      <c r="AL619" s="1074"/>
      <c r="AM619" s="1074"/>
      <c r="AN619" s="1074"/>
      <c r="AO619" s="1074"/>
      <c r="AP619" s="1074"/>
      <c r="AQ619" s="1074"/>
      <c r="AR619" s="1074"/>
      <c r="AS619" s="1074"/>
      <c r="AT619" s="1075"/>
    </row>
    <row r="620" ht="14.25" customHeight="1">
      <c r="A620" s="1116"/>
      <c r="B620" s="1120"/>
      <c r="C620" s="1100"/>
      <c r="D620" s="1100"/>
      <c r="E620" s="1100"/>
      <c r="F620" s="1100"/>
      <c r="G620" s="1100"/>
      <c r="H620" s="1100"/>
      <c r="I620" s="1100"/>
      <c r="J620" s="1100"/>
      <c r="K620" s="1074"/>
      <c r="L620" s="1074"/>
      <c r="M620" s="1074"/>
      <c r="N620" s="1074"/>
      <c r="O620" s="1074"/>
      <c r="P620" s="1074"/>
      <c r="Q620" s="1074"/>
      <c r="R620" s="1074"/>
      <c r="S620" s="1074"/>
      <c r="T620" s="1074"/>
      <c r="U620" s="1074"/>
      <c r="V620" s="1074"/>
      <c r="W620" s="1074"/>
      <c r="X620" s="1074"/>
      <c r="Y620" s="1074"/>
      <c r="Z620" s="1074"/>
      <c r="AA620" s="1074"/>
      <c r="AB620" s="1074"/>
      <c r="AC620" s="1074"/>
      <c r="AD620" s="1074"/>
      <c r="AE620" s="1074"/>
      <c r="AF620" s="1074"/>
      <c r="AG620" s="1074"/>
      <c r="AH620" s="1074"/>
      <c r="AI620" s="1074"/>
      <c r="AJ620" s="1074"/>
      <c r="AK620" s="1074"/>
      <c r="AL620" s="1074"/>
      <c r="AM620" s="1074"/>
      <c r="AN620" s="1074"/>
      <c r="AO620" s="1074"/>
      <c r="AP620" s="1074"/>
      <c r="AQ620" s="1074"/>
      <c r="AR620" s="1074"/>
      <c r="AS620" s="1074"/>
      <c r="AT620" s="1075"/>
    </row>
    <row r="621" ht="14.25" customHeight="1">
      <c r="A621" s="1116"/>
      <c r="B621" s="1120"/>
      <c r="C621" s="1100"/>
      <c r="D621" s="1100"/>
      <c r="E621" s="1100"/>
      <c r="F621" s="1100"/>
      <c r="G621" s="1100"/>
      <c r="H621" s="1100"/>
      <c r="I621" s="1100"/>
      <c r="J621" s="1100"/>
      <c r="K621" s="1074"/>
      <c r="L621" s="1074"/>
      <c r="M621" s="1074"/>
      <c r="N621" s="1074"/>
      <c r="O621" s="1074"/>
      <c r="P621" s="1074"/>
      <c r="Q621" s="1074"/>
      <c r="R621" s="1074"/>
      <c r="S621" s="1074"/>
      <c r="T621" s="1074"/>
      <c r="U621" s="1074"/>
      <c r="V621" s="1074"/>
      <c r="W621" s="1074"/>
      <c r="X621" s="1074"/>
      <c r="Y621" s="1074"/>
      <c r="Z621" s="1074"/>
      <c r="AA621" s="1074"/>
      <c r="AB621" s="1074"/>
      <c r="AC621" s="1074"/>
      <c r="AD621" s="1074"/>
      <c r="AE621" s="1074"/>
      <c r="AF621" s="1074"/>
      <c r="AG621" s="1074"/>
      <c r="AH621" s="1074"/>
      <c r="AI621" s="1074"/>
      <c r="AJ621" s="1074"/>
      <c r="AK621" s="1074"/>
      <c r="AL621" s="1074"/>
      <c r="AM621" s="1074"/>
      <c r="AN621" s="1074"/>
      <c r="AO621" s="1074"/>
      <c r="AP621" s="1074"/>
      <c r="AQ621" s="1074"/>
      <c r="AR621" s="1074"/>
      <c r="AS621" s="1074"/>
      <c r="AT621" s="1075"/>
    </row>
    <row r="622" ht="14.25" customHeight="1">
      <c r="A622" s="1116"/>
      <c r="B622" s="1120"/>
      <c r="C622" s="1100"/>
      <c r="D622" s="1100"/>
      <c r="E622" s="1100"/>
      <c r="F622" s="1100"/>
      <c r="G622" s="1100"/>
      <c r="H622" s="1100"/>
      <c r="I622" s="1100"/>
      <c r="J622" s="1100"/>
      <c r="K622" s="1074"/>
      <c r="L622" s="1074"/>
      <c r="M622" s="1074"/>
      <c r="N622" s="1074"/>
      <c r="O622" s="1074"/>
      <c r="P622" s="1074"/>
      <c r="Q622" s="1074"/>
      <c r="R622" s="1074"/>
      <c r="S622" s="1074"/>
      <c r="T622" s="1074"/>
      <c r="U622" s="1074"/>
      <c r="V622" s="1074"/>
      <c r="W622" s="1074"/>
      <c r="X622" s="1074"/>
      <c r="Y622" s="1074"/>
      <c r="Z622" s="1074"/>
      <c r="AA622" s="1074"/>
      <c r="AB622" s="1074"/>
      <c r="AC622" s="1074"/>
      <c r="AD622" s="1074"/>
      <c r="AE622" s="1074"/>
      <c r="AF622" s="1074"/>
      <c r="AG622" s="1074"/>
      <c r="AH622" s="1074"/>
      <c r="AI622" s="1074"/>
      <c r="AJ622" s="1074"/>
      <c r="AK622" s="1074"/>
      <c r="AL622" s="1074"/>
      <c r="AM622" s="1074"/>
      <c r="AN622" s="1074"/>
      <c r="AO622" s="1074"/>
      <c r="AP622" s="1074"/>
      <c r="AQ622" s="1074"/>
      <c r="AR622" s="1074"/>
      <c r="AS622" s="1074"/>
      <c r="AT622" s="1075"/>
    </row>
    <row r="623" ht="14.25" customHeight="1">
      <c r="A623" s="1116"/>
      <c r="B623" s="1120"/>
      <c r="C623" s="1100"/>
      <c r="D623" s="1100"/>
      <c r="E623" s="1100"/>
      <c r="F623" s="1100"/>
      <c r="G623" s="1100"/>
      <c r="H623" s="1100"/>
      <c r="I623" s="1100"/>
      <c r="J623" s="1100"/>
      <c r="K623" s="1074"/>
      <c r="L623" s="1074"/>
      <c r="M623" s="1074"/>
      <c r="N623" s="1074"/>
      <c r="O623" s="1074"/>
      <c r="P623" s="1074"/>
      <c r="Q623" s="1074"/>
      <c r="R623" s="1074"/>
      <c r="S623" s="1074"/>
      <c r="T623" s="1074"/>
      <c r="U623" s="1074"/>
      <c r="V623" s="1074"/>
      <c r="W623" s="1074"/>
      <c r="X623" s="1074"/>
      <c r="Y623" s="1074"/>
      <c r="Z623" s="1074"/>
      <c r="AA623" s="1074"/>
      <c r="AB623" s="1074"/>
      <c r="AC623" s="1074"/>
      <c r="AD623" s="1074"/>
      <c r="AE623" s="1074"/>
      <c r="AF623" s="1074"/>
      <c r="AG623" s="1074"/>
      <c r="AH623" s="1074"/>
      <c r="AI623" s="1074"/>
      <c r="AJ623" s="1074"/>
      <c r="AK623" s="1074"/>
      <c r="AL623" s="1074"/>
      <c r="AM623" s="1074"/>
      <c r="AN623" s="1074"/>
      <c r="AO623" s="1074"/>
      <c r="AP623" s="1074"/>
      <c r="AQ623" s="1074"/>
      <c r="AR623" s="1074"/>
      <c r="AS623" s="1074"/>
      <c r="AT623" s="1075"/>
    </row>
    <row r="624" ht="14.25" customHeight="1">
      <c r="A624" s="1116"/>
      <c r="B624" s="1120"/>
      <c r="C624" s="1100"/>
      <c r="D624" s="1100"/>
      <c r="E624" s="1100"/>
      <c r="F624" s="1100"/>
      <c r="G624" s="1100"/>
      <c r="H624" s="1100"/>
      <c r="I624" s="1100"/>
      <c r="J624" s="1100"/>
      <c r="K624" s="1074"/>
      <c r="L624" s="1074"/>
      <c r="M624" s="1074"/>
      <c r="N624" s="1074"/>
      <c r="O624" s="1074"/>
      <c r="P624" s="1074"/>
      <c r="Q624" s="1074"/>
      <c r="R624" s="1074"/>
      <c r="S624" s="1074"/>
      <c r="T624" s="1074"/>
      <c r="U624" s="1074"/>
      <c r="V624" s="1074"/>
      <c r="W624" s="1074"/>
      <c r="X624" s="1074"/>
      <c r="Y624" s="1074"/>
      <c r="Z624" s="1074"/>
      <c r="AA624" s="1074"/>
      <c r="AB624" s="1074"/>
      <c r="AC624" s="1074"/>
      <c r="AD624" s="1074"/>
      <c r="AE624" s="1074"/>
      <c r="AF624" s="1074"/>
      <c r="AG624" s="1074"/>
      <c r="AH624" s="1074"/>
      <c r="AI624" s="1074"/>
      <c r="AJ624" s="1074"/>
      <c r="AK624" s="1074"/>
      <c r="AL624" s="1074"/>
      <c r="AM624" s="1074"/>
      <c r="AN624" s="1074"/>
      <c r="AO624" s="1074"/>
      <c r="AP624" s="1074"/>
      <c r="AQ624" s="1074"/>
      <c r="AR624" s="1074"/>
      <c r="AS624" s="1074"/>
      <c r="AT624" s="1075"/>
    </row>
    <row r="625" ht="14.25" customHeight="1">
      <c r="A625" s="1116"/>
      <c r="B625" s="1120"/>
      <c r="C625" s="1100"/>
      <c r="D625" s="1100"/>
      <c r="E625" s="1100"/>
      <c r="F625" s="1100"/>
      <c r="G625" s="1100"/>
      <c r="H625" s="1100"/>
      <c r="I625" s="1100"/>
      <c r="J625" s="1100"/>
      <c r="K625" s="1074"/>
      <c r="L625" s="1074"/>
      <c r="M625" s="1074"/>
      <c r="N625" s="1074"/>
      <c r="O625" s="1074"/>
      <c r="P625" s="1074"/>
      <c r="Q625" s="1074"/>
      <c r="R625" s="1074"/>
      <c r="S625" s="1074"/>
      <c r="T625" s="1074"/>
      <c r="U625" s="1074"/>
      <c r="V625" s="1074"/>
      <c r="W625" s="1074"/>
      <c r="X625" s="1074"/>
      <c r="Y625" s="1074"/>
      <c r="Z625" s="1074"/>
      <c r="AA625" s="1074"/>
      <c r="AB625" s="1074"/>
      <c r="AC625" s="1074"/>
      <c r="AD625" s="1074"/>
      <c r="AE625" s="1074"/>
      <c r="AF625" s="1074"/>
      <c r="AG625" s="1074"/>
      <c r="AH625" s="1074"/>
      <c r="AI625" s="1074"/>
      <c r="AJ625" s="1074"/>
      <c r="AK625" s="1074"/>
      <c r="AL625" s="1074"/>
      <c r="AM625" s="1074"/>
      <c r="AN625" s="1074"/>
      <c r="AO625" s="1074"/>
      <c r="AP625" s="1074"/>
      <c r="AQ625" s="1074"/>
      <c r="AR625" s="1074"/>
      <c r="AS625" s="1074"/>
      <c r="AT625" s="1075"/>
    </row>
    <row r="626" ht="14.25" customHeight="1">
      <c r="A626" s="1116"/>
      <c r="B626" s="1120"/>
      <c r="C626" s="1100"/>
      <c r="D626" s="1100"/>
      <c r="E626" s="1100"/>
      <c r="F626" s="1100"/>
      <c r="G626" s="1100"/>
      <c r="H626" s="1100"/>
      <c r="I626" s="1100"/>
      <c r="J626" s="1100"/>
      <c r="K626" s="1074"/>
      <c r="L626" s="1074"/>
      <c r="M626" s="1074"/>
      <c r="N626" s="1074"/>
      <c r="O626" s="1074"/>
      <c r="P626" s="1074"/>
      <c r="Q626" s="1074"/>
      <c r="R626" s="1074"/>
      <c r="S626" s="1074"/>
      <c r="T626" s="1074"/>
      <c r="U626" s="1074"/>
      <c r="V626" s="1074"/>
      <c r="W626" s="1074"/>
      <c r="X626" s="1074"/>
      <c r="Y626" s="1074"/>
      <c r="Z626" s="1074"/>
      <c r="AA626" s="1074"/>
      <c r="AB626" s="1074"/>
      <c r="AC626" s="1074"/>
      <c r="AD626" s="1074"/>
      <c r="AE626" s="1074"/>
      <c r="AF626" s="1074"/>
      <c r="AG626" s="1074"/>
      <c r="AH626" s="1074"/>
      <c r="AI626" s="1074"/>
      <c r="AJ626" s="1074"/>
      <c r="AK626" s="1074"/>
      <c r="AL626" s="1074"/>
      <c r="AM626" s="1074"/>
      <c r="AN626" s="1074"/>
      <c r="AO626" s="1074"/>
      <c r="AP626" s="1074"/>
      <c r="AQ626" s="1074"/>
      <c r="AR626" s="1074"/>
      <c r="AS626" s="1074"/>
      <c r="AT626" s="1075"/>
    </row>
    <row r="627" ht="14.25" customHeight="1">
      <c r="A627" s="1116"/>
      <c r="B627" s="1120"/>
      <c r="C627" s="1100"/>
      <c r="D627" s="1100"/>
      <c r="E627" s="1100"/>
      <c r="F627" s="1100"/>
      <c r="G627" s="1100"/>
      <c r="H627" s="1100"/>
      <c r="I627" s="1100"/>
      <c r="J627" s="1100"/>
      <c r="K627" s="1074"/>
      <c r="L627" s="1074"/>
      <c r="M627" s="1074"/>
      <c r="N627" s="1074"/>
      <c r="O627" s="1074"/>
      <c r="P627" s="1074"/>
      <c r="Q627" s="1074"/>
      <c r="R627" s="1074"/>
      <c r="S627" s="1074"/>
      <c r="T627" s="1074"/>
      <c r="U627" s="1074"/>
      <c r="V627" s="1074"/>
      <c r="W627" s="1074"/>
      <c r="X627" s="1074"/>
      <c r="Y627" s="1074"/>
      <c r="Z627" s="1074"/>
      <c r="AA627" s="1074"/>
      <c r="AB627" s="1074"/>
      <c r="AC627" s="1074"/>
      <c r="AD627" s="1074"/>
      <c r="AE627" s="1074"/>
      <c r="AF627" s="1074"/>
      <c r="AG627" s="1074"/>
      <c r="AH627" s="1074"/>
      <c r="AI627" s="1074"/>
      <c r="AJ627" s="1074"/>
      <c r="AK627" s="1074"/>
      <c r="AL627" s="1074"/>
      <c r="AM627" s="1074"/>
      <c r="AN627" s="1074"/>
      <c r="AO627" s="1074"/>
      <c r="AP627" s="1074"/>
      <c r="AQ627" s="1074"/>
      <c r="AR627" s="1074"/>
      <c r="AS627" s="1074"/>
      <c r="AT627" s="1075"/>
    </row>
    <row r="628" ht="14.25" customHeight="1">
      <c r="A628" s="1116"/>
      <c r="B628" s="1120"/>
      <c r="C628" s="1100"/>
      <c r="D628" s="1100"/>
      <c r="E628" s="1100"/>
      <c r="F628" s="1100"/>
      <c r="G628" s="1100"/>
      <c r="H628" s="1100"/>
      <c r="I628" s="1100"/>
      <c r="J628" s="1100"/>
      <c r="K628" s="1074"/>
      <c r="L628" s="1074"/>
      <c r="M628" s="1074"/>
      <c r="N628" s="1074"/>
      <c r="O628" s="1074"/>
      <c r="P628" s="1074"/>
      <c r="Q628" s="1074"/>
      <c r="R628" s="1074"/>
      <c r="S628" s="1074"/>
      <c r="T628" s="1074"/>
      <c r="U628" s="1074"/>
      <c r="V628" s="1074"/>
      <c r="W628" s="1074"/>
      <c r="X628" s="1074"/>
      <c r="Y628" s="1074"/>
      <c r="Z628" s="1074"/>
      <c r="AA628" s="1074"/>
      <c r="AB628" s="1074"/>
      <c r="AC628" s="1074"/>
      <c r="AD628" s="1074"/>
      <c r="AE628" s="1074"/>
      <c r="AF628" s="1074"/>
      <c r="AG628" s="1074"/>
      <c r="AH628" s="1074"/>
      <c r="AI628" s="1074"/>
      <c r="AJ628" s="1074"/>
      <c r="AK628" s="1074"/>
      <c r="AL628" s="1074"/>
      <c r="AM628" s="1074"/>
      <c r="AN628" s="1074"/>
      <c r="AO628" s="1074"/>
      <c r="AP628" s="1074"/>
      <c r="AQ628" s="1074"/>
      <c r="AR628" s="1074"/>
      <c r="AS628" s="1074"/>
      <c r="AT628" s="1075"/>
    </row>
    <row r="629" ht="14.25" customHeight="1">
      <c r="A629" s="1116"/>
      <c r="B629" s="1120"/>
      <c r="C629" s="1100"/>
      <c r="D629" s="1100"/>
      <c r="E629" s="1100"/>
      <c r="F629" s="1100"/>
      <c r="G629" s="1100"/>
      <c r="H629" s="1100"/>
      <c r="I629" s="1100"/>
      <c r="J629" s="1100"/>
      <c r="K629" s="1074"/>
      <c r="L629" s="1074"/>
      <c r="M629" s="1074"/>
      <c r="N629" s="1074"/>
      <c r="O629" s="1074"/>
      <c r="P629" s="1074"/>
      <c r="Q629" s="1074"/>
      <c r="R629" s="1074"/>
      <c r="S629" s="1074"/>
      <c r="T629" s="1074"/>
      <c r="U629" s="1074"/>
      <c r="V629" s="1074"/>
      <c r="W629" s="1074"/>
      <c r="X629" s="1074"/>
      <c r="Y629" s="1074"/>
      <c r="Z629" s="1074"/>
      <c r="AA629" s="1074"/>
      <c r="AB629" s="1074"/>
      <c r="AC629" s="1074"/>
      <c r="AD629" s="1074"/>
      <c r="AE629" s="1074"/>
      <c r="AF629" s="1074"/>
      <c r="AG629" s="1074"/>
      <c r="AH629" s="1074"/>
      <c r="AI629" s="1074"/>
      <c r="AJ629" s="1074"/>
      <c r="AK629" s="1074"/>
      <c r="AL629" s="1074"/>
      <c r="AM629" s="1074"/>
      <c r="AN629" s="1074"/>
      <c r="AO629" s="1074"/>
      <c r="AP629" s="1074"/>
      <c r="AQ629" s="1074"/>
      <c r="AR629" s="1074"/>
      <c r="AS629" s="1074"/>
      <c r="AT629" s="1075"/>
    </row>
    <row r="630" ht="14.25" customHeight="1">
      <c r="A630" s="1116"/>
      <c r="B630" s="1120"/>
      <c r="C630" s="1100"/>
      <c r="D630" s="1100"/>
      <c r="E630" s="1100"/>
      <c r="F630" s="1100"/>
      <c r="G630" s="1100"/>
      <c r="H630" s="1100"/>
      <c r="I630" s="1100"/>
      <c r="J630" s="1100"/>
      <c r="K630" s="1074"/>
      <c r="L630" s="1074"/>
      <c r="M630" s="1074"/>
      <c r="N630" s="1074"/>
      <c r="O630" s="1074"/>
      <c r="P630" s="1074"/>
      <c r="Q630" s="1074"/>
      <c r="R630" s="1074"/>
      <c r="S630" s="1074"/>
      <c r="T630" s="1074"/>
      <c r="U630" s="1074"/>
      <c r="V630" s="1074"/>
      <c r="W630" s="1074"/>
      <c r="X630" s="1074"/>
      <c r="Y630" s="1074"/>
      <c r="Z630" s="1074"/>
      <c r="AA630" s="1074"/>
      <c r="AB630" s="1074"/>
      <c r="AC630" s="1074"/>
      <c r="AD630" s="1074"/>
      <c r="AE630" s="1074"/>
      <c r="AF630" s="1074"/>
      <c r="AG630" s="1074"/>
      <c r="AH630" s="1074"/>
      <c r="AI630" s="1074"/>
      <c r="AJ630" s="1074"/>
      <c r="AK630" s="1074"/>
      <c r="AL630" s="1074"/>
      <c r="AM630" s="1074"/>
      <c r="AN630" s="1074"/>
      <c r="AO630" s="1074"/>
      <c r="AP630" s="1074"/>
      <c r="AQ630" s="1074"/>
      <c r="AR630" s="1074"/>
      <c r="AS630" s="1074"/>
      <c r="AT630" s="1075"/>
    </row>
    <row r="631" ht="14.25" customHeight="1">
      <c r="A631" s="1116"/>
      <c r="B631" s="1120"/>
      <c r="C631" s="1100"/>
      <c r="D631" s="1100"/>
      <c r="E631" s="1100"/>
      <c r="F631" s="1100"/>
      <c r="G631" s="1100"/>
      <c r="H631" s="1100"/>
      <c r="I631" s="1100"/>
      <c r="J631" s="1100"/>
      <c r="K631" s="1074"/>
      <c r="L631" s="1074"/>
      <c r="M631" s="1074"/>
      <c r="N631" s="1074"/>
      <c r="O631" s="1074"/>
      <c r="P631" s="1074"/>
      <c r="Q631" s="1074"/>
      <c r="R631" s="1074"/>
      <c r="S631" s="1074"/>
      <c r="T631" s="1074"/>
      <c r="U631" s="1074"/>
      <c r="V631" s="1074"/>
      <c r="W631" s="1074"/>
      <c r="X631" s="1074"/>
      <c r="Y631" s="1074"/>
      <c r="Z631" s="1074"/>
      <c r="AA631" s="1074"/>
      <c r="AB631" s="1074"/>
      <c r="AC631" s="1074"/>
      <c r="AD631" s="1074"/>
      <c r="AE631" s="1074"/>
      <c r="AF631" s="1074"/>
      <c r="AG631" s="1074"/>
      <c r="AH631" s="1074"/>
      <c r="AI631" s="1074"/>
      <c r="AJ631" s="1074"/>
      <c r="AK631" s="1074"/>
      <c r="AL631" s="1074"/>
      <c r="AM631" s="1074"/>
      <c r="AN631" s="1074"/>
      <c r="AO631" s="1074"/>
      <c r="AP631" s="1074"/>
      <c r="AQ631" s="1074"/>
      <c r="AR631" s="1074"/>
      <c r="AS631" s="1074"/>
      <c r="AT631" s="1075"/>
    </row>
    <row r="632" ht="14.25" customHeight="1">
      <c r="A632" s="1116"/>
      <c r="B632" s="1120"/>
      <c r="C632" s="1100"/>
      <c r="D632" s="1100"/>
      <c r="E632" s="1100"/>
      <c r="F632" s="1100"/>
      <c r="G632" s="1100"/>
      <c r="H632" s="1100"/>
      <c r="I632" s="1100"/>
      <c r="J632" s="1100"/>
      <c r="K632" s="1074"/>
      <c r="L632" s="1074"/>
      <c r="M632" s="1074"/>
      <c r="N632" s="1074"/>
      <c r="O632" s="1074"/>
      <c r="P632" s="1074"/>
      <c r="Q632" s="1074"/>
      <c r="R632" s="1074"/>
      <c r="S632" s="1074"/>
      <c r="T632" s="1074"/>
      <c r="U632" s="1074"/>
      <c r="V632" s="1074"/>
      <c r="W632" s="1074"/>
      <c r="X632" s="1074"/>
      <c r="Y632" s="1074"/>
      <c r="Z632" s="1074"/>
      <c r="AA632" s="1074"/>
      <c r="AB632" s="1074"/>
      <c r="AC632" s="1074"/>
      <c r="AD632" s="1074"/>
      <c r="AE632" s="1074"/>
      <c r="AF632" s="1074"/>
      <c r="AG632" s="1074"/>
      <c r="AH632" s="1074"/>
      <c r="AI632" s="1074"/>
      <c r="AJ632" s="1074"/>
      <c r="AK632" s="1074"/>
      <c r="AL632" s="1074"/>
      <c r="AM632" s="1074"/>
      <c r="AN632" s="1074"/>
      <c r="AO632" s="1074"/>
      <c r="AP632" s="1074"/>
      <c r="AQ632" s="1074"/>
      <c r="AR632" s="1074"/>
      <c r="AS632" s="1074"/>
      <c r="AT632" s="1075"/>
    </row>
    <row r="633" ht="14.25" customHeight="1">
      <c r="A633" s="1116"/>
      <c r="B633" s="1120"/>
      <c r="C633" s="1100"/>
      <c r="D633" s="1100"/>
      <c r="E633" s="1100"/>
      <c r="F633" s="1100"/>
      <c r="G633" s="1100"/>
      <c r="H633" s="1100"/>
      <c r="I633" s="1100"/>
      <c r="J633" s="1100"/>
      <c r="K633" s="1074"/>
      <c r="L633" s="1074"/>
      <c r="M633" s="1074"/>
      <c r="N633" s="1074"/>
      <c r="O633" s="1074"/>
      <c r="P633" s="1074"/>
      <c r="Q633" s="1074"/>
      <c r="R633" s="1074"/>
      <c r="S633" s="1074"/>
      <c r="T633" s="1074"/>
      <c r="U633" s="1074"/>
      <c r="V633" s="1074"/>
      <c r="W633" s="1074"/>
      <c r="X633" s="1074"/>
      <c r="Y633" s="1074"/>
      <c r="Z633" s="1074"/>
      <c r="AA633" s="1074"/>
      <c r="AB633" s="1074"/>
      <c r="AC633" s="1074"/>
      <c r="AD633" s="1074"/>
      <c r="AE633" s="1074"/>
      <c r="AF633" s="1074"/>
      <c r="AG633" s="1074"/>
      <c r="AH633" s="1074"/>
      <c r="AI633" s="1074"/>
      <c r="AJ633" s="1074"/>
      <c r="AK633" s="1074"/>
      <c r="AL633" s="1074"/>
      <c r="AM633" s="1074"/>
      <c r="AN633" s="1074"/>
      <c r="AO633" s="1074"/>
      <c r="AP633" s="1074"/>
      <c r="AQ633" s="1074"/>
      <c r="AR633" s="1074"/>
      <c r="AS633" s="1074"/>
      <c r="AT633" s="1075"/>
    </row>
    <row r="634" ht="14.25" customHeight="1">
      <c r="A634" s="1116"/>
      <c r="B634" s="1120"/>
      <c r="C634" s="1100"/>
      <c r="D634" s="1100"/>
      <c r="E634" s="1100"/>
      <c r="F634" s="1100"/>
      <c r="G634" s="1100"/>
      <c r="H634" s="1100"/>
      <c r="I634" s="1100"/>
      <c r="J634" s="1100"/>
      <c r="K634" s="1074"/>
      <c r="L634" s="1074"/>
      <c r="M634" s="1074"/>
      <c r="N634" s="1074"/>
      <c r="O634" s="1074"/>
      <c r="P634" s="1074"/>
      <c r="Q634" s="1074"/>
      <c r="R634" s="1074"/>
      <c r="S634" s="1074"/>
      <c r="T634" s="1074"/>
      <c r="U634" s="1074"/>
      <c r="V634" s="1074"/>
      <c r="W634" s="1074"/>
      <c r="X634" s="1074"/>
      <c r="Y634" s="1074"/>
      <c r="Z634" s="1074"/>
      <c r="AA634" s="1074"/>
      <c r="AB634" s="1074"/>
      <c r="AC634" s="1074"/>
      <c r="AD634" s="1074"/>
      <c r="AE634" s="1074"/>
      <c r="AF634" s="1074"/>
      <c r="AG634" s="1074"/>
      <c r="AH634" s="1074"/>
      <c r="AI634" s="1074"/>
      <c r="AJ634" s="1074"/>
      <c r="AK634" s="1074"/>
      <c r="AL634" s="1074"/>
      <c r="AM634" s="1074"/>
      <c r="AN634" s="1074"/>
      <c r="AO634" s="1074"/>
      <c r="AP634" s="1074"/>
      <c r="AQ634" s="1074"/>
      <c r="AR634" s="1074"/>
      <c r="AS634" s="1074"/>
      <c r="AT634" s="1075"/>
    </row>
    <row r="635" ht="14.25" customHeight="1">
      <c r="A635" s="1116"/>
      <c r="B635" s="1120"/>
      <c r="C635" s="1100"/>
      <c r="D635" s="1100"/>
      <c r="E635" s="1100"/>
      <c r="F635" s="1100"/>
      <c r="G635" s="1100"/>
      <c r="H635" s="1100"/>
      <c r="I635" s="1100"/>
      <c r="J635" s="1100"/>
      <c r="K635" s="1074"/>
      <c r="L635" s="1074"/>
      <c r="M635" s="1074"/>
      <c r="N635" s="1074"/>
      <c r="O635" s="1074"/>
      <c r="P635" s="1074"/>
      <c r="Q635" s="1074"/>
      <c r="R635" s="1074"/>
      <c r="S635" s="1074"/>
      <c r="T635" s="1074"/>
      <c r="U635" s="1074"/>
      <c r="V635" s="1074"/>
      <c r="W635" s="1074"/>
      <c r="X635" s="1074"/>
      <c r="Y635" s="1074"/>
      <c r="Z635" s="1074"/>
      <c r="AA635" s="1074"/>
      <c r="AB635" s="1074"/>
      <c r="AC635" s="1074"/>
      <c r="AD635" s="1074"/>
      <c r="AE635" s="1074"/>
      <c r="AF635" s="1074"/>
      <c r="AG635" s="1074"/>
      <c r="AH635" s="1074"/>
      <c r="AI635" s="1074"/>
      <c r="AJ635" s="1074"/>
      <c r="AK635" s="1074"/>
      <c r="AL635" s="1074"/>
      <c r="AM635" s="1074"/>
      <c r="AN635" s="1074"/>
      <c r="AO635" s="1074"/>
      <c r="AP635" s="1074"/>
      <c r="AQ635" s="1074"/>
      <c r="AR635" s="1074"/>
      <c r="AS635" s="1074"/>
      <c r="AT635" s="1075"/>
    </row>
    <row r="636" ht="14.25" customHeight="1">
      <c r="A636" s="1116"/>
      <c r="B636" s="1120"/>
      <c r="C636" s="1100"/>
      <c r="D636" s="1100"/>
      <c r="E636" s="1100"/>
      <c r="F636" s="1100"/>
      <c r="G636" s="1100"/>
      <c r="H636" s="1100"/>
      <c r="I636" s="1100"/>
      <c r="J636" s="1100"/>
      <c r="K636" s="1074"/>
      <c r="L636" s="1074"/>
      <c r="M636" s="1074"/>
      <c r="N636" s="1074"/>
      <c r="O636" s="1074"/>
      <c r="P636" s="1074"/>
      <c r="Q636" s="1074"/>
      <c r="R636" s="1074"/>
      <c r="S636" s="1074"/>
      <c r="T636" s="1074"/>
      <c r="U636" s="1074"/>
      <c r="V636" s="1074"/>
      <c r="W636" s="1074"/>
      <c r="X636" s="1074"/>
      <c r="Y636" s="1074"/>
      <c r="Z636" s="1074"/>
      <c r="AA636" s="1074"/>
      <c r="AB636" s="1074"/>
      <c r="AC636" s="1074"/>
      <c r="AD636" s="1074"/>
      <c r="AE636" s="1074"/>
      <c r="AF636" s="1074"/>
      <c r="AG636" s="1074"/>
      <c r="AH636" s="1074"/>
      <c r="AI636" s="1074"/>
      <c r="AJ636" s="1074"/>
      <c r="AK636" s="1074"/>
      <c r="AL636" s="1074"/>
      <c r="AM636" s="1074"/>
      <c r="AN636" s="1074"/>
      <c r="AO636" s="1074"/>
      <c r="AP636" s="1074"/>
      <c r="AQ636" s="1074"/>
      <c r="AR636" s="1074"/>
      <c r="AS636" s="1074"/>
      <c r="AT636" s="1075"/>
    </row>
    <row r="637" ht="14.25" customHeight="1">
      <c r="A637" s="1116"/>
      <c r="B637" s="1120"/>
      <c r="C637" s="1100"/>
      <c r="D637" s="1100"/>
      <c r="E637" s="1100"/>
      <c r="F637" s="1100"/>
      <c r="G637" s="1100"/>
      <c r="H637" s="1100"/>
      <c r="I637" s="1100"/>
      <c r="J637" s="1100"/>
      <c r="K637" s="1074"/>
      <c r="L637" s="1074"/>
      <c r="M637" s="1074"/>
      <c r="N637" s="1074"/>
      <c r="O637" s="1074"/>
      <c r="P637" s="1074"/>
      <c r="Q637" s="1074"/>
      <c r="R637" s="1074"/>
      <c r="S637" s="1074"/>
      <c r="T637" s="1074"/>
      <c r="U637" s="1074"/>
      <c r="V637" s="1074"/>
      <c r="W637" s="1074"/>
      <c r="X637" s="1074"/>
      <c r="Y637" s="1074"/>
      <c r="Z637" s="1074"/>
      <c r="AA637" s="1074"/>
      <c r="AB637" s="1074"/>
      <c r="AC637" s="1074"/>
      <c r="AD637" s="1074"/>
      <c r="AE637" s="1074"/>
      <c r="AF637" s="1074"/>
      <c r="AG637" s="1074"/>
      <c r="AH637" s="1074"/>
      <c r="AI637" s="1074"/>
      <c r="AJ637" s="1074"/>
      <c r="AK637" s="1074"/>
      <c r="AL637" s="1074"/>
      <c r="AM637" s="1074"/>
      <c r="AN637" s="1074"/>
      <c r="AO637" s="1074"/>
      <c r="AP637" s="1074"/>
      <c r="AQ637" s="1074"/>
      <c r="AR637" s="1074"/>
      <c r="AS637" s="1074"/>
      <c r="AT637" s="1075"/>
    </row>
    <row r="638" ht="14.25" customHeight="1">
      <c r="A638" s="1116"/>
      <c r="B638" s="1120"/>
      <c r="C638" s="1100"/>
      <c r="D638" s="1100"/>
      <c r="E638" s="1100"/>
      <c r="F638" s="1100"/>
      <c r="G638" s="1100"/>
      <c r="H638" s="1100"/>
      <c r="I638" s="1100"/>
      <c r="J638" s="1100"/>
      <c r="K638" s="1074"/>
      <c r="L638" s="1074"/>
      <c r="M638" s="1074"/>
      <c r="N638" s="1074"/>
      <c r="O638" s="1074"/>
      <c r="P638" s="1074"/>
      <c r="Q638" s="1074"/>
      <c r="R638" s="1074"/>
      <c r="S638" s="1074"/>
      <c r="T638" s="1074"/>
      <c r="U638" s="1074"/>
      <c r="V638" s="1074"/>
      <c r="W638" s="1074"/>
      <c r="X638" s="1074"/>
      <c r="Y638" s="1074"/>
      <c r="Z638" s="1074"/>
      <c r="AA638" s="1074"/>
      <c r="AB638" s="1074"/>
      <c r="AC638" s="1074"/>
      <c r="AD638" s="1074"/>
      <c r="AE638" s="1074"/>
      <c r="AF638" s="1074"/>
      <c r="AG638" s="1074"/>
      <c r="AH638" s="1074"/>
      <c r="AI638" s="1074"/>
      <c r="AJ638" s="1074"/>
      <c r="AK638" s="1074"/>
      <c r="AL638" s="1074"/>
      <c r="AM638" s="1074"/>
      <c r="AN638" s="1074"/>
      <c r="AO638" s="1074"/>
      <c r="AP638" s="1074"/>
      <c r="AQ638" s="1074"/>
      <c r="AR638" s="1074"/>
      <c r="AS638" s="1074"/>
      <c r="AT638" s="1075"/>
    </row>
    <row r="639" ht="14.25" customHeight="1">
      <c r="A639" s="1116"/>
      <c r="B639" s="1120"/>
      <c r="C639" s="1100"/>
      <c r="D639" s="1100"/>
      <c r="E639" s="1100"/>
      <c r="F639" s="1100"/>
      <c r="G639" s="1100"/>
      <c r="H639" s="1100"/>
      <c r="I639" s="1100"/>
      <c r="J639" s="1100"/>
      <c r="K639" s="1074"/>
      <c r="L639" s="1074"/>
      <c r="M639" s="1074"/>
      <c r="N639" s="1074"/>
      <c r="O639" s="1074"/>
      <c r="P639" s="1074"/>
      <c r="Q639" s="1074"/>
      <c r="R639" s="1074"/>
      <c r="S639" s="1074"/>
      <c r="T639" s="1074"/>
      <c r="U639" s="1074"/>
      <c r="V639" s="1074"/>
      <c r="W639" s="1074"/>
      <c r="X639" s="1074"/>
      <c r="Y639" s="1074"/>
      <c r="Z639" s="1074"/>
      <c r="AA639" s="1074"/>
      <c r="AB639" s="1074"/>
      <c r="AC639" s="1074"/>
      <c r="AD639" s="1074"/>
      <c r="AE639" s="1074"/>
      <c r="AF639" s="1074"/>
      <c r="AG639" s="1074"/>
      <c r="AH639" s="1074"/>
      <c r="AI639" s="1074"/>
      <c r="AJ639" s="1074"/>
      <c r="AK639" s="1074"/>
      <c r="AL639" s="1074"/>
      <c r="AM639" s="1074"/>
      <c r="AN639" s="1074"/>
      <c r="AO639" s="1074"/>
      <c r="AP639" s="1074"/>
      <c r="AQ639" s="1074"/>
      <c r="AR639" s="1074"/>
      <c r="AS639" s="1074"/>
      <c r="AT639" s="1075"/>
    </row>
    <row r="640" ht="14.25" customHeight="1">
      <c r="A640" s="1116"/>
      <c r="B640" s="1120"/>
      <c r="C640" s="1100"/>
      <c r="D640" s="1100"/>
      <c r="E640" s="1100"/>
      <c r="F640" s="1100"/>
      <c r="G640" s="1100"/>
      <c r="H640" s="1100"/>
      <c r="I640" s="1100"/>
      <c r="J640" s="1100"/>
      <c r="K640" s="1074"/>
      <c r="L640" s="1074"/>
      <c r="M640" s="1074"/>
      <c r="N640" s="1074"/>
      <c r="O640" s="1074"/>
      <c r="P640" s="1074"/>
      <c r="Q640" s="1074"/>
      <c r="R640" s="1074"/>
      <c r="S640" s="1074"/>
      <c r="T640" s="1074"/>
      <c r="U640" s="1074"/>
      <c r="V640" s="1074"/>
      <c r="W640" s="1074"/>
      <c r="X640" s="1074"/>
      <c r="Y640" s="1074"/>
      <c r="Z640" s="1074"/>
      <c r="AA640" s="1074"/>
      <c r="AB640" s="1074"/>
      <c r="AC640" s="1074"/>
      <c r="AD640" s="1074"/>
      <c r="AE640" s="1074"/>
      <c r="AF640" s="1074"/>
      <c r="AG640" s="1074"/>
      <c r="AH640" s="1074"/>
      <c r="AI640" s="1074"/>
      <c r="AJ640" s="1074"/>
      <c r="AK640" s="1074"/>
      <c r="AL640" s="1074"/>
      <c r="AM640" s="1074"/>
      <c r="AN640" s="1074"/>
      <c r="AO640" s="1074"/>
      <c r="AP640" s="1074"/>
      <c r="AQ640" s="1074"/>
      <c r="AR640" s="1074"/>
      <c r="AS640" s="1074"/>
      <c r="AT640" s="1075"/>
    </row>
    <row r="641" ht="14.25" customHeight="1">
      <c r="A641" s="1116"/>
      <c r="B641" s="1120"/>
      <c r="C641" s="1100"/>
      <c r="D641" s="1100"/>
      <c r="E641" s="1100"/>
      <c r="F641" s="1100"/>
      <c r="G641" s="1100"/>
      <c r="H641" s="1100"/>
      <c r="I641" s="1100"/>
      <c r="J641" s="1100"/>
      <c r="K641" s="1074"/>
      <c r="L641" s="1074"/>
      <c r="M641" s="1074"/>
      <c r="N641" s="1074"/>
      <c r="O641" s="1074"/>
      <c r="P641" s="1074"/>
      <c r="Q641" s="1074"/>
      <c r="R641" s="1074"/>
      <c r="S641" s="1074"/>
      <c r="T641" s="1074"/>
      <c r="U641" s="1074"/>
      <c r="V641" s="1074"/>
      <c r="W641" s="1074"/>
      <c r="X641" s="1074"/>
      <c r="Y641" s="1074"/>
      <c r="Z641" s="1074"/>
      <c r="AA641" s="1074"/>
      <c r="AB641" s="1074"/>
      <c r="AC641" s="1074"/>
      <c r="AD641" s="1074"/>
      <c r="AE641" s="1074"/>
      <c r="AF641" s="1074"/>
      <c r="AG641" s="1074"/>
      <c r="AH641" s="1074"/>
      <c r="AI641" s="1074"/>
      <c r="AJ641" s="1074"/>
      <c r="AK641" s="1074"/>
      <c r="AL641" s="1074"/>
      <c r="AM641" s="1074"/>
      <c r="AN641" s="1074"/>
      <c r="AO641" s="1074"/>
      <c r="AP641" s="1074"/>
      <c r="AQ641" s="1074"/>
      <c r="AR641" s="1074"/>
      <c r="AS641" s="1074"/>
      <c r="AT641" s="1075"/>
    </row>
    <row r="642" ht="14.25" customHeight="1">
      <c r="A642" s="1116"/>
      <c r="B642" s="1120"/>
      <c r="C642" s="1100"/>
      <c r="D642" s="1100"/>
      <c r="E642" s="1100"/>
      <c r="F642" s="1100"/>
      <c r="G642" s="1100"/>
      <c r="H642" s="1100"/>
      <c r="I642" s="1100"/>
      <c r="J642" s="1100"/>
      <c r="K642" s="1074"/>
      <c r="L642" s="1074"/>
      <c r="M642" s="1074"/>
      <c r="N642" s="1074"/>
      <c r="O642" s="1074"/>
      <c r="P642" s="1074"/>
      <c r="Q642" s="1074"/>
      <c r="R642" s="1074"/>
      <c r="S642" s="1074"/>
      <c r="T642" s="1074"/>
      <c r="U642" s="1074"/>
      <c r="V642" s="1074"/>
      <c r="W642" s="1074"/>
      <c r="X642" s="1074"/>
      <c r="Y642" s="1074"/>
      <c r="Z642" s="1074"/>
      <c r="AA642" s="1074"/>
      <c r="AB642" s="1074"/>
      <c r="AC642" s="1074"/>
      <c r="AD642" s="1074"/>
      <c r="AE642" s="1074"/>
      <c r="AF642" s="1074"/>
      <c r="AG642" s="1074"/>
      <c r="AH642" s="1074"/>
      <c r="AI642" s="1074"/>
      <c r="AJ642" s="1074"/>
      <c r="AK642" s="1074"/>
      <c r="AL642" s="1074"/>
      <c r="AM642" s="1074"/>
      <c r="AN642" s="1074"/>
      <c r="AO642" s="1074"/>
      <c r="AP642" s="1074"/>
      <c r="AQ642" s="1074"/>
      <c r="AR642" s="1074"/>
      <c r="AS642" s="1074"/>
      <c r="AT642" s="1075"/>
    </row>
    <row r="643" ht="14.25" customHeight="1">
      <c r="A643" s="1116"/>
      <c r="B643" s="1120"/>
      <c r="C643" s="1100"/>
      <c r="D643" s="1100"/>
      <c r="E643" s="1100"/>
      <c r="F643" s="1100"/>
      <c r="G643" s="1100"/>
      <c r="H643" s="1100"/>
      <c r="I643" s="1100"/>
      <c r="J643" s="1100"/>
      <c r="K643" s="1074"/>
      <c r="L643" s="1074"/>
      <c r="M643" s="1074"/>
      <c r="N643" s="1074"/>
      <c r="O643" s="1074"/>
      <c r="P643" s="1074"/>
      <c r="Q643" s="1074"/>
      <c r="R643" s="1074"/>
      <c r="S643" s="1074"/>
      <c r="T643" s="1074"/>
      <c r="U643" s="1074"/>
      <c r="V643" s="1074"/>
      <c r="W643" s="1074"/>
      <c r="X643" s="1074"/>
      <c r="Y643" s="1074"/>
      <c r="Z643" s="1074"/>
      <c r="AA643" s="1074"/>
      <c r="AB643" s="1074"/>
      <c r="AC643" s="1074"/>
      <c r="AD643" s="1074"/>
      <c r="AE643" s="1074"/>
      <c r="AF643" s="1074"/>
      <c r="AG643" s="1074"/>
      <c r="AH643" s="1074"/>
      <c r="AI643" s="1074"/>
      <c r="AJ643" s="1074"/>
      <c r="AK643" s="1074"/>
      <c r="AL643" s="1074"/>
      <c r="AM643" s="1074"/>
      <c r="AN643" s="1074"/>
      <c r="AO643" s="1074"/>
      <c r="AP643" s="1074"/>
      <c r="AQ643" s="1074"/>
      <c r="AR643" s="1074"/>
      <c r="AS643" s="1074"/>
      <c r="AT643" s="1075"/>
    </row>
    <row r="644" ht="14.25" customHeight="1">
      <c r="A644" s="1116"/>
      <c r="B644" s="1120"/>
      <c r="C644" s="1100"/>
      <c r="D644" s="1100"/>
      <c r="E644" s="1100"/>
      <c r="F644" s="1100"/>
      <c r="G644" s="1100"/>
      <c r="H644" s="1100"/>
      <c r="I644" s="1100"/>
      <c r="J644" s="1100"/>
      <c r="K644" s="1074"/>
      <c r="L644" s="1074"/>
      <c r="M644" s="1074"/>
      <c r="N644" s="1074"/>
      <c r="O644" s="1074"/>
      <c r="P644" s="1074"/>
      <c r="Q644" s="1074"/>
      <c r="R644" s="1074"/>
      <c r="S644" s="1074"/>
      <c r="T644" s="1074"/>
      <c r="U644" s="1074"/>
      <c r="V644" s="1074"/>
      <c r="W644" s="1074"/>
      <c r="X644" s="1074"/>
      <c r="Y644" s="1074"/>
      <c r="Z644" s="1074"/>
      <c r="AA644" s="1074"/>
      <c r="AB644" s="1074"/>
      <c r="AC644" s="1074"/>
      <c r="AD644" s="1074"/>
      <c r="AE644" s="1074"/>
      <c r="AF644" s="1074"/>
      <c r="AG644" s="1074"/>
      <c r="AH644" s="1074"/>
      <c r="AI644" s="1074"/>
      <c r="AJ644" s="1074"/>
      <c r="AK644" s="1074"/>
      <c r="AL644" s="1074"/>
      <c r="AM644" s="1074"/>
      <c r="AN644" s="1074"/>
      <c r="AO644" s="1074"/>
      <c r="AP644" s="1074"/>
      <c r="AQ644" s="1074"/>
      <c r="AR644" s="1074"/>
      <c r="AS644" s="1074"/>
      <c r="AT644" s="1075"/>
    </row>
    <row r="645" ht="14.25" customHeight="1">
      <c r="A645" s="1116"/>
      <c r="B645" s="1120"/>
      <c r="C645" s="1100"/>
      <c r="D645" s="1100"/>
      <c r="E645" s="1100"/>
      <c r="F645" s="1100"/>
      <c r="G645" s="1100"/>
      <c r="H645" s="1100"/>
      <c r="I645" s="1100"/>
      <c r="J645" s="1100"/>
      <c r="K645" s="1074"/>
      <c r="L645" s="1074"/>
      <c r="M645" s="1074"/>
      <c r="N645" s="1074"/>
      <c r="O645" s="1074"/>
      <c r="P645" s="1074"/>
      <c r="Q645" s="1074"/>
      <c r="R645" s="1074"/>
      <c r="S645" s="1074"/>
      <c r="T645" s="1074"/>
      <c r="U645" s="1074"/>
      <c r="V645" s="1074"/>
      <c r="W645" s="1074"/>
      <c r="X645" s="1074"/>
      <c r="Y645" s="1074"/>
      <c r="Z645" s="1074"/>
      <c r="AA645" s="1074"/>
      <c r="AB645" s="1074"/>
      <c r="AC645" s="1074"/>
      <c r="AD645" s="1074"/>
      <c r="AE645" s="1074"/>
      <c r="AF645" s="1074"/>
      <c r="AG645" s="1074"/>
      <c r="AH645" s="1074"/>
      <c r="AI645" s="1074"/>
      <c r="AJ645" s="1074"/>
      <c r="AK645" s="1074"/>
      <c r="AL645" s="1074"/>
      <c r="AM645" s="1074"/>
      <c r="AN645" s="1074"/>
      <c r="AO645" s="1074"/>
      <c r="AP645" s="1074"/>
      <c r="AQ645" s="1074"/>
      <c r="AR645" s="1074"/>
      <c r="AS645" s="1074"/>
      <c r="AT645" s="1075"/>
    </row>
    <row r="646" ht="14.25" customHeight="1">
      <c r="A646" s="1116"/>
      <c r="B646" s="1120"/>
      <c r="C646" s="1100"/>
      <c r="D646" s="1100"/>
      <c r="E646" s="1100"/>
      <c r="F646" s="1100"/>
      <c r="G646" s="1100"/>
      <c r="H646" s="1100"/>
      <c r="I646" s="1100"/>
      <c r="J646" s="1100"/>
      <c r="K646" s="1074"/>
      <c r="L646" s="1074"/>
      <c r="M646" s="1074"/>
      <c r="N646" s="1074"/>
      <c r="O646" s="1074"/>
      <c r="P646" s="1074"/>
      <c r="Q646" s="1074"/>
      <c r="R646" s="1074"/>
      <c r="S646" s="1074"/>
      <c r="T646" s="1074"/>
      <c r="U646" s="1074"/>
      <c r="V646" s="1074"/>
      <c r="W646" s="1074"/>
      <c r="X646" s="1074"/>
      <c r="Y646" s="1074"/>
      <c r="Z646" s="1074"/>
      <c r="AA646" s="1074"/>
      <c r="AB646" s="1074"/>
      <c r="AC646" s="1074"/>
      <c r="AD646" s="1074"/>
      <c r="AE646" s="1074"/>
      <c r="AF646" s="1074"/>
      <c r="AG646" s="1074"/>
      <c r="AH646" s="1074"/>
      <c r="AI646" s="1074"/>
      <c r="AJ646" s="1074"/>
      <c r="AK646" s="1074"/>
      <c r="AL646" s="1074"/>
      <c r="AM646" s="1074"/>
      <c r="AN646" s="1074"/>
      <c r="AO646" s="1074"/>
      <c r="AP646" s="1074"/>
      <c r="AQ646" s="1074"/>
      <c r="AR646" s="1074"/>
      <c r="AS646" s="1074"/>
      <c r="AT646" s="1075"/>
    </row>
    <row r="647" ht="14.25" customHeight="1">
      <c r="A647" s="1116"/>
      <c r="B647" s="1120"/>
      <c r="C647" s="1100"/>
      <c r="D647" s="1100"/>
      <c r="E647" s="1100"/>
      <c r="F647" s="1100"/>
      <c r="G647" s="1100"/>
      <c r="H647" s="1100"/>
      <c r="I647" s="1100"/>
      <c r="J647" s="1100"/>
      <c r="K647" s="1074"/>
      <c r="L647" s="1074"/>
      <c r="M647" s="1074"/>
      <c r="N647" s="1074"/>
      <c r="O647" s="1074"/>
      <c r="P647" s="1074"/>
      <c r="Q647" s="1074"/>
      <c r="R647" s="1074"/>
      <c r="S647" s="1074"/>
      <c r="T647" s="1074"/>
      <c r="U647" s="1074"/>
      <c r="V647" s="1074"/>
      <c r="W647" s="1074"/>
      <c r="X647" s="1074"/>
      <c r="Y647" s="1074"/>
      <c r="Z647" s="1074"/>
      <c r="AA647" s="1074"/>
      <c r="AB647" s="1074"/>
      <c r="AC647" s="1074"/>
      <c r="AD647" s="1074"/>
      <c r="AE647" s="1074"/>
      <c r="AF647" s="1074"/>
      <c r="AG647" s="1074"/>
      <c r="AH647" s="1074"/>
      <c r="AI647" s="1074"/>
      <c r="AJ647" s="1074"/>
      <c r="AK647" s="1074"/>
      <c r="AL647" s="1074"/>
      <c r="AM647" s="1074"/>
      <c r="AN647" s="1074"/>
      <c r="AO647" s="1074"/>
      <c r="AP647" s="1074"/>
      <c r="AQ647" s="1074"/>
      <c r="AR647" s="1074"/>
      <c r="AS647" s="1074"/>
      <c r="AT647" s="1075"/>
    </row>
    <row r="648" ht="14.25" customHeight="1">
      <c r="A648" s="1116"/>
      <c r="B648" s="1120"/>
      <c r="C648" s="1100"/>
      <c r="D648" s="1100"/>
      <c r="E648" s="1100"/>
      <c r="F648" s="1100"/>
      <c r="G648" s="1100"/>
      <c r="H648" s="1100"/>
      <c r="I648" s="1100"/>
      <c r="J648" s="1100"/>
      <c r="K648" s="1074"/>
      <c r="L648" s="1074"/>
      <c r="M648" s="1074"/>
      <c r="N648" s="1074"/>
      <c r="O648" s="1074"/>
      <c r="P648" s="1074"/>
      <c r="Q648" s="1074"/>
      <c r="R648" s="1074"/>
      <c r="S648" s="1074"/>
      <c r="T648" s="1074"/>
      <c r="U648" s="1074"/>
      <c r="V648" s="1074"/>
      <c r="W648" s="1074"/>
      <c r="X648" s="1074"/>
      <c r="Y648" s="1074"/>
      <c r="Z648" s="1074"/>
      <c r="AA648" s="1074"/>
      <c r="AB648" s="1074"/>
      <c r="AC648" s="1074"/>
      <c r="AD648" s="1074"/>
      <c r="AE648" s="1074"/>
      <c r="AF648" s="1074"/>
      <c r="AG648" s="1074"/>
      <c r="AH648" s="1074"/>
      <c r="AI648" s="1074"/>
      <c r="AJ648" s="1074"/>
      <c r="AK648" s="1074"/>
      <c r="AL648" s="1074"/>
      <c r="AM648" s="1074"/>
      <c r="AN648" s="1074"/>
      <c r="AO648" s="1074"/>
      <c r="AP648" s="1074"/>
      <c r="AQ648" s="1074"/>
      <c r="AR648" s="1074"/>
      <c r="AS648" s="1074"/>
      <c r="AT648" s="1075"/>
    </row>
    <row r="649" ht="14.25" customHeight="1">
      <c r="A649" s="1116"/>
      <c r="B649" s="1120"/>
      <c r="C649" s="1100"/>
      <c r="D649" s="1100"/>
      <c r="E649" s="1100"/>
      <c r="F649" s="1100"/>
      <c r="G649" s="1100"/>
      <c r="H649" s="1100"/>
      <c r="I649" s="1100"/>
      <c r="J649" s="1100"/>
      <c r="K649" s="1074"/>
      <c r="L649" s="1074"/>
      <c r="M649" s="1074"/>
      <c r="N649" s="1074"/>
      <c r="O649" s="1074"/>
      <c r="P649" s="1074"/>
      <c r="Q649" s="1074"/>
      <c r="R649" s="1074"/>
      <c r="S649" s="1074"/>
      <c r="T649" s="1074"/>
      <c r="U649" s="1074"/>
      <c r="V649" s="1074"/>
      <c r="W649" s="1074"/>
      <c r="X649" s="1074"/>
      <c r="Y649" s="1074"/>
      <c r="Z649" s="1074"/>
      <c r="AA649" s="1074"/>
      <c r="AB649" s="1074"/>
      <c r="AC649" s="1074"/>
      <c r="AD649" s="1074"/>
      <c r="AE649" s="1074"/>
      <c r="AF649" s="1074"/>
      <c r="AG649" s="1074"/>
      <c r="AH649" s="1074"/>
      <c r="AI649" s="1074"/>
      <c r="AJ649" s="1074"/>
      <c r="AK649" s="1074"/>
      <c r="AL649" s="1074"/>
      <c r="AM649" s="1074"/>
      <c r="AN649" s="1074"/>
      <c r="AO649" s="1074"/>
      <c r="AP649" s="1074"/>
      <c r="AQ649" s="1074"/>
      <c r="AR649" s="1074"/>
      <c r="AS649" s="1074"/>
      <c r="AT649" s="1075"/>
    </row>
    <row r="650" ht="14.25" customHeight="1">
      <c r="A650" s="1116"/>
      <c r="B650" s="1120"/>
      <c r="C650" s="1100"/>
      <c r="D650" s="1100"/>
      <c r="E650" s="1100"/>
      <c r="F650" s="1100"/>
      <c r="G650" s="1100"/>
      <c r="H650" s="1100"/>
      <c r="I650" s="1100"/>
      <c r="J650" s="1100"/>
      <c r="K650" s="1074"/>
      <c r="L650" s="1074"/>
      <c r="M650" s="1074"/>
      <c r="N650" s="1074"/>
      <c r="O650" s="1074"/>
      <c r="P650" s="1074"/>
      <c r="Q650" s="1074"/>
      <c r="R650" s="1074"/>
      <c r="S650" s="1074"/>
      <c r="T650" s="1074"/>
      <c r="U650" s="1074"/>
      <c r="V650" s="1074"/>
      <c r="W650" s="1074"/>
      <c r="X650" s="1074"/>
      <c r="Y650" s="1074"/>
      <c r="Z650" s="1074"/>
      <c r="AA650" s="1074"/>
      <c r="AB650" s="1074"/>
      <c r="AC650" s="1074"/>
      <c r="AD650" s="1074"/>
      <c r="AE650" s="1074"/>
      <c r="AF650" s="1074"/>
      <c r="AG650" s="1074"/>
      <c r="AH650" s="1074"/>
      <c r="AI650" s="1074"/>
      <c r="AJ650" s="1074"/>
      <c r="AK650" s="1074"/>
      <c r="AL650" s="1074"/>
      <c r="AM650" s="1074"/>
      <c r="AN650" s="1074"/>
      <c r="AO650" s="1074"/>
      <c r="AP650" s="1074"/>
      <c r="AQ650" s="1074"/>
      <c r="AR650" s="1074"/>
      <c r="AS650" s="1074"/>
      <c r="AT650" s="1075"/>
    </row>
    <row r="651" ht="14.25" customHeight="1">
      <c r="A651" s="1116"/>
      <c r="B651" s="1120"/>
      <c r="C651" s="1100"/>
      <c r="D651" s="1100"/>
      <c r="E651" s="1100"/>
      <c r="F651" s="1100"/>
      <c r="G651" s="1100"/>
      <c r="H651" s="1100"/>
      <c r="I651" s="1100"/>
      <c r="J651" s="1100"/>
      <c r="K651" s="1074"/>
      <c r="L651" s="1074"/>
      <c r="M651" s="1074"/>
      <c r="N651" s="1074"/>
      <c r="O651" s="1074"/>
      <c r="P651" s="1074"/>
      <c r="Q651" s="1074"/>
      <c r="R651" s="1074"/>
      <c r="S651" s="1074"/>
      <c r="T651" s="1074"/>
      <c r="U651" s="1074"/>
      <c r="V651" s="1074"/>
      <c r="W651" s="1074"/>
      <c r="X651" s="1074"/>
      <c r="Y651" s="1074"/>
      <c r="Z651" s="1074"/>
      <c r="AA651" s="1074"/>
      <c r="AB651" s="1074"/>
      <c r="AC651" s="1074"/>
      <c r="AD651" s="1074"/>
      <c r="AE651" s="1074"/>
      <c r="AF651" s="1074"/>
      <c r="AG651" s="1074"/>
      <c r="AH651" s="1074"/>
      <c r="AI651" s="1074"/>
      <c r="AJ651" s="1074"/>
      <c r="AK651" s="1074"/>
      <c r="AL651" s="1074"/>
      <c r="AM651" s="1074"/>
      <c r="AN651" s="1074"/>
      <c r="AO651" s="1074"/>
      <c r="AP651" s="1074"/>
      <c r="AQ651" s="1074"/>
      <c r="AR651" s="1074"/>
      <c r="AS651" s="1074"/>
      <c r="AT651" s="1075"/>
    </row>
    <row r="652" ht="14.25" customHeight="1">
      <c r="A652" s="1116"/>
      <c r="B652" s="1120"/>
      <c r="C652" s="1100"/>
      <c r="D652" s="1100"/>
      <c r="E652" s="1100"/>
      <c r="F652" s="1100"/>
      <c r="G652" s="1100"/>
      <c r="H652" s="1100"/>
      <c r="I652" s="1100"/>
      <c r="J652" s="1100"/>
      <c r="K652" s="1074"/>
      <c r="L652" s="1074"/>
      <c r="M652" s="1074"/>
      <c r="N652" s="1074"/>
      <c r="O652" s="1074"/>
      <c r="P652" s="1074"/>
      <c r="Q652" s="1074"/>
      <c r="R652" s="1074"/>
      <c r="S652" s="1074"/>
      <c r="T652" s="1074"/>
      <c r="U652" s="1074"/>
      <c r="V652" s="1074"/>
      <c r="W652" s="1074"/>
      <c r="X652" s="1074"/>
      <c r="Y652" s="1074"/>
      <c r="Z652" s="1074"/>
      <c r="AA652" s="1074"/>
      <c r="AB652" s="1074"/>
      <c r="AC652" s="1074"/>
      <c r="AD652" s="1074"/>
      <c r="AE652" s="1074"/>
      <c r="AF652" s="1074"/>
      <c r="AG652" s="1074"/>
      <c r="AH652" s="1074"/>
      <c r="AI652" s="1074"/>
      <c r="AJ652" s="1074"/>
      <c r="AK652" s="1074"/>
      <c r="AL652" s="1074"/>
      <c r="AM652" s="1074"/>
      <c r="AN652" s="1074"/>
      <c r="AO652" s="1074"/>
      <c r="AP652" s="1074"/>
      <c r="AQ652" s="1074"/>
      <c r="AR652" s="1074"/>
      <c r="AS652" s="1074"/>
      <c r="AT652" s="1075"/>
    </row>
    <row r="653" ht="14.25" customHeight="1">
      <c r="A653" s="1116"/>
      <c r="B653" s="1120"/>
      <c r="C653" s="1100"/>
      <c r="D653" s="1100"/>
      <c r="E653" s="1100"/>
      <c r="F653" s="1100"/>
      <c r="G653" s="1100"/>
      <c r="H653" s="1100"/>
      <c r="I653" s="1100"/>
      <c r="J653" s="1100"/>
      <c r="K653" s="1074"/>
      <c r="L653" s="1074"/>
      <c r="M653" s="1074"/>
      <c r="N653" s="1074"/>
      <c r="O653" s="1074"/>
      <c r="P653" s="1074"/>
      <c r="Q653" s="1074"/>
      <c r="R653" s="1074"/>
      <c r="S653" s="1074"/>
      <c r="T653" s="1074"/>
      <c r="U653" s="1074"/>
      <c r="V653" s="1074"/>
      <c r="W653" s="1074"/>
      <c r="X653" s="1074"/>
      <c r="Y653" s="1074"/>
      <c r="Z653" s="1074"/>
      <c r="AA653" s="1074"/>
      <c r="AB653" s="1074"/>
      <c r="AC653" s="1074"/>
      <c r="AD653" s="1074"/>
      <c r="AE653" s="1074"/>
      <c r="AF653" s="1074"/>
      <c r="AG653" s="1074"/>
      <c r="AH653" s="1074"/>
      <c r="AI653" s="1074"/>
      <c r="AJ653" s="1074"/>
      <c r="AK653" s="1074"/>
      <c r="AL653" s="1074"/>
      <c r="AM653" s="1074"/>
      <c r="AN653" s="1074"/>
      <c r="AO653" s="1074"/>
      <c r="AP653" s="1074"/>
      <c r="AQ653" s="1074"/>
      <c r="AR653" s="1074"/>
      <c r="AS653" s="1074"/>
      <c r="AT653" s="1075"/>
    </row>
    <row r="654" ht="14.25" customHeight="1">
      <c r="A654" s="1116"/>
      <c r="B654" s="1120"/>
      <c r="C654" s="1100"/>
      <c r="D654" s="1100"/>
      <c r="E654" s="1100"/>
      <c r="F654" s="1100"/>
      <c r="G654" s="1100"/>
      <c r="H654" s="1100"/>
      <c r="I654" s="1100"/>
      <c r="J654" s="1100"/>
      <c r="K654" s="1074"/>
      <c r="L654" s="1074"/>
      <c r="M654" s="1074"/>
      <c r="N654" s="1074"/>
      <c r="O654" s="1074"/>
      <c r="P654" s="1074"/>
      <c r="Q654" s="1074"/>
      <c r="R654" s="1074"/>
      <c r="S654" s="1074"/>
      <c r="T654" s="1074"/>
      <c r="U654" s="1074"/>
      <c r="V654" s="1074"/>
      <c r="W654" s="1074"/>
      <c r="X654" s="1074"/>
      <c r="Y654" s="1074"/>
      <c r="Z654" s="1074"/>
      <c r="AA654" s="1074"/>
      <c r="AB654" s="1074"/>
      <c r="AC654" s="1074"/>
      <c r="AD654" s="1074"/>
      <c r="AE654" s="1074"/>
      <c r="AF654" s="1074"/>
      <c r="AG654" s="1074"/>
      <c r="AH654" s="1074"/>
      <c r="AI654" s="1074"/>
      <c r="AJ654" s="1074"/>
      <c r="AK654" s="1074"/>
      <c r="AL654" s="1074"/>
      <c r="AM654" s="1074"/>
      <c r="AN654" s="1074"/>
      <c r="AO654" s="1074"/>
      <c r="AP654" s="1074"/>
      <c r="AQ654" s="1074"/>
      <c r="AR654" s="1074"/>
      <c r="AS654" s="1074"/>
      <c r="AT654" s="1075"/>
    </row>
    <row r="655" ht="14.25" customHeight="1">
      <c r="A655" s="1116"/>
      <c r="B655" s="1120"/>
      <c r="C655" s="1100"/>
      <c r="D655" s="1100"/>
      <c r="E655" s="1100"/>
      <c r="F655" s="1100"/>
      <c r="G655" s="1100"/>
      <c r="H655" s="1100"/>
      <c r="I655" s="1100"/>
      <c r="J655" s="1100"/>
      <c r="K655" s="1074"/>
      <c r="L655" s="1074"/>
      <c r="M655" s="1074"/>
      <c r="N655" s="1074"/>
      <c r="O655" s="1074"/>
      <c r="P655" s="1074"/>
      <c r="Q655" s="1074"/>
      <c r="R655" s="1074"/>
      <c r="S655" s="1074"/>
      <c r="T655" s="1074"/>
      <c r="U655" s="1074"/>
      <c r="V655" s="1074"/>
      <c r="W655" s="1074"/>
      <c r="X655" s="1074"/>
      <c r="Y655" s="1074"/>
      <c r="Z655" s="1074"/>
      <c r="AA655" s="1074"/>
      <c r="AB655" s="1074"/>
      <c r="AC655" s="1074"/>
      <c r="AD655" s="1074"/>
      <c r="AE655" s="1074"/>
      <c r="AF655" s="1074"/>
      <c r="AG655" s="1074"/>
      <c r="AH655" s="1074"/>
      <c r="AI655" s="1074"/>
      <c r="AJ655" s="1074"/>
      <c r="AK655" s="1074"/>
      <c r="AL655" s="1074"/>
      <c r="AM655" s="1074"/>
      <c r="AN655" s="1074"/>
      <c r="AO655" s="1074"/>
      <c r="AP655" s="1074"/>
      <c r="AQ655" s="1074"/>
      <c r="AR655" s="1074"/>
      <c r="AS655" s="1074"/>
      <c r="AT655" s="1075"/>
    </row>
    <row r="656" ht="14.25" customHeight="1">
      <c r="A656" s="1116"/>
      <c r="B656" s="1120"/>
      <c r="C656" s="1100"/>
      <c r="D656" s="1100"/>
      <c r="E656" s="1100"/>
      <c r="F656" s="1100"/>
      <c r="G656" s="1100"/>
      <c r="H656" s="1100"/>
      <c r="I656" s="1100"/>
      <c r="J656" s="1100"/>
      <c r="K656" s="1074"/>
      <c r="L656" s="1074"/>
      <c r="M656" s="1074"/>
      <c r="N656" s="1074"/>
      <c r="O656" s="1074"/>
      <c r="P656" s="1074"/>
      <c r="Q656" s="1074"/>
      <c r="R656" s="1074"/>
      <c r="S656" s="1074"/>
      <c r="T656" s="1074"/>
      <c r="U656" s="1074"/>
      <c r="V656" s="1074"/>
      <c r="W656" s="1074"/>
      <c r="X656" s="1074"/>
      <c r="Y656" s="1074"/>
      <c r="Z656" s="1074"/>
      <c r="AA656" s="1074"/>
      <c r="AB656" s="1074"/>
      <c r="AC656" s="1074"/>
      <c r="AD656" s="1074"/>
      <c r="AE656" s="1074"/>
      <c r="AF656" s="1074"/>
      <c r="AG656" s="1074"/>
      <c r="AH656" s="1074"/>
      <c r="AI656" s="1074"/>
      <c r="AJ656" s="1074"/>
      <c r="AK656" s="1074"/>
      <c r="AL656" s="1074"/>
      <c r="AM656" s="1074"/>
      <c r="AN656" s="1074"/>
      <c r="AO656" s="1074"/>
      <c r="AP656" s="1074"/>
      <c r="AQ656" s="1074"/>
      <c r="AR656" s="1074"/>
      <c r="AS656" s="1074"/>
      <c r="AT656" s="1075"/>
    </row>
    <row r="657" ht="14.25" customHeight="1">
      <c r="A657" s="1116"/>
      <c r="B657" s="1120"/>
      <c r="C657" s="1100"/>
      <c r="D657" s="1100"/>
      <c r="E657" s="1100"/>
      <c r="F657" s="1100"/>
      <c r="G657" s="1100"/>
      <c r="H657" s="1100"/>
      <c r="I657" s="1100"/>
      <c r="J657" s="1100"/>
      <c r="K657" s="1074"/>
      <c r="L657" s="1074"/>
      <c r="M657" s="1074"/>
      <c r="N657" s="1074"/>
      <c r="O657" s="1074"/>
      <c r="P657" s="1074"/>
      <c r="Q657" s="1074"/>
      <c r="R657" s="1074"/>
      <c r="S657" s="1074"/>
      <c r="T657" s="1074"/>
      <c r="U657" s="1074"/>
      <c r="V657" s="1074"/>
      <c r="W657" s="1074"/>
      <c r="X657" s="1074"/>
      <c r="Y657" s="1074"/>
      <c r="Z657" s="1074"/>
      <c r="AA657" s="1074"/>
      <c r="AB657" s="1074"/>
      <c r="AC657" s="1074"/>
      <c r="AD657" s="1074"/>
      <c r="AE657" s="1074"/>
      <c r="AF657" s="1074"/>
      <c r="AG657" s="1074"/>
      <c r="AH657" s="1074"/>
      <c r="AI657" s="1074"/>
      <c r="AJ657" s="1074"/>
      <c r="AK657" s="1074"/>
      <c r="AL657" s="1074"/>
      <c r="AM657" s="1074"/>
      <c r="AN657" s="1074"/>
      <c r="AO657" s="1074"/>
      <c r="AP657" s="1074"/>
      <c r="AQ657" s="1074"/>
      <c r="AR657" s="1074"/>
      <c r="AS657" s="1074"/>
      <c r="AT657" s="1075"/>
    </row>
    <row r="658" ht="14.25" customHeight="1">
      <c r="A658" s="1116"/>
      <c r="B658" s="1120"/>
      <c r="C658" s="1100"/>
      <c r="D658" s="1100"/>
      <c r="E658" s="1100"/>
      <c r="F658" s="1100"/>
      <c r="G658" s="1100"/>
      <c r="H658" s="1100"/>
      <c r="I658" s="1100"/>
      <c r="J658" s="1100"/>
      <c r="K658" s="1074"/>
      <c r="L658" s="1074"/>
      <c r="M658" s="1074"/>
      <c r="N658" s="1074"/>
      <c r="O658" s="1074"/>
      <c r="P658" s="1074"/>
      <c r="Q658" s="1074"/>
      <c r="R658" s="1074"/>
      <c r="S658" s="1074"/>
      <c r="T658" s="1074"/>
      <c r="U658" s="1074"/>
      <c r="V658" s="1074"/>
      <c r="W658" s="1074"/>
      <c r="X658" s="1074"/>
      <c r="Y658" s="1074"/>
      <c r="Z658" s="1074"/>
      <c r="AA658" s="1074"/>
      <c r="AB658" s="1074"/>
      <c r="AC658" s="1074"/>
      <c r="AD658" s="1074"/>
      <c r="AE658" s="1074"/>
      <c r="AF658" s="1074"/>
      <c r="AG658" s="1074"/>
      <c r="AH658" s="1074"/>
      <c r="AI658" s="1074"/>
      <c r="AJ658" s="1074"/>
      <c r="AK658" s="1074"/>
      <c r="AL658" s="1074"/>
      <c r="AM658" s="1074"/>
      <c r="AN658" s="1074"/>
      <c r="AO658" s="1074"/>
      <c r="AP658" s="1074"/>
      <c r="AQ658" s="1074"/>
      <c r="AR658" s="1074"/>
      <c r="AS658" s="1074"/>
      <c r="AT658" s="1075"/>
    </row>
    <row r="659" ht="14.25" customHeight="1">
      <c r="A659" s="1116"/>
      <c r="B659" s="1120"/>
      <c r="C659" s="1100"/>
      <c r="D659" s="1100"/>
      <c r="E659" s="1100"/>
      <c r="F659" s="1100"/>
      <c r="G659" s="1100"/>
      <c r="H659" s="1100"/>
      <c r="I659" s="1100"/>
      <c r="J659" s="1100"/>
      <c r="K659" s="1074"/>
      <c r="L659" s="1074"/>
      <c r="M659" s="1074"/>
      <c r="N659" s="1074"/>
      <c r="O659" s="1074"/>
      <c r="P659" s="1074"/>
      <c r="Q659" s="1074"/>
      <c r="R659" s="1074"/>
      <c r="S659" s="1074"/>
      <c r="T659" s="1074"/>
      <c r="U659" s="1074"/>
      <c r="V659" s="1074"/>
      <c r="W659" s="1074"/>
      <c r="X659" s="1074"/>
      <c r="Y659" s="1074"/>
      <c r="Z659" s="1074"/>
      <c r="AA659" s="1074"/>
      <c r="AB659" s="1074"/>
      <c r="AC659" s="1074"/>
      <c r="AD659" s="1074"/>
      <c r="AE659" s="1074"/>
      <c r="AF659" s="1074"/>
      <c r="AG659" s="1074"/>
      <c r="AH659" s="1074"/>
      <c r="AI659" s="1074"/>
      <c r="AJ659" s="1074"/>
      <c r="AK659" s="1074"/>
      <c r="AL659" s="1074"/>
      <c r="AM659" s="1074"/>
      <c r="AN659" s="1074"/>
      <c r="AO659" s="1074"/>
      <c r="AP659" s="1074"/>
      <c r="AQ659" s="1074"/>
      <c r="AR659" s="1074"/>
      <c r="AS659" s="1074"/>
      <c r="AT659" s="1075"/>
    </row>
    <row r="660" ht="14.25" customHeight="1">
      <c r="A660" s="1116"/>
      <c r="B660" s="1120"/>
      <c r="C660" s="1100"/>
      <c r="D660" s="1100"/>
      <c r="E660" s="1100"/>
      <c r="F660" s="1100"/>
      <c r="G660" s="1100"/>
      <c r="H660" s="1100"/>
      <c r="I660" s="1100"/>
      <c r="J660" s="1100"/>
      <c r="K660" s="1074"/>
      <c r="L660" s="1074"/>
      <c r="M660" s="1074"/>
      <c r="N660" s="1074"/>
      <c r="O660" s="1074"/>
      <c r="P660" s="1074"/>
      <c r="Q660" s="1074"/>
      <c r="R660" s="1074"/>
      <c r="S660" s="1074"/>
      <c r="T660" s="1074"/>
      <c r="U660" s="1074"/>
      <c r="V660" s="1074"/>
      <c r="W660" s="1074"/>
      <c r="X660" s="1074"/>
      <c r="Y660" s="1074"/>
      <c r="Z660" s="1074"/>
      <c r="AA660" s="1074"/>
      <c r="AB660" s="1074"/>
      <c r="AC660" s="1074"/>
      <c r="AD660" s="1074"/>
      <c r="AE660" s="1074"/>
      <c r="AF660" s="1074"/>
      <c r="AG660" s="1074"/>
      <c r="AH660" s="1074"/>
      <c r="AI660" s="1074"/>
      <c r="AJ660" s="1074"/>
      <c r="AK660" s="1074"/>
      <c r="AL660" s="1074"/>
      <c r="AM660" s="1074"/>
      <c r="AN660" s="1074"/>
      <c r="AO660" s="1074"/>
      <c r="AP660" s="1074"/>
      <c r="AQ660" s="1074"/>
      <c r="AR660" s="1074"/>
      <c r="AS660" s="1074"/>
      <c r="AT660" s="1075"/>
    </row>
    <row r="661" ht="14.25" customHeight="1">
      <c r="A661" s="1116"/>
      <c r="B661" s="1120"/>
      <c r="C661" s="1100"/>
      <c r="D661" s="1100"/>
      <c r="E661" s="1100"/>
      <c r="F661" s="1100"/>
      <c r="G661" s="1100"/>
      <c r="H661" s="1100"/>
      <c r="I661" s="1100"/>
      <c r="J661" s="1100"/>
      <c r="K661" s="1074"/>
      <c r="L661" s="1074"/>
      <c r="M661" s="1074"/>
      <c r="N661" s="1074"/>
      <c r="O661" s="1074"/>
      <c r="P661" s="1074"/>
      <c r="Q661" s="1074"/>
      <c r="R661" s="1074"/>
      <c r="S661" s="1074"/>
      <c r="T661" s="1074"/>
      <c r="U661" s="1074"/>
      <c r="V661" s="1074"/>
      <c r="W661" s="1074"/>
      <c r="X661" s="1074"/>
      <c r="Y661" s="1074"/>
      <c r="Z661" s="1074"/>
      <c r="AA661" s="1074"/>
      <c r="AB661" s="1074"/>
      <c r="AC661" s="1074"/>
      <c r="AD661" s="1074"/>
      <c r="AE661" s="1074"/>
      <c r="AF661" s="1074"/>
      <c r="AG661" s="1074"/>
      <c r="AH661" s="1074"/>
      <c r="AI661" s="1074"/>
      <c r="AJ661" s="1074"/>
      <c r="AK661" s="1074"/>
      <c r="AL661" s="1074"/>
      <c r="AM661" s="1074"/>
      <c r="AN661" s="1074"/>
      <c r="AO661" s="1074"/>
      <c r="AP661" s="1074"/>
      <c r="AQ661" s="1074"/>
      <c r="AR661" s="1074"/>
      <c r="AS661" s="1074"/>
      <c r="AT661" s="1075"/>
    </row>
    <row r="662" ht="14.25" customHeight="1">
      <c r="A662" s="1116"/>
      <c r="B662" s="1120"/>
      <c r="C662" s="1100"/>
      <c r="D662" s="1100"/>
      <c r="E662" s="1100"/>
      <c r="F662" s="1100"/>
      <c r="G662" s="1100"/>
      <c r="H662" s="1100"/>
      <c r="I662" s="1100"/>
      <c r="J662" s="1100"/>
      <c r="K662" s="1074"/>
      <c r="L662" s="1074"/>
      <c r="M662" s="1074"/>
      <c r="N662" s="1074"/>
      <c r="O662" s="1074"/>
      <c r="P662" s="1074"/>
      <c r="Q662" s="1074"/>
      <c r="R662" s="1074"/>
      <c r="S662" s="1074"/>
      <c r="T662" s="1074"/>
      <c r="U662" s="1074"/>
      <c r="V662" s="1074"/>
      <c r="W662" s="1074"/>
      <c r="X662" s="1074"/>
      <c r="Y662" s="1074"/>
      <c r="Z662" s="1074"/>
      <c r="AA662" s="1074"/>
      <c r="AB662" s="1074"/>
      <c r="AC662" s="1074"/>
      <c r="AD662" s="1074"/>
      <c r="AE662" s="1074"/>
      <c r="AF662" s="1074"/>
      <c r="AG662" s="1074"/>
      <c r="AH662" s="1074"/>
      <c r="AI662" s="1074"/>
      <c r="AJ662" s="1074"/>
      <c r="AK662" s="1074"/>
      <c r="AL662" s="1074"/>
      <c r="AM662" s="1074"/>
      <c r="AN662" s="1074"/>
      <c r="AO662" s="1074"/>
      <c r="AP662" s="1074"/>
      <c r="AQ662" s="1074"/>
      <c r="AR662" s="1074"/>
      <c r="AS662" s="1074"/>
      <c r="AT662" s="1075"/>
    </row>
    <row r="663" ht="14.25" customHeight="1">
      <c r="A663" s="1116"/>
      <c r="B663" s="1120"/>
      <c r="C663" s="1100"/>
      <c r="D663" s="1100"/>
      <c r="E663" s="1100"/>
      <c r="F663" s="1100"/>
      <c r="G663" s="1100"/>
      <c r="H663" s="1100"/>
      <c r="I663" s="1100"/>
      <c r="J663" s="1100"/>
      <c r="K663" s="1074"/>
      <c r="L663" s="1074"/>
      <c r="M663" s="1074"/>
      <c r="N663" s="1074"/>
      <c r="O663" s="1074"/>
      <c r="P663" s="1074"/>
      <c r="Q663" s="1074"/>
      <c r="R663" s="1074"/>
      <c r="S663" s="1074"/>
      <c r="T663" s="1074"/>
      <c r="U663" s="1074"/>
      <c r="V663" s="1074"/>
      <c r="W663" s="1074"/>
      <c r="X663" s="1074"/>
      <c r="Y663" s="1074"/>
      <c r="Z663" s="1074"/>
      <c r="AA663" s="1074"/>
      <c r="AB663" s="1074"/>
      <c r="AC663" s="1074"/>
      <c r="AD663" s="1074"/>
      <c r="AE663" s="1074"/>
      <c r="AF663" s="1074"/>
      <c r="AG663" s="1074"/>
      <c r="AH663" s="1074"/>
      <c r="AI663" s="1074"/>
      <c r="AJ663" s="1074"/>
      <c r="AK663" s="1074"/>
      <c r="AL663" s="1074"/>
      <c r="AM663" s="1074"/>
      <c r="AN663" s="1074"/>
      <c r="AO663" s="1074"/>
      <c r="AP663" s="1074"/>
      <c r="AQ663" s="1074"/>
      <c r="AR663" s="1074"/>
      <c r="AS663" s="1074"/>
      <c r="AT663" s="1075"/>
    </row>
    <row r="664" ht="14.25" customHeight="1">
      <c r="A664" s="1116"/>
      <c r="B664" s="1120"/>
      <c r="C664" s="1100"/>
      <c r="D664" s="1100"/>
      <c r="E664" s="1100"/>
      <c r="F664" s="1100"/>
      <c r="G664" s="1100"/>
      <c r="H664" s="1100"/>
      <c r="I664" s="1100"/>
      <c r="J664" s="1100"/>
      <c r="K664" s="1074"/>
      <c r="L664" s="1074"/>
      <c r="M664" s="1074"/>
      <c r="N664" s="1074"/>
      <c r="O664" s="1074"/>
      <c r="P664" s="1074"/>
      <c r="Q664" s="1074"/>
      <c r="R664" s="1074"/>
      <c r="S664" s="1074"/>
      <c r="T664" s="1074"/>
      <c r="U664" s="1074"/>
      <c r="V664" s="1074"/>
      <c r="W664" s="1074"/>
      <c r="X664" s="1074"/>
      <c r="Y664" s="1074"/>
      <c r="Z664" s="1074"/>
      <c r="AA664" s="1074"/>
      <c r="AB664" s="1074"/>
      <c r="AC664" s="1074"/>
      <c r="AD664" s="1074"/>
      <c r="AE664" s="1074"/>
      <c r="AF664" s="1074"/>
      <c r="AG664" s="1074"/>
      <c r="AH664" s="1074"/>
      <c r="AI664" s="1074"/>
      <c r="AJ664" s="1074"/>
      <c r="AK664" s="1074"/>
      <c r="AL664" s="1074"/>
      <c r="AM664" s="1074"/>
      <c r="AN664" s="1074"/>
      <c r="AO664" s="1074"/>
      <c r="AP664" s="1074"/>
      <c r="AQ664" s="1074"/>
      <c r="AR664" s="1074"/>
      <c r="AS664" s="1074"/>
      <c r="AT664" s="1075"/>
    </row>
    <row r="665" ht="14.25" customHeight="1">
      <c r="A665" s="1116"/>
      <c r="B665" s="1120"/>
      <c r="C665" s="1100"/>
      <c r="D665" s="1100"/>
      <c r="E665" s="1100"/>
      <c r="F665" s="1100"/>
      <c r="G665" s="1100"/>
      <c r="H665" s="1100"/>
      <c r="I665" s="1100"/>
      <c r="J665" s="1100"/>
      <c r="K665" s="1074"/>
      <c r="L665" s="1074"/>
      <c r="M665" s="1074"/>
      <c r="N665" s="1074"/>
      <c r="O665" s="1074"/>
      <c r="P665" s="1074"/>
      <c r="Q665" s="1074"/>
      <c r="R665" s="1074"/>
      <c r="S665" s="1074"/>
      <c r="T665" s="1074"/>
      <c r="U665" s="1074"/>
      <c r="V665" s="1074"/>
      <c r="W665" s="1074"/>
      <c r="X665" s="1074"/>
      <c r="Y665" s="1074"/>
      <c r="Z665" s="1074"/>
      <c r="AA665" s="1074"/>
      <c r="AB665" s="1074"/>
      <c r="AC665" s="1074"/>
      <c r="AD665" s="1074"/>
      <c r="AE665" s="1074"/>
      <c r="AF665" s="1074"/>
      <c r="AG665" s="1074"/>
      <c r="AH665" s="1074"/>
      <c r="AI665" s="1074"/>
      <c r="AJ665" s="1074"/>
      <c r="AK665" s="1074"/>
      <c r="AL665" s="1074"/>
      <c r="AM665" s="1074"/>
      <c r="AN665" s="1074"/>
      <c r="AO665" s="1074"/>
      <c r="AP665" s="1074"/>
      <c r="AQ665" s="1074"/>
      <c r="AR665" s="1074"/>
      <c r="AS665" s="1074"/>
      <c r="AT665" s="1075"/>
    </row>
    <row r="666" ht="14.25" customHeight="1">
      <c r="A666" s="1116"/>
      <c r="B666" s="1120"/>
      <c r="C666" s="1100"/>
      <c r="D666" s="1100"/>
      <c r="E666" s="1100"/>
      <c r="F666" s="1100"/>
      <c r="G666" s="1100"/>
      <c r="H666" s="1100"/>
      <c r="I666" s="1100"/>
      <c r="J666" s="1100"/>
      <c r="K666" s="1074"/>
      <c r="L666" s="1074"/>
      <c r="M666" s="1074"/>
      <c r="N666" s="1074"/>
      <c r="O666" s="1074"/>
      <c r="P666" s="1074"/>
      <c r="Q666" s="1074"/>
      <c r="R666" s="1074"/>
      <c r="S666" s="1074"/>
      <c r="T666" s="1074"/>
      <c r="U666" s="1074"/>
      <c r="V666" s="1074"/>
      <c r="W666" s="1074"/>
      <c r="X666" s="1074"/>
      <c r="Y666" s="1074"/>
      <c r="Z666" s="1074"/>
      <c r="AA666" s="1074"/>
      <c r="AB666" s="1074"/>
      <c r="AC666" s="1074"/>
      <c r="AD666" s="1074"/>
      <c r="AE666" s="1074"/>
      <c r="AF666" s="1074"/>
      <c r="AG666" s="1074"/>
      <c r="AH666" s="1074"/>
      <c r="AI666" s="1074"/>
      <c r="AJ666" s="1074"/>
      <c r="AK666" s="1074"/>
      <c r="AL666" s="1074"/>
      <c r="AM666" s="1074"/>
      <c r="AN666" s="1074"/>
      <c r="AO666" s="1074"/>
      <c r="AP666" s="1074"/>
      <c r="AQ666" s="1074"/>
      <c r="AR666" s="1074"/>
      <c r="AS666" s="1074"/>
      <c r="AT666" s="1075"/>
    </row>
    <row r="667" ht="14.25" customHeight="1">
      <c r="A667" s="1116"/>
      <c r="B667" s="1120"/>
      <c r="C667" s="1100"/>
      <c r="D667" s="1100"/>
      <c r="E667" s="1100"/>
      <c r="F667" s="1100"/>
      <c r="G667" s="1100"/>
      <c r="H667" s="1100"/>
      <c r="I667" s="1100"/>
      <c r="J667" s="1100"/>
      <c r="K667" s="1074"/>
      <c r="L667" s="1074"/>
      <c r="M667" s="1074"/>
      <c r="N667" s="1074"/>
      <c r="O667" s="1074"/>
      <c r="P667" s="1074"/>
      <c r="Q667" s="1074"/>
      <c r="R667" s="1074"/>
      <c r="S667" s="1074"/>
      <c r="T667" s="1074"/>
      <c r="U667" s="1074"/>
      <c r="V667" s="1074"/>
      <c r="W667" s="1074"/>
      <c r="X667" s="1074"/>
      <c r="Y667" s="1074"/>
      <c r="Z667" s="1074"/>
      <c r="AA667" s="1074"/>
      <c r="AB667" s="1074"/>
      <c r="AC667" s="1074"/>
      <c r="AD667" s="1074"/>
      <c r="AE667" s="1074"/>
      <c r="AF667" s="1074"/>
      <c r="AG667" s="1074"/>
      <c r="AH667" s="1074"/>
      <c r="AI667" s="1074"/>
      <c r="AJ667" s="1074"/>
      <c r="AK667" s="1074"/>
      <c r="AL667" s="1074"/>
      <c r="AM667" s="1074"/>
      <c r="AN667" s="1074"/>
      <c r="AO667" s="1074"/>
      <c r="AP667" s="1074"/>
      <c r="AQ667" s="1074"/>
      <c r="AR667" s="1074"/>
      <c r="AS667" s="1074"/>
      <c r="AT667" s="1075"/>
    </row>
    <row r="668" ht="14.25" customHeight="1">
      <c r="A668" s="1116"/>
      <c r="B668" s="1120"/>
      <c r="C668" s="1100"/>
      <c r="D668" s="1100"/>
      <c r="E668" s="1100"/>
      <c r="F668" s="1100"/>
      <c r="G668" s="1100"/>
      <c r="H668" s="1100"/>
      <c r="I668" s="1100"/>
      <c r="J668" s="1100"/>
      <c r="K668" s="1074"/>
      <c r="L668" s="1074"/>
      <c r="M668" s="1074"/>
      <c r="N668" s="1074"/>
      <c r="O668" s="1074"/>
      <c r="P668" s="1074"/>
      <c r="Q668" s="1074"/>
      <c r="R668" s="1074"/>
      <c r="S668" s="1074"/>
      <c r="T668" s="1074"/>
      <c r="U668" s="1074"/>
      <c r="V668" s="1074"/>
      <c r="W668" s="1074"/>
      <c r="X668" s="1074"/>
      <c r="Y668" s="1074"/>
      <c r="Z668" s="1074"/>
      <c r="AA668" s="1074"/>
      <c r="AB668" s="1074"/>
      <c r="AC668" s="1074"/>
      <c r="AD668" s="1074"/>
      <c r="AE668" s="1074"/>
      <c r="AF668" s="1074"/>
      <c r="AG668" s="1074"/>
      <c r="AH668" s="1074"/>
      <c r="AI668" s="1074"/>
      <c r="AJ668" s="1074"/>
      <c r="AK668" s="1074"/>
      <c r="AL668" s="1074"/>
      <c r="AM668" s="1074"/>
      <c r="AN668" s="1074"/>
      <c r="AO668" s="1074"/>
      <c r="AP668" s="1074"/>
      <c r="AQ668" s="1074"/>
      <c r="AR668" s="1074"/>
      <c r="AS668" s="1074"/>
      <c r="AT668" s="1075"/>
    </row>
    <row r="669" ht="14.25" customHeight="1">
      <c r="A669" s="1116"/>
      <c r="B669" s="1120"/>
      <c r="C669" s="1100"/>
      <c r="D669" s="1100"/>
      <c r="E669" s="1100"/>
      <c r="F669" s="1100"/>
      <c r="G669" s="1100"/>
      <c r="H669" s="1100"/>
      <c r="I669" s="1100"/>
      <c r="J669" s="1100"/>
      <c r="K669" s="1074"/>
      <c r="L669" s="1074"/>
      <c r="M669" s="1074"/>
      <c r="N669" s="1074"/>
      <c r="O669" s="1074"/>
      <c r="P669" s="1074"/>
      <c r="Q669" s="1074"/>
      <c r="R669" s="1074"/>
      <c r="S669" s="1074"/>
      <c r="T669" s="1074"/>
      <c r="U669" s="1074"/>
      <c r="V669" s="1074"/>
      <c r="W669" s="1074"/>
      <c r="X669" s="1074"/>
      <c r="Y669" s="1074"/>
      <c r="Z669" s="1074"/>
      <c r="AA669" s="1074"/>
      <c r="AB669" s="1074"/>
      <c r="AC669" s="1074"/>
      <c r="AD669" s="1074"/>
      <c r="AE669" s="1074"/>
      <c r="AF669" s="1074"/>
      <c r="AG669" s="1074"/>
      <c r="AH669" s="1074"/>
      <c r="AI669" s="1074"/>
      <c r="AJ669" s="1074"/>
      <c r="AK669" s="1074"/>
      <c r="AL669" s="1074"/>
      <c r="AM669" s="1074"/>
      <c r="AN669" s="1074"/>
      <c r="AO669" s="1074"/>
      <c r="AP669" s="1074"/>
      <c r="AQ669" s="1074"/>
      <c r="AR669" s="1074"/>
      <c r="AS669" s="1074"/>
      <c r="AT669" s="1075"/>
    </row>
    <row r="670" ht="14.25" customHeight="1">
      <c r="A670" s="1116"/>
      <c r="B670" s="1120"/>
      <c r="C670" s="1100"/>
      <c r="D670" s="1100"/>
      <c r="E670" s="1100"/>
      <c r="F670" s="1100"/>
      <c r="G670" s="1100"/>
      <c r="H670" s="1100"/>
      <c r="I670" s="1100"/>
      <c r="J670" s="1100"/>
      <c r="K670" s="1074"/>
      <c r="L670" s="1074"/>
      <c r="M670" s="1074"/>
      <c r="N670" s="1074"/>
      <c r="O670" s="1074"/>
      <c r="P670" s="1074"/>
      <c r="Q670" s="1074"/>
      <c r="R670" s="1074"/>
      <c r="S670" s="1074"/>
      <c r="T670" s="1074"/>
      <c r="U670" s="1074"/>
      <c r="V670" s="1074"/>
      <c r="W670" s="1074"/>
      <c r="X670" s="1074"/>
      <c r="Y670" s="1074"/>
      <c r="Z670" s="1074"/>
      <c r="AA670" s="1074"/>
      <c r="AB670" s="1074"/>
      <c r="AC670" s="1074"/>
      <c r="AD670" s="1074"/>
      <c r="AE670" s="1074"/>
      <c r="AF670" s="1074"/>
      <c r="AG670" s="1074"/>
      <c r="AH670" s="1074"/>
      <c r="AI670" s="1074"/>
      <c r="AJ670" s="1074"/>
      <c r="AK670" s="1074"/>
      <c r="AL670" s="1074"/>
      <c r="AM670" s="1074"/>
      <c r="AN670" s="1074"/>
      <c r="AO670" s="1074"/>
      <c r="AP670" s="1074"/>
      <c r="AQ670" s="1074"/>
      <c r="AR670" s="1074"/>
      <c r="AS670" s="1074"/>
      <c r="AT670" s="1075"/>
    </row>
    <row r="671" ht="14.25" customHeight="1">
      <c r="A671" s="1116"/>
      <c r="B671" s="1120"/>
      <c r="C671" s="1100"/>
      <c r="D671" s="1100"/>
      <c r="E671" s="1100"/>
      <c r="F671" s="1100"/>
      <c r="G671" s="1100"/>
      <c r="H671" s="1100"/>
      <c r="I671" s="1100"/>
      <c r="J671" s="1100"/>
      <c r="K671" s="1074"/>
      <c r="L671" s="1074"/>
      <c r="M671" s="1074"/>
      <c r="N671" s="1074"/>
      <c r="O671" s="1074"/>
      <c r="P671" s="1074"/>
      <c r="Q671" s="1074"/>
      <c r="R671" s="1074"/>
      <c r="S671" s="1074"/>
      <c r="T671" s="1074"/>
      <c r="U671" s="1074"/>
      <c r="V671" s="1074"/>
      <c r="W671" s="1074"/>
      <c r="X671" s="1074"/>
      <c r="Y671" s="1074"/>
      <c r="Z671" s="1074"/>
      <c r="AA671" s="1074"/>
      <c r="AB671" s="1074"/>
      <c r="AC671" s="1074"/>
      <c r="AD671" s="1074"/>
      <c r="AE671" s="1074"/>
      <c r="AF671" s="1074"/>
      <c r="AG671" s="1074"/>
      <c r="AH671" s="1074"/>
      <c r="AI671" s="1074"/>
      <c r="AJ671" s="1074"/>
      <c r="AK671" s="1074"/>
      <c r="AL671" s="1074"/>
      <c r="AM671" s="1074"/>
      <c r="AN671" s="1074"/>
      <c r="AO671" s="1074"/>
      <c r="AP671" s="1074"/>
      <c r="AQ671" s="1074"/>
      <c r="AR671" s="1074"/>
      <c r="AS671" s="1074"/>
      <c r="AT671" s="1075"/>
    </row>
    <row r="672" ht="14.25" customHeight="1">
      <c r="A672" s="1116"/>
      <c r="B672" s="1120"/>
      <c r="C672" s="1100"/>
      <c r="D672" s="1100"/>
      <c r="E672" s="1100"/>
      <c r="F672" s="1100"/>
      <c r="G672" s="1100"/>
      <c r="H672" s="1100"/>
      <c r="I672" s="1100"/>
      <c r="J672" s="1100"/>
      <c r="K672" s="1074"/>
      <c r="L672" s="1074"/>
      <c r="M672" s="1074"/>
      <c r="N672" s="1074"/>
      <c r="O672" s="1074"/>
      <c r="P672" s="1074"/>
      <c r="Q672" s="1074"/>
      <c r="R672" s="1074"/>
      <c r="S672" s="1074"/>
      <c r="T672" s="1074"/>
      <c r="U672" s="1074"/>
      <c r="V672" s="1074"/>
      <c r="W672" s="1074"/>
      <c r="X672" s="1074"/>
      <c r="Y672" s="1074"/>
      <c r="Z672" s="1074"/>
      <c r="AA672" s="1074"/>
      <c r="AB672" s="1074"/>
      <c r="AC672" s="1074"/>
      <c r="AD672" s="1074"/>
      <c r="AE672" s="1074"/>
      <c r="AF672" s="1074"/>
      <c r="AG672" s="1074"/>
      <c r="AH672" s="1074"/>
      <c r="AI672" s="1074"/>
      <c r="AJ672" s="1074"/>
      <c r="AK672" s="1074"/>
      <c r="AL672" s="1074"/>
      <c r="AM672" s="1074"/>
      <c r="AN672" s="1074"/>
      <c r="AO672" s="1074"/>
      <c r="AP672" s="1074"/>
      <c r="AQ672" s="1074"/>
      <c r="AR672" s="1074"/>
      <c r="AS672" s="1074"/>
      <c r="AT672" s="1075"/>
    </row>
    <row r="673" ht="14.25" customHeight="1">
      <c r="A673" s="1116"/>
      <c r="B673" s="1120"/>
      <c r="C673" s="1100"/>
      <c r="D673" s="1100"/>
      <c r="E673" s="1100"/>
      <c r="F673" s="1100"/>
      <c r="G673" s="1100"/>
      <c r="H673" s="1100"/>
      <c r="I673" s="1100"/>
      <c r="J673" s="1100"/>
      <c r="K673" s="1074"/>
      <c r="L673" s="1074"/>
      <c r="M673" s="1074"/>
      <c r="N673" s="1074"/>
      <c r="O673" s="1074"/>
      <c r="P673" s="1074"/>
      <c r="Q673" s="1074"/>
      <c r="R673" s="1074"/>
      <c r="S673" s="1074"/>
      <c r="T673" s="1074"/>
      <c r="U673" s="1074"/>
      <c r="V673" s="1074"/>
      <c r="W673" s="1074"/>
      <c r="X673" s="1074"/>
      <c r="Y673" s="1074"/>
      <c r="Z673" s="1074"/>
      <c r="AA673" s="1074"/>
      <c r="AB673" s="1074"/>
      <c r="AC673" s="1074"/>
      <c r="AD673" s="1074"/>
      <c r="AE673" s="1074"/>
      <c r="AF673" s="1074"/>
      <c r="AG673" s="1074"/>
      <c r="AH673" s="1074"/>
      <c r="AI673" s="1074"/>
      <c r="AJ673" s="1074"/>
      <c r="AK673" s="1074"/>
      <c r="AL673" s="1074"/>
      <c r="AM673" s="1074"/>
      <c r="AN673" s="1074"/>
      <c r="AO673" s="1074"/>
      <c r="AP673" s="1074"/>
      <c r="AQ673" s="1074"/>
      <c r="AR673" s="1074"/>
      <c r="AS673" s="1074"/>
      <c r="AT673" s="1075"/>
    </row>
    <row r="674" ht="14.25" customHeight="1">
      <c r="A674" s="1116"/>
      <c r="B674" s="1120"/>
      <c r="C674" s="1100"/>
      <c r="D674" s="1100"/>
      <c r="E674" s="1100"/>
      <c r="F674" s="1100"/>
      <c r="G674" s="1100"/>
      <c r="H674" s="1100"/>
      <c r="I674" s="1100"/>
      <c r="J674" s="1100"/>
      <c r="K674" s="1074"/>
      <c r="L674" s="1074"/>
      <c r="M674" s="1074"/>
      <c r="N674" s="1074"/>
      <c r="O674" s="1074"/>
      <c r="P674" s="1074"/>
      <c r="Q674" s="1074"/>
      <c r="R674" s="1074"/>
      <c r="S674" s="1074"/>
      <c r="T674" s="1074"/>
      <c r="U674" s="1074"/>
      <c r="V674" s="1074"/>
      <c r="W674" s="1074"/>
      <c r="X674" s="1074"/>
      <c r="Y674" s="1074"/>
      <c r="Z674" s="1074"/>
      <c r="AA674" s="1074"/>
      <c r="AB674" s="1074"/>
      <c r="AC674" s="1074"/>
      <c r="AD674" s="1074"/>
      <c r="AE674" s="1074"/>
      <c r="AF674" s="1074"/>
      <c r="AG674" s="1074"/>
      <c r="AH674" s="1074"/>
      <c r="AI674" s="1074"/>
      <c r="AJ674" s="1074"/>
      <c r="AK674" s="1074"/>
      <c r="AL674" s="1074"/>
      <c r="AM674" s="1074"/>
      <c r="AN674" s="1074"/>
      <c r="AO674" s="1074"/>
      <c r="AP674" s="1074"/>
      <c r="AQ674" s="1074"/>
      <c r="AR674" s="1074"/>
      <c r="AS674" s="1074"/>
      <c r="AT674" s="1075"/>
    </row>
    <row r="675" ht="14.25" customHeight="1">
      <c r="A675" s="1116"/>
      <c r="B675" s="1120"/>
      <c r="C675" s="1100"/>
      <c r="D675" s="1100"/>
      <c r="E675" s="1100"/>
      <c r="F675" s="1100"/>
      <c r="G675" s="1100"/>
      <c r="H675" s="1100"/>
      <c r="I675" s="1100"/>
      <c r="J675" s="1100"/>
      <c r="K675" s="1074"/>
      <c r="L675" s="1074"/>
      <c r="M675" s="1074"/>
      <c r="N675" s="1074"/>
      <c r="O675" s="1074"/>
      <c r="P675" s="1074"/>
      <c r="Q675" s="1074"/>
      <c r="R675" s="1074"/>
      <c r="S675" s="1074"/>
      <c r="T675" s="1074"/>
      <c r="U675" s="1074"/>
      <c r="V675" s="1074"/>
      <c r="W675" s="1074"/>
      <c r="X675" s="1074"/>
      <c r="Y675" s="1074"/>
      <c r="Z675" s="1074"/>
      <c r="AA675" s="1074"/>
      <c r="AB675" s="1074"/>
      <c r="AC675" s="1074"/>
      <c r="AD675" s="1074"/>
      <c r="AE675" s="1074"/>
      <c r="AF675" s="1074"/>
      <c r="AG675" s="1074"/>
      <c r="AH675" s="1074"/>
      <c r="AI675" s="1074"/>
      <c r="AJ675" s="1074"/>
      <c r="AK675" s="1074"/>
      <c r="AL675" s="1074"/>
      <c r="AM675" s="1074"/>
      <c r="AN675" s="1074"/>
      <c r="AO675" s="1074"/>
      <c r="AP675" s="1074"/>
      <c r="AQ675" s="1074"/>
      <c r="AR675" s="1074"/>
      <c r="AS675" s="1074"/>
      <c r="AT675" s="1075"/>
    </row>
    <row r="676" ht="14.25" customHeight="1">
      <c r="A676" s="1116"/>
      <c r="B676" s="1120"/>
      <c r="C676" s="1100"/>
      <c r="D676" s="1100"/>
      <c r="E676" s="1100"/>
      <c r="F676" s="1100"/>
      <c r="G676" s="1100"/>
      <c r="H676" s="1100"/>
      <c r="I676" s="1100"/>
      <c r="J676" s="1100"/>
      <c r="K676" s="1074"/>
      <c r="L676" s="1074"/>
      <c r="M676" s="1074"/>
      <c r="N676" s="1074"/>
      <c r="O676" s="1074"/>
      <c r="P676" s="1074"/>
      <c r="Q676" s="1074"/>
      <c r="R676" s="1074"/>
      <c r="S676" s="1074"/>
      <c r="T676" s="1074"/>
      <c r="U676" s="1074"/>
      <c r="V676" s="1074"/>
      <c r="W676" s="1074"/>
      <c r="X676" s="1074"/>
      <c r="Y676" s="1074"/>
      <c r="Z676" s="1074"/>
      <c r="AA676" s="1074"/>
      <c r="AB676" s="1074"/>
      <c r="AC676" s="1074"/>
      <c r="AD676" s="1074"/>
      <c r="AE676" s="1074"/>
      <c r="AF676" s="1074"/>
      <c r="AG676" s="1074"/>
      <c r="AH676" s="1074"/>
      <c r="AI676" s="1074"/>
      <c r="AJ676" s="1074"/>
      <c r="AK676" s="1074"/>
      <c r="AL676" s="1074"/>
      <c r="AM676" s="1074"/>
      <c r="AN676" s="1074"/>
      <c r="AO676" s="1074"/>
      <c r="AP676" s="1074"/>
      <c r="AQ676" s="1074"/>
      <c r="AR676" s="1074"/>
      <c r="AS676" s="1074"/>
      <c r="AT676" s="1075"/>
    </row>
    <row r="677" ht="14.25" customHeight="1">
      <c r="A677" s="1116"/>
      <c r="B677" s="1120"/>
      <c r="C677" s="1100"/>
      <c r="D677" s="1100"/>
      <c r="E677" s="1100"/>
      <c r="F677" s="1100"/>
      <c r="G677" s="1100"/>
      <c r="H677" s="1100"/>
      <c r="I677" s="1100"/>
      <c r="J677" s="1100"/>
      <c r="K677" s="1074"/>
      <c r="L677" s="1074"/>
      <c r="M677" s="1074"/>
      <c r="N677" s="1074"/>
      <c r="O677" s="1074"/>
      <c r="P677" s="1074"/>
      <c r="Q677" s="1074"/>
      <c r="R677" s="1074"/>
      <c r="S677" s="1074"/>
      <c r="T677" s="1074"/>
      <c r="U677" s="1074"/>
      <c r="V677" s="1074"/>
      <c r="W677" s="1074"/>
      <c r="X677" s="1074"/>
      <c r="Y677" s="1074"/>
      <c r="Z677" s="1074"/>
      <c r="AA677" s="1074"/>
      <c r="AB677" s="1074"/>
      <c r="AC677" s="1074"/>
      <c r="AD677" s="1074"/>
      <c r="AE677" s="1074"/>
      <c r="AF677" s="1074"/>
      <c r="AG677" s="1074"/>
      <c r="AH677" s="1074"/>
      <c r="AI677" s="1074"/>
      <c r="AJ677" s="1074"/>
      <c r="AK677" s="1074"/>
      <c r="AL677" s="1074"/>
      <c r="AM677" s="1074"/>
      <c r="AN677" s="1074"/>
      <c r="AO677" s="1074"/>
      <c r="AP677" s="1074"/>
      <c r="AQ677" s="1074"/>
      <c r="AR677" s="1074"/>
      <c r="AS677" s="1074"/>
      <c r="AT677" s="1075"/>
    </row>
    <row r="678" ht="14.25" customHeight="1">
      <c r="A678" s="1116"/>
      <c r="B678" s="1120"/>
      <c r="C678" s="1100"/>
      <c r="D678" s="1100"/>
      <c r="E678" s="1100"/>
      <c r="F678" s="1100"/>
      <c r="G678" s="1100"/>
      <c r="H678" s="1100"/>
      <c r="I678" s="1100"/>
      <c r="J678" s="1100"/>
      <c r="K678" s="1074"/>
      <c r="L678" s="1074"/>
      <c r="M678" s="1074"/>
      <c r="N678" s="1074"/>
      <c r="O678" s="1074"/>
      <c r="P678" s="1074"/>
      <c r="Q678" s="1074"/>
      <c r="R678" s="1074"/>
      <c r="S678" s="1074"/>
      <c r="T678" s="1074"/>
      <c r="U678" s="1074"/>
      <c r="V678" s="1074"/>
      <c r="W678" s="1074"/>
      <c r="X678" s="1074"/>
      <c r="Y678" s="1074"/>
      <c r="Z678" s="1074"/>
      <c r="AA678" s="1074"/>
      <c r="AB678" s="1074"/>
      <c r="AC678" s="1074"/>
      <c r="AD678" s="1074"/>
      <c r="AE678" s="1074"/>
      <c r="AF678" s="1074"/>
      <c r="AG678" s="1074"/>
      <c r="AH678" s="1074"/>
      <c r="AI678" s="1074"/>
      <c r="AJ678" s="1074"/>
      <c r="AK678" s="1074"/>
      <c r="AL678" s="1074"/>
      <c r="AM678" s="1074"/>
      <c r="AN678" s="1074"/>
      <c r="AO678" s="1074"/>
      <c r="AP678" s="1074"/>
      <c r="AQ678" s="1074"/>
      <c r="AR678" s="1074"/>
      <c r="AS678" s="1074"/>
      <c r="AT678" s="1075"/>
    </row>
    <row r="679" ht="14.25" customHeight="1">
      <c r="A679" s="1116"/>
      <c r="B679" s="1120"/>
      <c r="C679" s="1100"/>
      <c r="D679" s="1100"/>
      <c r="E679" s="1100"/>
      <c r="F679" s="1100"/>
      <c r="G679" s="1100"/>
      <c r="H679" s="1100"/>
      <c r="I679" s="1100"/>
      <c r="J679" s="1100"/>
      <c r="K679" s="1074"/>
      <c r="L679" s="1074"/>
      <c r="M679" s="1074"/>
      <c r="N679" s="1074"/>
      <c r="O679" s="1074"/>
      <c r="P679" s="1074"/>
      <c r="Q679" s="1074"/>
      <c r="R679" s="1074"/>
      <c r="S679" s="1074"/>
      <c r="T679" s="1074"/>
      <c r="U679" s="1074"/>
      <c r="V679" s="1074"/>
      <c r="W679" s="1074"/>
      <c r="X679" s="1074"/>
      <c r="Y679" s="1074"/>
      <c r="Z679" s="1074"/>
      <c r="AA679" s="1074"/>
      <c r="AB679" s="1074"/>
      <c r="AC679" s="1074"/>
      <c r="AD679" s="1074"/>
      <c r="AE679" s="1074"/>
      <c r="AF679" s="1074"/>
      <c r="AG679" s="1074"/>
      <c r="AH679" s="1074"/>
      <c r="AI679" s="1074"/>
      <c r="AJ679" s="1074"/>
      <c r="AK679" s="1074"/>
      <c r="AL679" s="1074"/>
      <c r="AM679" s="1074"/>
      <c r="AN679" s="1074"/>
      <c r="AO679" s="1074"/>
      <c r="AP679" s="1074"/>
      <c r="AQ679" s="1074"/>
      <c r="AR679" s="1074"/>
      <c r="AS679" s="1074"/>
      <c r="AT679" s="1075"/>
    </row>
    <row r="680" ht="14.25" customHeight="1">
      <c r="A680" s="1116"/>
      <c r="B680" s="1120"/>
      <c r="C680" s="1100"/>
      <c r="D680" s="1100"/>
      <c r="E680" s="1100"/>
      <c r="F680" s="1100"/>
      <c r="G680" s="1100"/>
      <c r="H680" s="1100"/>
      <c r="I680" s="1100"/>
      <c r="J680" s="1100"/>
      <c r="K680" s="1074"/>
      <c r="L680" s="1074"/>
      <c r="M680" s="1074"/>
      <c r="N680" s="1074"/>
      <c r="O680" s="1074"/>
      <c r="P680" s="1074"/>
      <c r="Q680" s="1074"/>
      <c r="R680" s="1074"/>
      <c r="S680" s="1074"/>
      <c r="T680" s="1074"/>
      <c r="U680" s="1074"/>
      <c r="V680" s="1074"/>
      <c r="W680" s="1074"/>
      <c r="X680" s="1074"/>
      <c r="Y680" s="1074"/>
      <c r="Z680" s="1074"/>
      <c r="AA680" s="1074"/>
      <c r="AB680" s="1074"/>
      <c r="AC680" s="1074"/>
      <c r="AD680" s="1074"/>
      <c r="AE680" s="1074"/>
      <c r="AF680" s="1074"/>
      <c r="AG680" s="1074"/>
      <c r="AH680" s="1074"/>
      <c r="AI680" s="1074"/>
      <c r="AJ680" s="1074"/>
      <c r="AK680" s="1074"/>
      <c r="AL680" s="1074"/>
      <c r="AM680" s="1074"/>
      <c r="AN680" s="1074"/>
      <c r="AO680" s="1074"/>
      <c r="AP680" s="1074"/>
      <c r="AQ680" s="1074"/>
      <c r="AR680" s="1074"/>
      <c r="AS680" s="1074"/>
      <c r="AT680" s="1075"/>
    </row>
    <row r="681" ht="14.25" customHeight="1">
      <c r="A681" s="1116"/>
      <c r="B681" s="1120"/>
      <c r="C681" s="1100"/>
      <c r="D681" s="1100"/>
      <c r="E681" s="1100"/>
      <c r="F681" s="1100"/>
      <c r="G681" s="1100"/>
      <c r="H681" s="1100"/>
      <c r="I681" s="1100"/>
      <c r="J681" s="1100"/>
      <c r="K681" s="1074"/>
      <c r="L681" s="1074"/>
      <c r="M681" s="1074"/>
      <c r="N681" s="1074"/>
      <c r="O681" s="1074"/>
      <c r="P681" s="1074"/>
      <c r="Q681" s="1074"/>
      <c r="R681" s="1074"/>
      <c r="S681" s="1074"/>
      <c r="T681" s="1074"/>
      <c r="U681" s="1074"/>
      <c r="V681" s="1074"/>
      <c r="W681" s="1074"/>
      <c r="X681" s="1074"/>
      <c r="Y681" s="1074"/>
      <c r="Z681" s="1074"/>
      <c r="AA681" s="1074"/>
      <c r="AB681" s="1074"/>
      <c r="AC681" s="1074"/>
      <c r="AD681" s="1074"/>
      <c r="AE681" s="1074"/>
      <c r="AF681" s="1074"/>
      <c r="AG681" s="1074"/>
      <c r="AH681" s="1074"/>
      <c r="AI681" s="1074"/>
      <c r="AJ681" s="1074"/>
      <c r="AK681" s="1074"/>
      <c r="AL681" s="1074"/>
      <c r="AM681" s="1074"/>
      <c r="AN681" s="1074"/>
      <c r="AO681" s="1074"/>
      <c r="AP681" s="1074"/>
      <c r="AQ681" s="1074"/>
      <c r="AR681" s="1074"/>
      <c r="AS681" s="1074"/>
      <c r="AT681" s="1075"/>
    </row>
    <row r="682" ht="14.25" customHeight="1">
      <c r="A682" s="1116"/>
      <c r="B682" s="1120"/>
      <c r="C682" s="1100"/>
      <c r="D682" s="1100"/>
      <c r="E682" s="1100"/>
      <c r="F682" s="1100"/>
      <c r="G682" s="1100"/>
      <c r="H682" s="1100"/>
      <c r="I682" s="1100"/>
      <c r="J682" s="1100"/>
      <c r="K682" s="1074"/>
      <c r="L682" s="1074"/>
      <c r="M682" s="1074"/>
      <c r="N682" s="1074"/>
      <c r="O682" s="1074"/>
      <c r="P682" s="1074"/>
      <c r="Q682" s="1074"/>
      <c r="R682" s="1074"/>
      <c r="S682" s="1074"/>
      <c r="T682" s="1074"/>
      <c r="U682" s="1074"/>
      <c r="V682" s="1074"/>
      <c r="W682" s="1074"/>
      <c r="X682" s="1074"/>
      <c r="Y682" s="1074"/>
      <c r="Z682" s="1074"/>
      <c r="AA682" s="1074"/>
      <c r="AB682" s="1074"/>
      <c r="AC682" s="1074"/>
      <c r="AD682" s="1074"/>
      <c r="AE682" s="1074"/>
      <c r="AF682" s="1074"/>
      <c r="AG682" s="1074"/>
      <c r="AH682" s="1074"/>
      <c r="AI682" s="1074"/>
      <c r="AJ682" s="1074"/>
      <c r="AK682" s="1074"/>
      <c r="AL682" s="1074"/>
      <c r="AM682" s="1074"/>
      <c r="AN682" s="1074"/>
      <c r="AO682" s="1074"/>
      <c r="AP682" s="1074"/>
      <c r="AQ682" s="1074"/>
      <c r="AR682" s="1074"/>
      <c r="AS682" s="1074"/>
      <c r="AT682" s="1075"/>
    </row>
    <row r="683" ht="14.25" customHeight="1">
      <c r="A683" s="1116"/>
      <c r="B683" s="1120"/>
      <c r="C683" s="1100"/>
      <c r="D683" s="1100"/>
      <c r="E683" s="1100"/>
      <c r="F683" s="1100"/>
      <c r="G683" s="1100"/>
      <c r="H683" s="1100"/>
      <c r="I683" s="1100"/>
      <c r="J683" s="1100"/>
      <c r="K683" s="1074"/>
      <c r="L683" s="1074"/>
      <c r="M683" s="1074"/>
      <c r="N683" s="1074"/>
      <c r="O683" s="1074"/>
      <c r="P683" s="1074"/>
      <c r="Q683" s="1074"/>
      <c r="R683" s="1074"/>
      <c r="S683" s="1074"/>
      <c r="T683" s="1074"/>
      <c r="U683" s="1074"/>
      <c r="V683" s="1074"/>
      <c r="W683" s="1074"/>
      <c r="X683" s="1074"/>
      <c r="Y683" s="1074"/>
      <c r="Z683" s="1074"/>
      <c r="AA683" s="1074"/>
      <c r="AB683" s="1074"/>
      <c r="AC683" s="1074"/>
      <c r="AD683" s="1074"/>
      <c r="AE683" s="1074"/>
      <c r="AF683" s="1074"/>
      <c r="AG683" s="1074"/>
      <c r="AH683" s="1074"/>
      <c r="AI683" s="1074"/>
      <c r="AJ683" s="1074"/>
      <c r="AK683" s="1074"/>
      <c r="AL683" s="1074"/>
      <c r="AM683" s="1074"/>
      <c r="AN683" s="1074"/>
      <c r="AO683" s="1074"/>
      <c r="AP683" s="1074"/>
      <c r="AQ683" s="1074"/>
      <c r="AR683" s="1074"/>
      <c r="AS683" s="1074"/>
      <c r="AT683" s="1075"/>
    </row>
    <row r="684" ht="14.25" customHeight="1">
      <c r="A684" s="1116"/>
      <c r="B684" s="1120"/>
      <c r="C684" s="1100"/>
      <c r="D684" s="1100"/>
      <c r="E684" s="1100"/>
      <c r="F684" s="1100"/>
      <c r="G684" s="1100"/>
      <c r="H684" s="1100"/>
      <c r="I684" s="1100"/>
      <c r="J684" s="1100"/>
      <c r="K684" s="1074"/>
      <c r="L684" s="1074"/>
      <c r="M684" s="1074"/>
      <c r="N684" s="1074"/>
      <c r="O684" s="1074"/>
      <c r="P684" s="1074"/>
      <c r="Q684" s="1074"/>
      <c r="R684" s="1074"/>
      <c r="S684" s="1074"/>
      <c r="T684" s="1074"/>
      <c r="U684" s="1074"/>
      <c r="V684" s="1074"/>
      <c r="W684" s="1074"/>
      <c r="X684" s="1074"/>
      <c r="Y684" s="1074"/>
      <c r="Z684" s="1074"/>
      <c r="AA684" s="1074"/>
      <c r="AB684" s="1074"/>
      <c r="AC684" s="1074"/>
      <c r="AD684" s="1074"/>
      <c r="AE684" s="1074"/>
      <c r="AF684" s="1074"/>
      <c r="AG684" s="1074"/>
      <c r="AH684" s="1074"/>
      <c r="AI684" s="1074"/>
      <c r="AJ684" s="1074"/>
      <c r="AK684" s="1074"/>
      <c r="AL684" s="1074"/>
      <c r="AM684" s="1074"/>
      <c r="AN684" s="1074"/>
      <c r="AO684" s="1074"/>
      <c r="AP684" s="1074"/>
      <c r="AQ684" s="1074"/>
      <c r="AR684" s="1074"/>
      <c r="AS684" s="1074"/>
      <c r="AT684" s="1075"/>
    </row>
    <row r="685" ht="14.25" customHeight="1">
      <c r="A685" s="1116"/>
      <c r="B685" s="1120"/>
      <c r="C685" s="1100"/>
      <c r="D685" s="1100"/>
      <c r="E685" s="1100"/>
      <c r="F685" s="1100"/>
      <c r="G685" s="1100"/>
      <c r="H685" s="1100"/>
      <c r="I685" s="1100"/>
      <c r="J685" s="1100"/>
      <c r="K685" s="1074"/>
      <c r="L685" s="1074"/>
      <c r="M685" s="1074"/>
      <c r="N685" s="1074"/>
      <c r="O685" s="1074"/>
      <c r="P685" s="1074"/>
      <c r="Q685" s="1074"/>
      <c r="R685" s="1074"/>
      <c r="S685" s="1074"/>
      <c r="T685" s="1074"/>
      <c r="U685" s="1074"/>
      <c r="V685" s="1074"/>
      <c r="W685" s="1074"/>
      <c r="X685" s="1074"/>
      <c r="Y685" s="1074"/>
      <c r="Z685" s="1074"/>
      <c r="AA685" s="1074"/>
      <c r="AB685" s="1074"/>
      <c r="AC685" s="1074"/>
      <c r="AD685" s="1074"/>
      <c r="AE685" s="1074"/>
      <c r="AF685" s="1074"/>
      <c r="AG685" s="1074"/>
      <c r="AH685" s="1074"/>
      <c r="AI685" s="1074"/>
      <c r="AJ685" s="1074"/>
      <c r="AK685" s="1074"/>
      <c r="AL685" s="1074"/>
      <c r="AM685" s="1074"/>
      <c r="AN685" s="1074"/>
      <c r="AO685" s="1074"/>
      <c r="AP685" s="1074"/>
      <c r="AQ685" s="1074"/>
      <c r="AR685" s="1074"/>
      <c r="AS685" s="1074"/>
      <c r="AT685" s="1075"/>
    </row>
    <row r="686" ht="14.25" customHeight="1">
      <c r="A686" s="1116"/>
      <c r="B686" s="1120"/>
      <c r="C686" s="1100"/>
      <c r="D686" s="1100"/>
      <c r="E686" s="1100"/>
      <c r="F686" s="1100"/>
      <c r="G686" s="1100"/>
      <c r="H686" s="1100"/>
      <c r="I686" s="1100"/>
      <c r="J686" s="1100"/>
      <c r="K686" s="1074"/>
      <c r="L686" s="1074"/>
      <c r="M686" s="1074"/>
      <c r="N686" s="1074"/>
      <c r="O686" s="1074"/>
      <c r="P686" s="1074"/>
      <c r="Q686" s="1074"/>
      <c r="R686" s="1074"/>
      <c r="S686" s="1074"/>
      <c r="T686" s="1074"/>
      <c r="U686" s="1074"/>
      <c r="V686" s="1074"/>
      <c r="W686" s="1074"/>
      <c r="X686" s="1074"/>
      <c r="Y686" s="1074"/>
      <c r="Z686" s="1074"/>
      <c r="AA686" s="1074"/>
      <c r="AB686" s="1074"/>
      <c r="AC686" s="1074"/>
      <c r="AD686" s="1074"/>
      <c r="AE686" s="1074"/>
      <c r="AF686" s="1074"/>
      <c r="AG686" s="1074"/>
      <c r="AH686" s="1074"/>
      <c r="AI686" s="1074"/>
      <c r="AJ686" s="1074"/>
      <c r="AK686" s="1074"/>
      <c r="AL686" s="1074"/>
      <c r="AM686" s="1074"/>
      <c r="AN686" s="1074"/>
      <c r="AO686" s="1074"/>
      <c r="AP686" s="1074"/>
      <c r="AQ686" s="1074"/>
      <c r="AR686" s="1074"/>
      <c r="AS686" s="1074"/>
      <c r="AT686" s="1075"/>
    </row>
    <row r="687" ht="14.25" customHeight="1">
      <c r="A687" s="1116"/>
      <c r="B687" s="1120"/>
      <c r="C687" s="1100"/>
      <c r="D687" s="1100"/>
      <c r="E687" s="1100"/>
      <c r="F687" s="1100"/>
      <c r="G687" s="1100"/>
      <c r="H687" s="1100"/>
      <c r="I687" s="1100"/>
      <c r="J687" s="1100"/>
      <c r="K687" s="1074"/>
      <c r="L687" s="1074"/>
      <c r="M687" s="1074"/>
      <c r="N687" s="1074"/>
      <c r="O687" s="1074"/>
      <c r="P687" s="1074"/>
      <c r="Q687" s="1074"/>
      <c r="R687" s="1074"/>
      <c r="S687" s="1074"/>
      <c r="T687" s="1074"/>
      <c r="U687" s="1074"/>
      <c r="V687" s="1074"/>
      <c r="W687" s="1074"/>
      <c r="X687" s="1074"/>
      <c r="Y687" s="1074"/>
      <c r="Z687" s="1074"/>
      <c r="AA687" s="1074"/>
      <c r="AB687" s="1074"/>
      <c r="AC687" s="1074"/>
      <c r="AD687" s="1074"/>
      <c r="AE687" s="1074"/>
      <c r="AF687" s="1074"/>
      <c r="AG687" s="1074"/>
      <c r="AH687" s="1074"/>
      <c r="AI687" s="1074"/>
      <c r="AJ687" s="1074"/>
      <c r="AK687" s="1074"/>
      <c r="AL687" s="1074"/>
      <c r="AM687" s="1074"/>
      <c r="AN687" s="1074"/>
      <c r="AO687" s="1074"/>
      <c r="AP687" s="1074"/>
      <c r="AQ687" s="1074"/>
      <c r="AR687" s="1074"/>
      <c r="AS687" s="1074"/>
      <c r="AT687" s="1075"/>
    </row>
    <row r="688" ht="14.25" customHeight="1">
      <c r="A688" s="1116"/>
      <c r="B688" s="1120"/>
      <c r="C688" s="1100"/>
      <c r="D688" s="1100"/>
      <c r="E688" s="1100"/>
      <c r="F688" s="1100"/>
      <c r="G688" s="1100"/>
      <c r="H688" s="1100"/>
      <c r="I688" s="1100"/>
      <c r="J688" s="1100"/>
      <c r="K688" s="1074"/>
      <c r="L688" s="1074"/>
      <c r="M688" s="1074"/>
      <c r="N688" s="1074"/>
      <c r="O688" s="1074"/>
      <c r="P688" s="1074"/>
      <c r="Q688" s="1074"/>
      <c r="R688" s="1074"/>
      <c r="S688" s="1074"/>
      <c r="T688" s="1074"/>
      <c r="U688" s="1074"/>
      <c r="V688" s="1074"/>
      <c r="W688" s="1074"/>
      <c r="X688" s="1074"/>
      <c r="Y688" s="1074"/>
      <c r="Z688" s="1074"/>
      <c r="AA688" s="1074"/>
      <c r="AB688" s="1074"/>
      <c r="AC688" s="1074"/>
      <c r="AD688" s="1074"/>
      <c r="AE688" s="1074"/>
      <c r="AF688" s="1074"/>
      <c r="AG688" s="1074"/>
      <c r="AH688" s="1074"/>
      <c r="AI688" s="1074"/>
      <c r="AJ688" s="1074"/>
      <c r="AK688" s="1074"/>
      <c r="AL688" s="1074"/>
      <c r="AM688" s="1074"/>
      <c r="AN688" s="1074"/>
      <c r="AO688" s="1074"/>
      <c r="AP688" s="1074"/>
      <c r="AQ688" s="1074"/>
      <c r="AR688" s="1074"/>
      <c r="AS688" s="1074"/>
      <c r="AT688" s="1075"/>
    </row>
    <row r="689" ht="14.25" customHeight="1">
      <c r="A689" s="1116"/>
      <c r="B689" s="1120"/>
      <c r="C689" s="1100"/>
      <c r="D689" s="1100"/>
      <c r="E689" s="1100"/>
      <c r="F689" s="1100"/>
      <c r="G689" s="1100"/>
      <c r="H689" s="1100"/>
      <c r="I689" s="1100"/>
      <c r="J689" s="1100"/>
      <c r="K689" s="1074"/>
      <c r="L689" s="1074"/>
      <c r="M689" s="1074"/>
      <c r="N689" s="1074"/>
      <c r="O689" s="1074"/>
      <c r="P689" s="1074"/>
      <c r="Q689" s="1074"/>
      <c r="R689" s="1074"/>
      <c r="S689" s="1074"/>
      <c r="T689" s="1074"/>
      <c r="U689" s="1074"/>
      <c r="V689" s="1074"/>
      <c r="W689" s="1074"/>
      <c r="X689" s="1074"/>
      <c r="Y689" s="1074"/>
      <c r="Z689" s="1074"/>
      <c r="AA689" s="1074"/>
      <c r="AB689" s="1074"/>
      <c r="AC689" s="1074"/>
      <c r="AD689" s="1074"/>
      <c r="AE689" s="1074"/>
      <c r="AF689" s="1074"/>
      <c r="AG689" s="1074"/>
      <c r="AH689" s="1074"/>
      <c r="AI689" s="1074"/>
      <c r="AJ689" s="1074"/>
      <c r="AK689" s="1074"/>
      <c r="AL689" s="1074"/>
      <c r="AM689" s="1074"/>
      <c r="AN689" s="1074"/>
      <c r="AO689" s="1074"/>
      <c r="AP689" s="1074"/>
      <c r="AQ689" s="1074"/>
      <c r="AR689" s="1074"/>
      <c r="AS689" s="1074"/>
      <c r="AT689" s="1075"/>
    </row>
    <row r="690" ht="14.25" customHeight="1">
      <c r="A690" s="1116"/>
      <c r="B690" s="1120"/>
      <c r="C690" s="1100"/>
      <c r="D690" s="1100"/>
      <c r="E690" s="1100"/>
      <c r="F690" s="1100"/>
      <c r="G690" s="1100"/>
      <c r="H690" s="1100"/>
      <c r="I690" s="1100"/>
      <c r="J690" s="1100"/>
      <c r="K690" s="1074"/>
      <c r="L690" s="1074"/>
      <c r="M690" s="1074"/>
      <c r="N690" s="1074"/>
      <c r="O690" s="1074"/>
      <c r="P690" s="1074"/>
      <c r="Q690" s="1074"/>
      <c r="R690" s="1074"/>
      <c r="S690" s="1074"/>
      <c r="T690" s="1074"/>
      <c r="U690" s="1074"/>
      <c r="V690" s="1074"/>
      <c r="W690" s="1074"/>
      <c r="X690" s="1074"/>
      <c r="Y690" s="1074"/>
      <c r="Z690" s="1074"/>
      <c r="AA690" s="1074"/>
      <c r="AB690" s="1074"/>
      <c r="AC690" s="1074"/>
      <c r="AD690" s="1074"/>
      <c r="AE690" s="1074"/>
      <c r="AF690" s="1074"/>
      <c r="AG690" s="1074"/>
      <c r="AH690" s="1074"/>
      <c r="AI690" s="1074"/>
      <c r="AJ690" s="1074"/>
      <c r="AK690" s="1074"/>
      <c r="AL690" s="1074"/>
      <c r="AM690" s="1074"/>
      <c r="AN690" s="1074"/>
      <c r="AO690" s="1074"/>
      <c r="AP690" s="1074"/>
      <c r="AQ690" s="1074"/>
      <c r="AR690" s="1074"/>
      <c r="AS690" s="1074"/>
      <c r="AT690" s="1075"/>
    </row>
    <row r="691" ht="14.25" customHeight="1">
      <c r="A691" s="1116"/>
      <c r="B691" s="1120"/>
      <c r="C691" s="1100"/>
      <c r="D691" s="1100"/>
      <c r="E691" s="1100"/>
      <c r="F691" s="1100"/>
      <c r="G691" s="1100"/>
      <c r="H691" s="1100"/>
      <c r="I691" s="1100"/>
      <c r="J691" s="1100"/>
      <c r="K691" s="1074"/>
      <c r="L691" s="1074"/>
      <c r="M691" s="1074"/>
      <c r="N691" s="1074"/>
      <c r="O691" s="1074"/>
      <c r="P691" s="1074"/>
      <c r="Q691" s="1074"/>
      <c r="R691" s="1074"/>
      <c r="S691" s="1074"/>
      <c r="T691" s="1074"/>
      <c r="U691" s="1074"/>
      <c r="V691" s="1074"/>
      <c r="W691" s="1074"/>
      <c r="X691" s="1074"/>
      <c r="Y691" s="1074"/>
      <c r="Z691" s="1074"/>
      <c r="AA691" s="1074"/>
      <c r="AB691" s="1074"/>
      <c r="AC691" s="1074"/>
      <c r="AD691" s="1074"/>
      <c r="AE691" s="1074"/>
      <c r="AF691" s="1074"/>
      <c r="AG691" s="1074"/>
      <c r="AH691" s="1074"/>
      <c r="AI691" s="1074"/>
      <c r="AJ691" s="1074"/>
      <c r="AK691" s="1074"/>
      <c r="AL691" s="1074"/>
      <c r="AM691" s="1074"/>
      <c r="AN691" s="1074"/>
      <c r="AO691" s="1074"/>
      <c r="AP691" s="1074"/>
      <c r="AQ691" s="1074"/>
      <c r="AR691" s="1074"/>
      <c r="AS691" s="1074"/>
      <c r="AT691" s="1075"/>
    </row>
    <row r="692" ht="14.25" customHeight="1">
      <c r="A692" s="1116"/>
      <c r="B692" s="1120"/>
      <c r="C692" s="1100"/>
      <c r="D692" s="1100"/>
      <c r="E692" s="1100"/>
      <c r="F692" s="1100"/>
      <c r="G692" s="1100"/>
      <c r="H692" s="1100"/>
      <c r="I692" s="1100"/>
      <c r="J692" s="1100"/>
      <c r="K692" s="1074"/>
      <c r="L692" s="1074"/>
      <c r="M692" s="1074"/>
      <c r="N692" s="1074"/>
      <c r="O692" s="1074"/>
      <c r="P692" s="1074"/>
      <c r="Q692" s="1074"/>
      <c r="R692" s="1074"/>
      <c r="S692" s="1074"/>
      <c r="T692" s="1074"/>
      <c r="U692" s="1074"/>
      <c r="V692" s="1074"/>
      <c r="W692" s="1074"/>
      <c r="X692" s="1074"/>
      <c r="Y692" s="1074"/>
      <c r="Z692" s="1074"/>
      <c r="AA692" s="1074"/>
      <c r="AB692" s="1074"/>
      <c r="AC692" s="1074"/>
      <c r="AD692" s="1074"/>
      <c r="AE692" s="1074"/>
      <c r="AF692" s="1074"/>
      <c r="AG692" s="1074"/>
      <c r="AH692" s="1074"/>
      <c r="AI692" s="1074"/>
      <c r="AJ692" s="1074"/>
      <c r="AK692" s="1074"/>
      <c r="AL692" s="1074"/>
      <c r="AM692" s="1074"/>
      <c r="AN692" s="1074"/>
      <c r="AO692" s="1074"/>
      <c r="AP692" s="1074"/>
      <c r="AQ692" s="1074"/>
      <c r="AR692" s="1074"/>
      <c r="AS692" s="1074"/>
      <c r="AT692" s="1075"/>
    </row>
    <row r="693" ht="14.25" customHeight="1">
      <c r="A693" s="1116"/>
      <c r="B693" s="1120"/>
      <c r="C693" s="1100"/>
      <c r="D693" s="1100"/>
      <c r="E693" s="1100"/>
      <c r="F693" s="1100"/>
      <c r="G693" s="1100"/>
      <c r="H693" s="1100"/>
      <c r="I693" s="1100"/>
      <c r="J693" s="1100"/>
      <c r="K693" s="1074"/>
      <c r="L693" s="1074"/>
      <c r="M693" s="1074"/>
      <c r="N693" s="1074"/>
      <c r="O693" s="1074"/>
      <c r="P693" s="1074"/>
      <c r="Q693" s="1074"/>
      <c r="R693" s="1074"/>
      <c r="S693" s="1074"/>
      <c r="T693" s="1074"/>
      <c r="U693" s="1074"/>
      <c r="V693" s="1074"/>
      <c r="W693" s="1074"/>
      <c r="X693" s="1074"/>
      <c r="Y693" s="1074"/>
      <c r="Z693" s="1074"/>
      <c r="AA693" s="1074"/>
      <c r="AB693" s="1074"/>
      <c r="AC693" s="1074"/>
      <c r="AD693" s="1074"/>
      <c r="AE693" s="1074"/>
      <c r="AF693" s="1074"/>
      <c r="AG693" s="1074"/>
      <c r="AH693" s="1074"/>
      <c r="AI693" s="1074"/>
      <c r="AJ693" s="1074"/>
      <c r="AK693" s="1074"/>
      <c r="AL693" s="1074"/>
      <c r="AM693" s="1074"/>
      <c r="AN693" s="1074"/>
      <c r="AO693" s="1074"/>
      <c r="AP693" s="1074"/>
      <c r="AQ693" s="1074"/>
      <c r="AR693" s="1074"/>
      <c r="AS693" s="1074"/>
      <c r="AT693" s="1075"/>
    </row>
    <row r="694" ht="14.25" customHeight="1">
      <c r="A694" s="1116"/>
      <c r="B694" s="1120"/>
      <c r="C694" s="1100"/>
      <c r="D694" s="1100"/>
      <c r="E694" s="1100"/>
      <c r="F694" s="1100"/>
      <c r="G694" s="1100"/>
      <c r="H694" s="1100"/>
      <c r="I694" s="1100"/>
      <c r="J694" s="1100"/>
      <c r="K694" s="1074"/>
      <c r="L694" s="1074"/>
      <c r="M694" s="1074"/>
      <c r="N694" s="1074"/>
      <c r="O694" s="1074"/>
      <c r="P694" s="1074"/>
      <c r="Q694" s="1074"/>
      <c r="R694" s="1074"/>
      <c r="S694" s="1074"/>
      <c r="T694" s="1074"/>
      <c r="U694" s="1074"/>
      <c r="V694" s="1074"/>
      <c r="W694" s="1074"/>
      <c r="X694" s="1074"/>
      <c r="Y694" s="1074"/>
      <c r="Z694" s="1074"/>
      <c r="AA694" s="1074"/>
      <c r="AB694" s="1074"/>
      <c r="AC694" s="1074"/>
      <c r="AD694" s="1074"/>
      <c r="AE694" s="1074"/>
      <c r="AF694" s="1074"/>
      <c r="AG694" s="1074"/>
      <c r="AH694" s="1074"/>
      <c r="AI694" s="1074"/>
      <c r="AJ694" s="1074"/>
      <c r="AK694" s="1074"/>
      <c r="AL694" s="1074"/>
      <c r="AM694" s="1074"/>
      <c r="AN694" s="1074"/>
      <c r="AO694" s="1074"/>
      <c r="AP694" s="1074"/>
      <c r="AQ694" s="1074"/>
      <c r="AR694" s="1074"/>
      <c r="AS694" s="1074"/>
      <c r="AT694" s="1075"/>
    </row>
    <row r="695" ht="14.25" customHeight="1">
      <c r="A695" s="1116"/>
      <c r="B695" s="1120"/>
      <c r="C695" s="1100"/>
      <c r="D695" s="1100"/>
      <c r="E695" s="1100"/>
      <c r="F695" s="1100"/>
      <c r="G695" s="1100"/>
      <c r="H695" s="1100"/>
      <c r="I695" s="1100"/>
      <c r="J695" s="1100"/>
      <c r="K695" s="1074"/>
      <c r="L695" s="1074"/>
      <c r="M695" s="1074"/>
      <c r="N695" s="1074"/>
      <c r="O695" s="1074"/>
      <c r="P695" s="1074"/>
      <c r="Q695" s="1074"/>
      <c r="R695" s="1074"/>
      <c r="S695" s="1074"/>
      <c r="T695" s="1074"/>
      <c r="U695" s="1074"/>
      <c r="V695" s="1074"/>
      <c r="W695" s="1074"/>
      <c r="X695" s="1074"/>
      <c r="Y695" s="1074"/>
      <c r="Z695" s="1074"/>
      <c r="AA695" s="1074"/>
      <c r="AB695" s="1074"/>
      <c r="AC695" s="1074"/>
      <c r="AD695" s="1074"/>
      <c r="AE695" s="1074"/>
      <c r="AF695" s="1074"/>
      <c r="AG695" s="1074"/>
      <c r="AH695" s="1074"/>
      <c r="AI695" s="1074"/>
      <c r="AJ695" s="1074"/>
      <c r="AK695" s="1074"/>
      <c r="AL695" s="1074"/>
      <c r="AM695" s="1074"/>
      <c r="AN695" s="1074"/>
      <c r="AO695" s="1074"/>
      <c r="AP695" s="1074"/>
      <c r="AQ695" s="1074"/>
      <c r="AR695" s="1074"/>
      <c r="AS695" s="1074"/>
      <c r="AT695" s="1075"/>
    </row>
    <row r="696" ht="14.25" customHeight="1">
      <c r="A696" s="1116"/>
      <c r="B696" s="1120"/>
      <c r="C696" s="1100"/>
      <c r="D696" s="1100"/>
      <c r="E696" s="1100"/>
      <c r="F696" s="1100"/>
      <c r="G696" s="1100"/>
      <c r="H696" s="1100"/>
      <c r="I696" s="1100"/>
      <c r="J696" s="1100"/>
      <c r="K696" s="1074"/>
      <c r="L696" s="1074"/>
      <c r="M696" s="1074"/>
      <c r="N696" s="1074"/>
      <c r="O696" s="1074"/>
      <c r="P696" s="1074"/>
      <c r="Q696" s="1074"/>
      <c r="R696" s="1074"/>
      <c r="S696" s="1074"/>
      <c r="T696" s="1074"/>
      <c r="U696" s="1074"/>
      <c r="V696" s="1074"/>
      <c r="W696" s="1074"/>
      <c r="X696" s="1074"/>
      <c r="Y696" s="1074"/>
      <c r="Z696" s="1074"/>
      <c r="AA696" s="1074"/>
      <c r="AB696" s="1074"/>
      <c r="AC696" s="1074"/>
      <c r="AD696" s="1074"/>
      <c r="AE696" s="1074"/>
      <c r="AF696" s="1074"/>
      <c r="AG696" s="1074"/>
      <c r="AH696" s="1074"/>
      <c r="AI696" s="1074"/>
      <c r="AJ696" s="1074"/>
      <c r="AK696" s="1074"/>
      <c r="AL696" s="1074"/>
      <c r="AM696" s="1074"/>
      <c r="AN696" s="1074"/>
      <c r="AO696" s="1074"/>
      <c r="AP696" s="1074"/>
      <c r="AQ696" s="1074"/>
      <c r="AR696" s="1074"/>
      <c r="AS696" s="1074"/>
      <c r="AT696" s="1075"/>
    </row>
    <row r="697" ht="14.25" customHeight="1">
      <c r="A697" s="1116"/>
      <c r="B697" s="1120"/>
      <c r="C697" s="1100"/>
      <c r="D697" s="1100"/>
      <c r="E697" s="1100"/>
      <c r="F697" s="1100"/>
      <c r="G697" s="1100"/>
      <c r="H697" s="1100"/>
      <c r="I697" s="1100"/>
      <c r="J697" s="1100"/>
      <c r="K697" s="1074"/>
      <c r="L697" s="1074"/>
      <c r="M697" s="1074"/>
      <c r="N697" s="1074"/>
      <c r="O697" s="1074"/>
      <c r="P697" s="1074"/>
      <c r="Q697" s="1074"/>
      <c r="R697" s="1074"/>
      <c r="S697" s="1074"/>
      <c r="T697" s="1074"/>
      <c r="U697" s="1074"/>
      <c r="V697" s="1074"/>
      <c r="W697" s="1074"/>
      <c r="X697" s="1074"/>
      <c r="Y697" s="1074"/>
      <c r="Z697" s="1074"/>
      <c r="AA697" s="1074"/>
      <c r="AB697" s="1074"/>
      <c r="AC697" s="1074"/>
      <c r="AD697" s="1074"/>
      <c r="AE697" s="1074"/>
      <c r="AF697" s="1074"/>
      <c r="AG697" s="1074"/>
      <c r="AH697" s="1074"/>
      <c r="AI697" s="1074"/>
      <c r="AJ697" s="1074"/>
      <c r="AK697" s="1074"/>
      <c r="AL697" s="1074"/>
      <c r="AM697" s="1074"/>
      <c r="AN697" s="1074"/>
      <c r="AO697" s="1074"/>
      <c r="AP697" s="1074"/>
      <c r="AQ697" s="1074"/>
      <c r="AR697" s="1074"/>
      <c r="AS697" s="1074"/>
      <c r="AT697" s="1075"/>
    </row>
    <row r="698" ht="14.25" customHeight="1">
      <c r="A698" s="1116"/>
      <c r="B698" s="1120"/>
      <c r="C698" s="1100"/>
      <c r="D698" s="1100"/>
      <c r="E698" s="1100"/>
      <c r="F698" s="1100"/>
      <c r="G698" s="1100"/>
      <c r="H698" s="1100"/>
      <c r="I698" s="1100"/>
      <c r="J698" s="1100"/>
      <c r="K698" s="1074"/>
      <c r="L698" s="1074"/>
      <c r="M698" s="1074"/>
      <c r="N698" s="1074"/>
      <c r="O698" s="1074"/>
      <c r="P698" s="1074"/>
      <c r="Q698" s="1074"/>
      <c r="R698" s="1074"/>
      <c r="S698" s="1074"/>
      <c r="T698" s="1074"/>
      <c r="U698" s="1074"/>
      <c r="V698" s="1074"/>
      <c r="W698" s="1074"/>
      <c r="X698" s="1074"/>
      <c r="Y698" s="1074"/>
      <c r="Z698" s="1074"/>
      <c r="AA698" s="1074"/>
      <c r="AB698" s="1074"/>
      <c r="AC698" s="1074"/>
      <c r="AD698" s="1074"/>
      <c r="AE698" s="1074"/>
      <c r="AF698" s="1074"/>
      <c r="AG698" s="1074"/>
      <c r="AH698" s="1074"/>
      <c r="AI698" s="1074"/>
      <c r="AJ698" s="1074"/>
      <c r="AK698" s="1074"/>
      <c r="AL698" s="1074"/>
      <c r="AM698" s="1074"/>
      <c r="AN698" s="1074"/>
      <c r="AO698" s="1074"/>
      <c r="AP698" s="1074"/>
      <c r="AQ698" s="1074"/>
      <c r="AR698" s="1074"/>
      <c r="AS698" s="1074"/>
      <c r="AT698" s="1075"/>
    </row>
    <row r="699" ht="14.25" customHeight="1">
      <c r="A699" s="1116"/>
      <c r="B699" s="1120"/>
      <c r="C699" s="1100"/>
      <c r="D699" s="1100"/>
      <c r="E699" s="1100"/>
      <c r="F699" s="1100"/>
      <c r="G699" s="1100"/>
      <c r="H699" s="1100"/>
      <c r="I699" s="1100"/>
      <c r="J699" s="1100"/>
      <c r="K699" s="1074"/>
      <c r="L699" s="1074"/>
      <c r="M699" s="1074"/>
      <c r="N699" s="1074"/>
      <c r="O699" s="1074"/>
      <c r="P699" s="1074"/>
      <c r="Q699" s="1074"/>
      <c r="R699" s="1074"/>
      <c r="S699" s="1074"/>
      <c r="T699" s="1074"/>
      <c r="U699" s="1074"/>
      <c r="V699" s="1074"/>
      <c r="W699" s="1074"/>
      <c r="X699" s="1074"/>
      <c r="Y699" s="1074"/>
      <c r="Z699" s="1074"/>
      <c r="AA699" s="1074"/>
      <c r="AB699" s="1074"/>
      <c r="AC699" s="1074"/>
      <c r="AD699" s="1074"/>
      <c r="AE699" s="1074"/>
      <c r="AF699" s="1074"/>
      <c r="AG699" s="1074"/>
      <c r="AH699" s="1074"/>
      <c r="AI699" s="1074"/>
      <c r="AJ699" s="1074"/>
      <c r="AK699" s="1074"/>
      <c r="AL699" s="1074"/>
      <c r="AM699" s="1074"/>
      <c r="AN699" s="1074"/>
      <c r="AO699" s="1074"/>
      <c r="AP699" s="1074"/>
      <c r="AQ699" s="1074"/>
      <c r="AR699" s="1074"/>
      <c r="AS699" s="1074"/>
      <c r="AT699" s="1075"/>
    </row>
    <row r="700" ht="14.25" customHeight="1">
      <c r="A700" s="1116"/>
      <c r="B700" s="1120"/>
      <c r="C700" s="1100"/>
      <c r="D700" s="1100"/>
      <c r="E700" s="1100"/>
      <c r="F700" s="1100"/>
      <c r="G700" s="1100"/>
      <c r="H700" s="1100"/>
      <c r="I700" s="1100"/>
      <c r="J700" s="1100"/>
      <c r="K700" s="1074"/>
      <c r="L700" s="1074"/>
      <c r="M700" s="1074"/>
      <c r="N700" s="1074"/>
      <c r="O700" s="1074"/>
      <c r="P700" s="1074"/>
      <c r="Q700" s="1074"/>
      <c r="R700" s="1074"/>
      <c r="S700" s="1074"/>
      <c r="T700" s="1074"/>
      <c r="U700" s="1074"/>
      <c r="V700" s="1074"/>
      <c r="W700" s="1074"/>
      <c r="X700" s="1074"/>
      <c r="Y700" s="1074"/>
      <c r="Z700" s="1074"/>
      <c r="AA700" s="1074"/>
      <c r="AB700" s="1074"/>
      <c r="AC700" s="1074"/>
      <c r="AD700" s="1074"/>
      <c r="AE700" s="1074"/>
      <c r="AF700" s="1074"/>
      <c r="AG700" s="1074"/>
      <c r="AH700" s="1074"/>
      <c r="AI700" s="1074"/>
      <c r="AJ700" s="1074"/>
      <c r="AK700" s="1074"/>
      <c r="AL700" s="1074"/>
      <c r="AM700" s="1074"/>
      <c r="AN700" s="1074"/>
      <c r="AO700" s="1074"/>
      <c r="AP700" s="1074"/>
      <c r="AQ700" s="1074"/>
      <c r="AR700" s="1074"/>
      <c r="AS700" s="1074"/>
      <c r="AT700" s="1075"/>
    </row>
    <row r="701" ht="14.25" customHeight="1">
      <c r="A701" s="1116"/>
      <c r="B701" s="1120"/>
      <c r="C701" s="1100"/>
      <c r="D701" s="1100"/>
      <c r="E701" s="1100"/>
      <c r="F701" s="1100"/>
      <c r="G701" s="1100"/>
      <c r="H701" s="1100"/>
      <c r="I701" s="1100"/>
      <c r="J701" s="1100"/>
      <c r="K701" s="1074"/>
      <c r="L701" s="1074"/>
      <c r="M701" s="1074"/>
      <c r="N701" s="1074"/>
      <c r="O701" s="1074"/>
      <c r="P701" s="1074"/>
      <c r="Q701" s="1074"/>
      <c r="R701" s="1074"/>
      <c r="S701" s="1074"/>
      <c r="T701" s="1074"/>
      <c r="U701" s="1074"/>
      <c r="V701" s="1074"/>
      <c r="W701" s="1074"/>
      <c r="X701" s="1074"/>
      <c r="Y701" s="1074"/>
      <c r="Z701" s="1074"/>
      <c r="AA701" s="1074"/>
      <c r="AB701" s="1074"/>
      <c r="AC701" s="1074"/>
      <c r="AD701" s="1074"/>
      <c r="AE701" s="1074"/>
      <c r="AF701" s="1074"/>
      <c r="AG701" s="1074"/>
      <c r="AH701" s="1074"/>
      <c r="AI701" s="1074"/>
      <c r="AJ701" s="1074"/>
      <c r="AK701" s="1074"/>
      <c r="AL701" s="1074"/>
      <c r="AM701" s="1074"/>
      <c r="AN701" s="1074"/>
      <c r="AO701" s="1074"/>
      <c r="AP701" s="1074"/>
      <c r="AQ701" s="1074"/>
      <c r="AR701" s="1074"/>
      <c r="AS701" s="1074"/>
      <c r="AT701" s="1075"/>
    </row>
    <row r="702" ht="14.25" customHeight="1">
      <c r="A702" s="1116"/>
      <c r="B702" s="1120"/>
      <c r="C702" s="1100"/>
      <c r="D702" s="1100"/>
      <c r="E702" s="1100"/>
      <c r="F702" s="1100"/>
      <c r="G702" s="1100"/>
      <c r="H702" s="1100"/>
      <c r="I702" s="1100"/>
      <c r="J702" s="1100"/>
      <c r="K702" s="1074"/>
      <c r="L702" s="1074"/>
      <c r="M702" s="1074"/>
      <c r="N702" s="1074"/>
      <c r="O702" s="1074"/>
      <c r="P702" s="1074"/>
      <c r="Q702" s="1074"/>
      <c r="R702" s="1074"/>
      <c r="S702" s="1074"/>
      <c r="T702" s="1074"/>
      <c r="U702" s="1074"/>
      <c r="V702" s="1074"/>
      <c r="W702" s="1074"/>
      <c r="X702" s="1074"/>
      <c r="Y702" s="1074"/>
      <c r="Z702" s="1074"/>
      <c r="AA702" s="1074"/>
      <c r="AB702" s="1074"/>
      <c r="AC702" s="1074"/>
      <c r="AD702" s="1074"/>
      <c r="AE702" s="1074"/>
      <c r="AF702" s="1074"/>
      <c r="AG702" s="1074"/>
      <c r="AH702" s="1074"/>
      <c r="AI702" s="1074"/>
      <c r="AJ702" s="1074"/>
      <c r="AK702" s="1074"/>
      <c r="AL702" s="1074"/>
      <c r="AM702" s="1074"/>
      <c r="AN702" s="1074"/>
      <c r="AO702" s="1074"/>
      <c r="AP702" s="1074"/>
      <c r="AQ702" s="1074"/>
      <c r="AR702" s="1074"/>
      <c r="AS702" s="1074"/>
      <c r="AT702" s="1075"/>
    </row>
    <row r="703" ht="14.25" customHeight="1">
      <c r="A703" s="1116"/>
      <c r="B703" s="1120"/>
      <c r="C703" s="1100"/>
      <c r="D703" s="1100"/>
      <c r="E703" s="1100"/>
      <c r="F703" s="1100"/>
      <c r="G703" s="1100"/>
      <c r="H703" s="1100"/>
      <c r="I703" s="1100"/>
      <c r="J703" s="1100"/>
      <c r="K703" s="1074"/>
      <c r="L703" s="1074"/>
      <c r="M703" s="1074"/>
      <c r="N703" s="1074"/>
      <c r="O703" s="1074"/>
      <c r="P703" s="1074"/>
      <c r="Q703" s="1074"/>
      <c r="R703" s="1074"/>
      <c r="S703" s="1074"/>
      <c r="T703" s="1074"/>
      <c r="U703" s="1074"/>
      <c r="V703" s="1074"/>
      <c r="W703" s="1074"/>
      <c r="X703" s="1074"/>
      <c r="Y703" s="1074"/>
      <c r="Z703" s="1074"/>
      <c r="AA703" s="1074"/>
      <c r="AB703" s="1074"/>
      <c r="AC703" s="1074"/>
      <c r="AD703" s="1074"/>
      <c r="AE703" s="1074"/>
      <c r="AF703" s="1074"/>
      <c r="AG703" s="1074"/>
      <c r="AH703" s="1074"/>
      <c r="AI703" s="1074"/>
      <c r="AJ703" s="1074"/>
      <c r="AK703" s="1074"/>
      <c r="AL703" s="1074"/>
      <c r="AM703" s="1074"/>
      <c r="AN703" s="1074"/>
      <c r="AO703" s="1074"/>
      <c r="AP703" s="1074"/>
      <c r="AQ703" s="1074"/>
      <c r="AR703" s="1074"/>
      <c r="AS703" s="1074"/>
      <c r="AT703" s="1075"/>
    </row>
    <row r="704" ht="14.25" customHeight="1">
      <c r="A704" s="1116"/>
      <c r="B704" s="1120"/>
      <c r="C704" s="1100"/>
      <c r="D704" s="1100"/>
      <c r="E704" s="1100"/>
      <c r="F704" s="1100"/>
      <c r="G704" s="1100"/>
      <c r="H704" s="1100"/>
      <c r="I704" s="1100"/>
      <c r="J704" s="1100"/>
      <c r="K704" s="1074"/>
      <c r="L704" s="1074"/>
      <c r="M704" s="1074"/>
      <c r="N704" s="1074"/>
      <c r="O704" s="1074"/>
      <c r="P704" s="1074"/>
      <c r="Q704" s="1074"/>
      <c r="R704" s="1074"/>
      <c r="S704" s="1074"/>
      <c r="T704" s="1074"/>
      <c r="U704" s="1074"/>
      <c r="V704" s="1074"/>
      <c r="W704" s="1074"/>
      <c r="X704" s="1074"/>
      <c r="Y704" s="1074"/>
      <c r="Z704" s="1074"/>
      <c r="AA704" s="1074"/>
      <c r="AB704" s="1074"/>
      <c r="AC704" s="1074"/>
      <c r="AD704" s="1074"/>
      <c r="AE704" s="1074"/>
      <c r="AF704" s="1074"/>
      <c r="AG704" s="1074"/>
      <c r="AH704" s="1074"/>
      <c r="AI704" s="1074"/>
      <c r="AJ704" s="1074"/>
      <c r="AK704" s="1074"/>
      <c r="AL704" s="1074"/>
      <c r="AM704" s="1074"/>
      <c r="AN704" s="1074"/>
      <c r="AO704" s="1074"/>
      <c r="AP704" s="1074"/>
      <c r="AQ704" s="1074"/>
      <c r="AR704" s="1074"/>
      <c r="AS704" s="1074"/>
      <c r="AT704" s="1075"/>
    </row>
    <row r="705" ht="14.25" customHeight="1">
      <c r="A705" s="1116"/>
      <c r="B705" s="1120"/>
      <c r="C705" s="1100"/>
      <c r="D705" s="1100"/>
      <c r="E705" s="1100"/>
      <c r="F705" s="1100"/>
      <c r="G705" s="1100"/>
      <c r="H705" s="1100"/>
      <c r="I705" s="1100"/>
      <c r="J705" s="1100"/>
      <c r="K705" s="1074"/>
      <c r="L705" s="1074"/>
      <c r="M705" s="1074"/>
      <c r="N705" s="1074"/>
      <c r="O705" s="1074"/>
      <c r="P705" s="1074"/>
      <c r="Q705" s="1074"/>
      <c r="R705" s="1074"/>
      <c r="S705" s="1074"/>
      <c r="T705" s="1074"/>
      <c r="U705" s="1074"/>
      <c r="V705" s="1074"/>
      <c r="W705" s="1074"/>
      <c r="X705" s="1074"/>
      <c r="Y705" s="1074"/>
      <c r="Z705" s="1074"/>
      <c r="AA705" s="1074"/>
      <c r="AB705" s="1074"/>
      <c r="AC705" s="1074"/>
      <c r="AD705" s="1074"/>
      <c r="AE705" s="1074"/>
      <c r="AF705" s="1074"/>
      <c r="AG705" s="1074"/>
      <c r="AH705" s="1074"/>
      <c r="AI705" s="1074"/>
      <c r="AJ705" s="1074"/>
      <c r="AK705" s="1074"/>
      <c r="AL705" s="1074"/>
      <c r="AM705" s="1074"/>
      <c r="AN705" s="1074"/>
      <c r="AO705" s="1074"/>
      <c r="AP705" s="1074"/>
      <c r="AQ705" s="1074"/>
      <c r="AR705" s="1074"/>
      <c r="AS705" s="1074"/>
      <c r="AT705" s="1075"/>
    </row>
    <row r="706" ht="14.25" customHeight="1">
      <c r="A706" s="1116"/>
      <c r="B706" s="1120"/>
      <c r="C706" s="1100"/>
      <c r="D706" s="1100"/>
      <c r="E706" s="1100"/>
      <c r="F706" s="1100"/>
      <c r="G706" s="1100"/>
      <c r="H706" s="1100"/>
      <c r="I706" s="1100"/>
      <c r="J706" s="1100"/>
      <c r="K706" s="1074"/>
      <c r="L706" s="1074"/>
      <c r="M706" s="1074"/>
      <c r="N706" s="1074"/>
      <c r="O706" s="1074"/>
      <c r="P706" s="1074"/>
      <c r="Q706" s="1074"/>
      <c r="R706" s="1074"/>
      <c r="S706" s="1074"/>
      <c r="T706" s="1074"/>
      <c r="U706" s="1074"/>
      <c r="V706" s="1074"/>
      <c r="W706" s="1074"/>
      <c r="X706" s="1074"/>
      <c r="Y706" s="1074"/>
      <c r="Z706" s="1074"/>
      <c r="AA706" s="1074"/>
      <c r="AB706" s="1074"/>
      <c r="AC706" s="1074"/>
      <c r="AD706" s="1074"/>
      <c r="AE706" s="1074"/>
      <c r="AF706" s="1074"/>
      <c r="AG706" s="1074"/>
      <c r="AH706" s="1074"/>
      <c r="AI706" s="1074"/>
      <c r="AJ706" s="1074"/>
      <c r="AK706" s="1074"/>
      <c r="AL706" s="1074"/>
      <c r="AM706" s="1074"/>
      <c r="AN706" s="1074"/>
      <c r="AO706" s="1074"/>
      <c r="AP706" s="1074"/>
      <c r="AQ706" s="1074"/>
      <c r="AR706" s="1074"/>
      <c r="AS706" s="1074"/>
      <c r="AT706" s="1075"/>
    </row>
    <row r="707" ht="14.25" customHeight="1">
      <c r="A707" s="1116"/>
      <c r="B707" s="1120"/>
      <c r="C707" s="1100"/>
      <c r="D707" s="1100"/>
      <c r="E707" s="1100"/>
      <c r="F707" s="1100"/>
      <c r="G707" s="1100"/>
      <c r="H707" s="1100"/>
      <c r="I707" s="1100"/>
      <c r="J707" s="1100"/>
      <c r="K707" s="1074"/>
      <c r="L707" s="1074"/>
      <c r="M707" s="1074"/>
      <c r="N707" s="1074"/>
      <c r="O707" s="1074"/>
      <c r="P707" s="1074"/>
      <c r="Q707" s="1074"/>
      <c r="R707" s="1074"/>
      <c r="S707" s="1074"/>
      <c r="T707" s="1074"/>
      <c r="U707" s="1074"/>
      <c r="V707" s="1074"/>
      <c r="W707" s="1074"/>
      <c r="X707" s="1074"/>
      <c r="Y707" s="1074"/>
      <c r="Z707" s="1074"/>
      <c r="AA707" s="1074"/>
      <c r="AB707" s="1074"/>
      <c r="AC707" s="1074"/>
      <c r="AD707" s="1074"/>
      <c r="AE707" s="1074"/>
      <c r="AF707" s="1074"/>
      <c r="AG707" s="1074"/>
      <c r="AH707" s="1074"/>
      <c r="AI707" s="1074"/>
      <c r="AJ707" s="1074"/>
      <c r="AK707" s="1074"/>
      <c r="AL707" s="1074"/>
      <c r="AM707" s="1074"/>
      <c r="AN707" s="1074"/>
      <c r="AO707" s="1074"/>
      <c r="AP707" s="1074"/>
      <c r="AQ707" s="1074"/>
      <c r="AR707" s="1074"/>
      <c r="AS707" s="1074"/>
      <c r="AT707" s="1075"/>
    </row>
    <row r="708" ht="14.25" customHeight="1">
      <c r="A708" s="1116"/>
      <c r="B708" s="1120"/>
      <c r="C708" s="1100"/>
      <c r="D708" s="1100"/>
      <c r="E708" s="1100"/>
      <c r="F708" s="1100"/>
      <c r="G708" s="1100"/>
      <c r="H708" s="1100"/>
      <c r="I708" s="1100"/>
      <c r="J708" s="1100"/>
      <c r="K708" s="1074"/>
      <c r="L708" s="1074"/>
      <c r="M708" s="1074"/>
      <c r="N708" s="1074"/>
      <c r="O708" s="1074"/>
      <c r="P708" s="1074"/>
      <c r="Q708" s="1074"/>
      <c r="R708" s="1074"/>
      <c r="S708" s="1074"/>
      <c r="T708" s="1074"/>
      <c r="U708" s="1074"/>
      <c r="V708" s="1074"/>
      <c r="W708" s="1074"/>
      <c r="X708" s="1074"/>
      <c r="Y708" s="1074"/>
      <c r="Z708" s="1074"/>
      <c r="AA708" s="1074"/>
      <c r="AB708" s="1074"/>
      <c r="AC708" s="1074"/>
      <c r="AD708" s="1074"/>
      <c r="AE708" s="1074"/>
      <c r="AF708" s="1074"/>
      <c r="AG708" s="1074"/>
      <c r="AH708" s="1074"/>
      <c r="AI708" s="1074"/>
      <c r="AJ708" s="1074"/>
      <c r="AK708" s="1074"/>
      <c r="AL708" s="1074"/>
      <c r="AM708" s="1074"/>
      <c r="AN708" s="1074"/>
      <c r="AO708" s="1074"/>
      <c r="AP708" s="1074"/>
      <c r="AQ708" s="1074"/>
      <c r="AR708" s="1074"/>
      <c r="AS708" s="1074"/>
      <c r="AT708" s="1075"/>
    </row>
    <row r="709" ht="14.25" customHeight="1">
      <c r="A709" s="1116"/>
      <c r="B709" s="1120"/>
      <c r="C709" s="1100"/>
      <c r="D709" s="1100"/>
      <c r="E709" s="1100"/>
      <c r="F709" s="1100"/>
      <c r="G709" s="1100"/>
      <c r="H709" s="1100"/>
      <c r="I709" s="1100"/>
      <c r="J709" s="1100"/>
      <c r="K709" s="1074"/>
      <c r="L709" s="1074"/>
      <c r="M709" s="1074"/>
      <c r="N709" s="1074"/>
      <c r="O709" s="1074"/>
      <c r="P709" s="1074"/>
      <c r="Q709" s="1074"/>
      <c r="R709" s="1074"/>
      <c r="S709" s="1074"/>
      <c r="T709" s="1074"/>
      <c r="U709" s="1074"/>
      <c r="V709" s="1074"/>
      <c r="W709" s="1074"/>
      <c r="X709" s="1074"/>
      <c r="Y709" s="1074"/>
      <c r="Z709" s="1074"/>
      <c r="AA709" s="1074"/>
      <c r="AB709" s="1074"/>
      <c r="AC709" s="1074"/>
      <c r="AD709" s="1074"/>
      <c r="AE709" s="1074"/>
      <c r="AF709" s="1074"/>
      <c r="AG709" s="1074"/>
      <c r="AH709" s="1074"/>
      <c r="AI709" s="1074"/>
      <c r="AJ709" s="1074"/>
      <c r="AK709" s="1074"/>
      <c r="AL709" s="1074"/>
      <c r="AM709" s="1074"/>
      <c r="AN709" s="1074"/>
      <c r="AO709" s="1074"/>
      <c r="AP709" s="1074"/>
      <c r="AQ709" s="1074"/>
      <c r="AR709" s="1074"/>
      <c r="AS709" s="1074"/>
      <c r="AT709" s="1075"/>
    </row>
    <row r="710" ht="14.25" customHeight="1">
      <c r="A710" s="1116"/>
      <c r="B710" s="1120"/>
      <c r="C710" s="1100"/>
      <c r="D710" s="1100"/>
      <c r="E710" s="1100"/>
      <c r="F710" s="1100"/>
      <c r="G710" s="1100"/>
      <c r="H710" s="1100"/>
      <c r="I710" s="1100"/>
      <c r="J710" s="1100"/>
      <c r="K710" s="1074"/>
      <c r="L710" s="1074"/>
      <c r="M710" s="1074"/>
      <c r="N710" s="1074"/>
      <c r="O710" s="1074"/>
      <c r="P710" s="1074"/>
      <c r="Q710" s="1074"/>
      <c r="R710" s="1074"/>
      <c r="S710" s="1074"/>
      <c r="T710" s="1074"/>
      <c r="U710" s="1074"/>
      <c r="V710" s="1074"/>
      <c r="W710" s="1074"/>
      <c r="X710" s="1074"/>
      <c r="Y710" s="1074"/>
      <c r="Z710" s="1074"/>
      <c r="AA710" s="1074"/>
      <c r="AB710" s="1074"/>
      <c r="AC710" s="1074"/>
      <c r="AD710" s="1074"/>
      <c r="AE710" s="1074"/>
      <c r="AF710" s="1074"/>
      <c r="AG710" s="1074"/>
      <c r="AH710" s="1074"/>
      <c r="AI710" s="1074"/>
      <c r="AJ710" s="1074"/>
      <c r="AK710" s="1074"/>
      <c r="AL710" s="1074"/>
      <c r="AM710" s="1074"/>
      <c r="AN710" s="1074"/>
      <c r="AO710" s="1074"/>
      <c r="AP710" s="1074"/>
      <c r="AQ710" s="1074"/>
      <c r="AR710" s="1074"/>
      <c r="AS710" s="1074"/>
      <c r="AT710" s="1075"/>
    </row>
    <row r="711" ht="14.25" customHeight="1">
      <c r="A711" s="1116"/>
      <c r="B711" s="1120"/>
      <c r="C711" s="1100"/>
      <c r="D711" s="1100"/>
      <c r="E711" s="1100"/>
      <c r="F711" s="1100"/>
      <c r="G711" s="1100"/>
      <c r="H711" s="1100"/>
      <c r="I711" s="1100"/>
      <c r="J711" s="1100"/>
      <c r="K711" s="1074"/>
      <c r="L711" s="1074"/>
      <c r="M711" s="1074"/>
      <c r="N711" s="1074"/>
      <c r="O711" s="1074"/>
      <c r="P711" s="1074"/>
      <c r="Q711" s="1074"/>
      <c r="R711" s="1074"/>
      <c r="S711" s="1074"/>
      <c r="T711" s="1074"/>
      <c r="U711" s="1074"/>
      <c r="V711" s="1074"/>
      <c r="W711" s="1074"/>
      <c r="X711" s="1074"/>
      <c r="Y711" s="1074"/>
      <c r="Z711" s="1074"/>
      <c r="AA711" s="1074"/>
      <c r="AB711" s="1074"/>
      <c r="AC711" s="1074"/>
      <c r="AD711" s="1074"/>
      <c r="AE711" s="1074"/>
      <c r="AF711" s="1074"/>
      <c r="AG711" s="1074"/>
      <c r="AH711" s="1074"/>
      <c r="AI711" s="1074"/>
      <c r="AJ711" s="1074"/>
      <c r="AK711" s="1074"/>
      <c r="AL711" s="1074"/>
      <c r="AM711" s="1074"/>
      <c r="AN711" s="1074"/>
      <c r="AO711" s="1074"/>
      <c r="AP711" s="1074"/>
      <c r="AQ711" s="1074"/>
      <c r="AR711" s="1074"/>
      <c r="AS711" s="1074"/>
      <c r="AT711" s="1075"/>
    </row>
    <row r="712" ht="14.25" customHeight="1">
      <c r="A712" s="1116"/>
      <c r="B712" s="1120"/>
      <c r="C712" s="1100"/>
      <c r="D712" s="1100"/>
      <c r="E712" s="1100"/>
      <c r="F712" s="1100"/>
      <c r="G712" s="1100"/>
      <c r="H712" s="1100"/>
      <c r="I712" s="1100"/>
      <c r="J712" s="1100"/>
      <c r="K712" s="1074"/>
      <c r="L712" s="1074"/>
      <c r="M712" s="1074"/>
      <c r="N712" s="1074"/>
      <c r="O712" s="1074"/>
      <c r="P712" s="1074"/>
      <c r="Q712" s="1074"/>
      <c r="R712" s="1074"/>
      <c r="S712" s="1074"/>
      <c r="T712" s="1074"/>
      <c r="U712" s="1074"/>
      <c r="V712" s="1074"/>
      <c r="W712" s="1074"/>
      <c r="X712" s="1074"/>
      <c r="Y712" s="1074"/>
      <c r="Z712" s="1074"/>
      <c r="AA712" s="1074"/>
      <c r="AB712" s="1074"/>
      <c r="AC712" s="1074"/>
      <c r="AD712" s="1074"/>
      <c r="AE712" s="1074"/>
      <c r="AF712" s="1074"/>
      <c r="AG712" s="1074"/>
      <c r="AH712" s="1074"/>
      <c r="AI712" s="1074"/>
      <c r="AJ712" s="1074"/>
      <c r="AK712" s="1074"/>
      <c r="AL712" s="1074"/>
      <c r="AM712" s="1074"/>
      <c r="AN712" s="1074"/>
      <c r="AO712" s="1074"/>
      <c r="AP712" s="1074"/>
      <c r="AQ712" s="1074"/>
      <c r="AR712" s="1074"/>
      <c r="AS712" s="1074"/>
      <c r="AT712" s="1075"/>
    </row>
    <row r="713" ht="14.25" customHeight="1">
      <c r="A713" s="1116"/>
      <c r="B713" s="1120"/>
      <c r="C713" s="1100"/>
      <c r="D713" s="1100"/>
      <c r="E713" s="1100"/>
      <c r="F713" s="1100"/>
      <c r="G713" s="1100"/>
      <c r="H713" s="1100"/>
      <c r="I713" s="1100"/>
      <c r="J713" s="1100"/>
      <c r="K713" s="1074"/>
      <c r="L713" s="1074"/>
      <c r="M713" s="1074"/>
      <c r="N713" s="1074"/>
      <c r="O713" s="1074"/>
      <c r="P713" s="1074"/>
      <c r="Q713" s="1074"/>
      <c r="R713" s="1074"/>
      <c r="S713" s="1074"/>
      <c r="T713" s="1074"/>
      <c r="U713" s="1074"/>
      <c r="V713" s="1074"/>
      <c r="W713" s="1074"/>
      <c r="X713" s="1074"/>
      <c r="Y713" s="1074"/>
      <c r="Z713" s="1074"/>
      <c r="AA713" s="1074"/>
      <c r="AB713" s="1074"/>
      <c r="AC713" s="1074"/>
      <c r="AD713" s="1074"/>
      <c r="AE713" s="1074"/>
      <c r="AF713" s="1074"/>
      <c r="AG713" s="1074"/>
      <c r="AH713" s="1074"/>
      <c r="AI713" s="1074"/>
      <c r="AJ713" s="1074"/>
      <c r="AK713" s="1074"/>
      <c r="AL713" s="1074"/>
      <c r="AM713" s="1074"/>
      <c r="AN713" s="1074"/>
      <c r="AO713" s="1074"/>
      <c r="AP713" s="1074"/>
      <c r="AQ713" s="1074"/>
      <c r="AR713" s="1074"/>
      <c r="AS713" s="1074"/>
      <c r="AT713" s="1075"/>
    </row>
    <row r="714" ht="14.25" customHeight="1">
      <c r="A714" s="1116"/>
      <c r="B714" s="1120"/>
      <c r="C714" s="1100"/>
      <c r="D714" s="1100"/>
      <c r="E714" s="1100"/>
      <c r="F714" s="1100"/>
      <c r="G714" s="1100"/>
      <c r="H714" s="1100"/>
      <c r="I714" s="1100"/>
      <c r="J714" s="1100"/>
      <c r="K714" s="1074"/>
      <c r="L714" s="1074"/>
      <c r="M714" s="1074"/>
      <c r="N714" s="1074"/>
      <c r="O714" s="1074"/>
      <c r="P714" s="1074"/>
      <c r="Q714" s="1074"/>
      <c r="R714" s="1074"/>
      <c r="S714" s="1074"/>
      <c r="T714" s="1074"/>
      <c r="U714" s="1074"/>
      <c r="V714" s="1074"/>
      <c r="W714" s="1074"/>
      <c r="X714" s="1074"/>
      <c r="Y714" s="1074"/>
      <c r="Z714" s="1074"/>
      <c r="AA714" s="1074"/>
      <c r="AB714" s="1074"/>
      <c r="AC714" s="1074"/>
      <c r="AD714" s="1074"/>
      <c r="AE714" s="1074"/>
      <c r="AF714" s="1074"/>
      <c r="AG714" s="1074"/>
      <c r="AH714" s="1074"/>
      <c r="AI714" s="1074"/>
      <c r="AJ714" s="1074"/>
      <c r="AK714" s="1074"/>
      <c r="AL714" s="1074"/>
      <c r="AM714" s="1074"/>
      <c r="AN714" s="1074"/>
      <c r="AO714" s="1074"/>
      <c r="AP714" s="1074"/>
      <c r="AQ714" s="1074"/>
      <c r="AR714" s="1074"/>
      <c r="AS714" s="1074"/>
      <c r="AT714" s="1075"/>
    </row>
    <row r="715" ht="14.25" customHeight="1">
      <c r="A715" s="1116"/>
      <c r="B715" s="1120"/>
      <c r="C715" s="1100"/>
      <c r="D715" s="1100"/>
      <c r="E715" s="1100"/>
      <c r="F715" s="1100"/>
      <c r="G715" s="1100"/>
      <c r="H715" s="1100"/>
      <c r="I715" s="1100"/>
      <c r="J715" s="1100"/>
      <c r="K715" s="1074"/>
      <c r="L715" s="1074"/>
      <c r="M715" s="1074"/>
      <c r="N715" s="1074"/>
      <c r="O715" s="1074"/>
      <c r="P715" s="1074"/>
      <c r="Q715" s="1074"/>
      <c r="R715" s="1074"/>
      <c r="S715" s="1074"/>
      <c r="T715" s="1074"/>
      <c r="U715" s="1074"/>
      <c r="V715" s="1074"/>
      <c r="W715" s="1074"/>
      <c r="X715" s="1074"/>
      <c r="Y715" s="1074"/>
      <c r="Z715" s="1074"/>
      <c r="AA715" s="1074"/>
      <c r="AB715" s="1074"/>
      <c r="AC715" s="1074"/>
      <c r="AD715" s="1074"/>
      <c r="AE715" s="1074"/>
      <c r="AF715" s="1074"/>
      <c r="AG715" s="1074"/>
      <c r="AH715" s="1074"/>
      <c r="AI715" s="1074"/>
      <c r="AJ715" s="1074"/>
      <c r="AK715" s="1074"/>
      <c r="AL715" s="1074"/>
      <c r="AM715" s="1074"/>
      <c r="AN715" s="1074"/>
      <c r="AO715" s="1074"/>
      <c r="AP715" s="1074"/>
      <c r="AQ715" s="1074"/>
      <c r="AR715" s="1074"/>
      <c r="AS715" s="1074"/>
      <c r="AT715" s="1075"/>
    </row>
    <row r="716" ht="14.25" customHeight="1">
      <c r="A716" s="1116"/>
      <c r="B716" s="1120"/>
      <c r="C716" s="1100"/>
      <c r="D716" s="1100"/>
      <c r="E716" s="1100"/>
      <c r="F716" s="1100"/>
      <c r="G716" s="1100"/>
      <c r="H716" s="1100"/>
      <c r="I716" s="1100"/>
      <c r="J716" s="1100"/>
      <c r="K716" s="1074"/>
      <c r="L716" s="1074"/>
      <c r="M716" s="1074"/>
      <c r="N716" s="1074"/>
      <c r="O716" s="1074"/>
      <c r="P716" s="1074"/>
      <c r="Q716" s="1074"/>
      <c r="R716" s="1074"/>
      <c r="S716" s="1074"/>
      <c r="T716" s="1074"/>
      <c r="U716" s="1074"/>
      <c r="V716" s="1074"/>
      <c r="W716" s="1074"/>
      <c r="X716" s="1074"/>
      <c r="Y716" s="1074"/>
      <c r="Z716" s="1074"/>
      <c r="AA716" s="1074"/>
      <c r="AB716" s="1074"/>
      <c r="AC716" s="1074"/>
      <c r="AD716" s="1074"/>
      <c r="AE716" s="1074"/>
      <c r="AF716" s="1074"/>
      <c r="AG716" s="1074"/>
      <c r="AH716" s="1074"/>
      <c r="AI716" s="1074"/>
      <c r="AJ716" s="1074"/>
      <c r="AK716" s="1074"/>
      <c r="AL716" s="1074"/>
      <c r="AM716" s="1074"/>
      <c r="AN716" s="1074"/>
      <c r="AO716" s="1074"/>
      <c r="AP716" s="1074"/>
      <c r="AQ716" s="1074"/>
      <c r="AR716" s="1074"/>
      <c r="AS716" s="1074"/>
      <c r="AT716" s="1075"/>
    </row>
    <row r="717" ht="14.25" customHeight="1">
      <c r="A717" s="1116"/>
      <c r="B717" s="1120"/>
      <c r="C717" s="1100"/>
      <c r="D717" s="1100"/>
      <c r="E717" s="1100"/>
      <c r="F717" s="1100"/>
      <c r="G717" s="1100"/>
      <c r="H717" s="1100"/>
      <c r="I717" s="1100"/>
      <c r="J717" s="1100"/>
      <c r="K717" s="1074"/>
      <c r="L717" s="1074"/>
      <c r="M717" s="1074"/>
      <c r="N717" s="1074"/>
      <c r="O717" s="1074"/>
      <c r="P717" s="1074"/>
      <c r="Q717" s="1074"/>
      <c r="R717" s="1074"/>
      <c r="S717" s="1074"/>
      <c r="T717" s="1074"/>
      <c r="U717" s="1074"/>
      <c r="V717" s="1074"/>
      <c r="W717" s="1074"/>
      <c r="X717" s="1074"/>
      <c r="Y717" s="1074"/>
      <c r="Z717" s="1074"/>
      <c r="AA717" s="1074"/>
      <c r="AB717" s="1074"/>
      <c r="AC717" s="1074"/>
      <c r="AD717" s="1074"/>
      <c r="AE717" s="1074"/>
      <c r="AF717" s="1074"/>
      <c r="AG717" s="1074"/>
      <c r="AH717" s="1074"/>
      <c r="AI717" s="1074"/>
      <c r="AJ717" s="1074"/>
      <c r="AK717" s="1074"/>
      <c r="AL717" s="1074"/>
      <c r="AM717" s="1074"/>
      <c r="AN717" s="1074"/>
      <c r="AO717" s="1074"/>
      <c r="AP717" s="1074"/>
      <c r="AQ717" s="1074"/>
      <c r="AR717" s="1074"/>
      <c r="AS717" s="1074"/>
      <c r="AT717" s="1075"/>
    </row>
    <row r="718" ht="14.25" customHeight="1">
      <c r="A718" s="1116"/>
      <c r="B718" s="1120"/>
      <c r="C718" s="1100"/>
      <c r="D718" s="1100"/>
      <c r="E718" s="1100"/>
      <c r="F718" s="1100"/>
      <c r="G718" s="1100"/>
      <c r="H718" s="1100"/>
      <c r="I718" s="1100"/>
      <c r="J718" s="1100"/>
      <c r="K718" s="1074"/>
      <c r="L718" s="1074"/>
      <c r="M718" s="1074"/>
      <c r="N718" s="1074"/>
      <c r="O718" s="1074"/>
      <c r="P718" s="1074"/>
      <c r="Q718" s="1074"/>
      <c r="R718" s="1074"/>
      <c r="S718" s="1074"/>
      <c r="T718" s="1074"/>
      <c r="U718" s="1074"/>
      <c r="V718" s="1074"/>
      <c r="W718" s="1074"/>
      <c r="X718" s="1074"/>
      <c r="Y718" s="1074"/>
      <c r="Z718" s="1074"/>
      <c r="AA718" s="1074"/>
      <c r="AB718" s="1074"/>
      <c r="AC718" s="1074"/>
      <c r="AD718" s="1074"/>
      <c r="AE718" s="1074"/>
      <c r="AF718" s="1074"/>
      <c r="AG718" s="1074"/>
      <c r="AH718" s="1074"/>
      <c r="AI718" s="1074"/>
      <c r="AJ718" s="1074"/>
      <c r="AK718" s="1074"/>
      <c r="AL718" s="1074"/>
      <c r="AM718" s="1074"/>
      <c r="AN718" s="1074"/>
      <c r="AO718" s="1074"/>
      <c r="AP718" s="1074"/>
      <c r="AQ718" s="1074"/>
      <c r="AR718" s="1074"/>
      <c r="AS718" s="1074"/>
      <c r="AT718" s="1075"/>
    </row>
    <row r="719" ht="14.25" customHeight="1">
      <c r="A719" s="1116"/>
      <c r="B719" s="1120"/>
      <c r="C719" s="1100"/>
      <c r="D719" s="1100"/>
      <c r="E719" s="1100"/>
      <c r="F719" s="1100"/>
      <c r="G719" s="1100"/>
      <c r="H719" s="1100"/>
      <c r="I719" s="1100"/>
      <c r="J719" s="1100"/>
      <c r="K719" s="1074"/>
      <c r="L719" s="1074"/>
      <c r="M719" s="1074"/>
      <c r="N719" s="1074"/>
      <c r="O719" s="1074"/>
      <c r="P719" s="1074"/>
      <c r="Q719" s="1074"/>
      <c r="R719" s="1074"/>
      <c r="S719" s="1074"/>
      <c r="T719" s="1074"/>
      <c r="U719" s="1074"/>
      <c r="V719" s="1074"/>
      <c r="W719" s="1074"/>
      <c r="X719" s="1074"/>
      <c r="Y719" s="1074"/>
      <c r="Z719" s="1074"/>
      <c r="AA719" s="1074"/>
      <c r="AB719" s="1074"/>
      <c r="AC719" s="1074"/>
      <c r="AD719" s="1074"/>
      <c r="AE719" s="1074"/>
      <c r="AF719" s="1074"/>
      <c r="AG719" s="1074"/>
      <c r="AH719" s="1074"/>
      <c r="AI719" s="1074"/>
      <c r="AJ719" s="1074"/>
      <c r="AK719" s="1074"/>
      <c r="AL719" s="1074"/>
      <c r="AM719" s="1074"/>
      <c r="AN719" s="1074"/>
      <c r="AO719" s="1074"/>
      <c r="AP719" s="1074"/>
      <c r="AQ719" s="1074"/>
      <c r="AR719" s="1074"/>
      <c r="AS719" s="1074"/>
      <c r="AT719" s="1075"/>
    </row>
    <row r="720" ht="14.25" customHeight="1">
      <c r="A720" s="1116"/>
      <c r="B720" s="1120"/>
      <c r="C720" s="1100"/>
      <c r="D720" s="1100"/>
      <c r="E720" s="1100"/>
      <c r="F720" s="1100"/>
      <c r="G720" s="1100"/>
      <c r="H720" s="1100"/>
      <c r="I720" s="1100"/>
      <c r="J720" s="1100"/>
      <c r="K720" s="1074"/>
      <c r="L720" s="1074"/>
      <c r="M720" s="1074"/>
      <c r="N720" s="1074"/>
      <c r="O720" s="1074"/>
      <c r="P720" s="1074"/>
      <c r="Q720" s="1074"/>
      <c r="R720" s="1074"/>
      <c r="S720" s="1074"/>
      <c r="T720" s="1074"/>
      <c r="U720" s="1074"/>
      <c r="V720" s="1074"/>
      <c r="W720" s="1074"/>
      <c r="X720" s="1074"/>
      <c r="Y720" s="1074"/>
      <c r="Z720" s="1074"/>
      <c r="AA720" s="1074"/>
      <c r="AB720" s="1074"/>
      <c r="AC720" s="1074"/>
      <c r="AD720" s="1074"/>
      <c r="AE720" s="1074"/>
      <c r="AF720" s="1074"/>
      <c r="AG720" s="1074"/>
      <c r="AH720" s="1074"/>
      <c r="AI720" s="1074"/>
      <c r="AJ720" s="1074"/>
      <c r="AK720" s="1074"/>
      <c r="AL720" s="1074"/>
      <c r="AM720" s="1074"/>
      <c r="AN720" s="1074"/>
      <c r="AO720" s="1074"/>
      <c r="AP720" s="1074"/>
      <c r="AQ720" s="1074"/>
      <c r="AR720" s="1074"/>
      <c r="AS720" s="1074"/>
      <c r="AT720" s="1075"/>
    </row>
    <row r="721" ht="14.25" customHeight="1">
      <c r="A721" s="1116"/>
      <c r="B721" s="1120"/>
      <c r="C721" s="1100"/>
      <c r="D721" s="1100"/>
      <c r="E721" s="1100"/>
      <c r="F721" s="1100"/>
      <c r="G721" s="1100"/>
      <c r="H721" s="1100"/>
      <c r="I721" s="1100"/>
      <c r="J721" s="1100"/>
      <c r="K721" s="1074"/>
      <c r="L721" s="1074"/>
      <c r="M721" s="1074"/>
      <c r="N721" s="1074"/>
      <c r="O721" s="1074"/>
      <c r="P721" s="1074"/>
      <c r="Q721" s="1074"/>
      <c r="R721" s="1074"/>
      <c r="S721" s="1074"/>
      <c r="T721" s="1074"/>
      <c r="U721" s="1074"/>
      <c r="V721" s="1074"/>
      <c r="W721" s="1074"/>
      <c r="X721" s="1074"/>
      <c r="Y721" s="1074"/>
      <c r="Z721" s="1074"/>
      <c r="AA721" s="1074"/>
      <c r="AB721" s="1074"/>
      <c r="AC721" s="1074"/>
      <c r="AD721" s="1074"/>
      <c r="AE721" s="1074"/>
      <c r="AF721" s="1074"/>
      <c r="AG721" s="1074"/>
      <c r="AH721" s="1074"/>
      <c r="AI721" s="1074"/>
      <c r="AJ721" s="1074"/>
      <c r="AK721" s="1074"/>
      <c r="AL721" s="1074"/>
      <c r="AM721" s="1074"/>
      <c r="AN721" s="1074"/>
      <c r="AO721" s="1074"/>
      <c r="AP721" s="1074"/>
      <c r="AQ721" s="1074"/>
      <c r="AR721" s="1074"/>
      <c r="AS721" s="1074"/>
      <c r="AT721" s="1075"/>
    </row>
    <row r="722" ht="14.25" customHeight="1">
      <c r="A722" s="1116"/>
      <c r="B722" s="1120"/>
      <c r="C722" s="1100"/>
      <c r="D722" s="1100"/>
      <c r="E722" s="1100"/>
      <c r="F722" s="1100"/>
      <c r="G722" s="1100"/>
      <c r="H722" s="1100"/>
      <c r="I722" s="1100"/>
      <c r="J722" s="1100"/>
      <c r="K722" s="1074"/>
      <c r="L722" s="1074"/>
      <c r="M722" s="1074"/>
      <c r="N722" s="1074"/>
      <c r="O722" s="1074"/>
      <c r="P722" s="1074"/>
      <c r="Q722" s="1074"/>
      <c r="R722" s="1074"/>
      <c r="S722" s="1074"/>
      <c r="T722" s="1074"/>
      <c r="U722" s="1074"/>
      <c r="V722" s="1074"/>
      <c r="W722" s="1074"/>
      <c r="X722" s="1074"/>
      <c r="Y722" s="1074"/>
      <c r="Z722" s="1074"/>
      <c r="AA722" s="1074"/>
      <c r="AB722" s="1074"/>
      <c r="AC722" s="1074"/>
      <c r="AD722" s="1074"/>
      <c r="AE722" s="1074"/>
      <c r="AF722" s="1074"/>
      <c r="AG722" s="1074"/>
      <c r="AH722" s="1074"/>
      <c r="AI722" s="1074"/>
      <c r="AJ722" s="1074"/>
      <c r="AK722" s="1074"/>
      <c r="AL722" s="1074"/>
      <c r="AM722" s="1074"/>
      <c r="AN722" s="1074"/>
      <c r="AO722" s="1074"/>
      <c r="AP722" s="1074"/>
      <c r="AQ722" s="1074"/>
      <c r="AR722" s="1074"/>
      <c r="AS722" s="1074"/>
      <c r="AT722" s="1075"/>
    </row>
    <row r="723" ht="14.25" customHeight="1">
      <c r="A723" s="1116"/>
      <c r="B723" s="1120"/>
      <c r="C723" s="1100"/>
      <c r="D723" s="1100"/>
      <c r="E723" s="1100"/>
      <c r="F723" s="1100"/>
      <c r="G723" s="1100"/>
      <c r="H723" s="1100"/>
      <c r="I723" s="1100"/>
      <c r="J723" s="1100"/>
      <c r="K723" s="1074"/>
      <c r="L723" s="1074"/>
      <c r="M723" s="1074"/>
      <c r="N723" s="1074"/>
      <c r="O723" s="1074"/>
      <c r="P723" s="1074"/>
      <c r="Q723" s="1074"/>
      <c r="R723" s="1074"/>
      <c r="S723" s="1074"/>
      <c r="T723" s="1074"/>
      <c r="U723" s="1074"/>
      <c r="V723" s="1074"/>
      <c r="W723" s="1074"/>
      <c r="X723" s="1074"/>
      <c r="Y723" s="1074"/>
      <c r="Z723" s="1074"/>
      <c r="AA723" s="1074"/>
      <c r="AB723" s="1074"/>
      <c r="AC723" s="1074"/>
      <c r="AD723" s="1074"/>
      <c r="AE723" s="1074"/>
      <c r="AF723" s="1074"/>
      <c r="AG723" s="1074"/>
      <c r="AH723" s="1074"/>
      <c r="AI723" s="1074"/>
      <c r="AJ723" s="1074"/>
      <c r="AK723" s="1074"/>
      <c r="AL723" s="1074"/>
      <c r="AM723" s="1074"/>
      <c r="AN723" s="1074"/>
      <c r="AO723" s="1074"/>
      <c r="AP723" s="1074"/>
      <c r="AQ723" s="1074"/>
      <c r="AR723" s="1074"/>
      <c r="AS723" s="1074"/>
      <c r="AT723" s="1075"/>
    </row>
    <row r="724" ht="14.25" customHeight="1">
      <c r="A724" s="1116"/>
      <c r="B724" s="1120"/>
      <c r="C724" s="1100"/>
      <c r="D724" s="1100"/>
      <c r="E724" s="1100"/>
      <c r="F724" s="1100"/>
      <c r="G724" s="1100"/>
      <c r="H724" s="1100"/>
      <c r="I724" s="1100"/>
      <c r="J724" s="1100"/>
      <c r="K724" s="1074"/>
      <c r="L724" s="1074"/>
      <c r="M724" s="1074"/>
      <c r="N724" s="1074"/>
      <c r="O724" s="1074"/>
      <c r="P724" s="1074"/>
      <c r="Q724" s="1074"/>
      <c r="R724" s="1074"/>
      <c r="S724" s="1074"/>
      <c r="T724" s="1074"/>
      <c r="U724" s="1074"/>
      <c r="V724" s="1074"/>
      <c r="W724" s="1074"/>
      <c r="X724" s="1074"/>
      <c r="Y724" s="1074"/>
      <c r="Z724" s="1074"/>
      <c r="AA724" s="1074"/>
      <c r="AB724" s="1074"/>
      <c r="AC724" s="1074"/>
      <c r="AD724" s="1074"/>
      <c r="AE724" s="1074"/>
      <c r="AF724" s="1074"/>
      <c r="AG724" s="1074"/>
      <c r="AH724" s="1074"/>
      <c r="AI724" s="1074"/>
      <c r="AJ724" s="1074"/>
      <c r="AK724" s="1074"/>
      <c r="AL724" s="1074"/>
      <c r="AM724" s="1074"/>
      <c r="AN724" s="1074"/>
      <c r="AO724" s="1074"/>
      <c r="AP724" s="1074"/>
      <c r="AQ724" s="1074"/>
      <c r="AR724" s="1074"/>
      <c r="AS724" s="1074"/>
      <c r="AT724" s="1075"/>
    </row>
    <row r="725" ht="14.25" customHeight="1">
      <c r="A725" s="1116"/>
      <c r="B725" s="1120"/>
      <c r="C725" s="1100"/>
      <c r="D725" s="1100"/>
      <c r="E725" s="1100"/>
      <c r="F725" s="1100"/>
      <c r="G725" s="1100"/>
      <c r="H725" s="1100"/>
      <c r="I725" s="1100"/>
      <c r="J725" s="1100"/>
      <c r="K725" s="1074"/>
      <c r="L725" s="1074"/>
      <c r="M725" s="1074"/>
      <c r="N725" s="1074"/>
      <c r="O725" s="1074"/>
      <c r="P725" s="1074"/>
      <c r="Q725" s="1074"/>
      <c r="R725" s="1074"/>
      <c r="S725" s="1074"/>
      <c r="T725" s="1074"/>
      <c r="U725" s="1074"/>
      <c r="V725" s="1074"/>
      <c r="W725" s="1074"/>
      <c r="X725" s="1074"/>
      <c r="Y725" s="1074"/>
      <c r="Z725" s="1074"/>
      <c r="AA725" s="1074"/>
      <c r="AB725" s="1074"/>
      <c r="AC725" s="1074"/>
      <c r="AD725" s="1074"/>
      <c r="AE725" s="1074"/>
      <c r="AF725" s="1074"/>
      <c r="AG725" s="1074"/>
      <c r="AH725" s="1074"/>
      <c r="AI725" s="1074"/>
      <c r="AJ725" s="1074"/>
      <c r="AK725" s="1074"/>
      <c r="AL725" s="1074"/>
      <c r="AM725" s="1074"/>
      <c r="AN725" s="1074"/>
      <c r="AO725" s="1074"/>
      <c r="AP725" s="1074"/>
      <c r="AQ725" s="1074"/>
      <c r="AR725" s="1074"/>
      <c r="AS725" s="1074"/>
      <c r="AT725" s="1075"/>
    </row>
    <row r="726" ht="14.25" customHeight="1">
      <c r="A726" s="1116"/>
      <c r="B726" s="1120"/>
      <c r="C726" s="1100"/>
      <c r="D726" s="1100"/>
      <c r="E726" s="1100"/>
      <c r="F726" s="1100"/>
      <c r="G726" s="1100"/>
      <c r="H726" s="1100"/>
      <c r="I726" s="1100"/>
      <c r="J726" s="1100"/>
      <c r="K726" s="1074"/>
      <c r="L726" s="1074"/>
      <c r="M726" s="1074"/>
      <c r="N726" s="1074"/>
      <c r="O726" s="1074"/>
      <c r="P726" s="1074"/>
      <c r="Q726" s="1074"/>
      <c r="R726" s="1074"/>
      <c r="S726" s="1074"/>
      <c r="T726" s="1074"/>
      <c r="U726" s="1074"/>
      <c r="V726" s="1074"/>
      <c r="W726" s="1074"/>
      <c r="X726" s="1074"/>
      <c r="Y726" s="1074"/>
      <c r="Z726" s="1074"/>
      <c r="AA726" s="1074"/>
      <c r="AB726" s="1074"/>
      <c r="AC726" s="1074"/>
      <c r="AD726" s="1074"/>
      <c r="AE726" s="1074"/>
      <c r="AF726" s="1074"/>
      <c r="AG726" s="1074"/>
      <c r="AH726" s="1074"/>
      <c r="AI726" s="1074"/>
      <c r="AJ726" s="1074"/>
      <c r="AK726" s="1074"/>
      <c r="AL726" s="1074"/>
      <c r="AM726" s="1074"/>
      <c r="AN726" s="1074"/>
      <c r="AO726" s="1074"/>
      <c r="AP726" s="1074"/>
      <c r="AQ726" s="1074"/>
      <c r="AR726" s="1074"/>
      <c r="AS726" s="1074"/>
      <c r="AT726" s="1075"/>
    </row>
    <row r="727" ht="14.25" customHeight="1">
      <c r="A727" s="1116"/>
      <c r="B727" s="1120"/>
      <c r="C727" s="1100"/>
      <c r="D727" s="1100"/>
      <c r="E727" s="1100"/>
      <c r="F727" s="1100"/>
      <c r="G727" s="1100"/>
      <c r="H727" s="1100"/>
      <c r="I727" s="1100"/>
      <c r="J727" s="1100"/>
      <c r="K727" s="1074"/>
      <c r="L727" s="1074"/>
      <c r="M727" s="1074"/>
      <c r="N727" s="1074"/>
      <c r="O727" s="1074"/>
      <c r="P727" s="1074"/>
      <c r="Q727" s="1074"/>
      <c r="R727" s="1074"/>
      <c r="S727" s="1074"/>
      <c r="T727" s="1074"/>
      <c r="U727" s="1074"/>
      <c r="V727" s="1074"/>
      <c r="W727" s="1074"/>
      <c r="X727" s="1074"/>
      <c r="Y727" s="1074"/>
      <c r="Z727" s="1074"/>
      <c r="AA727" s="1074"/>
      <c r="AB727" s="1074"/>
      <c r="AC727" s="1074"/>
      <c r="AD727" s="1074"/>
      <c r="AE727" s="1074"/>
      <c r="AF727" s="1074"/>
      <c r="AG727" s="1074"/>
      <c r="AH727" s="1074"/>
      <c r="AI727" s="1074"/>
      <c r="AJ727" s="1074"/>
      <c r="AK727" s="1074"/>
      <c r="AL727" s="1074"/>
      <c r="AM727" s="1074"/>
      <c r="AN727" s="1074"/>
      <c r="AO727" s="1074"/>
      <c r="AP727" s="1074"/>
      <c r="AQ727" s="1074"/>
      <c r="AR727" s="1074"/>
      <c r="AS727" s="1074"/>
      <c r="AT727" s="1075"/>
    </row>
    <row r="728" ht="14.25" customHeight="1">
      <c r="A728" s="1116"/>
      <c r="B728" s="1120"/>
      <c r="C728" s="1100"/>
      <c r="D728" s="1100"/>
      <c r="E728" s="1100"/>
      <c r="F728" s="1100"/>
      <c r="G728" s="1100"/>
      <c r="H728" s="1100"/>
      <c r="I728" s="1100"/>
      <c r="J728" s="1100"/>
      <c r="K728" s="1074"/>
      <c r="L728" s="1074"/>
      <c r="M728" s="1074"/>
      <c r="N728" s="1074"/>
      <c r="O728" s="1074"/>
      <c r="P728" s="1074"/>
      <c r="Q728" s="1074"/>
      <c r="R728" s="1074"/>
      <c r="S728" s="1074"/>
      <c r="T728" s="1074"/>
      <c r="U728" s="1074"/>
      <c r="V728" s="1074"/>
      <c r="W728" s="1074"/>
      <c r="X728" s="1074"/>
      <c r="Y728" s="1074"/>
      <c r="Z728" s="1074"/>
      <c r="AA728" s="1074"/>
      <c r="AB728" s="1074"/>
      <c r="AC728" s="1074"/>
      <c r="AD728" s="1074"/>
      <c r="AE728" s="1074"/>
      <c r="AF728" s="1074"/>
      <c r="AG728" s="1074"/>
      <c r="AH728" s="1074"/>
      <c r="AI728" s="1074"/>
      <c r="AJ728" s="1074"/>
      <c r="AK728" s="1074"/>
      <c r="AL728" s="1074"/>
      <c r="AM728" s="1074"/>
      <c r="AN728" s="1074"/>
      <c r="AO728" s="1074"/>
      <c r="AP728" s="1074"/>
      <c r="AQ728" s="1074"/>
      <c r="AR728" s="1074"/>
      <c r="AS728" s="1074"/>
      <c r="AT728" s="1075"/>
    </row>
    <row r="729" ht="14.25" customHeight="1">
      <c r="A729" s="1116"/>
      <c r="B729" s="1120"/>
      <c r="C729" s="1100"/>
      <c r="D729" s="1100"/>
      <c r="E729" s="1100"/>
      <c r="F729" s="1100"/>
      <c r="G729" s="1100"/>
      <c r="H729" s="1100"/>
      <c r="I729" s="1100"/>
      <c r="J729" s="1100"/>
      <c r="K729" s="1074"/>
      <c r="L729" s="1074"/>
      <c r="M729" s="1074"/>
      <c r="N729" s="1074"/>
      <c r="O729" s="1074"/>
      <c r="P729" s="1074"/>
      <c r="Q729" s="1074"/>
      <c r="R729" s="1074"/>
      <c r="S729" s="1074"/>
      <c r="T729" s="1074"/>
      <c r="U729" s="1074"/>
      <c r="V729" s="1074"/>
      <c r="W729" s="1074"/>
      <c r="X729" s="1074"/>
      <c r="Y729" s="1074"/>
      <c r="Z729" s="1074"/>
      <c r="AA729" s="1074"/>
      <c r="AB729" s="1074"/>
      <c r="AC729" s="1074"/>
      <c r="AD729" s="1074"/>
      <c r="AE729" s="1074"/>
      <c r="AF729" s="1074"/>
      <c r="AG729" s="1074"/>
      <c r="AH729" s="1074"/>
      <c r="AI729" s="1074"/>
      <c r="AJ729" s="1074"/>
      <c r="AK729" s="1074"/>
      <c r="AL729" s="1074"/>
      <c r="AM729" s="1074"/>
      <c r="AN729" s="1074"/>
      <c r="AO729" s="1074"/>
      <c r="AP729" s="1074"/>
      <c r="AQ729" s="1074"/>
      <c r="AR729" s="1074"/>
      <c r="AS729" s="1074"/>
      <c r="AT729" s="1075"/>
    </row>
    <row r="730" ht="14.25" customHeight="1">
      <c r="A730" s="1116"/>
      <c r="B730" s="1120"/>
      <c r="C730" s="1100"/>
      <c r="D730" s="1100"/>
      <c r="E730" s="1100"/>
      <c r="F730" s="1100"/>
      <c r="G730" s="1100"/>
      <c r="H730" s="1100"/>
      <c r="I730" s="1100"/>
      <c r="J730" s="1100"/>
      <c r="K730" s="1074"/>
      <c r="L730" s="1074"/>
      <c r="M730" s="1074"/>
      <c r="N730" s="1074"/>
      <c r="O730" s="1074"/>
      <c r="P730" s="1074"/>
      <c r="Q730" s="1074"/>
      <c r="R730" s="1074"/>
      <c r="S730" s="1074"/>
      <c r="T730" s="1074"/>
      <c r="U730" s="1074"/>
      <c r="V730" s="1074"/>
      <c r="W730" s="1074"/>
      <c r="X730" s="1074"/>
      <c r="Y730" s="1074"/>
      <c r="Z730" s="1074"/>
      <c r="AA730" s="1074"/>
      <c r="AB730" s="1074"/>
      <c r="AC730" s="1074"/>
      <c r="AD730" s="1074"/>
      <c r="AE730" s="1074"/>
      <c r="AF730" s="1074"/>
      <c r="AG730" s="1074"/>
      <c r="AH730" s="1074"/>
      <c r="AI730" s="1074"/>
      <c r="AJ730" s="1074"/>
      <c r="AK730" s="1074"/>
      <c r="AL730" s="1074"/>
      <c r="AM730" s="1074"/>
      <c r="AN730" s="1074"/>
      <c r="AO730" s="1074"/>
      <c r="AP730" s="1074"/>
      <c r="AQ730" s="1074"/>
      <c r="AR730" s="1074"/>
      <c r="AS730" s="1074"/>
      <c r="AT730" s="1075"/>
    </row>
    <row r="731" ht="14.25" customHeight="1">
      <c r="A731" s="1116"/>
      <c r="B731" s="1120"/>
      <c r="C731" s="1100"/>
      <c r="D731" s="1100"/>
      <c r="E731" s="1100"/>
      <c r="F731" s="1100"/>
      <c r="G731" s="1100"/>
      <c r="H731" s="1100"/>
      <c r="I731" s="1100"/>
      <c r="J731" s="1100"/>
      <c r="K731" s="1074"/>
      <c r="L731" s="1074"/>
      <c r="M731" s="1074"/>
      <c r="N731" s="1074"/>
      <c r="O731" s="1074"/>
      <c r="P731" s="1074"/>
      <c r="Q731" s="1074"/>
      <c r="R731" s="1074"/>
      <c r="S731" s="1074"/>
      <c r="T731" s="1074"/>
      <c r="U731" s="1074"/>
      <c r="V731" s="1074"/>
      <c r="W731" s="1074"/>
      <c r="X731" s="1074"/>
      <c r="Y731" s="1074"/>
      <c r="Z731" s="1074"/>
      <c r="AA731" s="1074"/>
      <c r="AB731" s="1074"/>
      <c r="AC731" s="1074"/>
      <c r="AD731" s="1074"/>
      <c r="AE731" s="1074"/>
      <c r="AF731" s="1074"/>
      <c r="AG731" s="1074"/>
      <c r="AH731" s="1074"/>
      <c r="AI731" s="1074"/>
      <c r="AJ731" s="1074"/>
      <c r="AK731" s="1074"/>
      <c r="AL731" s="1074"/>
      <c r="AM731" s="1074"/>
      <c r="AN731" s="1074"/>
      <c r="AO731" s="1074"/>
      <c r="AP731" s="1074"/>
      <c r="AQ731" s="1074"/>
      <c r="AR731" s="1074"/>
      <c r="AS731" s="1074"/>
      <c r="AT731" s="1075"/>
    </row>
    <row r="732" ht="14.25" customHeight="1">
      <c r="A732" s="1116"/>
      <c r="B732" s="1120"/>
      <c r="C732" s="1100"/>
      <c r="D732" s="1100"/>
      <c r="E732" s="1100"/>
      <c r="F732" s="1100"/>
      <c r="G732" s="1100"/>
      <c r="H732" s="1100"/>
      <c r="I732" s="1100"/>
      <c r="J732" s="1100"/>
      <c r="K732" s="1074"/>
      <c r="L732" s="1074"/>
      <c r="M732" s="1074"/>
      <c r="N732" s="1074"/>
      <c r="O732" s="1074"/>
      <c r="P732" s="1074"/>
      <c r="Q732" s="1074"/>
      <c r="R732" s="1074"/>
      <c r="S732" s="1074"/>
      <c r="T732" s="1074"/>
      <c r="U732" s="1074"/>
      <c r="V732" s="1074"/>
      <c r="W732" s="1074"/>
      <c r="X732" s="1074"/>
      <c r="Y732" s="1074"/>
      <c r="Z732" s="1074"/>
      <c r="AA732" s="1074"/>
      <c r="AB732" s="1074"/>
      <c r="AC732" s="1074"/>
      <c r="AD732" s="1074"/>
      <c r="AE732" s="1074"/>
      <c r="AF732" s="1074"/>
      <c r="AG732" s="1074"/>
      <c r="AH732" s="1074"/>
      <c r="AI732" s="1074"/>
      <c r="AJ732" s="1074"/>
      <c r="AK732" s="1074"/>
      <c r="AL732" s="1074"/>
      <c r="AM732" s="1074"/>
      <c r="AN732" s="1074"/>
      <c r="AO732" s="1074"/>
      <c r="AP732" s="1074"/>
      <c r="AQ732" s="1074"/>
      <c r="AR732" s="1074"/>
      <c r="AS732" s="1074"/>
      <c r="AT732" s="1075"/>
    </row>
    <row r="733" ht="14.25" customHeight="1">
      <c r="A733" s="1116"/>
      <c r="B733" s="1120"/>
      <c r="C733" s="1100"/>
      <c r="D733" s="1100"/>
      <c r="E733" s="1100"/>
      <c r="F733" s="1100"/>
      <c r="G733" s="1100"/>
      <c r="H733" s="1100"/>
      <c r="I733" s="1100"/>
      <c r="J733" s="1100"/>
      <c r="K733" s="1074"/>
      <c r="L733" s="1074"/>
      <c r="M733" s="1074"/>
      <c r="N733" s="1074"/>
      <c r="O733" s="1074"/>
      <c r="P733" s="1074"/>
      <c r="Q733" s="1074"/>
      <c r="R733" s="1074"/>
      <c r="S733" s="1074"/>
      <c r="T733" s="1074"/>
      <c r="U733" s="1074"/>
      <c r="V733" s="1074"/>
      <c r="W733" s="1074"/>
      <c r="X733" s="1074"/>
      <c r="Y733" s="1074"/>
      <c r="Z733" s="1074"/>
      <c r="AA733" s="1074"/>
      <c r="AB733" s="1074"/>
      <c r="AC733" s="1074"/>
      <c r="AD733" s="1074"/>
      <c r="AE733" s="1074"/>
      <c r="AF733" s="1074"/>
      <c r="AG733" s="1074"/>
      <c r="AH733" s="1074"/>
      <c r="AI733" s="1074"/>
      <c r="AJ733" s="1074"/>
      <c r="AK733" s="1074"/>
      <c r="AL733" s="1074"/>
      <c r="AM733" s="1074"/>
      <c r="AN733" s="1074"/>
      <c r="AO733" s="1074"/>
      <c r="AP733" s="1074"/>
      <c r="AQ733" s="1074"/>
      <c r="AR733" s="1074"/>
      <c r="AS733" s="1074"/>
      <c r="AT733" s="1075"/>
    </row>
    <row r="734" ht="14.25" customHeight="1">
      <c r="A734" s="1116"/>
      <c r="B734" s="1120"/>
      <c r="C734" s="1100"/>
      <c r="D734" s="1100"/>
      <c r="E734" s="1100"/>
      <c r="F734" s="1100"/>
      <c r="G734" s="1100"/>
      <c r="H734" s="1100"/>
      <c r="I734" s="1100"/>
      <c r="J734" s="1100"/>
      <c r="K734" s="1074"/>
      <c r="L734" s="1074"/>
      <c r="M734" s="1074"/>
      <c r="N734" s="1074"/>
      <c r="O734" s="1074"/>
      <c r="P734" s="1074"/>
      <c r="Q734" s="1074"/>
      <c r="R734" s="1074"/>
      <c r="S734" s="1074"/>
      <c r="T734" s="1074"/>
      <c r="U734" s="1074"/>
      <c r="V734" s="1074"/>
      <c r="W734" s="1074"/>
      <c r="X734" s="1074"/>
      <c r="Y734" s="1074"/>
      <c r="Z734" s="1074"/>
      <c r="AA734" s="1074"/>
      <c r="AB734" s="1074"/>
      <c r="AC734" s="1074"/>
      <c r="AD734" s="1074"/>
      <c r="AE734" s="1074"/>
      <c r="AF734" s="1074"/>
      <c r="AG734" s="1074"/>
      <c r="AH734" s="1074"/>
      <c r="AI734" s="1074"/>
      <c r="AJ734" s="1074"/>
      <c r="AK734" s="1074"/>
      <c r="AL734" s="1074"/>
      <c r="AM734" s="1074"/>
      <c r="AN734" s="1074"/>
      <c r="AO734" s="1074"/>
      <c r="AP734" s="1074"/>
      <c r="AQ734" s="1074"/>
      <c r="AR734" s="1074"/>
      <c r="AS734" s="1074"/>
      <c r="AT734" s="1075"/>
    </row>
    <row r="735" ht="14.25" customHeight="1">
      <c r="A735" s="1116"/>
      <c r="B735" s="1120"/>
      <c r="C735" s="1100"/>
      <c r="D735" s="1100"/>
      <c r="E735" s="1100"/>
      <c r="F735" s="1100"/>
      <c r="G735" s="1100"/>
      <c r="H735" s="1100"/>
      <c r="I735" s="1100"/>
      <c r="J735" s="1100"/>
      <c r="K735" s="1074"/>
      <c r="L735" s="1074"/>
      <c r="M735" s="1074"/>
      <c r="N735" s="1074"/>
      <c r="O735" s="1074"/>
      <c r="P735" s="1074"/>
      <c r="Q735" s="1074"/>
      <c r="R735" s="1074"/>
      <c r="S735" s="1074"/>
      <c r="T735" s="1074"/>
      <c r="U735" s="1074"/>
      <c r="V735" s="1074"/>
      <c r="W735" s="1074"/>
      <c r="X735" s="1074"/>
      <c r="Y735" s="1074"/>
      <c r="Z735" s="1074"/>
      <c r="AA735" s="1074"/>
      <c r="AB735" s="1074"/>
      <c r="AC735" s="1074"/>
      <c r="AD735" s="1074"/>
      <c r="AE735" s="1074"/>
      <c r="AF735" s="1074"/>
      <c r="AG735" s="1074"/>
      <c r="AH735" s="1074"/>
      <c r="AI735" s="1074"/>
      <c r="AJ735" s="1074"/>
      <c r="AK735" s="1074"/>
      <c r="AL735" s="1074"/>
      <c r="AM735" s="1074"/>
      <c r="AN735" s="1074"/>
      <c r="AO735" s="1074"/>
      <c r="AP735" s="1074"/>
      <c r="AQ735" s="1074"/>
      <c r="AR735" s="1074"/>
      <c r="AS735" s="1074"/>
      <c r="AT735" s="1075"/>
    </row>
    <row r="736" ht="14.25" customHeight="1">
      <c r="A736" s="1116"/>
      <c r="B736" s="1120"/>
      <c r="C736" s="1100"/>
      <c r="D736" s="1100"/>
      <c r="E736" s="1100"/>
      <c r="F736" s="1100"/>
      <c r="G736" s="1100"/>
      <c r="H736" s="1100"/>
      <c r="I736" s="1100"/>
      <c r="J736" s="1100"/>
      <c r="K736" s="1074"/>
      <c r="L736" s="1074"/>
      <c r="M736" s="1074"/>
      <c r="N736" s="1074"/>
      <c r="O736" s="1074"/>
      <c r="P736" s="1074"/>
      <c r="Q736" s="1074"/>
      <c r="R736" s="1074"/>
      <c r="S736" s="1074"/>
      <c r="T736" s="1074"/>
      <c r="U736" s="1074"/>
      <c r="V736" s="1074"/>
      <c r="W736" s="1074"/>
      <c r="X736" s="1074"/>
      <c r="Y736" s="1074"/>
      <c r="Z736" s="1074"/>
      <c r="AA736" s="1074"/>
      <c r="AB736" s="1074"/>
      <c r="AC736" s="1074"/>
      <c r="AD736" s="1074"/>
      <c r="AE736" s="1074"/>
      <c r="AF736" s="1074"/>
      <c r="AG736" s="1074"/>
      <c r="AH736" s="1074"/>
      <c r="AI736" s="1074"/>
      <c r="AJ736" s="1074"/>
      <c r="AK736" s="1074"/>
      <c r="AL736" s="1074"/>
      <c r="AM736" s="1074"/>
      <c r="AN736" s="1074"/>
      <c r="AO736" s="1074"/>
      <c r="AP736" s="1074"/>
      <c r="AQ736" s="1074"/>
      <c r="AR736" s="1074"/>
      <c r="AS736" s="1074"/>
      <c r="AT736" s="1075"/>
    </row>
    <row r="737" ht="14.25" customHeight="1">
      <c r="A737" s="1116"/>
      <c r="B737" s="1120"/>
      <c r="C737" s="1100"/>
      <c r="D737" s="1100"/>
      <c r="E737" s="1100"/>
      <c r="F737" s="1100"/>
      <c r="G737" s="1100"/>
      <c r="H737" s="1100"/>
      <c r="I737" s="1100"/>
      <c r="J737" s="1100"/>
      <c r="K737" s="1074"/>
      <c r="L737" s="1074"/>
      <c r="M737" s="1074"/>
      <c r="N737" s="1074"/>
      <c r="O737" s="1074"/>
      <c r="P737" s="1074"/>
      <c r="Q737" s="1074"/>
      <c r="R737" s="1074"/>
      <c r="S737" s="1074"/>
      <c r="T737" s="1074"/>
      <c r="U737" s="1074"/>
      <c r="V737" s="1074"/>
      <c r="W737" s="1074"/>
      <c r="X737" s="1074"/>
      <c r="Y737" s="1074"/>
      <c r="Z737" s="1074"/>
      <c r="AA737" s="1074"/>
      <c r="AB737" s="1074"/>
      <c r="AC737" s="1074"/>
      <c r="AD737" s="1074"/>
      <c r="AE737" s="1074"/>
      <c r="AF737" s="1074"/>
      <c r="AG737" s="1074"/>
      <c r="AH737" s="1074"/>
      <c r="AI737" s="1074"/>
      <c r="AJ737" s="1074"/>
      <c r="AK737" s="1074"/>
      <c r="AL737" s="1074"/>
      <c r="AM737" s="1074"/>
      <c r="AN737" s="1074"/>
      <c r="AO737" s="1074"/>
      <c r="AP737" s="1074"/>
      <c r="AQ737" s="1074"/>
      <c r="AR737" s="1074"/>
      <c r="AS737" s="1074"/>
      <c r="AT737" s="1075"/>
    </row>
    <row r="738" ht="14.25" customHeight="1">
      <c r="A738" s="1116"/>
      <c r="B738" s="1120"/>
      <c r="C738" s="1100"/>
      <c r="D738" s="1100"/>
      <c r="E738" s="1100"/>
      <c r="F738" s="1100"/>
      <c r="G738" s="1100"/>
      <c r="H738" s="1100"/>
      <c r="I738" s="1100"/>
      <c r="J738" s="1100"/>
      <c r="K738" s="1074"/>
      <c r="L738" s="1074"/>
      <c r="M738" s="1074"/>
      <c r="N738" s="1074"/>
      <c r="O738" s="1074"/>
      <c r="P738" s="1074"/>
      <c r="Q738" s="1074"/>
      <c r="R738" s="1074"/>
      <c r="S738" s="1074"/>
      <c r="T738" s="1074"/>
      <c r="U738" s="1074"/>
      <c r="V738" s="1074"/>
      <c r="W738" s="1074"/>
      <c r="X738" s="1074"/>
      <c r="Y738" s="1074"/>
      <c r="Z738" s="1074"/>
      <c r="AA738" s="1074"/>
      <c r="AB738" s="1074"/>
      <c r="AC738" s="1074"/>
      <c r="AD738" s="1074"/>
      <c r="AE738" s="1074"/>
      <c r="AF738" s="1074"/>
      <c r="AG738" s="1074"/>
      <c r="AH738" s="1074"/>
      <c r="AI738" s="1074"/>
      <c r="AJ738" s="1074"/>
      <c r="AK738" s="1074"/>
      <c r="AL738" s="1074"/>
      <c r="AM738" s="1074"/>
      <c r="AN738" s="1074"/>
      <c r="AO738" s="1074"/>
      <c r="AP738" s="1074"/>
      <c r="AQ738" s="1074"/>
      <c r="AR738" s="1074"/>
      <c r="AS738" s="1074"/>
      <c r="AT738" s="1075"/>
    </row>
    <row r="739" ht="14.25" customHeight="1">
      <c r="A739" s="1116"/>
      <c r="B739" s="1120"/>
      <c r="C739" s="1100"/>
      <c r="D739" s="1100"/>
      <c r="E739" s="1100"/>
      <c r="F739" s="1100"/>
      <c r="G739" s="1100"/>
      <c r="H739" s="1100"/>
      <c r="I739" s="1100"/>
      <c r="J739" s="1100"/>
      <c r="K739" s="1074"/>
      <c r="L739" s="1074"/>
      <c r="M739" s="1074"/>
      <c r="N739" s="1074"/>
      <c r="O739" s="1074"/>
      <c r="P739" s="1074"/>
      <c r="Q739" s="1074"/>
      <c r="R739" s="1074"/>
      <c r="S739" s="1074"/>
      <c r="T739" s="1074"/>
      <c r="U739" s="1074"/>
      <c r="V739" s="1074"/>
      <c r="W739" s="1074"/>
      <c r="X739" s="1074"/>
      <c r="Y739" s="1074"/>
      <c r="Z739" s="1074"/>
      <c r="AA739" s="1074"/>
      <c r="AB739" s="1074"/>
      <c r="AC739" s="1074"/>
      <c r="AD739" s="1074"/>
      <c r="AE739" s="1074"/>
      <c r="AF739" s="1074"/>
      <c r="AG739" s="1074"/>
      <c r="AH739" s="1074"/>
      <c r="AI739" s="1074"/>
      <c r="AJ739" s="1074"/>
      <c r="AK739" s="1074"/>
      <c r="AL739" s="1074"/>
      <c r="AM739" s="1074"/>
      <c r="AN739" s="1074"/>
      <c r="AO739" s="1074"/>
      <c r="AP739" s="1074"/>
      <c r="AQ739" s="1074"/>
      <c r="AR739" s="1074"/>
      <c r="AS739" s="1074"/>
      <c r="AT739" s="1075"/>
    </row>
    <row r="740" ht="14.25" customHeight="1">
      <c r="A740" s="1116"/>
      <c r="B740" s="1120"/>
      <c r="C740" s="1100"/>
      <c r="D740" s="1100"/>
      <c r="E740" s="1100"/>
      <c r="F740" s="1100"/>
      <c r="G740" s="1100"/>
      <c r="H740" s="1100"/>
      <c r="I740" s="1100"/>
      <c r="J740" s="1100"/>
      <c r="K740" s="1074"/>
      <c r="L740" s="1074"/>
      <c r="M740" s="1074"/>
      <c r="N740" s="1074"/>
      <c r="O740" s="1074"/>
      <c r="P740" s="1074"/>
      <c r="Q740" s="1074"/>
      <c r="R740" s="1074"/>
      <c r="S740" s="1074"/>
      <c r="T740" s="1074"/>
      <c r="U740" s="1074"/>
      <c r="V740" s="1074"/>
      <c r="W740" s="1074"/>
      <c r="X740" s="1074"/>
      <c r="Y740" s="1074"/>
      <c r="Z740" s="1074"/>
      <c r="AA740" s="1074"/>
      <c r="AB740" s="1074"/>
      <c r="AC740" s="1074"/>
      <c r="AD740" s="1074"/>
      <c r="AE740" s="1074"/>
      <c r="AF740" s="1074"/>
      <c r="AG740" s="1074"/>
      <c r="AH740" s="1074"/>
      <c r="AI740" s="1074"/>
      <c r="AJ740" s="1074"/>
      <c r="AK740" s="1074"/>
      <c r="AL740" s="1074"/>
      <c r="AM740" s="1074"/>
      <c r="AN740" s="1074"/>
      <c r="AO740" s="1074"/>
      <c r="AP740" s="1074"/>
      <c r="AQ740" s="1074"/>
      <c r="AR740" s="1074"/>
      <c r="AS740" s="1074"/>
      <c r="AT740" s="1075"/>
    </row>
    <row r="741" ht="14.25" customHeight="1">
      <c r="A741" s="1116"/>
      <c r="B741" s="1120"/>
      <c r="C741" s="1100"/>
      <c r="D741" s="1100"/>
      <c r="E741" s="1100"/>
      <c r="F741" s="1100"/>
      <c r="G741" s="1100"/>
      <c r="H741" s="1100"/>
      <c r="I741" s="1100"/>
      <c r="J741" s="1100"/>
      <c r="K741" s="1074"/>
      <c r="L741" s="1074"/>
      <c r="M741" s="1074"/>
      <c r="N741" s="1074"/>
      <c r="O741" s="1074"/>
      <c r="P741" s="1074"/>
      <c r="Q741" s="1074"/>
      <c r="R741" s="1074"/>
      <c r="S741" s="1074"/>
      <c r="T741" s="1074"/>
      <c r="U741" s="1074"/>
      <c r="V741" s="1074"/>
      <c r="W741" s="1074"/>
      <c r="X741" s="1074"/>
      <c r="Y741" s="1074"/>
      <c r="Z741" s="1074"/>
      <c r="AA741" s="1074"/>
      <c r="AB741" s="1074"/>
      <c r="AC741" s="1074"/>
      <c r="AD741" s="1074"/>
      <c r="AE741" s="1074"/>
      <c r="AF741" s="1074"/>
      <c r="AG741" s="1074"/>
      <c r="AH741" s="1074"/>
      <c r="AI741" s="1074"/>
      <c r="AJ741" s="1074"/>
      <c r="AK741" s="1074"/>
      <c r="AL741" s="1074"/>
      <c r="AM741" s="1074"/>
      <c r="AN741" s="1074"/>
      <c r="AO741" s="1074"/>
      <c r="AP741" s="1074"/>
      <c r="AQ741" s="1074"/>
      <c r="AR741" s="1074"/>
      <c r="AS741" s="1074"/>
      <c r="AT741" s="1075"/>
    </row>
    <row r="742" ht="14.25" customHeight="1">
      <c r="A742" s="1116"/>
      <c r="B742" s="1120"/>
      <c r="C742" s="1100"/>
      <c r="D742" s="1100"/>
      <c r="E742" s="1100"/>
      <c r="F742" s="1100"/>
      <c r="G742" s="1100"/>
      <c r="H742" s="1100"/>
      <c r="I742" s="1100"/>
      <c r="J742" s="1100"/>
      <c r="K742" s="1074"/>
      <c r="L742" s="1074"/>
      <c r="M742" s="1074"/>
      <c r="N742" s="1074"/>
      <c r="O742" s="1074"/>
      <c r="P742" s="1074"/>
      <c r="Q742" s="1074"/>
      <c r="R742" s="1074"/>
      <c r="S742" s="1074"/>
      <c r="T742" s="1074"/>
      <c r="U742" s="1074"/>
      <c r="V742" s="1074"/>
      <c r="W742" s="1074"/>
      <c r="X742" s="1074"/>
      <c r="Y742" s="1074"/>
      <c r="Z742" s="1074"/>
      <c r="AA742" s="1074"/>
      <c r="AB742" s="1074"/>
      <c r="AC742" s="1074"/>
      <c r="AD742" s="1074"/>
      <c r="AE742" s="1074"/>
      <c r="AF742" s="1074"/>
      <c r="AG742" s="1074"/>
      <c r="AH742" s="1074"/>
      <c r="AI742" s="1074"/>
      <c r="AJ742" s="1074"/>
      <c r="AK742" s="1074"/>
      <c r="AL742" s="1074"/>
      <c r="AM742" s="1074"/>
      <c r="AN742" s="1074"/>
      <c r="AO742" s="1074"/>
      <c r="AP742" s="1074"/>
      <c r="AQ742" s="1074"/>
      <c r="AR742" s="1074"/>
      <c r="AS742" s="1074"/>
      <c r="AT742" s="1075"/>
    </row>
    <row r="743" ht="14.25" customHeight="1">
      <c r="A743" s="1116"/>
      <c r="B743" s="1120"/>
      <c r="C743" s="1100"/>
      <c r="D743" s="1100"/>
      <c r="E743" s="1100"/>
      <c r="F743" s="1100"/>
      <c r="G743" s="1100"/>
      <c r="H743" s="1100"/>
      <c r="I743" s="1100"/>
      <c r="J743" s="1100"/>
      <c r="K743" s="1074"/>
      <c r="L743" s="1074"/>
      <c r="M743" s="1074"/>
      <c r="N743" s="1074"/>
      <c r="O743" s="1074"/>
      <c r="P743" s="1074"/>
      <c r="Q743" s="1074"/>
      <c r="R743" s="1074"/>
      <c r="S743" s="1074"/>
      <c r="T743" s="1074"/>
      <c r="U743" s="1074"/>
      <c r="V743" s="1074"/>
      <c r="W743" s="1074"/>
      <c r="X743" s="1074"/>
      <c r="Y743" s="1074"/>
      <c r="Z743" s="1074"/>
      <c r="AA743" s="1074"/>
      <c r="AB743" s="1074"/>
      <c r="AC743" s="1074"/>
      <c r="AD743" s="1074"/>
      <c r="AE743" s="1074"/>
      <c r="AF743" s="1074"/>
      <c r="AG743" s="1074"/>
      <c r="AH743" s="1074"/>
      <c r="AI743" s="1074"/>
      <c r="AJ743" s="1074"/>
      <c r="AK743" s="1074"/>
      <c r="AL743" s="1074"/>
      <c r="AM743" s="1074"/>
      <c r="AN743" s="1074"/>
      <c r="AO743" s="1074"/>
      <c r="AP743" s="1074"/>
      <c r="AQ743" s="1074"/>
      <c r="AR743" s="1074"/>
      <c r="AS743" s="1074"/>
      <c r="AT743" s="1075"/>
    </row>
    <row r="744" ht="14.25" customHeight="1">
      <c r="A744" s="1116"/>
      <c r="B744" s="1120"/>
      <c r="C744" s="1100"/>
      <c r="D744" s="1100"/>
      <c r="E744" s="1100"/>
      <c r="F744" s="1100"/>
      <c r="G744" s="1100"/>
      <c r="H744" s="1100"/>
      <c r="I744" s="1100"/>
      <c r="J744" s="1100"/>
      <c r="K744" s="1074"/>
      <c r="L744" s="1074"/>
      <c r="M744" s="1074"/>
      <c r="N744" s="1074"/>
      <c r="O744" s="1074"/>
      <c r="P744" s="1074"/>
      <c r="Q744" s="1074"/>
      <c r="R744" s="1074"/>
      <c r="S744" s="1074"/>
      <c r="T744" s="1074"/>
      <c r="U744" s="1074"/>
      <c r="V744" s="1074"/>
      <c r="W744" s="1074"/>
      <c r="X744" s="1074"/>
      <c r="Y744" s="1074"/>
      <c r="Z744" s="1074"/>
      <c r="AA744" s="1074"/>
      <c r="AB744" s="1074"/>
      <c r="AC744" s="1074"/>
      <c r="AD744" s="1074"/>
      <c r="AE744" s="1074"/>
      <c r="AF744" s="1074"/>
      <c r="AG744" s="1074"/>
      <c r="AH744" s="1074"/>
      <c r="AI744" s="1074"/>
      <c r="AJ744" s="1074"/>
      <c r="AK744" s="1074"/>
      <c r="AL744" s="1074"/>
      <c r="AM744" s="1074"/>
      <c r="AN744" s="1074"/>
      <c r="AO744" s="1074"/>
      <c r="AP744" s="1074"/>
      <c r="AQ744" s="1074"/>
      <c r="AR744" s="1074"/>
      <c r="AS744" s="1074"/>
      <c r="AT744" s="1075"/>
    </row>
    <row r="745" ht="14.25" customHeight="1">
      <c r="A745" s="1116"/>
      <c r="B745" s="1120"/>
      <c r="C745" s="1100"/>
      <c r="D745" s="1100"/>
      <c r="E745" s="1100"/>
      <c r="F745" s="1100"/>
      <c r="G745" s="1100"/>
      <c r="H745" s="1100"/>
      <c r="I745" s="1100"/>
      <c r="J745" s="1100"/>
      <c r="K745" s="1074"/>
      <c r="L745" s="1074"/>
      <c r="M745" s="1074"/>
      <c r="N745" s="1074"/>
      <c r="O745" s="1074"/>
      <c r="P745" s="1074"/>
      <c r="Q745" s="1074"/>
      <c r="R745" s="1074"/>
      <c r="S745" s="1074"/>
      <c r="T745" s="1074"/>
      <c r="U745" s="1074"/>
      <c r="V745" s="1074"/>
      <c r="W745" s="1074"/>
      <c r="X745" s="1074"/>
      <c r="Y745" s="1074"/>
      <c r="Z745" s="1074"/>
      <c r="AA745" s="1074"/>
      <c r="AB745" s="1074"/>
      <c r="AC745" s="1074"/>
      <c r="AD745" s="1074"/>
      <c r="AE745" s="1074"/>
      <c r="AF745" s="1074"/>
      <c r="AG745" s="1074"/>
      <c r="AH745" s="1074"/>
      <c r="AI745" s="1074"/>
      <c r="AJ745" s="1074"/>
      <c r="AK745" s="1074"/>
      <c r="AL745" s="1074"/>
      <c r="AM745" s="1074"/>
      <c r="AN745" s="1074"/>
      <c r="AO745" s="1074"/>
      <c r="AP745" s="1074"/>
      <c r="AQ745" s="1074"/>
      <c r="AR745" s="1074"/>
      <c r="AS745" s="1074"/>
      <c r="AT745" s="1075"/>
    </row>
    <row r="746" ht="14.25" customHeight="1">
      <c r="A746" s="1116"/>
      <c r="B746" s="1120"/>
      <c r="C746" s="1100"/>
      <c r="D746" s="1100"/>
      <c r="E746" s="1100"/>
      <c r="F746" s="1100"/>
      <c r="G746" s="1100"/>
      <c r="H746" s="1100"/>
      <c r="I746" s="1100"/>
      <c r="J746" s="1100"/>
      <c r="K746" s="1074"/>
      <c r="L746" s="1074"/>
      <c r="M746" s="1074"/>
      <c r="N746" s="1074"/>
      <c r="O746" s="1074"/>
      <c r="P746" s="1074"/>
      <c r="Q746" s="1074"/>
      <c r="R746" s="1074"/>
      <c r="S746" s="1074"/>
      <c r="T746" s="1074"/>
      <c r="U746" s="1074"/>
      <c r="V746" s="1074"/>
      <c r="W746" s="1074"/>
      <c r="X746" s="1074"/>
      <c r="Y746" s="1074"/>
      <c r="Z746" s="1074"/>
      <c r="AA746" s="1074"/>
      <c r="AB746" s="1074"/>
      <c r="AC746" s="1074"/>
      <c r="AD746" s="1074"/>
      <c r="AE746" s="1074"/>
      <c r="AF746" s="1074"/>
      <c r="AG746" s="1074"/>
      <c r="AH746" s="1074"/>
      <c r="AI746" s="1074"/>
      <c r="AJ746" s="1074"/>
      <c r="AK746" s="1074"/>
      <c r="AL746" s="1074"/>
      <c r="AM746" s="1074"/>
      <c r="AN746" s="1074"/>
      <c r="AO746" s="1074"/>
      <c r="AP746" s="1074"/>
      <c r="AQ746" s="1074"/>
      <c r="AR746" s="1074"/>
      <c r="AS746" s="1074"/>
      <c r="AT746" s="1075"/>
    </row>
    <row r="747" ht="14.25" customHeight="1">
      <c r="A747" s="1116"/>
      <c r="B747" s="1120"/>
      <c r="C747" s="1100"/>
      <c r="D747" s="1100"/>
      <c r="E747" s="1100"/>
      <c r="F747" s="1100"/>
      <c r="G747" s="1100"/>
      <c r="H747" s="1100"/>
      <c r="I747" s="1100"/>
      <c r="J747" s="1100"/>
      <c r="K747" s="1074"/>
      <c r="L747" s="1074"/>
      <c r="M747" s="1074"/>
      <c r="N747" s="1074"/>
      <c r="O747" s="1074"/>
      <c r="P747" s="1074"/>
      <c r="Q747" s="1074"/>
      <c r="R747" s="1074"/>
      <c r="S747" s="1074"/>
      <c r="T747" s="1074"/>
      <c r="U747" s="1074"/>
      <c r="V747" s="1074"/>
      <c r="W747" s="1074"/>
      <c r="X747" s="1074"/>
      <c r="Y747" s="1074"/>
      <c r="Z747" s="1074"/>
      <c r="AA747" s="1074"/>
      <c r="AB747" s="1074"/>
      <c r="AC747" s="1074"/>
      <c r="AD747" s="1074"/>
      <c r="AE747" s="1074"/>
      <c r="AF747" s="1074"/>
      <c r="AG747" s="1074"/>
      <c r="AH747" s="1074"/>
      <c r="AI747" s="1074"/>
      <c r="AJ747" s="1074"/>
      <c r="AK747" s="1074"/>
      <c r="AL747" s="1074"/>
      <c r="AM747" s="1074"/>
      <c r="AN747" s="1074"/>
      <c r="AO747" s="1074"/>
      <c r="AP747" s="1074"/>
      <c r="AQ747" s="1074"/>
      <c r="AR747" s="1074"/>
      <c r="AS747" s="1074"/>
      <c r="AT747" s="1075"/>
    </row>
    <row r="748" ht="14.25" customHeight="1">
      <c r="A748" s="1116"/>
      <c r="B748" s="1120"/>
      <c r="C748" s="1100"/>
      <c r="D748" s="1100"/>
      <c r="E748" s="1100"/>
      <c r="F748" s="1100"/>
      <c r="G748" s="1100"/>
      <c r="H748" s="1100"/>
      <c r="I748" s="1100"/>
      <c r="J748" s="1100"/>
      <c r="K748" s="1074"/>
      <c r="L748" s="1074"/>
      <c r="M748" s="1074"/>
      <c r="N748" s="1074"/>
      <c r="O748" s="1074"/>
      <c r="P748" s="1074"/>
      <c r="Q748" s="1074"/>
      <c r="R748" s="1074"/>
      <c r="S748" s="1074"/>
      <c r="T748" s="1074"/>
      <c r="U748" s="1074"/>
      <c r="V748" s="1074"/>
      <c r="W748" s="1074"/>
      <c r="X748" s="1074"/>
      <c r="Y748" s="1074"/>
      <c r="Z748" s="1074"/>
      <c r="AA748" s="1074"/>
      <c r="AB748" s="1074"/>
      <c r="AC748" s="1074"/>
      <c r="AD748" s="1074"/>
      <c r="AE748" s="1074"/>
      <c r="AF748" s="1074"/>
      <c r="AG748" s="1074"/>
      <c r="AH748" s="1074"/>
      <c r="AI748" s="1074"/>
      <c r="AJ748" s="1074"/>
      <c r="AK748" s="1074"/>
      <c r="AL748" s="1074"/>
      <c r="AM748" s="1074"/>
      <c r="AN748" s="1074"/>
      <c r="AO748" s="1074"/>
      <c r="AP748" s="1074"/>
      <c r="AQ748" s="1074"/>
      <c r="AR748" s="1074"/>
      <c r="AS748" s="1074"/>
      <c r="AT748" s="1075"/>
    </row>
    <row r="749" ht="14.25" customHeight="1">
      <c r="A749" s="1116"/>
      <c r="B749" s="1120"/>
      <c r="C749" s="1100"/>
      <c r="D749" s="1100"/>
      <c r="E749" s="1100"/>
      <c r="F749" s="1100"/>
      <c r="G749" s="1100"/>
      <c r="H749" s="1100"/>
      <c r="I749" s="1100"/>
      <c r="J749" s="1100"/>
      <c r="K749" s="1074"/>
      <c r="L749" s="1074"/>
      <c r="M749" s="1074"/>
      <c r="N749" s="1074"/>
      <c r="O749" s="1074"/>
      <c r="P749" s="1074"/>
      <c r="Q749" s="1074"/>
      <c r="R749" s="1074"/>
      <c r="S749" s="1074"/>
      <c r="T749" s="1074"/>
      <c r="U749" s="1074"/>
      <c r="V749" s="1074"/>
      <c r="W749" s="1074"/>
      <c r="X749" s="1074"/>
      <c r="Y749" s="1074"/>
      <c r="Z749" s="1074"/>
      <c r="AA749" s="1074"/>
      <c r="AB749" s="1074"/>
      <c r="AC749" s="1074"/>
      <c r="AD749" s="1074"/>
      <c r="AE749" s="1074"/>
      <c r="AF749" s="1074"/>
      <c r="AG749" s="1074"/>
      <c r="AH749" s="1074"/>
      <c r="AI749" s="1074"/>
      <c r="AJ749" s="1074"/>
      <c r="AK749" s="1074"/>
      <c r="AL749" s="1074"/>
      <c r="AM749" s="1074"/>
      <c r="AN749" s="1074"/>
      <c r="AO749" s="1074"/>
      <c r="AP749" s="1074"/>
      <c r="AQ749" s="1074"/>
      <c r="AR749" s="1074"/>
      <c r="AS749" s="1074"/>
      <c r="AT749" s="1075"/>
    </row>
    <row r="750" ht="14.25" customHeight="1">
      <c r="A750" s="1116"/>
      <c r="B750" s="1120"/>
      <c r="C750" s="1100"/>
      <c r="D750" s="1100"/>
      <c r="E750" s="1100"/>
      <c r="F750" s="1100"/>
      <c r="G750" s="1100"/>
      <c r="H750" s="1100"/>
      <c r="I750" s="1100"/>
      <c r="J750" s="1100"/>
      <c r="K750" s="1074"/>
      <c r="L750" s="1074"/>
      <c r="M750" s="1074"/>
      <c r="N750" s="1074"/>
      <c r="O750" s="1074"/>
      <c r="P750" s="1074"/>
      <c r="Q750" s="1074"/>
      <c r="R750" s="1074"/>
      <c r="S750" s="1074"/>
      <c r="T750" s="1074"/>
      <c r="U750" s="1074"/>
      <c r="V750" s="1074"/>
      <c r="W750" s="1074"/>
      <c r="X750" s="1074"/>
      <c r="Y750" s="1074"/>
      <c r="Z750" s="1074"/>
      <c r="AA750" s="1074"/>
      <c r="AB750" s="1074"/>
      <c r="AC750" s="1074"/>
      <c r="AD750" s="1074"/>
      <c r="AE750" s="1074"/>
      <c r="AF750" s="1074"/>
      <c r="AG750" s="1074"/>
      <c r="AH750" s="1074"/>
      <c r="AI750" s="1074"/>
      <c r="AJ750" s="1074"/>
      <c r="AK750" s="1074"/>
      <c r="AL750" s="1074"/>
      <c r="AM750" s="1074"/>
      <c r="AN750" s="1074"/>
      <c r="AO750" s="1074"/>
      <c r="AP750" s="1074"/>
      <c r="AQ750" s="1074"/>
      <c r="AR750" s="1074"/>
      <c r="AS750" s="1074"/>
      <c r="AT750" s="1075"/>
    </row>
    <row r="751" ht="14.25" customHeight="1">
      <c r="A751" s="1116"/>
      <c r="B751" s="1120"/>
      <c r="C751" s="1100"/>
      <c r="D751" s="1100"/>
      <c r="E751" s="1100"/>
      <c r="F751" s="1100"/>
      <c r="G751" s="1100"/>
      <c r="H751" s="1100"/>
      <c r="I751" s="1100"/>
      <c r="J751" s="1100"/>
      <c r="K751" s="1074"/>
      <c r="L751" s="1074"/>
      <c r="M751" s="1074"/>
      <c r="N751" s="1074"/>
      <c r="O751" s="1074"/>
      <c r="P751" s="1074"/>
      <c r="Q751" s="1074"/>
      <c r="R751" s="1074"/>
      <c r="S751" s="1074"/>
      <c r="T751" s="1074"/>
      <c r="U751" s="1074"/>
      <c r="V751" s="1074"/>
      <c r="W751" s="1074"/>
      <c r="X751" s="1074"/>
      <c r="Y751" s="1074"/>
      <c r="Z751" s="1074"/>
      <c r="AA751" s="1074"/>
      <c r="AB751" s="1074"/>
      <c r="AC751" s="1074"/>
      <c r="AD751" s="1074"/>
      <c r="AE751" s="1074"/>
      <c r="AF751" s="1074"/>
      <c r="AG751" s="1074"/>
      <c r="AH751" s="1074"/>
      <c r="AI751" s="1074"/>
      <c r="AJ751" s="1074"/>
      <c r="AK751" s="1074"/>
      <c r="AL751" s="1074"/>
      <c r="AM751" s="1074"/>
      <c r="AN751" s="1074"/>
      <c r="AO751" s="1074"/>
      <c r="AP751" s="1074"/>
      <c r="AQ751" s="1074"/>
      <c r="AR751" s="1074"/>
      <c r="AS751" s="1074"/>
      <c r="AT751" s="1075"/>
    </row>
    <row r="752" ht="14.25" customHeight="1">
      <c r="A752" s="1116"/>
      <c r="B752" s="1120"/>
      <c r="C752" s="1100"/>
      <c r="D752" s="1100"/>
      <c r="E752" s="1100"/>
      <c r="F752" s="1100"/>
      <c r="G752" s="1100"/>
      <c r="H752" s="1100"/>
      <c r="I752" s="1100"/>
      <c r="J752" s="1100"/>
      <c r="K752" s="1074"/>
      <c r="L752" s="1074"/>
      <c r="M752" s="1074"/>
      <c r="N752" s="1074"/>
      <c r="O752" s="1074"/>
      <c r="P752" s="1074"/>
      <c r="Q752" s="1074"/>
      <c r="R752" s="1074"/>
      <c r="S752" s="1074"/>
      <c r="T752" s="1074"/>
      <c r="U752" s="1074"/>
      <c r="V752" s="1074"/>
      <c r="W752" s="1074"/>
      <c r="X752" s="1074"/>
      <c r="Y752" s="1074"/>
      <c r="Z752" s="1074"/>
      <c r="AA752" s="1074"/>
      <c r="AB752" s="1074"/>
      <c r="AC752" s="1074"/>
      <c r="AD752" s="1074"/>
      <c r="AE752" s="1074"/>
      <c r="AF752" s="1074"/>
      <c r="AG752" s="1074"/>
      <c r="AH752" s="1074"/>
      <c r="AI752" s="1074"/>
      <c r="AJ752" s="1074"/>
      <c r="AK752" s="1074"/>
      <c r="AL752" s="1074"/>
      <c r="AM752" s="1074"/>
      <c r="AN752" s="1074"/>
      <c r="AO752" s="1074"/>
      <c r="AP752" s="1074"/>
      <c r="AQ752" s="1074"/>
      <c r="AR752" s="1074"/>
      <c r="AS752" s="1074"/>
      <c r="AT752" s="1075"/>
    </row>
    <row r="753" ht="14.25" customHeight="1">
      <c r="A753" s="1116"/>
      <c r="B753" s="1120"/>
      <c r="C753" s="1100"/>
      <c r="D753" s="1100"/>
      <c r="E753" s="1100"/>
      <c r="F753" s="1100"/>
      <c r="G753" s="1100"/>
      <c r="H753" s="1100"/>
      <c r="I753" s="1100"/>
      <c r="J753" s="1100"/>
      <c r="K753" s="1074"/>
      <c r="L753" s="1074"/>
      <c r="M753" s="1074"/>
      <c r="N753" s="1074"/>
      <c r="O753" s="1074"/>
      <c r="P753" s="1074"/>
      <c r="Q753" s="1074"/>
      <c r="R753" s="1074"/>
      <c r="S753" s="1074"/>
      <c r="T753" s="1074"/>
      <c r="U753" s="1074"/>
      <c r="V753" s="1074"/>
      <c r="W753" s="1074"/>
      <c r="X753" s="1074"/>
      <c r="Y753" s="1074"/>
      <c r="Z753" s="1074"/>
      <c r="AA753" s="1074"/>
      <c r="AB753" s="1074"/>
      <c r="AC753" s="1074"/>
      <c r="AD753" s="1074"/>
      <c r="AE753" s="1074"/>
      <c r="AF753" s="1074"/>
      <c r="AG753" s="1074"/>
      <c r="AH753" s="1074"/>
      <c r="AI753" s="1074"/>
      <c r="AJ753" s="1074"/>
      <c r="AK753" s="1074"/>
      <c r="AL753" s="1074"/>
      <c r="AM753" s="1074"/>
      <c r="AN753" s="1074"/>
      <c r="AO753" s="1074"/>
      <c r="AP753" s="1074"/>
      <c r="AQ753" s="1074"/>
      <c r="AR753" s="1074"/>
      <c r="AS753" s="1074"/>
      <c r="AT753" s="1075"/>
    </row>
    <row r="754" ht="14.25" customHeight="1">
      <c r="A754" s="1116"/>
      <c r="B754" s="1120"/>
      <c r="C754" s="1100"/>
      <c r="D754" s="1100"/>
      <c r="E754" s="1100"/>
      <c r="F754" s="1100"/>
      <c r="G754" s="1100"/>
      <c r="H754" s="1100"/>
      <c r="I754" s="1100"/>
      <c r="J754" s="1100"/>
      <c r="K754" s="1074"/>
      <c r="L754" s="1074"/>
      <c r="M754" s="1074"/>
      <c r="N754" s="1074"/>
      <c r="O754" s="1074"/>
      <c r="P754" s="1074"/>
      <c r="Q754" s="1074"/>
      <c r="R754" s="1074"/>
      <c r="S754" s="1074"/>
      <c r="T754" s="1074"/>
      <c r="U754" s="1074"/>
      <c r="V754" s="1074"/>
      <c r="W754" s="1074"/>
      <c r="X754" s="1074"/>
      <c r="Y754" s="1074"/>
      <c r="Z754" s="1074"/>
      <c r="AA754" s="1074"/>
      <c r="AB754" s="1074"/>
      <c r="AC754" s="1074"/>
      <c r="AD754" s="1074"/>
      <c r="AE754" s="1074"/>
      <c r="AF754" s="1074"/>
      <c r="AG754" s="1074"/>
      <c r="AH754" s="1074"/>
      <c r="AI754" s="1074"/>
      <c r="AJ754" s="1074"/>
      <c r="AK754" s="1074"/>
      <c r="AL754" s="1074"/>
      <c r="AM754" s="1074"/>
      <c r="AN754" s="1074"/>
      <c r="AO754" s="1074"/>
      <c r="AP754" s="1074"/>
      <c r="AQ754" s="1074"/>
      <c r="AR754" s="1074"/>
      <c r="AS754" s="1074"/>
      <c r="AT754" s="1075"/>
    </row>
    <row r="755" ht="14.25" customHeight="1">
      <c r="A755" s="1116"/>
      <c r="B755" s="1120"/>
      <c r="C755" s="1100"/>
      <c r="D755" s="1100"/>
      <c r="E755" s="1100"/>
      <c r="F755" s="1100"/>
      <c r="G755" s="1100"/>
      <c r="H755" s="1100"/>
      <c r="I755" s="1100"/>
      <c r="J755" s="1100"/>
      <c r="K755" s="1074"/>
      <c r="L755" s="1074"/>
      <c r="M755" s="1074"/>
      <c r="N755" s="1074"/>
      <c r="O755" s="1074"/>
      <c r="P755" s="1074"/>
      <c r="Q755" s="1074"/>
      <c r="R755" s="1074"/>
      <c r="S755" s="1074"/>
      <c r="T755" s="1074"/>
      <c r="U755" s="1074"/>
      <c r="V755" s="1074"/>
      <c r="W755" s="1074"/>
      <c r="X755" s="1074"/>
      <c r="Y755" s="1074"/>
      <c r="Z755" s="1074"/>
      <c r="AA755" s="1074"/>
      <c r="AB755" s="1074"/>
      <c r="AC755" s="1074"/>
      <c r="AD755" s="1074"/>
      <c r="AE755" s="1074"/>
      <c r="AF755" s="1074"/>
      <c r="AG755" s="1074"/>
      <c r="AH755" s="1074"/>
      <c r="AI755" s="1074"/>
      <c r="AJ755" s="1074"/>
      <c r="AK755" s="1074"/>
      <c r="AL755" s="1074"/>
      <c r="AM755" s="1074"/>
      <c r="AN755" s="1074"/>
      <c r="AO755" s="1074"/>
      <c r="AP755" s="1074"/>
      <c r="AQ755" s="1074"/>
      <c r="AR755" s="1074"/>
      <c r="AS755" s="1074"/>
      <c r="AT755" s="1075"/>
    </row>
    <row r="756" ht="14.25" customHeight="1">
      <c r="A756" s="1116"/>
      <c r="B756" s="1120"/>
      <c r="C756" s="1100"/>
      <c r="D756" s="1100"/>
      <c r="E756" s="1100"/>
      <c r="F756" s="1100"/>
      <c r="G756" s="1100"/>
      <c r="H756" s="1100"/>
      <c r="I756" s="1100"/>
      <c r="J756" s="1100"/>
      <c r="K756" s="1074"/>
      <c r="L756" s="1074"/>
      <c r="M756" s="1074"/>
      <c r="N756" s="1074"/>
      <c r="O756" s="1074"/>
      <c r="P756" s="1074"/>
      <c r="Q756" s="1074"/>
      <c r="R756" s="1074"/>
      <c r="S756" s="1074"/>
      <c r="T756" s="1074"/>
      <c r="U756" s="1074"/>
      <c r="V756" s="1074"/>
      <c r="W756" s="1074"/>
      <c r="X756" s="1074"/>
      <c r="Y756" s="1074"/>
      <c r="Z756" s="1074"/>
      <c r="AA756" s="1074"/>
      <c r="AB756" s="1074"/>
      <c r="AC756" s="1074"/>
      <c r="AD756" s="1074"/>
      <c r="AE756" s="1074"/>
      <c r="AF756" s="1074"/>
      <c r="AG756" s="1074"/>
      <c r="AH756" s="1074"/>
      <c r="AI756" s="1074"/>
      <c r="AJ756" s="1074"/>
      <c r="AK756" s="1074"/>
      <c r="AL756" s="1074"/>
      <c r="AM756" s="1074"/>
      <c r="AN756" s="1074"/>
      <c r="AO756" s="1074"/>
      <c r="AP756" s="1074"/>
      <c r="AQ756" s="1074"/>
      <c r="AR756" s="1074"/>
      <c r="AS756" s="1074"/>
      <c r="AT756" s="1075"/>
    </row>
    <row r="757" ht="14.25" customHeight="1">
      <c r="A757" s="1116"/>
      <c r="B757" s="1120"/>
      <c r="C757" s="1100"/>
      <c r="D757" s="1100"/>
      <c r="E757" s="1100"/>
      <c r="F757" s="1100"/>
      <c r="G757" s="1100"/>
      <c r="H757" s="1100"/>
      <c r="I757" s="1100"/>
      <c r="J757" s="1100"/>
      <c r="K757" s="1074"/>
      <c r="L757" s="1074"/>
      <c r="M757" s="1074"/>
      <c r="N757" s="1074"/>
      <c r="O757" s="1074"/>
      <c r="P757" s="1074"/>
      <c r="Q757" s="1074"/>
      <c r="R757" s="1074"/>
      <c r="S757" s="1074"/>
      <c r="T757" s="1074"/>
      <c r="U757" s="1074"/>
      <c r="V757" s="1074"/>
      <c r="W757" s="1074"/>
      <c r="X757" s="1074"/>
      <c r="Y757" s="1074"/>
      <c r="Z757" s="1074"/>
      <c r="AA757" s="1074"/>
      <c r="AB757" s="1074"/>
      <c r="AC757" s="1074"/>
      <c r="AD757" s="1074"/>
      <c r="AE757" s="1074"/>
      <c r="AF757" s="1074"/>
      <c r="AG757" s="1074"/>
      <c r="AH757" s="1074"/>
      <c r="AI757" s="1074"/>
      <c r="AJ757" s="1074"/>
      <c r="AK757" s="1074"/>
      <c r="AL757" s="1074"/>
      <c r="AM757" s="1074"/>
      <c r="AN757" s="1074"/>
      <c r="AO757" s="1074"/>
      <c r="AP757" s="1074"/>
      <c r="AQ757" s="1074"/>
      <c r="AR757" s="1074"/>
      <c r="AS757" s="1074"/>
      <c r="AT757" s="1075"/>
    </row>
    <row r="758" ht="14.25" customHeight="1">
      <c r="A758" s="1116"/>
      <c r="B758" s="1120"/>
      <c r="C758" s="1100"/>
      <c r="D758" s="1100"/>
      <c r="E758" s="1100"/>
      <c r="F758" s="1100"/>
      <c r="G758" s="1100"/>
      <c r="H758" s="1100"/>
      <c r="I758" s="1100"/>
      <c r="J758" s="1100"/>
      <c r="K758" s="1074"/>
      <c r="L758" s="1074"/>
      <c r="M758" s="1074"/>
      <c r="N758" s="1074"/>
      <c r="O758" s="1074"/>
      <c r="P758" s="1074"/>
      <c r="Q758" s="1074"/>
      <c r="R758" s="1074"/>
      <c r="S758" s="1074"/>
      <c r="T758" s="1074"/>
      <c r="U758" s="1074"/>
      <c r="V758" s="1074"/>
      <c r="W758" s="1074"/>
      <c r="X758" s="1074"/>
      <c r="Y758" s="1074"/>
      <c r="Z758" s="1074"/>
      <c r="AA758" s="1074"/>
      <c r="AB758" s="1074"/>
      <c r="AC758" s="1074"/>
      <c r="AD758" s="1074"/>
      <c r="AE758" s="1074"/>
      <c r="AF758" s="1074"/>
      <c r="AG758" s="1074"/>
      <c r="AH758" s="1074"/>
      <c r="AI758" s="1074"/>
      <c r="AJ758" s="1074"/>
      <c r="AK758" s="1074"/>
      <c r="AL758" s="1074"/>
      <c r="AM758" s="1074"/>
      <c r="AN758" s="1074"/>
      <c r="AO758" s="1074"/>
      <c r="AP758" s="1074"/>
      <c r="AQ758" s="1074"/>
      <c r="AR758" s="1074"/>
      <c r="AS758" s="1074"/>
      <c r="AT758" s="1075"/>
    </row>
    <row r="759" ht="14.25" customHeight="1">
      <c r="A759" s="1116"/>
      <c r="B759" s="1120"/>
      <c r="C759" s="1100"/>
      <c r="D759" s="1100"/>
      <c r="E759" s="1100"/>
      <c r="F759" s="1100"/>
      <c r="G759" s="1100"/>
      <c r="H759" s="1100"/>
      <c r="I759" s="1100"/>
      <c r="J759" s="1100"/>
      <c r="K759" s="1074"/>
      <c r="L759" s="1074"/>
      <c r="M759" s="1074"/>
      <c r="N759" s="1074"/>
      <c r="O759" s="1074"/>
      <c r="P759" s="1074"/>
      <c r="Q759" s="1074"/>
      <c r="R759" s="1074"/>
      <c r="S759" s="1074"/>
      <c r="T759" s="1074"/>
      <c r="U759" s="1074"/>
      <c r="V759" s="1074"/>
      <c r="W759" s="1074"/>
      <c r="X759" s="1074"/>
      <c r="Y759" s="1074"/>
      <c r="Z759" s="1074"/>
      <c r="AA759" s="1074"/>
      <c r="AB759" s="1074"/>
      <c r="AC759" s="1074"/>
      <c r="AD759" s="1074"/>
      <c r="AE759" s="1074"/>
      <c r="AF759" s="1074"/>
      <c r="AG759" s="1074"/>
      <c r="AH759" s="1074"/>
      <c r="AI759" s="1074"/>
      <c r="AJ759" s="1074"/>
      <c r="AK759" s="1074"/>
      <c r="AL759" s="1074"/>
      <c r="AM759" s="1074"/>
      <c r="AN759" s="1074"/>
      <c r="AO759" s="1074"/>
      <c r="AP759" s="1074"/>
      <c r="AQ759" s="1074"/>
      <c r="AR759" s="1074"/>
      <c r="AS759" s="1074"/>
      <c r="AT759" s="1075"/>
    </row>
    <row r="760" ht="14.25" customHeight="1">
      <c r="A760" s="1116"/>
      <c r="B760" s="1120"/>
      <c r="C760" s="1100"/>
      <c r="D760" s="1100"/>
      <c r="E760" s="1100"/>
      <c r="F760" s="1100"/>
      <c r="G760" s="1100"/>
      <c r="H760" s="1100"/>
      <c r="I760" s="1100"/>
      <c r="J760" s="1100"/>
      <c r="K760" s="1074"/>
      <c r="L760" s="1074"/>
      <c r="M760" s="1074"/>
      <c r="N760" s="1074"/>
      <c r="O760" s="1074"/>
      <c r="P760" s="1074"/>
      <c r="Q760" s="1074"/>
      <c r="R760" s="1074"/>
      <c r="S760" s="1074"/>
      <c r="T760" s="1074"/>
      <c r="U760" s="1074"/>
      <c r="V760" s="1074"/>
      <c r="W760" s="1074"/>
      <c r="X760" s="1074"/>
      <c r="Y760" s="1074"/>
      <c r="Z760" s="1074"/>
      <c r="AA760" s="1074"/>
      <c r="AB760" s="1074"/>
      <c r="AC760" s="1074"/>
      <c r="AD760" s="1074"/>
      <c r="AE760" s="1074"/>
      <c r="AF760" s="1074"/>
      <c r="AG760" s="1074"/>
      <c r="AH760" s="1074"/>
      <c r="AI760" s="1074"/>
      <c r="AJ760" s="1074"/>
      <c r="AK760" s="1074"/>
      <c r="AL760" s="1074"/>
      <c r="AM760" s="1074"/>
      <c r="AN760" s="1074"/>
      <c r="AO760" s="1074"/>
      <c r="AP760" s="1074"/>
      <c r="AQ760" s="1074"/>
      <c r="AR760" s="1074"/>
      <c r="AS760" s="1074"/>
      <c r="AT760" s="1075"/>
    </row>
    <row r="761" ht="14.25" customHeight="1">
      <c r="A761" s="1116"/>
      <c r="B761" s="1120"/>
      <c r="C761" s="1100"/>
      <c r="D761" s="1100"/>
      <c r="E761" s="1100"/>
      <c r="F761" s="1100"/>
      <c r="G761" s="1100"/>
      <c r="H761" s="1100"/>
      <c r="I761" s="1100"/>
      <c r="J761" s="1100"/>
      <c r="K761" s="1074"/>
      <c r="L761" s="1074"/>
      <c r="M761" s="1074"/>
      <c r="N761" s="1074"/>
      <c r="O761" s="1074"/>
      <c r="P761" s="1074"/>
      <c r="Q761" s="1074"/>
      <c r="R761" s="1074"/>
      <c r="S761" s="1074"/>
      <c r="T761" s="1074"/>
      <c r="U761" s="1074"/>
      <c r="V761" s="1074"/>
      <c r="W761" s="1074"/>
      <c r="X761" s="1074"/>
      <c r="Y761" s="1074"/>
      <c r="Z761" s="1074"/>
      <c r="AA761" s="1074"/>
      <c r="AB761" s="1074"/>
      <c r="AC761" s="1074"/>
      <c r="AD761" s="1074"/>
      <c r="AE761" s="1074"/>
      <c r="AF761" s="1074"/>
      <c r="AG761" s="1074"/>
      <c r="AH761" s="1074"/>
      <c r="AI761" s="1074"/>
      <c r="AJ761" s="1074"/>
      <c r="AK761" s="1074"/>
      <c r="AL761" s="1074"/>
      <c r="AM761" s="1074"/>
      <c r="AN761" s="1074"/>
      <c r="AO761" s="1074"/>
      <c r="AP761" s="1074"/>
      <c r="AQ761" s="1074"/>
      <c r="AR761" s="1074"/>
      <c r="AS761" s="1074"/>
      <c r="AT761" s="1075"/>
    </row>
    <row r="762" ht="14.25" customHeight="1">
      <c r="A762" s="1116"/>
      <c r="B762" s="1120"/>
      <c r="C762" s="1100"/>
      <c r="D762" s="1100"/>
      <c r="E762" s="1100"/>
      <c r="F762" s="1100"/>
      <c r="G762" s="1100"/>
      <c r="H762" s="1100"/>
      <c r="I762" s="1100"/>
      <c r="J762" s="1100"/>
      <c r="K762" s="1074"/>
      <c r="L762" s="1074"/>
      <c r="M762" s="1074"/>
      <c r="N762" s="1074"/>
      <c r="O762" s="1074"/>
      <c r="P762" s="1074"/>
      <c r="Q762" s="1074"/>
      <c r="R762" s="1074"/>
      <c r="S762" s="1074"/>
      <c r="T762" s="1074"/>
      <c r="U762" s="1074"/>
      <c r="V762" s="1074"/>
      <c r="W762" s="1074"/>
      <c r="X762" s="1074"/>
      <c r="Y762" s="1074"/>
      <c r="Z762" s="1074"/>
      <c r="AA762" s="1074"/>
      <c r="AB762" s="1074"/>
      <c r="AC762" s="1074"/>
      <c r="AD762" s="1074"/>
      <c r="AE762" s="1074"/>
      <c r="AF762" s="1074"/>
      <c r="AG762" s="1074"/>
      <c r="AH762" s="1074"/>
      <c r="AI762" s="1074"/>
      <c r="AJ762" s="1074"/>
      <c r="AK762" s="1074"/>
      <c r="AL762" s="1074"/>
      <c r="AM762" s="1074"/>
      <c r="AN762" s="1074"/>
      <c r="AO762" s="1074"/>
      <c r="AP762" s="1074"/>
      <c r="AQ762" s="1074"/>
      <c r="AR762" s="1074"/>
      <c r="AS762" s="1074"/>
      <c r="AT762" s="1075"/>
    </row>
    <row r="763" ht="14.25" customHeight="1">
      <c r="A763" s="1116"/>
      <c r="B763" s="1120"/>
      <c r="C763" s="1100"/>
      <c r="D763" s="1100"/>
      <c r="E763" s="1100"/>
      <c r="F763" s="1100"/>
      <c r="G763" s="1100"/>
      <c r="H763" s="1100"/>
      <c r="I763" s="1100"/>
      <c r="J763" s="1100"/>
      <c r="K763" s="1074"/>
      <c r="L763" s="1074"/>
      <c r="M763" s="1074"/>
      <c r="N763" s="1074"/>
      <c r="O763" s="1074"/>
      <c r="P763" s="1074"/>
      <c r="Q763" s="1074"/>
      <c r="R763" s="1074"/>
      <c r="S763" s="1074"/>
      <c r="T763" s="1074"/>
      <c r="U763" s="1074"/>
      <c r="V763" s="1074"/>
      <c r="W763" s="1074"/>
      <c r="X763" s="1074"/>
      <c r="Y763" s="1074"/>
      <c r="Z763" s="1074"/>
      <c r="AA763" s="1074"/>
      <c r="AB763" s="1074"/>
      <c r="AC763" s="1074"/>
      <c r="AD763" s="1074"/>
      <c r="AE763" s="1074"/>
      <c r="AF763" s="1074"/>
      <c r="AG763" s="1074"/>
      <c r="AH763" s="1074"/>
      <c r="AI763" s="1074"/>
      <c r="AJ763" s="1074"/>
      <c r="AK763" s="1074"/>
      <c r="AL763" s="1074"/>
      <c r="AM763" s="1074"/>
      <c r="AN763" s="1074"/>
      <c r="AO763" s="1074"/>
      <c r="AP763" s="1074"/>
      <c r="AQ763" s="1074"/>
      <c r="AR763" s="1074"/>
      <c r="AS763" s="1074"/>
      <c r="AT763" s="1075"/>
    </row>
    <row r="764" ht="14.25" customHeight="1">
      <c r="A764" s="1116"/>
      <c r="B764" s="1120"/>
      <c r="C764" s="1100"/>
      <c r="D764" s="1100"/>
      <c r="E764" s="1100"/>
      <c r="F764" s="1100"/>
      <c r="G764" s="1100"/>
      <c r="H764" s="1100"/>
      <c r="I764" s="1100"/>
      <c r="J764" s="1100"/>
      <c r="K764" s="1074"/>
      <c r="L764" s="1074"/>
      <c r="M764" s="1074"/>
      <c r="N764" s="1074"/>
      <c r="O764" s="1074"/>
      <c r="P764" s="1074"/>
      <c r="Q764" s="1074"/>
      <c r="R764" s="1074"/>
      <c r="S764" s="1074"/>
      <c r="T764" s="1074"/>
      <c r="U764" s="1074"/>
      <c r="V764" s="1074"/>
      <c r="W764" s="1074"/>
      <c r="X764" s="1074"/>
      <c r="Y764" s="1074"/>
      <c r="Z764" s="1074"/>
      <c r="AA764" s="1074"/>
      <c r="AB764" s="1074"/>
      <c r="AC764" s="1074"/>
      <c r="AD764" s="1074"/>
      <c r="AE764" s="1074"/>
      <c r="AF764" s="1074"/>
      <c r="AG764" s="1074"/>
      <c r="AH764" s="1074"/>
      <c r="AI764" s="1074"/>
      <c r="AJ764" s="1074"/>
      <c r="AK764" s="1074"/>
      <c r="AL764" s="1074"/>
      <c r="AM764" s="1074"/>
      <c r="AN764" s="1074"/>
      <c r="AO764" s="1074"/>
      <c r="AP764" s="1074"/>
      <c r="AQ764" s="1074"/>
      <c r="AR764" s="1074"/>
      <c r="AS764" s="1074"/>
      <c r="AT764" s="1075"/>
    </row>
    <row r="765" ht="14.25" customHeight="1">
      <c r="A765" s="1116"/>
      <c r="B765" s="1120"/>
      <c r="C765" s="1100"/>
      <c r="D765" s="1100"/>
      <c r="E765" s="1100"/>
      <c r="F765" s="1100"/>
      <c r="G765" s="1100"/>
      <c r="H765" s="1100"/>
      <c r="I765" s="1100"/>
      <c r="J765" s="1100"/>
      <c r="K765" s="1074"/>
      <c r="L765" s="1074"/>
      <c r="M765" s="1074"/>
      <c r="N765" s="1074"/>
      <c r="O765" s="1074"/>
      <c r="P765" s="1074"/>
      <c r="Q765" s="1074"/>
      <c r="R765" s="1074"/>
      <c r="S765" s="1074"/>
      <c r="T765" s="1074"/>
      <c r="U765" s="1074"/>
      <c r="V765" s="1074"/>
      <c r="W765" s="1074"/>
      <c r="X765" s="1074"/>
      <c r="Y765" s="1074"/>
      <c r="Z765" s="1074"/>
      <c r="AA765" s="1074"/>
      <c r="AB765" s="1074"/>
      <c r="AC765" s="1074"/>
      <c r="AD765" s="1074"/>
      <c r="AE765" s="1074"/>
      <c r="AF765" s="1074"/>
      <c r="AG765" s="1074"/>
      <c r="AH765" s="1074"/>
      <c r="AI765" s="1074"/>
      <c r="AJ765" s="1074"/>
      <c r="AK765" s="1074"/>
      <c r="AL765" s="1074"/>
      <c r="AM765" s="1074"/>
      <c r="AN765" s="1074"/>
      <c r="AO765" s="1074"/>
      <c r="AP765" s="1074"/>
      <c r="AQ765" s="1074"/>
      <c r="AR765" s="1074"/>
      <c r="AS765" s="1074"/>
      <c r="AT765" s="1075"/>
    </row>
    <row r="766" ht="14.25" customHeight="1">
      <c r="A766" s="1116"/>
      <c r="B766" s="1120"/>
      <c r="C766" s="1100"/>
      <c r="D766" s="1100"/>
      <c r="E766" s="1100"/>
      <c r="F766" s="1100"/>
      <c r="G766" s="1100"/>
      <c r="H766" s="1100"/>
      <c r="I766" s="1100"/>
      <c r="J766" s="1100"/>
      <c r="K766" s="1074"/>
      <c r="L766" s="1074"/>
      <c r="M766" s="1074"/>
      <c r="N766" s="1074"/>
      <c r="O766" s="1074"/>
      <c r="P766" s="1074"/>
      <c r="Q766" s="1074"/>
      <c r="R766" s="1074"/>
      <c r="S766" s="1074"/>
      <c r="T766" s="1074"/>
      <c r="U766" s="1074"/>
      <c r="V766" s="1074"/>
      <c r="W766" s="1074"/>
      <c r="X766" s="1074"/>
      <c r="Y766" s="1074"/>
      <c r="Z766" s="1074"/>
      <c r="AA766" s="1074"/>
      <c r="AB766" s="1074"/>
      <c r="AC766" s="1074"/>
      <c r="AD766" s="1074"/>
      <c r="AE766" s="1074"/>
      <c r="AF766" s="1074"/>
      <c r="AG766" s="1074"/>
      <c r="AH766" s="1074"/>
      <c r="AI766" s="1074"/>
      <c r="AJ766" s="1074"/>
      <c r="AK766" s="1074"/>
      <c r="AL766" s="1074"/>
      <c r="AM766" s="1074"/>
      <c r="AN766" s="1074"/>
      <c r="AO766" s="1074"/>
      <c r="AP766" s="1074"/>
      <c r="AQ766" s="1074"/>
      <c r="AR766" s="1074"/>
      <c r="AS766" s="1074"/>
      <c r="AT766" s="1075"/>
    </row>
    <row r="767" ht="14.25" customHeight="1">
      <c r="A767" s="1116"/>
      <c r="B767" s="1120"/>
      <c r="C767" s="1100"/>
      <c r="D767" s="1100"/>
      <c r="E767" s="1100"/>
      <c r="F767" s="1100"/>
      <c r="G767" s="1100"/>
      <c r="H767" s="1100"/>
      <c r="I767" s="1100"/>
      <c r="J767" s="1100"/>
      <c r="K767" s="1074"/>
      <c r="L767" s="1074"/>
      <c r="M767" s="1074"/>
      <c r="N767" s="1074"/>
      <c r="O767" s="1074"/>
      <c r="P767" s="1074"/>
      <c r="Q767" s="1074"/>
      <c r="R767" s="1074"/>
      <c r="S767" s="1074"/>
      <c r="T767" s="1074"/>
      <c r="U767" s="1074"/>
      <c r="V767" s="1074"/>
      <c r="W767" s="1074"/>
      <c r="X767" s="1074"/>
      <c r="Y767" s="1074"/>
      <c r="Z767" s="1074"/>
      <c r="AA767" s="1074"/>
      <c r="AB767" s="1074"/>
      <c r="AC767" s="1074"/>
      <c r="AD767" s="1074"/>
      <c r="AE767" s="1074"/>
      <c r="AF767" s="1074"/>
      <c r="AG767" s="1074"/>
      <c r="AH767" s="1074"/>
      <c r="AI767" s="1074"/>
      <c r="AJ767" s="1074"/>
      <c r="AK767" s="1074"/>
      <c r="AL767" s="1074"/>
      <c r="AM767" s="1074"/>
      <c r="AN767" s="1074"/>
      <c r="AO767" s="1074"/>
      <c r="AP767" s="1074"/>
      <c r="AQ767" s="1074"/>
      <c r="AR767" s="1074"/>
      <c r="AS767" s="1074"/>
      <c r="AT767" s="1075"/>
    </row>
    <row r="768" ht="14.25" customHeight="1">
      <c r="A768" s="1116"/>
      <c r="B768" s="1120"/>
      <c r="C768" s="1100"/>
      <c r="D768" s="1100"/>
      <c r="E768" s="1100"/>
      <c r="F768" s="1100"/>
      <c r="G768" s="1100"/>
      <c r="H768" s="1100"/>
      <c r="I768" s="1100"/>
      <c r="J768" s="1100"/>
      <c r="K768" s="1074"/>
      <c r="L768" s="1074"/>
      <c r="M768" s="1074"/>
      <c r="N768" s="1074"/>
      <c r="O768" s="1074"/>
      <c r="P768" s="1074"/>
      <c r="Q768" s="1074"/>
      <c r="R768" s="1074"/>
      <c r="S768" s="1074"/>
      <c r="T768" s="1074"/>
      <c r="U768" s="1074"/>
      <c r="V768" s="1074"/>
      <c r="W768" s="1074"/>
      <c r="X768" s="1074"/>
      <c r="Y768" s="1074"/>
      <c r="Z768" s="1074"/>
      <c r="AA768" s="1074"/>
      <c r="AB768" s="1074"/>
      <c r="AC768" s="1074"/>
      <c r="AD768" s="1074"/>
      <c r="AE768" s="1074"/>
      <c r="AF768" s="1074"/>
      <c r="AG768" s="1074"/>
      <c r="AH768" s="1074"/>
      <c r="AI768" s="1074"/>
      <c r="AJ768" s="1074"/>
      <c r="AK768" s="1074"/>
      <c r="AL768" s="1074"/>
      <c r="AM768" s="1074"/>
      <c r="AN768" s="1074"/>
      <c r="AO768" s="1074"/>
      <c r="AP768" s="1074"/>
      <c r="AQ768" s="1074"/>
      <c r="AR768" s="1074"/>
      <c r="AS768" s="1074"/>
      <c r="AT768" s="1075"/>
    </row>
    <row r="769" ht="14.25" customHeight="1">
      <c r="A769" s="1116"/>
      <c r="B769" s="1120"/>
      <c r="C769" s="1100"/>
      <c r="D769" s="1100"/>
      <c r="E769" s="1100"/>
      <c r="F769" s="1100"/>
      <c r="G769" s="1100"/>
      <c r="H769" s="1100"/>
      <c r="I769" s="1100"/>
      <c r="J769" s="1100"/>
      <c r="K769" s="1074"/>
      <c r="L769" s="1074"/>
      <c r="M769" s="1074"/>
      <c r="N769" s="1074"/>
      <c r="O769" s="1074"/>
      <c r="P769" s="1074"/>
      <c r="Q769" s="1074"/>
      <c r="R769" s="1074"/>
      <c r="S769" s="1074"/>
      <c r="T769" s="1074"/>
      <c r="U769" s="1074"/>
      <c r="V769" s="1074"/>
      <c r="W769" s="1074"/>
      <c r="X769" s="1074"/>
      <c r="Y769" s="1074"/>
      <c r="Z769" s="1074"/>
      <c r="AA769" s="1074"/>
      <c r="AB769" s="1074"/>
      <c r="AC769" s="1074"/>
      <c r="AD769" s="1074"/>
      <c r="AE769" s="1074"/>
      <c r="AF769" s="1074"/>
      <c r="AG769" s="1074"/>
      <c r="AH769" s="1074"/>
      <c r="AI769" s="1074"/>
      <c r="AJ769" s="1074"/>
      <c r="AK769" s="1074"/>
      <c r="AL769" s="1074"/>
      <c r="AM769" s="1074"/>
      <c r="AN769" s="1074"/>
      <c r="AO769" s="1074"/>
      <c r="AP769" s="1074"/>
      <c r="AQ769" s="1074"/>
      <c r="AR769" s="1074"/>
      <c r="AS769" s="1074"/>
      <c r="AT769" s="1075"/>
    </row>
    <row r="770" ht="14.25" customHeight="1">
      <c r="A770" s="1116"/>
      <c r="B770" s="1120"/>
      <c r="C770" s="1100"/>
      <c r="D770" s="1100"/>
      <c r="E770" s="1100"/>
      <c r="F770" s="1100"/>
      <c r="G770" s="1100"/>
      <c r="H770" s="1100"/>
      <c r="I770" s="1100"/>
      <c r="J770" s="1100"/>
      <c r="K770" s="1074"/>
      <c r="L770" s="1074"/>
      <c r="M770" s="1074"/>
      <c r="N770" s="1074"/>
      <c r="O770" s="1074"/>
      <c r="P770" s="1074"/>
      <c r="Q770" s="1074"/>
      <c r="R770" s="1074"/>
      <c r="S770" s="1074"/>
      <c r="T770" s="1074"/>
      <c r="U770" s="1074"/>
      <c r="V770" s="1074"/>
      <c r="W770" s="1074"/>
      <c r="X770" s="1074"/>
      <c r="Y770" s="1074"/>
      <c r="Z770" s="1074"/>
      <c r="AA770" s="1074"/>
      <c r="AB770" s="1074"/>
      <c r="AC770" s="1074"/>
      <c r="AD770" s="1074"/>
      <c r="AE770" s="1074"/>
      <c r="AF770" s="1074"/>
      <c r="AG770" s="1074"/>
      <c r="AH770" s="1074"/>
      <c r="AI770" s="1074"/>
      <c r="AJ770" s="1074"/>
      <c r="AK770" s="1074"/>
      <c r="AL770" s="1074"/>
      <c r="AM770" s="1074"/>
      <c r="AN770" s="1074"/>
      <c r="AO770" s="1074"/>
      <c r="AP770" s="1074"/>
      <c r="AQ770" s="1074"/>
      <c r="AR770" s="1074"/>
      <c r="AS770" s="1074"/>
      <c r="AT770" s="1075"/>
    </row>
    <row r="771" ht="14.25" customHeight="1">
      <c r="A771" s="1116"/>
      <c r="B771" s="1120"/>
      <c r="C771" s="1100"/>
      <c r="D771" s="1100"/>
      <c r="E771" s="1100"/>
      <c r="F771" s="1100"/>
      <c r="G771" s="1100"/>
      <c r="H771" s="1100"/>
      <c r="I771" s="1100"/>
      <c r="J771" s="1100"/>
      <c r="K771" s="1074"/>
      <c r="L771" s="1074"/>
      <c r="M771" s="1074"/>
      <c r="N771" s="1074"/>
      <c r="O771" s="1074"/>
      <c r="P771" s="1074"/>
      <c r="Q771" s="1074"/>
      <c r="R771" s="1074"/>
      <c r="S771" s="1074"/>
      <c r="T771" s="1074"/>
      <c r="U771" s="1074"/>
      <c r="V771" s="1074"/>
      <c r="W771" s="1074"/>
      <c r="X771" s="1074"/>
      <c r="Y771" s="1074"/>
      <c r="Z771" s="1074"/>
      <c r="AA771" s="1074"/>
      <c r="AB771" s="1074"/>
      <c r="AC771" s="1074"/>
      <c r="AD771" s="1074"/>
      <c r="AE771" s="1074"/>
      <c r="AF771" s="1074"/>
      <c r="AG771" s="1074"/>
      <c r="AH771" s="1074"/>
      <c r="AI771" s="1074"/>
      <c r="AJ771" s="1074"/>
      <c r="AK771" s="1074"/>
      <c r="AL771" s="1074"/>
      <c r="AM771" s="1074"/>
      <c r="AN771" s="1074"/>
      <c r="AO771" s="1074"/>
      <c r="AP771" s="1074"/>
      <c r="AQ771" s="1074"/>
      <c r="AR771" s="1074"/>
      <c r="AS771" s="1074"/>
      <c r="AT771" s="1075"/>
    </row>
    <row r="772" ht="14.25" customHeight="1">
      <c r="A772" s="1116"/>
      <c r="B772" s="1120"/>
      <c r="C772" s="1100"/>
      <c r="D772" s="1100"/>
      <c r="E772" s="1100"/>
      <c r="F772" s="1100"/>
      <c r="G772" s="1100"/>
      <c r="H772" s="1100"/>
      <c r="I772" s="1100"/>
      <c r="J772" s="1100"/>
      <c r="K772" s="1074"/>
      <c r="L772" s="1074"/>
      <c r="M772" s="1074"/>
      <c r="N772" s="1074"/>
      <c r="O772" s="1074"/>
      <c r="P772" s="1074"/>
      <c r="Q772" s="1074"/>
      <c r="R772" s="1074"/>
      <c r="S772" s="1074"/>
      <c r="T772" s="1074"/>
      <c r="U772" s="1074"/>
      <c r="V772" s="1074"/>
      <c r="W772" s="1074"/>
      <c r="X772" s="1074"/>
      <c r="Y772" s="1074"/>
      <c r="Z772" s="1074"/>
      <c r="AA772" s="1074"/>
      <c r="AB772" s="1074"/>
      <c r="AC772" s="1074"/>
      <c r="AD772" s="1074"/>
      <c r="AE772" s="1074"/>
      <c r="AF772" s="1074"/>
      <c r="AG772" s="1074"/>
      <c r="AH772" s="1074"/>
      <c r="AI772" s="1074"/>
      <c r="AJ772" s="1074"/>
      <c r="AK772" s="1074"/>
      <c r="AL772" s="1074"/>
      <c r="AM772" s="1074"/>
      <c r="AN772" s="1074"/>
      <c r="AO772" s="1074"/>
      <c r="AP772" s="1074"/>
      <c r="AQ772" s="1074"/>
      <c r="AR772" s="1074"/>
      <c r="AS772" s="1074"/>
      <c r="AT772" s="1075"/>
    </row>
    <row r="773" ht="14.25" customHeight="1">
      <c r="A773" s="1116"/>
      <c r="B773" s="1120"/>
      <c r="C773" s="1100"/>
      <c r="D773" s="1100"/>
      <c r="E773" s="1100"/>
      <c r="F773" s="1100"/>
      <c r="G773" s="1100"/>
      <c r="H773" s="1100"/>
      <c r="I773" s="1100"/>
      <c r="J773" s="1100"/>
      <c r="K773" s="1074"/>
      <c r="L773" s="1074"/>
      <c r="M773" s="1074"/>
      <c r="N773" s="1074"/>
      <c r="O773" s="1074"/>
      <c r="P773" s="1074"/>
      <c r="Q773" s="1074"/>
      <c r="R773" s="1074"/>
      <c r="S773" s="1074"/>
      <c r="T773" s="1074"/>
      <c r="U773" s="1074"/>
      <c r="V773" s="1074"/>
      <c r="W773" s="1074"/>
      <c r="X773" s="1074"/>
      <c r="Y773" s="1074"/>
      <c r="Z773" s="1074"/>
      <c r="AA773" s="1074"/>
      <c r="AB773" s="1074"/>
      <c r="AC773" s="1074"/>
      <c r="AD773" s="1074"/>
      <c r="AE773" s="1074"/>
      <c r="AF773" s="1074"/>
      <c r="AG773" s="1074"/>
      <c r="AH773" s="1074"/>
      <c r="AI773" s="1074"/>
      <c r="AJ773" s="1074"/>
      <c r="AK773" s="1074"/>
      <c r="AL773" s="1074"/>
      <c r="AM773" s="1074"/>
      <c r="AN773" s="1074"/>
      <c r="AO773" s="1074"/>
      <c r="AP773" s="1074"/>
      <c r="AQ773" s="1074"/>
      <c r="AR773" s="1074"/>
      <c r="AS773" s="1074"/>
      <c r="AT773" s="1075"/>
    </row>
    <row r="774" ht="14.25" customHeight="1">
      <c r="A774" s="1116"/>
      <c r="B774" s="1120"/>
      <c r="C774" s="1100"/>
      <c r="D774" s="1100"/>
      <c r="E774" s="1100"/>
      <c r="F774" s="1100"/>
      <c r="G774" s="1100"/>
      <c r="H774" s="1100"/>
      <c r="I774" s="1100"/>
      <c r="J774" s="1100"/>
      <c r="K774" s="1074"/>
      <c r="L774" s="1074"/>
      <c r="M774" s="1074"/>
      <c r="N774" s="1074"/>
      <c r="O774" s="1074"/>
      <c r="P774" s="1074"/>
      <c r="Q774" s="1074"/>
      <c r="R774" s="1074"/>
      <c r="S774" s="1074"/>
      <c r="T774" s="1074"/>
      <c r="U774" s="1074"/>
      <c r="V774" s="1074"/>
      <c r="W774" s="1074"/>
      <c r="X774" s="1074"/>
      <c r="Y774" s="1074"/>
      <c r="Z774" s="1074"/>
      <c r="AA774" s="1074"/>
      <c r="AB774" s="1074"/>
      <c r="AC774" s="1074"/>
      <c r="AD774" s="1074"/>
      <c r="AE774" s="1074"/>
      <c r="AF774" s="1074"/>
      <c r="AG774" s="1074"/>
      <c r="AH774" s="1074"/>
      <c r="AI774" s="1074"/>
      <c r="AJ774" s="1074"/>
      <c r="AK774" s="1074"/>
      <c r="AL774" s="1074"/>
      <c r="AM774" s="1074"/>
      <c r="AN774" s="1074"/>
      <c r="AO774" s="1074"/>
      <c r="AP774" s="1074"/>
      <c r="AQ774" s="1074"/>
      <c r="AR774" s="1074"/>
      <c r="AS774" s="1074"/>
      <c r="AT774" s="1075"/>
    </row>
    <row r="775" ht="14.25" customHeight="1">
      <c r="A775" s="1116"/>
      <c r="B775" s="1120"/>
      <c r="C775" s="1100"/>
      <c r="D775" s="1100"/>
      <c r="E775" s="1100"/>
      <c r="F775" s="1100"/>
      <c r="G775" s="1100"/>
      <c r="H775" s="1100"/>
      <c r="I775" s="1100"/>
      <c r="J775" s="1100"/>
      <c r="K775" s="1074"/>
      <c r="L775" s="1074"/>
      <c r="M775" s="1074"/>
      <c r="N775" s="1074"/>
      <c r="O775" s="1074"/>
      <c r="P775" s="1074"/>
      <c r="Q775" s="1074"/>
      <c r="R775" s="1074"/>
      <c r="S775" s="1074"/>
      <c r="T775" s="1074"/>
      <c r="U775" s="1074"/>
      <c r="V775" s="1074"/>
      <c r="W775" s="1074"/>
      <c r="X775" s="1074"/>
      <c r="Y775" s="1074"/>
      <c r="Z775" s="1074"/>
      <c r="AA775" s="1074"/>
      <c r="AB775" s="1074"/>
      <c r="AC775" s="1074"/>
      <c r="AD775" s="1074"/>
      <c r="AE775" s="1074"/>
      <c r="AF775" s="1074"/>
      <c r="AG775" s="1074"/>
      <c r="AH775" s="1074"/>
      <c r="AI775" s="1074"/>
      <c r="AJ775" s="1074"/>
      <c r="AK775" s="1074"/>
      <c r="AL775" s="1074"/>
      <c r="AM775" s="1074"/>
      <c r="AN775" s="1074"/>
      <c r="AO775" s="1074"/>
      <c r="AP775" s="1074"/>
      <c r="AQ775" s="1074"/>
      <c r="AR775" s="1074"/>
      <c r="AS775" s="1074"/>
      <c r="AT775" s="1075"/>
    </row>
    <row r="776" ht="14.25" customHeight="1">
      <c r="A776" s="1116"/>
      <c r="B776" s="1120"/>
      <c r="C776" s="1100"/>
      <c r="D776" s="1100"/>
      <c r="E776" s="1100"/>
      <c r="F776" s="1100"/>
      <c r="G776" s="1100"/>
      <c r="H776" s="1100"/>
      <c r="I776" s="1100"/>
      <c r="J776" s="1100"/>
      <c r="K776" s="1074"/>
      <c r="L776" s="1074"/>
      <c r="M776" s="1074"/>
      <c r="N776" s="1074"/>
      <c r="O776" s="1074"/>
      <c r="P776" s="1074"/>
      <c r="Q776" s="1074"/>
      <c r="R776" s="1074"/>
      <c r="S776" s="1074"/>
      <c r="T776" s="1074"/>
      <c r="U776" s="1074"/>
      <c r="V776" s="1074"/>
      <c r="W776" s="1074"/>
      <c r="X776" s="1074"/>
      <c r="Y776" s="1074"/>
      <c r="Z776" s="1074"/>
      <c r="AA776" s="1074"/>
      <c r="AB776" s="1074"/>
      <c r="AC776" s="1074"/>
      <c r="AD776" s="1074"/>
      <c r="AE776" s="1074"/>
      <c r="AF776" s="1074"/>
      <c r="AG776" s="1074"/>
      <c r="AH776" s="1074"/>
      <c r="AI776" s="1074"/>
      <c r="AJ776" s="1074"/>
      <c r="AK776" s="1074"/>
      <c r="AL776" s="1074"/>
      <c r="AM776" s="1074"/>
      <c r="AN776" s="1074"/>
      <c r="AO776" s="1074"/>
      <c r="AP776" s="1074"/>
      <c r="AQ776" s="1074"/>
      <c r="AR776" s="1074"/>
      <c r="AS776" s="1074"/>
      <c r="AT776" s="1075"/>
    </row>
    <row r="777" ht="14.25" customHeight="1">
      <c r="A777" s="1116"/>
      <c r="B777" s="1120"/>
      <c r="C777" s="1100"/>
      <c r="D777" s="1100"/>
      <c r="E777" s="1100"/>
      <c r="F777" s="1100"/>
      <c r="G777" s="1100"/>
      <c r="H777" s="1100"/>
      <c r="I777" s="1100"/>
      <c r="J777" s="1100"/>
      <c r="K777" s="1074"/>
      <c r="L777" s="1074"/>
      <c r="M777" s="1074"/>
      <c r="N777" s="1074"/>
      <c r="O777" s="1074"/>
      <c r="P777" s="1074"/>
      <c r="Q777" s="1074"/>
      <c r="R777" s="1074"/>
      <c r="S777" s="1074"/>
      <c r="T777" s="1074"/>
      <c r="U777" s="1074"/>
      <c r="V777" s="1074"/>
      <c r="W777" s="1074"/>
      <c r="X777" s="1074"/>
      <c r="Y777" s="1074"/>
      <c r="Z777" s="1074"/>
      <c r="AA777" s="1074"/>
      <c r="AB777" s="1074"/>
      <c r="AC777" s="1074"/>
      <c r="AD777" s="1074"/>
      <c r="AE777" s="1074"/>
      <c r="AF777" s="1074"/>
      <c r="AG777" s="1074"/>
      <c r="AH777" s="1074"/>
      <c r="AI777" s="1074"/>
      <c r="AJ777" s="1074"/>
      <c r="AK777" s="1074"/>
      <c r="AL777" s="1074"/>
      <c r="AM777" s="1074"/>
      <c r="AN777" s="1074"/>
      <c r="AO777" s="1074"/>
      <c r="AP777" s="1074"/>
      <c r="AQ777" s="1074"/>
      <c r="AR777" s="1074"/>
      <c r="AS777" s="1074"/>
      <c r="AT777" s="1075"/>
    </row>
    <row r="778" ht="14.25" customHeight="1">
      <c r="A778" s="1116"/>
      <c r="B778" s="1120"/>
      <c r="C778" s="1100"/>
      <c r="D778" s="1100"/>
      <c r="E778" s="1100"/>
      <c r="F778" s="1100"/>
      <c r="G778" s="1100"/>
      <c r="H778" s="1100"/>
      <c r="I778" s="1100"/>
      <c r="J778" s="1100"/>
      <c r="K778" s="1074"/>
      <c r="L778" s="1074"/>
      <c r="M778" s="1074"/>
      <c r="N778" s="1074"/>
      <c r="O778" s="1074"/>
      <c r="P778" s="1074"/>
      <c r="Q778" s="1074"/>
      <c r="R778" s="1074"/>
      <c r="S778" s="1074"/>
      <c r="T778" s="1074"/>
      <c r="U778" s="1074"/>
      <c r="V778" s="1074"/>
      <c r="W778" s="1074"/>
      <c r="X778" s="1074"/>
      <c r="Y778" s="1074"/>
      <c r="Z778" s="1074"/>
      <c r="AA778" s="1074"/>
      <c r="AB778" s="1074"/>
      <c r="AC778" s="1074"/>
      <c r="AD778" s="1074"/>
      <c r="AE778" s="1074"/>
      <c r="AF778" s="1074"/>
      <c r="AG778" s="1074"/>
      <c r="AH778" s="1074"/>
      <c r="AI778" s="1074"/>
      <c r="AJ778" s="1074"/>
      <c r="AK778" s="1074"/>
      <c r="AL778" s="1074"/>
      <c r="AM778" s="1074"/>
      <c r="AN778" s="1074"/>
      <c r="AO778" s="1074"/>
      <c r="AP778" s="1074"/>
      <c r="AQ778" s="1074"/>
      <c r="AR778" s="1074"/>
      <c r="AS778" s="1074"/>
      <c r="AT778" s="1075"/>
    </row>
    <row r="779" ht="14.25" customHeight="1">
      <c r="A779" s="1116"/>
      <c r="B779" s="1120"/>
      <c r="C779" s="1100"/>
      <c r="D779" s="1100"/>
      <c r="E779" s="1100"/>
      <c r="F779" s="1100"/>
      <c r="G779" s="1100"/>
      <c r="H779" s="1100"/>
      <c r="I779" s="1100"/>
      <c r="J779" s="1100"/>
      <c r="K779" s="1074"/>
      <c r="L779" s="1074"/>
      <c r="M779" s="1074"/>
      <c r="N779" s="1074"/>
      <c r="O779" s="1074"/>
      <c r="P779" s="1074"/>
      <c r="Q779" s="1074"/>
      <c r="R779" s="1074"/>
      <c r="S779" s="1074"/>
      <c r="T779" s="1074"/>
      <c r="U779" s="1074"/>
      <c r="V779" s="1074"/>
      <c r="W779" s="1074"/>
      <c r="X779" s="1074"/>
      <c r="Y779" s="1074"/>
      <c r="Z779" s="1074"/>
      <c r="AA779" s="1074"/>
      <c r="AB779" s="1074"/>
      <c r="AC779" s="1074"/>
      <c r="AD779" s="1074"/>
      <c r="AE779" s="1074"/>
      <c r="AF779" s="1074"/>
      <c r="AG779" s="1074"/>
      <c r="AH779" s="1074"/>
      <c r="AI779" s="1074"/>
      <c r="AJ779" s="1074"/>
      <c r="AK779" s="1074"/>
      <c r="AL779" s="1074"/>
      <c r="AM779" s="1074"/>
      <c r="AN779" s="1074"/>
      <c r="AO779" s="1074"/>
      <c r="AP779" s="1074"/>
      <c r="AQ779" s="1074"/>
      <c r="AR779" s="1074"/>
      <c r="AS779" s="1074"/>
      <c r="AT779" s="1075"/>
    </row>
    <row r="780" ht="14.25" customHeight="1">
      <c r="A780" s="1116"/>
      <c r="B780" s="1120"/>
      <c r="C780" s="1100"/>
      <c r="D780" s="1100"/>
      <c r="E780" s="1100"/>
      <c r="F780" s="1100"/>
      <c r="G780" s="1100"/>
      <c r="H780" s="1100"/>
      <c r="I780" s="1100"/>
      <c r="J780" s="1100"/>
      <c r="K780" s="1074"/>
      <c r="L780" s="1074"/>
      <c r="M780" s="1074"/>
      <c r="N780" s="1074"/>
      <c r="O780" s="1074"/>
      <c r="P780" s="1074"/>
      <c r="Q780" s="1074"/>
      <c r="R780" s="1074"/>
      <c r="S780" s="1074"/>
      <c r="T780" s="1074"/>
      <c r="U780" s="1074"/>
      <c r="V780" s="1074"/>
      <c r="W780" s="1074"/>
      <c r="X780" s="1074"/>
      <c r="Y780" s="1074"/>
      <c r="Z780" s="1074"/>
      <c r="AA780" s="1074"/>
      <c r="AB780" s="1074"/>
      <c r="AC780" s="1074"/>
      <c r="AD780" s="1074"/>
      <c r="AE780" s="1074"/>
      <c r="AF780" s="1074"/>
      <c r="AG780" s="1074"/>
      <c r="AH780" s="1074"/>
      <c r="AI780" s="1074"/>
      <c r="AJ780" s="1074"/>
      <c r="AK780" s="1074"/>
      <c r="AL780" s="1074"/>
      <c r="AM780" s="1074"/>
      <c r="AN780" s="1074"/>
      <c r="AO780" s="1074"/>
      <c r="AP780" s="1074"/>
      <c r="AQ780" s="1074"/>
      <c r="AR780" s="1074"/>
      <c r="AS780" s="1074"/>
      <c r="AT780" s="1075"/>
    </row>
    <row r="781" ht="14.25" customHeight="1">
      <c r="A781" s="1116"/>
      <c r="B781" s="1120"/>
      <c r="C781" s="1100"/>
      <c r="D781" s="1100"/>
      <c r="E781" s="1100"/>
      <c r="F781" s="1100"/>
      <c r="G781" s="1100"/>
      <c r="H781" s="1100"/>
      <c r="I781" s="1100"/>
      <c r="J781" s="1100"/>
      <c r="K781" s="1074"/>
      <c r="L781" s="1074"/>
      <c r="M781" s="1074"/>
      <c r="N781" s="1074"/>
      <c r="O781" s="1074"/>
      <c r="P781" s="1074"/>
      <c r="Q781" s="1074"/>
      <c r="R781" s="1074"/>
      <c r="S781" s="1074"/>
      <c r="T781" s="1074"/>
      <c r="U781" s="1074"/>
      <c r="V781" s="1074"/>
      <c r="W781" s="1074"/>
      <c r="X781" s="1074"/>
      <c r="Y781" s="1074"/>
      <c r="Z781" s="1074"/>
      <c r="AA781" s="1074"/>
      <c r="AB781" s="1074"/>
      <c r="AC781" s="1074"/>
      <c r="AD781" s="1074"/>
      <c r="AE781" s="1074"/>
      <c r="AF781" s="1074"/>
      <c r="AG781" s="1074"/>
      <c r="AH781" s="1074"/>
      <c r="AI781" s="1074"/>
      <c r="AJ781" s="1074"/>
      <c r="AK781" s="1074"/>
      <c r="AL781" s="1074"/>
      <c r="AM781" s="1074"/>
      <c r="AN781" s="1074"/>
      <c r="AO781" s="1074"/>
      <c r="AP781" s="1074"/>
      <c r="AQ781" s="1074"/>
      <c r="AR781" s="1074"/>
      <c r="AS781" s="1074"/>
      <c r="AT781" s="1075"/>
    </row>
    <row r="782" ht="14.25" customHeight="1">
      <c r="A782" s="1116"/>
      <c r="B782" s="1120"/>
      <c r="C782" s="1100"/>
      <c r="D782" s="1100"/>
      <c r="E782" s="1100"/>
      <c r="F782" s="1100"/>
      <c r="G782" s="1100"/>
      <c r="H782" s="1100"/>
      <c r="I782" s="1100"/>
      <c r="J782" s="1100"/>
      <c r="K782" s="1074"/>
      <c r="L782" s="1074"/>
      <c r="M782" s="1074"/>
      <c r="N782" s="1074"/>
      <c r="O782" s="1074"/>
      <c r="P782" s="1074"/>
      <c r="Q782" s="1074"/>
      <c r="R782" s="1074"/>
      <c r="S782" s="1074"/>
      <c r="T782" s="1074"/>
      <c r="U782" s="1074"/>
      <c r="V782" s="1074"/>
      <c r="W782" s="1074"/>
      <c r="X782" s="1074"/>
      <c r="Y782" s="1074"/>
      <c r="Z782" s="1074"/>
      <c r="AA782" s="1074"/>
      <c r="AB782" s="1074"/>
      <c r="AC782" s="1074"/>
      <c r="AD782" s="1074"/>
      <c r="AE782" s="1074"/>
      <c r="AF782" s="1074"/>
      <c r="AG782" s="1074"/>
      <c r="AH782" s="1074"/>
      <c r="AI782" s="1074"/>
      <c r="AJ782" s="1074"/>
      <c r="AK782" s="1074"/>
      <c r="AL782" s="1074"/>
      <c r="AM782" s="1074"/>
      <c r="AN782" s="1074"/>
      <c r="AO782" s="1074"/>
      <c r="AP782" s="1074"/>
      <c r="AQ782" s="1074"/>
      <c r="AR782" s="1074"/>
      <c r="AS782" s="1074"/>
      <c r="AT782" s="1075"/>
    </row>
    <row r="783" ht="14.25" customHeight="1">
      <c r="A783" s="1116"/>
      <c r="B783" s="1120"/>
      <c r="C783" s="1100"/>
      <c r="D783" s="1100"/>
      <c r="E783" s="1100"/>
      <c r="F783" s="1100"/>
      <c r="G783" s="1100"/>
      <c r="H783" s="1100"/>
      <c r="I783" s="1100"/>
      <c r="J783" s="1100"/>
      <c r="K783" s="1074"/>
      <c r="L783" s="1074"/>
      <c r="M783" s="1074"/>
      <c r="N783" s="1074"/>
      <c r="O783" s="1074"/>
      <c r="P783" s="1074"/>
      <c r="Q783" s="1074"/>
      <c r="R783" s="1074"/>
      <c r="S783" s="1074"/>
      <c r="T783" s="1074"/>
      <c r="U783" s="1074"/>
      <c r="V783" s="1074"/>
      <c r="W783" s="1074"/>
      <c r="X783" s="1074"/>
      <c r="Y783" s="1074"/>
      <c r="Z783" s="1074"/>
      <c r="AA783" s="1074"/>
      <c r="AB783" s="1074"/>
      <c r="AC783" s="1074"/>
      <c r="AD783" s="1074"/>
      <c r="AE783" s="1074"/>
      <c r="AF783" s="1074"/>
      <c r="AG783" s="1074"/>
      <c r="AH783" s="1074"/>
      <c r="AI783" s="1074"/>
      <c r="AJ783" s="1074"/>
      <c r="AK783" s="1074"/>
      <c r="AL783" s="1074"/>
      <c r="AM783" s="1074"/>
      <c r="AN783" s="1074"/>
      <c r="AO783" s="1074"/>
      <c r="AP783" s="1074"/>
      <c r="AQ783" s="1074"/>
      <c r="AR783" s="1074"/>
      <c r="AS783" s="1074"/>
      <c r="AT783" s="1075"/>
    </row>
    <row r="784" ht="14.25" customHeight="1">
      <c r="A784" s="1116"/>
      <c r="B784" s="1120"/>
      <c r="C784" s="1100"/>
      <c r="D784" s="1100"/>
      <c r="E784" s="1100"/>
      <c r="F784" s="1100"/>
      <c r="G784" s="1100"/>
      <c r="H784" s="1100"/>
      <c r="I784" s="1100"/>
      <c r="J784" s="1100"/>
      <c r="K784" s="1074"/>
      <c r="L784" s="1074"/>
      <c r="M784" s="1074"/>
      <c r="N784" s="1074"/>
      <c r="O784" s="1074"/>
      <c r="P784" s="1074"/>
      <c r="Q784" s="1074"/>
      <c r="R784" s="1074"/>
      <c r="S784" s="1074"/>
      <c r="T784" s="1074"/>
      <c r="U784" s="1074"/>
      <c r="V784" s="1074"/>
      <c r="W784" s="1074"/>
      <c r="X784" s="1074"/>
      <c r="Y784" s="1074"/>
      <c r="Z784" s="1074"/>
      <c r="AA784" s="1074"/>
      <c r="AB784" s="1074"/>
      <c r="AC784" s="1074"/>
      <c r="AD784" s="1074"/>
      <c r="AE784" s="1074"/>
      <c r="AF784" s="1074"/>
      <c r="AG784" s="1074"/>
      <c r="AH784" s="1074"/>
      <c r="AI784" s="1074"/>
      <c r="AJ784" s="1074"/>
      <c r="AK784" s="1074"/>
      <c r="AL784" s="1074"/>
      <c r="AM784" s="1074"/>
      <c r="AN784" s="1074"/>
      <c r="AO784" s="1074"/>
      <c r="AP784" s="1074"/>
      <c r="AQ784" s="1074"/>
      <c r="AR784" s="1074"/>
      <c r="AS784" s="1074"/>
      <c r="AT784" s="1075"/>
    </row>
    <row r="785" ht="14.25" customHeight="1">
      <c r="A785" s="1116"/>
      <c r="B785" s="1120"/>
      <c r="C785" s="1100"/>
      <c r="D785" s="1100"/>
      <c r="E785" s="1100"/>
      <c r="F785" s="1100"/>
      <c r="G785" s="1100"/>
      <c r="H785" s="1100"/>
      <c r="I785" s="1100"/>
      <c r="J785" s="1100"/>
      <c r="K785" s="1074"/>
      <c r="L785" s="1074"/>
      <c r="M785" s="1074"/>
      <c r="N785" s="1074"/>
      <c r="O785" s="1074"/>
      <c r="P785" s="1074"/>
      <c r="Q785" s="1074"/>
      <c r="R785" s="1074"/>
      <c r="S785" s="1074"/>
      <c r="T785" s="1074"/>
      <c r="U785" s="1074"/>
      <c r="V785" s="1074"/>
      <c r="W785" s="1074"/>
      <c r="X785" s="1074"/>
      <c r="Y785" s="1074"/>
      <c r="Z785" s="1074"/>
      <c r="AA785" s="1074"/>
      <c r="AB785" s="1074"/>
      <c r="AC785" s="1074"/>
      <c r="AD785" s="1074"/>
      <c r="AE785" s="1074"/>
      <c r="AF785" s="1074"/>
      <c r="AG785" s="1074"/>
      <c r="AH785" s="1074"/>
      <c r="AI785" s="1074"/>
      <c r="AJ785" s="1074"/>
      <c r="AK785" s="1074"/>
      <c r="AL785" s="1074"/>
      <c r="AM785" s="1074"/>
      <c r="AN785" s="1074"/>
      <c r="AO785" s="1074"/>
      <c r="AP785" s="1074"/>
      <c r="AQ785" s="1074"/>
      <c r="AR785" s="1074"/>
      <c r="AS785" s="1074"/>
      <c r="AT785" s="1075"/>
    </row>
    <row r="786" ht="14.25" customHeight="1">
      <c r="A786" s="1116"/>
      <c r="B786" s="1120"/>
      <c r="C786" s="1100"/>
      <c r="D786" s="1100"/>
      <c r="E786" s="1100"/>
      <c r="F786" s="1100"/>
      <c r="G786" s="1100"/>
      <c r="H786" s="1100"/>
      <c r="I786" s="1100"/>
      <c r="J786" s="1100"/>
      <c r="K786" s="1074"/>
      <c r="L786" s="1074"/>
      <c r="M786" s="1074"/>
      <c r="N786" s="1074"/>
      <c r="O786" s="1074"/>
      <c r="P786" s="1074"/>
      <c r="Q786" s="1074"/>
      <c r="R786" s="1074"/>
      <c r="S786" s="1074"/>
      <c r="T786" s="1074"/>
      <c r="U786" s="1074"/>
      <c r="V786" s="1074"/>
      <c r="W786" s="1074"/>
      <c r="X786" s="1074"/>
      <c r="Y786" s="1074"/>
      <c r="Z786" s="1074"/>
      <c r="AA786" s="1074"/>
      <c r="AB786" s="1074"/>
      <c r="AC786" s="1074"/>
      <c r="AD786" s="1074"/>
      <c r="AE786" s="1074"/>
      <c r="AF786" s="1074"/>
      <c r="AG786" s="1074"/>
      <c r="AH786" s="1074"/>
      <c r="AI786" s="1074"/>
      <c r="AJ786" s="1074"/>
      <c r="AK786" s="1074"/>
      <c r="AL786" s="1074"/>
      <c r="AM786" s="1074"/>
      <c r="AN786" s="1074"/>
      <c r="AO786" s="1074"/>
      <c r="AP786" s="1074"/>
      <c r="AQ786" s="1074"/>
      <c r="AR786" s="1074"/>
      <c r="AS786" s="1074"/>
      <c r="AT786" s="1075"/>
    </row>
    <row r="787" ht="14.25" customHeight="1">
      <c r="A787" s="1116"/>
      <c r="B787" s="1120"/>
      <c r="C787" s="1100"/>
      <c r="D787" s="1100"/>
      <c r="E787" s="1100"/>
      <c r="F787" s="1100"/>
      <c r="G787" s="1100"/>
      <c r="H787" s="1100"/>
      <c r="I787" s="1100"/>
      <c r="J787" s="1100"/>
      <c r="K787" s="1074"/>
      <c r="L787" s="1074"/>
      <c r="M787" s="1074"/>
      <c r="N787" s="1074"/>
      <c r="O787" s="1074"/>
      <c r="P787" s="1074"/>
      <c r="Q787" s="1074"/>
      <c r="R787" s="1074"/>
      <c r="S787" s="1074"/>
      <c r="T787" s="1074"/>
      <c r="U787" s="1074"/>
      <c r="V787" s="1074"/>
      <c r="W787" s="1074"/>
      <c r="X787" s="1074"/>
      <c r="Y787" s="1074"/>
      <c r="Z787" s="1074"/>
      <c r="AA787" s="1074"/>
      <c r="AB787" s="1074"/>
      <c r="AC787" s="1074"/>
      <c r="AD787" s="1074"/>
      <c r="AE787" s="1074"/>
      <c r="AF787" s="1074"/>
      <c r="AG787" s="1074"/>
      <c r="AH787" s="1074"/>
      <c r="AI787" s="1074"/>
      <c r="AJ787" s="1074"/>
      <c r="AK787" s="1074"/>
      <c r="AL787" s="1074"/>
      <c r="AM787" s="1074"/>
      <c r="AN787" s="1074"/>
      <c r="AO787" s="1074"/>
      <c r="AP787" s="1074"/>
      <c r="AQ787" s="1074"/>
      <c r="AR787" s="1074"/>
      <c r="AS787" s="1074"/>
      <c r="AT787" s="1075"/>
    </row>
    <row r="788" ht="14.25" customHeight="1">
      <c r="A788" s="1116"/>
      <c r="B788" s="1120"/>
      <c r="C788" s="1100"/>
      <c r="D788" s="1100"/>
      <c r="E788" s="1100"/>
      <c r="F788" s="1100"/>
      <c r="G788" s="1100"/>
      <c r="H788" s="1100"/>
      <c r="I788" s="1100"/>
      <c r="J788" s="1100"/>
      <c r="K788" s="1074"/>
      <c r="L788" s="1074"/>
      <c r="M788" s="1074"/>
      <c r="N788" s="1074"/>
      <c r="O788" s="1074"/>
      <c r="P788" s="1074"/>
      <c r="Q788" s="1074"/>
      <c r="R788" s="1074"/>
      <c r="S788" s="1074"/>
      <c r="T788" s="1074"/>
      <c r="U788" s="1074"/>
      <c r="V788" s="1074"/>
      <c r="W788" s="1074"/>
      <c r="X788" s="1074"/>
      <c r="Y788" s="1074"/>
      <c r="Z788" s="1074"/>
      <c r="AA788" s="1074"/>
      <c r="AB788" s="1074"/>
      <c r="AC788" s="1074"/>
      <c r="AD788" s="1074"/>
      <c r="AE788" s="1074"/>
      <c r="AF788" s="1074"/>
      <c r="AG788" s="1074"/>
      <c r="AH788" s="1074"/>
      <c r="AI788" s="1074"/>
      <c r="AJ788" s="1074"/>
      <c r="AK788" s="1074"/>
      <c r="AL788" s="1074"/>
      <c r="AM788" s="1074"/>
      <c r="AN788" s="1074"/>
      <c r="AO788" s="1074"/>
      <c r="AP788" s="1074"/>
      <c r="AQ788" s="1074"/>
      <c r="AR788" s="1074"/>
      <c r="AS788" s="1074"/>
      <c r="AT788" s="1075"/>
    </row>
    <row r="789" ht="14.25" customHeight="1">
      <c r="A789" s="1116"/>
      <c r="B789" s="1120"/>
      <c r="C789" s="1100"/>
      <c r="D789" s="1100"/>
      <c r="E789" s="1100"/>
      <c r="F789" s="1100"/>
      <c r="G789" s="1100"/>
      <c r="H789" s="1100"/>
      <c r="I789" s="1100"/>
      <c r="J789" s="1100"/>
      <c r="K789" s="1074"/>
      <c r="L789" s="1074"/>
      <c r="M789" s="1074"/>
      <c r="N789" s="1074"/>
      <c r="O789" s="1074"/>
      <c r="P789" s="1074"/>
      <c r="Q789" s="1074"/>
      <c r="R789" s="1074"/>
      <c r="S789" s="1074"/>
      <c r="T789" s="1074"/>
      <c r="U789" s="1074"/>
      <c r="V789" s="1074"/>
      <c r="W789" s="1074"/>
      <c r="X789" s="1074"/>
      <c r="Y789" s="1074"/>
      <c r="Z789" s="1074"/>
      <c r="AA789" s="1074"/>
      <c r="AB789" s="1074"/>
      <c r="AC789" s="1074"/>
      <c r="AD789" s="1074"/>
      <c r="AE789" s="1074"/>
      <c r="AF789" s="1074"/>
      <c r="AG789" s="1074"/>
      <c r="AH789" s="1074"/>
      <c r="AI789" s="1074"/>
      <c r="AJ789" s="1074"/>
      <c r="AK789" s="1074"/>
      <c r="AL789" s="1074"/>
      <c r="AM789" s="1074"/>
      <c r="AN789" s="1074"/>
      <c r="AO789" s="1074"/>
      <c r="AP789" s="1074"/>
      <c r="AQ789" s="1074"/>
      <c r="AR789" s="1074"/>
      <c r="AS789" s="1074"/>
      <c r="AT789" s="1075"/>
    </row>
    <row r="790" ht="14.25" customHeight="1">
      <c r="A790" s="1116"/>
      <c r="B790" s="1120"/>
      <c r="C790" s="1100"/>
      <c r="D790" s="1100"/>
      <c r="E790" s="1100"/>
      <c r="F790" s="1100"/>
      <c r="G790" s="1100"/>
      <c r="H790" s="1100"/>
      <c r="I790" s="1100"/>
      <c r="J790" s="1100"/>
      <c r="K790" s="1074"/>
      <c r="L790" s="1074"/>
      <c r="M790" s="1074"/>
      <c r="N790" s="1074"/>
      <c r="O790" s="1074"/>
      <c r="P790" s="1074"/>
      <c r="Q790" s="1074"/>
      <c r="R790" s="1074"/>
      <c r="S790" s="1074"/>
      <c r="T790" s="1074"/>
      <c r="U790" s="1074"/>
      <c r="V790" s="1074"/>
      <c r="W790" s="1074"/>
      <c r="X790" s="1074"/>
      <c r="Y790" s="1074"/>
      <c r="Z790" s="1074"/>
      <c r="AA790" s="1074"/>
      <c r="AB790" s="1074"/>
      <c r="AC790" s="1074"/>
      <c r="AD790" s="1074"/>
      <c r="AE790" s="1074"/>
      <c r="AF790" s="1074"/>
      <c r="AG790" s="1074"/>
      <c r="AH790" s="1074"/>
      <c r="AI790" s="1074"/>
      <c r="AJ790" s="1074"/>
      <c r="AK790" s="1074"/>
      <c r="AL790" s="1074"/>
      <c r="AM790" s="1074"/>
      <c r="AN790" s="1074"/>
      <c r="AO790" s="1074"/>
      <c r="AP790" s="1074"/>
      <c r="AQ790" s="1074"/>
      <c r="AR790" s="1074"/>
      <c r="AS790" s="1074"/>
      <c r="AT790" s="1075"/>
    </row>
    <row r="791" ht="14.25" customHeight="1">
      <c r="A791" s="1116"/>
      <c r="B791" s="1120"/>
      <c r="C791" s="1100"/>
      <c r="D791" s="1100"/>
      <c r="E791" s="1100"/>
      <c r="F791" s="1100"/>
      <c r="G791" s="1100"/>
      <c r="H791" s="1100"/>
      <c r="I791" s="1100"/>
      <c r="J791" s="1100"/>
      <c r="K791" s="1074"/>
      <c r="L791" s="1074"/>
      <c r="M791" s="1074"/>
      <c r="N791" s="1074"/>
      <c r="O791" s="1074"/>
      <c r="P791" s="1074"/>
      <c r="Q791" s="1074"/>
      <c r="R791" s="1074"/>
      <c r="S791" s="1074"/>
      <c r="T791" s="1074"/>
      <c r="U791" s="1074"/>
      <c r="V791" s="1074"/>
      <c r="W791" s="1074"/>
      <c r="X791" s="1074"/>
      <c r="Y791" s="1074"/>
      <c r="Z791" s="1074"/>
      <c r="AA791" s="1074"/>
      <c r="AB791" s="1074"/>
      <c r="AC791" s="1074"/>
      <c r="AD791" s="1074"/>
      <c r="AE791" s="1074"/>
      <c r="AF791" s="1074"/>
      <c r="AG791" s="1074"/>
      <c r="AH791" s="1074"/>
      <c r="AI791" s="1074"/>
      <c r="AJ791" s="1074"/>
      <c r="AK791" s="1074"/>
      <c r="AL791" s="1074"/>
      <c r="AM791" s="1074"/>
      <c r="AN791" s="1074"/>
      <c r="AO791" s="1074"/>
      <c r="AP791" s="1074"/>
      <c r="AQ791" s="1074"/>
      <c r="AR791" s="1074"/>
      <c r="AS791" s="1074"/>
      <c r="AT791" s="1075"/>
    </row>
    <row r="792" ht="14.25" customHeight="1">
      <c r="A792" s="1116"/>
      <c r="B792" s="1120"/>
      <c r="C792" s="1100"/>
      <c r="D792" s="1100"/>
      <c r="E792" s="1100"/>
      <c r="F792" s="1100"/>
      <c r="G792" s="1100"/>
      <c r="H792" s="1100"/>
      <c r="I792" s="1100"/>
      <c r="J792" s="1100"/>
      <c r="K792" s="1074"/>
      <c r="L792" s="1074"/>
      <c r="M792" s="1074"/>
      <c r="N792" s="1074"/>
      <c r="O792" s="1074"/>
      <c r="P792" s="1074"/>
      <c r="Q792" s="1074"/>
      <c r="R792" s="1074"/>
      <c r="S792" s="1074"/>
      <c r="T792" s="1074"/>
      <c r="U792" s="1074"/>
      <c r="V792" s="1074"/>
      <c r="W792" s="1074"/>
      <c r="X792" s="1074"/>
      <c r="Y792" s="1074"/>
      <c r="Z792" s="1074"/>
      <c r="AA792" s="1074"/>
      <c r="AB792" s="1074"/>
      <c r="AC792" s="1074"/>
      <c r="AD792" s="1074"/>
      <c r="AE792" s="1074"/>
      <c r="AF792" s="1074"/>
      <c r="AG792" s="1074"/>
      <c r="AH792" s="1074"/>
      <c r="AI792" s="1074"/>
      <c r="AJ792" s="1074"/>
      <c r="AK792" s="1074"/>
      <c r="AL792" s="1074"/>
      <c r="AM792" s="1074"/>
      <c r="AN792" s="1074"/>
      <c r="AO792" s="1074"/>
      <c r="AP792" s="1074"/>
      <c r="AQ792" s="1074"/>
      <c r="AR792" s="1074"/>
      <c r="AS792" s="1074"/>
      <c r="AT792" s="1075"/>
    </row>
    <row r="793" ht="14.25" customHeight="1">
      <c r="A793" s="1116"/>
      <c r="B793" s="1120"/>
      <c r="C793" s="1100"/>
      <c r="D793" s="1100"/>
      <c r="E793" s="1100"/>
      <c r="F793" s="1100"/>
      <c r="G793" s="1100"/>
      <c r="H793" s="1100"/>
      <c r="I793" s="1100"/>
      <c r="J793" s="1100"/>
      <c r="K793" s="1074"/>
      <c r="L793" s="1074"/>
      <c r="M793" s="1074"/>
      <c r="N793" s="1074"/>
      <c r="O793" s="1074"/>
      <c r="P793" s="1074"/>
      <c r="Q793" s="1074"/>
      <c r="R793" s="1074"/>
      <c r="S793" s="1074"/>
      <c r="T793" s="1074"/>
      <c r="U793" s="1074"/>
      <c r="V793" s="1074"/>
      <c r="W793" s="1074"/>
      <c r="X793" s="1074"/>
      <c r="Y793" s="1074"/>
      <c r="Z793" s="1074"/>
      <c r="AA793" s="1074"/>
      <c r="AB793" s="1074"/>
      <c r="AC793" s="1074"/>
      <c r="AD793" s="1074"/>
      <c r="AE793" s="1074"/>
      <c r="AF793" s="1074"/>
      <c r="AG793" s="1074"/>
      <c r="AH793" s="1074"/>
      <c r="AI793" s="1074"/>
      <c r="AJ793" s="1074"/>
      <c r="AK793" s="1074"/>
      <c r="AL793" s="1074"/>
      <c r="AM793" s="1074"/>
      <c r="AN793" s="1074"/>
      <c r="AO793" s="1074"/>
      <c r="AP793" s="1074"/>
      <c r="AQ793" s="1074"/>
      <c r="AR793" s="1074"/>
      <c r="AS793" s="1074"/>
      <c r="AT793" s="1075"/>
    </row>
    <row r="794" ht="14.25" customHeight="1">
      <c r="A794" s="1116"/>
      <c r="B794" s="1120"/>
      <c r="C794" s="1100"/>
      <c r="D794" s="1100"/>
      <c r="E794" s="1100"/>
      <c r="F794" s="1100"/>
      <c r="G794" s="1100"/>
      <c r="H794" s="1100"/>
      <c r="I794" s="1100"/>
      <c r="J794" s="1100"/>
      <c r="K794" s="1074"/>
      <c r="L794" s="1074"/>
      <c r="M794" s="1074"/>
      <c r="N794" s="1074"/>
      <c r="O794" s="1074"/>
      <c r="P794" s="1074"/>
      <c r="Q794" s="1074"/>
      <c r="R794" s="1074"/>
      <c r="S794" s="1074"/>
      <c r="T794" s="1074"/>
      <c r="U794" s="1074"/>
      <c r="V794" s="1074"/>
      <c r="W794" s="1074"/>
      <c r="X794" s="1074"/>
      <c r="Y794" s="1074"/>
      <c r="Z794" s="1074"/>
      <c r="AA794" s="1074"/>
      <c r="AB794" s="1074"/>
      <c r="AC794" s="1074"/>
      <c r="AD794" s="1074"/>
      <c r="AE794" s="1074"/>
      <c r="AF794" s="1074"/>
      <c r="AG794" s="1074"/>
      <c r="AH794" s="1074"/>
      <c r="AI794" s="1074"/>
      <c r="AJ794" s="1074"/>
      <c r="AK794" s="1074"/>
      <c r="AL794" s="1074"/>
      <c r="AM794" s="1074"/>
      <c r="AN794" s="1074"/>
      <c r="AO794" s="1074"/>
      <c r="AP794" s="1074"/>
      <c r="AQ794" s="1074"/>
      <c r="AR794" s="1074"/>
      <c r="AS794" s="1074"/>
      <c r="AT794" s="1075"/>
    </row>
    <row r="795" ht="14.25" customHeight="1">
      <c r="A795" s="1116"/>
      <c r="B795" s="1120"/>
      <c r="C795" s="1100"/>
      <c r="D795" s="1100"/>
      <c r="E795" s="1100"/>
      <c r="F795" s="1100"/>
      <c r="G795" s="1100"/>
      <c r="H795" s="1100"/>
      <c r="I795" s="1100"/>
      <c r="J795" s="1100"/>
      <c r="K795" s="1074"/>
      <c r="L795" s="1074"/>
      <c r="M795" s="1074"/>
      <c r="N795" s="1074"/>
      <c r="O795" s="1074"/>
      <c r="P795" s="1074"/>
      <c r="Q795" s="1074"/>
      <c r="R795" s="1074"/>
      <c r="S795" s="1074"/>
      <c r="T795" s="1074"/>
      <c r="U795" s="1074"/>
      <c r="V795" s="1074"/>
      <c r="W795" s="1074"/>
      <c r="X795" s="1074"/>
      <c r="Y795" s="1074"/>
      <c r="Z795" s="1074"/>
      <c r="AA795" s="1074"/>
      <c r="AB795" s="1074"/>
      <c r="AC795" s="1074"/>
      <c r="AD795" s="1074"/>
      <c r="AE795" s="1074"/>
      <c r="AF795" s="1074"/>
      <c r="AG795" s="1074"/>
      <c r="AH795" s="1074"/>
      <c r="AI795" s="1074"/>
      <c r="AJ795" s="1074"/>
      <c r="AK795" s="1074"/>
      <c r="AL795" s="1074"/>
      <c r="AM795" s="1074"/>
      <c r="AN795" s="1074"/>
      <c r="AO795" s="1074"/>
      <c r="AP795" s="1074"/>
      <c r="AQ795" s="1074"/>
      <c r="AR795" s="1074"/>
      <c r="AS795" s="1074"/>
      <c r="AT795" s="1075"/>
    </row>
    <row r="796" ht="14.25" customHeight="1">
      <c r="A796" s="1116"/>
      <c r="B796" s="1120"/>
      <c r="C796" s="1100"/>
      <c r="D796" s="1100"/>
      <c r="E796" s="1100"/>
      <c r="F796" s="1100"/>
      <c r="G796" s="1100"/>
      <c r="H796" s="1100"/>
      <c r="I796" s="1100"/>
      <c r="J796" s="1100"/>
      <c r="K796" s="1074"/>
      <c r="L796" s="1074"/>
      <c r="M796" s="1074"/>
      <c r="N796" s="1074"/>
      <c r="O796" s="1074"/>
      <c r="P796" s="1074"/>
      <c r="Q796" s="1074"/>
      <c r="R796" s="1074"/>
      <c r="S796" s="1074"/>
      <c r="T796" s="1074"/>
      <c r="U796" s="1074"/>
      <c r="V796" s="1074"/>
      <c r="W796" s="1074"/>
      <c r="X796" s="1074"/>
      <c r="Y796" s="1074"/>
      <c r="Z796" s="1074"/>
      <c r="AA796" s="1074"/>
      <c r="AB796" s="1074"/>
      <c r="AC796" s="1074"/>
      <c r="AD796" s="1074"/>
      <c r="AE796" s="1074"/>
      <c r="AF796" s="1074"/>
      <c r="AG796" s="1074"/>
      <c r="AH796" s="1074"/>
      <c r="AI796" s="1074"/>
      <c r="AJ796" s="1074"/>
      <c r="AK796" s="1074"/>
      <c r="AL796" s="1074"/>
      <c r="AM796" s="1074"/>
      <c r="AN796" s="1074"/>
      <c r="AO796" s="1074"/>
      <c r="AP796" s="1074"/>
      <c r="AQ796" s="1074"/>
      <c r="AR796" s="1074"/>
      <c r="AS796" s="1074"/>
      <c r="AT796" s="1075"/>
    </row>
    <row r="797" ht="14.25" customHeight="1">
      <c r="A797" s="1116"/>
      <c r="B797" s="1120"/>
      <c r="C797" s="1100"/>
      <c r="D797" s="1100"/>
      <c r="E797" s="1100"/>
      <c r="F797" s="1100"/>
      <c r="G797" s="1100"/>
      <c r="H797" s="1100"/>
      <c r="I797" s="1100"/>
      <c r="J797" s="1100"/>
      <c r="K797" s="1074"/>
      <c r="L797" s="1074"/>
      <c r="M797" s="1074"/>
      <c r="N797" s="1074"/>
      <c r="O797" s="1074"/>
      <c r="P797" s="1074"/>
      <c r="Q797" s="1074"/>
      <c r="R797" s="1074"/>
      <c r="S797" s="1074"/>
      <c r="T797" s="1074"/>
      <c r="U797" s="1074"/>
      <c r="V797" s="1074"/>
      <c r="W797" s="1074"/>
      <c r="X797" s="1074"/>
      <c r="Y797" s="1074"/>
      <c r="Z797" s="1074"/>
      <c r="AA797" s="1074"/>
      <c r="AB797" s="1074"/>
      <c r="AC797" s="1074"/>
      <c r="AD797" s="1074"/>
      <c r="AE797" s="1074"/>
      <c r="AF797" s="1074"/>
      <c r="AG797" s="1074"/>
      <c r="AH797" s="1074"/>
      <c r="AI797" s="1074"/>
      <c r="AJ797" s="1074"/>
      <c r="AK797" s="1074"/>
      <c r="AL797" s="1074"/>
      <c r="AM797" s="1074"/>
      <c r="AN797" s="1074"/>
      <c r="AO797" s="1074"/>
      <c r="AP797" s="1074"/>
      <c r="AQ797" s="1074"/>
      <c r="AR797" s="1074"/>
      <c r="AS797" s="1074"/>
      <c r="AT797" s="1075"/>
    </row>
    <row r="798" ht="14.25" customHeight="1">
      <c r="A798" s="1116"/>
      <c r="B798" s="1120"/>
      <c r="C798" s="1100"/>
      <c r="D798" s="1100"/>
      <c r="E798" s="1100"/>
      <c r="F798" s="1100"/>
      <c r="G798" s="1100"/>
      <c r="H798" s="1100"/>
      <c r="I798" s="1100"/>
      <c r="J798" s="1100"/>
      <c r="K798" s="1074"/>
      <c r="L798" s="1074"/>
      <c r="M798" s="1074"/>
      <c r="N798" s="1074"/>
      <c r="O798" s="1074"/>
      <c r="P798" s="1074"/>
      <c r="Q798" s="1074"/>
      <c r="R798" s="1074"/>
      <c r="S798" s="1074"/>
      <c r="T798" s="1074"/>
      <c r="U798" s="1074"/>
      <c r="V798" s="1074"/>
      <c r="W798" s="1074"/>
      <c r="X798" s="1074"/>
      <c r="Y798" s="1074"/>
      <c r="Z798" s="1074"/>
      <c r="AA798" s="1074"/>
      <c r="AB798" s="1074"/>
      <c r="AC798" s="1074"/>
      <c r="AD798" s="1074"/>
      <c r="AE798" s="1074"/>
      <c r="AF798" s="1074"/>
      <c r="AG798" s="1074"/>
      <c r="AH798" s="1074"/>
      <c r="AI798" s="1074"/>
      <c r="AJ798" s="1074"/>
      <c r="AK798" s="1074"/>
      <c r="AL798" s="1074"/>
      <c r="AM798" s="1074"/>
      <c r="AN798" s="1074"/>
      <c r="AO798" s="1074"/>
      <c r="AP798" s="1074"/>
      <c r="AQ798" s="1074"/>
      <c r="AR798" s="1074"/>
      <c r="AS798" s="1074"/>
      <c r="AT798" s="1075"/>
    </row>
    <row r="799" ht="14.25" customHeight="1">
      <c r="A799" s="1116"/>
      <c r="B799" s="1120"/>
      <c r="C799" s="1100"/>
      <c r="D799" s="1100"/>
      <c r="E799" s="1100"/>
      <c r="F799" s="1100"/>
      <c r="G799" s="1100"/>
      <c r="H799" s="1100"/>
      <c r="I799" s="1100"/>
      <c r="J799" s="1100"/>
      <c r="K799" s="1074"/>
      <c r="L799" s="1074"/>
      <c r="M799" s="1074"/>
      <c r="N799" s="1074"/>
      <c r="O799" s="1074"/>
      <c r="P799" s="1074"/>
      <c r="Q799" s="1074"/>
      <c r="R799" s="1074"/>
      <c r="S799" s="1074"/>
      <c r="T799" s="1074"/>
      <c r="U799" s="1074"/>
      <c r="V799" s="1074"/>
      <c r="W799" s="1074"/>
      <c r="X799" s="1074"/>
      <c r="Y799" s="1074"/>
      <c r="Z799" s="1074"/>
      <c r="AA799" s="1074"/>
      <c r="AB799" s="1074"/>
      <c r="AC799" s="1074"/>
      <c r="AD799" s="1074"/>
      <c r="AE799" s="1074"/>
      <c r="AF799" s="1074"/>
      <c r="AG799" s="1074"/>
      <c r="AH799" s="1074"/>
      <c r="AI799" s="1074"/>
      <c r="AJ799" s="1074"/>
      <c r="AK799" s="1074"/>
      <c r="AL799" s="1074"/>
      <c r="AM799" s="1074"/>
      <c r="AN799" s="1074"/>
      <c r="AO799" s="1074"/>
      <c r="AP799" s="1074"/>
      <c r="AQ799" s="1074"/>
      <c r="AR799" s="1074"/>
      <c r="AS799" s="1074"/>
      <c r="AT799" s="1075"/>
    </row>
    <row r="800" ht="14.25" customHeight="1">
      <c r="A800" s="1116"/>
      <c r="B800" s="1120"/>
      <c r="C800" s="1100"/>
      <c r="D800" s="1100"/>
      <c r="E800" s="1100"/>
      <c r="F800" s="1100"/>
      <c r="G800" s="1100"/>
      <c r="H800" s="1100"/>
      <c r="I800" s="1100"/>
      <c r="J800" s="1100"/>
      <c r="K800" s="1074"/>
      <c r="L800" s="1074"/>
      <c r="M800" s="1074"/>
      <c r="N800" s="1074"/>
      <c r="O800" s="1074"/>
      <c r="P800" s="1074"/>
      <c r="Q800" s="1074"/>
      <c r="R800" s="1074"/>
      <c r="S800" s="1074"/>
      <c r="T800" s="1074"/>
      <c r="U800" s="1074"/>
      <c r="V800" s="1074"/>
      <c r="W800" s="1074"/>
      <c r="X800" s="1074"/>
      <c r="Y800" s="1074"/>
      <c r="Z800" s="1074"/>
      <c r="AA800" s="1074"/>
      <c r="AB800" s="1074"/>
      <c r="AC800" s="1074"/>
      <c r="AD800" s="1074"/>
      <c r="AE800" s="1074"/>
      <c r="AF800" s="1074"/>
      <c r="AG800" s="1074"/>
      <c r="AH800" s="1074"/>
      <c r="AI800" s="1074"/>
      <c r="AJ800" s="1074"/>
      <c r="AK800" s="1074"/>
      <c r="AL800" s="1074"/>
      <c r="AM800" s="1074"/>
      <c r="AN800" s="1074"/>
      <c r="AO800" s="1074"/>
      <c r="AP800" s="1074"/>
      <c r="AQ800" s="1074"/>
      <c r="AR800" s="1074"/>
      <c r="AS800" s="1074"/>
      <c r="AT800" s="1075"/>
    </row>
    <row r="801" ht="14.25" customHeight="1">
      <c r="A801" s="1116"/>
      <c r="B801" s="1120"/>
      <c r="C801" s="1100"/>
      <c r="D801" s="1100"/>
      <c r="E801" s="1100"/>
      <c r="F801" s="1100"/>
      <c r="G801" s="1100"/>
      <c r="H801" s="1100"/>
      <c r="I801" s="1100"/>
      <c r="J801" s="1100"/>
      <c r="K801" s="1074"/>
      <c r="L801" s="1074"/>
      <c r="M801" s="1074"/>
      <c r="N801" s="1074"/>
      <c r="O801" s="1074"/>
      <c r="P801" s="1074"/>
      <c r="Q801" s="1074"/>
      <c r="R801" s="1074"/>
      <c r="S801" s="1074"/>
      <c r="T801" s="1074"/>
      <c r="U801" s="1074"/>
      <c r="V801" s="1074"/>
      <c r="W801" s="1074"/>
      <c r="X801" s="1074"/>
      <c r="Y801" s="1074"/>
      <c r="Z801" s="1074"/>
      <c r="AA801" s="1074"/>
      <c r="AB801" s="1074"/>
      <c r="AC801" s="1074"/>
      <c r="AD801" s="1074"/>
      <c r="AE801" s="1074"/>
      <c r="AF801" s="1074"/>
      <c r="AG801" s="1074"/>
      <c r="AH801" s="1074"/>
      <c r="AI801" s="1074"/>
      <c r="AJ801" s="1074"/>
      <c r="AK801" s="1074"/>
      <c r="AL801" s="1074"/>
      <c r="AM801" s="1074"/>
      <c r="AN801" s="1074"/>
      <c r="AO801" s="1074"/>
      <c r="AP801" s="1074"/>
      <c r="AQ801" s="1074"/>
      <c r="AR801" s="1074"/>
      <c r="AS801" s="1074"/>
      <c r="AT801" s="1075"/>
    </row>
    <row r="802" ht="14.25" customHeight="1">
      <c r="A802" s="1116"/>
      <c r="B802" s="1120"/>
      <c r="C802" s="1100"/>
      <c r="D802" s="1100"/>
      <c r="E802" s="1100"/>
      <c r="F802" s="1100"/>
      <c r="G802" s="1100"/>
      <c r="H802" s="1100"/>
      <c r="I802" s="1100"/>
      <c r="J802" s="1100"/>
      <c r="K802" s="1074"/>
      <c r="L802" s="1074"/>
      <c r="M802" s="1074"/>
      <c r="N802" s="1074"/>
      <c r="O802" s="1074"/>
      <c r="P802" s="1074"/>
      <c r="Q802" s="1074"/>
      <c r="R802" s="1074"/>
      <c r="S802" s="1074"/>
      <c r="T802" s="1074"/>
      <c r="U802" s="1074"/>
      <c r="V802" s="1074"/>
      <c r="W802" s="1074"/>
      <c r="X802" s="1074"/>
      <c r="Y802" s="1074"/>
      <c r="Z802" s="1074"/>
      <c r="AA802" s="1074"/>
      <c r="AB802" s="1074"/>
      <c r="AC802" s="1074"/>
      <c r="AD802" s="1074"/>
      <c r="AE802" s="1074"/>
      <c r="AF802" s="1074"/>
      <c r="AG802" s="1074"/>
      <c r="AH802" s="1074"/>
      <c r="AI802" s="1074"/>
      <c r="AJ802" s="1074"/>
      <c r="AK802" s="1074"/>
      <c r="AL802" s="1074"/>
      <c r="AM802" s="1074"/>
      <c r="AN802" s="1074"/>
      <c r="AO802" s="1074"/>
      <c r="AP802" s="1074"/>
      <c r="AQ802" s="1074"/>
      <c r="AR802" s="1074"/>
      <c r="AS802" s="1074"/>
      <c r="AT802" s="1075"/>
    </row>
    <row r="803" ht="14.25" customHeight="1">
      <c r="A803" s="1116"/>
      <c r="B803" s="1120"/>
      <c r="C803" s="1100"/>
      <c r="D803" s="1100"/>
      <c r="E803" s="1100"/>
      <c r="F803" s="1100"/>
      <c r="G803" s="1100"/>
      <c r="H803" s="1100"/>
      <c r="I803" s="1100"/>
      <c r="J803" s="1100"/>
      <c r="K803" s="1074"/>
      <c r="L803" s="1074"/>
      <c r="M803" s="1074"/>
      <c r="N803" s="1074"/>
      <c r="O803" s="1074"/>
      <c r="P803" s="1074"/>
      <c r="Q803" s="1074"/>
      <c r="R803" s="1074"/>
      <c r="S803" s="1074"/>
      <c r="T803" s="1074"/>
      <c r="U803" s="1074"/>
      <c r="V803" s="1074"/>
      <c r="W803" s="1074"/>
      <c r="X803" s="1074"/>
      <c r="Y803" s="1074"/>
      <c r="Z803" s="1074"/>
      <c r="AA803" s="1074"/>
      <c r="AB803" s="1074"/>
      <c r="AC803" s="1074"/>
      <c r="AD803" s="1074"/>
      <c r="AE803" s="1074"/>
      <c r="AF803" s="1074"/>
      <c r="AG803" s="1074"/>
      <c r="AH803" s="1074"/>
      <c r="AI803" s="1074"/>
      <c r="AJ803" s="1074"/>
      <c r="AK803" s="1074"/>
      <c r="AL803" s="1074"/>
      <c r="AM803" s="1074"/>
      <c r="AN803" s="1074"/>
      <c r="AO803" s="1074"/>
      <c r="AP803" s="1074"/>
      <c r="AQ803" s="1074"/>
      <c r="AR803" s="1074"/>
      <c r="AS803" s="1074"/>
      <c r="AT803" s="1075"/>
    </row>
    <row r="804" ht="14.25" customHeight="1">
      <c r="A804" s="1116"/>
      <c r="B804" s="1120"/>
      <c r="C804" s="1100"/>
      <c r="D804" s="1100"/>
      <c r="E804" s="1100"/>
      <c r="F804" s="1100"/>
      <c r="G804" s="1100"/>
      <c r="H804" s="1100"/>
      <c r="I804" s="1100"/>
      <c r="J804" s="1100"/>
      <c r="K804" s="1074"/>
      <c r="L804" s="1074"/>
      <c r="M804" s="1074"/>
      <c r="N804" s="1074"/>
      <c r="O804" s="1074"/>
      <c r="P804" s="1074"/>
      <c r="Q804" s="1074"/>
      <c r="R804" s="1074"/>
      <c r="S804" s="1074"/>
      <c r="T804" s="1074"/>
      <c r="U804" s="1074"/>
      <c r="V804" s="1074"/>
      <c r="W804" s="1074"/>
      <c r="X804" s="1074"/>
      <c r="Y804" s="1074"/>
      <c r="Z804" s="1074"/>
      <c r="AA804" s="1074"/>
      <c r="AB804" s="1074"/>
      <c r="AC804" s="1074"/>
      <c r="AD804" s="1074"/>
      <c r="AE804" s="1074"/>
      <c r="AF804" s="1074"/>
      <c r="AG804" s="1074"/>
      <c r="AH804" s="1074"/>
      <c r="AI804" s="1074"/>
      <c r="AJ804" s="1074"/>
      <c r="AK804" s="1074"/>
      <c r="AL804" s="1074"/>
      <c r="AM804" s="1074"/>
      <c r="AN804" s="1074"/>
      <c r="AO804" s="1074"/>
      <c r="AP804" s="1074"/>
      <c r="AQ804" s="1074"/>
      <c r="AR804" s="1074"/>
      <c r="AS804" s="1074"/>
      <c r="AT804" s="1075"/>
    </row>
    <row r="805" ht="14.25" customHeight="1">
      <c r="A805" s="1116"/>
      <c r="B805" s="1120"/>
      <c r="C805" s="1100"/>
      <c r="D805" s="1100"/>
      <c r="E805" s="1100"/>
      <c r="F805" s="1100"/>
      <c r="G805" s="1100"/>
      <c r="H805" s="1100"/>
      <c r="I805" s="1100"/>
      <c r="J805" s="1100"/>
      <c r="K805" s="1074"/>
      <c r="L805" s="1074"/>
      <c r="M805" s="1074"/>
      <c r="N805" s="1074"/>
      <c r="O805" s="1074"/>
      <c r="P805" s="1074"/>
      <c r="Q805" s="1074"/>
      <c r="R805" s="1074"/>
      <c r="S805" s="1074"/>
      <c r="T805" s="1074"/>
      <c r="U805" s="1074"/>
      <c r="V805" s="1074"/>
      <c r="W805" s="1074"/>
      <c r="X805" s="1074"/>
      <c r="Y805" s="1074"/>
      <c r="Z805" s="1074"/>
      <c r="AA805" s="1074"/>
      <c r="AB805" s="1074"/>
      <c r="AC805" s="1074"/>
      <c r="AD805" s="1074"/>
      <c r="AE805" s="1074"/>
      <c r="AF805" s="1074"/>
      <c r="AG805" s="1074"/>
      <c r="AH805" s="1074"/>
      <c r="AI805" s="1074"/>
      <c r="AJ805" s="1074"/>
      <c r="AK805" s="1074"/>
      <c r="AL805" s="1074"/>
      <c r="AM805" s="1074"/>
      <c r="AN805" s="1074"/>
      <c r="AO805" s="1074"/>
      <c r="AP805" s="1074"/>
      <c r="AQ805" s="1074"/>
      <c r="AR805" s="1074"/>
      <c r="AS805" s="1074"/>
      <c r="AT805" s="1075"/>
    </row>
    <row r="806" ht="14.25" customHeight="1">
      <c r="A806" s="1116"/>
      <c r="B806" s="1120"/>
      <c r="C806" s="1100"/>
      <c r="D806" s="1100"/>
      <c r="E806" s="1100"/>
      <c r="F806" s="1100"/>
      <c r="G806" s="1100"/>
      <c r="H806" s="1100"/>
      <c r="I806" s="1100"/>
      <c r="J806" s="1100"/>
      <c r="K806" s="1074"/>
      <c r="L806" s="1074"/>
      <c r="M806" s="1074"/>
      <c r="N806" s="1074"/>
      <c r="O806" s="1074"/>
      <c r="P806" s="1074"/>
      <c r="Q806" s="1074"/>
      <c r="R806" s="1074"/>
      <c r="S806" s="1074"/>
      <c r="T806" s="1074"/>
      <c r="U806" s="1074"/>
      <c r="V806" s="1074"/>
      <c r="W806" s="1074"/>
      <c r="X806" s="1074"/>
      <c r="Y806" s="1074"/>
      <c r="Z806" s="1074"/>
      <c r="AA806" s="1074"/>
      <c r="AB806" s="1074"/>
      <c r="AC806" s="1074"/>
      <c r="AD806" s="1074"/>
      <c r="AE806" s="1074"/>
      <c r="AF806" s="1074"/>
      <c r="AG806" s="1074"/>
      <c r="AH806" s="1074"/>
      <c r="AI806" s="1074"/>
      <c r="AJ806" s="1074"/>
      <c r="AK806" s="1074"/>
      <c r="AL806" s="1074"/>
      <c r="AM806" s="1074"/>
      <c r="AN806" s="1074"/>
      <c r="AO806" s="1074"/>
      <c r="AP806" s="1074"/>
      <c r="AQ806" s="1074"/>
      <c r="AR806" s="1074"/>
      <c r="AS806" s="1074"/>
      <c r="AT806" s="1075"/>
    </row>
    <row r="807" ht="14.25" customHeight="1">
      <c r="A807" s="1116"/>
      <c r="B807" s="1120"/>
      <c r="C807" s="1100"/>
      <c r="D807" s="1100"/>
      <c r="E807" s="1100"/>
      <c r="F807" s="1100"/>
      <c r="G807" s="1100"/>
      <c r="H807" s="1100"/>
      <c r="I807" s="1100"/>
      <c r="J807" s="1100"/>
      <c r="K807" s="1074"/>
      <c r="L807" s="1074"/>
      <c r="M807" s="1074"/>
      <c r="N807" s="1074"/>
      <c r="O807" s="1074"/>
      <c r="P807" s="1074"/>
      <c r="Q807" s="1074"/>
      <c r="R807" s="1074"/>
      <c r="S807" s="1074"/>
      <c r="T807" s="1074"/>
      <c r="U807" s="1074"/>
      <c r="V807" s="1074"/>
      <c r="W807" s="1074"/>
      <c r="X807" s="1074"/>
      <c r="Y807" s="1074"/>
      <c r="Z807" s="1074"/>
      <c r="AA807" s="1074"/>
      <c r="AB807" s="1074"/>
      <c r="AC807" s="1074"/>
      <c r="AD807" s="1074"/>
      <c r="AE807" s="1074"/>
      <c r="AF807" s="1074"/>
      <c r="AG807" s="1074"/>
      <c r="AH807" s="1074"/>
      <c r="AI807" s="1074"/>
      <c r="AJ807" s="1074"/>
      <c r="AK807" s="1074"/>
      <c r="AL807" s="1074"/>
      <c r="AM807" s="1074"/>
      <c r="AN807" s="1074"/>
      <c r="AO807" s="1074"/>
      <c r="AP807" s="1074"/>
      <c r="AQ807" s="1074"/>
      <c r="AR807" s="1074"/>
      <c r="AS807" s="1074"/>
      <c r="AT807" s="1075"/>
    </row>
    <row r="808" ht="14.25" customHeight="1">
      <c r="A808" s="1116"/>
      <c r="B808" s="1120"/>
      <c r="C808" s="1100"/>
      <c r="D808" s="1100"/>
      <c r="E808" s="1100"/>
      <c r="F808" s="1100"/>
      <c r="G808" s="1100"/>
      <c r="H808" s="1100"/>
      <c r="I808" s="1100"/>
      <c r="J808" s="1100"/>
      <c r="K808" s="1074"/>
      <c r="L808" s="1074"/>
      <c r="M808" s="1074"/>
      <c r="N808" s="1074"/>
      <c r="O808" s="1074"/>
      <c r="P808" s="1074"/>
      <c r="Q808" s="1074"/>
      <c r="R808" s="1074"/>
      <c r="S808" s="1074"/>
      <c r="T808" s="1074"/>
      <c r="U808" s="1074"/>
      <c r="V808" s="1074"/>
      <c r="W808" s="1074"/>
      <c r="X808" s="1074"/>
      <c r="Y808" s="1074"/>
      <c r="Z808" s="1074"/>
      <c r="AA808" s="1074"/>
      <c r="AB808" s="1074"/>
      <c r="AC808" s="1074"/>
      <c r="AD808" s="1074"/>
      <c r="AE808" s="1074"/>
      <c r="AF808" s="1074"/>
      <c r="AG808" s="1074"/>
      <c r="AH808" s="1074"/>
      <c r="AI808" s="1074"/>
      <c r="AJ808" s="1074"/>
      <c r="AK808" s="1074"/>
      <c r="AL808" s="1074"/>
      <c r="AM808" s="1074"/>
      <c r="AN808" s="1074"/>
      <c r="AO808" s="1074"/>
      <c r="AP808" s="1074"/>
      <c r="AQ808" s="1074"/>
      <c r="AR808" s="1074"/>
      <c r="AS808" s="1074"/>
      <c r="AT808" s="1075"/>
    </row>
    <row r="809" ht="14.25" customHeight="1">
      <c r="A809" s="1116"/>
      <c r="B809" s="1120"/>
      <c r="C809" s="1100"/>
      <c r="D809" s="1100"/>
      <c r="E809" s="1100"/>
      <c r="F809" s="1100"/>
      <c r="G809" s="1100"/>
      <c r="H809" s="1100"/>
      <c r="I809" s="1100"/>
      <c r="J809" s="1100"/>
      <c r="K809" s="1074"/>
      <c r="L809" s="1074"/>
      <c r="M809" s="1074"/>
      <c r="N809" s="1074"/>
      <c r="O809" s="1074"/>
      <c r="P809" s="1074"/>
      <c r="Q809" s="1074"/>
      <c r="R809" s="1074"/>
      <c r="S809" s="1074"/>
      <c r="T809" s="1074"/>
      <c r="U809" s="1074"/>
      <c r="V809" s="1074"/>
      <c r="W809" s="1074"/>
      <c r="X809" s="1074"/>
      <c r="Y809" s="1074"/>
      <c r="Z809" s="1074"/>
      <c r="AA809" s="1074"/>
      <c r="AB809" s="1074"/>
      <c r="AC809" s="1074"/>
      <c r="AD809" s="1074"/>
      <c r="AE809" s="1074"/>
      <c r="AF809" s="1074"/>
      <c r="AG809" s="1074"/>
      <c r="AH809" s="1074"/>
      <c r="AI809" s="1074"/>
      <c r="AJ809" s="1074"/>
      <c r="AK809" s="1074"/>
      <c r="AL809" s="1074"/>
      <c r="AM809" s="1074"/>
      <c r="AN809" s="1074"/>
      <c r="AO809" s="1074"/>
      <c r="AP809" s="1074"/>
      <c r="AQ809" s="1074"/>
      <c r="AR809" s="1074"/>
      <c r="AS809" s="1074"/>
      <c r="AT809" s="1075"/>
    </row>
    <row r="810" ht="14.25" customHeight="1">
      <c r="A810" s="1116"/>
      <c r="B810" s="1120"/>
      <c r="C810" s="1100"/>
      <c r="D810" s="1100"/>
      <c r="E810" s="1100"/>
      <c r="F810" s="1100"/>
      <c r="G810" s="1100"/>
      <c r="H810" s="1100"/>
      <c r="I810" s="1100"/>
      <c r="J810" s="1100"/>
      <c r="K810" s="1074"/>
      <c r="L810" s="1074"/>
      <c r="M810" s="1074"/>
      <c r="N810" s="1074"/>
      <c r="O810" s="1074"/>
      <c r="P810" s="1074"/>
      <c r="Q810" s="1074"/>
      <c r="R810" s="1074"/>
      <c r="S810" s="1074"/>
      <c r="T810" s="1074"/>
      <c r="U810" s="1074"/>
      <c r="V810" s="1074"/>
      <c r="W810" s="1074"/>
      <c r="X810" s="1074"/>
      <c r="Y810" s="1074"/>
      <c r="Z810" s="1074"/>
      <c r="AA810" s="1074"/>
      <c r="AB810" s="1074"/>
      <c r="AC810" s="1074"/>
      <c r="AD810" s="1074"/>
      <c r="AE810" s="1074"/>
      <c r="AF810" s="1074"/>
      <c r="AG810" s="1074"/>
      <c r="AH810" s="1074"/>
      <c r="AI810" s="1074"/>
      <c r="AJ810" s="1074"/>
      <c r="AK810" s="1074"/>
      <c r="AL810" s="1074"/>
      <c r="AM810" s="1074"/>
      <c r="AN810" s="1074"/>
      <c r="AO810" s="1074"/>
      <c r="AP810" s="1074"/>
      <c r="AQ810" s="1074"/>
      <c r="AR810" s="1074"/>
      <c r="AS810" s="1074"/>
      <c r="AT810" s="1075"/>
    </row>
    <row r="811" ht="14.25" customHeight="1">
      <c r="A811" s="1116"/>
      <c r="B811" s="1120"/>
      <c r="C811" s="1100"/>
      <c r="D811" s="1100"/>
      <c r="E811" s="1100"/>
      <c r="F811" s="1100"/>
      <c r="G811" s="1100"/>
      <c r="H811" s="1100"/>
      <c r="I811" s="1100"/>
      <c r="J811" s="1100"/>
      <c r="K811" s="1074"/>
      <c r="L811" s="1074"/>
      <c r="M811" s="1074"/>
      <c r="N811" s="1074"/>
      <c r="O811" s="1074"/>
      <c r="P811" s="1074"/>
      <c r="Q811" s="1074"/>
      <c r="R811" s="1074"/>
      <c r="S811" s="1074"/>
      <c r="T811" s="1074"/>
      <c r="U811" s="1074"/>
      <c r="V811" s="1074"/>
      <c r="W811" s="1074"/>
      <c r="X811" s="1074"/>
      <c r="Y811" s="1074"/>
      <c r="Z811" s="1074"/>
      <c r="AA811" s="1074"/>
      <c r="AB811" s="1074"/>
      <c r="AC811" s="1074"/>
      <c r="AD811" s="1074"/>
      <c r="AE811" s="1074"/>
      <c r="AF811" s="1074"/>
      <c r="AG811" s="1074"/>
      <c r="AH811" s="1074"/>
      <c r="AI811" s="1074"/>
      <c r="AJ811" s="1074"/>
      <c r="AK811" s="1074"/>
      <c r="AL811" s="1074"/>
      <c r="AM811" s="1074"/>
      <c r="AN811" s="1074"/>
      <c r="AO811" s="1074"/>
      <c r="AP811" s="1074"/>
      <c r="AQ811" s="1074"/>
      <c r="AR811" s="1074"/>
      <c r="AS811" s="1074"/>
      <c r="AT811" s="1075"/>
    </row>
    <row r="812" ht="14.25" customHeight="1">
      <c r="A812" s="1116"/>
      <c r="B812" s="1120"/>
      <c r="C812" s="1100"/>
      <c r="D812" s="1100"/>
      <c r="E812" s="1100"/>
      <c r="F812" s="1100"/>
      <c r="G812" s="1100"/>
      <c r="H812" s="1100"/>
      <c r="I812" s="1100"/>
      <c r="J812" s="1100"/>
      <c r="K812" s="1074"/>
      <c r="L812" s="1074"/>
      <c r="M812" s="1074"/>
      <c r="N812" s="1074"/>
      <c r="O812" s="1074"/>
      <c r="P812" s="1074"/>
      <c r="Q812" s="1074"/>
      <c r="R812" s="1074"/>
      <c r="S812" s="1074"/>
      <c r="T812" s="1074"/>
      <c r="U812" s="1074"/>
      <c r="V812" s="1074"/>
      <c r="W812" s="1074"/>
      <c r="X812" s="1074"/>
      <c r="Y812" s="1074"/>
      <c r="Z812" s="1074"/>
      <c r="AA812" s="1074"/>
      <c r="AB812" s="1074"/>
      <c r="AC812" s="1074"/>
      <c r="AD812" s="1074"/>
      <c r="AE812" s="1074"/>
      <c r="AF812" s="1074"/>
      <c r="AG812" s="1074"/>
      <c r="AH812" s="1074"/>
      <c r="AI812" s="1074"/>
      <c r="AJ812" s="1074"/>
      <c r="AK812" s="1074"/>
      <c r="AL812" s="1074"/>
      <c r="AM812" s="1074"/>
      <c r="AN812" s="1074"/>
      <c r="AO812" s="1074"/>
      <c r="AP812" s="1074"/>
      <c r="AQ812" s="1074"/>
      <c r="AR812" s="1074"/>
      <c r="AS812" s="1074"/>
      <c r="AT812" s="1075"/>
    </row>
    <row r="813" ht="14.25" customHeight="1">
      <c r="A813" s="1116"/>
      <c r="B813" s="1120"/>
      <c r="C813" s="1100"/>
      <c r="D813" s="1100"/>
      <c r="E813" s="1100"/>
      <c r="F813" s="1100"/>
      <c r="G813" s="1100"/>
      <c r="H813" s="1100"/>
      <c r="I813" s="1100"/>
      <c r="J813" s="1100"/>
      <c r="K813" s="1074"/>
      <c r="L813" s="1074"/>
      <c r="M813" s="1074"/>
      <c r="N813" s="1074"/>
      <c r="O813" s="1074"/>
      <c r="P813" s="1074"/>
      <c r="Q813" s="1074"/>
      <c r="R813" s="1074"/>
      <c r="S813" s="1074"/>
      <c r="T813" s="1074"/>
      <c r="U813" s="1074"/>
      <c r="V813" s="1074"/>
      <c r="W813" s="1074"/>
      <c r="X813" s="1074"/>
      <c r="Y813" s="1074"/>
      <c r="Z813" s="1074"/>
      <c r="AA813" s="1074"/>
      <c r="AB813" s="1074"/>
      <c r="AC813" s="1074"/>
      <c r="AD813" s="1074"/>
      <c r="AE813" s="1074"/>
      <c r="AF813" s="1074"/>
      <c r="AG813" s="1074"/>
      <c r="AH813" s="1074"/>
      <c r="AI813" s="1074"/>
      <c r="AJ813" s="1074"/>
      <c r="AK813" s="1074"/>
      <c r="AL813" s="1074"/>
      <c r="AM813" s="1074"/>
      <c r="AN813" s="1074"/>
      <c r="AO813" s="1074"/>
      <c r="AP813" s="1074"/>
      <c r="AQ813" s="1074"/>
      <c r="AR813" s="1074"/>
      <c r="AS813" s="1074"/>
      <c r="AT813" s="1075"/>
    </row>
    <row r="814" ht="14.25" customHeight="1">
      <c r="A814" s="1116"/>
      <c r="B814" s="1120"/>
      <c r="C814" s="1100"/>
      <c r="D814" s="1100"/>
      <c r="E814" s="1100"/>
      <c r="F814" s="1100"/>
      <c r="G814" s="1100"/>
      <c r="H814" s="1100"/>
      <c r="I814" s="1100"/>
      <c r="J814" s="1100"/>
      <c r="K814" s="1074"/>
      <c r="L814" s="1074"/>
      <c r="M814" s="1074"/>
      <c r="N814" s="1074"/>
      <c r="O814" s="1074"/>
      <c r="P814" s="1074"/>
      <c r="Q814" s="1074"/>
      <c r="R814" s="1074"/>
      <c r="S814" s="1074"/>
      <c r="T814" s="1074"/>
      <c r="U814" s="1074"/>
      <c r="V814" s="1074"/>
      <c r="W814" s="1074"/>
      <c r="X814" s="1074"/>
      <c r="Y814" s="1074"/>
      <c r="Z814" s="1074"/>
      <c r="AA814" s="1074"/>
      <c r="AB814" s="1074"/>
      <c r="AC814" s="1074"/>
      <c r="AD814" s="1074"/>
      <c r="AE814" s="1074"/>
      <c r="AF814" s="1074"/>
      <c r="AG814" s="1074"/>
      <c r="AH814" s="1074"/>
      <c r="AI814" s="1074"/>
      <c r="AJ814" s="1074"/>
      <c r="AK814" s="1074"/>
      <c r="AL814" s="1074"/>
      <c r="AM814" s="1074"/>
      <c r="AN814" s="1074"/>
      <c r="AO814" s="1074"/>
      <c r="AP814" s="1074"/>
      <c r="AQ814" s="1074"/>
      <c r="AR814" s="1074"/>
      <c r="AS814" s="1074"/>
      <c r="AT814" s="1075"/>
    </row>
    <row r="815" ht="14.25" customHeight="1">
      <c r="A815" s="1116"/>
      <c r="B815" s="1120"/>
      <c r="C815" s="1100"/>
      <c r="D815" s="1100"/>
      <c r="E815" s="1100"/>
      <c r="F815" s="1100"/>
      <c r="G815" s="1100"/>
      <c r="H815" s="1100"/>
      <c r="I815" s="1100"/>
      <c r="J815" s="1100"/>
      <c r="K815" s="1074"/>
      <c r="L815" s="1074"/>
      <c r="M815" s="1074"/>
      <c r="N815" s="1074"/>
      <c r="O815" s="1074"/>
      <c r="P815" s="1074"/>
      <c r="Q815" s="1074"/>
      <c r="R815" s="1074"/>
      <c r="S815" s="1074"/>
      <c r="T815" s="1074"/>
      <c r="U815" s="1074"/>
      <c r="V815" s="1074"/>
      <c r="W815" s="1074"/>
      <c r="X815" s="1074"/>
      <c r="Y815" s="1074"/>
      <c r="Z815" s="1074"/>
      <c r="AA815" s="1074"/>
      <c r="AB815" s="1074"/>
      <c r="AC815" s="1074"/>
      <c r="AD815" s="1074"/>
      <c r="AE815" s="1074"/>
      <c r="AF815" s="1074"/>
      <c r="AG815" s="1074"/>
      <c r="AH815" s="1074"/>
      <c r="AI815" s="1074"/>
      <c r="AJ815" s="1074"/>
      <c r="AK815" s="1074"/>
      <c r="AL815" s="1074"/>
      <c r="AM815" s="1074"/>
      <c r="AN815" s="1074"/>
      <c r="AO815" s="1074"/>
      <c r="AP815" s="1074"/>
      <c r="AQ815" s="1074"/>
      <c r="AR815" s="1074"/>
      <c r="AS815" s="1074"/>
      <c r="AT815" s="1075"/>
    </row>
    <row r="816" ht="14.25" customHeight="1">
      <c r="A816" s="1116"/>
      <c r="B816" s="1120"/>
      <c r="C816" s="1100"/>
      <c r="D816" s="1100"/>
      <c r="E816" s="1100"/>
      <c r="F816" s="1100"/>
      <c r="G816" s="1100"/>
      <c r="H816" s="1100"/>
      <c r="I816" s="1100"/>
      <c r="J816" s="1100"/>
      <c r="K816" s="1074"/>
      <c r="L816" s="1074"/>
      <c r="M816" s="1074"/>
      <c r="N816" s="1074"/>
      <c r="O816" s="1074"/>
      <c r="P816" s="1074"/>
      <c r="Q816" s="1074"/>
      <c r="R816" s="1074"/>
      <c r="S816" s="1074"/>
      <c r="T816" s="1074"/>
      <c r="U816" s="1074"/>
      <c r="V816" s="1074"/>
      <c r="W816" s="1074"/>
      <c r="X816" s="1074"/>
      <c r="Y816" s="1074"/>
      <c r="Z816" s="1074"/>
      <c r="AA816" s="1074"/>
      <c r="AB816" s="1074"/>
      <c r="AC816" s="1074"/>
      <c r="AD816" s="1074"/>
      <c r="AE816" s="1074"/>
      <c r="AF816" s="1074"/>
      <c r="AG816" s="1074"/>
      <c r="AH816" s="1074"/>
      <c r="AI816" s="1074"/>
      <c r="AJ816" s="1074"/>
      <c r="AK816" s="1074"/>
      <c r="AL816" s="1074"/>
      <c r="AM816" s="1074"/>
      <c r="AN816" s="1074"/>
      <c r="AO816" s="1074"/>
      <c r="AP816" s="1074"/>
      <c r="AQ816" s="1074"/>
      <c r="AR816" s="1074"/>
      <c r="AS816" s="1074"/>
      <c r="AT816" s="1075"/>
    </row>
    <row r="817" ht="14.25" customHeight="1">
      <c r="A817" s="1116"/>
      <c r="B817" s="1120"/>
      <c r="C817" s="1100"/>
      <c r="D817" s="1100"/>
      <c r="E817" s="1100"/>
      <c r="F817" s="1100"/>
      <c r="G817" s="1100"/>
      <c r="H817" s="1100"/>
      <c r="I817" s="1100"/>
      <c r="J817" s="1100"/>
      <c r="K817" s="1074"/>
      <c r="L817" s="1074"/>
      <c r="M817" s="1074"/>
      <c r="N817" s="1074"/>
      <c r="O817" s="1074"/>
      <c r="P817" s="1074"/>
      <c r="Q817" s="1074"/>
      <c r="R817" s="1074"/>
      <c r="S817" s="1074"/>
      <c r="T817" s="1074"/>
      <c r="U817" s="1074"/>
      <c r="V817" s="1074"/>
      <c r="W817" s="1074"/>
      <c r="X817" s="1074"/>
      <c r="Y817" s="1074"/>
      <c r="Z817" s="1074"/>
      <c r="AA817" s="1074"/>
      <c r="AB817" s="1074"/>
      <c r="AC817" s="1074"/>
      <c r="AD817" s="1074"/>
      <c r="AE817" s="1074"/>
      <c r="AF817" s="1074"/>
      <c r="AG817" s="1074"/>
      <c r="AH817" s="1074"/>
      <c r="AI817" s="1074"/>
      <c r="AJ817" s="1074"/>
      <c r="AK817" s="1074"/>
      <c r="AL817" s="1074"/>
      <c r="AM817" s="1074"/>
      <c r="AN817" s="1074"/>
      <c r="AO817" s="1074"/>
      <c r="AP817" s="1074"/>
      <c r="AQ817" s="1074"/>
      <c r="AR817" s="1074"/>
      <c r="AS817" s="1074"/>
      <c r="AT817" s="1075"/>
    </row>
    <row r="818" ht="14.25" customHeight="1">
      <c r="A818" s="1116"/>
      <c r="B818" s="1120"/>
      <c r="C818" s="1100"/>
      <c r="D818" s="1100"/>
      <c r="E818" s="1100"/>
      <c r="F818" s="1100"/>
      <c r="G818" s="1100"/>
      <c r="H818" s="1100"/>
      <c r="I818" s="1100"/>
      <c r="J818" s="1100"/>
      <c r="K818" s="1074"/>
      <c r="L818" s="1074"/>
      <c r="M818" s="1074"/>
      <c r="N818" s="1074"/>
      <c r="O818" s="1074"/>
      <c r="P818" s="1074"/>
      <c r="Q818" s="1074"/>
      <c r="R818" s="1074"/>
      <c r="S818" s="1074"/>
      <c r="T818" s="1074"/>
      <c r="U818" s="1074"/>
      <c r="V818" s="1074"/>
      <c r="W818" s="1074"/>
      <c r="X818" s="1074"/>
      <c r="Y818" s="1074"/>
      <c r="Z818" s="1074"/>
      <c r="AA818" s="1074"/>
      <c r="AB818" s="1074"/>
      <c r="AC818" s="1074"/>
      <c r="AD818" s="1074"/>
      <c r="AE818" s="1074"/>
      <c r="AF818" s="1074"/>
      <c r="AG818" s="1074"/>
      <c r="AH818" s="1074"/>
      <c r="AI818" s="1074"/>
      <c r="AJ818" s="1074"/>
      <c r="AK818" s="1074"/>
      <c r="AL818" s="1074"/>
      <c r="AM818" s="1074"/>
      <c r="AN818" s="1074"/>
      <c r="AO818" s="1074"/>
      <c r="AP818" s="1074"/>
      <c r="AQ818" s="1074"/>
      <c r="AR818" s="1074"/>
      <c r="AS818" s="1074"/>
      <c r="AT818" s="1075"/>
    </row>
    <row r="819" ht="14.25" customHeight="1">
      <c r="A819" s="1116"/>
      <c r="B819" s="1120"/>
      <c r="C819" s="1100"/>
      <c r="D819" s="1100"/>
      <c r="E819" s="1100"/>
      <c r="F819" s="1100"/>
      <c r="G819" s="1100"/>
      <c r="H819" s="1100"/>
      <c r="I819" s="1100"/>
      <c r="J819" s="1100"/>
      <c r="K819" s="1074"/>
      <c r="L819" s="1074"/>
      <c r="M819" s="1074"/>
      <c r="N819" s="1074"/>
      <c r="O819" s="1074"/>
      <c r="P819" s="1074"/>
      <c r="Q819" s="1074"/>
      <c r="R819" s="1074"/>
      <c r="S819" s="1074"/>
      <c r="T819" s="1074"/>
      <c r="U819" s="1074"/>
      <c r="V819" s="1074"/>
      <c r="W819" s="1074"/>
      <c r="X819" s="1074"/>
      <c r="Y819" s="1074"/>
      <c r="Z819" s="1074"/>
      <c r="AA819" s="1074"/>
      <c r="AB819" s="1074"/>
      <c r="AC819" s="1074"/>
      <c r="AD819" s="1074"/>
      <c r="AE819" s="1074"/>
      <c r="AF819" s="1074"/>
      <c r="AG819" s="1074"/>
      <c r="AH819" s="1074"/>
      <c r="AI819" s="1074"/>
      <c r="AJ819" s="1074"/>
      <c r="AK819" s="1074"/>
      <c r="AL819" s="1074"/>
      <c r="AM819" s="1074"/>
      <c r="AN819" s="1074"/>
      <c r="AO819" s="1074"/>
      <c r="AP819" s="1074"/>
      <c r="AQ819" s="1074"/>
      <c r="AR819" s="1074"/>
      <c r="AS819" s="1074"/>
      <c r="AT819" s="1075"/>
    </row>
    <row r="820" ht="14.25" customHeight="1">
      <c r="A820" s="1116"/>
      <c r="B820" s="1120"/>
      <c r="C820" s="1100"/>
      <c r="D820" s="1100"/>
      <c r="E820" s="1100"/>
      <c r="F820" s="1100"/>
      <c r="G820" s="1100"/>
      <c r="H820" s="1100"/>
      <c r="I820" s="1100"/>
      <c r="J820" s="1100"/>
      <c r="K820" s="1074"/>
      <c r="L820" s="1074"/>
      <c r="M820" s="1074"/>
      <c r="N820" s="1074"/>
      <c r="O820" s="1074"/>
      <c r="P820" s="1074"/>
      <c r="Q820" s="1074"/>
      <c r="R820" s="1074"/>
      <c r="S820" s="1074"/>
      <c r="T820" s="1074"/>
      <c r="U820" s="1074"/>
      <c r="V820" s="1074"/>
      <c r="W820" s="1074"/>
      <c r="X820" s="1074"/>
      <c r="Y820" s="1074"/>
      <c r="Z820" s="1074"/>
      <c r="AA820" s="1074"/>
      <c r="AB820" s="1074"/>
      <c r="AC820" s="1074"/>
      <c r="AD820" s="1074"/>
      <c r="AE820" s="1074"/>
      <c r="AF820" s="1074"/>
      <c r="AG820" s="1074"/>
      <c r="AH820" s="1074"/>
      <c r="AI820" s="1074"/>
      <c r="AJ820" s="1074"/>
      <c r="AK820" s="1074"/>
      <c r="AL820" s="1074"/>
      <c r="AM820" s="1074"/>
      <c r="AN820" s="1074"/>
      <c r="AO820" s="1074"/>
      <c r="AP820" s="1074"/>
      <c r="AQ820" s="1074"/>
      <c r="AR820" s="1074"/>
      <c r="AS820" s="1074"/>
      <c r="AT820" s="1075"/>
    </row>
    <row r="821" ht="14.25" customHeight="1">
      <c r="A821" s="1116"/>
      <c r="B821" s="1120"/>
      <c r="C821" s="1100"/>
      <c r="D821" s="1100"/>
      <c r="E821" s="1100"/>
      <c r="F821" s="1100"/>
      <c r="G821" s="1100"/>
      <c r="H821" s="1100"/>
      <c r="I821" s="1100"/>
      <c r="J821" s="1100"/>
      <c r="K821" s="1074"/>
      <c r="L821" s="1074"/>
      <c r="M821" s="1074"/>
      <c r="N821" s="1074"/>
      <c r="O821" s="1074"/>
      <c r="P821" s="1074"/>
      <c r="Q821" s="1074"/>
      <c r="R821" s="1074"/>
      <c r="S821" s="1074"/>
      <c r="T821" s="1074"/>
      <c r="U821" s="1074"/>
      <c r="V821" s="1074"/>
      <c r="W821" s="1074"/>
      <c r="X821" s="1074"/>
      <c r="Y821" s="1074"/>
      <c r="Z821" s="1074"/>
      <c r="AA821" s="1074"/>
      <c r="AB821" s="1074"/>
      <c r="AC821" s="1074"/>
      <c r="AD821" s="1074"/>
      <c r="AE821" s="1074"/>
      <c r="AF821" s="1074"/>
      <c r="AG821" s="1074"/>
      <c r="AH821" s="1074"/>
      <c r="AI821" s="1074"/>
      <c r="AJ821" s="1074"/>
      <c r="AK821" s="1074"/>
      <c r="AL821" s="1074"/>
      <c r="AM821" s="1074"/>
      <c r="AN821" s="1074"/>
      <c r="AO821" s="1074"/>
      <c r="AP821" s="1074"/>
      <c r="AQ821" s="1074"/>
      <c r="AR821" s="1074"/>
      <c r="AS821" s="1074"/>
      <c r="AT821" s="1075"/>
    </row>
    <row r="822" ht="14.25" customHeight="1">
      <c r="A822" s="1116"/>
      <c r="B822" s="1120"/>
      <c r="C822" s="1100"/>
      <c r="D822" s="1100"/>
      <c r="E822" s="1100"/>
      <c r="F822" s="1100"/>
      <c r="G822" s="1100"/>
      <c r="H822" s="1100"/>
      <c r="I822" s="1100"/>
      <c r="J822" s="1100"/>
      <c r="K822" s="1074"/>
      <c r="L822" s="1074"/>
      <c r="M822" s="1074"/>
      <c r="N822" s="1074"/>
      <c r="O822" s="1074"/>
      <c r="P822" s="1074"/>
      <c r="Q822" s="1074"/>
      <c r="R822" s="1074"/>
      <c r="S822" s="1074"/>
      <c r="T822" s="1074"/>
      <c r="U822" s="1074"/>
      <c r="V822" s="1074"/>
      <c r="W822" s="1074"/>
      <c r="X822" s="1074"/>
      <c r="Y822" s="1074"/>
      <c r="Z822" s="1074"/>
      <c r="AA822" s="1074"/>
      <c r="AB822" s="1074"/>
      <c r="AC822" s="1074"/>
      <c r="AD822" s="1074"/>
      <c r="AE822" s="1074"/>
      <c r="AF822" s="1074"/>
      <c r="AG822" s="1074"/>
      <c r="AH822" s="1074"/>
      <c r="AI822" s="1074"/>
      <c r="AJ822" s="1074"/>
      <c r="AK822" s="1074"/>
      <c r="AL822" s="1074"/>
      <c r="AM822" s="1074"/>
      <c r="AN822" s="1074"/>
      <c r="AO822" s="1074"/>
      <c r="AP822" s="1074"/>
      <c r="AQ822" s="1074"/>
      <c r="AR822" s="1074"/>
      <c r="AS822" s="1074"/>
      <c r="AT822" s="1075"/>
    </row>
    <row r="823" ht="14.25" customHeight="1">
      <c r="A823" s="1116"/>
      <c r="B823" s="1120"/>
      <c r="C823" s="1100"/>
      <c r="D823" s="1100"/>
      <c r="E823" s="1100"/>
      <c r="F823" s="1100"/>
      <c r="G823" s="1100"/>
      <c r="H823" s="1100"/>
      <c r="I823" s="1100"/>
      <c r="J823" s="1100"/>
      <c r="K823" s="1074"/>
      <c r="L823" s="1074"/>
      <c r="M823" s="1074"/>
      <c r="N823" s="1074"/>
      <c r="O823" s="1074"/>
      <c r="P823" s="1074"/>
      <c r="Q823" s="1074"/>
      <c r="R823" s="1074"/>
      <c r="S823" s="1074"/>
      <c r="T823" s="1074"/>
      <c r="U823" s="1074"/>
      <c r="V823" s="1074"/>
      <c r="W823" s="1074"/>
      <c r="X823" s="1074"/>
      <c r="Y823" s="1074"/>
      <c r="Z823" s="1074"/>
      <c r="AA823" s="1074"/>
      <c r="AB823" s="1074"/>
      <c r="AC823" s="1074"/>
      <c r="AD823" s="1074"/>
      <c r="AE823" s="1074"/>
      <c r="AF823" s="1074"/>
      <c r="AG823" s="1074"/>
      <c r="AH823" s="1074"/>
      <c r="AI823" s="1074"/>
      <c r="AJ823" s="1074"/>
      <c r="AK823" s="1074"/>
      <c r="AL823" s="1074"/>
      <c r="AM823" s="1074"/>
      <c r="AN823" s="1074"/>
      <c r="AO823" s="1074"/>
      <c r="AP823" s="1074"/>
      <c r="AQ823" s="1074"/>
      <c r="AR823" s="1074"/>
      <c r="AS823" s="1074"/>
      <c r="AT823" s="1075"/>
    </row>
    <row r="824" ht="14.25" customHeight="1">
      <c r="A824" s="1116"/>
      <c r="B824" s="1120"/>
      <c r="C824" s="1100"/>
      <c r="D824" s="1100"/>
      <c r="E824" s="1100"/>
      <c r="F824" s="1100"/>
      <c r="G824" s="1100"/>
      <c r="H824" s="1100"/>
      <c r="I824" s="1100"/>
      <c r="J824" s="1100"/>
      <c r="K824" s="1074"/>
      <c r="L824" s="1074"/>
      <c r="M824" s="1074"/>
      <c r="N824" s="1074"/>
      <c r="O824" s="1074"/>
      <c r="P824" s="1074"/>
      <c r="Q824" s="1074"/>
      <c r="R824" s="1074"/>
      <c r="S824" s="1074"/>
      <c r="T824" s="1074"/>
      <c r="U824" s="1074"/>
      <c r="V824" s="1074"/>
      <c r="W824" s="1074"/>
      <c r="X824" s="1074"/>
      <c r="Y824" s="1074"/>
      <c r="Z824" s="1074"/>
      <c r="AA824" s="1074"/>
      <c r="AB824" s="1074"/>
      <c r="AC824" s="1074"/>
      <c r="AD824" s="1074"/>
      <c r="AE824" s="1074"/>
      <c r="AF824" s="1074"/>
      <c r="AG824" s="1074"/>
      <c r="AH824" s="1074"/>
      <c r="AI824" s="1074"/>
      <c r="AJ824" s="1074"/>
      <c r="AK824" s="1074"/>
      <c r="AL824" s="1074"/>
      <c r="AM824" s="1074"/>
      <c r="AN824" s="1074"/>
      <c r="AO824" s="1074"/>
      <c r="AP824" s="1074"/>
      <c r="AQ824" s="1074"/>
      <c r="AR824" s="1074"/>
      <c r="AS824" s="1074"/>
      <c r="AT824" s="1075"/>
    </row>
    <row r="825" ht="14.25" customHeight="1">
      <c r="A825" s="1116"/>
      <c r="B825" s="1120"/>
      <c r="C825" s="1100"/>
      <c r="D825" s="1100"/>
      <c r="E825" s="1100"/>
      <c r="F825" s="1100"/>
      <c r="G825" s="1100"/>
      <c r="H825" s="1100"/>
      <c r="I825" s="1100"/>
      <c r="J825" s="1100"/>
      <c r="K825" s="1074"/>
      <c r="L825" s="1074"/>
      <c r="M825" s="1074"/>
      <c r="N825" s="1074"/>
      <c r="O825" s="1074"/>
      <c r="P825" s="1074"/>
      <c r="Q825" s="1074"/>
      <c r="R825" s="1074"/>
      <c r="S825" s="1074"/>
      <c r="T825" s="1074"/>
      <c r="U825" s="1074"/>
      <c r="V825" s="1074"/>
      <c r="W825" s="1074"/>
      <c r="X825" s="1074"/>
      <c r="Y825" s="1074"/>
      <c r="Z825" s="1074"/>
      <c r="AA825" s="1074"/>
      <c r="AB825" s="1074"/>
      <c r="AC825" s="1074"/>
      <c r="AD825" s="1074"/>
      <c r="AE825" s="1074"/>
      <c r="AF825" s="1074"/>
      <c r="AG825" s="1074"/>
      <c r="AH825" s="1074"/>
      <c r="AI825" s="1074"/>
      <c r="AJ825" s="1074"/>
      <c r="AK825" s="1074"/>
      <c r="AL825" s="1074"/>
      <c r="AM825" s="1074"/>
      <c r="AN825" s="1074"/>
      <c r="AO825" s="1074"/>
      <c r="AP825" s="1074"/>
      <c r="AQ825" s="1074"/>
      <c r="AR825" s="1074"/>
      <c r="AS825" s="1074"/>
      <c r="AT825" s="1075"/>
    </row>
    <row r="826" ht="14.25" customHeight="1">
      <c r="A826" s="1116"/>
      <c r="B826" s="1120"/>
      <c r="C826" s="1100"/>
      <c r="D826" s="1100"/>
      <c r="E826" s="1100"/>
      <c r="F826" s="1100"/>
      <c r="G826" s="1100"/>
      <c r="H826" s="1100"/>
      <c r="I826" s="1100"/>
      <c r="J826" s="1100"/>
      <c r="K826" s="1074"/>
      <c r="L826" s="1074"/>
      <c r="M826" s="1074"/>
      <c r="N826" s="1074"/>
      <c r="O826" s="1074"/>
      <c r="P826" s="1074"/>
      <c r="Q826" s="1074"/>
      <c r="R826" s="1074"/>
      <c r="S826" s="1074"/>
      <c r="T826" s="1074"/>
      <c r="U826" s="1074"/>
      <c r="V826" s="1074"/>
      <c r="W826" s="1074"/>
      <c r="X826" s="1074"/>
      <c r="Y826" s="1074"/>
      <c r="Z826" s="1074"/>
      <c r="AA826" s="1074"/>
      <c r="AB826" s="1074"/>
      <c r="AC826" s="1074"/>
      <c r="AD826" s="1074"/>
      <c r="AE826" s="1074"/>
      <c r="AF826" s="1074"/>
      <c r="AG826" s="1074"/>
      <c r="AH826" s="1074"/>
      <c r="AI826" s="1074"/>
      <c r="AJ826" s="1074"/>
      <c r="AK826" s="1074"/>
      <c r="AL826" s="1074"/>
      <c r="AM826" s="1074"/>
      <c r="AN826" s="1074"/>
      <c r="AO826" s="1074"/>
      <c r="AP826" s="1074"/>
      <c r="AQ826" s="1074"/>
      <c r="AR826" s="1074"/>
      <c r="AS826" s="1074"/>
      <c r="AT826" s="1075"/>
    </row>
    <row r="827" ht="14.25" customHeight="1">
      <c r="A827" s="1116"/>
      <c r="B827" s="1120"/>
      <c r="C827" s="1100"/>
      <c r="D827" s="1100"/>
      <c r="E827" s="1100"/>
      <c r="F827" s="1100"/>
      <c r="G827" s="1100"/>
      <c r="H827" s="1100"/>
      <c r="I827" s="1100"/>
      <c r="J827" s="1100"/>
      <c r="K827" s="1074"/>
      <c r="L827" s="1074"/>
      <c r="M827" s="1074"/>
      <c r="N827" s="1074"/>
      <c r="O827" s="1074"/>
      <c r="P827" s="1074"/>
      <c r="Q827" s="1074"/>
      <c r="R827" s="1074"/>
      <c r="S827" s="1074"/>
      <c r="T827" s="1074"/>
      <c r="U827" s="1074"/>
      <c r="V827" s="1074"/>
      <c r="W827" s="1074"/>
      <c r="X827" s="1074"/>
      <c r="Y827" s="1074"/>
      <c r="Z827" s="1074"/>
      <c r="AA827" s="1074"/>
      <c r="AB827" s="1074"/>
      <c r="AC827" s="1074"/>
      <c r="AD827" s="1074"/>
      <c r="AE827" s="1074"/>
      <c r="AF827" s="1074"/>
      <c r="AG827" s="1074"/>
      <c r="AH827" s="1074"/>
      <c r="AI827" s="1074"/>
      <c r="AJ827" s="1074"/>
      <c r="AK827" s="1074"/>
      <c r="AL827" s="1074"/>
      <c r="AM827" s="1074"/>
      <c r="AN827" s="1074"/>
      <c r="AO827" s="1074"/>
      <c r="AP827" s="1074"/>
      <c r="AQ827" s="1074"/>
      <c r="AR827" s="1074"/>
      <c r="AS827" s="1074"/>
      <c r="AT827" s="1075"/>
    </row>
    <row r="828" ht="14.25" customHeight="1">
      <c r="A828" s="1116"/>
      <c r="B828" s="1120"/>
      <c r="C828" s="1100"/>
      <c r="D828" s="1100"/>
      <c r="E828" s="1100"/>
      <c r="F828" s="1100"/>
      <c r="G828" s="1100"/>
      <c r="H828" s="1100"/>
      <c r="I828" s="1100"/>
      <c r="J828" s="1100"/>
      <c r="K828" s="1074"/>
      <c r="L828" s="1074"/>
      <c r="M828" s="1074"/>
      <c r="N828" s="1074"/>
      <c r="O828" s="1074"/>
      <c r="P828" s="1074"/>
      <c r="Q828" s="1074"/>
      <c r="R828" s="1074"/>
      <c r="S828" s="1074"/>
      <c r="T828" s="1074"/>
      <c r="U828" s="1074"/>
      <c r="V828" s="1074"/>
      <c r="W828" s="1074"/>
      <c r="X828" s="1074"/>
      <c r="Y828" s="1074"/>
      <c r="Z828" s="1074"/>
      <c r="AA828" s="1074"/>
      <c r="AB828" s="1074"/>
      <c r="AC828" s="1074"/>
      <c r="AD828" s="1074"/>
      <c r="AE828" s="1074"/>
      <c r="AF828" s="1074"/>
      <c r="AG828" s="1074"/>
      <c r="AH828" s="1074"/>
      <c r="AI828" s="1074"/>
      <c r="AJ828" s="1074"/>
      <c r="AK828" s="1074"/>
      <c r="AL828" s="1074"/>
      <c r="AM828" s="1074"/>
      <c r="AN828" s="1074"/>
      <c r="AO828" s="1074"/>
      <c r="AP828" s="1074"/>
      <c r="AQ828" s="1074"/>
      <c r="AR828" s="1074"/>
      <c r="AS828" s="1074"/>
      <c r="AT828" s="1075"/>
    </row>
    <row r="829" ht="14.25" customHeight="1">
      <c r="A829" s="1116"/>
      <c r="B829" s="1120"/>
      <c r="C829" s="1100"/>
      <c r="D829" s="1100"/>
      <c r="E829" s="1100"/>
      <c r="F829" s="1100"/>
      <c r="G829" s="1100"/>
      <c r="H829" s="1100"/>
      <c r="I829" s="1100"/>
      <c r="J829" s="1100"/>
      <c r="K829" s="1074"/>
      <c r="L829" s="1074"/>
      <c r="M829" s="1074"/>
      <c r="N829" s="1074"/>
      <c r="O829" s="1074"/>
      <c r="P829" s="1074"/>
      <c r="Q829" s="1074"/>
      <c r="R829" s="1074"/>
      <c r="S829" s="1074"/>
      <c r="T829" s="1074"/>
      <c r="U829" s="1074"/>
      <c r="V829" s="1074"/>
      <c r="W829" s="1074"/>
      <c r="X829" s="1074"/>
      <c r="Y829" s="1074"/>
      <c r="Z829" s="1074"/>
      <c r="AA829" s="1074"/>
      <c r="AB829" s="1074"/>
      <c r="AC829" s="1074"/>
      <c r="AD829" s="1074"/>
      <c r="AE829" s="1074"/>
      <c r="AF829" s="1074"/>
      <c r="AG829" s="1074"/>
      <c r="AH829" s="1074"/>
      <c r="AI829" s="1074"/>
      <c r="AJ829" s="1074"/>
      <c r="AK829" s="1074"/>
      <c r="AL829" s="1074"/>
      <c r="AM829" s="1074"/>
      <c r="AN829" s="1074"/>
      <c r="AO829" s="1074"/>
      <c r="AP829" s="1074"/>
      <c r="AQ829" s="1074"/>
      <c r="AR829" s="1074"/>
      <c r="AS829" s="1074"/>
      <c r="AT829" s="1075"/>
    </row>
    <row r="830" ht="14.25" customHeight="1">
      <c r="A830" s="1116"/>
      <c r="B830" s="1120"/>
      <c r="C830" s="1100"/>
      <c r="D830" s="1100"/>
      <c r="E830" s="1100"/>
      <c r="F830" s="1100"/>
      <c r="G830" s="1100"/>
      <c r="H830" s="1100"/>
      <c r="I830" s="1100"/>
      <c r="J830" s="1100"/>
      <c r="K830" s="1074"/>
      <c r="L830" s="1074"/>
      <c r="M830" s="1074"/>
      <c r="N830" s="1074"/>
      <c r="O830" s="1074"/>
      <c r="P830" s="1074"/>
      <c r="Q830" s="1074"/>
      <c r="R830" s="1074"/>
      <c r="S830" s="1074"/>
      <c r="T830" s="1074"/>
      <c r="U830" s="1074"/>
      <c r="V830" s="1074"/>
      <c r="W830" s="1074"/>
      <c r="X830" s="1074"/>
      <c r="Y830" s="1074"/>
      <c r="Z830" s="1074"/>
      <c r="AA830" s="1074"/>
      <c r="AB830" s="1074"/>
      <c r="AC830" s="1074"/>
      <c r="AD830" s="1074"/>
      <c r="AE830" s="1074"/>
      <c r="AF830" s="1074"/>
      <c r="AG830" s="1074"/>
      <c r="AH830" s="1074"/>
      <c r="AI830" s="1074"/>
      <c r="AJ830" s="1074"/>
      <c r="AK830" s="1074"/>
      <c r="AL830" s="1074"/>
      <c r="AM830" s="1074"/>
      <c r="AN830" s="1074"/>
      <c r="AO830" s="1074"/>
      <c r="AP830" s="1074"/>
      <c r="AQ830" s="1074"/>
      <c r="AR830" s="1074"/>
      <c r="AS830" s="1074"/>
      <c r="AT830" s="1075"/>
    </row>
    <row r="831" ht="14.25" customHeight="1">
      <c r="A831" s="1116"/>
      <c r="B831" s="1120"/>
      <c r="C831" s="1100"/>
      <c r="D831" s="1100"/>
      <c r="E831" s="1100"/>
      <c r="F831" s="1100"/>
      <c r="G831" s="1100"/>
      <c r="H831" s="1100"/>
      <c r="I831" s="1100"/>
      <c r="J831" s="1100"/>
      <c r="K831" s="1074"/>
      <c r="L831" s="1074"/>
      <c r="M831" s="1074"/>
      <c r="N831" s="1074"/>
      <c r="O831" s="1074"/>
      <c r="P831" s="1074"/>
      <c r="Q831" s="1074"/>
      <c r="R831" s="1074"/>
      <c r="S831" s="1074"/>
      <c r="T831" s="1074"/>
      <c r="U831" s="1074"/>
      <c r="V831" s="1074"/>
      <c r="W831" s="1074"/>
      <c r="X831" s="1074"/>
      <c r="Y831" s="1074"/>
      <c r="Z831" s="1074"/>
      <c r="AA831" s="1074"/>
      <c r="AB831" s="1074"/>
      <c r="AC831" s="1074"/>
      <c r="AD831" s="1074"/>
      <c r="AE831" s="1074"/>
      <c r="AF831" s="1074"/>
      <c r="AG831" s="1074"/>
      <c r="AH831" s="1074"/>
      <c r="AI831" s="1074"/>
      <c r="AJ831" s="1074"/>
      <c r="AK831" s="1074"/>
      <c r="AL831" s="1074"/>
      <c r="AM831" s="1074"/>
      <c r="AN831" s="1074"/>
      <c r="AO831" s="1074"/>
      <c r="AP831" s="1074"/>
      <c r="AQ831" s="1074"/>
      <c r="AR831" s="1074"/>
      <c r="AS831" s="1074"/>
      <c r="AT831" s="1075"/>
    </row>
    <row r="832" ht="14.25" customHeight="1">
      <c r="A832" s="1116"/>
      <c r="B832" s="1120"/>
      <c r="C832" s="1100"/>
      <c r="D832" s="1100"/>
      <c r="E832" s="1100"/>
      <c r="F832" s="1100"/>
      <c r="G832" s="1100"/>
      <c r="H832" s="1100"/>
      <c r="I832" s="1100"/>
      <c r="J832" s="1100"/>
      <c r="K832" s="1074"/>
      <c r="L832" s="1074"/>
      <c r="M832" s="1074"/>
      <c r="N832" s="1074"/>
      <c r="O832" s="1074"/>
      <c r="P832" s="1074"/>
      <c r="Q832" s="1074"/>
      <c r="R832" s="1074"/>
      <c r="S832" s="1074"/>
      <c r="T832" s="1074"/>
      <c r="U832" s="1074"/>
      <c r="V832" s="1074"/>
      <c r="W832" s="1074"/>
      <c r="X832" s="1074"/>
      <c r="Y832" s="1074"/>
      <c r="Z832" s="1074"/>
      <c r="AA832" s="1074"/>
      <c r="AB832" s="1074"/>
      <c r="AC832" s="1074"/>
      <c r="AD832" s="1074"/>
      <c r="AE832" s="1074"/>
      <c r="AF832" s="1074"/>
      <c r="AG832" s="1074"/>
      <c r="AH832" s="1074"/>
      <c r="AI832" s="1074"/>
      <c r="AJ832" s="1074"/>
      <c r="AK832" s="1074"/>
      <c r="AL832" s="1074"/>
      <c r="AM832" s="1074"/>
      <c r="AN832" s="1074"/>
      <c r="AO832" s="1074"/>
      <c r="AP832" s="1074"/>
      <c r="AQ832" s="1074"/>
      <c r="AR832" s="1074"/>
      <c r="AS832" s="1074"/>
      <c r="AT832" s="1075"/>
    </row>
    <row r="833" ht="14.25" customHeight="1">
      <c r="A833" s="1116"/>
      <c r="B833" s="1120"/>
      <c r="C833" s="1100"/>
      <c r="D833" s="1100"/>
      <c r="E833" s="1100"/>
      <c r="F833" s="1100"/>
      <c r="G833" s="1100"/>
      <c r="H833" s="1100"/>
      <c r="I833" s="1100"/>
      <c r="J833" s="1100"/>
      <c r="K833" s="1074"/>
      <c r="L833" s="1074"/>
      <c r="M833" s="1074"/>
      <c r="N833" s="1074"/>
      <c r="O833" s="1074"/>
      <c r="P833" s="1074"/>
      <c r="Q833" s="1074"/>
      <c r="R833" s="1074"/>
      <c r="S833" s="1074"/>
      <c r="T833" s="1074"/>
      <c r="U833" s="1074"/>
      <c r="V833" s="1074"/>
      <c r="W833" s="1074"/>
      <c r="X833" s="1074"/>
      <c r="Y833" s="1074"/>
      <c r="Z833" s="1074"/>
      <c r="AA833" s="1074"/>
      <c r="AB833" s="1074"/>
      <c r="AC833" s="1074"/>
      <c r="AD833" s="1074"/>
      <c r="AE833" s="1074"/>
      <c r="AF833" s="1074"/>
      <c r="AG833" s="1074"/>
      <c r="AH833" s="1074"/>
      <c r="AI833" s="1074"/>
      <c r="AJ833" s="1074"/>
      <c r="AK833" s="1074"/>
      <c r="AL833" s="1074"/>
      <c r="AM833" s="1074"/>
      <c r="AN833" s="1074"/>
      <c r="AO833" s="1074"/>
      <c r="AP833" s="1074"/>
      <c r="AQ833" s="1074"/>
      <c r="AR833" s="1074"/>
      <c r="AS833" s="1074"/>
      <c r="AT833" s="1075"/>
    </row>
    <row r="834" ht="14.25" customHeight="1">
      <c r="A834" s="1116"/>
      <c r="B834" s="1120"/>
      <c r="C834" s="1100"/>
      <c r="D834" s="1100"/>
      <c r="E834" s="1100"/>
      <c r="F834" s="1100"/>
      <c r="G834" s="1100"/>
      <c r="H834" s="1100"/>
      <c r="I834" s="1100"/>
      <c r="J834" s="1100"/>
      <c r="K834" s="1074"/>
      <c r="L834" s="1074"/>
      <c r="M834" s="1074"/>
      <c r="N834" s="1074"/>
      <c r="O834" s="1074"/>
      <c r="P834" s="1074"/>
      <c r="Q834" s="1074"/>
      <c r="R834" s="1074"/>
      <c r="S834" s="1074"/>
      <c r="T834" s="1074"/>
      <c r="U834" s="1074"/>
      <c r="V834" s="1074"/>
      <c r="W834" s="1074"/>
      <c r="X834" s="1074"/>
      <c r="Y834" s="1074"/>
      <c r="Z834" s="1074"/>
      <c r="AA834" s="1074"/>
      <c r="AB834" s="1074"/>
      <c r="AC834" s="1074"/>
      <c r="AD834" s="1074"/>
      <c r="AE834" s="1074"/>
      <c r="AF834" s="1074"/>
      <c r="AG834" s="1074"/>
      <c r="AH834" s="1074"/>
      <c r="AI834" s="1074"/>
      <c r="AJ834" s="1074"/>
      <c r="AK834" s="1074"/>
      <c r="AL834" s="1074"/>
      <c r="AM834" s="1074"/>
      <c r="AN834" s="1074"/>
      <c r="AO834" s="1074"/>
      <c r="AP834" s="1074"/>
      <c r="AQ834" s="1074"/>
      <c r="AR834" s="1074"/>
      <c r="AS834" s="1074"/>
      <c r="AT834" s="1075"/>
    </row>
    <row r="835" ht="14.25" customHeight="1">
      <c r="A835" s="1116"/>
      <c r="B835" s="1120"/>
      <c r="C835" s="1100"/>
      <c r="D835" s="1100"/>
      <c r="E835" s="1100"/>
      <c r="F835" s="1100"/>
      <c r="G835" s="1100"/>
      <c r="H835" s="1100"/>
      <c r="I835" s="1100"/>
      <c r="J835" s="1100"/>
      <c r="K835" s="1074"/>
      <c r="L835" s="1074"/>
      <c r="M835" s="1074"/>
      <c r="N835" s="1074"/>
      <c r="O835" s="1074"/>
      <c r="P835" s="1074"/>
      <c r="Q835" s="1074"/>
      <c r="R835" s="1074"/>
      <c r="S835" s="1074"/>
      <c r="T835" s="1074"/>
      <c r="U835" s="1074"/>
      <c r="V835" s="1074"/>
      <c r="W835" s="1074"/>
      <c r="X835" s="1074"/>
      <c r="Y835" s="1074"/>
      <c r="Z835" s="1074"/>
      <c r="AA835" s="1074"/>
      <c r="AB835" s="1074"/>
      <c r="AC835" s="1074"/>
      <c r="AD835" s="1074"/>
      <c r="AE835" s="1074"/>
      <c r="AF835" s="1074"/>
      <c r="AG835" s="1074"/>
      <c r="AH835" s="1074"/>
      <c r="AI835" s="1074"/>
      <c r="AJ835" s="1074"/>
      <c r="AK835" s="1074"/>
      <c r="AL835" s="1074"/>
      <c r="AM835" s="1074"/>
      <c r="AN835" s="1074"/>
      <c r="AO835" s="1074"/>
      <c r="AP835" s="1074"/>
      <c r="AQ835" s="1074"/>
      <c r="AR835" s="1074"/>
      <c r="AS835" s="1074"/>
      <c r="AT835" s="1075"/>
    </row>
    <row r="836" ht="14.25" customHeight="1">
      <c r="A836" s="1116"/>
      <c r="B836" s="1120"/>
      <c r="C836" s="1100"/>
      <c r="D836" s="1100"/>
      <c r="E836" s="1100"/>
      <c r="F836" s="1100"/>
      <c r="G836" s="1100"/>
      <c r="H836" s="1100"/>
      <c r="I836" s="1100"/>
      <c r="J836" s="1100"/>
      <c r="K836" s="1074"/>
      <c r="L836" s="1074"/>
      <c r="M836" s="1074"/>
      <c r="N836" s="1074"/>
      <c r="O836" s="1074"/>
      <c r="P836" s="1074"/>
      <c r="Q836" s="1074"/>
      <c r="R836" s="1074"/>
      <c r="S836" s="1074"/>
      <c r="T836" s="1074"/>
      <c r="U836" s="1074"/>
      <c r="V836" s="1074"/>
      <c r="W836" s="1074"/>
      <c r="X836" s="1074"/>
      <c r="Y836" s="1074"/>
      <c r="Z836" s="1074"/>
      <c r="AA836" s="1074"/>
      <c r="AB836" s="1074"/>
      <c r="AC836" s="1074"/>
      <c r="AD836" s="1074"/>
      <c r="AE836" s="1074"/>
      <c r="AF836" s="1074"/>
      <c r="AG836" s="1074"/>
      <c r="AH836" s="1074"/>
      <c r="AI836" s="1074"/>
      <c r="AJ836" s="1074"/>
      <c r="AK836" s="1074"/>
      <c r="AL836" s="1074"/>
      <c r="AM836" s="1074"/>
      <c r="AN836" s="1074"/>
      <c r="AO836" s="1074"/>
      <c r="AP836" s="1074"/>
      <c r="AQ836" s="1074"/>
      <c r="AR836" s="1074"/>
      <c r="AS836" s="1074"/>
      <c r="AT836" s="1075"/>
    </row>
    <row r="837" ht="14.25" customHeight="1">
      <c r="A837" s="1116"/>
      <c r="B837" s="1120"/>
      <c r="C837" s="1100"/>
      <c r="D837" s="1100"/>
      <c r="E837" s="1100"/>
      <c r="F837" s="1100"/>
      <c r="G837" s="1100"/>
      <c r="H837" s="1100"/>
      <c r="I837" s="1100"/>
      <c r="J837" s="1100"/>
      <c r="K837" s="1074"/>
      <c r="L837" s="1074"/>
      <c r="M837" s="1074"/>
      <c r="N837" s="1074"/>
      <c r="O837" s="1074"/>
      <c r="P837" s="1074"/>
      <c r="Q837" s="1074"/>
      <c r="R837" s="1074"/>
      <c r="S837" s="1074"/>
      <c r="T837" s="1074"/>
      <c r="U837" s="1074"/>
      <c r="V837" s="1074"/>
      <c r="W837" s="1074"/>
      <c r="X837" s="1074"/>
      <c r="Y837" s="1074"/>
      <c r="Z837" s="1074"/>
      <c r="AA837" s="1074"/>
      <c r="AB837" s="1074"/>
      <c r="AC837" s="1074"/>
      <c r="AD837" s="1074"/>
      <c r="AE837" s="1074"/>
      <c r="AF837" s="1074"/>
      <c r="AG837" s="1074"/>
      <c r="AH837" s="1074"/>
      <c r="AI837" s="1074"/>
      <c r="AJ837" s="1074"/>
      <c r="AK837" s="1074"/>
      <c r="AL837" s="1074"/>
      <c r="AM837" s="1074"/>
      <c r="AN837" s="1074"/>
      <c r="AO837" s="1074"/>
      <c r="AP837" s="1074"/>
      <c r="AQ837" s="1074"/>
      <c r="AR837" s="1074"/>
      <c r="AS837" s="1074"/>
      <c r="AT837" s="1075"/>
    </row>
    <row r="838" ht="14.25" customHeight="1">
      <c r="A838" s="1116"/>
      <c r="B838" s="1120"/>
      <c r="C838" s="1100"/>
      <c r="D838" s="1100"/>
      <c r="E838" s="1100"/>
      <c r="F838" s="1100"/>
      <c r="G838" s="1100"/>
      <c r="H838" s="1100"/>
      <c r="I838" s="1100"/>
      <c r="J838" s="1100"/>
      <c r="K838" s="1074"/>
      <c r="L838" s="1074"/>
      <c r="M838" s="1074"/>
      <c r="N838" s="1074"/>
      <c r="O838" s="1074"/>
      <c r="P838" s="1074"/>
      <c r="Q838" s="1074"/>
      <c r="R838" s="1074"/>
      <c r="S838" s="1074"/>
      <c r="T838" s="1074"/>
      <c r="U838" s="1074"/>
      <c r="V838" s="1074"/>
      <c r="W838" s="1074"/>
      <c r="X838" s="1074"/>
      <c r="Y838" s="1074"/>
      <c r="Z838" s="1074"/>
      <c r="AA838" s="1074"/>
      <c r="AB838" s="1074"/>
      <c r="AC838" s="1074"/>
      <c r="AD838" s="1074"/>
      <c r="AE838" s="1074"/>
      <c r="AF838" s="1074"/>
      <c r="AG838" s="1074"/>
      <c r="AH838" s="1074"/>
      <c r="AI838" s="1074"/>
      <c r="AJ838" s="1074"/>
      <c r="AK838" s="1074"/>
      <c r="AL838" s="1074"/>
      <c r="AM838" s="1074"/>
      <c r="AN838" s="1074"/>
      <c r="AO838" s="1074"/>
      <c r="AP838" s="1074"/>
      <c r="AQ838" s="1074"/>
      <c r="AR838" s="1074"/>
      <c r="AS838" s="1074"/>
      <c r="AT838" s="1075"/>
    </row>
    <row r="839" ht="14.25" customHeight="1">
      <c r="A839" s="1116"/>
      <c r="B839" s="1120"/>
      <c r="C839" s="1100"/>
      <c r="D839" s="1100"/>
      <c r="E839" s="1100"/>
      <c r="F839" s="1100"/>
      <c r="G839" s="1100"/>
      <c r="H839" s="1100"/>
      <c r="I839" s="1100"/>
      <c r="J839" s="1100"/>
      <c r="K839" s="1074"/>
      <c r="L839" s="1074"/>
      <c r="M839" s="1074"/>
      <c r="N839" s="1074"/>
      <c r="O839" s="1074"/>
      <c r="P839" s="1074"/>
      <c r="Q839" s="1074"/>
      <c r="R839" s="1074"/>
      <c r="S839" s="1074"/>
      <c r="T839" s="1074"/>
      <c r="U839" s="1074"/>
      <c r="V839" s="1074"/>
      <c r="W839" s="1074"/>
      <c r="X839" s="1074"/>
      <c r="Y839" s="1074"/>
      <c r="Z839" s="1074"/>
      <c r="AA839" s="1074"/>
      <c r="AB839" s="1074"/>
      <c r="AC839" s="1074"/>
      <c r="AD839" s="1074"/>
      <c r="AE839" s="1074"/>
      <c r="AF839" s="1074"/>
      <c r="AG839" s="1074"/>
      <c r="AH839" s="1074"/>
      <c r="AI839" s="1074"/>
      <c r="AJ839" s="1074"/>
      <c r="AK839" s="1074"/>
      <c r="AL839" s="1074"/>
      <c r="AM839" s="1074"/>
      <c r="AN839" s="1074"/>
      <c r="AO839" s="1074"/>
      <c r="AP839" s="1074"/>
      <c r="AQ839" s="1074"/>
      <c r="AR839" s="1074"/>
      <c r="AS839" s="1074"/>
      <c r="AT839" s="1075"/>
    </row>
    <row r="840" ht="14.25" customHeight="1">
      <c r="A840" s="1116"/>
      <c r="B840" s="1120"/>
      <c r="C840" s="1100"/>
      <c r="D840" s="1100"/>
      <c r="E840" s="1100"/>
      <c r="F840" s="1100"/>
      <c r="G840" s="1100"/>
      <c r="H840" s="1100"/>
      <c r="I840" s="1100"/>
      <c r="J840" s="1100"/>
      <c r="K840" s="1074"/>
      <c r="L840" s="1074"/>
      <c r="M840" s="1074"/>
      <c r="N840" s="1074"/>
      <c r="O840" s="1074"/>
      <c r="P840" s="1074"/>
      <c r="Q840" s="1074"/>
      <c r="R840" s="1074"/>
      <c r="S840" s="1074"/>
      <c r="T840" s="1074"/>
      <c r="U840" s="1074"/>
      <c r="V840" s="1074"/>
      <c r="W840" s="1074"/>
      <c r="X840" s="1074"/>
      <c r="Y840" s="1074"/>
      <c r="Z840" s="1074"/>
      <c r="AA840" s="1074"/>
      <c r="AB840" s="1074"/>
      <c r="AC840" s="1074"/>
      <c r="AD840" s="1074"/>
      <c r="AE840" s="1074"/>
      <c r="AF840" s="1074"/>
      <c r="AG840" s="1074"/>
      <c r="AH840" s="1074"/>
      <c r="AI840" s="1074"/>
      <c r="AJ840" s="1074"/>
      <c r="AK840" s="1074"/>
      <c r="AL840" s="1074"/>
      <c r="AM840" s="1074"/>
      <c r="AN840" s="1074"/>
      <c r="AO840" s="1074"/>
      <c r="AP840" s="1074"/>
      <c r="AQ840" s="1074"/>
      <c r="AR840" s="1074"/>
      <c r="AS840" s="1074"/>
      <c r="AT840" s="1075"/>
    </row>
    <row r="841" ht="14.25" customHeight="1">
      <c r="A841" s="1116"/>
      <c r="B841" s="1120"/>
      <c r="C841" s="1100"/>
      <c r="D841" s="1100"/>
      <c r="E841" s="1100"/>
      <c r="F841" s="1100"/>
      <c r="G841" s="1100"/>
      <c r="H841" s="1100"/>
      <c r="I841" s="1100"/>
      <c r="J841" s="1100"/>
      <c r="K841" s="1074"/>
      <c r="L841" s="1074"/>
      <c r="M841" s="1074"/>
      <c r="N841" s="1074"/>
      <c r="O841" s="1074"/>
      <c r="P841" s="1074"/>
      <c r="Q841" s="1074"/>
      <c r="R841" s="1074"/>
      <c r="S841" s="1074"/>
      <c r="T841" s="1074"/>
      <c r="U841" s="1074"/>
      <c r="V841" s="1074"/>
      <c r="W841" s="1074"/>
      <c r="X841" s="1074"/>
      <c r="Y841" s="1074"/>
      <c r="Z841" s="1074"/>
      <c r="AA841" s="1074"/>
      <c r="AB841" s="1074"/>
      <c r="AC841" s="1074"/>
      <c r="AD841" s="1074"/>
      <c r="AE841" s="1074"/>
      <c r="AF841" s="1074"/>
      <c r="AG841" s="1074"/>
      <c r="AH841" s="1074"/>
      <c r="AI841" s="1074"/>
      <c r="AJ841" s="1074"/>
      <c r="AK841" s="1074"/>
      <c r="AL841" s="1074"/>
      <c r="AM841" s="1074"/>
      <c r="AN841" s="1074"/>
      <c r="AO841" s="1074"/>
      <c r="AP841" s="1074"/>
      <c r="AQ841" s="1074"/>
      <c r="AR841" s="1074"/>
      <c r="AS841" s="1074"/>
      <c r="AT841" s="1075"/>
    </row>
    <row r="842" ht="14.25" customHeight="1">
      <c r="A842" s="1116"/>
      <c r="B842" s="1120"/>
      <c r="C842" s="1100"/>
      <c r="D842" s="1100"/>
      <c r="E842" s="1100"/>
      <c r="F842" s="1100"/>
      <c r="G842" s="1100"/>
      <c r="H842" s="1100"/>
      <c r="I842" s="1100"/>
      <c r="J842" s="1100"/>
      <c r="K842" s="1074"/>
      <c r="L842" s="1074"/>
      <c r="M842" s="1074"/>
      <c r="N842" s="1074"/>
      <c r="O842" s="1074"/>
      <c r="P842" s="1074"/>
      <c r="Q842" s="1074"/>
      <c r="R842" s="1074"/>
      <c r="S842" s="1074"/>
      <c r="T842" s="1074"/>
      <c r="U842" s="1074"/>
      <c r="V842" s="1074"/>
      <c r="W842" s="1074"/>
      <c r="X842" s="1074"/>
      <c r="Y842" s="1074"/>
      <c r="Z842" s="1074"/>
      <c r="AA842" s="1074"/>
      <c r="AB842" s="1074"/>
      <c r="AC842" s="1074"/>
      <c r="AD842" s="1074"/>
      <c r="AE842" s="1074"/>
      <c r="AF842" s="1074"/>
      <c r="AG842" s="1074"/>
      <c r="AH842" s="1074"/>
      <c r="AI842" s="1074"/>
      <c r="AJ842" s="1074"/>
      <c r="AK842" s="1074"/>
      <c r="AL842" s="1074"/>
      <c r="AM842" s="1074"/>
      <c r="AN842" s="1074"/>
      <c r="AO842" s="1074"/>
      <c r="AP842" s="1074"/>
      <c r="AQ842" s="1074"/>
      <c r="AR842" s="1074"/>
      <c r="AS842" s="1074"/>
      <c r="AT842" s="1075"/>
    </row>
    <row r="843" ht="14.25" customHeight="1">
      <c r="A843" s="1116"/>
      <c r="B843" s="1120"/>
      <c r="C843" s="1100"/>
      <c r="D843" s="1100"/>
      <c r="E843" s="1100"/>
      <c r="F843" s="1100"/>
      <c r="G843" s="1100"/>
      <c r="H843" s="1100"/>
      <c r="I843" s="1100"/>
      <c r="J843" s="1100"/>
      <c r="K843" s="1074"/>
      <c r="L843" s="1074"/>
      <c r="M843" s="1074"/>
      <c r="N843" s="1074"/>
      <c r="O843" s="1074"/>
      <c r="P843" s="1074"/>
      <c r="Q843" s="1074"/>
      <c r="R843" s="1074"/>
      <c r="S843" s="1074"/>
      <c r="T843" s="1074"/>
      <c r="U843" s="1074"/>
      <c r="V843" s="1074"/>
      <c r="W843" s="1074"/>
      <c r="X843" s="1074"/>
      <c r="Y843" s="1074"/>
      <c r="Z843" s="1074"/>
      <c r="AA843" s="1074"/>
      <c r="AB843" s="1074"/>
      <c r="AC843" s="1074"/>
      <c r="AD843" s="1074"/>
      <c r="AE843" s="1074"/>
      <c r="AF843" s="1074"/>
      <c r="AG843" s="1074"/>
      <c r="AH843" s="1074"/>
      <c r="AI843" s="1074"/>
      <c r="AJ843" s="1074"/>
      <c r="AK843" s="1074"/>
      <c r="AL843" s="1074"/>
      <c r="AM843" s="1074"/>
      <c r="AN843" s="1074"/>
      <c r="AO843" s="1074"/>
      <c r="AP843" s="1074"/>
      <c r="AQ843" s="1074"/>
      <c r="AR843" s="1074"/>
      <c r="AS843" s="1074"/>
      <c r="AT843" s="1075"/>
    </row>
    <row r="844" ht="14.25" customHeight="1">
      <c r="A844" s="1116"/>
      <c r="B844" s="1120"/>
      <c r="C844" s="1100"/>
      <c r="D844" s="1100"/>
      <c r="E844" s="1100"/>
      <c r="F844" s="1100"/>
      <c r="G844" s="1100"/>
      <c r="H844" s="1100"/>
      <c r="I844" s="1100"/>
      <c r="J844" s="1100"/>
      <c r="K844" s="1074"/>
      <c r="L844" s="1074"/>
      <c r="M844" s="1074"/>
      <c r="N844" s="1074"/>
      <c r="O844" s="1074"/>
      <c r="P844" s="1074"/>
      <c r="Q844" s="1074"/>
      <c r="R844" s="1074"/>
      <c r="S844" s="1074"/>
      <c r="T844" s="1074"/>
      <c r="U844" s="1074"/>
      <c r="V844" s="1074"/>
      <c r="W844" s="1074"/>
      <c r="X844" s="1074"/>
      <c r="Y844" s="1074"/>
      <c r="Z844" s="1074"/>
      <c r="AA844" s="1074"/>
      <c r="AB844" s="1074"/>
      <c r="AC844" s="1074"/>
      <c r="AD844" s="1074"/>
      <c r="AE844" s="1074"/>
      <c r="AF844" s="1074"/>
      <c r="AG844" s="1074"/>
      <c r="AH844" s="1074"/>
      <c r="AI844" s="1074"/>
      <c r="AJ844" s="1074"/>
      <c r="AK844" s="1074"/>
      <c r="AL844" s="1074"/>
      <c r="AM844" s="1074"/>
      <c r="AN844" s="1074"/>
      <c r="AO844" s="1074"/>
      <c r="AP844" s="1074"/>
      <c r="AQ844" s="1074"/>
      <c r="AR844" s="1074"/>
      <c r="AS844" s="1074"/>
      <c r="AT844" s="1075"/>
    </row>
    <row r="845" ht="14.25" customHeight="1">
      <c r="A845" s="1116"/>
      <c r="B845" s="1120"/>
      <c r="C845" s="1100"/>
      <c r="D845" s="1100"/>
      <c r="E845" s="1100"/>
      <c r="F845" s="1100"/>
      <c r="G845" s="1100"/>
      <c r="H845" s="1100"/>
      <c r="I845" s="1100"/>
      <c r="J845" s="1100"/>
      <c r="K845" s="1074"/>
      <c r="L845" s="1074"/>
      <c r="M845" s="1074"/>
      <c r="N845" s="1074"/>
      <c r="O845" s="1074"/>
      <c r="P845" s="1074"/>
      <c r="Q845" s="1074"/>
      <c r="R845" s="1074"/>
      <c r="S845" s="1074"/>
      <c r="T845" s="1074"/>
      <c r="U845" s="1074"/>
      <c r="V845" s="1074"/>
      <c r="W845" s="1074"/>
      <c r="X845" s="1074"/>
      <c r="Y845" s="1074"/>
      <c r="Z845" s="1074"/>
      <c r="AA845" s="1074"/>
      <c r="AB845" s="1074"/>
      <c r="AC845" s="1074"/>
      <c r="AD845" s="1074"/>
      <c r="AE845" s="1074"/>
      <c r="AF845" s="1074"/>
      <c r="AG845" s="1074"/>
      <c r="AH845" s="1074"/>
      <c r="AI845" s="1074"/>
      <c r="AJ845" s="1074"/>
      <c r="AK845" s="1074"/>
      <c r="AL845" s="1074"/>
      <c r="AM845" s="1074"/>
      <c r="AN845" s="1074"/>
      <c r="AO845" s="1074"/>
      <c r="AP845" s="1074"/>
      <c r="AQ845" s="1074"/>
      <c r="AR845" s="1074"/>
      <c r="AS845" s="1074"/>
      <c r="AT845" s="1075"/>
    </row>
    <row r="846" ht="14.25" customHeight="1">
      <c r="A846" s="1116"/>
      <c r="B846" s="1120"/>
      <c r="C846" s="1100"/>
      <c r="D846" s="1100"/>
      <c r="E846" s="1100"/>
      <c r="F846" s="1100"/>
      <c r="G846" s="1100"/>
      <c r="H846" s="1100"/>
      <c r="I846" s="1100"/>
      <c r="J846" s="1100"/>
      <c r="K846" s="1074"/>
      <c r="L846" s="1074"/>
      <c r="M846" s="1074"/>
      <c r="N846" s="1074"/>
      <c r="O846" s="1074"/>
      <c r="P846" s="1074"/>
      <c r="Q846" s="1074"/>
      <c r="R846" s="1074"/>
      <c r="S846" s="1074"/>
      <c r="T846" s="1074"/>
      <c r="U846" s="1074"/>
      <c r="V846" s="1074"/>
      <c r="W846" s="1074"/>
      <c r="X846" s="1074"/>
      <c r="Y846" s="1074"/>
      <c r="Z846" s="1074"/>
      <c r="AA846" s="1074"/>
      <c r="AB846" s="1074"/>
      <c r="AC846" s="1074"/>
      <c r="AD846" s="1074"/>
      <c r="AE846" s="1074"/>
      <c r="AF846" s="1074"/>
      <c r="AG846" s="1074"/>
      <c r="AH846" s="1074"/>
      <c r="AI846" s="1074"/>
      <c r="AJ846" s="1074"/>
      <c r="AK846" s="1074"/>
      <c r="AL846" s="1074"/>
      <c r="AM846" s="1074"/>
      <c r="AN846" s="1074"/>
      <c r="AO846" s="1074"/>
      <c r="AP846" s="1074"/>
      <c r="AQ846" s="1074"/>
      <c r="AR846" s="1074"/>
      <c r="AS846" s="1074"/>
      <c r="AT846" s="1075"/>
    </row>
    <row r="847" ht="14.25" customHeight="1">
      <c r="A847" s="1116"/>
      <c r="B847" s="1120"/>
      <c r="C847" s="1100"/>
      <c r="D847" s="1100"/>
      <c r="E847" s="1100"/>
      <c r="F847" s="1100"/>
      <c r="G847" s="1100"/>
      <c r="H847" s="1100"/>
      <c r="I847" s="1100"/>
      <c r="J847" s="1100"/>
      <c r="K847" s="1074"/>
      <c r="L847" s="1074"/>
      <c r="M847" s="1074"/>
      <c r="N847" s="1074"/>
      <c r="O847" s="1074"/>
      <c r="P847" s="1074"/>
      <c r="Q847" s="1074"/>
      <c r="R847" s="1074"/>
      <c r="S847" s="1074"/>
      <c r="T847" s="1074"/>
      <c r="U847" s="1074"/>
      <c r="V847" s="1074"/>
      <c r="W847" s="1074"/>
      <c r="X847" s="1074"/>
      <c r="Y847" s="1074"/>
      <c r="Z847" s="1074"/>
      <c r="AA847" s="1074"/>
      <c r="AB847" s="1074"/>
      <c r="AC847" s="1074"/>
      <c r="AD847" s="1074"/>
      <c r="AE847" s="1074"/>
      <c r="AF847" s="1074"/>
      <c r="AG847" s="1074"/>
      <c r="AH847" s="1074"/>
      <c r="AI847" s="1074"/>
      <c r="AJ847" s="1074"/>
      <c r="AK847" s="1074"/>
      <c r="AL847" s="1074"/>
      <c r="AM847" s="1074"/>
      <c r="AN847" s="1074"/>
      <c r="AO847" s="1074"/>
      <c r="AP847" s="1074"/>
      <c r="AQ847" s="1074"/>
      <c r="AR847" s="1074"/>
      <c r="AS847" s="1074"/>
      <c r="AT847" s="1075"/>
    </row>
    <row r="848" ht="14.25" customHeight="1">
      <c r="A848" s="1116"/>
      <c r="B848" s="1120"/>
      <c r="C848" s="1100"/>
      <c r="D848" s="1100"/>
      <c r="E848" s="1100"/>
      <c r="F848" s="1100"/>
      <c r="G848" s="1100"/>
      <c r="H848" s="1100"/>
      <c r="I848" s="1100"/>
      <c r="J848" s="1100"/>
      <c r="K848" s="1074"/>
      <c r="L848" s="1074"/>
      <c r="M848" s="1074"/>
      <c r="N848" s="1074"/>
      <c r="O848" s="1074"/>
      <c r="P848" s="1074"/>
      <c r="Q848" s="1074"/>
      <c r="R848" s="1074"/>
      <c r="S848" s="1074"/>
      <c r="T848" s="1074"/>
      <c r="U848" s="1074"/>
      <c r="V848" s="1074"/>
      <c r="W848" s="1074"/>
      <c r="X848" s="1074"/>
      <c r="Y848" s="1074"/>
      <c r="Z848" s="1074"/>
      <c r="AA848" s="1074"/>
      <c r="AB848" s="1074"/>
      <c r="AC848" s="1074"/>
      <c r="AD848" s="1074"/>
      <c r="AE848" s="1074"/>
      <c r="AF848" s="1074"/>
      <c r="AG848" s="1074"/>
      <c r="AH848" s="1074"/>
      <c r="AI848" s="1074"/>
      <c r="AJ848" s="1074"/>
      <c r="AK848" s="1074"/>
      <c r="AL848" s="1074"/>
      <c r="AM848" s="1074"/>
      <c r="AN848" s="1074"/>
      <c r="AO848" s="1074"/>
      <c r="AP848" s="1074"/>
      <c r="AQ848" s="1074"/>
      <c r="AR848" s="1074"/>
      <c r="AS848" s="1074"/>
      <c r="AT848" s="1075"/>
    </row>
    <row r="849" ht="14.25" customHeight="1">
      <c r="A849" s="1116"/>
      <c r="B849" s="1120"/>
      <c r="C849" s="1100"/>
      <c r="D849" s="1100"/>
      <c r="E849" s="1100"/>
      <c r="F849" s="1100"/>
      <c r="G849" s="1100"/>
      <c r="H849" s="1100"/>
      <c r="I849" s="1100"/>
      <c r="J849" s="1100"/>
      <c r="K849" s="1074"/>
      <c r="L849" s="1074"/>
      <c r="M849" s="1074"/>
      <c r="N849" s="1074"/>
      <c r="O849" s="1074"/>
      <c r="P849" s="1074"/>
      <c r="Q849" s="1074"/>
      <c r="R849" s="1074"/>
      <c r="S849" s="1074"/>
      <c r="T849" s="1074"/>
      <c r="U849" s="1074"/>
      <c r="V849" s="1074"/>
      <c r="W849" s="1074"/>
      <c r="X849" s="1074"/>
      <c r="Y849" s="1074"/>
      <c r="Z849" s="1074"/>
      <c r="AA849" s="1074"/>
      <c r="AB849" s="1074"/>
      <c r="AC849" s="1074"/>
      <c r="AD849" s="1074"/>
      <c r="AE849" s="1074"/>
      <c r="AF849" s="1074"/>
      <c r="AG849" s="1074"/>
      <c r="AH849" s="1074"/>
      <c r="AI849" s="1074"/>
      <c r="AJ849" s="1074"/>
      <c r="AK849" s="1074"/>
      <c r="AL849" s="1074"/>
      <c r="AM849" s="1074"/>
      <c r="AN849" s="1074"/>
      <c r="AO849" s="1074"/>
      <c r="AP849" s="1074"/>
      <c r="AQ849" s="1074"/>
      <c r="AR849" s="1074"/>
      <c r="AS849" s="1074"/>
      <c r="AT849" s="1075"/>
    </row>
    <row r="850" ht="14.25" customHeight="1">
      <c r="A850" s="1116"/>
      <c r="B850" s="1120"/>
      <c r="C850" s="1100"/>
      <c r="D850" s="1100"/>
      <c r="E850" s="1100"/>
      <c r="F850" s="1100"/>
      <c r="G850" s="1100"/>
      <c r="H850" s="1100"/>
      <c r="I850" s="1100"/>
      <c r="J850" s="1100"/>
      <c r="K850" s="1074"/>
      <c r="L850" s="1074"/>
      <c r="M850" s="1074"/>
      <c r="N850" s="1074"/>
      <c r="O850" s="1074"/>
      <c r="P850" s="1074"/>
      <c r="Q850" s="1074"/>
      <c r="R850" s="1074"/>
      <c r="S850" s="1074"/>
      <c r="T850" s="1074"/>
      <c r="U850" s="1074"/>
      <c r="V850" s="1074"/>
      <c r="W850" s="1074"/>
      <c r="X850" s="1074"/>
      <c r="Y850" s="1074"/>
      <c r="Z850" s="1074"/>
      <c r="AA850" s="1074"/>
      <c r="AB850" s="1074"/>
      <c r="AC850" s="1074"/>
      <c r="AD850" s="1074"/>
      <c r="AE850" s="1074"/>
      <c r="AF850" s="1074"/>
      <c r="AG850" s="1074"/>
      <c r="AH850" s="1074"/>
      <c r="AI850" s="1074"/>
      <c r="AJ850" s="1074"/>
      <c r="AK850" s="1074"/>
      <c r="AL850" s="1074"/>
      <c r="AM850" s="1074"/>
      <c r="AN850" s="1074"/>
      <c r="AO850" s="1074"/>
      <c r="AP850" s="1074"/>
      <c r="AQ850" s="1074"/>
      <c r="AR850" s="1074"/>
      <c r="AS850" s="1074"/>
      <c r="AT850" s="1075"/>
    </row>
    <row r="851" ht="14.25" customHeight="1">
      <c r="A851" s="1116"/>
      <c r="B851" s="1120"/>
      <c r="C851" s="1100"/>
      <c r="D851" s="1100"/>
      <c r="E851" s="1100"/>
      <c r="F851" s="1100"/>
      <c r="G851" s="1100"/>
      <c r="H851" s="1100"/>
      <c r="I851" s="1100"/>
      <c r="J851" s="1100"/>
      <c r="K851" s="1074"/>
      <c r="L851" s="1074"/>
      <c r="M851" s="1074"/>
      <c r="N851" s="1074"/>
      <c r="O851" s="1074"/>
      <c r="P851" s="1074"/>
      <c r="Q851" s="1074"/>
      <c r="R851" s="1074"/>
      <c r="S851" s="1074"/>
      <c r="T851" s="1074"/>
      <c r="U851" s="1074"/>
      <c r="V851" s="1074"/>
      <c r="W851" s="1074"/>
      <c r="X851" s="1074"/>
      <c r="Y851" s="1074"/>
      <c r="Z851" s="1074"/>
      <c r="AA851" s="1074"/>
      <c r="AB851" s="1074"/>
      <c r="AC851" s="1074"/>
      <c r="AD851" s="1074"/>
      <c r="AE851" s="1074"/>
      <c r="AF851" s="1074"/>
      <c r="AG851" s="1074"/>
      <c r="AH851" s="1074"/>
      <c r="AI851" s="1074"/>
      <c r="AJ851" s="1074"/>
      <c r="AK851" s="1074"/>
      <c r="AL851" s="1074"/>
      <c r="AM851" s="1074"/>
      <c r="AN851" s="1074"/>
      <c r="AO851" s="1074"/>
      <c r="AP851" s="1074"/>
      <c r="AQ851" s="1074"/>
      <c r="AR851" s="1074"/>
      <c r="AS851" s="1074"/>
      <c r="AT851" s="1075"/>
    </row>
    <row r="852" ht="14.25" customHeight="1">
      <c r="A852" s="1116"/>
      <c r="B852" s="1120"/>
      <c r="C852" s="1100"/>
      <c r="D852" s="1100"/>
      <c r="E852" s="1100"/>
      <c r="F852" s="1100"/>
      <c r="G852" s="1100"/>
      <c r="H852" s="1100"/>
      <c r="I852" s="1100"/>
      <c r="J852" s="1100"/>
      <c r="K852" s="1074"/>
      <c r="L852" s="1074"/>
      <c r="M852" s="1074"/>
      <c r="N852" s="1074"/>
      <c r="O852" s="1074"/>
      <c r="P852" s="1074"/>
      <c r="Q852" s="1074"/>
      <c r="R852" s="1074"/>
      <c r="S852" s="1074"/>
      <c r="T852" s="1074"/>
      <c r="U852" s="1074"/>
      <c r="V852" s="1074"/>
      <c r="W852" s="1074"/>
      <c r="X852" s="1074"/>
      <c r="Y852" s="1074"/>
      <c r="Z852" s="1074"/>
      <c r="AA852" s="1074"/>
      <c r="AB852" s="1074"/>
      <c r="AC852" s="1074"/>
      <c r="AD852" s="1074"/>
      <c r="AE852" s="1074"/>
      <c r="AF852" s="1074"/>
      <c r="AG852" s="1074"/>
      <c r="AH852" s="1074"/>
      <c r="AI852" s="1074"/>
      <c r="AJ852" s="1074"/>
      <c r="AK852" s="1074"/>
      <c r="AL852" s="1074"/>
      <c r="AM852" s="1074"/>
      <c r="AN852" s="1074"/>
      <c r="AO852" s="1074"/>
      <c r="AP852" s="1074"/>
      <c r="AQ852" s="1074"/>
      <c r="AR852" s="1074"/>
      <c r="AS852" s="1074"/>
      <c r="AT852" s="1075"/>
    </row>
    <row r="853" ht="14.25" customHeight="1">
      <c r="A853" s="1116"/>
      <c r="B853" s="1120"/>
      <c r="C853" s="1100"/>
      <c r="D853" s="1100"/>
      <c r="E853" s="1100"/>
      <c r="F853" s="1100"/>
      <c r="G853" s="1100"/>
      <c r="H853" s="1100"/>
      <c r="I853" s="1100"/>
      <c r="J853" s="1100"/>
      <c r="K853" s="1074"/>
      <c r="L853" s="1074"/>
      <c r="M853" s="1074"/>
      <c r="N853" s="1074"/>
      <c r="O853" s="1074"/>
      <c r="P853" s="1074"/>
      <c r="Q853" s="1074"/>
      <c r="R853" s="1074"/>
      <c r="S853" s="1074"/>
      <c r="T853" s="1074"/>
      <c r="U853" s="1074"/>
      <c r="V853" s="1074"/>
      <c r="W853" s="1074"/>
      <c r="X853" s="1074"/>
      <c r="Y853" s="1074"/>
      <c r="Z853" s="1074"/>
      <c r="AA853" s="1074"/>
      <c r="AB853" s="1074"/>
      <c r="AC853" s="1074"/>
      <c r="AD853" s="1074"/>
      <c r="AE853" s="1074"/>
      <c r="AF853" s="1074"/>
      <c r="AG853" s="1074"/>
      <c r="AH853" s="1074"/>
      <c r="AI853" s="1074"/>
      <c r="AJ853" s="1074"/>
      <c r="AK853" s="1074"/>
      <c r="AL853" s="1074"/>
      <c r="AM853" s="1074"/>
      <c r="AN853" s="1074"/>
      <c r="AO853" s="1074"/>
      <c r="AP853" s="1074"/>
      <c r="AQ853" s="1074"/>
      <c r="AR853" s="1074"/>
      <c r="AS853" s="1074"/>
      <c r="AT853" s="1075"/>
    </row>
    <row r="854" ht="14.25" customHeight="1">
      <c r="A854" s="1116"/>
      <c r="B854" s="1120"/>
      <c r="C854" s="1100"/>
      <c r="D854" s="1100"/>
      <c r="E854" s="1100"/>
      <c r="F854" s="1100"/>
      <c r="G854" s="1100"/>
      <c r="H854" s="1100"/>
      <c r="I854" s="1100"/>
      <c r="J854" s="1100"/>
      <c r="K854" s="1074"/>
      <c r="L854" s="1074"/>
      <c r="M854" s="1074"/>
      <c r="N854" s="1074"/>
      <c r="O854" s="1074"/>
      <c r="P854" s="1074"/>
      <c r="Q854" s="1074"/>
      <c r="R854" s="1074"/>
      <c r="S854" s="1074"/>
      <c r="T854" s="1074"/>
      <c r="U854" s="1074"/>
      <c r="V854" s="1074"/>
      <c r="W854" s="1074"/>
      <c r="X854" s="1074"/>
      <c r="Y854" s="1074"/>
      <c r="Z854" s="1074"/>
      <c r="AA854" s="1074"/>
      <c r="AB854" s="1074"/>
      <c r="AC854" s="1074"/>
      <c r="AD854" s="1074"/>
      <c r="AE854" s="1074"/>
      <c r="AF854" s="1074"/>
      <c r="AG854" s="1074"/>
      <c r="AH854" s="1074"/>
      <c r="AI854" s="1074"/>
      <c r="AJ854" s="1074"/>
      <c r="AK854" s="1074"/>
      <c r="AL854" s="1074"/>
      <c r="AM854" s="1074"/>
      <c r="AN854" s="1074"/>
      <c r="AO854" s="1074"/>
      <c r="AP854" s="1074"/>
      <c r="AQ854" s="1074"/>
      <c r="AR854" s="1074"/>
      <c r="AS854" s="1074"/>
      <c r="AT854" s="1075"/>
    </row>
    <row r="855" ht="14.25" customHeight="1">
      <c r="A855" s="1116"/>
      <c r="B855" s="1120"/>
      <c r="C855" s="1100"/>
      <c r="D855" s="1100"/>
      <c r="E855" s="1100"/>
      <c r="F855" s="1100"/>
      <c r="G855" s="1100"/>
      <c r="H855" s="1100"/>
      <c r="I855" s="1100"/>
      <c r="J855" s="1100"/>
      <c r="K855" s="1074"/>
      <c r="L855" s="1074"/>
      <c r="M855" s="1074"/>
      <c r="N855" s="1074"/>
      <c r="O855" s="1074"/>
      <c r="P855" s="1074"/>
      <c r="Q855" s="1074"/>
      <c r="R855" s="1074"/>
      <c r="S855" s="1074"/>
      <c r="T855" s="1074"/>
      <c r="U855" s="1074"/>
      <c r="V855" s="1074"/>
      <c r="W855" s="1074"/>
      <c r="X855" s="1074"/>
      <c r="Y855" s="1074"/>
      <c r="Z855" s="1074"/>
      <c r="AA855" s="1074"/>
      <c r="AB855" s="1074"/>
      <c r="AC855" s="1074"/>
      <c r="AD855" s="1074"/>
      <c r="AE855" s="1074"/>
      <c r="AF855" s="1074"/>
      <c r="AG855" s="1074"/>
      <c r="AH855" s="1074"/>
      <c r="AI855" s="1074"/>
      <c r="AJ855" s="1074"/>
      <c r="AK855" s="1074"/>
      <c r="AL855" s="1074"/>
      <c r="AM855" s="1074"/>
      <c r="AN855" s="1074"/>
      <c r="AO855" s="1074"/>
      <c r="AP855" s="1074"/>
      <c r="AQ855" s="1074"/>
      <c r="AR855" s="1074"/>
      <c r="AS855" s="1074"/>
      <c r="AT855" s="1075"/>
    </row>
    <row r="856" ht="14.25" customHeight="1">
      <c r="A856" s="1116"/>
      <c r="B856" s="1120"/>
      <c r="C856" s="1100"/>
      <c r="D856" s="1100"/>
      <c r="E856" s="1100"/>
      <c r="F856" s="1100"/>
      <c r="G856" s="1100"/>
      <c r="H856" s="1100"/>
      <c r="I856" s="1100"/>
      <c r="J856" s="1100"/>
      <c r="K856" s="1074"/>
      <c r="L856" s="1074"/>
      <c r="M856" s="1074"/>
      <c r="N856" s="1074"/>
      <c r="O856" s="1074"/>
      <c r="P856" s="1074"/>
      <c r="Q856" s="1074"/>
      <c r="R856" s="1074"/>
      <c r="S856" s="1074"/>
      <c r="T856" s="1074"/>
      <c r="U856" s="1074"/>
      <c r="V856" s="1074"/>
      <c r="W856" s="1074"/>
      <c r="X856" s="1074"/>
      <c r="Y856" s="1074"/>
      <c r="Z856" s="1074"/>
      <c r="AA856" s="1074"/>
      <c r="AB856" s="1074"/>
      <c r="AC856" s="1074"/>
      <c r="AD856" s="1074"/>
      <c r="AE856" s="1074"/>
      <c r="AF856" s="1074"/>
      <c r="AG856" s="1074"/>
      <c r="AH856" s="1074"/>
      <c r="AI856" s="1074"/>
      <c r="AJ856" s="1074"/>
      <c r="AK856" s="1074"/>
      <c r="AL856" s="1074"/>
      <c r="AM856" s="1074"/>
      <c r="AN856" s="1074"/>
      <c r="AO856" s="1074"/>
      <c r="AP856" s="1074"/>
      <c r="AQ856" s="1074"/>
      <c r="AR856" s="1074"/>
      <c r="AS856" s="1074"/>
      <c r="AT856" s="1075"/>
    </row>
    <row r="857" ht="14.25" customHeight="1">
      <c r="A857" s="1116"/>
      <c r="B857" s="1120"/>
      <c r="C857" s="1100"/>
      <c r="D857" s="1100"/>
      <c r="E857" s="1100"/>
      <c r="F857" s="1100"/>
      <c r="G857" s="1100"/>
      <c r="H857" s="1100"/>
      <c r="I857" s="1100"/>
      <c r="J857" s="1100"/>
      <c r="K857" s="1074"/>
      <c r="L857" s="1074"/>
      <c r="M857" s="1074"/>
      <c r="N857" s="1074"/>
      <c r="O857" s="1074"/>
      <c r="P857" s="1074"/>
      <c r="Q857" s="1074"/>
      <c r="R857" s="1074"/>
      <c r="S857" s="1074"/>
      <c r="T857" s="1074"/>
      <c r="U857" s="1074"/>
      <c r="V857" s="1074"/>
      <c r="W857" s="1074"/>
      <c r="X857" s="1074"/>
      <c r="Y857" s="1074"/>
      <c r="Z857" s="1074"/>
      <c r="AA857" s="1074"/>
      <c r="AB857" s="1074"/>
      <c r="AC857" s="1074"/>
      <c r="AD857" s="1074"/>
      <c r="AE857" s="1074"/>
      <c r="AF857" s="1074"/>
      <c r="AG857" s="1074"/>
      <c r="AH857" s="1074"/>
      <c r="AI857" s="1074"/>
      <c r="AJ857" s="1074"/>
      <c r="AK857" s="1074"/>
      <c r="AL857" s="1074"/>
      <c r="AM857" s="1074"/>
      <c r="AN857" s="1074"/>
      <c r="AO857" s="1074"/>
      <c r="AP857" s="1074"/>
      <c r="AQ857" s="1074"/>
      <c r="AR857" s="1074"/>
      <c r="AS857" s="1074"/>
      <c r="AT857" s="1075"/>
    </row>
    <row r="858" ht="14.25" customHeight="1">
      <c r="A858" s="1116"/>
      <c r="B858" s="1120"/>
      <c r="C858" s="1100"/>
      <c r="D858" s="1100"/>
      <c r="E858" s="1100"/>
      <c r="F858" s="1100"/>
      <c r="G858" s="1100"/>
      <c r="H858" s="1100"/>
      <c r="I858" s="1100"/>
      <c r="J858" s="1100"/>
      <c r="K858" s="1074"/>
      <c r="L858" s="1074"/>
      <c r="M858" s="1074"/>
      <c r="N858" s="1074"/>
      <c r="O858" s="1074"/>
      <c r="P858" s="1074"/>
      <c r="Q858" s="1074"/>
      <c r="R858" s="1074"/>
      <c r="S858" s="1074"/>
      <c r="T858" s="1074"/>
      <c r="U858" s="1074"/>
      <c r="V858" s="1074"/>
      <c r="W858" s="1074"/>
      <c r="X858" s="1074"/>
      <c r="Y858" s="1074"/>
      <c r="Z858" s="1074"/>
      <c r="AA858" s="1074"/>
      <c r="AB858" s="1074"/>
      <c r="AC858" s="1074"/>
      <c r="AD858" s="1074"/>
      <c r="AE858" s="1074"/>
      <c r="AF858" s="1074"/>
      <c r="AG858" s="1074"/>
      <c r="AH858" s="1074"/>
      <c r="AI858" s="1074"/>
      <c r="AJ858" s="1074"/>
      <c r="AK858" s="1074"/>
      <c r="AL858" s="1074"/>
      <c r="AM858" s="1074"/>
      <c r="AN858" s="1074"/>
      <c r="AO858" s="1074"/>
      <c r="AP858" s="1074"/>
      <c r="AQ858" s="1074"/>
      <c r="AR858" s="1074"/>
      <c r="AS858" s="1074"/>
      <c r="AT858" s="1075"/>
    </row>
    <row r="859" ht="14.25" customHeight="1">
      <c r="A859" s="1116"/>
      <c r="B859" s="1120"/>
      <c r="C859" s="1100"/>
      <c r="D859" s="1100"/>
      <c r="E859" s="1100"/>
      <c r="F859" s="1100"/>
      <c r="G859" s="1100"/>
      <c r="H859" s="1100"/>
      <c r="I859" s="1100"/>
      <c r="J859" s="1100"/>
      <c r="K859" s="1074"/>
      <c r="L859" s="1074"/>
      <c r="M859" s="1074"/>
      <c r="N859" s="1074"/>
      <c r="O859" s="1074"/>
      <c r="P859" s="1074"/>
      <c r="Q859" s="1074"/>
      <c r="R859" s="1074"/>
      <c r="S859" s="1074"/>
      <c r="T859" s="1074"/>
      <c r="U859" s="1074"/>
      <c r="V859" s="1074"/>
      <c r="W859" s="1074"/>
      <c r="X859" s="1074"/>
      <c r="Y859" s="1074"/>
      <c r="Z859" s="1074"/>
      <c r="AA859" s="1074"/>
      <c r="AB859" s="1074"/>
      <c r="AC859" s="1074"/>
      <c r="AD859" s="1074"/>
      <c r="AE859" s="1074"/>
      <c r="AF859" s="1074"/>
      <c r="AG859" s="1074"/>
      <c r="AH859" s="1074"/>
      <c r="AI859" s="1074"/>
      <c r="AJ859" s="1074"/>
      <c r="AK859" s="1074"/>
      <c r="AL859" s="1074"/>
      <c r="AM859" s="1074"/>
      <c r="AN859" s="1074"/>
      <c r="AO859" s="1074"/>
      <c r="AP859" s="1074"/>
      <c r="AQ859" s="1074"/>
      <c r="AR859" s="1074"/>
      <c r="AS859" s="1074"/>
      <c r="AT859" s="1075"/>
    </row>
    <row r="860" ht="14.25" customHeight="1">
      <c r="A860" s="1116"/>
      <c r="B860" s="1120"/>
      <c r="C860" s="1100"/>
      <c r="D860" s="1100"/>
      <c r="E860" s="1100"/>
      <c r="F860" s="1100"/>
      <c r="G860" s="1100"/>
      <c r="H860" s="1100"/>
      <c r="I860" s="1100"/>
      <c r="J860" s="1100"/>
      <c r="K860" s="1074"/>
      <c r="L860" s="1074"/>
      <c r="M860" s="1074"/>
      <c r="N860" s="1074"/>
      <c r="O860" s="1074"/>
      <c r="P860" s="1074"/>
      <c r="Q860" s="1074"/>
      <c r="R860" s="1074"/>
      <c r="S860" s="1074"/>
      <c r="T860" s="1074"/>
      <c r="U860" s="1074"/>
      <c r="V860" s="1074"/>
      <c r="W860" s="1074"/>
      <c r="X860" s="1074"/>
      <c r="Y860" s="1074"/>
      <c r="Z860" s="1074"/>
      <c r="AA860" s="1074"/>
      <c r="AB860" s="1074"/>
      <c r="AC860" s="1074"/>
      <c r="AD860" s="1074"/>
      <c r="AE860" s="1074"/>
      <c r="AF860" s="1074"/>
      <c r="AG860" s="1074"/>
      <c r="AH860" s="1074"/>
      <c r="AI860" s="1074"/>
      <c r="AJ860" s="1074"/>
      <c r="AK860" s="1074"/>
      <c r="AL860" s="1074"/>
      <c r="AM860" s="1074"/>
      <c r="AN860" s="1074"/>
      <c r="AO860" s="1074"/>
      <c r="AP860" s="1074"/>
      <c r="AQ860" s="1074"/>
      <c r="AR860" s="1074"/>
      <c r="AS860" s="1074"/>
      <c r="AT860" s="1075"/>
    </row>
    <row r="861" ht="14.25" customHeight="1">
      <c r="A861" s="1116"/>
      <c r="B861" s="1120"/>
      <c r="C861" s="1100"/>
      <c r="D861" s="1100"/>
      <c r="E861" s="1100"/>
      <c r="F861" s="1100"/>
      <c r="G861" s="1100"/>
      <c r="H861" s="1100"/>
      <c r="I861" s="1100"/>
      <c r="J861" s="1100"/>
      <c r="K861" s="1074"/>
      <c r="L861" s="1074"/>
      <c r="M861" s="1074"/>
      <c r="N861" s="1074"/>
      <c r="O861" s="1074"/>
      <c r="P861" s="1074"/>
      <c r="Q861" s="1074"/>
      <c r="R861" s="1074"/>
      <c r="S861" s="1074"/>
      <c r="T861" s="1074"/>
      <c r="U861" s="1074"/>
      <c r="V861" s="1074"/>
      <c r="W861" s="1074"/>
      <c r="X861" s="1074"/>
      <c r="Y861" s="1074"/>
      <c r="Z861" s="1074"/>
      <c r="AA861" s="1074"/>
      <c r="AB861" s="1074"/>
      <c r="AC861" s="1074"/>
      <c r="AD861" s="1074"/>
      <c r="AE861" s="1074"/>
      <c r="AF861" s="1074"/>
      <c r="AG861" s="1074"/>
      <c r="AH861" s="1074"/>
      <c r="AI861" s="1074"/>
      <c r="AJ861" s="1074"/>
      <c r="AK861" s="1074"/>
      <c r="AL861" s="1074"/>
      <c r="AM861" s="1074"/>
      <c r="AN861" s="1074"/>
      <c r="AO861" s="1074"/>
      <c r="AP861" s="1074"/>
      <c r="AQ861" s="1074"/>
      <c r="AR861" s="1074"/>
      <c r="AS861" s="1074"/>
      <c r="AT861" s="1075"/>
    </row>
    <row r="862" ht="14.25" customHeight="1">
      <c r="A862" s="1116"/>
      <c r="B862" s="1120"/>
      <c r="C862" s="1100"/>
      <c r="D862" s="1100"/>
      <c r="E862" s="1100"/>
      <c r="F862" s="1100"/>
      <c r="G862" s="1100"/>
      <c r="H862" s="1100"/>
      <c r="I862" s="1100"/>
      <c r="J862" s="1100"/>
      <c r="K862" s="1074"/>
      <c r="L862" s="1074"/>
      <c r="M862" s="1074"/>
      <c r="N862" s="1074"/>
      <c r="O862" s="1074"/>
      <c r="P862" s="1074"/>
      <c r="Q862" s="1074"/>
      <c r="R862" s="1074"/>
      <c r="S862" s="1074"/>
      <c r="T862" s="1074"/>
      <c r="U862" s="1074"/>
      <c r="V862" s="1074"/>
      <c r="W862" s="1074"/>
      <c r="X862" s="1074"/>
      <c r="Y862" s="1074"/>
      <c r="Z862" s="1074"/>
      <c r="AA862" s="1074"/>
      <c r="AB862" s="1074"/>
      <c r="AC862" s="1074"/>
      <c r="AD862" s="1074"/>
      <c r="AE862" s="1074"/>
      <c r="AF862" s="1074"/>
      <c r="AG862" s="1074"/>
      <c r="AH862" s="1074"/>
      <c r="AI862" s="1074"/>
      <c r="AJ862" s="1074"/>
      <c r="AK862" s="1074"/>
      <c r="AL862" s="1074"/>
      <c r="AM862" s="1074"/>
      <c r="AN862" s="1074"/>
      <c r="AO862" s="1074"/>
      <c r="AP862" s="1074"/>
      <c r="AQ862" s="1074"/>
      <c r="AR862" s="1074"/>
      <c r="AS862" s="1074"/>
      <c r="AT862" s="1075"/>
    </row>
    <row r="863" ht="14.25" customHeight="1">
      <c r="A863" s="1116"/>
      <c r="B863" s="1120"/>
      <c r="C863" s="1100"/>
      <c r="D863" s="1100"/>
      <c r="E863" s="1100"/>
      <c r="F863" s="1100"/>
      <c r="G863" s="1100"/>
      <c r="H863" s="1100"/>
      <c r="I863" s="1100"/>
      <c r="J863" s="1100"/>
      <c r="K863" s="1074"/>
      <c r="L863" s="1074"/>
      <c r="M863" s="1074"/>
      <c r="N863" s="1074"/>
      <c r="O863" s="1074"/>
      <c r="P863" s="1074"/>
      <c r="Q863" s="1074"/>
      <c r="R863" s="1074"/>
      <c r="S863" s="1074"/>
      <c r="T863" s="1074"/>
      <c r="U863" s="1074"/>
      <c r="V863" s="1074"/>
      <c r="W863" s="1074"/>
      <c r="X863" s="1074"/>
      <c r="Y863" s="1074"/>
      <c r="Z863" s="1074"/>
      <c r="AA863" s="1074"/>
      <c r="AB863" s="1074"/>
      <c r="AC863" s="1074"/>
      <c r="AD863" s="1074"/>
      <c r="AE863" s="1074"/>
      <c r="AF863" s="1074"/>
      <c r="AG863" s="1074"/>
      <c r="AH863" s="1074"/>
      <c r="AI863" s="1074"/>
      <c r="AJ863" s="1074"/>
      <c r="AK863" s="1074"/>
      <c r="AL863" s="1074"/>
      <c r="AM863" s="1074"/>
      <c r="AN863" s="1074"/>
      <c r="AO863" s="1074"/>
      <c r="AP863" s="1074"/>
      <c r="AQ863" s="1074"/>
      <c r="AR863" s="1074"/>
      <c r="AS863" s="1074"/>
      <c r="AT863" s="1075"/>
    </row>
    <row r="864" ht="14.25" customHeight="1">
      <c r="A864" s="1116"/>
      <c r="B864" s="1120"/>
      <c r="C864" s="1100"/>
      <c r="D864" s="1100"/>
      <c r="E864" s="1100"/>
      <c r="F864" s="1100"/>
      <c r="G864" s="1100"/>
      <c r="H864" s="1100"/>
      <c r="I864" s="1100"/>
      <c r="J864" s="1100"/>
      <c r="K864" s="1074"/>
      <c r="L864" s="1074"/>
      <c r="M864" s="1074"/>
      <c r="N864" s="1074"/>
      <c r="O864" s="1074"/>
      <c r="P864" s="1074"/>
      <c r="Q864" s="1074"/>
      <c r="R864" s="1074"/>
      <c r="S864" s="1074"/>
      <c r="T864" s="1074"/>
      <c r="U864" s="1074"/>
      <c r="V864" s="1074"/>
      <c r="W864" s="1074"/>
      <c r="X864" s="1074"/>
      <c r="Y864" s="1074"/>
      <c r="Z864" s="1074"/>
      <c r="AA864" s="1074"/>
      <c r="AB864" s="1074"/>
      <c r="AC864" s="1074"/>
      <c r="AD864" s="1074"/>
      <c r="AE864" s="1074"/>
      <c r="AF864" s="1074"/>
      <c r="AG864" s="1074"/>
      <c r="AH864" s="1074"/>
      <c r="AI864" s="1074"/>
      <c r="AJ864" s="1074"/>
      <c r="AK864" s="1074"/>
      <c r="AL864" s="1074"/>
      <c r="AM864" s="1074"/>
      <c r="AN864" s="1074"/>
      <c r="AO864" s="1074"/>
      <c r="AP864" s="1074"/>
      <c r="AQ864" s="1074"/>
      <c r="AR864" s="1074"/>
      <c r="AS864" s="1074"/>
      <c r="AT864" s="1075"/>
    </row>
    <row r="865" ht="14.25" customHeight="1">
      <c r="A865" s="1116"/>
      <c r="B865" s="1120"/>
      <c r="C865" s="1100"/>
      <c r="D865" s="1100"/>
      <c r="E865" s="1100"/>
      <c r="F865" s="1100"/>
      <c r="G865" s="1100"/>
      <c r="H865" s="1100"/>
      <c r="I865" s="1100"/>
      <c r="J865" s="1100"/>
      <c r="K865" s="1074"/>
      <c r="L865" s="1074"/>
      <c r="M865" s="1074"/>
      <c r="N865" s="1074"/>
      <c r="O865" s="1074"/>
      <c r="P865" s="1074"/>
      <c r="Q865" s="1074"/>
      <c r="R865" s="1074"/>
      <c r="S865" s="1074"/>
      <c r="T865" s="1074"/>
      <c r="U865" s="1074"/>
      <c r="V865" s="1074"/>
      <c r="W865" s="1074"/>
      <c r="X865" s="1074"/>
      <c r="Y865" s="1074"/>
      <c r="Z865" s="1074"/>
      <c r="AA865" s="1074"/>
      <c r="AB865" s="1074"/>
      <c r="AC865" s="1074"/>
      <c r="AD865" s="1074"/>
      <c r="AE865" s="1074"/>
      <c r="AF865" s="1074"/>
      <c r="AG865" s="1074"/>
      <c r="AH865" s="1074"/>
      <c r="AI865" s="1074"/>
      <c r="AJ865" s="1074"/>
      <c r="AK865" s="1074"/>
      <c r="AL865" s="1074"/>
      <c r="AM865" s="1074"/>
      <c r="AN865" s="1074"/>
      <c r="AO865" s="1074"/>
      <c r="AP865" s="1074"/>
      <c r="AQ865" s="1074"/>
      <c r="AR865" s="1074"/>
      <c r="AS865" s="1074"/>
      <c r="AT865" s="1075"/>
    </row>
    <row r="866" ht="14.25" customHeight="1">
      <c r="A866" s="1116"/>
      <c r="B866" s="1120"/>
      <c r="C866" s="1100"/>
      <c r="D866" s="1100"/>
      <c r="E866" s="1100"/>
      <c r="F866" s="1100"/>
      <c r="G866" s="1100"/>
      <c r="H866" s="1100"/>
      <c r="I866" s="1100"/>
      <c r="J866" s="1100"/>
      <c r="K866" s="1074"/>
      <c r="L866" s="1074"/>
      <c r="M866" s="1074"/>
      <c r="N866" s="1074"/>
      <c r="O866" s="1074"/>
      <c r="P866" s="1074"/>
      <c r="Q866" s="1074"/>
      <c r="R866" s="1074"/>
      <c r="S866" s="1074"/>
      <c r="T866" s="1074"/>
      <c r="U866" s="1074"/>
      <c r="V866" s="1074"/>
      <c r="W866" s="1074"/>
      <c r="X866" s="1074"/>
      <c r="Y866" s="1074"/>
      <c r="Z866" s="1074"/>
      <c r="AA866" s="1074"/>
      <c r="AB866" s="1074"/>
      <c r="AC866" s="1074"/>
      <c r="AD866" s="1074"/>
      <c r="AE866" s="1074"/>
      <c r="AF866" s="1074"/>
      <c r="AG866" s="1074"/>
      <c r="AH866" s="1074"/>
      <c r="AI866" s="1074"/>
      <c r="AJ866" s="1074"/>
      <c r="AK866" s="1074"/>
      <c r="AL866" s="1074"/>
      <c r="AM866" s="1074"/>
      <c r="AN866" s="1074"/>
      <c r="AO866" s="1074"/>
      <c r="AP866" s="1074"/>
      <c r="AQ866" s="1074"/>
      <c r="AR866" s="1074"/>
      <c r="AS866" s="1074"/>
      <c r="AT866" s="1075"/>
    </row>
    <row r="867" ht="14.25" customHeight="1">
      <c r="A867" s="1116"/>
      <c r="B867" s="1120"/>
      <c r="C867" s="1100"/>
      <c r="D867" s="1100"/>
      <c r="E867" s="1100"/>
      <c r="F867" s="1100"/>
      <c r="G867" s="1100"/>
      <c r="H867" s="1100"/>
      <c r="I867" s="1100"/>
      <c r="J867" s="1100"/>
      <c r="K867" s="1074"/>
      <c r="L867" s="1074"/>
      <c r="M867" s="1074"/>
      <c r="N867" s="1074"/>
      <c r="O867" s="1074"/>
      <c r="P867" s="1074"/>
      <c r="Q867" s="1074"/>
      <c r="R867" s="1074"/>
      <c r="S867" s="1074"/>
      <c r="T867" s="1074"/>
      <c r="U867" s="1074"/>
      <c r="V867" s="1074"/>
      <c r="W867" s="1074"/>
      <c r="X867" s="1074"/>
      <c r="Y867" s="1074"/>
      <c r="Z867" s="1074"/>
      <c r="AA867" s="1074"/>
      <c r="AB867" s="1074"/>
      <c r="AC867" s="1074"/>
      <c r="AD867" s="1074"/>
      <c r="AE867" s="1074"/>
      <c r="AF867" s="1074"/>
      <c r="AG867" s="1074"/>
      <c r="AH867" s="1074"/>
      <c r="AI867" s="1074"/>
      <c r="AJ867" s="1074"/>
      <c r="AK867" s="1074"/>
      <c r="AL867" s="1074"/>
      <c r="AM867" s="1074"/>
      <c r="AN867" s="1074"/>
      <c r="AO867" s="1074"/>
      <c r="AP867" s="1074"/>
      <c r="AQ867" s="1074"/>
      <c r="AR867" s="1074"/>
      <c r="AS867" s="1074"/>
      <c r="AT867" s="1075"/>
    </row>
    <row r="868" ht="14.25" customHeight="1">
      <c r="A868" s="1116"/>
      <c r="B868" s="1120"/>
      <c r="C868" s="1100"/>
      <c r="D868" s="1100"/>
      <c r="E868" s="1100"/>
      <c r="F868" s="1100"/>
      <c r="G868" s="1100"/>
      <c r="H868" s="1100"/>
      <c r="I868" s="1100"/>
      <c r="J868" s="1100"/>
      <c r="K868" s="1074"/>
      <c r="L868" s="1074"/>
      <c r="M868" s="1074"/>
      <c r="N868" s="1074"/>
      <c r="O868" s="1074"/>
      <c r="P868" s="1074"/>
      <c r="Q868" s="1074"/>
      <c r="R868" s="1074"/>
      <c r="S868" s="1074"/>
      <c r="T868" s="1074"/>
      <c r="U868" s="1074"/>
      <c r="V868" s="1074"/>
      <c r="W868" s="1074"/>
      <c r="X868" s="1074"/>
      <c r="Y868" s="1074"/>
      <c r="Z868" s="1074"/>
      <c r="AA868" s="1074"/>
      <c r="AB868" s="1074"/>
      <c r="AC868" s="1074"/>
      <c r="AD868" s="1074"/>
      <c r="AE868" s="1074"/>
      <c r="AF868" s="1074"/>
      <c r="AG868" s="1074"/>
      <c r="AH868" s="1074"/>
      <c r="AI868" s="1074"/>
      <c r="AJ868" s="1074"/>
      <c r="AK868" s="1074"/>
      <c r="AL868" s="1074"/>
      <c r="AM868" s="1074"/>
      <c r="AN868" s="1074"/>
      <c r="AO868" s="1074"/>
      <c r="AP868" s="1074"/>
      <c r="AQ868" s="1074"/>
      <c r="AR868" s="1074"/>
      <c r="AS868" s="1074"/>
      <c r="AT868" s="1075"/>
    </row>
    <row r="869" ht="14.25" customHeight="1">
      <c r="A869" s="1116"/>
      <c r="B869" s="1120"/>
      <c r="C869" s="1100"/>
      <c r="D869" s="1100"/>
      <c r="E869" s="1100"/>
      <c r="F869" s="1100"/>
      <c r="G869" s="1100"/>
      <c r="H869" s="1100"/>
      <c r="I869" s="1100"/>
      <c r="J869" s="1100"/>
      <c r="K869" s="1074"/>
      <c r="L869" s="1074"/>
      <c r="M869" s="1074"/>
      <c r="N869" s="1074"/>
      <c r="O869" s="1074"/>
      <c r="P869" s="1074"/>
      <c r="Q869" s="1074"/>
      <c r="R869" s="1074"/>
      <c r="S869" s="1074"/>
      <c r="T869" s="1074"/>
      <c r="U869" s="1074"/>
      <c r="V869" s="1074"/>
      <c r="W869" s="1074"/>
      <c r="X869" s="1074"/>
      <c r="Y869" s="1074"/>
      <c r="Z869" s="1074"/>
      <c r="AA869" s="1074"/>
      <c r="AB869" s="1074"/>
      <c r="AC869" s="1074"/>
      <c r="AD869" s="1074"/>
      <c r="AE869" s="1074"/>
      <c r="AF869" s="1074"/>
      <c r="AG869" s="1074"/>
      <c r="AH869" s="1074"/>
      <c r="AI869" s="1074"/>
      <c r="AJ869" s="1074"/>
      <c r="AK869" s="1074"/>
      <c r="AL869" s="1074"/>
      <c r="AM869" s="1074"/>
      <c r="AN869" s="1074"/>
      <c r="AO869" s="1074"/>
      <c r="AP869" s="1074"/>
      <c r="AQ869" s="1074"/>
      <c r="AR869" s="1074"/>
      <c r="AS869" s="1074"/>
      <c r="AT869" s="1075"/>
    </row>
    <row r="870" ht="14.25" customHeight="1">
      <c r="A870" s="1116"/>
      <c r="B870" s="1120"/>
      <c r="C870" s="1100"/>
      <c r="D870" s="1100"/>
      <c r="E870" s="1100"/>
      <c r="F870" s="1100"/>
      <c r="G870" s="1100"/>
      <c r="H870" s="1100"/>
      <c r="I870" s="1100"/>
      <c r="J870" s="1100"/>
      <c r="K870" s="1074"/>
      <c r="L870" s="1074"/>
      <c r="M870" s="1074"/>
      <c r="N870" s="1074"/>
      <c r="O870" s="1074"/>
      <c r="P870" s="1074"/>
      <c r="Q870" s="1074"/>
      <c r="R870" s="1074"/>
      <c r="S870" s="1074"/>
      <c r="T870" s="1074"/>
      <c r="U870" s="1074"/>
      <c r="V870" s="1074"/>
      <c r="W870" s="1074"/>
      <c r="X870" s="1074"/>
      <c r="Y870" s="1074"/>
      <c r="Z870" s="1074"/>
      <c r="AA870" s="1074"/>
      <c r="AB870" s="1074"/>
      <c r="AC870" s="1074"/>
      <c r="AD870" s="1074"/>
      <c r="AE870" s="1074"/>
      <c r="AF870" s="1074"/>
      <c r="AG870" s="1074"/>
      <c r="AH870" s="1074"/>
      <c r="AI870" s="1074"/>
      <c r="AJ870" s="1074"/>
      <c r="AK870" s="1074"/>
      <c r="AL870" s="1074"/>
      <c r="AM870" s="1074"/>
      <c r="AN870" s="1074"/>
      <c r="AO870" s="1074"/>
      <c r="AP870" s="1074"/>
      <c r="AQ870" s="1074"/>
      <c r="AR870" s="1074"/>
      <c r="AS870" s="1074"/>
      <c r="AT870" s="1075"/>
    </row>
    <row r="871" ht="14.25" customHeight="1">
      <c r="A871" s="1116"/>
      <c r="B871" s="1120"/>
      <c r="C871" s="1100"/>
      <c r="D871" s="1100"/>
      <c r="E871" s="1100"/>
      <c r="F871" s="1100"/>
      <c r="G871" s="1100"/>
      <c r="H871" s="1100"/>
      <c r="I871" s="1100"/>
      <c r="J871" s="1100"/>
      <c r="K871" s="1074"/>
      <c r="L871" s="1074"/>
      <c r="M871" s="1074"/>
      <c r="N871" s="1074"/>
      <c r="O871" s="1074"/>
      <c r="P871" s="1074"/>
      <c r="Q871" s="1074"/>
      <c r="R871" s="1074"/>
      <c r="S871" s="1074"/>
      <c r="T871" s="1074"/>
      <c r="U871" s="1074"/>
      <c r="V871" s="1074"/>
      <c r="W871" s="1074"/>
      <c r="X871" s="1074"/>
      <c r="Y871" s="1074"/>
      <c r="Z871" s="1074"/>
      <c r="AA871" s="1074"/>
      <c r="AB871" s="1074"/>
      <c r="AC871" s="1074"/>
      <c r="AD871" s="1074"/>
      <c r="AE871" s="1074"/>
      <c r="AF871" s="1074"/>
      <c r="AG871" s="1074"/>
      <c r="AH871" s="1074"/>
      <c r="AI871" s="1074"/>
      <c r="AJ871" s="1074"/>
      <c r="AK871" s="1074"/>
      <c r="AL871" s="1074"/>
      <c r="AM871" s="1074"/>
      <c r="AN871" s="1074"/>
      <c r="AO871" s="1074"/>
      <c r="AP871" s="1074"/>
      <c r="AQ871" s="1074"/>
      <c r="AR871" s="1074"/>
      <c r="AS871" s="1074"/>
      <c r="AT871" s="1075"/>
    </row>
    <row r="872" ht="14.25" customHeight="1">
      <c r="A872" s="1116"/>
      <c r="B872" s="1120"/>
      <c r="C872" s="1100"/>
      <c r="D872" s="1100"/>
      <c r="E872" s="1100"/>
      <c r="F872" s="1100"/>
      <c r="G872" s="1100"/>
      <c r="H872" s="1100"/>
      <c r="I872" s="1100"/>
      <c r="J872" s="1100"/>
      <c r="K872" s="1074"/>
      <c r="L872" s="1074"/>
      <c r="M872" s="1074"/>
      <c r="N872" s="1074"/>
      <c r="O872" s="1074"/>
      <c r="P872" s="1074"/>
      <c r="Q872" s="1074"/>
      <c r="R872" s="1074"/>
      <c r="S872" s="1074"/>
      <c r="T872" s="1074"/>
      <c r="U872" s="1074"/>
      <c r="V872" s="1074"/>
      <c r="W872" s="1074"/>
      <c r="X872" s="1074"/>
      <c r="Y872" s="1074"/>
      <c r="Z872" s="1074"/>
      <c r="AA872" s="1074"/>
      <c r="AB872" s="1074"/>
      <c r="AC872" s="1074"/>
      <c r="AD872" s="1074"/>
      <c r="AE872" s="1074"/>
      <c r="AF872" s="1074"/>
      <c r="AG872" s="1074"/>
      <c r="AH872" s="1074"/>
      <c r="AI872" s="1074"/>
      <c r="AJ872" s="1074"/>
      <c r="AK872" s="1074"/>
      <c r="AL872" s="1074"/>
      <c r="AM872" s="1074"/>
      <c r="AN872" s="1074"/>
      <c r="AO872" s="1074"/>
      <c r="AP872" s="1074"/>
      <c r="AQ872" s="1074"/>
      <c r="AR872" s="1074"/>
      <c r="AS872" s="1074"/>
      <c r="AT872" s="1075"/>
    </row>
    <row r="873" ht="14.25" customHeight="1">
      <c r="A873" s="1116"/>
      <c r="B873" s="1120"/>
      <c r="C873" s="1100"/>
      <c r="D873" s="1100"/>
      <c r="E873" s="1100"/>
      <c r="F873" s="1100"/>
      <c r="G873" s="1100"/>
      <c r="H873" s="1100"/>
      <c r="I873" s="1100"/>
      <c r="J873" s="1100"/>
      <c r="K873" s="1074"/>
      <c r="L873" s="1074"/>
      <c r="M873" s="1074"/>
      <c r="N873" s="1074"/>
      <c r="O873" s="1074"/>
      <c r="P873" s="1074"/>
      <c r="Q873" s="1074"/>
      <c r="R873" s="1074"/>
      <c r="S873" s="1074"/>
      <c r="T873" s="1074"/>
      <c r="U873" s="1074"/>
      <c r="V873" s="1074"/>
      <c r="W873" s="1074"/>
      <c r="X873" s="1074"/>
      <c r="Y873" s="1074"/>
      <c r="Z873" s="1074"/>
      <c r="AA873" s="1074"/>
      <c r="AB873" s="1074"/>
      <c r="AC873" s="1074"/>
      <c r="AD873" s="1074"/>
      <c r="AE873" s="1074"/>
      <c r="AF873" s="1074"/>
      <c r="AG873" s="1074"/>
      <c r="AH873" s="1074"/>
      <c r="AI873" s="1074"/>
      <c r="AJ873" s="1074"/>
      <c r="AK873" s="1074"/>
      <c r="AL873" s="1074"/>
      <c r="AM873" s="1074"/>
      <c r="AN873" s="1074"/>
      <c r="AO873" s="1074"/>
      <c r="AP873" s="1074"/>
      <c r="AQ873" s="1074"/>
      <c r="AR873" s="1074"/>
      <c r="AS873" s="1074"/>
      <c r="AT873" s="1075"/>
    </row>
    <row r="874" ht="14.25" customHeight="1">
      <c r="A874" s="1116"/>
      <c r="B874" s="1120"/>
      <c r="C874" s="1100"/>
      <c r="D874" s="1100"/>
      <c r="E874" s="1100"/>
      <c r="F874" s="1100"/>
      <c r="G874" s="1100"/>
      <c r="H874" s="1100"/>
      <c r="I874" s="1100"/>
      <c r="J874" s="1100"/>
      <c r="K874" s="1074"/>
      <c r="L874" s="1074"/>
      <c r="M874" s="1074"/>
      <c r="N874" s="1074"/>
      <c r="O874" s="1074"/>
      <c r="P874" s="1074"/>
      <c r="Q874" s="1074"/>
      <c r="R874" s="1074"/>
      <c r="S874" s="1074"/>
      <c r="T874" s="1074"/>
      <c r="U874" s="1074"/>
      <c r="V874" s="1074"/>
      <c r="W874" s="1074"/>
      <c r="X874" s="1074"/>
      <c r="Y874" s="1074"/>
      <c r="Z874" s="1074"/>
      <c r="AA874" s="1074"/>
      <c r="AB874" s="1074"/>
      <c r="AC874" s="1074"/>
      <c r="AD874" s="1074"/>
      <c r="AE874" s="1074"/>
      <c r="AF874" s="1074"/>
      <c r="AG874" s="1074"/>
      <c r="AH874" s="1074"/>
      <c r="AI874" s="1074"/>
      <c r="AJ874" s="1074"/>
      <c r="AK874" s="1074"/>
      <c r="AL874" s="1074"/>
      <c r="AM874" s="1074"/>
      <c r="AN874" s="1074"/>
      <c r="AO874" s="1074"/>
      <c r="AP874" s="1074"/>
      <c r="AQ874" s="1074"/>
      <c r="AR874" s="1074"/>
      <c r="AS874" s="1074"/>
      <c r="AT874" s="1075"/>
    </row>
    <row r="875" ht="14.25" customHeight="1">
      <c r="A875" s="1116"/>
      <c r="B875" s="1120"/>
      <c r="C875" s="1100"/>
      <c r="D875" s="1100"/>
      <c r="E875" s="1100"/>
      <c r="F875" s="1100"/>
      <c r="G875" s="1100"/>
      <c r="H875" s="1100"/>
      <c r="I875" s="1100"/>
      <c r="J875" s="1100"/>
      <c r="K875" s="1074"/>
      <c r="L875" s="1074"/>
      <c r="M875" s="1074"/>
      <c r="N875" s="1074"/>
      <c r="O875" s="1074"/>
      <c r="P875" s="1074"/>
      <c r="Q875" s="1074"/>
      <c r="R875" s="1074"/>
      <c r="S875" s="1074"/>
      <c r="T875" s="1074"/>
      <c r="U875" s="1074"/>
      <c r="V875" s="1074"/>
      <c r="W875" s="1074"/>
      <c r="X875" s="1074"/>
      <c r="Y875" s="1074"/>
      <c r="Z875" s="1074"/>
      <c r="AA875" s="1074"/>
      <c r="AB875" s="1074"/>
      <c r="AC875" s="1074"/>
      <c r="AD875" s="1074"/>
      <c r="AE875" s="1074"/>
      <c r="AF875" s="1074"/>
      <c r="AG875" s="1074"/>
      <c r="AH875" s="1074"/>
      <c r="AI875" s="1074"/>
      <c r="AJ875" s="1074"/>
      <c r="AK875" s="1074"/>
      <c r="AL875" s="1074"/>
      <c r="AM875" s="1074"/>
      <c r="AN875" s="1074"/>
      <c r="AO875" s="1074"/>
      <c r="AP875" s="1074"/>
      <c r="AQ875" s="1074"/>
      <c r="AR875" s="1074"/>
      <c r="AS875" s="1074"/>
      <c r="AT875" s="1075"/>
    </row>
    <row r="876" ht="14.25" customHeight="1">
      <c r="A876" s="1116"/>
      <c r="B876" s="1120"/>
      <c r="C876" s="1100"/>
      <c r="D876" s="1100"/>
      <c r="E876" s="1100"/>
      <c r="F876" s="1100"/>
      <c r="G876" s="1100"/>
      <c r="H876" s="1100"/>
      <c r="I876" s="1100"/>
      <c r="J876" s="1100"/>
      <c r="K876" s="1074"/>
      <c r="L876" s="1074"/>
      <c r="M876" s="1074"/>
      <c r="N876" s="1074"/>
      <c r="O876" s="1074"/>
      <c r="P876" s="1074"/>
      <c r="Q876" s="1074"/>
      <c r="R876" s="1074"/>
      <c r="S876" s="1074"/>
      <c r="T876" s="1074"/>
      <c r="U876" s="1074"/>
      <c r="V876" s="1074"/>
      <c r="W876" s="1074"/>
      <c r="X876" s="1074"/>
      <c r="Y876" s="1074"/>
      <c r="Z876" s="1074"/>
      <c r="AA876" s="1074"/>
      <c r="AB876" s="1074"/>
      <c r="AC876" s="1074"/>
      <c r="AD876" s="1074"/>
      <c r="AE876" s="1074"/>
      <c r="AF876" s="1074"/>
      <c r="AG876" s="1074"/>
      <c r="AH876" s="1074"/>
      <c r="AI876" s="1074"/>
      <c r="AJ876" s="1074"/>
      <c r="AK876" s="1074"/>
      <c r="AL876" s="1074"/>
      <c r="AM876" s="1074"/>
      <c r="AN876" s="1074"/>
      <c r="AO876" s="1074"/>
      <c r="AP876" s="1074"/>
      <c r="AQ876" s="1074"/>
      <c r="AR876" s="1074"/>
      <c r="AS876" s="1074"/>
      <c r="AT876" s="1075"/>
    </row>
    <row r="877" ht="14.25" customHeight="1">
      <c r="A877" s="1116"/>
      <c r="B877" s="1120"/>
      <c r="C877" s="1100"/>
      <c r="D877" s="1100"/>
      <c r="E877" s="1100"/>
      <c r="F877" s="1100"/>
      <c r="G877" s="1100"/>
      <c r="H877" s="1100"/>
      <c r="I877" s="1100"/>
      <c r="J877" s="1100"/>
      <c r="K877" s="1074"/>
      <c r="L877" s="1074"/>
      <c r="M877" s="1074"/>
      <c r="N877" s="1074"/>
      <c r="O877" s="1074"/>
      <c r="P877" s="1074"/>
      <c r="Q877" s="1074"/>
      <c r="R877" s="1074"/>
      <c r="S877" s="1074"/>
      <c r="T877" s="1074"/>
      <c r="U877" s="1074"/>
      <c r="V877" s="1074"/>
      <c r="W877" s="1074"/>
      <c r="X877" s="1074"/>
      <c r="Y877" s="1074"/>
      <c r="Z877" s="1074"/>
      <c r="AA877" s="1074"/>
      <c r="AB877" s="1074"/>
      <c r="AC877" s="1074"/>
      <c r="AD877" s="1074"/>
      <c r="AE877" s="1074"/>
      <c r="AF877" s="1074"/>
      <c r="AG877" s="1074"/>
      <c r="AH877" s="1074"/>
      <c r="AI877" s="1074"/>
      <c r="AJ877" s="1074"/>
      <c r="AK877" s="1074"/>
      <c r="AL877" s="1074"/>
      <c r="AM877" s="1074"/>
      <c r="AN877" s="1074"/>
      <c r="AO877" s="1074"/>
      <c r="AP877" s="1074"/>
      <c r="AQ877" s="1074"/>
      <c r="AR877" s="1074"/>
      <c r="AS877" s="1074"/>
      <c r="AT877" s="1075"/>
    </row>
    <row r="878" ht="14.25" customHeight="1">
      <c r="A878" s="1116"/>
      <c r="B878" s="1120"/>
      <c r="C878" s="1100"/>
      <c r="D878" s="1100"/>
      <c r="E878" s="1100"/>
      <c r="F878" s="1100"/>
      <c r="G878" s="1100"/>
      <c r="H878" s="1100"/>
      <c r="I878" s="1100"/>
      <c r="J878" s="1100"/>
      <c r="K878" s="1074"/>
      <c r="L878" s="1074"/>
      <c r="M878" s="1074"/>
      <c r="N878" s="1074"/>
      <c r="O878" s="1074"/>
      <c r="P878" s="1074"/>
      <c r="Q878" s="1074"/>
      <c r="R878" s="1074"/>
      <c r="S878" s="1074"/>
      <c r="T878" s="1074"/>
      <c r="U878" s="1074"/>
      <c r="V878" s="1074"/>
      <c r="W878" s="1074"/>
      <c r="X878" s="1074"/>
      <c r="Y878" s="1074"/>
      <c r="Z878" s="1074"/>
      <c r="AA878" s="1074"/>
      <c r="AB878" s="1074"/>
      <c r="AC878" s="1074"/>
      <c r="AD878" s="1074"/>
      <c r="AE878" s="1074"/>
      <c r="AF878" s="1074"/>
      <c r="AG878" s="1074"/>
      <c r="AH878" s="1074"/>
      <c r="AI878" s="1074"/>
      <c r="AJ878" s="1074"/>
      <c r="AK878" s="1074"/>
      <c r="AL878" s="1074"/>
      <c r="AM878" s="1074"/>
      <c r="AN878" s="1074"/>
      <c r="AO878" s="1074"/>
      <c r="AP878" s="1074"/>
      <c r="AQ878" s="1074"/>
      <c r="AR878" s="1074"/>
      <c r="AS878" s="1074"/>
      <c r="AT878" s="1075"/>
    </row>
    <row r="879" ht="14.25" customHeight="1">
      <c r="A879" s="1116"/>
      <c r="B879" s="1120"/>
      <c r="C879" s="1100"/>
      <c r="D879" s="1100"/>
      <c r="E879" s="1100"/>
      <c r="F879" s="1100"/>
      <c r="G879" s="1100"/>
      <c r="H879" s="1100"/>
      <c r="I879" s="1100"/>
      <c r="J879" s="1100"/>
      <c r="K879" s="1074"/>
      <c r="L879" s="1074"/>
      <c r="M879" s="1074"/>
      <c r="N879" s="1074"/>
      <c r="O879" s="1074"/>
      <c r="P879" s="1074"/>
      <c r="Q879" s="1074"/>
      <c r="R879" s="1074"/>
      <c r="S879" s="1074"/>
      <c r="T879" s="1074"/>
      <c r="U879" s="1074"/>
      <c r="V879" s="1074"/>
      <c r="W879" s="1074"/>
      <c r="X879" s="1074"/>
      <c r="Y879" s="1074"/>
      <c r="Z879" s="1074"/>
      <c r="AA879" s="1074"/>
      <c r="AB879" s="1074"/>
      <c r="AC879" s="1074"/>
      <c r="AD879" s="1074"/>
      <c r="AE879" s="1074"/>
      <c r="AF879" s="1074"/>
      <c r="AG879" s="1074"/>
      <c r="AH879" s="1074"/>
      <c r="AI879" s="1074"/>
      <c r="AJ879" s="1074"/>
      <c r="AK879" s="1074"/>
      <c r="AL879" s="1074"/>
      <c r="AM879" s="1074"/>
      <c r="AN879" s="1074"/>
      <c r="AO879" s="1074"/>
      <c r="AP879" s="1074"/>
      <c r="AQ879" s="1074"/>
      <c r="AR879" s="1074"/>
      <c r="AS879" s="1074"/>
      <c r="AT879" s="1075"/>
    </row>
    <row r="880" ht="14.25" customHeight="1">
      <c r="A880" s="1116"/>
      <c r="B880" s="1120"/>
      <c r="C880" s="1100"/>
      <c r="D880" s="1100"/>
      <c r="E880" s="1100"/>
      <c r="F880" s="1100"/>
      <c r="G880" s="1100"/>
      <c r="H880" s="1100"/>
      <c r="I880" s="1100"/>
      <c r="J880" s="1100"/>
      <c r="K880" s="1074"/>
      <c r="L880" s="1074"/>
      <c r="M880" s="1074"/>
      <c r="N880" s="1074"/>
      <c r="O880" s="1074"/>
      <c r="P880" s="1074"/>
      <c r="Q880" s="1074"/>
      <c r="R880" s="1074"/>
      <c r="S880" s="1074"/>
      <c r="T880" s="1074"/>
      <c r="U880" s="1074"/>
      <c r="V880" s="1074"/>
      <c r="W880" s="1074"/>
      <c r="X880" s="1074"/>
      <c r="Y880" s="1074"/>
      <c r="Z880" s="1074"/>
      <c r="AA880" s="1074"/>
      <c r="AB880" s="1074"/>
      <c r="AC880" s="1074"/>
      <c r="AD880" s="1074"/>
      <c r="AE880" s="1074"/>
      <c r="AF880" s="1074"/>
      <c r="AG880" s="1074"/>
      <c r="AH880" s="1074"/>
      <c r="AI880" s="1074"/>
      <c r="AJ880" s="1074"/>
      <c r="AK880" s="1074"/>
      <c r="AL880" s="1074"/>
      <c r="AM880" s="1074"/>
      <c r="AN880" s="1074"/>
      <c r="AO880" s="1074"/>
      <c r="AP880" s="1074"/>
      <c r="AQ880" s="1074"/>
      <c r="AR880" s="1074"/>
      <c r="AS880" s="1074"/>
      <c r="AT880" s="1075"/>
    </row>
    <row r="881" ht="14.25" customHeight="1">
      <c r="A881" s="1116"/>
      <c r="B881" s="1120"/>
      <c r="C881" s="1100"/>
      <c r="D881" s="1100"/>
      <c r="E881" s="1100"/>
      <c r="F881" s="1100"/>
      <c r="G881" s="1100"/>
      <c r="H881" s="1100"/>
      <c r="I881" s="1100"/>
      <c r="J881" s="1100"/>
      <c r="K881" s="1074"/>
      <c r="L881" s="1074"/>
      <c r="M881" s="1074"/>
      <c r="N881" s="1074"/>
      <c r="O881" s="1074"/>
      <c r="P881" s="1074"/>
      <c r="Q881" s="1074"/>
      <c r="R881" s="1074"/>
      <c r="S881" s="1074"/>
      <c r="T881" s="1074"/>
      <c r="U881" s="1074"/>
      <c r="V881" s="1074"/>
      <c r="W881" s="1074"/>
      <c r="X881" s="1074"/>
      <c r="Y881" s="1074"/>
      <c r="Z881" s="1074"/>
      <c r="AA881" s="1074"/>
      <c r="AB881" s="1074"/>
      <c r="AC881" s="1074"/>
      <c r="AD881" s="1074"/>
      <c r="AE881" s="1074"/>
      <c r="AF881" s="1074"/>
      <c r="AG881" s="1074"/>
      <c r="AH881" s="1074"/>
      <c r="AI881" s="1074"/>
      <c r="AJ881" s="1074"/>
      <c r="AK881" s="1074"/>
      <c r="AL881" s="1074"/>
      <c r="AM881" s="1074"/>
      <c r="AN881" s="1074"/>
      <c r="AO881" s="1074"/>
      <c r="AP881" s="1074"/>
      <c r="AQ881" s="1074"/>
      <c r="AR881" s="1074"/>
      <c r="AS881" s="1074"/>
      <c r="AT881" s="1075"/>
    </row>
    <row r="882" ht="14.25" customHeight="1">
      <c r="A882" s="1116"/>
      <c r="B882" s="1120"/>
      <c r="C882" s="1100"/>
      <c r="D882" s="1100"/>
      <c r="E882" s="1100"/>
      <c r="F882" s="1100"/>
      <c r="G882" s="1100"/>
      <c r="H882" s="1100"/>
      <c r="I882" s="1100"/>
      <c r="J882" s="1100"/>
      <c r="K882" s="1074"/>
      <c r="L882" s="1074"/>
      <c r="M882" s="1074"/>
      <c r="N882" s="1074"/>
      <c r="O882" s="1074"/>
      <c r="P882" s="1074"/>
      <c r="Q882" s="1074"/>
      <c r="R882" s="1074"/>
      <c r="S882" s="1074"/>
      <c r="T882" s="1074"/>
      <c r="U882" s="1074"/>
      <c r="V882" s="1074"/>
      <c r="W882" s="1074"/>
      <c r="X882" s="1074"/>
      <c r="Y882" s="1074"/>
      <c r="Z882" s="1074"/>
      <c r="AA882" s="1074"/>
      <c r="AB882" s="1074"/>
      <c r="AC882" s="1074"/>
      <c r="AD882" s="1074"/>
      <c r="AE882" s="1074"/>
      <c r="AF882" s="1074"/>
      <c r="AG882" s="1074"/>
      <c r="AH882" s="1074"/>
      <c r="AI882" s="1074"/>
      <c r="AJ882" s="1074"/>
      <c r="AK882" s="1074"/>
      <c r="AL882" s="1074"/>
      <c r="AM882" s="1074"/>
      <c r="AN882" s="1074"/>
      <c r="AO882" s="1074"/>
      <c r="AP882" s="1074"/>
      <c r="AQ882" s="1074"/>
      <c r="AR882" s="1074"/>
      <c r="AS882" s="1074"/>
      <c r="AT882" s="1075"/>
    </row>
    <row r="883" ht="14.25" customHeight="1">
      <c r="A883" s="1116"/>
      <c r="B883" s="1120"/>
      <c r="C883" s="1100"/>
      <c r="D883" s="1100"/>
      <c r="E883" s="1100"/>
      <c r="F883" s="1100"/>
      <c r="G883" s="1100"/>
      <c r="H883" s="1100"/>
      <c r="I883" s="1100"/>
      <c r="J883" s="1100"/>
      <c r="K883" s="1074"/>
      <c r="L883" s="1074"/>
      <c r="M883" s="1074"/>
      <c r="N883" s="1074"/>
      <c r="O883" s="1074"/>
      <c r="P883" s="1074"/>
      <c r="Q883" s="1074"/>
      <c r="R883" s="1074"/>
      <c r="S883" s="1074"/>
      <c r="T883" s="1074"/>
      <c r="U883" s="1074"/>
      <c r="V883" s="1074"/>
      <c r="W883" s="1074"/>
      <c r="X883" s="1074"/>
      <c r="Y883" s="1074"/>
      <c r="Z883" s="1074"/>
      <c r="AA883" s="1074"/>
      <c r="AB883" s="1074"/>
      <c r="AC883" s="1074"/>
      <c r="AD883" s="1074"/>
      <c r="AE883" s="1074"/>
      <c r="AF883" s="1074"/>
      <c r="AG883" s="1074"/>
      <c r="AH883" s="1074"/>
      <c r="AI883" s="1074"/>
      <c r="AJ883" s="1074"/>
      <c r="AK883" s="1074"/>
      <c r="AL883" s="1074"/>
      <c r="AM883" s="1074"/>
      <c r="AN883" s="1074"/>
      <c r="AO883" s="1074"/>
      <c r="AP883" s="1074"/>
      <c r="AQ883" s="1074"/>
      <c r="AR883" s="1074"/>
      <c r="AS883" s="1074"/>
      <c r="AT883" s="1075"/>
    </row>
    <row r="884" ht="14.25" customHeight="1">
      <c r="A884" s="1116"/>
      <c r="B884" s="1120"/>
      <c r="C884" s="1100"/>
      <c r="D884" s="1100"/>
      <c r="E884" s="1100"/>
      <c r="F884" s="1100"/>
      <c r="G884" s="1100"/>
      <c r="H884" s="1100"/>
      <c r="I884" s="1100"/>
      <c r="J884" s="1100"/>
      <c r="K884" s="1074"/>
      <c r="L884" s="1074"/>
      <c r="M884" s="1074"/>
      <c r="N884" s="1074"/>
      <c r="O884" s="1074"/>
      <c r="P884" s="1074"/>
      <c r="Q884" s="1074"/>
      <c r="R884" s="1074"/>
      <c r="S884" s="1074"/>
      <c r="T884" s="1074"/>
      <c r="U884" s="1074"/>
      <c r="V884" s="1074"/>
      <c r="W884" s="1074"/>
      <c r="X884" s="1074"/>
      <c r="Y884" s="1074"/>
      <c r="Z884" s="1074"/>
      <c r="AA884" s="1074"/>
      <c r="AB884" s="1074"/>
      <c r="AC884" s="1074"/>
      <c r="AD884" s="1074"/>
      <c r="AE884" s="1074"/>
      <c r="AF884" s="1074"/>
      <c r="AG884" s="1074"/>
      <c r="AH884" s="1074"/>
      <c r="AI884" s="1074"/>
      <c r="AJ884" s="1074"/>
      <c r="AK884" s="1074"/>
      <c r="AL884" s="1074"/>
      <c r="AM884" s="1074"/>
      <c r="AN884" s="1074"/>
      <c r="AO884" s="1074"/>
      <c r="AP884" s="1074"/>
      <c r="AQ884" s="1074"/>
      <c r="AR884" s="1074"/>
      <c r="AS884" s="1074"/>
      <c r="AT884" s="1075"/>
    </row>
    <row r="885" ht="14.25" customHeight="1">
      <c r="A885" s="1116"/>
      <c r="B885" s="1120"/>
      <c r="C885" s="1100"/>
      <c r="D885" s="1100"/>
      <c r="E885" s="1100"/>
      <c r="F885" s="1100"/>
      <c r="G885" s="1100"/>
      <c r="H885" s="1100"/>
      <c r="I885" s="1100"/>
      <c r="J885" s="1100"/>
      <c r="K885" s="1074"/>
      <c r="L885" s="1074"/>
      <c r="M885" s="1074"/>
      <c r="N885" s="1074"/>
      <c r="O885" s="1074"/>
      <c r="P885" s="1074"/>
      <c r="Q885" s="1074"/>
      <c r="R885" s="1074"/>
      <c r="S885" s="1074"/>
      <c r="T885" s="1074"/>
      <c r="U885" s="1074"/>
      <c r="V885" s="1074"/>
      <c r="W885" s="1074"/>
      <c r="X885" s="1074"/>
      <c r="Y885" s="1074"/>
      <c r="Z885" s="1074"/>
      <c r="AA885" s="1074"/>
      <c r="AB885" s="1074"/>
      <c r="AC885" s="1074"/>
      <c r="AD885" s="1074"/>
      <c r="AE885" s="1074"/>
      <c r="AF885" s="1074"/>
      <c r="AG885" s="1074"/>
      <c r="AH885" s="1074"/>
      <c r="AI885" s="1074"/>
      <c r="AJ885" s="1074"/>
      <c r="AK885" s="1074"/>
      <c r="AL885" s="1074"/>
      <c r="AM885" s="1074"/>
      <c r="AN885" s="1074"/>
      <c r="AO885" s="1074"/>
      <c r="AP885" s="1074"/>
      <c r="AQ885" s="1074"/>
      <c r="AR885" s="1074"/>
      <c r="AS885" s="1074"/>
      <c r="AT885" s="1075"/>
    </row>
    <row r="886" ht="14.25" customHeight="1">
      <c r="A886" s="1116"/>
      <c r="B886" s="1120"/>
      <c r="C886" s="1100"/>
      <c r="D886" s="1100"/>
      <c r="E886" s="1100"/>
      <c r="F886" s="1100"/>
      <c r="G886" s="1100"/>
      <c r="H886" s="1100"/>
      <c r="I886" s="1100"/>
      <c r="J886" s="1100"/>
      <c r="K886" s="1074"/>
      <c r="L886" s="1074"/>
      <c r="M886" s="1074"/>
      <c r="N886" s="1074"/>
      <c r="O886" s="1074"/>
      <c r="P886" s="1074"/>
      <c r="Q886" s="1074"/>
      <c r="R886" s="1074"/>
      <c r="S886" s="1074"/>
      <c r="T886" s="1074"/>
      <c r="U886" s="1074"/>
      <c r="V886" s="1074"/>
      <c r="W886" s="1074"/>
      <c r="X886" s="1074"/>
      <c r="Y886" s="1074"/>
      <c r="Z886" s="1074"/>
      <c r="AA886" s="1074"/>
      <c r="AB886" s="1074"/>
      <c r="AC886" s="1074"/>
      <c r="AD886" s="1074"/>
      <c r="AE886" s="1074"/>
      <c r="AF886" s="1074"/>
      <c r="AG886" s="1074"/>
      <c r="AH886" s="1074"/>
      <c r="AI886" s="1074"/>
      <c r="AJ886" s="1074"/>
      <c r="AK886" s="1074"/>
      <c r="AL886" s="1074"/>
      <c r="AM886" s="1074"/>
      <c r="AN886" s="1074"/>
      <c r="AO886" s="1074"/>
      <c r="AP886" s="1074"/>
      <c r="AQ886" s="1074"/>
      <c r="AR886" s="1074"/>
      <c r="AS886" s="1074"/>
      <c r="AT886" s="1075"/>
    </row>
    <row r="887" ht="14.25" customHeight="1">
      <c r="A887" s="1116"/>
      <c r="B887" s="1120"/>
      <c r="C887" s="1100"/>
      <c r="D887" s="1100"/>
      <c r="E887" s="1100"/>
      <c r="F887" s="1100"/>
      <c r="G887" s="1100"/>
      <c r="H887" s="1100"/>
      <c r="I887" s="1100"/>
      <c r="J887" s="1100"/>
      <c r="K887" s="1074"/>
      <c r="L887" s="1074"/>
      <c r="M887" s="1074"/>
      <c r="N887" s="1074"/>
      <c r="O887" s="1074"/>
      <c r="P887" s="1074"/>
      <c r="Q887" s="1074"/>
      <c r="R887" s="1074"/>
      <c r="S887" s="1074"/>
      <c r="T887" s="1074"/>
      <c r="U887" s="1074"/>
      <c r="V887" s="1074"/>
      <c r="W887" s="1074"/>
      <c r="X887" s="1074"/>
      <c r="Y887" s="1074"/>
      <c r="Z887" s="1074"/>
      <c r="AA887" s="1074"/>
      <c r="AB887" s="1074"/>
      <c r="AC887" s="1074"/>
      <c r="AD887" s="1074"/>
      <c r="AE887" s="1074"/>
      <c r="AF887" s="1074"/>
      <c r="AG887" s="1074"/>
      <c r="AH887" s="1074"/>
      <c r="AI887" s="1074"/>
      <c r="AJ887" s="1074"/>
      <c r="AK887" s="1074"/>
      <c r="AL887" s="1074"/>
      <c r="AM887" s="1074"/>
      <c r="AN887" s="1074"/>
      <c r="AO887" s="1074"/>
      <c r="AP887" s="1074"/>
      <c r="AQ887" s="1074"/>
      <c r="AR887" s="1074"/>
      <c r="AS887" s="1074"/>
      <c r="AT887" s="1075"/>
    </row>
    <row r="888" ht="14.25" customHeight="1">
      <c r="A888" s="1116"/>
      <c r="B888" s="1120"/>
      <c r="C888" s="1100"/>
      <c r="D888" s="1100"/>
      <c r="E888" s="1100"/>
      <c r="F888" s="1100"/>
      <c r="G888" s="1100"/>
      <c r="H888" s="1100"/>
      <c r="I888" s="1100"/>
      <c r="J888" s="1100"/>
      <c r="K888" s="1074"/>
      <c r="L888" s="1074"/>
      <c r="M888" s="1074"/>
      <c r="N888" s="1074"/>
      <c r="O888" s="1074"/>
      <c r="P888" s="1074"/>
      <c r="Q888" s="1074"/>
      <c r="R888" s="1074"/>
      <c r="S888" s="1074"/>
      <c r="T888" s="1074"/>
      <c r="U888" s="1074"/>
      <c r="V888" s="1074"/>
      <c r="W888" s="1074"/>
      <c r="X888" s="1074"/>
      <c r="Y888" s="1074"/>
      <c r="Z888" s="1074"/>
      <c r="AA888" s="1074"/>
      <c r="AB888" s="1074"/>
      <c r="AC888" s="1074"/>
      <c r="AD888" s="1074"/>
      <c r="AE888" s="1074"/>
      <c r="AF888" s="1074"/>
      <c r="AG888" s="1074"/>
      <c r="AH888" s="1074"/>
      <c r="AI888" s="1074"/>
      <c r="AJ888" s="1074"/>
      <c r="AK888" s="1074"/>
      <c r="AL888" s="1074"/>
      <c r="AM888" s="1074"/>
      <c r="AN888" s="1074"/>
      <c r="AO888" s="1074"/>
      <c r="AP888" s="1074"/>
      <c r="AQ888" s="1074"/>
      <c r="AR888" s="1074"/>
      <c r="AS888" s="1074"/>
      <c r="AT888" s="1075"/>
    </row>
    <row r="889" ht="14.25" customHeight="1">
      <c r="A889" s="1116"/>
      <c r="B889" s="1120"/>
      <c r="C889" s="1100"/>
      <c r="D889" s="1100"/>
      <c r="E889" s="1100"/>
      <c r="F889" s="1100"/>
      <c r="G889" s="1100"/>
      <c r="H889" s="1100"/>
      <c r="I889" s="1100"/>
      <c r="J889" s="1100"/>
      <c r="K889" s="1074"/>
      <c r="L889" s="1074"/>
      <c r="M889" s="1074"/>
      <c r="N889" s="1074"/>
      <c r="O889" s="1074"/>
      <c r="P889" s="1074"/>
      <c r="Q889" s="1074"/>
      <c r="R889" s="1074"/>
      <c r="S889" s="1074"/>
      <c r="T889" s="1074"/>
      <c r="U889" s="1074"/>
      <c r="V889" s="1074"/>
      <c r="W889" s="1074"/>
      <c r="X889" s="1074"/>
      <c r="Y889" s="1074"/>
      <c r="Z889" s="1074"/>
      <c r="AA889" s="1074"/>
      <c r="AB889" s="1074"/>
      <c r="AC889" s="1074"/>
      <c r="AD889" s="1074"/>
      <c r="AE889" s="1074"/>
      <c r="AF889" s="1074"/>
      <c r="AG889" s="1074"/>
      <c r="AH889" s="1074"/>
      <c r="AI889" s="1074"/>
      <c r="AJ889" s="1074"/>
      <c r="AK889" s="1074"/>
      <c r="AL889" s="1074"/>
      <c r="AM889" s="1074"/>
      <c r="AN889" s="1074"/>
      <c r="AO889" s="1074"/>
      <c r="AP889" s="1074"/>
      <c r="AQ889" s="1074"/>
      <c r="AR889" s="1074"/>
      <c r="AS889" s="1074"/>
      <c r="AT889" s="1075"/>
    </row>
    <row r="890" ht="14.25" customHeight="1">
      <c r="A890" s="1116"/>
      <c r="B890" s="1120"/>
      <c r="C890" s="1100"/>
      <c r="D890" s="1100"/>
      <c r="E890" s="1100"/>
      <c r="F890" s="1100"/>
      <c r="G890" s="1100"/>
      <c r="H890" s="1100"/>
      <c r="I890" s="1100"/>
      <c r="J890" s="1100"/>
      <c r="K890" s="1074"/>
      <c r="L890" s="1074"/>
      <c r="M890" s="1074"/>
      <c r="N890" s="1074"/>
      <c r="O890" s="1074"/>
      <c r="P890" s="1074"/>
      <c r="Q890" s="1074"/>
      <c r="R890" s="1074"/>
      <c r="S890" s="1074"/>
      <c r="T890" s="1074"/>
      <c r="U890" s="1074"/>
      <c r="V890" s="1074"/>
      <c r="W890" s="1074"/>
      <c r="X890" s="1074"/>
      <c r="Y890" s="1074"/>
      <c r="Z890" s="1074"/>
      <c r="AA890" s="1074"/>
      <c r="AB890" s="1074"/>
      <c r="AC890" s="1074"/>
      <c r="AD890" s="1074"/>
      <c r="AE890" s="1074"/>
      <c r="AF890" s="1074"/>
      <c r="AG890" s="1074"/>
      <c r="AH890" s="1074"/>
      <c r="AI890" s="1074"/>
      <c r="AJ890" s="1074"/>
      <c r="AK890" s="1074"/>
      <c r="AL890" s="1074"/>
      <c r="AM890" s="1074"/>
      <c r="AN890" s="1074"/>
      <c r="AO890" s="1074"/>
      <c r="AP890" s="1074"/>
      <c r="AQ890" s="1074"/>
      <c r="AR890" s="1074"/>
      <c r="AS890" s="1074"/>
      <c r="AT890" s="1075"/>
    </row>
    <row r="891" ht="14.25" customHeight="1">
      <c r="A891" s="1116"/>
      <c r="B891" s="1120"/>
      <c r="C891" s="1100"/>
      <c r="D891" s="1100"/>
      <c r="E891" s="1100"/>
      <c r="F891" s="1100"/>
      <c r="G891" s="1100"/>
      <c r="H891" s="1100"/>
      <c r="I891" s="1100"/>
      <c r="J891" s="1100"/>
      <c r="K891" s="1074"/>
      <c r="L891" s="1074"/>
      <c r="M891" s="1074"/>
      <c r="N891" s="1074"/>
      <c r="O891" s="1074"/>
      <c r="P891" s="1074"/>
      <c r="Q891" s="1074"/>
      <c r="R891" s="1074"/>
      <c r="S891" s="1074"/>
      <c r="T891" s="1074"/>
      <c r="U891" s="1074"/>
      <c r="V891" s="1074"/>
      <c r="W891" s="1074"/>
      <c r="X891" s="1074"/>
      <c r="Y891" s="1074"/>
      <c r="Z891" s="1074"/>
      <c r="AA891" s="1074"/>
      <c r="AB891" s="1074"/>
      <c r="AC891" s="1074"/>
      <c r="AD891" s="1074"/>
      <c r="AE891" s="1074"/>
      <c r="AF891" s="1074"/>
      <c r="AG891" s="1074"/>
      <c r="AH891" s="1074"/>
      <c r="AI891" s="1074"/>
      <c r="AJ891" s="1074"/>
      <c r="AK891" s="1074"/>
      <c r="AL891" s="1074"/>
      <c r="AM891" s="1074"/>
      <c r="AN891" s="1074"/>
      <c r="AO891" s="1074"/>
      <c r="AP891" s="1074"/>
      <c r="AQ891" s="1074"/>
      <c r="AR891" s="1074"/>
      <c r="AS891" s="1074"/>
      <c r="AT891" s="1075"/>
    </row>
    <row r="892" ht="14.25" customHeight="1">
      <c r="A892" s="1116"/>
      <c r="B892" s="1120"/>
      <c r="C892" s="1100"/>
      <c r="D892" s="1100"/>
      <c r="E892" s="1100"/>
      <c r="F892" s="1100"/>
      <c r="G892" s="1100"/>
      <c r="H892" s="1100"/>
      <c r="I892" s="1100"/>
      <c r="J892" s="1100"/>
      <c r="K892" s="1074"/>
      <c r="L892" s="1074"/>
      <c r="M892" s="1074"/>
      <c r="N892" s="1074"/>
      <c r="O892" s="1074"/>
      <c r="P892" s="1074"/>
      <c r="Q892" s="1074"/>
      <c r="R892" s="1074"/>
      <c r="S892" s="1074"/>
      <c r="T892" s="1074"/>
      <c r="U892" s="1074"/>
      <c r="V892" s="1074"/>
      <c r="W892" s="1074"/>
      <c r="X892" s="1074"/>
      <c r="Y892" s="1074"/>
      <c r="Z892" s="1074"/>
      <c r="AA892" s="1074"/>
      <c r="AB892" s="1074"/>
      <c r="AC892" s="1074"/>
      <c r="AD892" s="1074"/>
      <c r="AE892" s="1074"/>
      <c r="AF892" s="1074"/>
      <c r="AG892" s="1074"/>
      <c r="AH892" s="1074"/>
      <c r="AI892" s="1074"/>
      <c r="AJ892" s="1074"/>
      <c r="AK892" s="1074"/>
      <c r="AL892" s="1074"/>
      <c r="AM892" s="1074"/>
      <c r="AN892" s="1074"/>
      <c r="AO892" s="1074"/>
      <c r="AP892" s="1074"/>
      <c r="AQ892" s="1074"/>
      <c r="AR892" s="1074"/>
      <c r="AS892" s="1074"/>
      <c r="AT892" s="1075"/>
    </row>
    <row r="893" ht="14.25" customHeight="1">
      <c r="A893" s="1116"/>
      <c r="B893" s="1120"/>
      <c r="C893" s="1100"/>
      <c r="D893" s="1100"/>
      <c r="E893" s="1100"/>
      <c r="F893" s="1100"/>
      <c r="G893" s="1100"/>
      <c r="H893" s="1100"/>
      <c r="I893" s="1100"/>
      <c r="J893" s="1100"/>
      <c r="K893" s="1074"/>
      <c r="L893" s="1074"/>
      <c r="M893" s="1074"/>
      <c r="N893" s="1074"/>
      <c r="O893" s="1074"/>
      <c r="P893" s="1074"/>
      <c r="Q893" s="1074"/>
      <c r="R893" s="1074"/>
      <c r="S893" s="1074"/>
      <c r="T893" s="1074"/>
      <c r="U893" s="1074"/>
      <c r="V893" s="1074"/>
      <c r="W893" s="1074"/>
      <c r="X893" s="1074"/>
      <c r="Y893" s="1074"/>
      <c r="Z893" s="1074"/>
      <c r="AA893" s="1074"/>
      <c r="AB893" s="1074"/>
      <c r="AC893" s="1074"/>
      <c r="AD893" s="1074"/>
      <c r="AE893" s="1074"/>
      <c r="AF893" s="1074"/>
      <c r="AG893" s="1074"/>
      <c r="AH893" s="1074"/>
      <c r="AI893" s="1074"/>
      <c r="AJ893" s="1074"/>
      <c r="AK893" s="1074"/>
      <c r="AL893" s="1074"/>
      <c r="AM893" s="1074"/>
      <c r="AN893" s="1074"/>
      <c r="AO893" s="1074"/>
      <c r="AP893" s="1074"/>
      <c r="AQ893" s="1074"/>
      <c r="AR893" s="1074"/>
      <c r="AS893" s="1074"/>
      <c r="AT893" s="1075"/>
    </row>
    <row r="894" ht="14.25" customHeight="1">
      <c r="A894" s="1116"/>
      <c r="B894" s="1120"/>
      <c r="C894" s="1100"/>
      <c r="D894" s="1100"/>
      <c r="E894" s="1100"/>
      <c r="F894" s="1100"/>
      <c r="G894" s="1100"/>
      <c r="H894" s="1100"/>
      <c r="I894" s="1100"/>
      <c r="J894" s="1100"/>
      <c r="K894" s="1074"/>
      <c r="L894" s="1074"/>
      <c r="M894" s="1074"/>
      <c r="N894" s="1074"/>
      <c r="O894" s="1074"/>
      <c r="P894" s="1074"/>
      <c r="Q894" s="1074"/>
      <c r="R894" s="1074"/>
      <c r="S894" s="1074"/>
      <c r="T894" s="1074"/>
      <c r="U894" s="1074"/>
      <c r="V894" s="1074"/>
      <c r="W894" s="1074"/>
      <c r="X894" s="1074"/>
      <c r="Y894" s="1074"/>
      <c r="Z894" s="1074"/>
      <c r="AA894" s="1074"/>
      <c r="AB894" s="1074"/>
      <c r="AC894" s="1074"/>
      <c r="AD894" s="1074"/>
      <c r="AE894" s="1074"/>
      <c r="AF894" s="1074"/>
      <c r="AG894" s="1074"/>
      <c r="AH894" s="1074"/>
      <c r="AI894" s="1074"/>
      <c r="AJ894" s="1074"/>
      <c r="AK894" s="1074"/>
      <c r="AL894" s="1074"/>
      <c r="AM894" s="1074"/>
      <c r="AN894" s="1074"/>
      <c r="AO894" s="1074"/>
      <c r="AP894" s="1074"/>
      <c r="AQ894" s="1074"/>
      <c r="AR894" s="1074"/>
      <c r="AS894" s="1074"/>
      <c r="AT894" s="1075"/>
    </row>
    <row r="895" ht="14.25" customHeight="1">
      <c r="A895" s="1116"/>
      <c r="B895" s="1120"/>
      <c r="C895" s="1100"/>
      <c r="D895" s="1100"/>
      <c r="E895" s="1100"/>
      <c r="F895" s="1100"/>
      <c r="G895" s="1100"/>
      <c r="H895" s="1100"/>
      <c r="I895" s="1100"/>
      <c r="J895" s="1100"/>
      <c r="K895" s="1074"/>
      <c r="L895" s="1074"/>
      <c r="M895" s="1074"/>
      <c r="N895" s="1074"/>
      <c r="O895" s="1074"/>
      <c r="P895" s="1074"/>
      <c r="Q895" s="1074"/>
      <c r="R895" s="1074"/>
      <c r="S895" s="1074"/>
      <c r="T895" s="1074"/>
      <c r="U895" s="1074"/>
      <c r="V895" s="1074"/>
      <c r="W895" s="1074"/>
      <c r="X895" s="1074"/>
      <c r="Y895" s="1074"/>
      <c r="Z895" s="1074"/>
      <c r="AA895" s="1074"/>
      <c r="AB895" s="1074"/>
      <c r="AC895" s="1074"/>
      <c r="AD895" s="1074"/>
      <c r="AE895" s="1074"/>
      <c r="AF895" s="1074"/>
      <c r="AG895" s="1074"/>
      <c r="AH895" s="1074"/>
      <c r="AI895" s="1074"/>
      <c r="AJ895" s="1074"/>
      <c r="AK895" s="1074"/>
      <c r="AL895" s="1074"/>
      <c r="AM895" s="1074"/>
      <c r="AN895" s="1074"/>
      <c r="AO895" s="1074"/>
      <c r="AP895" s="1074"/>
      <c r="AQ895" s="1074"/>
      <c r="AR895" s="1074"/>
      <c r="AS895" s="1074"/>
      <c r="AT895" s="1075"/>
    </row>
    <row r="896" ht="14.25" customHeight="1">
      <c r="A896" s="1116"/>
      <c r="B896" s="1120"/>
      <c r="C896" s="1100"/>
      <c r="D896" s="1100"/>
      <c r="E896" s="1100"/>
      <c r="F896" s="1100"/>
      <c r="G896" s="1100"/>
      <c r="H896" s="1100"/>
      <c r="I896" s="1100"/>
      <c r="J896" s="1100"/>
      <c r="K896" s="1074"/>
      <c r="L896" s="1074"/>
      <c r="M896" s="1074"/>
      <c r="N896" s="1074"/>
      <c r="O896" s="1074"/>
      <c r="P896" s="1074"/>
      <c r="Q896" s="1074"/>
      <c r="R896" s="1074"/>
      <c r="S896" s="1074"/>
      <c r="T896" s="1074"/>
      <c r="U896" s="1074"/>
      <c r="V896" s="1074"/>
      <c r="W896" s="1074"/>
      <c r="X896" s="1074"/>
      <c r="Y896" s="1074"/>
      <c r="Z896" s="1074"/>
      <c r="AA896" s="1074"/>
      <c r="AB896" s="1074"/>
      <c r="AC896" s="1074"/>
      <c r="AD896" s="1074"/>
      <c r="AE896" s="1074"/>
      <c r="AF896" s="1074"/>
      <c r="AG896" s="1074"/>
      <c r="AH896" s="1074"/>
      <c r="AI896" s="1074"/>
      <c r="AJ896" s="1074"/>
      <c r="AK896" s="1074"/>
      <c r="AL896" s="1074"/>
      <c r="AM896" s="1074"/>
      <c r="AN896" s="1074"/>
      <c r="AO896" s="1074"/>
      <c r="AP896" s="1074"/>
      <c r="AQ896" s="1074"/>
      <c r="AR896" s="1074"/>
      <c r="AS896" s="1074"/>
      <c r="AT896" s="1075"/>
    </row>
    <row r="897" ht="14.25" customHeight="1">
      <c r="A897" s="1116"/>
      <c r="B897" s="1120"/>
      <c r="C897" s="1100"/>
      <c r="D897" s="1100"/>
      <c r="E897" s="1100"/>
      <c r="F897" s="1100"/>
      <c r="G897" s="1100"/>
      <c r="H897" s="1100"/>
      <c r="I897" s="1100"/>
      <c r="J897" s="1100"/>
      <c r="K897" s="1074"/>
      <c r="L897" s="1074"/>
      <c r="M897" s="1074"/>
      <c r="N897" s="1074"/>
      <c r="O897" s="1074"/>
      <c r="P897" s="1074"/>
      <c r="Q897" s="1074"/>
      <c r="R897" s="1074"/>
      <c r="S897" s="1074"/>
      <c r="T897" s="1074"/>
      <c r="U897" s="1074"/>
      <c r="V897" s="1074"/>
      <c r="W897" s="1074"/>
      <c r="X897" s="1074"/>
      <c r="Y897" s="1074"/>
      <c r="Z897" s="1074"/>
      <c r="AA897" s="1074"/>
      <c r="AB897" s="1074"/>
      <c r="AC897" s="1074"/>
      <c r="AD897" s="1074"/>
      <c r="AE897" s="1074"/>
      <c r="AF897" s="1074"/>
      <c r="AG897" s="1074"/>
      <c r="AH897" s="1074"/>
      <c r="AI897" s="1074"/>
      <c r="AJ897" s="1074"/>
      <c r="AK897" s="1074"/>
      <c r="AL897" s="1074"/>
      <c r="AM897" s="1074"/>
      <c r="AN897" s="1074"/>
      <c r="AO897" s="1074"/>
      <c r="AP897" s="1074"/>
      <c r="AQ897" s="1074"/>
      <c r="AR897" s="1074"/>
      <c r="AS897" s="1074"/>
      <c r="AT897" s="1075"/>
    </row>
    <row r="898" ht="14.25" customHeight="1">
      <c r="A898" s="1116"/>
      <c r="B898" s="1120"/>
      <c r="C898" s="1100"/>
      <c r="D898" s="1100"/>
      <c r="E898" s="1100"/>
      <c r="F898" s="1100"/>
      <c r="G898" s="1100"/>
      <c r="H898" s="1100"/>
      <c r="I898" s="1100"/>
      <c r="J898" s="1100"/>
      <c r="K898" s="1074"/>
      <c r="L898" s="1074"/>
      <c r="M898" s="1074"/>
      <c r="N898" s="1074"/>
      <c r="O898" s="1074"/>
      <c r="P898" s="1074"/>
      <c r="Q898" s="1074"/>
      <c r="R898" s="1074"/>
      <c r="S898" s="1074"/>
      <c r="T898" s="1074"/>
      <c r="U898" s="1074"/>
      <c r="V898" s="1074"/>
      <c r="W898" s="1074"/>
      <c r="X898" s="1074"/>
      <c r="Y898" s="1074"/>
      <c r="Z898" s="1074"/>
      <c r="AA898" s="1074"/>
      <c r="AB898" s="1074"/>
      <c r="AC898" s="1074"/>
      <c r="AD898" s="1074"/>
      <c r="AE898" s="1074"/>
      <c r="AF898" s="1074"/>
      <c r="AG898" s="1074"/>
      <c r="AH898" s="1074"/>
      <c r="AI898" s="1074"/>
      <c r="AJ898" s="1074"/>
      <c r="AK898" s="1074"/>
      <c r="AL898" s="1074"/>
      <c r="AM898" s="1074"/>
      <c r="AN898" s="1074"/>
      <c r="AO898" s="1074"/>
      <c r="AP898" s="1074"/>
      <c r="AQ898" s="1074"/>
      <c r="AR898" s="1074"/>
      <c r="AS898" s="1074"/>
      <c r="AT898" s="1075"/>
    </row>
    <row r="899" ht="14.25" customHeight="1">
      <c r="A899" s="1116"/>
      <c r="B899" s="1120"/>
      <c r="C899" s="1100"/>
      <c r="D899" s="1100"/>
      <c r="E899" s="1100"/>
      <c r="F899" s="1100"/>
      <c r="G899" s="1100"/>
      <c r="H899" s="1100"/>
      <c r="I899" s="1100"/>
      <c r="J899" s="1100"/>
      <c r="K899" s="1074"/>
      <c r="L899" s="1074"/>
      <c r="M899" s="1074"/>
      <c r="N899" s="1074"/>
      <c r="O899" s="1074"/>
      <c r="P899" s="1074"/>
      <c r="Q899" s="1074"/>
      <c r="R899" s="1074"/>
      <c r="S899" s="1074"/>
      <c r="T899" s="1074"/>
      <c r="U899" s="1074"/>
      <c r="V899" s="1074"/>
      <c r="W899" s="1074"/>
      <c r="X899" s="1074"/>
      <c r="Y899" s="1074"/>
      <c r="Z899" s="1074"/>
      <c r="AA899" s="1074"/>
      <c r="AB899" s="1074"/>
      <c r="AC899" s="1074"/>
      <c r="AD899" s="1074"/>
      <c r="AE899" s="1074"/>
      <c r="AF899" s="1074"/>
      <c r="AG899" s="1074"/>
      <c r="AH899" s="1074"/>
      <c r="AI899" s="1074"/>
      <c r="AJ899" s="1074"/>
      <c r="AK899" s="1074"/>
      <c r="AL899" s="1074"/>
      <c r="AM899" s="1074"/>
      <c r="AN899" s="1074"/>
      <c r="AO899" s="1074"/>
      <c r="AP899" s="1074"/>
      <c r="AQ899" s="1074"/>
      <c r="AR899" s="1074"/>
      <c r="AS899" s="1074"/>
      <c r="AT899" s="1075"/>
    </row>
    <row r="900" ht="14.25" customHeight="1">
      <c r="A900" s="1116"/>
      <c r="B900" s="1120"/>
      <c r="C900" s="1100"/>
      <c r="D900" s="1100"/>
      <c r="E900" s="1100"/>
      <c r="F900" s="1100"/>
      <c r="G900" s="1100"/>
      <c r="H900" s="1100"/>
      <c r="I900" s="1100"/>
      <c r="J900" s="1100"/>
      <c r="K900" s="1074"/>
      <c r="L900" s="1074"/>
      <c r="M900" s="1074"/>
      <c r="N900" s="1074"/>
      <c r="O900" s="1074"/>
      <c r="P900" s="1074"/>
      <c r="Q900" s="1074"/>
      <c r="R900" s="1074"/>
      <c r="S900" s="1074"/>
      <c r="T900" s="1074"/>
      <c r="U900" s="1074"/>
      <c r="V900" s="1074"/>
      <c r="W900" s="1074"/>
      <c r="X900" s="1074"/>
      <c r="Y900" s="1074"/>
      <c r="Z900" s="1074"/>
      <c r="AA900" s="1074"/>
      <c r="AB900" s="1074"/>
      <c r="AC900" s="1074"/>
      <c r="AD900" s="1074"/>
      <c r="AE900" s="1074"/>
      <c r="AF900" s="1074"/>
      <c r="AG900" s="1074"/>
      <c r="AH900" s="1074"/>
      <c r="AI900" s="1074"/>
      <c r="AJ900" s="1074"/>
      <c r="AK900" s="1074"/>
      <c r="AL900" s="1074"/>
      <c r="AM900" s="1074"/>
      <c r="AN900" s="1074"/>
      <c r="AO900" s="1074"/>
      <c r="AP900" s="1074"/>
      <c r="AQ900" s="1074"/>
      <c r="AR900" s="1074"/>
      <c r="AS900" s="1074"/>
      <c r="AT900" s="1075"/>
    </row>
    <row r="901" ht="14.25" customHeight="1">
      <c r="A901" s="1116"/>
      <c r="B901" s="1120"/>
      <c r="C901" s="1100"/>
      <c r="D901" s="1100"/>
      <c r="E901" s="1100"/>
      <c r="F901" s="1100"/>
      <c r="G901" s="1100"/>
      <c r="H901" s="1100"/>
      <c r="I901" s="1100"/>
      <c r="J901" s="1100"/>
      <c r="K901" s="1074"/>
      <c r="L901" s="1074"/>
      <c r="M901" s="1074"/>
      <c r="N901" s="1074"/>
      <c r="O901" s="1074"/>
      <c r="P901" s="1074"/>
      <c r="Q901" s="1074"/>
      <c r="R901" s="1074"/>
      <c r="S901" s="1074"/>
      <c r="T901" s="1074"/>
      <c r="U901" s="1074"/>
      <c r="V901" s="1074"/>
      <c r="W901" s="1074"/>
      <c r="X901" s="1074"/>
      <c r="Y901" s="1074"/>
      <c r="Z901" s="1074"/>
      <c r="AA901" s="1074"/>
      <c r="AB901" s="1074"/>
      <c r="AC901" s="1074"/>
      <c r="AD901" s="1074"/>
      <c r="AE901" s="1074"/>
      <c r="AF901" s="1074"/>
      <c r="AG901" s="1074"/>
      <c r="AH901" s="1074"/>
      <c r="AI901" s="1074"/>
      <c r="AJ901" s="1074"/>
      <c r="AK901" s="1074"/>
      <c r="AL901" s="1074"/>
      <c r="AM901" s="1074"/>
      <c r="AN901" s="1074"/>
      <c r="AO901" s="1074"/>
      <c r="AP901" s="1074"/>
      <c r="AQ901" s="1074"/>
      <c r="AR901" s="1074"/>
      <c r="AS901" s="1074"/>
      <c r="AT901" s="1075"/>
    </row>
    <row r="902" ht="14.25" customHeight="1">
      <c r="A902" s="1116"/>
      <c r="B902" s="1120"/>
      <c r="C902" s="1100"/>
      <c r="D902" s="1100"/>
      <c r="E902" s="1100"/>
      <c r="F902" s="1100"/>
      <c r="G902" s="1100"/>
      <c r="H902" s="1100"/>
      <c r="I902" s="1100"/>
      <c r="J902" s="1100"/>
      <c r="K902" s="1074"/>
      <c r="L902" s="1074"/>
      <c r="M902" s="1074"/>
      <c r="N902" s="1074"/>
      <c r="O902" s="1074"/>
      <c r="P902" s="1074"/>
      <c r="Q902" s="1074"/>
      <c r="R902" s="1074"/>
      <c r="S902" s="1074"/>
      <c r="T902" s="1074"/>
      <c r="U902" s="1074"/>
      <c r="V902" s="1074"/>
      <c r="W902" s="1074"/>
      <c r="X902" s="1074"/>
      <c r="Y902" s="1074"/>
      <c r="Z902" s="1074"/>
      <c r="AA902" s="1074"/>
      <c r="AB902" s="1074"/>
      <c r="AC902" s="1074"/>
      <c r="AD902" s="1074"/>
      <c r="AE902" s="1074"/>
      <c r="AF902" s="1074"/>
      <c r="AG902" s="1074"/>
      <c r="AH902" s="1074"/>
      <c r="AI902" s="1074"/>
      <c r="AJ902" s="1074"/>
      <c r="AK902" s="1074"/>
      <c r="AL902" s="1074"/>
      <c r="AM902" s="1074"/>
      <c r="AN902" s="1074"/>
      <c r="AO902" s="1074"/>
      <c r="AP902" s="1074"/>
      <c r="AQ902" s="1074"/>
      <c r="AR902" s="1074"/>
      <c r="AS902" s="1074"/>
      <c r="AT902" s="1075"/>
    </row>
    <row r="903" ht="14.25" customHeight="1">
      <c r="A903" s="1116"/>
      <c r="B903" s="1120"/>
      <c r="C903" s="1100"/>
      <c r="D903" s="1100"/>
      <c r="E903" s="1100"/>
      <c r="F903" s="1100"/>
      <c r="G903" s="1100"/>
      <c r="H903" s="1100"/>
      <c r="I903" s="1100"/>
      <c r="J903" s="1100"/>
      <c r="K903" s="1074"/>
      <c r="L903" s="1074"/>
      <c r="M903" s="1074"/>
      <c r="N903" s="1074"/>
      <c r="O903" s="1074"/>
      <c r="P903" s="1074"/>
      <c r="Q903" s="1074"/>
      <c r="R903" s="1074"/>
      <c r="S903" s="1074"/>
      <c r="T903" s="1074"/>
      <c r="U903" s="1074"/>
      <c r="V903" s="1074"/>
      <c r="W903" s="1074"/>
      <c r="X903" s="1074"/>
      <c r="Y903" s="1074"/>
      <c r="Z903" s="1074"/>
      <c r="AA903" s="1074"/>
      <c r="AB903" s="1074"/>
      <c r="AC903" s="1074"/>
      <c r="AD903" s="1074"/>
      <c r="AE903" s="1074"/>
      <c r="AF903" s="1074"/>
      <c r="AG903" s="1074"/>
      <c r="AH903" s="1074"/>
      <c r="AI903" s="1074"/>
      <c r="AJ903" s="1074"/>
      <c r="AK903" s="1074"/>
      <c r="AL903" s="1074"/>
      <c r="AM903" s="1074"/>
      <c r="AN903" s="1074"/>
      <c r="AO903" s="1074"/>
      <c r="AP903" s="1074"/>
      <c r="AQ903" s="1074"/>
      <c r="AR903" s="1074"/>
      <c r="AS903" s="1074"/>
      <c r="AT903" s="1075"/>
    </row>
    <row r="904" ht="14.25" customHeight="1">
      <c r="A904" s="1116"/>
      <c r="B904" s="1120"/>
      <c r="C904" s="1100"/>
      <c r="D904" s="1100"/>
      <c r="E904" s="1100"/>
      <c r="F904" s="1100"/>
      <c r="G904" s="1100"/>
      <c r="H904" s="1100"/>
      <c r="I904" s="1100"/>
      <c r="J904" s="1100"/>
      <c r="K904" s="1074"/>
      <c r="L904" s="1074"/>
      <c r="M904" s="1074"/>
      <c r="N904" s="1074"/>
      <c r="O904" s="1074"/>
      <c r="P904" s="1074"/>
      <c r="Q904" s="1074"/>
      <c r="R904" s="1074"/>
      <c r="S904" s="1074"/>
      <c r="T904" s="1074"/>
      <c r="U904" s="1074"/>
      <c r="V904" s="1074"/>
      <c r="W904" s="1074"/>
      <c r="X904" s="1074"/>
      <c r="Y904" s="1074"/>
      <c r="Z904" s="1074"/>
      <c r="AA904" s="1074"/>
      <c r="AB904" s="1074"/>
      <c r="AC904" s="1074"/>
      <c r="AD904" s="1074"/>
      <c r="AE904" s="1074"/>
      <c r="AF904" s="1074"/>
      <c r="AG904" s="1074"/>
      <c r="AH904" s="1074"/>
      <c r="AI904" s="1074"/>
      <c r="AJ904" s="1074"/>
      <c r="AK904" s="1074"/>
      <c r="AL904" s="1074"/>
      <c r="AM904" s="1074"/>
      <c r="AN904" s="1074"/>
      <c r="AO904" s="1074"/>
      <c r="AP904" s="1074"/>
      <c r="AQ904" s="1074"/>
      <c r="AR904" s="1074"/>
      <c r="AS904" s="1074"/>
      <c r="AT904" s="1075"/>
    </row>
    <row r="905" ht="14.25" customHeight="1">
      <c r="A905" s="1116"/>
      <c r="B905" s="1120"/>
      <c r="C905" s="1100"/>
      <c r="D905" s="1100"/>
      <c r="E905" s="1100"/>
      <c r="F905" s="1100"/>
      <c r="G905" s="1100"/>
      <c r="H905" s="1100"/>
      <c r="I905" s="1100"/>
      <c r="J905" s="1100"/>
      <c r="K905" s="1074"/>
      <c r="L905" s="1074"/>
      <c r="M905" s="1074"/>
      <c r="N905" s="1074"/>
      <c r="O905" s="1074"/>
      <c r="P905" s="1074"/>
      <c r="Q905" s="1074"/>
      <c r="R905" s="1074"/>
      <c r="S905" s="1074"/>
      <c r="T905" s="1074"/>
      <c r="U905" s="1074"/>
      <c r="V905" s="1074"/>
      <c r="W905" s="1074"/>
      <c r="X905" s="1074"/>
      <c r="Y905" s="1074"/>
      <c r="Z905" s="1074"/>
      <c r="AA905" s="1074"/>
      <c r="AB905" s="1074"/>
      <c r="AC905" s="1074"/>
      <c r="AD905" s="1074"/>
      <c r="AE905" s="1074"/>
      <c r="AF905" s="1074"/>
      <c r="AG905" s="1074"/>
      <c r="AH905" s="1074"/>
      <c r="AI905" s="1074"/>
      <c r="AJ905" s="1074"/>
      <c r="AK905" s="1074"/>
      <c r="AL905" s="1074"/>
      <c r="AM905" s="1074"/>
      <c r="AN905" s="1074"/>
      <c r="AO905" s="1074"/>
      <c r="AP905" s="1074"/>
      <c r="AQ905" s="1074"/>
      <c r="AR905" s="1074"/>
      <c r="AS905" s="1074"/>
      <c r="AT905" s="1075"/>
    </row>
    <row r="906" ht="14.25" customHeight="1">
      <c r="A906" s="1116"/>
      <c r="B906" s="1120"/>
      <c r="C906" s="1100"/>
      <c r="D906" s="1100"/>
      <c r="E906" s="1100"/>
      <c r="F906" s="1100"/>
      <c r="G906" s="1100"/>
      <c r="H906" s="1100"/>
      <c r="I906" s="1100"/>
      <c r="J906" s="1100"/>
      <c r="K906" s="1074"/>
      <c r="L906" s="1074"/>
      <c r="M906" s="1074"/>
      <c r="N906" s="1074"/>
      <c r="O906" s="1074"/>
      <c r="P906" s="1074"/>
      <c r="Q906" s="1074"/>
      <c r="R906" s="1074"/>
      <c r="S906" s="1074"/>
      <c r="T906" s="1074"/>
      <c r="U906" s="1074"/>
      <c r="V906" s="1074"/>
      <c r="W906" s="1074"/>
      <c r="X906" s="1074"/>
      <c r="Y906" s="1074"/>
      <c r="Z906" s="1074"/>
      <c r="AA906" s="1074"/>
      <c r="AB906" s="1074"/>
      <c r="AC906" s="1074"/>
      <c r="AD906" s="1074"/>
      <c r="AE906" s="1074"/>
      <c r="AF906" s="1074"/>
      <c r="AG906" s="1074"/>
      <c r="AH906" s="1074"/>
      <c r="AI906" s="1074"/>
      <c r="AJ906" s="1074"/>
      <c r="AK906" s="1074"/>
      <c r="AL906" s="1074"/>
      <c r="AM906" s="1074"/>
      <c r="AN906" s="1074"/>
      <c r="AO906" s="1074"/>
      <c r="AP906" s="1074"/>
      <c r="AQ906" s="1074"/>
      <c r="AR906" s="1074"/>
      <c r="AS906" s="1074"/>
      <c r="AT906" s="1075"/>
    </row>
    <row r="907" ht="14.25" customHeight="1">
      <c r="A907" s="1116"/>
      <c r="B907" s="1120"/>
      <c r="C907" s="1100"/>
      <c r="D907" s="1100"/>
      <c r="E907" s="1100"/>
      <c r="F907" s="1100"/>
      <c r="G907" s="1100"/>
      <c r="H907" s="1100"/>
      <c r="I907" s="1100"/>
      <c r="J907" s="1100"/>
      <c r="K907" s="1074"/>
      <c r="L907" s="1074"/>
      <c r="M907" s="1074"/>
      <c r="N907" s="1074"/>
      <c r="O907" s="1074"/>
      <c r="P907" s="1074"/>
      <c r="Q907" s="1074"/>
      <c r="R907" s="1074"/>
      <c r="S907" s="1074"/>
      <c r="T907" s="1074"/>
      <c r="U907" s="1074"/>
      <c r="V907" s="1074"/>
      <c r="W907" s="1074"/>
      <c r="X907" s="1074"/>
      <c r="Y907" s="1074"/>
      <c r="Z907" s="1074"/>
      <c r="AA907" s="1074"/>
      <c r="AB907" s="1074"/>
      <c r="AC907" s="1074"/>
      <c r="AD907" s="1074"/>
      <c r="AE907" s="1074"/>
      <c r="AF907" s="1074"/>
      <c r="AG907" s="1074"/>
      <c r="AH907" s="1074"/>
      <c r="AI907" s="1074"/>
      <c r="AJ907" s="1074"/>
      <c r="AK907" s="1074"/>
      <c r="AL907" s="1074"/>
      <c r="AM907" s="1074"/>
      <c r="AN907" s="1074"/>
      <c r="AO907" s="1074"/>
      <c r="AP907" s="1074"/>
      <c r="AQ907" s="1074"/>
      <c r="AR907" s="1074"/>
      <c r="AS907" s="1074"/>
      <c r="AT907" s="1075"/>
    </row>
    <row r="908" ht="14.25" customHeight="1">
      <c r="A908" s="1116"/>
      <c r="B908" s="1120"/>
      <c r="C908" s="1100"/>
      <c r="D908" s="1100"/>
      <c r="E908" s="1100"/>
      <c r="F908" s="1100"/>
      <c r="G908" s="1100"/>
      <c r="H908" s="1100"/>
      <c r="I908" s="1100"/>
      <c r="J908" s="1100"/>
      <c r="K908" s="1074"/>
      <c r="L908" s="1074"/>
      <c r="M908" s="1074"/>
      <c r="N908" s="1074"/>
      <c r="O908" s="1074"/>
      <c r="P908" s="1074"/>
      <c r="Q908" s="1074"/>
      <c r="R908" s="1074"/>
      <c r="S908" s="1074"/>
      <c r="T908" s="1074"/>
      <c r="U908" s="1074"/>
      <c r="V908" s="1074"/>
      <c r="W908" s="1074"/>
      <c r="X908" s="1074"/>
      <c r="Y908" s="1074"/>
      <c r="Z908" s="1074"/>
      <c r="AA908" s="1074"/>
      <c r="AB908" s="1074"/>
      <c r="AC908" s="1074"/>
      <c r="AD908" s="1074"/>
      <c r="AE908" s="1074"/>
      <c r="AF908" s="1074"/>
      <c r="AG908" s="1074"/>
      <c r="AH908" s="1074"/>
      <c r="AI908" s="1074"/>
      <c r="AJ908" s="1074"/>
      <c r="AK908" s="1074"/>
      <c r="AL908" s="1074"/>
      <c r="AM908" s="1074"/>
      <c r="AN908" s="1074"/>
      <c r="AO908" s="1074"/>
      <c r="AP908" s="1074"/>
      <c r="AQ908" s="1074"/>
      <c r="AR908" s="1074"/>
      <c r="AS908" s="1074"/>
      <c r="AT908" s="1075"/>
    </row>
    <row r="909" ht="14.25" customHeight="1">
      <c r="A909" s="1116"/>
      <c r="B909" s="1120"/>
      <c r="C909" s="1100"/>
      <c r="D909" s="1100"/>
      <c r="E909" s="1100"/>
      <c r="F909" s="1100"/>
      <c r="G909" s="1100"/>
      <c r="H909" s="1100"/>
      <c r="I909" s="1100"/>
      <c r="J909" s="1100"/>
      <c r="K909" s="1074"/>
      <c r="L909" s="1074"/>
      <c r="M909" s="1074"/>
      <c r="N909" s="1074"/>
      <c r="O909" s="1074"/>
      <c r="P909" s="1074"/>
      <c r="Q909" s="1074"/>
      <c r="R909" s="1074"/>
      <c r="S909" s="1074"/>
      <c r="T909" s="1074"/>
      <c r="U909" s="1074"/>
      <c r="V909" s="1074"/>
      <c r="W909" s="1074"/>
      <c r="X909" s="1074"/>
      <c r="Y909" s="1074"/>
      <c r="Z909" s="1074"/>
      <c r="AA909" s="1074"/>
      <c r="AB909" s="1074"/>
      <c r="AC909" s="1074"/>
      <c r="AD909" s="1074"/>
      <c r="AE909" s="1074"/>
      <c r="AF909" s="1074"/>
      <c r="AG909" s="1074"/>
      <c r="AH909" s="1074"/>
      <c r="AI909" s="1074"/>
      <c r="AJ909" s="1074"/>
      <c r="AK909" s="1074"/>
      <c r="AL909" s="1074"/>
      <c r="AM909" s="1074"/>
      <c r="AN909" s="1074"/>
      <c r="AO909" s="1074"/>
      <c r="AP909" s="1074"/>
      <c r="AQ909" s="1074"/>
      <c r="AR909" s="1074"/>
      <c r="AS909" s="1074"/>
      <c r="AT909" s="1075"/>
    </row>
    <row r="910" ht="14.25" customHeight="1">
      <c r="A910" s="1116"/>
      <c r="B910" s="1120"/>
      <c r="C910" s="1100"/>
      <c r="D910" s="1100"/>
      <c r="E910" s="1100"/>
      <c r="F910" s="1100"/>
      <c r="G910" s="1100"/>
      <c r="H910" s="1100"/>
      <c r="I910" s="1100"/>
      <c r="J910" s="1100"/>
      <c r="K910" s="1074"/>
      <c r="L910" s="1074"/>
      <c r="M910" s="1074"/>
      <c r="N910" s="1074"/>
      <c r="O910" s="1074"/>
      <c r="P910" s="1074"/>
      <c r="Q910" s="1074"/>
      <c r="R910" s="1074"/>
      <c r="S910" s="1074"/>
      <c r="T910" s="1074"/>
      <c r="U910" s="1074"/>
      <c r="V910" s="1074"/>
      <c r="W910" s="1074"/>
      <c r="X910" s="1074"/>
      <c r="Y910" s="1074"/>
      <c r="Z910" s="1074"/>
      <c r="AA910" s="1074"/>
      <c r="AB910" s="1074"/>
      <c r="AC910" s="1074"/>
      <c r="AD910" s="1074"/>
      <c r="AE910" s="1074"/>
      <c r="AF910" s="1074"/>
      <c r="AG910" s="1074"/>
      <c r="AH910" s="1074"/>
      <c r="AI910" s="1074"/>
      <c r="AJ910" s="1074"/>
      <c r="AK910" s="1074"/>
      <c r="AL910" s="1074"/>
      <c r="AM910" s="1074"/>
      <c r="AN910" s="1074"/>
      <c r="AO910" s="1074"/>
      <c r="AP910" s="1074"/>
      <c r="AQ910" s="1074"/>
      <c r="AR910" s="1074"/>
      <c r="AS910" s="1074"/>
      <c r="AT910" s="1075"/>
    </row>
    <row r="911" ht="14.25" customHeight="1">
      <c r="A911" s="1116"/>
      <c r="B911" s="1120"/>
      <c r="C911" s="1100"/>
      <c r="D911" s="1100"/>
      <c r="E911" s="1100"/>
      <c r="F911" s="1100"/>
      <c r="G911" s="1100"/>
      <c r="H911" s="1100"/>
      <c r="I911" s="1100"/>
      <c r="J911" s="1100"/>
      <c r="K911" s="1074"/>
      <c r="L911" s="1074"/>
      <c r="M911" s="1074"/>
      <c r="N911" s="1074"/>
      <c r="O911" s="1074"/>
      <c r="P911" s="1074"/>
      <c r="Q911" s="1074"/>
      <c r="R911" s="1074"/>
      <c r="S911" s="1074"/>
      <c r="T911" s="1074"/>
      <c r="U911" s="1074"/>
      <c r="V911" s="1074"/>
      <c r="W911" s="1074"/>
      <c r="X911" s="1074"/>
      <c r="Y911" s="1074"/>
      <c r="Z911" s="1074"/>
      <c r="AA911" s="1074"/>
      <c r="AB911" s="1074"/>
      <c r="AC911" s="1074"/>
      <c r="AD911" s="1074"/>
      <c r="AE911" s="1074"/>
      <c r="AF911" s="1074"/>
      <c r="AG911" s="1074"/>
      <c r="AH911" s="1074"/>
      <c r="AI911" s="1074"/>
      <c r="AJ911" s="1074"/>
      <c r="AK911" s="1074"/>
      <c r="AL911" s="1074"/>
      <c r="AM911" s="1074"/>
      <c r="AN911" s="1074"/>
      <c r="AO911" s="1074"/>
      <c r="AP911" s="1074"/>
      <c r="AQ911" s="1074"/>
      <c r="AR911" s="1074"/>
      <c r="AS911" s="1074"/>
      <c r="AT911" s="1075"/>
    </row>
    <row r="912" ht="14.25" customHeight="1">
      <c r="A912" s="1116"/>
      <c r="B912" s="1120"/>
      <c r="C912" s="1100"/>
      <c r="D912" s="1100"/>
      <c r="E912" s="1100"/>
      <c r="F912" s="1100"/>
      <c r="G912" s="1100"/>
      <c r="H912" s="1100"/>
      <c r="I912" s="1100"/>
      <c r="J912" s="1100"/>
      <c r="K912" s="1074"/>
      <c r="L912" s="1074"/>
      <c r="M912" s="1074"/>
      <c r="N912" s="1074"/>
      <c r="O912" s="1074"/>
      <c r="P912" s="1074"/>
      <c r="Q912" s="1074"/>
      <c r="R912" s="1074"/>
      <c r="S912" s="1074"/>
      <c r="T912" s="1074"/>
      <c r="U912" s="1074"/>
      <c r="V912" s="1074"/>
      <c r="W912" s="1074"/>
      <c r="X912" s="1074"/>
      <c r="Y912" s="1074"/>
      <c r="Z912" s="1074"/>
      <c r="AA912" s="1074"/>
      <c r="AB912" s="1074"/>
      <c r="AC912" s="1074"/>
      <c r="AD912" s="1074"/>
      <c r="AE912" s="1074"/>
      <c r="AF912" s="1074"/>
      <c r="AG912" s="1074"/>
      <c r="AH912" s="1074"/>
      <c r="AI912" s="1074"/>
      <c r="AJ912" s="1074"/>
      <c r="AK912" s="1074"/>
      <c r="AL912" s="1074"/>
      <c r="AM912" s="1074"/>
      <c r="AN912" s="1074"/>
      <c r="AO912" s="1074"/>
      <c r="AP912" s="1074"/>
      <c r="AQ912" s="1074"/>
      <c r="AR912" s="1074"/>
      <c r="AS912" s="1074"/>
      <c r="AT912" s="1075"/>
    </row>
    <row r="913" ht="14.25" customHeight="1">
      <c r="A913" s="1116"/>
      <c r="B913" s="1120"/>
      <c r="C913" s="1100"/>
      <c r="D913" s="1100"/>
      <c r="E913" s="1100"/>
      <c r="F913" s="1100"/>
      <c r="G913" s="1100"/>
      <c r="H913" s="1100"/>
      <c r="I913" s="1100"/>
      <c r="J913" s="1100"/>
      <c r="K913" s="1074"/>
      <c r="L913" s="1074"/>
      <c r="M913" s="1074"/>
      <c r="N913" s="1074"/>
      <c r="O913" s="1074"/>
      <c r="P913" s="1074"/>
      <c r="Q913" s="1074"/>
      <c r="R913" s="1074"/>
      <c r="S913" s="1074"/>
      <c r="T913" s="1074"/>
      <c r="U913" s="1074"/>
      <c r="V913" s="1074"/>
      <c r="W913" s="1074"/>
      <c r="X913" s="1074"/>
      <c r="Y913" s="1074"/>
      <c r="Z913" s="1074"/>
      <c r="AA913" s="1074"/>
      <c r="AB913" s="1074"/>
      <c r="AC913" s="1074"/>
      <c r="AD913" s="1074"/>
      <c r="AE913" s="1074"/>
      <c r="AF913" s="1074"/>
      <c r="AG913" s="1074"/>
      <c r="AH913" s="1074"/>
      <c r="AI913" s="1074"/>
      <c r="AJ913" s="1074"/>
      <c r="AK913" s="1074"/>
      <c r="AL913" s="1074"/>
      <c r="AM913" s="1074"/>
      <c r="AN913" s="1074"/>
      <c r="AO913" s="1074"/>
      <c r="AP913" s="1074"/>
      <c r="AQ913" s="1074"/>
      <c r="AR913" s="1074"/>
      <c r="AS913" s="1074"/>
      <c r="AT913" s="1075"/>
    </row>
    <row r="914" ht="14.25" customHeight="1">
      <c r="A914" s="1116"/>
      <c r="B914" s="1120"/>
      <c r="C914" s="1100"/>
      <c r="D914" s="1100"/>
      <c r="E914" s="1100"/>
      <c r="F914" s="1100"/>
      <c r="G914" s="1100"/>
      <c r="H914" s="1100"/>
      <c r="I914" s="1100"/>
      <c r="J914" s="1100"/>
      <c r="K914" s="1074"/>
      <c r="L914" s="1074"/>
      <c r="M914" s="1074"/>
      <c r="N914" s="1074"/>
      <c r="O914" s="1074"/>
      <c r="P914" s="1074"/>
      <c r="Q914" s="1074"/>
      <c r="R914" s="1074"/>
      <c r="S914" s="1074"/>
      <c r="T914" s="1074"/>
      <c r="U914" s="1074"/>
      <c r="V914" s="1074"/>
      <c r="W914" s="1074"/>
      <c r="X914" s="1074"/>
      <c r="Y914" s="1074"/>
      <c r="Z914" s="1074"/>
      <c r="AA914" s="1074"/>
      <c r="AB914" s="1074"/>
      <c r="AC914" s="1074"/>
      <c r="AD914" s="1074"/>
      <c r="AE914" s="1074"/>
      <c r="AF914" s="1074"/>
      <c r="AG914" s="1074"/>
      <c r="AH914" s="1074"/>
      <c r="AI914" s="1074"/>
      <c r="AJ914" s="1074"/>
      <c r="AK914" s="1074"/>
      <c r="AL914" s="1074"/>
      <c r="AM914" s="1074"/>
      <c r="AN914" s="1074"/>
      <c r="AO914" s="1074"/>
      <c r="AP914" s="1074"/>
      <c r="AQ914" s="1074"/>
      <c r="AR914" s="1074"/>
      <c r="AS914" s="1074"/>
      <c r="AT914" s="1075"/>
    </row>
    <row r="915" ht="14.25" customHeight="1">
      <c r="A915" s="1116"/>
      <c r="B915" s="1120"/>
      <c r="C915" s="1100"/>
      <c r="D915" s="1100"/>
      <c r="E915" s="1100"/>
      <c r="F915" s="1100"/>
      <c r="G915" s="1100"/>
      <c r="H915" s="1100"/>
      <c r="I915" s="1100"/>
      <c r="J915" s="1100"/>
      <c r="K915" s="1074"/>
      <c r="L915" s="1074"/>
      <c r="M915" s="1074"/>
      <c r="N915" s="1074"/>
      <c r="O915" s="1074"/>
      <c r="P915" s="1074"/>
      <c r="Q915" s="1074"/>
      <c r="R915" s="1074"/>
      <c r="S915" s="1074"/>
      <c r="T915" s="1074"/>
      <c r="U915" s="1074"/>
      <c r="V915" s="1074"/>
      <c r="W915" s="1074"/>
      <c r="X915" s="1074"/>
      <c r="Y915" s="1074"/>
      <c r="Z915" s="1074"/>
      <c r="AA915" s="1074"/>
      <c r="AB915" s="1074"/>
      <c r="AC915" s="1074"/>
      <c r="AD915" s="1074"/>
      <c r="AE915" s="1074"/>
      <c r="AF915" s="1074"/>
      <c r="AG915" s="1074"/>
      <c r="AH915" s="1074"/>
      <c r="AI915" s="1074"/>
      <c r="AJ915" s="1074"/>
      <c r="AK915" s="1074"/>
      <c r="AL915" s="1074"/>
      <c r="AM915" s="1074"/>
      <c r="AN915" s="1074"/>
      <c r="AO915" s="1074"/>
      <c r="AP915" s="1074"/>
      <c r="AQ915" s="1074"/>
      <c r="AR915" s="1074"/>
      <c r="AS915" s="1074"/>
      <c r="AT915" s="1075"/>
    </row>
    <row r="916" ht="14.25" customHeight="1">
      <c r="A916" s="1116"/>
      <c r="B916" s="1120"/>
      <c r="C916" s="1100"/>
      <c r="D916" s="1100"/>
      <c r="E916" s="1100"/>
      <c r="F916" s="1100"/>
      <c r="G916" s="1100"/>
      <c r="H916" s="1100"/>
      <c r="I916" s="1100"/>
      <c r="J916" s="1100"/>
      <c r="K916" s="1074"/>
      <c r="L916" s="1074"/>
      <c r="M916" s="1074"/>
      <c r="N916" s="1074"/>
      <c r="O916" s="1074"/>
      <c r="P916" s="1074"/>
      <c r="Q916" s="1074"/>
      <c r="R916" s="1074"/>
      <c r="S916" s="1074"/>
      <c r="T916" s="1074"/>
      <c r="U916" s="1074"/>
      <c r="V916" s="1074"/>
      <c r="W916" s="1074"/>
      <c r="X916" s="1074"/>
      <c r="Y916" s="1074"/>
      <c r="Z916" s="1074"/>
      <c r="AA916" s="1074"/>
      <c r="AB916" s="1074"/>
      <c r="AC916" s="1074"/>
      <c r="AD916" s="1074"/>
      <c r="AE916" s="1074"/>
      <c r="AF916" s="1074"/>
      <c r="AG916" s="1074"/>
      <c r="AH916" s="1074"/>
      <c r="AI916" s="1074"/>
      <c r="AJ916" s="1074"/>
      <c r="AK916" s="1074"/>
      <c r="AL916" s="1074"/>
      <c r="AM916" s="1074"/>
      <c r="AN916" s="1074"/>
      <c r="AO916" s="1074"/>
      <c r="AP916" s="1074"/>
      <c r="AQ916" s="1074"/>
      <c r="AR916" s="1074"/>
      <c r="AS916" s="1074"/>
      <c r="AT916" s="1075"/>
    </row>
    <row r="917" ht="14.25" customHeight="1">
      <c r="A917" s="1116"/>
      <c r="B917" s="1120"/>
      <c r="C917" s="1100"/>
      <c r="D917" s="1100"/>
      <c r="E917" s="1100"/>
      <c r="F917" s="1100"/>
      <c r="G917" s="1100"/>
      <c r="H917" s="1100"/>
      <c r="I917" s="1100"/>
      <c r="J917" s="1100"/>
      <c r="K917" s="1074"/>
      <c r="L917" s="1074"/>
      <c r="M917" s="1074"/>
      <c r="N917" s="1074"/>
      <c r="O917" s="1074"/>
      <c r="P917" s="1074"/>
      <c r="Q917" s="1074"/>
      <c r="R917" s="1074"/>
      <c r="S917" s="1074"/>
      <c r="T917" s="1074"/>
      <c r="U917" s="1074"/>
      <c r="V917" s="1074"/>
      <c r="W917" s="1074"/>
      <c r="X917" s="1074"/>
      <c r="Y917" s="1074"/>
      <c r="Z917" s="1074"/>
      <c r="AA917" s="1074"/>
      <c r="AB917" s="1074"/>
      <c r="AC917" s="1074"/>
      <c r="AD917" s="1074"/>
      <c r="AE917" s="1074"/>
      <c r="AF917" s="1074"/>
      <c r="AG917" s="1074"/>
      <c r="AH917" s="1074"/>
      <c r="AI917" s="1074"/>
      <c r="AJ917" s="1074"/>
      <c r="AK917" s="1074"/>
      <c r="AL917" s="1074"/>
      <c r="AM917" s="1074"/>
      <c r="AN917" s="1074"/>
      <c r="AO917" s="1074"/>
      <c r="AP917" s="1074"/>
      <c r="AQ917" s="1074"/>
      <c r="AR917" s="1074"/>
      <c r="AS917" s="1074"/>
      <c r="AT917" s="1075"/>
    </row>
    <row r="918" ht="14.25" customHeight="1">
      <c r="A918" s="1116"/>
      <c r="B918" s="1120"/>
      <c r="C918" s="1100"/>
      <c r="D918" s="1100"/>
      <c r="E918" s="1100"/>
      <c r="F918" s="1100"/>
      <c r="G918" s="1100"/>
      <c r="H918" s="1100"/>
      <c r="I918" s="1100"/>
      <c r="J918" s="1100"/>
      <c r="K918" s="1074"/>
      <c r="L918" s="1074"/>
      <c r="M918" s="1074"/>
      <c r="N918" s="1074"/>
      <c r="O918" s="1074"/>
      <c r="P918" s="1074"/>
      <c r="Q918" s="1074"/>
      <c r="R918" s="1074"/>
      <c r="S918" s="1074"/>
      <c r="T918" s="1074"/>
      <c r="U918" s="1074"/>
      <c r="V918" s="1074"/>
      <c r="W918" s="1074"/>
      <c r="X918" s="1074"/>
      <c r="Y918" s="1074"/>
      <c r="Z918" s="1074"/>
      <c r="AA918" s="1074"/>
      <c r="AB918" s="1074"/>
      <c r="AC918" s="1074"/>
      <c r="AD918" s="1074"/>
      <c r="AE918" s="1074"/>
      <c r="AF918" s="1074"/>
      <c r="AG918" s="1074"/>
      <c r="AH918" s="1074"/>
      <c r="AI918" s="1074"/>
      <c r="AJ918" s="1074"/>
      <c r="AK918" s="1074"/>
      <c r="AL918" s="1074"/>
      <c r="AM918" s="1074"/>
      <c r="AN918" s="1074"/>
      <c r="AO918" s="1074"/>
      <c r="AP918" s="1074"/>
      <c r="AQ918" s="1074"/>
      <c r="AR918" s="1074"/>
      <c r="AS918" s="1074"/>
      <c r="AT918" s="1075"/>
    </row>
    <row r="919" ht="14.25" customHeight="1">
      <c r="A919" s="1116"/>
      <c r="B919" s="1120"/>
      <c r="C919" s="1100"/>
      <c r="D919" s="1100"/>
      <c r="E919" s="1100"/>
      <c r="F919" s="1100"/>
      <c r="G919" s="1100"/>
      <c r="H919" s="1100"/>
      <c r="I919" s="1100"/>
      <c r="J919" s="1100"/>
      <c r="K919" s="1074"/>
      <c r="L919" s="1074"/>
      <c r="M919" s="1074"/>
      <c r="N919" s="1074"/>
      <c r="O919" s="1074"/>
      <c r="P919" s="1074"/>
      <c r="Q919" s="1074"/>
      <c r="R919" s="1074"/>
      <c r="S919" s="1074"/>
      <c r="T919" s="1074"/>
      <c r="U919" s="1074"/>
      <c r="V919" s="1074"/>
      <c r="W919" s="1074"/>
      <c r="X919" s="1074"/>
      <c r="Y919" s="1074"/>
      <c r="Z919" s="1074"/>
      <c r="AA919" s="1074"/>
      <c r="AB919" s="1074"/>
      <c r="AC919" s="1074"/>
      <c r="AD919" s="1074"/>
      <c r="AE919" s="1074"/>
      <c r="AF919" s="1074"/>
      <c r="AG919" s="1074"/>
      <c r="AH919" s="1074"/>
      <c r="AI919" s="1074"/>
      <c r="AJ919" s="1074"/>
      <c r="AK919" s="1074"/>
      <c r="AL919" s="1074"/>
      <c r="AM919" s="1074"/>
      <c r="AN919" s="1074"/>
      <c r="AO919" s="1074"/>
      <c r="AP919" s="1074"/>
      <c r="AQ919" s="1074"/>
      <c r="AR919" s="1074"/>
      <c r="AS919" s="1074"/>
      <c r="AT919" s="1075"/>
    </row>
    <row r="920" ht="14.25" customHeight="1">
      <c r="A920" s="1116"/>
      <c r="B920" s="1120"/>
      <c r="C920" s="1100"/>
      <c r="D920" s="1100"/>
      <c r="E920" s="1100"/>
      <c r="F920" s="1100"/>
      <c r="G920" s="1100"/>
      <c r="H920" s="1100"/>
      <c r="I920" s="1100"/>
      <c r="J920" s="1100"/>
      <c r="K920" s="1074"/>
      <c r="L920" s="1074"/>
      <c r="M920" s="1074"/>
      <c r="N920" s="1074"/>
      <c r="O920" s="1074"/>
      <c r="P920" s="1074"/>
      <c r="Q920" s="1074"/>
      <c r="R920" s="1074"/>
      <c r="S920" s="1074"/>
      <c r="T920" s="1074"/>
      <c r="U920" s="1074"/>
      <c r="V920" s="1074"/>
      <c r="W920" s="1074"/>
      <c r="X920" s="1074"/>
      <c r="Y920" s="1074"/>
      <c r="Z920" s="1074"/>
      <c r="AA920" s="1074"/>
      <c r="AB920" s="1074"/>
      <c r="AC920" s="1074"/>
      <c r="AD920" s="1074"/>
      <c r="AE920" s="1074"/>
      <c r="AF920" s="1074"/>
      <c r="AG920" s="1074"/>
      <c r="AH920" s="1074"/>
      <c r="AI920" s="1074"/>
      <c r="AJ920" s="1074"/>
      <c r="AK920" s="1074"/>
      <c r="AL920" s="1074"/>
      <c r="AM920" s="1074"/>
      <c r="AN920" s="1074"/>
      <c r="AO920" s="1074"/>
      <c r="AP920" s="1074"/>
      <c r="AQ920" s="1074"/>
      <c r="AR920" s="1074"/>
      <c r="AS920" s="1074"/>
      <c r="AT920" s="1075"/>
    </row>
    <row r="921" ht="14.25" customHeight="1">
      <c r="A921" s="1116"/>
      <c r="B921" s="1120"/>
      <c r="C921" s="1100"/>
      <c r="D921" s="1100"/>
      <c r="E921" s="1100"/>
      <c r="F921" s="1100"/>
      <c r="G921" s="1100"/>
      <c r="H921" s="1100"/>
      <c r="I921" s="1100"/>
      <c r="J921" s="1100"/>
      <c r="K921" s="1074"/>
      <c r="L921" s="1074"/>
      <c r="M921" s="1074"/>
      <c r="N921" s="1074"/>
      <c r="O921" s="1074"/>
      <c r="P921" s="1074"/>
      <c r="Q921" s="1074"/>
      <c r="R921" s="1074"/>
      <c r="S921" s="1074"/>
      <c r="T921" s="1074"/>
      <c r="U921" s="1074"/>
      <c r="V921" s="1074"/>
      <c r="W921" s="1074"/>
      <c r="X921" s="1074"/>
      <c r="Y921" s="1074"/>
      <c r="Z921" s="1074"/>
      <c r="AA921" s="1074"/>
      <c r="AB921" s="1074"/>
      <c r="AC921" s="1074"/>
      <c r="AD921" s="1074"/>
      <c r="AE921" s="1074"/>
      <c r="AF921" s="1074"/>
      <c r="AG921" s="1074"/>
      <c r="AH921" s="1074"/>
      <c r="AI921" s="1074"/>
      <c r="AJ921" s="1074"/>
      <c r="AK921" s="1074"/>
      <c r="AL921" s="1074"/>
      <c r="AM921" s="1074"/>
      <c r="AN921" s="1074"/>
      <c r="AO921" s="1074"/>
      <c r="AP921" s="1074"/>
      <c r="AQ921" s="1074"/>
      <c r="AR921" s="1074"/>
      <c r="AS921" s="1074"/>
      <c r="AT921" s="1075"/>
    </row>
    <row r="922" ht="14.25" customHeight="1">
      <c r="A922" s="1116"/>
      <c r="B922" s="1120"/>
      <c r="C922" s="1100"/>
      <c r="D922" s="1100"/>
      <c r="E922" s="1100"/>
      <c r="F922" s="1100"/>
      <c r="G922" s="1100"/>
      <c r="H922" s="1100"/>
      <c r="I922" s="1100"/>
      <c r="J922" s="1100"/>
      <c r="K922" s="1074"/>
      <c r="L922" s="1074"/>
      <c r="M922" s="1074"/>
      <c r="N922" s="1074"/>
      <c r="O922" s="1074"/>
      <c r="P922" s="1074"/>
      <c r="Q922" s="1074"/>
      <c r="R922" s="1074"/>
      <c r="S922" s="1074"/>
      <c r="T922" s="1074"/>
      <c r="U922" s="1074"/>
      <c r="V922" s="1074"/>
      <c r="W922" s="1074"/>
      <c r="X922" s="1074"/>
      <c r="Y922" s="1074"/>
      <c r="Z922" s="1074"/>
      <c r="AA922" s="1074"/>
      <c r="AB922" s="1074"/>
      <c r="AC922" s="1074"/>
      <c r="AD922" s="1074"/>
      <c r="AE922" s="1074"/>
      <c r="AF922" s="1074"/>
      <c r="AG922" s="1074"/>
      <c r="AH922" s="1074"/>
      <c r="AI922" s="1074"/>
      <c r="AJ922" s="1074"/>
      <c r="AK922" s="1074"/>
      <c r="AL922" s="1074"/>
      <c r="AM922" s="1074"/>
      <c r="AN922" s="1074"/>
      <c r="AO922" s="1074"/>
      <c r="AP922" s="1074"/>
      <c r="AQ922" s="1074"/>
      <c r="AR922" s="1074"/>
      <c r="AS922" s="1074"/>
      <c r="AT922" s="1075"/>
    </row>
    <row r="923" ht="14.25" customHeight="1">
      <c r="A923" s="1116"/>
      <c r="B923" s="1120"/>
      <c r="C923" s="1100"/>
      <c r="D923" s="1100"/>
      <c r="E923" s="1100"/>
      <c r="F923" s="1100"/>
      <c r="G923" s="1100"/>
      <c r="H923" s="1100"/>
      <c r="I923" s="1100"/>
      <c r="J923" s="1100"/>
      <c r="K923" s="1074"/>
      <c r="L923" s="1074"/>
      <c r="M923" s="1074"/>
      <c r="N923" s="1074"/>
      <c r="O923" s="1074"/>
      <c r="P923" s="1074"/>
      <c r="Q923" s="1074"/>
      <c r="R923" s="1074"/>
      <c r="S923" s="1074"/>
      <c r="T923" s="1074"/>
      <c r="U923" s="1074"/>
      <c r="V923" s="1074"/>
      <c r="W923" s="1074"/>
      <c r="X923" s="1074"/>
      <c r="Y923" s="1074"/>
      <c r="Z923" s="1074"/>
      <c r="AA923" s="1074"/>
      <c r="AB923" s="1074"/>
      <c r="AC923" s="1074"/>
      <c r="AD923" s="1074"/>
      <c r="AE923" s="1074"/>
      <c r="AF923" s="1074"/>
      <c r="AG923" s="1074"/>
      <c r="AH923" s="1074"/>
      <c r="AI923" s="1074"/>
      <c r="AJ923" s="1074"/>
      <c r="AK923" s="1074"/>
      <c r="AL923" s="1074"/>
      <c r="AM923" s="1074"/>
      <c r="AN923" s="1074"/>
      <c r="AO923" s="1074"/>
      <c r="AP923" s="1074"/>
      <c r="AQ923" s="1074"/>
      <c r="AR923" s="1074"/>
      <c r="AS923" s="1074"/>
      <c r="AT923" s="1075"/>
    </row>
    <row r="924" ht="14.25" customHeight="1">
      <c r="A924" s="1116"/>
      <c r="B924" s="1120"/>
      <c r="C924" s="1100"/>
      <c r="D924" s="1100"/>
      <c r="E924" s="1100"/>
      <c r="F924" s="1100"/>
      <c r="G924" s="1100"/>
      <c r="H924" s="1100"/>
      <c r="I924" s="1100"/>
      <c r="J924" s="1100"/>
      <c r="K924" s="1074"/>
      <c r="L924" s="1074"/>
      <c r="M924" s="1074"/>
      <c r="N924" s="1074"/>
      <c r="O924" s="1074"/>
      <c r="P924" s="1074"/>
      <c r="Q924" s="1074"/>
      <c r="R924" s="1074"/>
      <c r="S924" s="1074"/>
      <c r="T924" s="1074"/>
      <c r="U924" s="1074"/>
      <c r="V924" s="1074"/>
      <c r="W924" s="1074"/>
      <c r="X924" s="1074"/>
      <c r="Y924" s="1074"/>
      <c r="Z924" s="1074"/>
      <c r="AA924" s="1074"/>
      <c r="AB924" s="1074"/>
      <c r="AC924" s="1074"/>
      <c r="AD924" s="1074"/>
      <c r="AE924" s="1074"/>
      <c r="AF924" s="1074"/>
      <c r="AG924" s="1074"/>
      <c r="AH924" s="1074"/>
      <c r="AI924" s="1074"/>
      <c r="AJ924" s="1074"/>
      <c r="AK924" s="1074"/>
      <c r="AL924" s="1074"/>
      <c r="AM924" s="1074"/>
      <c r="AN924" s="1074"/>
      <c r="AO924" s="1074"/>
      <c r="AP924" s="1074"/>
      <c r="AQ924" s="1074"/>
      <c r="AR924" s="1074"/>
      <c r="AS924" s="1074"/>
      <c r="AT924" s="1075"/>
    </row>
    <row r="925" ht="14.25" customHeight="1">
      <c r="A925" s="1116"/>
      <c r="B925" s="1120"/>
      <c r="C925" s="1100"/>
      <c r="D925" s="1100"/>
      <c r="E925" s="1100"/>
      <c r="F925" s="1100"/>
      <c r="G925" s="1100"/>
      <c r="H925" s="1100"/>
      <c r="I925" s="1100"/>
      <c r="J925" s="1100"/>
      <c r="K925" s="1074"/>
      <c r="L925" s="1074"/>
      <c r="M925" s="1074"/>
      <c r="N925" s="1074"/>
      <c r="O925" s="1074"/>
      <c r="P925" s="1074"/>
      <c r="Q925" s="1074"/>
      <c r="R925" s="1074"/>
      <c r="S925" s="1074"/>
      <c r="T925" s="1074"/>
      <c r="U925" s="1074"/>
      <c r="V925" s="1074"/>
      <c r="W925" s="1074"/>
      <c r="X925" s="1074"/>
      <c r="Y925" s="1074"/>
      <c r="Z925" s="1074"/>
      <c r="AA925" s="1074"/>
      <c r="AB925" s="1074"/>
      <c r="AC925" s="1074"/>
      <c r="AD925" s="1074"/>
      <c r="AE925" s="1074"/>
      <c r="AF925" s="1074"/>
      <c r="AG925" s="1074"/>
      <c r="AH925" s="1074"/>
      <c r="AI925" s="1074"/>
      <c r="AJ925" s="1074"/>
      <c r="AK925" s="1074"/>
      <c r="AL925" s="1074"/>
      <c r="AM925" s="1074"/>
      <c r="AN925" s="1074"/>
      <c r="AO925" s="1074"/>
      <c r="AP925" s="1074"/>
      <c r="AQ925" s="1074"/>
      <c r="AR925" s="1074"/>
      <c r="AS925" s="1074"/>
      <c r="AT925" s="1075"/>
    </row>
    <row r="926" ht="14.25" customHeight="1">
      <c r="A926" s="1116"/>
      <c r="B926" s="1120"/>
      <c r="C926" s="1100"/>
      <c r="D926" s="1100"/>
      <c r="E926" s="1100"/>
      <c r="F926" s="1100"/>
      <c r="G926" s="1100"/>
      <c r="H926" s="1100"/>
      <c r="I926" s="1100"/>
      <c r="J926" s="1100"/>
      <c r="K926" s="1074"/>
      <c r="L926" s="1074"/>
      <c r="M926" s="1074"/>
      <c r="N926" s="1074"/>
      <c r="O926" s="1074"/>
      <c r="P926" s="1074"/>
      <c r="Q926" s="1074"/>
      <c r="R926" s="1074"/>
      <c r="S926" s="1074"/>
      <c r="T926" s="1074"/>
      <c r="U926" s="1074"/>
      <c r="V926" s="1074"/>
      <c r="W926" s="1074"/>
      <c r="X926" s="1074"/>
      <c r="Y926" s="1074"/>
      <c r="Z926" s="1074"/>
      <c r="AA926" s="1074"/>
      <c r="AB926" s="1074"/>
      <c r="AC926" s="1074"/>
      <c r="AD926" s="1074"/>
      <c r="AE926" s="1074"/>
      <c r="AF926" s="1074"/>
      <c r="AG926" s="1074"/>
      <c r="AH926" s="1074"/>
      <c r="AI926" s="1074"/>
      <c r="AJ926" s="1074"/>
      <c r="AK926" s="1074"/>
      <c r="AL926" s="1074"/>
      <c r="AM926" s="1074"/>
      <c r="AN926" s="1074"/>
      <c r="AO926" s="1074"/>
      <c r="AP926" s="1074"/>
      <c r="AQ926" s="1074"/>
      <c r="AR926" s="1074"/>
      <c r="AS926" s="1074"/>
      <c r="AT926" s="1075"/>
    </row>
    <row r="927" ht="14.25" customHeight="1">
      <c r="A927" s="1116"/>
      <c r="B927" s="1120"/>
      <c r="C927" s="1100"/>
      <c r="D927" s="1100"/>
      <c r="E927" s="1100"/>
      <c r="F927" s="1100"/>
      <c r="G927" s="1100"/>
      <c r="H927" s="1100"/>
      <c r="I927" s="1100"/>
      <c r="J927" s="1100"/>
      <c r="K927" s="1074"/>
      <c r="L927" s="1074"/>
      <c r="M927" s="1074"/>
      <c r="N927" s="1074"/>
      <c r="O927" s="1074"/>
      <c r="P927" s="1074"/>
      <c r="Q927" s="1074"/>
      <c r="R927" s="1074"/>
      <c r="S927" s="1074"/>
      <c r="T927" s="1074"/>
      <c r="U927" s="1074"/>
      <c r="V927" s="1074"/>
      <c r="W927" s="1074"/>
      <c r="X927" s="1074"/>
      <c r="Y927" s="1074"/>
      <c r="Z927" s="1074"/>
      <c r="AA927" s="1074"/>
      <c r="AB927" s="1074"/>
      <c r="AC927" s="1074"/>
      <c r="AD927" s="1074"/>
      <c r="AE927" s="1074"/>
      <c r="AF927" s="1074"/>
      <c r="AG927" s="1074"/>
      <c r="AH927" s="1074"/>
      <c r="AI927" s="1074"/>
      <c r="AJ927" s="1074"/>
      <c r="AK927" s="1074"/>
      <c r="AL927" s="1074"/>
      <c r="AM927" s="1074"/>
      <c r="AN927" s="1074"/>
      <c r="AO927" s="1074"/>
      <c r="AP927" s="1074"/>
      <c r="AQ927" s="1074"/>
      <c r="AR927" s="1074"/>
      <c r="AS927" s="1074"/>
      <c r="AT927" s="1075"/>
    </row>
    <row r="928" ht="14.25" customHeight="1">
      <c r="A928" s="1116"/>
      <c r="B928" s="1120"/>
      <c r="C928" s="1100"/>
      <c r="D928" s="1100"/>
      <c r="E928" s="1100"/>
      <c r="F928" s="1100"/>
      <c r="G928" s="1100"/>
      <c r="H928" s="1100"/>
      <c r="I928" s="1100"/>
      <c r="J928" s="1100"/>
      <c r="K928" s="1074"/>
      <c r="L928" s="1074"/>
      <c r="M928" s="1074"/>
      <c r="N928" s="1074"/>
      <c r="O928" s="1074"/>
      <c r="P928" s="1074"/>
      <c r="Q928" s="1074"/>
      <c r="R928" s="1074"/>
      <c r="S928" s="1074"/>
      <c r="T928" s="1074"/>
      <c r="U928" s="1074"/>
      <c r="V928" s="1074"/>
      <c r="W928" s="1074"/>
      <c r="X928" s="1074"/>
      <c r="Y928" s="1074"/>
      <c r="Z928" s="1074"/>
      <c r="AA928" s="1074"/>
      <c r="AB928" s="1074"/>
      <c r="AC928" s="1074"/>
      <c r="AD928" s="1074"/>
      <c r="AE928" s="1074"/>
      <c r="AF928" s="1074"/>
      <c r="AG928" s="1074"/>
      <c r="AH928" s="1074"/>
      <c r="AI928" s="1074"/>
      <c r="AJ928" s="1074"/>
      <c r="AK928" s="1074"/>
      <c r="AL928" s="1074"/>
      <c r="AM928" s="1074"/>
      <c r="AN928" s="1074"/>
      <c r="AO928" s="1074"/>
      <c r="AP928" s="1074"/>
      <c r="AQ928" s="1074"/>
      <c r="AR928" s="1074"/>
      <c r="AS928" s="1074"/>
      <c r="AT928" s="1075"/>
    </row>
    <row r="929" ht="14.25" customHeight="1">
      <c r="A929" s="1116"/>
      <c r="B929" s="1120"/>
      <c r="C929" s="1100"/>
      <c r="D929" s="1100"/>
      <c r="E929" s="1100"/>
      <c r="F929" s="1100"/>
      <c r="G929" s="1100"/>
      <c r="H929" s="1100"/>
      <c r="I929" s="1100"/>
      <c r="J929" s="1100"/>
      <c r="K929" s="1074"/>
      <c r="L929" s="1074"/>
      <c r="M929" s="1074"/>
      <c r="N929" s="1074"/>
      <c r="O929" s="1074"/>
      <c r="P929" s="1074"/>
      <c r="Q929" s="1074"/>
      <c r="R929" s="1074"/>
      <c r="S929" s="1074"/>
      <c r="T929" s="1074"/>
      <c r="U929" s="1074"/>
      <c r="V929" s="1074"/>
      <c r="W929" s="1074"/>
      <c r="X929" s="1074"/>
      <c r="Y929" s="1074"/>
      <c r="Z929" s="1074"/>
      <c r="AA929" s="1074"/>
      <c r="AB929" s="1074"/>
      <c r="AC929" s="1074"/>
      <c r="AD929" s="1074"/>
      <c r="AE929" s="1074"/>
      <c r="AF929" s="1074"/>
      <c r="AG929" s="1074"/>
      <c r="AH929" s="1074"/>
      <c r="AI929" s="1074"/>
      <c r="AJ929" s="1074"/>
      <c r="AK929" s="1074"/>
      <c r="AL929" s="1074"/>
      <c r="AM929" s="1074"/>
      <c r="AN929" s="1074"/>
      <c r="AO929" s="1074"/>
      <c r="AP929" s="1074"/>
      <c r="AQ929" s="1074"/>
      <c r="AR929" s="1074"/>
      <c r="AS929" s="1074"/>
      <c r="AT929" s="1075"/>
    </row>
    <row r="930" ht="14.25" customHeight="1">
      <c r="A930" s="1116"/>
      <c r="B930" s="1120"/>
      <c r="C930" s="1100"/>
      <c r="D930" s="1100"/>
      <c r="E930" s="1100"/>
      <c r="F930" s="1100"/>
      <c r="G930" s="1100"/>
      <c r="H930" s="1100"/>
      <c r="I930" s="1100"/>
      <c r="J930" s="1100"/>
      <c r="K930" s="1074"/>
      <c r="L930" s="1074"/>
      <c r="M930" s="1074"/>
      <c r="N930" s="1074"/>
      <c r="O930" s="1074"/>
      <c r="P930" s="1074"/>
      <c r="Q930" s="1074"/>
      <c r="R930" s="1074"/>
      <c r="S930" s="1074"/>
      <c r="T930" s="1074"/>
      <c r="U930" s="1074"/>
      <c r="V930" s="1074"/>
      <c r="W930" s="1074"/>
      <c r="X930" s="1074"/>
      <c r="Y930" s="1074"/>
      <c r="Z930" s="1074"/>
      <c r="AA930" s="1074"/>
      <c r="AB930" s="1074"/>
      <c r="AC930" s="1074"/>
      <c r="AD930" s="1074"/>
      <c r="AE930" s="1074"/>
      <c r="AF930" s="1074"/>
      <c r="AG930" s="1074"/>
      <c r="AH930" s="1074"/>
      <c r="AI930" s="1074"/>
      <c r="AJ930" s="1074"/>
      <c r="AK930" s="1074"/>
      <c r="AL930" s="1074"/>
      <c r="AM930" s="1074"/>
      <c r="AN930" s="1074"/>
      <c r="AO930" s="1074"/>
      <c r="AP930" s="1074"/>
      <c r="AQ930" s="1074"/>
      <c r="AR930" s="1074"/>
      <c r="AS930" s="1074"/>
      <c r="AT930" s="1075"/>
    </row>
    <row r="931" ht="14.25" customHeight="1">
      <c r="A931" s="1116"/>
      <c r="B931" s="1120"/>
      <c r="C931" s="1100"/>
      <c r="D931" s="1100"/>
      <c r="E931" s="1100"/>
      <c r="F931" s="1100"/>
      <c r="G931" s="1100"/>
      <c r="H931" s="1100"/>
      <c r="I931" s="1100"/>
      <c r="J931" s="1100"/>
      <c r="K931" s="1074"/>
      <c r="L931" s="1074"/>
      <c r="M931" s="1074"/>
      <c r="N931" s="1074"/>
      <c r="O931" s="1074"/>
      <c r="P931" s="1074"/>
      <c r="Q931" s="1074"/>
      <c r="R931" s="1074"/>
      <c r="S931" s="1074"/>
      <c r="T931" s="1074"/>
      <c r="U931" s="1074"/>
      <c r="V931" s="1074"/>
      <c r="W931" s="1074"/>
      <c r="X931" s="1074"/>
      <c r="Y931" s="1074"/>
      <c r="Z931" s="1074"/>
      <c r="AA931" s="1074"/>
      <c r="AB931" s="1074"/>
      <c r="AC931" s="1074"/>
      <c r="AD931" s="1074"/>
      <c r="AE931" s="1074"/>
      <c r="AF931" s="1074"/>
      <c r="AG931" s="1074"/>
      <c r="AH931" s="1074"/>
      <c r="AI931" s="1074"/>
      <c r="AJ931" s="1074"/>
      <c r="AK931" s="1074"/>
      <c r="AL931" s="1074"/>
      <c r="AM931" s="1074"/>
      <c r="AN931" s="1074"/>
      <c r="AO931" s="1074"/>
      <c r="AP931" s="1074"/>
      <c r="AQ931" s="1074"/>
      <c r="AR931" s="1074"/>
      <c r="AS931" s="1074"/>
      <c r="AT931" s="1075"/>
    </row>
    <row r="932" ht="14.25" customHeight="1">
      <c r="A932" s="1116"/>
      <c r="B932" s="1120"/>
      <c r="C932" s="1100"/>
      <c r="D932" s="1100"/>
      <c r="E932" s="1100"/>
      <c r="F932" s="1100"/>
      <c r="G932" s="1100"/>
      <c r="H932" s="1100"/>
      <c r="I932" s="1100"/>
      <c r="J932" s="1100"/>
      <c r="K932" s="1074"/>
      <c r="L932" s="1074"/>
      <c r="M932" s="1074"/>
      <c r="N932" s="1074"/>
      <c r="O932" s="1074"/>
      <c r="P932" s="1074"/>
      <c r="Q932" s="1074"/>
      <c r="R932" s="1074"/>
      <c r="S932" s="1074"/>
      <c r="T932" s="1074"/>
      <c r="U932" s="1074"/>
      <c r="V932" s="1074"/>
      <c r="W932" s="1074"/>
      <c r="X932" s="1074"/>
      <c r="Y932" s="1074"/>
      <c r="Z932" s="1074"/>
      <c r="AA932" s="1074"/>
      <c r="AB932" s="1074"/>
      <c r="AC932" s="1074"/>
      <c r="AD932" s="1074"/>
      <c r="AE932" s="1074"/>
      <c r="AF932" s="1074"/>
      <c r="AG932" s="1074"/>
      <c r="AH932" s="1074"/>
      <c r="AI932" s="1074"/>
      <c r="AJ932" s="1074"/>
      <c r="AK932" s="1074"/>
      <c r="AL932" s="1074"/>
      <c r="AM932" s="1074"/>
      <c r="AN932" s="1074"/>
      <c r="AO932" s="1074"/>
      <c r="AP932" s="1074"/>
      <c r="AQ932" s="1074"/>
      <c r="AR932" s="1074"/>
      <c r="AS932" s="1074"/>
      <c r="AT932" s="1075"/>
    </row>
    <row r="933" ht="14.25" customHeight="1">
      <c r="A933" s="1116"/>
      <c r="B933" s="1120"/>
      <c r="C933" s="1100"/>
      <c r="D933" s="1100"/>
      <c r="E933" s="1100"/>
      <c r="F933" s="1100"/>
      <c r="G933" s="1100"/>
      <c r="H933" s="1100"/>
      <c r="I933" s="1100"/>
      <c r="J933" s="1100"/>
      <c r="K933" s="1074"/>
      <c r="L933" s="1074"/>
      <c r="M933" s="1074"/>
      <c r="N933" s="1074"/>
      <c r="O933" s="1074"/>
      <c r="P933" s="1074"/>
      <c r="Q933" s="1074"/>
      <c r="R933" s="1074"/>
      <c r="S933" s="1074"/>
      <c r="T933" s="1074"/>
      <c r="U933" s="1074"/>
      <c r="V933" s="1074"/>
      <c r="W933" s="1074"/>
      <c r="X933" s="1074"/>
      <c r="Y933" s="1074"/>
      <c r="Z933" s="1074"/>
      <c r="AA933" s="1074"/>
      <c r="AB933" s="1074"/>
      <c r="AC933" s="1074"/>
      <c r="AD933" s="1074"/>
      <c r="AE933" s="1074"/>
      <c r="AF933" s="1074"/>
      <c r="AG933" s="1074"/>
      <c r="AH933" s="1074"/>
      <c r="AI933" s="1074"/>
      <c r="AJ933" s="1074"/>
      <c r="AK933" s="1074"/>
      <c r="AL933" s="1074"/>
      <c r="AM933" s="1074"/>
      <c r="AN933" s="1074"/>
      <c r="AO933" s="1074"/>
      <c r="AP933" s="1074"/>
      <c r="AQ933" s="1074"/>
      <c r="AR933" s="1074"/>
      <c r="AS933" s="1074"/>
      <c r="AT933" s="1075"/>
    </row>
    <row r="934" ht="14.25" customHeight="1">
      <c r="A934" s="1116"/>
      <c r="B934" s="1120"/>
      <c r="C934" s="1100"/>
      <c r="D934" s="1100"/>
      <c r="E934" s="1100"/>
      <c r="F934" s="1100"/>
      <c r="G934" s="1100"/>
      <c r="H934" s="1100"/>
      <c r="I934" s="1100"/>
      <c r="J934" s="1100"/>
      <c r="K934" s="1074"/>
      <c r="L934" s="1074"/>
      <c r="M934" s="1074"/>
      <c r="N934" s="1074"/>
      <c r="O934" s="1074"/>
      <c r="P934" s="1074"/>
      <c r="Q934" s="1074"/>
      <c r="R934" s="1074"/>
      <c r="S934" s="1074"/>
      <c r="T934" s="1074"/>
      <c r="U934" s="1074"/>
      <c r="V934" s="1074"/>
      <c r="W934" s="1074"/>
      <c r="X934" s="1074"/>
      <c r="Y934" s="1074"/>
      <c r="Z934" s="1074"/>
      <c r="AA934" s="1074"/>
      <c r="AB934" s="1074"/>
      <c r="AC934" s="1074"/>
      <c r="AD934" s="1074"/>
      <c r="AE934" s="1074"/>
      <c r="AF934" s="1074"/>
      <c r="AG934" s="1074"/>
      <c r="AH934" s="1074"/>
      <c r="AI934" s="1074"/>
      <c r="AJ934" s="1074"/>
      <c r="AK934" s="1074"/>
      <c r="AL934" s="1074"/>
      <c r="AM934" s="1074"/>
      <c r="AN934" s="1074"/>
      <c r="AO934" s="1074"/>
      <c r="AP934" s="1074"/>
      <c r="AQ934" s="1074"/>
      <c r="AR934" s="1074"/>
      <c r="AS934" s="1074"/>
      <c r="AT934" s="1075"/>
    </row>
    <row r="935" ht="14.25" customHeight="1">
      <c r="A935" s="1116"/>
      <c r="B935" s="1120"/>
      <c r="C935" s="1100"/>
      <c r="D935" s="1100"/>
      <c r="E935" s="1100"/>
      <c r="F935" s="1100"/>
      <c r="G935" s="1100"/>
      <c r="H935" s="1100"/>
      <c r="I935" s="1100"/>
      <c r="J935" s="1100"/>
      <c r="K935" s="1074"/>
      <c r="L935" s="1074"/>
      <c r="M935" s="1074"/>
      <c r="N935" s="1074"/>
      <c r="O935" s="1074"/>
      <c r="P935" s="1074"/>
      <c r="Q935" s="1074"/>
      <c r="R935" s="1074"/>
      <c r="S935" s="1074"/>
      <c r="T935" s="1074"/>
      <c r="U935" s="1074"/>
      <c r="V935" s="1074"/>
      <c r="W935" s="1074"/>
      <c r="X935" s="1074"/>
      <c r="Y935" s="1074"/>
      <c r="Z935" s="1074"/>
      <c r="AA935" s="1074"/>
      <c r="AB935" s="1074"/>
      <c r="AC935" s="1074"/>
      <c r="AD935" s="1074"/>
      <c r="AE935" s="1074"/>
      <c r="AF935" s="1074"/>
      <c r="AG935" s="1074"/>
      <c r="AH935" s="1074"/>
      <c r="AI935" s="1074"/>
      <c r="AJ935" s="1074"/>
      <c r="AK935" s="1074"/>
      <c r="AL935" s="1074"/>
      <c r="AM935" s="1074"/>
      <c r="AN935" s="1074"/>
      <c r="AO935" s="1074"/>
      <c r="AP935" s="1074"/>
      <c r="AQ935" s="1074"/>
      <c r="AR935" s="1074"/>
      <c r="AS935" s="1074"/>
      <c r="AT935" s="1075"/>
    </row>
    <row r="936" ht="14.25" customHeight="1">
      <c r="A936" s="1116"/>
      <c r="B936" s="1120"/>
      <c r="C936" s="1100"/>
      <c r="D936" s="1100"/>
      <c r="E936" s="1100"/>
      <c r="F936" s="1100"/>
      <c r="G936" s="1100"/>
      <c r="H936" s="1100"/>
      <c r="I936" s="1100"/>
      <c r="J936" s="1100"/>
      <c r="K936" s="1074"/>
      <c r="L936" s="1074"/>
      <c r="M936" s="1074"/>
      <c r="N936" s="1074"/>
      <c r="O936" s="1074"/>
      <c r="P936" s="1074"/>
      <c r="Q936" s="1074"/>
      <c r="R936" s="1074"/>
      <c r="S936" s="1074"/>
      <c r="T936" s="1074"/>
      <c r="U936" s="1074"/>
      <c r="V936" s="1074"/>
      <c r="W936" s="1074"/>
      <c r="X936" s="1074"/>
      <c r="Y936" s="1074"/>
      <c r="Z936" s="1074"/>
      <c r="AA936" s="1074"/>
      <c r="AB936" s="1074"/>
      <c r="AC936" s="1074"/>
      <c r="AD936" s="1074"/>
      <c r="AE936" s="1074"/>
      <c r="AF936" s="1074"/>
      <c r="AG936" s="1074"/>
      <c r="AH936" s="1074"/>
      <c r="AI936" s="1074"/>
      <c r="AJ936" s="1074"/>
      <c r="AK936" s="1074"/>
      <c r="AL936" s="1074"/>
      <c r="AM936" s="1074"/>
      <c r="AN936" s="1074"/>
      <c r="AO936" s="1074"/>
      <c r="AP936" s="1074"/>
      <c r="AQ936" s="1074"/>
      <c r="AR936" s="1074"/>
      <c r="AS936" s="1074"/>
      <c r="AT936" s="1075"/>
    </row>
    <row r="937" ht="14.25" customHeight="1">
      <c r="A937" s="1116"/>
      <c r="B937" s="1120"/>
      <c r="C937" s="1100"/>
      <c r="D937" s="1100"/>
      <c r="E937" s="1100"/>
      <c r="F937" s="1100"/>
      <c r="G937" s="1100"/>
      <c r="H937" s="1100"/>
      <c r="I937" s="1100"/>
      <c r="J937" s="1100"/>
      <c r="K937" s="1074"/>
      <c r="L937" s="1074"/>
      <c r="M937" s="1074"/>
      <c r="N937" s="1074"/>
      <c r="O937" s="1074"/>
      <c r="P937" s="1074"/>
      <c r="Q937" s="1074"/>
      <c r="R937" s="1074"/>
      <c r="S937" s="1074"/>
      <c r="T937" s="1074"/>
      <c r="U937" s="1074"/>
      <c r="V937" s="1074"/>
      <c r="W937" s="1074"/>
      <c r="X937" s="1074"/>
      <c r="Y937" s="1074"/>
      <c r="Z937" s="1074"/>
      <c r="AA937" s="1074"/>
      <c r="AB937" s="1074"/>
      <c r="AC937" s="1074"/>
      <c r="AD937" s="1074"/>
      <c r="AE937" s="1074"/>
      <c r="AF937" s="1074"/>
      <c r="AG937" s="1074"/>
      <c r="AH937" s="1074"/>
      <c r="AI937" s="1074"/>
      <c r="AJ937" s="1074"/>
      <c r="AK937" s="1074"/>
      <c r="AL937" s="1074"/>
      <c r="AM937" s="1074"/>
      <c r="AN937" s="1074"/>
      <c r="AO937" s="1074"/>
      <c r="AP937" s="1074"/>
      <c r="AQ937" s="1074"/>
      <c r="AR937" s="1074"/>
      <c r="AS937" s="1074"/>
      <c r="AT937" s="1075"/>
    </row>
    <row r="938" ht="14.25" customHeight="1">
      <c r="A938" s="1116"/>
      <c r="B938" s="1120"/>
      <c r="C938" s="1100"/>
      <c r="D938" s="1100"/>
      <c r="E938" s="1100"/>
      <c r="F938" s="1100"/>
      <c r="G938" s="1100"/>
      <c r="H938" s="1100"/>
      <c r="I938" s="1100"/>
      <c r="J938" s="1100"/>
      <c r="K938" s="1074"/>
      <c r="L938" s="1074"/>
      <c r="M938" s="1074"/>
      <c r="N938" s="1074"/>
      <c r="O938" s="1074"/>
      <c r="P938" s="1074"/>
      <c r="Q938" s="1074"/>
      <c r="R938" s="1074"/>
      <c r="S938" s="1074"/>
      <c r="T938" s="1074"/>
      <c r="U938" s="1074"/>
      <c r="V938" s="1074"/>
      <c r="W938" s="1074"/>
      <c r="X938" s="1074"/>
      <c r="Y938" s="1074"/>
      <c r="Z938" s="1074"/>
      <c r="AA938" s="1074"/>
      <c r="AB938" s="1074"/>
      <c r="AC938" s="1074"/>
      <c r="AD938" s="1074"/>
      <c r="AE938" s="1074"/>
      <c r="AF938" s="1074"/>
      <c r="AG938" s="1074"/>
      <c r="AH938" s="1074"/>
      <c r="AI938" s="1074"/>
      <c r="AJ938" s="1074"/>
      <c r="AK938" s="1074"/>
      <c r="AL938" s="1074"/>
      <c r="AM938" s="1074"/>
      <c r="AN938" s="1074"/>
      <c r="AO938" s="1074"/>
      <c r="AP938" s="1074"/>
      <c r="AQ938" s="1074"/>
      <c r="AR938" s="1074"/>
      <c r="AS938" s="1074"/>
      <c r="AT938" s="1075"/>
    </row>
    <row r="939" ht="14.25" customHeight="1">
      <c r="A939" s="1116"/>
      <c r="B939" s="1120"/>
      <c r="C939" s="1100"/>
      <c r="D939" s="1100"/>
      <c r="E939" s="1100"/>
      <c r="F939" s="1100"/>
      <c r="G939" s="1100"/>
      <c r="H939" s="1100"/>
      <c r="I939" s="1100"/>
      <c r="J939" s="1100"/>
      <c r="K939" s="1074"/>
      <c r="L939" s="1074"/>
      <c r="M939" s="1074"/>
      <c r="N939" s="1074"/>
      <c r="O939" s="1074"/>
      <c r="P939" s="1074"/>
      <c r="Q939" s="1074"/>
      <c r="R939" s="1074"/>
      <c r="S939" s="1074"/>
      <c r="T939" s="1074"/>
      <c r="U939" s="1074"/>
      <c r="V939" s="1074"/>
      <c r="W939" s="1074"/>
      <c r="X939" s="1074"/>
      <c r="Y939" s="1074"/>
      <c r="Z939" s="1074"/>
      <c r="AA939" s="1074"/>
      <c r="AB939" s="1074"/>
      <c r="AC939" s="1074"/>
      <c r="AD939" s="1074"/>
      <c r="AE939" s="1074"/>
      <c r="AF939" s="1074"/>
      <c r="AG939" s="1074"/>
      <c r="AH939" s="1074"/>
      <c r="AI939" s="1074"/>
      <c r="AJ939" s="1074"/>
      <c r="AK939" s="1074"/>
      <c r="AL939" s="1074"/>
      <c r="AM939" s="1074"/>
      <c r="AN939" s="1074"/>
      <c r="AO939" s="1074"/>
      <c r="AP939" s="1074"/>
      <c r="AQ939" s="1074"/>
      <c r="AR939" s="1074"/>
      <c r="AS939" s="1074"/>
      <c r="AT939" s="1075"/>
    </row>
    <row r="940" ht="14.25" customHeight="1">
      <c r="A940" s="1116"/>
      <c r="B940" s="1120"/>
      <c r="C940" s="1100"/>
      <c r="D940" s="1100"/>
      <c r="E940" s="1100"/>
      <c r="F940" s="1100"/>
      <c r="G940" s="1100"/>
      <c r="H940" s="1100"/>
      <c r="I940" s="1100"/>
      <c r="J940" s="1100"/>
      <c r="K940" s="1074"/>
      <c r="L940" s="1074"/>
      <c r="M940" s="1074"/>
      <c r="N940" s="1074"/>
      <c r="O940" s="1074"/>
      <c r="P940" s="1074"/>
      <c r="Q940" s="1074"/>
      <c r="R940" s="1074"/>
      <c r="S940" s="1074"/>
      <c r="T940" s="1074"/>
      <c r="U940" s="1074"/>
      <c r="V940" s="1074"/>
      <c r="W940" s="1074"/>
      <c r="X940" s="1074"/>
      <c r="Y940" s="1074"/>
      <c r="Z940" s="1074"/>
      <c r="AA940" s="1074"/>
      <c r="AB940" s="1074"/>
      <c r="AC940" s="1074"/>
      <c r="AD940" s="1074"/>
      <c r="AE940" s="1074"/>
      <c r="AF940" s="1074"/>
      <c r="AG940" s="1074"/>
      <c r="AH940" s="1074"/>
      <c r="AI940" s="1074"/>
      <c r="AJ940" s="1074"/>
      <c r="AK940" s="1074"/>
      <c r="AL940" s="1074"/>
      <c r="AM940" s="1074"/>
      <c r="AN940" s="1074"/>
      <c r="AO940" s="1074"/>
      <c r="AP940" s="1074"/>
      <c r="AQ940" s="1074"/>
      <c r="AR940" s="1074"/>
      <c r="AS940" s="1074"/>
      <c r="AT940" s="1075"/>
    </row>
    <row r="941" ht="14.25" customHeight="1">
      <c r="A941" s="1116"/>
      <c r="B941" s="1120"/>
      <c r="C941" s="1100"/>
      <c r="D941" s="1100"/>
      <c r="E941" s="1100"/>
      <c r="F941" s="1100"/>
      <c r="G941" s="1100"/>
      <c r="H941" s="1100"/>
      <c r="I941" s="1100"/>
      <c r="J941" s="1100"/>
      <c r="K941" s="1074"/>
      <c r="L941" s="1074"/>
      <c r="M941" s="1074"/>
      <c r="N941" s="1074"/>
      <c r="O941" s="1074"/>
      <c r="P941" s="1074"/>
      <c r="Q941" s="1074"/>
      <c r="R941" s="1074"/>
      <c r="S941" s="1074"/>
      <c r="T941" s="1074"/>
      <c r="U941" s="1074"/>
      <c r="V941" s="1074"/>
      <c r="W941" s="1074"/>
      <c r="X941" s="1074"/>
      <c r="Y941" s="1074"/>
      <c r="Z941" s="1074"/>
      <c r="AA941" s="1074"/>
      <c r="AB941" s="1074"/>
      <c r="AC941" s="1074"/>
      <c r="AD941" s="1074"/>
      <c r="AE941" s="1074"/>
      <c r="AF941" s="1074"/>
      <c r="AG941" s="1074"/>
      <c r="AH941" s="1074"/>
      <c r="AI941" s="1074"/>
      <c r="AJ941" s="1074"/>
      <c r="AK941" s="1074"/>
      <c r="AL941" s="1074"/>
      <c r="AM941" s="1074"/>
      <c r="AN941" s="1074"/>
      <c r="AO941" s="1074"/>
      <c r="AP941" s="1074"/>
      <c r="AQ941" s="1074"/>
      <c r="AR941" s="1074"/>
      <c r="AS941" s="1074"/>
      <c r="AT941" s="1075"/>
    </row>
    <row r="942" ht="14.25" customHeight="1">
      <c r="A942" s="1116"/>
      <c r="B942" s="1120"/>
      <c r="C942" s="1100"/>
      <c r="D942" s="1100"/>
      <c r="E942" s="1100"/>
      <c r="F942" s="1100"/>
      <c r="G942" s="1100"/>
      <c r="H942" s="1100"/>
      <c r="I942" s="1100"/>
      <c r="J942" s="1100"/>
      <c r="K942" s="1074"/>
      <c r="L942" s="1074"/>
      <c r="M942" s="1074"/>
      <c r="N942" s="1074"/>
      <c r="O942" s="1074"/>
      <c r="P942" s="1074"/>
      <c r="Q942" s="1074"/>
      <c r="R942" s="1074"/>
      <c r="S942" s="1074"/>
      <c r="T942" s="1074"/>
      <c r="U942" s="1074"/>
      <c r="V942" s="1074"/>
      <c r="W942" s="1074"/>
      <c r="X942" s="1074"/>
      <c r="Y942" s="1074"/>
      <c r="Z942" s="1074"/>
      <c r="AA942" s="1074"/>
      <c r="AB942" s="1074"/>
      <c r="AC942" s="1074"/>
      <c r="AD942" s="1074"/>
      <c r="AE942" s="1074"/>
      <c r="AF942" s="1074"/>
      <c r="AG942" s="1074"/>
      <c r="AH942" s="1074"/>
      <c r="AI942" s="1074"/>
      <c r="AJ942" s="1074"/>
      <c r="AK942" s="1074"/>
      <c r="AL942" s="1074"/>
      <c r="AM942" s="1074"/>
      <c r="AN942" s="1074"/>
      <c r="AO942" s="1074"/>
      <c r="AP942" s="1074"/>
      <c r="AQ942" s="1074"/>
      <c r="AR942" s="1074"/>
      <c r="AS942" s="1074"/>
      <c r="AT942" s="1075"/>
    </row>
    <row r="943" ht="14.25" customHeight="1">
      <c r="A943" s="1116"/>
      <c r="B943" s="1120"/>
      <c r="C943" s="1100"/>
      <c r="D943" s="1100"/>
      <c r="E943" s="1100"/>
      <c r="F943" s="1100"/>
      <c r="G943" s="1100"/>
      <c r="H943" s="1100"/>
      <c r="I943" s="1100"/>
      <c r="J943" s="1100"/>
      <c r="K943" s="1074"/>
      <c r="L943" s="1074"/>
      <c r="M943" s="1074"/>
      <c r="N943" s="1074"/>
      <c r="O943" s="1074"/>
      <c r="P943" s="1074"/>
      <c r="Q943" s="1074"/>
      <c r="R943" s="1074"/>
      <c r="S943" s="1074"/>
      <c r="T943" s="1074"/>
      <c r="U943" s="1074"/>
      <c r="V943" s="1074"/>
      <c r="W943" s="1074"/>
      <c r="X943" s="1074"/>
      <c r="Y943" s="1074"/>
      <c r="Z943" s="1074"/>
      <c r="AA943" s="1074"/>
      <c r="AB943" s="1074"/>
      <c r="AC943" s="1074"/>
      <c r="AD943" s="1074"/>
      <c r="AE943" s="1074"/>
      <c r="AF943" s="1074"/>
      <c r="AG943" s="1074"/>
      <c r="AH943" s="1074"/>
      <c r="AI943" s="1074"/>
      <c r="AJ943" s="1074"/>
      <c r="AK943" s="1074"/>
      <c r="AL943" s="1074"/>
      <c r="AM943" s="1074"/>
      <c r="AN943" s="1074"/>
      <c r="AO943" s="1074"/>
      <c r="AP943" s="1074"/>
      <c r="AQ943" s="1074"/>
      <c r="AR943" s="1074"/>
      <c r="AS943" s="1074"/>
      <c r="AT943" s="1075"/>
    </row>
    <row r="944" ht="14.25" customHeight="1">
      <c r="A944" s="1116"/>
      <c r="B944" s="1120"/>
      <c r="C944" s="1100"/>
      <c r="D944" s="1100"/>
      <c r="E944" s="1100"/>
      <c r="F944" s="1100"/>
      <c r="G944" s="1100"/>
      <c r="H944" s="1100"/>
      <c r="I944" s="1100"/>
      <c r="J944" s="1100"/>
      <c r="K944" s="1074"/>
      <c r="L944" s="1074"/>
      <c r="M944" s="1074"/>
      <c r="N944" s="1074"/>
      <c r="O944" s="1074"/>
      <c r="P944" s="1074"/>
      <c r="Q944" s="1074"/>
      <c r="R944" s="1074"/>
      <c r="S944" s="1074"/>
      <c r="T944" s="1074"/>
      <c r="U944" s="1074"/>
      <c r="V944" s="1074"/>
      <c r="W944" s="1074"/>
      <c r="X944" s="1074"/>
      <c r="Y944" s="1074"/>
      <c r="Z944" s="1074"/>
      <c r="AA944" s="1074"/>
      <c r="AB944" s="1074"/>
      <c r="AC944" s="1074"/>
      <c r="AD944" s="1074"/>
      <c r="AE944" s="1074"/>
      <c r="AF944" s="1074"/>
      <c r="AG944" s="1074"/>
      <c r="AH944" s="1074"/>
      <c r="AI944" s="1074"/>
      <c r="AJ944" s="1074"/>
      <c r="AK944" s="1074"/>
      <c r="AL944" s="1074"/>
      <c r="AM944" s="1074"/>
      <c r="AN944" s="1074"/>
      <c r="AO944" s="1074"/>
      <c r="AP944" s="1074"/>
      <c r="AQ944" s="1074"/>
      <c r="AR944" s="1074"/>
      <c r="AS944" s="1074"/>
      <c r="AT944" s="1075"/>
    </row>
    <row r="945" ht="14.25" customHeight="1">
      <c r="A945" s="1116"/>
      <c r="B945" s="1120"/>
      <c r="C945" s="1100"/>
      <c r="D945" s="1100"/>
      <c r="E945" s="1100"/>
      <c r="F945" s="1100"/>
      <c r="G945" s="1100"/>
      <c r="H945" s="1100"/>
      <c r="I945" s="1100"/>
      <c r="J945" s="1100"/>
      <c r="K945" s="1074"/>
      <c r="L945" s="1074"/>
      <c r="M945" s="1074"/>
      <c r="N945" s="1074"/>
      <c r="O945" s="1074"/>
      <c r="P945" s="1074"/>
      <c r="Q945" s="1074"/>
      <c r="R945" s="1074"/>
      <c r="S945" s="1074"/>
      <c r="T945" s="1074"/>
      <c r="U945" s="1074"/>
      <c r="V945" s="1074"/>
      <c r="W945" s="1074"/>
      <c r="X945" s="1074"/>
      <c r="Y945" s="1074"/>
      <c r="Z945" s="1074"/>
      <c r="AA945" s="1074"/>
      <c r="AB945" s="1074"/>
      <c r="AC945" s="1074"/>
      <c r="AD945" s="1074"/>
      <c r="AE945" s="1074"/>
      <c r="AF945" s="1074"/>
      <c r="AG945" s="1074"/>
      <c r="AH945" s="1074"/>
      <c r="AI945" s="1074"/>
      <c r="AJ945" s="1074"/>
      <c r="AK945" s="1074"/>
      <c r="AL945" s="1074"/>
      <c r="AM945" s="1074"/>
      <c r="AN945" s="1074"/>
      <c r="AO945" s="1074"/>
      <c r="AP945" s="1074"/>
      <c r="AQ945" s="1074"/>
      <c r="AR945" s="1074"/>
      <c r="AS945" s="1074"/>
      <c r="AT945" s="1075"/>
    </row>
    <row r="946" ht="14.25" customHeight="1">
      <c r="A946" s="1116"/>
      <c r="B946" s="1120"/>
      <c r="C946" s="1100"/>
      <c r="D946" s="1100"/>
      <c r="E946" s="1100"/>
      <c r="F946" s="1100"/>
      <c r="G946" s="1100"/>
      <c r="H946" s="1100"/>
      <c r="I946" s="1100"/>
      <c r="J946" s="1100"/>
      <c r="K946" s="1074"/>
      <c r="L946" s="1074"/>
      <c r="M946" s="1074"/>
      <c r="N946" s="1074"/>
      <c r="O946" s="1074"/>
      <c r="P946" s="1074"/>
      <c r="Q946" s="1074"/>
      <c r="R946" s="1074"/>
      <c r="S946" s="1074"/>
      <c r="T946" s="1074"/>
      <c r="U946" s="1074"/>
      <c r="V946" s="1074"/>
      <c r="W946" s="1074"/>
      <c r="X946" s="1074"/>
      <c r="Y946" s="1074"/>
      <c r="Z946" s="1074"/>
      <c r="AA946" s="1074"/>
      <c r="AB946" s="1074"/>
      <c r="AC946" s="1074"/>
      <c r="AD946" s="1074"/>
      <c r="AE946" s="1074"/>
      <c r="AF946" s="1074"/>
      <c r="AG946" s="1074"/>
      <c r="AH946" s="1074"/>
      <c r="AI946" s="1074"/>
      <c r="AJ946" s="1074"/>
      <c r="AK946" s="1074"/>
      <c r="AL946" s="1074"/>
      <c r="AM946" s="1074"/>
      <c r="AN946" s="1074"/>
      <c r="AO946" s="1074"/>
      <c r="AP946" s="1074"/>
      <c r="AQ946" s="1074"/>
      <c r="AR946" s="1074"/>
      <c r="AS946" s="1074"/>
      <c r="AT946" s="1075"/>
    </row>
    <row r="947" ht="14.25" customHeight="1">
      <c r="A947" s="1116"/>
      <c r="B947" s="1120"/>
      <c r="C947" s="1100"/>
      <c r="D947" s="1100"/>
      <c r="E947" s="1100"/>
      <c r="F947" s="1100"/>
      <c r="G947" s="1100"/>
      <c r="H947" s="1100"/>
      <c r="I947" s="1100"/>
      <c r="J947" s="1100"/>
      <c r="K947" s="1074"/>
      <c r="L947" s="1074"/>
      <c r="M947" s="1074"/>
      <c r="N947" s="1074"/>
      <c r="O947" s="1074"/>
      <c r="P947" s="1074"/>
      <c r="Q947" s="1074"/>
      <c r="R947" s="1074"/>
      <c r="S947" s="1074"/>
      <c r="T947" s="1074"/>
      <c r="U947" s="1074"/>
      <c r="V947" s="1074"/>
      <c r="W947" s="1074"/>
      <c r="X947" s="1074"/>
      <c r="Y947" s="1074"/>
      <c r="Z947" s="1074"/>
      <c r="AA947" s="1074"/>
      <c r="AB947" s="1074"/>
      <c r="AC947" s="1074"/>
      <c r="AD947" s="1074"/>
      <c r="AE947" s="1074"/>
      <c r="AF947" s="1074"/>
      <c r="AG947" s="1074"/>
      <c r="AH947" s="1074"/>
      <c r="AI947" s="1074"/>
      <c r="AJ947" s="1074"/>
      <c r="AK947" s="1074"/>
      <c r="AL947" s="1074"/>
      <c r="AM947" s="1074"/>
      <c r="AN947" s="1074"/>
      <c r="AO947" s="1074"/>
      <c r="AP947" s="1074"/>
      <c r="AQ947" s="1074"/>
      <c r="AR947" s="1074"/>
      <c r="AS947" s="1074"/>
      <c r="AT947" s="1075"/>
    </row>
    <row r="948" ht="14.25" customHeight="1">
      <c r="A948" s="1116"/>
      <c r="B948" s="1120"/>
      <c r="C948" s="1100"/>
      <c r="D948" s="1100"/>
      <c r="E948" s="1100"/>
      <c r="F948" s="1100"/>
      <c r="G948" s="1100"/>
      <c r="H948" s="1100"/>
      <c r="I948" s="1100"/>
      <c r="J948" s="1100"/>
      <c r="K948" s="1074"/>
      <c r="L948" s="1074"/>
      <c r="M948" s="1074"/>
      <c r="N948" s="1074"/>
      <c r="O948" s="1074"/>
      <c r="P948" s="1074"/>
      <c r="Q948" s="1074"/>
      <c r="R948" s="1074"/>
      <c r="S948" s="1074"/>
      <c r="T948" s="1074"/>
      <c r="U948" s="1074"/>
      <c r="V948" s="1074"/>
      <c r="W948" s="1074"/>
      <c r="X948" s="1074"/>
      <c r="Y948" s="1074"/>
      <c r="Z948" s="1074"/>
      <c r="AA948" s="1074"/>
      <c r="AB948" s="1074"/>
      <c r="AC948" s="1074"/>
      <c r="AD948" s="1074"/>
      <c r="AE948" s="1074"/>
      <c r="AF948" s="1074"/>
      <c r="AG948" s="1074"/>
      <c r="AH948" s="1074"/>
      <c r="AI948" s="1074"/>
      <c r="AJ948" s="1074"/>
      <c r="AK948" s="1074"/>
      <c r="AL948" s="1074"/>
      <c r="AM948" s="1074"/>
      <c r="AN948" s="1074"/>
      <c r="AO948" s="1074"/>
      <c r="AP948" s="1074"/>
      <c r="AQ948" s="1074"/>
      <c r="AR948" s="1074"/>
      <c r="AS948" s="1074"/>
      <c r="AT948" s="1075"/>
    </row>
    <row r="949" ht="14.25" customHeight="1">
      <c r="A949" s="1116"/>
      <c r="B949" s="1120"/>
      <c r="C949" s="1100"/>
      <c r="D949" s="1100"/>
      <c r="E949" s="1100"/>
      <c r="F949" s="1100"/>
      <c r="G949" s="1100"/>
      <c r="H949" s="1100"/>
      <c r="I949" s="1100"/>
      <c r="J949" s="1100"/>
      <c r="K949" s="1074"/>
      <c r="L949" s="1074"/>
      <c r="M949" s="1074"/>
      <c r="N949" s="1074"/>
      <c r="O949" s="1074"/>
      <c r="P949" s="1074"/>
      <c r="Q949" s="1074"/>
      <c r="R949" s="1074"/>
      <c r="S949" s="1074"/>
      <c r="T949" s="1074"/>
      <c r="U949" s="1074"/>
      <c r="V949" s="1074"/>
      <c r="W949" s="1074"/>
      <c r="X949" s="1074"/>
      <c r="Y949" s="1074"/>
      <c r="Z949" s="1074"/>
      <c r="AA949" s="1074"/>
      <c r="AB949" s="1074"/>
      <c r="AC949" s="1074"/>
      <c r="AD949" s="1074"/>
      <c r="AE949" s="1074"/>
      <c r="AF949" s="1074"/>
      <c r="AG949" s="1074"/>
      <c r="AH949" s="1074"/>
      <c r="AI949" s="1074"/>
      <c r="AJ949" s="1074"/>
      <c r="AK949" s="1074"/>
      <c r="AL949" s="1074"/>
      <c r="AM949" s="1074"/>
      <c r="AN949" s="1074"/>
      <c r="AO949" s="1074"/>
      <c r="AP949" s="1074"/>
      <c r="AQ949" s="1074"/>
      <c r="AR949" s="1074"/>
      <c r="AS949" s="1074"/>
      <c r="AT949" s="1075"/>
    </row>
    <row r="950" ht="14.25" customHeight="1">
      <c r="A950" s="1116"/>
      <c r="B950" s="1120"/>
      <c r="C950" s="1100"/>
      <c r="D950" s="1100"/>
      <c r="E950" s="1100"/>
      <c r="F950" s="1100"/>
      <c r="G950" s="1100"/>
      <c r="H950" s="1100"/>
      <c r="I950" s="1100"/>
      <c r="J950" s="1100"/>
      <c r="K950" s="1074"/>
      <c r="L950" s="1074"/>
      <c r="M950" s="1074"/>
      <c r="N950" s="1074"/>
      <c r="O950" s="1074"/>
      <c r="P950" s="1074"/>
      <c r="Q950" s="1074"/>
      <c r="R950" s="1074"/>
      <c r="S950" s="1074"/>
      <c r="T950" s="1074"/>
      <c r="U950" s="1074"/>
      <c r="V950" s="1074"/>
      <c r="W950" s="1074"/>
      <c r="X950" s="1074"/>
      <c r="Y950" s="1074"/>
      <c r="Z950" s="1074"/>
      <c r="AA950" s="1074"/>
      <c r="AB950" s="1074"/>
      <c r="AC950" s="1074"/>
      <c r="AD950" s="1074"/>
      <c r="AE950" s="1074"/>
      <c r="AF950" s="1074"/>
      <c r="AG950" s="1074"/>
      <c r="AH950" s="1074"/>
      <c r="AI950" s="1074"/>
      <c r="AJ950" s="1074"/>
      <c r="AK950" s="1074"/>
      <c r="AL950" s="1074"/>
      <c r="AM950" s="1074"/>
      <c r="AN950" s="1074"/>
      <c r="AO950" s="1074"/>
      <c r="AP950" s="1074"/>
      <c r="AQ950" s="1074"/>
      <c r="AR950" s="1074"/>
      <c r="AS950" s="1074"/>
      <c r="AT950" s="1075"/>
    </row>
    <row r="951" ht="14.25" customHeight="1">
      <c r="A951" s="1116"/>
      <c r="B951" s="1120"/>
      <c r="C951" s="1100"/>
      <c r="D951" s="1100"/>
      <c r="E951" s="1100"/>
      <c r="F951" s="1100"/>
      <c r="G951" s="1100"/>
      <c r="H951" s="1100"/>
      <c r="I951" s="1100"/>
      <c r="J951" s="1100"/>
      <c r="K951" s="1074"/>
      <c r="L951" s="1074"/>
      <c r="M951" s="1074"/>
      <c r="N951" s="1074"/>
      <c r="O951" s="1074"/>
      <c r="P951" s="1074"/>
      <c r="Q951" s="1074"/>
      <c r="R951" s="1074"/>
      <c r="S951" s="1074"/>
      <c r="T951" s="1074"/>
      <c r="U951" s="1074"/>
      <c r="V951" s="1074"/>
      <c r="W951" s="1074"/>
      <c r="X951" s="1074"/>
      <c r="Y951" s="1074"/>
      <c r="Z951" s="1074"/>
      <c r="AA951" s="1074"/>
      <c r="AB951" s="1074"/>
      <c r="AC951" s="1074"/>
      <c r="AD951" s="1074"/>
      <c r="AE951" s="1074"/>
      <c r="AF951" s="1074"/>
      <c r="AG951" s="1074"/>
      <c r="AH951" s="1074"/>
      <c r="AI951" s="1074"/>
      <c r="AJ951" s="1074"/>
      <c r="AK951" s="1074"/>
      <c r="AL951" s="1074"/>
      <c r="AM951" s="1074"/>
      <c r="AN951" s="1074"/>
      <c r="AO951" s="1074"/>
      <c r="AP951" s="1074"/>
      <c r="AQ951" s="1074"/>
      <c r="AR951" s="1074"/>
      <c r="AS951" s="1074"/>
      <c r="AT951" s="1075"/>
    </row>
    <row r="952" ht="14.25" customHeight="1">
      <c r="A952" s="1116"/>
      <c r="B952" s="1120"/>
      <c r="C952" s="1100"/>
      <c r="D952" s="1100"/>
      <c r="E952" s="1100"/>
      <c r="F952" s="1100"/>
      <c r="G952" s="1100"/>
      <c r="H952" s="1100"/>
      <c r="I952" s="1100"/>
      <c r="J952" s="1100"/>
      <c r="K952" s="1074"/>
      <c r="L952" s="1074"/>
      <c r="M952" s="1074"/>
      <c r="N952" s="1074"/>
      <c r="O952" s="1074"/>
      <c r="P952" s="1074"/>
      <c r="Q952" s="1074"/>
      <c r="R952" s="1074"/>
      <c r="S952" s="1074"/>
      <c r="T952" s="1074"/>
      <c r="U952" s="1074"/>
      <c r="V952" s="1074"/>
      <c r="W952" s="1074"/>
      <c r="X952" s="1074"/>
      <c r="Y952" s="1074"/>
      <c r="Z952" s="1074"/>
      <c r="AA952" s="1074"/>
      <c r="AB952" s="1074"/>
      <c r="AC952" s="1074"/>
      <c r="AD952" s="1074"/>
      <c r="AE952" s="1074"/>
      <c r="AF952" s="1074"/>
      <c r="AG952" s="1074"/>
      <c r="AH952" s="1074"/>
      <c r="AI952" s="1074"/>
      <c r="AJ952" s="1074"/>
      <c r="AK952" s="1074"/>
      <c r="AL952" s="1074"/>
      <c r="AM952" s="1074"/>
      <c r="AN952" s="1074"/>
      <c r="AO952" s="1074"/>
      <c r="AP952" s="1074"/>
      <c r="AQ952" s="1074"/>
      <c r="AR952" s="1074"/>
      <c r="AS952" s="1074"/>
      <c r="AT952" s="1075"/>
    </row>
    <row r="953" ht="14.25" customHeight="1">
      <c r="A953" s="1116"/>
      <c r="B953" s="1120"/>
      <c r="C953" s="1100"/>
      <c r="D953" s="1100"/>
      <c r="E953" s="1100"/>
      <c r="F953" s="1100"/>
      <c r="G953" s="1100"/>
      <c r="H953" s="1100"/>
      <c r="I953" s="1100"/>
      <c r="J953" s="1100"/>
      <c r="K953" s="1074"/>
      <c r="L953" s="1074"/>
      <c r="M953" s="1074"/>
      <c r="N953" s="1074"/>
      <c r="O953" s="1074"/>
      <c r="P953" s="1074"/>
      <c r="Q953" s="1074"/>
      <c r="R953" s="1074"/>
      <c r="S953" s="1074"/>
      <c r="T953" s="1074"/>
      <c r="U953" s="1074"/>
      <c r="V953" s="1074"/>
      <c r="W953" s="1074"/>
      <c r="X953" s="1074"/>
      <c r="Y953" s="1074"/>
      <c r="Z953" s="1074"/>
      <c r="AA953" s="1074"/>
      <c r="AB953" s="1074"/>
      <c r="AC953" s="1074"/>
      <c r="AD953" s="1074"/>
      <c r="AE953" s="1074"/>
      <c r="AF953" s="1074"/>
      <c r="AG953" s="1074"/>
      <c r="AH953" s="1074"/>
      <c r="AI953" s="1074"/>
      <c r="AJ953" s="1074"/>
      <c r="AK953" s="1074"/>
      <c r="AL953" s="1074"/>
      <c r="AM953" s="1074"/>
      <c r="AN953" s="1074"/>
      <c r="AO953" s="1074"/>
      <c r="AP953" s="1074"/>
      <c r="AQ953" s="1074"/>
      <c r="AR953" s="1074"/>
      <c r="AS953" s="1074"/>
      <c r="AT953" s="1075"/>
    </row>
    <row r="954" ht="14.25" customHeight="1">
      <c r="A954" s="1116"/>
      <c r="B954" s="1120"/>
      <c r="C954" s="1100"/>
      <c r="D954" s="1100"/>
      <c r="E954" s="1100"/>
      <c r="F954" s="1100"/>
      <c r="G954" s="1100"/>
      <c r="H954" s="1100"/>
      <c r="I954" s="1100"/>
      <c r="J954" s="1100"/>
      <c r="K954" s="1074"/>
      <c r="L954" s="1074"/>
      <c r="M954" s="1074"/>
      <c r="N954" s="1074"/>
      <c r="O954" s="1074"/>
      <c r="P954" s="1074"/>
      <c r="Q954" s="1074"/>
      <c r="R954" s="1074"/>
      <c r="S954" s="1074"/>
      <c r="T954" s="1074"/>
      <c r="U954" s="1074"/>
      <c r="V954" s="1074"/>
      <c r="W954" s="1074"/>
      <c r="X954" s="1074"/>
      <c r="Y954" s="1074"/>
      <c r="Z954" s="1074"/>
      <c r="AA954" s="1074"/>
      <c r="AB954" s="1074"/>
      <c r="AC954" s="1074"/>
      <c r="AD954" s="1074"/>
      <c r="AE954" s="1074"/>
      <c r="AF954" s="1074"/>
      <c r="AG954" s="1074"/>
      <c r="AH954" s="1074"/>
      <c r="AI954" s="1074"/>
      <c r="AJ954" s="1074"/>
      <c r="AK954" s="1074"/>
      <c r="AL954" s="1074"/>
      <c r="AM954" s="1074"/>
      <c r="AN954" s="1074"/>
      <c r="AO954" s="1074"/>
      <c r="AP954" s="1074"/>
      <c r="AQ954" s="1074"/>
      <c r="AR954" s="1074"/>
      <c r="AS954" s="1074"/>
      <c r="AT954" s="1075"/>
    </row>
    <row r="955" ht="14.25" customHeight="1">
      <c r="A955" s="1116"/>
      <c r="B955" s="1120"/>
      <c r="C955" s="1100"/>
      <c r="D955" s="1100"/>
      <c r="E955" s="1100"/>
      <c r="F955" s="1100"/>
      <c r="G955" s="1100"/>
      <c r="H955" s="1100"/>
      <c r="I955" s="1100"/>
      <c r="J955" s="1100"/>
      <c r="K955" s="1074"/>
      <c r="L955" s="1074"/>
      <c r="M955" s="1074"/>
      <c r="N955" s="1074"/>
      <c r="O955" s="1074"/>
      <c r="P955" s="1074"/>
      <c r="Q955" s="1074"/>
      <c r="R955" s="1074"/>
      <c r="S955" s="1074"/>
      <c r="T955" s="1074"/>
      <c r="U955" s="1074"/>
      <c r="V955" s="1074"/>
      <c r="W955" s="1074"/>
      <c r="X955" s="1074"/>
      <c r="Y955" s="1074"/>
      <c r="Z955" s="1074"/>
      <c r="AA955" s="1074"/>
      <c r="AB955" s="1074"/>
      <c r="AC955" s="1074"/>
      <c r="AD955" s="1074"/>
      <c r="AE955" s="1074"/>
      <c r="AF955" s="1074"/>
      <c r="AG955" s="1074"/>
      <c r="AH955" s="1074"/>
      <c r="AI955" s="1074"/>
      <c r="AJ955" s="1074"/>
      <c r="AK955" s="1074"/>
      <c r="AL955" s="1074"/>
      <c r="AM955" s="1074"/>
      <c r="AN955" s="1074"/>
      <c r="AO955" s="1074"/>
      <c r="AP955" s="1074"/>
      <c r="AQ955" s="1074"/>
      <c r="AR955" s="1074"/>
      <c r="AS955" s="1074"/>
      <c r="AT955" s="1075"/>
    </row>
    <row r="956" ht="14.25" customHeight="1">
      <c r="A956" s="1116"/>
      <c r="B956" s="1120"/>
      <c r="C956" s="1100"/>
      <c r="D956" s="1100"/>
      <c r="E956" s="1100"/>
      <c r="F956" s="1100"/>
      <c r="G956" s="1100"/>
      <c r="H956" s="1100"/>
      <c r="I956" s="1100"/>
      <c r="J956" s="1100"/>
      <c r="K956" s="1074"/>
      <c r="L956" s="1074"/>
      <c r="M956" s="1074"/>
      <c r="N956" s="1074"/>
      <c r="O956" s="1074"/>
      <c r="P956" s="1074"/>
      <c r="Q956" s="1074"/>
      <c r="R956" s="1074"/>
      <c r="S956" s="1074"/>
      <c r="T956" s="1074"/>
      <c r="U956" s="1074"/>
      <c r="V956" s="1074"/>
      <c r="W956" s="1074"/>
      <c r="X956" s="1074"/>
      <c r="Y956" s="1074"/>
      <c r="Z956" s="1074"/>
      <c r="AA956" s="1074"/>
      <c r="AB956" s="1074"/>
      <c r="AC956" s="1074"/>
      <c r="AD956" s="1074"/>
      <c r="AE956" s="1074"/>
      <c r="AF956" s="1074"/>
      <c r="AG956" s="1074"/>
      <c r="AH956" s="1074"/>
      <c r="AI956" s="1074"/>
      <c r="AJ956" s="1074"/>
      <c r="AK956" s="1074"/>
      <c r="AL956" s="1074"/>
      <c r="AM956" s="1074"/>
      <c r="AN956" s="1074"/>
      <c r="AO956" s="1074"/>
      <c r="AP956" s="1074"/>
      <c r="AQ956" s="1074"/>
      <c r="AR956" s="1074"/>
      <c r="AS956" s="1074"/>
      <c r="AT956" s="1075"/>
    </row>
    <row r="957" ht="14.25" customHeight="1">
      <c r="A957" s="1116"/>
      <c r="B957" s="1120"/>
      <c r="C957" s="1100"/>
      <c r="D957" s="1100"/>
      <c r="E957" s="1100"/>
      <c r="F957" s="1100"/>
      <c r="G957" s="1100"/>
      <c r="H957" s="1100"/>
      <c r="I957" s="1100"/>
      <c r="J957" s="1100"/>
      <c r="K957" s="1074"/>
      <c r="L957" s="1074"/>
      <c r="M957" s="1074"/>
      <c r="N957" s="1074"/>
      <c r="O957" s="1074"/>
      <c r="P957" s="1074"/>
      <c r="Q957" s="1074"/>
      <c r="R957" s="1074"/>
      <c r="S957" s="1074"/>
      <c r="T957" s="1074"/>
      <c r="U957" s="1074"/>
      <c r="V957" s="1074"/>
      <c r="W957" s="1074"/>
      <c r="X957" s="1074"/>
      <c r="Y957" s="1074"/>
      <c r="Z957" s="1074"/>
      <c r="AA957" s="1074"/>
      <c r="AB957" s="1074"/>
      <c r="AC957" s="1074"/>
      <c r="AD957" s="1074"/>
      <c r="AE957" s="1074"/>
      <c r="AF957" s="1074"/>
      <c r="AG957" s="1074"/>
      <c r="AH957" s="1074"/>
      <c r="AI957" s="1074"/>
      <c r="AJ957" s="1074"/>
      <c r="AK957" s="1074"/>
      <c r="AL957" s="1074"/>
      <c r="AM957" s="1074"/>
      <c r="AN957" s="1074"/>
      <c r="AO957" s="1074"/>
      <c r="AP957" s="1074"/>
      <c r="AQ957" s="1074"/>
      <c r="AR957" s="1074"/>
      <c r="AS957" s="1074"/>
      <c r="AT957" s="1075"/>
    </row>
    <row r="958" ht="14.25" customHeight="1">
      <c r="A958" s="1116"/>
      <c r="B958" s="1120"/>
      <c r="C958" s="1100"/>
      <c r="D958" s="1100"/>
      <c r="E958" s="1100"/>
      <c r="F958" s="1100"/>
      <c r="G958" s="1100"/>
      <c r="H958" s="1100"/>
      <c r="I958" s="1100"/>
      <c r="J958" s="1100"/>
      <c r="K958" s="1074"/>
      <c r="L958" s="1074"/>
      <c r="M958" s="1074"/>
      <c r="N958" s="1074"/>
      <c r="O958" s="1074"/>
      <c r="P958" s="1074"/>
      <c r="Q958" s="1074"/>
      <c r="R958" s="1074"/>
      <c r="S958" s="1074"/>
      <c r="T958" s="1074"/>
      <c r="U958" s="1074"/>
      <c r="V958" s="1074"/>
      <c r="W958" s="1074"/>
      <c r="X958" s="1074"/>
      <c r="Y958" s="1074"/>
      <c r="Z958" s="1074"/>
      <c r="AA958" s="1074"/>
      <c r="AB958" s="1074"/>
      <c r="AC958" s="1074"/>
      <c r="AD958" s="1074"/>
      <c r="AE958" s="1074"/>
      <c r="AF958" s="1074"/>
      <c r="AG958" s="1074"/>
      <c r="AH958" s="1074"/>
      <c r="AI958" s="1074"/>
      <c r="AJ958" s="1074"/>
      <c r="AK958" s="1074"/>
      <c r="AL958" s="1074"/>
      <c r="AM958" s="1074"/>
      <c r="AN958" s="1074"/>
      <c r="AO958" s="1074"/>
      <c r="AP958" s="1074"/>
      <c r="AQ958" s="1074"/>
      <c r="AR958" s="1074"/>
      <c r="AS958" s="1074"/>
      <c r="AT958" s="1075"/>
    </row>
    <row r="959" ht="14.25" customHeight="1">
      <c r="A959" s="1116"/>
      <c r="B959" s="1120"/>
      <c r="C959" s="1100"/>
      <c r="D959" s="1100"/>
      <c r="E959" s="1100"/>
      <c r="F959" s="1100"/>
      <c r="G959" s="1100"/>
      <c r="H959" s="1100"/>
      <c r="I959" s="1100"/>
      <c r="J959" s="1100"/>
      <c r="K959" s="1074"/>
      <c r="L959" s="1074"/>
      <c r="M959" s="1074"/>
      <c r="N959" s="1074"/>
      <c r="O959" s="1074"/>
      <c r="P959" s="1074"/>
      <c r="Q959" s="1074"/>
      <c r="R959" s="1074"/>
      <c r="S959" s="1074"/>
      <c r="T959" s="1074"/>
      <c r="U959" s="1074"/>
      <c r="V959" s="1074"/>
      <c r="W959" s="1074"/>
      <c r="X959" s="1074"/>
      <c r="Y959" s="1074"/>
      <c r="Z959" s="1074"/>
      <c r="AA959" s="1074"/>
      <c r="AB959" s="1074"/>
      <c r="AC959" s="1074"/>
      <c r="AD959" s="1074"/>
      <c r="AE959" s="1074"/>
      <c r="AF959" s="1074"/>
      <c r="AG959" s="1074"/>
      <c r="AH959" s="1074"/>
      <c r="AI959" s="1074"/>
      <c r="AJ959" s="1074"/>
      <c r="AK959" s="1074"/>
      <c r="AL959" s="1074"/>
      <c r="AM959" s="1074"/>
      <c r="AN959" s="1074"/>
      <c r="AO959" s="1074"/>
      <c r="AP959" s="1074"/>
      <c r="AQ959" s="1074"/>
      <c r="AR959" s="1074"/>
      <c r="AS959" s="1074"/>
      <c r="AT959" s="1075"/>
    </row>
    <row r="960" ht="14.25" customHeight="1">
      <c r="A960" s="1116"/>
      <c r="B960" s="1120"/>
      <c r="C960" s="1100"/>
      <c r="D960" s="1100"/>
      <c r="E960" s="1100"/>
      <c r="F960" s="1100"/>
      <c r="G960" s="1100"/>
      <c r="H960" s="1100"/>
      <c r="I960" s="1100"/>
      <c r="J960" s="1100"/>
      <c r="K960" s="1074"/>
      <c r="L960" s="1074"/>
      <c r="M960" s="1074"/>
      <c r="N960" s="1074"/>
      <c r="O960" s="1074"/>
      <c r="P960" s="1074"/>
      <c r="Q960" s="1074"/>
      <c r="R960" s="1074"/>
      <c r="S960" s="1074"/>
      <c r="T960" s="1074"/>
      <c r="U960" s="1074"/>
      <c r="V960" s="1074"/>
      <c r="W960" s="1074"/>
      <c r="X960" s="1074"/>
      <c r="Y960" s="1074"/>
      <c r="Z960" s="1074"/>
      <c r="AA960" s="1074"/>
      <c r="AB960" s="1074"/>
      <c r="AC960" s="1074"/>
      <c r="AD960" s="1074"/>
      <c r="AE960" s="1074"/>
      <c r="AF960" s="1074"/>
      <c r="AG960" s="1074"/>
      <c r="AH960" s="1074"/>
      <c r="AI960" s="1074"/>
      <c r="AJ960" s="1074"/>
      <c r="AK960" s="1074"/>
      <c r="AL960" s="1074"/>
      <c r="AM960" s="1074"/>
      <c r="AN960" s="1074"/>
      <c r="AO960" s="1074"/>
      <c r="AP960" s="1074"/>
      <c r="AQ960" s="1074"/>
      <c r="AR960" s="1074"/>
      <c r="AS960" s="1074"/>
      <c r="AT960" s="1075"/>
    </row>
    <row r="961" ht="14.25" customHeight="1">
      <c r="A961" s="1116"/>
      <c r="B961" s="1120"/>
      <c r="C961" s="1100"/>
      <c r="D961" s="1100"/>
      <c r="E961" s="1100"/>
      <c r="F961" s="1100"/>
      <c r="G961" s="1100"/>
      <c r="H961" s="1100"/>
      <c r="I961" s="1100"/>
      <c r="J961" s="1100"/>
      <c r="K961" s="1074"/>
      <c r="L961" s="1074"/>
      <c r="M961" s="1074"/>
      <c r="N961" s="1074"/>
      <c r="O961" s="1074"/>
      <c r="P961" s="1074"/>
      <c r="Q961" s="1074"/>
      <c r="R961" s="1074"/>
      <c r="S961" s="1074"/>
      <c r="T961" s="1074"/>
      <c r="U961" s="1074"/>
      <c r="V961" s="1074"/>
      <c r="W961" s="1074"/>
      <c r="X961" s="1074"/>
      <c r="Y961" s="1074"/>
      <c r="Z961" s="1074"/>
      <c r="AA961" s="1074"/>
      <c r="AB961" s="1074"/>
      <c r="AC961" s="1074"/>
      <c r="AD961" s="1074"/>
      <c r="AE961" s="1074"/>
      <c r="AF961" s="1074"/>
      <c r="AG961" s="1074"/>
      <c r="AH961" s="1074"/>
      <c r="AI961" s="1074"/>
      <c r="AJ961" s="1074"/>
      <c r="AK961" s="1074"/>
      <c r="AL961" s="1074"/>
      <c r="AM961" s="1074"/>
      <c r="AN961" s="1074"/>
      <c r="AO961" s="1074"/>
      <c r="AP961" s="1074"/>
      <c r="AQ961" s="1074"/>
      <c r="AR961" s="1074"/>
      <c r="AS961" s="1074"/>
      <c r="AT961" s="1075"/>
    </row>
    <row r="962" ht="14.25" customHeight="1">
      <c r="A962" s="1116"/>
      <c r="B962" s="1120"/>
      <c r="C962" s="1100"/>
      <c r="D962" s="1100"/>
      <c r="E962" s="1100"/>
      <c r="F962" s="1100"/>
      <c r="G962" s="1100"/>
      <c r="H962" s="1100"/>
      <c r="I962" s="1100"/>
      <c r="J962" s="1100"/>
      <c r="K962" s="1074"/>
      <c r="L962" s="1074"/>
      <c r="M962" s="1074"/>
      <c r="N962" s="1074"/>
      <c r="O962" s="1074"/>
      <c r="P962" s="1074"/>
      <c r="Q962" s="1074"/>
      <c r="R962" s="1074"/>
      <c r="S962" s="1074"/>
      <c r="T962" s="1074"/>
      <c r="U962" s="1074"/>
      <c r="V962" s="1074"/>
      <c r="W962" s="1074"/>
      <c r="X962" s="1074"/>
      <c r="Y962" s="1074"/>
      <c r="Z962" s="1074"/>
      <c r="AA962" s="1074"/>
      <c r="AB962" s="1074"/>
      <c r="AC962" s="1074"/>
      <c r="AD962" s="1074"/>
      <c r="AE962" s="1074"/>
      <c r="AF962" s="1074"/>
      <c r="AG962" s="1074"/>
      <c r="AH962" s="1074"/>
      <c r="AI962" s="1074"/>
      <c r="AJ962" s="1074"/>
      <c r="AK962" s="1074"/>
      <c r="AL962" s="1074"/>
      <c r="AM962" s="1074"/>
      <c r="AN962" s="1074"/>
      <c r="AO962" s="1074"/>
      <c r="AP962" s="1074"/>
      <c r="AQ962" s="1074"/>
      <c r="AR962" s="1074"/>
      <c r="AS962" s="1074"/>
      <c r="AT962" s="1075"/>
    </row>
    <row r="963" ht="14.25" customHeight="1">
      <c r="A963" s="1116"/>
      <c r="B963" s="1120"/>
      <c r="C963" s="1100"/>
      <c r="D963" s="1100"/>
      <c r="E963" s="1100"/>
      <c r="F963" s="1100"/>
      <c r="G963" s="1100"/>
      <c r="H963" s="1100"/>
      <c r="I963" s="1100"/>
      <c r="J963" s="1100"/>
      <c r="K963" s="1074"/>
      <c r="L963" s="1074"/>
      <c r="M963" s="1074"/>
      <c r="N963" s="1074"/>
      <c r="O963" s="1074"/>
      <c r="P963" s="1074"/>
      <c r="Q963" s="1074"/>
      <c r="R963" s="1074"/>
      <c r="S963" s="1074"/>
      <c r="T963" s="1074"/>
      <c r="U963" s="1074"/>
      <c r="V963" s="1074"/>
      <c r="W963" s="1074"/>
      <c r="X963" s="1074"/>
      <c r="Y963" s="1074"/>
      <c r="Z963" s="1074"/>
      <c r="AA963" s="1074"/>
      <c r="AB963" s="1074"/>
      <c r="AC963" s="1074"/>
      <c r="AD963" s="1074"/>
      <c r="AE963" s="1074"/>
      <c r="AF963" s="1074"/>
      <c r="AG963" s="1074"/>
      <c r="AH963" s="1074"/>
      <c r="AI963" s="1074"/>
      <c r="AJ963" s="1074"/>
      <c r="AK963" s="1074"/>
      <c r="AL963" s="1074"/>
      <c r="AM963" s="1074"/>
      <c r="AN963" s="1074"/>
      <c r="AO963" s="1074"/>
      <c r="AP963" s="1074"/>
      <c r="AQ963" s="1074"/>
      <c r="AR963" s="1074"/>
      <c r="AS963" s="1074"/>
      <c r="AT963" s="1075"/>
    </row>
    <row r="964" ht="14.25" customHeight="1">
      <c r="A964" s="1116"/>
      <c r="B964" s="1120"/>
      <c r="C964" s="1100"/>
      <c r="D964" s="1100"/>
      <c r="E964" s="1100"/>
      <c r="F964" s="1100"/>
      <c r="G964" s="1100"/>
      <c r="H964" s="1100"/>
      <c r="I964" s="1100"/>
      <c r="J964" s="1100"/>
      <c r="K964" s="1074"/>
      <c r="L964" s="1074"/>
      <c r="M964" s="1074"/>
      <c r="N964" s="1074"/>
      <c r="O964" s="1074"/>
      <c r="P964" s="1074"/>
      <c r="Q964" s="1074"/>
      <c r="R964" s="1074"/>
      <c r="S964" s="1074"/>
      <c r="T964" s="1074"/>
      <c r="U964" s="1074"/>
      <c r="V964" s="1074"/>
      <c r="W964" s="1074"/>
      <c r="X964" s="1074"/>
      <c r="Y964" s="1074"/>
      <c r="Z964" s="1074"/>
      <c r="AA964" s="1074"/>
      <c r="AB964" s="1074"/>
      <c r="AC964" s="1074"/>
      <c r="AD964" s="1074"/>
      <c r="AE964" s="1074"/>
      <c r="AF964" s="1074"/>
      <c r="AG964" s="1074"/>
      <c r="AH964" s="1074"/>
      <c r="AI964" s="1074"/>
      <c r="AJ964" s="1074"/>
      <c r="AK964" s="1074"/>
      <c r="AL964" s="1074"/>
      <c r="AM964" s="1074"/>
      <c r="AN964" s="1074"/>
      <c r="AO964" s="1074"/>
      <c r="AP964" s="1074"/>
      <c r="AQ964" s="1074"/>
      <c r="AR964" s="1074"/>
      <c r="AS964" s="1074"/>
      <c r="AT964" s="1075"/>
    </row>
    <row r="965" ht="14.25" customHeight="1">
      <c r="A965" s="1116"/>
      <c r="B965" s="1120"/>
      <c r="C965" s="1100"/>
      <c r="D965" s="1100"/>
      <c r="E965" s="1100"/>
      <c r="F965" s="1100"/>
      <c r="G965" s="1100"/>
      <c r="H965" s="1100"/>
      <c r="I965" s="1100"/>
      <c r="J965" s="1100"/>
      <c r="K965" s="1074"/>
      <c r="L965" s="1074"/>
      <c r="M965" s="1074"/>
      <c r="N965" s="1074"/>
      <c r="O965" s="1074"/>
      <c r="P965" s="1074"/>
      <c r="Q965" s="1074"/>
      <c r="R965" s="1074"/>
      <c r="S965" s="1074"/>
      <c r="T965" s="1074"/>
      <c r="U965" s="1074"/>
      <c r="V965" s="1074"/>
      <c r="W965" s="1074"/>
      <c r="X965" s="1074"/>
      <c r="Y965" s="1074"/>
      <c r="Z965" s="1074"/>
      <c r="AA965" s="1074"/>
      <c r="AB965" s="1074"/>
      <c r="AC965" s="1074"/>
      <c r="AD965" s="1074"/>
      <c r="AE965" s="1074"/>
      <c r="AF965" s="1074"/>
      <c r="AG965" s="1074"/>
      <c r="AH965" s="1074"/>
      <c r="AI965" s="1074"/>
      <c r="AJ965" s="1074"/>
      <c r="AK965" s="1074"/>
      <c r="AL965" s="1074"/>
      <c r="AM965" s="1074"/>
      <c r="AN965" s="1074"/>
      <c r="AO965" s="1074"/>
      <c r="AP965" s="1074"/>
      <c r="AQ965" s="1074"/>
      <c r="AR965" s="1074"/>
      <c r="AS965" s="1074"/>
      <c r="AT965" s="1075"/>
    </row>
    <row r="966" ht="14.25" customHeight="1">
      <c r="A966" s="1116"/>
      <c r="B966" s="1120"/>
      <c r="C966" s="1100"/>
      <c r="D966" s="1100"/>
      <c r="E966" s="1100"/>
      <c r="F966" s="1100"/>
      <c r="G966" s="1100"/>
      <c r="H966" s="1100"/>
      <c r="I966" s="1100"/>
      <c r="J966" s="1100"/>
      <c r="K966" s="1074"/>
      <c r="L966" s="1074"/>
      <c r="M966" s="1074"/>
      <c r="N966" s="1074"/>
      <c r="O966" s="1074"/>
      <c r="P966" s="1074"/>
      <c r="Q966" s="1074"/>
      <c r="R966" s="1074"/>
      <c r="S966" s="1074"/>
      <c r="T966" s="1074"/>
      <c r="U966" s="1074"/>
      <c r="V966" s="1074"/>
      <c r="W966" s="1074"/>
      <c r="X966" s="1074"/>
      <c r="Y966" s="1074"/>
      <c r="Z966" s="1074"/>
      <c r="AA966" s="1074"/>
      <c r="AB966" s="1074"/>
      <c r="AC966" s="1074"/>
      <c r="AD966" s="1074"/>
      <c r="AE966" s="1074"/>
      <c r="AF966" s="1074"/>
      <c r="AG966" s="1074"/>
      <c r="AH966" s="1074"/>
      <c r="AI966" s="1074"/>
      <c r="AJ966" s="1074"/>
      <c r="AK966" s="1074"/>
      <c r="AL966" s="1074"/>
      <c r="AM966" s="1074"/>
      <c r="AN966" s="1074"/>
      <c r="AO966" s="1074"/>
      <c r="AP966" s="1074"/>
      <c r="AQ966" s="1074"/>
      <c r="AR966" s="1074"/>
      <c r="AS966" s="1074"/>
      <c r="AT966" s="1075"/>
    </row>
    <row r="967" ht="14.25" customHeight="1">
      <c r="A967" s="1116"/>
      <c r="B967" s="1120"/>
      <c r="C967" s="1100"/>
      <c r="D967" s="1100"/>
      <c r="E967" s="1100"/>
      <c r="F967" s="1100"/>
      <c r="G967" s="1100"/>
      <c r="H967" s="1100"/>
      <c r="I967" s="1100"/>
      <c r="J967" s="1100"/>
      <c r="K967" s="1074"/>
      <c r="L967" s="1074"/>
      <c r="M967" s="1074"/>
      <c r="N967" s="1074"/>
      <c r="O967" s="1074"/>
      <c r="P967" s="1074"/>
      <c r="Q967" s="1074"/>
      <c r="R967" s="1074"/>
      <c r="S967" s="1074"/>
      <c r="T967" s="1074"/>
      <c r="U967" s="1074"/>
      <c r="V967" s="1074"/>
      <c r="W967" s="1074"/>
      <c r="X967" s="1074"/>
      <c r="Y967" s="1074"/>
      <c r="Z967" s="1074"/>
      <c r="AA967" s="1074"/>
      <c r="AB967" s="1074"/>
      <c r="AC967" s="1074"/>
      <c r="AD967" s="1074"/>
      <c r="AE967" s="1074"/>
      <c r="AF967" s="1074"/>
      <c r="AG967" s="1074"/>
      <c r="AH967" s="1074"/>
      <c r="AI967" s="1074"/>
      <c r="AJ967" s="1074"/>
      <c r="AK967" s="1074"/>
      <c r="AL967" s="1074"/>
      <c r="AM967" s="1074"/>
      <c r="AN967" s="1074"/>
      <c r="AO967" s="1074"/>
      <c r="AP967" s="1074"/>
      <c r="AQ967" s="1074"/>
      <c r="AR967" s="1074"/>
      <c r="AS967" s="1074"/>
      <c r="AT967" s="1075"/>
    </row>
    <row r="968" ht="14.25" customHeight="1">
      <c r="A968" s="1116"/>
      <c r="B968" s="1120"/>
      <c r="C968" s="1100"/>
      <c r="D968" s="1100"/>
      <c r="E968" s="1100"/>
      <c r="F968" s="1100"/>
      <c r="G968" s="1100"/>
      <c r="H968" s="1100"/>
      <c r="I968" s="1100"/>
      <c r="J968" s="1100"/>
      <c r="K968" s="1074"/>
      <c r="L968" s="1074"/>
      <c r="M968" s="1074"/>
      <c r="N968" s="1074"/>
      <c r="O968" s="1074"/>
      <c r="P968" s="1074"/>
      <c r="Q968" s="1074"/>
      <c r="R968" s="1074"/>
      <c r="S968" s="1074"/>
      <c r="T968" s="1074"/>
      <c r="U968" s="1074"/>
      <c r="V968" s="1074"/>
      <c r="W968" s="1074"/>
      <c r="X968" s="1074"/>
      <c r="Y968" s="1074"/>
      <c r="Z968" s="1074"/>
      <c r="AA968" s="1074"/>
      <c r="AB968" s="1074"/>
      <c r="AC968" s="1074"/>
      <c r="AD968" s="1074"/>
      <c r="AE968" s="1074"/>
      <c r="AF968" s="1074"/>
      <c r="AG968" s="1074"/>
      <c r="AH968" s="1074"/>
      <c r="AI968" s="1074"/>
      <c r="AJ968" s="1074"/>
      <c r="AK968" s="1074"/>
      <c r="AL968" s="1074"/>
      <c r="AM968" s="1074"/>
      <c r="AN968" s="1074"/>
      <c r="AO968" s="1074"/>
      <c r="AP968" s="1074"/>
      <c r="AQ968" s="1074"/>
      <c r="AR968" s="1074"/>
      <c r="AS968" s="1074"/>
      <c r="AT968" s="1075"/>
    </row>
    <row r="969" ht="14.25" customHeight="1">
      <c r="A969" s="1116"/>
      <c r="B969" s="1120"/>
      <c r="C969" s="1100"/>
      <c r="D969" s="1100"/>
      <c r="E969" s="1100"/>
      <c r="F969" s="1100"/>
      <c r="G969" s="1100"/>
      <c r="H969" s="1100"/>
      <c r="I969" s="1100"/>
      <c r="J969" s="1100"/>
      <c r="K969" s="1074"/>
      <c r="L969" s="1074"/>
      <c r="M969" s="1074"/>
      <c r="N969" s="1074"/>
      <c r="O969" s="1074"/>
      <c r="P969" s="1074"/>
      <c r="Q969" s="1074"/>
      <c r="R969" s="1074"/>
      <c r="S969" s="1074"/>
      <c r="T969" s="1074"/>
      <c r="U969" s="1074"/>
      <c r="V969" s="1074"/>
      <c r="W969" s="1074"/>
      <c r="X969" s="1074"/>
      <c r="Y969" s="1074"/>
      <c r="Z969" s="1074"/>
      <c r="AA969" s="1074"/>
      <c r="AB969" s="1074"/>
      <c r="AC969" s="1074"/>
      <c r="AD969" s="1074"/>
      <c r="AE969" s="1074"/>
      <c r="AF969" s="1074"/>
      <c r="AG969" s="1074"/>
      <c r="AH969" s="1074"/>
      <c r="AI969" s="1074"/>
      <c r="AJ969" s="1074"/>
      <c r="AK969" s="1074"/>
      <c r="AL969" s="1074"/>
      <c r="AM969" s="1074"/>
      <c r="AN969" s="1074"/>
      <c r="AO969" s="1074"/>
      <c r="AP969" s="1074"/>
      <c r="AQ969" s="1074"/>
      <c r="AR969" s="1074"/>
      <c r="AS969" s="1074"/>
      <c r="AT969" s="1075"/>
    </row>
    <row r="970" ht="14.25" customHeight="1">
      <c r="A970" s="1116"/>
      <c r="B970" s="1120"/>
      <c r="C970" s="1100"/>
      <c r="D970" s="1100"/>
      <c r="E970" s="1100"/>
      <c r="F970" s="1100"/>
      <c r="G970" s="1100"/>
      <c r="H970" s="1100"/>
      <c r="I970" s="1100"/>
      <c r="J970" s="1100"/>
      <c r="K970" s="1074"/>
      <c r="L970" s="1074"/>
      <c r="M970" s="1074"/>
      <c r="N970" s="1074"/>
      <c r="O970" s="1074"/>
      <c r="P970" s="1074"/>
      <c r="Q970" s="1074"/>
      <c r="R970" s="1074"/>
      <c r="S970" s="1074"/>
      <c r="T970" s="1074"/>
      <c r="U970" s="1074"/>
      <c r="V970" s="1074"/>
      <c r="W970" s="1074"/>
      <c r="X970" s="1074"/>
      <c r="Y970" s="1074"/>
      <c r="Z970" s="1074"/>
      <c r="AA970" s="1074"/>
      <c r="AB970" s="1074"/>
      <c r="AC970" s="1074"/>
      <c r="AD970" s="1074"/>
      <c r="AE970" s="1074"/>
      <c r="AF970" s="1074"/>
      <c r="AG970" s="1074"/>
      <c r="AH970" s="1074"/>
      <c r="AI970" s="1074"/>
      <c r="AJ970" s="1074"/>
      <c r="AK970" s="1074"/>
      <c r="AL970" s="1074"/>
      <c r="AM970" s="1074"/>
      <c r="AN970" s="1074"/>
      <c r="AO970" s="1074"/>
      <c r="AP970" s="1074"/>
      <c r="AQ970" s="1074"/>
      <c r="AR970" s="1074"/>
      <c r="AS970" s="1074"/>
      <c r="AT970" s="1075"/>
    </row>
    <row r="971" ht="14.25" customHeight="1">
      <c r="A971" s="1116"/>
      <c r="B971" s="1120"/>
      <c r="C971" s="1100"/>
      <c r="D971" s="1100"/>
      <c r="E971" s="1100"/>
      <c r="F971" s="1100"/>
      <c r="G971" s="1100"/>
      <c r="H971" s="1100"/>
      <c r="I971" s="1100"/>
      <c r="J971" s="1100"/>
      <c r="K971" s="1074"/>
      <c r="L971" s="1074"/>
      <c r="M971" s="1074"/>
      <c r="N971" s="1074"/>
      <c r="O971" s="1074"/>
      <c r="P971" s="1074"/>
      <c r="Q971" s="1074"/>
      <c r="R971" s="1074"/>
      <c r="S971" s="1074"/>
      <c r="T971" s="1074"/>
      <c r="U971" s="1074"/>
      <c r="V971" s="1074"/>
      <c r="W971" s="1074"/>
      <c r="X971" s="1074"/>
      <c r="Y971" s="1074"/>
      <c r="Z971" s="1074"/>
      <c r="AA971" s="1074"/>
      <c r="AB971" s="1074"/>
      <c r="AC971" s="1074"/>
      <c r="AD971" s="1074"/>
      <c r="AE971" s="1074"/>
      <c r="AF971" s="1074"/>
      <c r="AG971" s="1074"/>
      <c r="AH971" s="1074"/>
      <c r="AI971" s="1074"/>
      <c r="AJ971" s="1074"/>
      <c r="AK971" s="1074"/>
      <c r="AL971" s="1074"/>
      <c r="AM971" s="1074"/>
      <c r="AN971" s="1074"/>
      <c r="AO971" s="1074"/>
      <c r="AP971" s="1074"/>
      <c r="AQ971" s="1074"/>
      <c r="AR971" s="1074"/>
      <c r="AS971" s="1074"/>
      <c r="AT971" s="1075"/>
    </row>
    <row r="972" ht="14.25" customHeight="1">
      <c r="A972" s="1116"/>
      <c r="B972" s="1120"/>
      <c r="C972" s="1100"/>
      <c r="D972" s="1100"/>
      <c r="E972" s="1100"/>
      <c r="F972" s="1100"/>
      <c r="G972" s="1100"/>
      <c r="H972" s="1100"/>
      <c r="I972" s="1100"/>
      <c r="J972" s="1100"/>
      <c r="K972" s="1074"/>
      <c r="L972" s="1074"/>
      <c r="M972" s="1074"/>
      <c r="N972" s="1074"/>
      <c r="O972" s="1074"/>
      <c r="P972" s="1074"/>
      <c r="Q972" s="1074"/>
      <c r="R972" s="1074"/>
      <c r="S972" s="1074"/>
      <c r="T972" s="1074"/>
      <c r="U972" s="1074"/>
      <c r="V972" s="1074"/>
      <c r="W972" s="1074"/>
      <c r="X972" s="1074"/>
      <c r="Y972" s="1074"/>
      <c r="Z972" s="1074"/>
      <c r="AA972" s="1074"/>
      <c r="AB972" s="1074"/>
      <c r="AC972" s="1074"/>
      <c r="AD972" s="1074"/>
      <c r="AE972" s="1074"/>
      <c r="AF972" s="1074"/>
      <c r="AG972" s="1074"/>
      <c r="AH972" s="1074"/>
      <c r="AI972" s="1074"/>
      <c r="AJ972" s="1074"/>
      <c r="AK972" s="1074"/>
      <c r="AL972" s="1074"/>
      <c r="AM972" s="1074"/>
      <c r="AN972" s="1074"/>
      <c r="AO972" s="1074"/>
      <c r="AP972" s="1074"/>
      <c r="AQ972" s="1074"/>
      <c r="AR972" s="1074"/>
      <c r="AS972" s="1074"/>
      <c r="AT972" s="1075"/>
    </row>
    <row r="973" ht="14.25" customHeight="1">
      <c r="A973" s="1116"/>
      <c r="B973" s="1120"/>
      <c r="C973" s="1100"/>
      <c r="D973" s="1100"/>
      <c r="E973" s="1100"/>
      <c r="F973" s="1100"/>
      <c r="G973" s="1100"/>
      <c r="H973" s="1100"/>
      <c r="I973" s="1100"/>
      <c r="J973" s="1100"/>
      <c r="K973" s="1074"/>
      <c r="L973" s="1074"/>
      <c r="M973" s="1074"/>
      <c r="N973" s="1074"/>
      <c r="O973" s="1074"/>
      <c r="P973" s="1074"/>
      <c r="Q973" s="1074"/>
      <c r="R973" s="1074"/>
      <c r="S973" s="1074"/>
      <c r="T973" s="1074"/>
      <c r="U973" s="1074"/>
      <c r="V973" s="1074"/>
      <c r="W973" s="1074"/>
      <c r="X973" s="1074"/>
      <c r="Y973" s="1074"/>
      <c r="Z973" s="1074"/>
      <c r="AA973" s="1074"/>
      <c r="AB973" s="1074"/>
      <c r="AC973" s="1074"/>
      <c r="AD973" s="1074"/>
      <c r="AE973" s="1074"/>
      <c r="AF973" s="1074"/>
      <c r="AG973" s="1074"/>
      <c r="AH973" s="1074"/>
      <c r="AI973" s="1074"/>
      <c r="AJ973" s="1074"/>
      <c r="AK973" s="1074"/>
      <c r="AL973" s="1074"/>
      <c r="AM973" s="1074"/>
      <c r="AN973" s="1074"/>
      <c r="AO973" s="1074"/>
      <c r="AP973" s="1074"/>
      <c r="AQ973" s="1074"/>
      <c r="AR973" s="1074"/>
      <c r="AS973" s="1074"/>
      <c r="AT973" s="1075"/>
    </row>
    <row r="974" ht="14.25" customHeight="1">
      <c r="A974" s="1116"/>
      <c r="B974" s="1120"/>
      <c r="C974" s="1100"/>
      <c r="D974" s="1100"/>
      <c r="E974" s="1100"/>
      <c r="F974" s="1100"/>
      <c r="G974" s="1100"/>
      <c r="H974" s="1100"/>
      <c r="I974" s="1100"/>
      <c r="J974" s="1100"/>
      <c r="K974" s="1074"/>
      <c r="L974" s="1074"/>
      <c r="M974" s="1074"/>
      <c r="N974" s="1074"/>
      <c r="O974" s="1074"/>
      <c r="P974" s="1074"/>
      <c r="Q974" s="1074"/>
      <c r="R974" s="1074"/>
      <c r="S974" s="1074"/>
      <c r="T974" s="1074"/>
      <c r="U974" s="1074"/>
      <c r="V974" s="1074"/>
      <c r="W974" s="1074"/>
      <c r="X974" s="1074"/>
      <c r="Y974" s="1074"/>
      <c r="Z974" s="1074"/>
      <c r="AA974" s="1074"/>
      <c r="AB974" s="1074"/>
      <c r="AC974" s="1074"/>
      <c r="AD974" s="1074"/>
      <c r="AE974" s="1074"/>
      <c r="AF974" s="1074"/>
      <c r="AG974" s="1074"/>
      <c r="AH974" s="1074"/>
      <c r="AI974" s="1074"/>
      <c r="AJ974" s="1074"/>
      <c r="AK974" s="1074"/>
      <c r="AL974" s="1074"/>
      <c r="AM974" s="1074"/>
      <c r="AN974" s="1074"/>
      <c r="AO974" s="1074"/>
      <c r="AP974" s="1074"/>
      <c r="AQ974" s="1074"/>
      <c r="AR974" s="1074"/>
      <c r="AS974" s="1074"/>
      <c r="AT974" s="1075"/>
    </row>
    <row r="975" ht="14.25" customHeight="1">
      <c r="A975" s="1116"/>
      <c r="B975" s="1120"/>
      <c r="C975" s="1100"/>
      <c r="D975" s="1100"/>
      <c r="E975" s="1100"/>
      <c r="F975" s="1100"/>
      <c r="G975" s="1100"/>
      <c r="H975" s="1100"/>
      <c r="I975" s="1100"/>
      <c r="J975" s="1100"/>
      <c r="K975" s="1074"/>
      <c r="L975" s="1074"/>
      <c r="M975" s="1074"/>
      <c r="N975" s="1074"/>
      <c r="O975" s="1074"/>
      <c r="P975" s="1074"/>
      <c r="Q975" s="1074"/>
      <c r="R975" s="1074"/>
      <c r="S975" s="1074"/>
      <c r="T975" s="1074"/>
      <c r="U975" s="1074"/>
      <c r="V975" s="1074"/>
      <c r="W975" s="1074"/>
      <c r="X975" s="1074"/>
      <c r="Y975" s="1074"/>
      <c r="Z975" s="1074"/>
      <c r="AA975" s="1074"/>
      <c r="AB975" s="1074"/>
      <c r="AC975" s="1074"/>
      <c r="AD975" s="1074"/>
      <c r="AE975" s="1074"/>
      <c r="AF975" s="1074"/>
      <c r="AG975" s="1074"/>
      <c r="AH975" s="1074"/>
      <c r="AI975" s="1074"/>
      <c r="AJ975" s="1074"/>
      <c r="AK975" s="1074"/>
      <c r="AL975" s="1074"/>
      <c r="AM975" s="1074"/>
      <c r="AN975" s="1074"/>
      <c r="AO975" s="1074"/>
      <c r="AP975" s="1074"/>
      <c r="AQ975" s="1074"/>
      <c r="AR975" s="1074"/>
      <c r="AS975" s="1074"/>
      <c r="AT975" s="1075"/>
    </row>
    <row r="976" ht="14.25" customHeight="1">
      <c r="A976" s="1116"/>
      <c r="B976" s="1120"/>
      <c r="C976" s="1100"/>
      <c r="D976" s="1100"/>
      <c r="E976" s="1100"/>
      <c r="F976" s="1100"/>
      <c r="G976" s="1100"/>
      <c r="H976" s="1100"/>
      <c r="I976" s="1100"/>
      <c r="J976" s="1100"/>
      <c r="K976" s="1074"/>
      <c r="L976" s="1074"/>
      <c r="M976" s="1074"/>
      <c r="N976" s="1074"/>
      <c r="O976" s="1074"/>
      <c r="P976" s="1074"/>
      <c r="Q976" s="1074"/>
      <c r="R976" s="1074"/>
      <c r="S976" s="1074"/>
      <c r="T976" s="1074"/>
      <c r="U976" s="1074"/>
      <c r="V976" s="1074"/>
      <c r="W976" s="1074"/>
      <c r="X976" s="1074"/>
      <c r="Y976" s="1074"/>
      <c r="Z976" s="1074"/>
      <c r="AA976" s="1074"/>
      <c r="AB976" s="1074"/>
      <c r="AC976" s="1074"/>
      <c r="AD976" s="1074"/>
      <c r="AE976" s="1074"/>
      <c r="AF976" s="1074"/>
      <c r="AG976" s="1074"/>
      <c r="AH976" s="1074"/>
      <c r="AI976" s="1074"/>
      <c r="AJ976" s="1074"/>
      <c r="AK976" s="1074"/>
      <c r="AL976" s="1074"/>
      <c r="AM976" s="1074"/>
      <c r="AN976" s="1074"/>
      <c r="AO976" s="1074"/>
      <c r="AP976" s="1074"/>
      <c r="AQ976" s="1074"/>
      <c r="AR976" s="1074"/>
      <c r="AS976" s="1074"/>
      <c r="AT976" s="1075"/>
    </row>
    <row r="977" ht="14.25" customHeight="1">
      <c r="A977" s="1116"/>
      <c r="B977" s="1120"/>
      <c r="C977" s="1100"/>
      <c r="D977" s="1100"/>
      <c r="E977" s="1100"/>
      <c r="F977" s="1100"/>
      <c r="G977" s="1100"/>
      <c r="H977" s="1100"/>
      <c r="I977" s="1100"/>
      <c r="J977" s="1100"/>
      <c r="K977" s="1074"/>
      <c r="L977" s="1074"/>
      <c r="M977" s="1074"/>
      <c r="N977" s="1074"/>
      <c r="O977" s="1074"/>
      <c r="P977" s="1074"/>
      <c r="Q977" s="1074"/>
      <c r="R977" s="1074"/>
      <c r="S977" s="1074"/>
      <c r="T977" s="1074"/>
      <c r="U977" s="1074"/>
      <c r="V977" s="1074"/>
      <c r="W977" s="1074"/>
      <c r="X977" s="1074"/>
      <c r="Y977" s="1074"/>
      <c r="Z977" s="1074"/>
      <c r="AA977" s="1074"/>
      <c r="AB977" s="1074"/>
      <c r="AC977" s="1074"/>
      <c r="AD977" s="1074"/>
      <c r="AE977" s="1074"/>
      <c r="AF977" s="1074"/>
      <c r="AG977" s="1074"/>
      <c r="AH977" s="1074"/>
      <c r="AI977" s="1074"/>
      <c r="AJ977" s="1074"/>
      <c r="AK977" s="1074"/>
      <c r="AL977" s="1074"/>
      <c r="AM977" s="1074"/>
      <c r="AN977" s="1074"/>
      <c r="AO977" s="1074"/>
      <c r="AP977" s="1074"/>
      <c r="AQ977" s="1074"/>
      <c r="AR977" s="1074"/>
      <c r="AS977" s="1074"/>
      <c r="AT977" s="1075"/>
    </row>
    <row r="978" ht="14.25" customHeight="1">
      <c r="A978" s="1116"/>
      <c r="B978" s="1120"/>
      <c r="C978" s="1100"/>
      <c r="D978" s="1100"/>
      <c r="E978" s="1100"/>
      <c r="F978" s="1100"/>
      <c r="G978" s="1100"/>
      <c r="H978" s="1100"/>
      <c r="I978" s="1100"/>
      <c r="J978" s="1100"/>
      <c r="K978" s="1074"/>
      <c r="L978" s="1074"/>
      <c r="M978" s="1074"/>
      <c r="N978" s="1074"/>
      <c r="O978" s="1074"/>
      <c r="P978" s="1074"/>
      <c r="Q978" s="1074"/>
      <c r="R978" s="1074"/>
      <c r="S978" s="1074"/>
      <c r="T978" s="1074"/>
      <c r="U978" s="1074"/>
      <c r="V978" s="1074"/>
      <c r="W978" s="1074"/>
      <c r="X978" s="1074"/>
      <c r="Y978" s="1074"/>
      <c r="Z978" s="1074"/>
      <c r="AA978" s="1074"/>
      <c r="AB978" s="1074"/>
      <c r="AC978" s="1074"/>
      <c r="AD978" s="1074"/>
      <c r="AE978" s="1074"/>
      <c r="AF978" s="1074"/>
      <c r="AG978" s="1074"/>
      <c r="AH978" s="1074"/>
      <c r="AI978" s="1074"/>
      <c r="AJ978" s="1074"/>
      <c r="AK978" s="1074"/>
      <c r="AL978" s="1074"/>
      <c r="AM978" s="1074"/>
      <c r="AN978" s="1074"/>
      <c r="AO978" s="1074"/>
      <c r="AP978" s="1074"/>
      <c r="AQ978" s="1074"/>
      <c r="AR978" s="1074"/>
      <c r="AS978" s="1074"/>
      <c r="AT978" s="1075"/>
    </row>
    <row r="979" ht="14.25" customHeight="1">
      <c r="A979" s="1116"/>
      <c r="B979" s="1120"/>
      <c r="C979" s="1100"/>
      <c r="D979" s="1100"/>
      <c r="E979" s="1100"/>
      <c r="F979" s="1100"/>
      <c r="G979" s="1100"/>
      <c r="H979" s="1100"/>
      <c r="I979" s="1100"/>
      <c r="J979" s="1100"/>
      <c r="K979" s="1074"/>
      <c r="L979" s="1074"/>
      <c r="M979" s="1074"/>
      <c r="N979" s="1074"/>
      <c r="O979" s="1074"/>
      <c r="P979" s="1074"/>
      <c r="Q979" s="1074"/>
      <c r="R979" s="1074"/>
      <c r="S979" s="1074"/>
      <c r="T979" s="1074"/>
      <c r="U979" s="1074"/>
      <c r="V979" s="1074"/>
      <c r="W979" s="1074"/>
      <c r="X979" s="1074"/>
      <c r="Y979" s="1074"/>
      <c r="Z979" s="1074"/>
      <c r="AA979" s="1074"/>
      <c r="AB979" s="1074"/>
      <c r="AC979" s="1074"/>
      <c r="AD979" s="1074"/>
      <c r="AE979" s="1074"/>
      <c r="AF979" s="1074"/>
      <c r="AG979" s="1074"/>
      <c r="AH979" s="1074"/>
      <c r="AI979" s="1074"/>
      <c r="AJ979" s="1074"/>
      <c r="AK979" s="1074"/>
      <c r="AL979" s="1074"/>
      <c r="AM979" s="1074"/>
      <c r="AN979" s="1074"/>
      <c r="AO979" s="1074"/>
      <c r="AP979" s="1074"/>
      <c r="AQ979" s="1074"/>
      <c r="AR979" s="1074"/>
      <c r="AS979" s="1074"/>
      <c r="AT979" s="1075"/>
    </row>
    <row r="980" ht="14.25" customHeight="1">
      <c r="A980" s="1116"/>
      <c r="B980" s="1120"/>
      <c r="C980" s="1100"/>
      <c r="D980" s="1100"/>
      <c r="E980" s="1100"/>
      <c r="F980" s="1100"/>
      <c r="G980" s="1100"/>
      <c r="H980" s="1100"/>
      <c r="I980" s="1100"/>
      <c r="J980" s="1100"/>
      <c r="K980" s="1074"/>
      <c r="L980" s="1074"/>
      <c r="M980" s="1074"/>
      <c r="N980" s="1074"/>
      <c r="O980" s="1074"/>
      <c r="P980" s="1074"/>
      <c r="Q980" s="1074"/>
      <c r="R980" s="1074"/>
      <c r="S980" s="1074"/>
      <c r="T980" s="1074"/>
      <c r="U980" s="1074"/>
      <c r="V980" s="1074"/>
      <c r="W980" s="1074"/>
      <c r="X980" s="1074"/>
      <c r="Y980" s="1074"/>
      <c r="Z980" s="1074"/>
      <c r="AA980" s="1074"/>
      <c r="AB980" s="1074"/>
      <c r="AC980" s="1074"/>
      <c r="AD980" s="1074"/>
      <c r="AE980" s="1074"/>
      <c r="AF980" s="1074"/>
      <c r="AG980" s="1074"/>
      <c r="AH980" s="1074"/>
      <c r="AI980" s="1074"/>
      <c r="AJ980" s="1074"/>
      <c r="AK980" s="1074"/>
      <c r="AL980" s="1074"/>
      <c r="AM980" s="1074"/>
      <c r="AN980" s="1074"/>
      <c r="AO980" s="1074"/>
      <c r="AP980" s="1074"/>
      <c r="AQ980" s="1074"/>
      <c r="AR980" s="1074"/>
      <c r="AS980" s="1074"/>
      <c r="AT980" s="1075"/>
    </row>
    <row r="981" ht="14.25" customHeight="1">
      <c r="A981" s="1116"/>
      <c r="B981" s="1120"/>
      <c r="C981" s="1100"/>
      <c r="D981" s="1100"/>
      <c r="E981" s="1100"/>
      <c r="F981" s="1100"/>
      <c r="G981" s="1100"/>
      <c r="H981" s="1100"/>
      <c r="I981" s="1100"/>
      <c r="J981" s="1100"/>
      <c r="K981" s="1074"/>
      <c r="L981" s="1074"/>
      <c r="M981" s="1074"/>
      <c r="N981" s="1074"/>
      <c r="O981" s="1074"/>
      <c r="P981" s="1074"/>
      <c r="Q981" s="1074"/>
      <c r="R981" s="1074"/>
      <c r="S981" s="1074"/>
      <c r="T981" s="1074"/>
      <c r="U981" s="1074"/>
      <c r="V981" s="1074"/>
      <c r="W981" s="1074"/>
      <c r="X981" s="1074"/>
      <c r="Y981" s="1074"/>
      <c r="Z981" s="1074"/>
      <c r="AA981" s="1074"/>
      <c r="AB981" s="1074"/>
      <c r="AC981" s="1074"/>
      <c r="AD981" s="1074"/>
      <c r="AE981" s="1074"/>
      <c r="AF981" s="1074"/>
      <c r="AG981" s="1074"/>
      <c r="AH981" s="1074"/>
      <c r="AI981" s="1074"/>
      <c r="AJ981" s="1074"/>
      <c r="AK981" s="1074"/>
      <c r="AL981" s="1074"/>
      <c r="AM981" s="1074"/>
      <c r="AN981" s="1074"/>
      <c r="AO981" s="1074"/>
      <c r="AP981" s="1074"/>
      <c r="AQ981" s="1074"/>
      <c r="AR981" s="1074"/>
      <c r="AS981" s="1074"/>
      <c r="AT981" s="1075"/>
    </row>
    <row r="982" ht="14.25" customHeight="1">
      <c r="A982" s="1116"/>
      <c r="B982" s="1120"/>
      <c r="C982" s="1100"/>
      <c r="D982" s="1100"/>
      <c r="E982" s="1100"/>
      <c r="F982" s="1100"/>
      <c r="G982" s="1100"/>
      <c r="H982" s="1100"/>
      <c r="I982" s="1100"/>
      <c r="J982" s="1100"/>
      <c r="K982" s="1074"/>
      <c r="L982" s="1074"/>
      <c r="M982" s="1074"/>
      <c r="N982" s="1074"/>
      <c r="O982" s="1074"/>
      <c r="P982" s="1074"/>
      <c r="Q982" s="1074"/>
      <c r="R982" s="1074"/>
      <c r="S982" s="1074"/>
      <c r="T982" s="1074"/>
      <c r="U982" s="1074"/>
      <c r="V982" s="1074"/>
      <c r="W982" s="1074"/>
      <c r="X982" s="1074"/>
      <c r="Y982" s="1074"/>
      <c r="Z982" s="1074"/>
      <c r="AA982" s="1074"/>
      <c r="AB982" s="1074"/>
      <c r="AC982" s="1074"/>
      <c r="AD982" s="1074"/>
      <c r="AE982" s="1074"/>
      <c r="AF982" s="1074"/>
      <c r="AG982" s="1074"/>
      <c r="AH982" s="1074"/>
      <c r="AI982" s="1074"/>
      <c r="AJ982" s="1074"/>
      <c r="AK982" s="1074"/>
      <c r="AL982" s="1074"/>
      <c r="AM982" s="1074"/>
      <c r="AN982" s="1074"/>
      <c r="AO982" s="1074"/>
      <c r="AP982" s="1074"/>
      <c r="AQ982" s="1074"/>
      <c r="AR982" s="1074"/>
      <c r="AS982" s="1074"/>
      <c r="AT982" s="1075"/>
    </row>
    <row r="983" ht="14.25" customHeight="1">
      <c r="A983" s="1116"/>
      <c r="B983" s="1120"/>
      <c r="C983" s="1100"/>
      <c r="D983" s="1100"/>
      <c r="E983" s="1100"/>
      <c r="F983" s="1100"/>
      <c r="G983" s="1100"/>
      <c r="H983" s="1100"/>
      <c r="I983" s="1100"/>
      <c r="J983" s="1100"/>
      <c r="K983" s="1074"/>
      <c r="L983" s="1074"/>
      <c r="M983" s="1074"/>
      <c r="N983" s="1074"/>
      <c r="O983" s="1074"/>
      <c r="P983" s="1074"/>
      <c r="Q983" s="1074"/>
      <c r="R983" s="1074"/>
      <c r="S983" s="1074"/>
      <c r="T983" s="1074"/>
      <c r="U983" s="1074"/>
      <c r="V983" s="1074"/>
      <c r="W983" s="1074"/>
      <c r="X983" s="1074"/>
      <c r="Y983" s="1074"/>
      <c r="Z983" s="1074"/>
      <c r="AA983" s="1074"/>
      <c r="AB983" s="1074"/>
      <c r="AC983" s="1074"/>
      <c r="AD983" s="1074"/>
      <c r="AE983" s="1074"/>
      <c r="AF983" s="1074"/>
      <c r="AG983" s="1074"/>
      <c r="AH983" s="1074"/>
      <c r="AI983" s="1074"/>
      <c r="AJ983" s="1074"/>
      <c r="AK983" s="1074"/>
      <c r="AL983" s="1074"/>
      <c r="AM983" s="1074"/>
      <c r="AN983" s="1074"/>
      <c r="AO983" s="1074"/>
      <c r="AP983" s="1074"/>
      <c r="AQ983" s="1074"/>
      <c r="AR983" s="1074"/>
      <c r="AS983" s="1074"/>
      <c r="AT983" s="1075"/>
    </row>
    <row r="984" ht="14.25" customHeight="1">
      <c r="A984" s="1116"/>
      <c r="B984" s="1120"/>
      <c r="C984" s="1100"/>
      <c r="D984" s="1100"/>
      <c r="E984" s="1100"/>
      <c r="F984" s="1100"/>
      <c r="G984" s="1100"/>
      <c r="H984" s="1100"/>
      <c r="I984" s="1100"/>
      <c r="J984" s="1100"/>
      <c r="K984" s="1074"/>
      <c r="L984" s="1074"/>
      <c r="M984" s="1074"/>
      <c r="N984" s="1074"/>
      <c r="O984" s="1074"/>
      <c r="P984" s="1074"/>
      <c r="Q984" s="1074"/>
      <c r="R984" s="1074"/>
      <c r="S984" s="1074"/>
      <c r="T984" s="1074"/>
      <c r="U984" s="1074"/>
      <c r="V984" s="1074"/>
      <c r="W984" s="1074"/>
      <c r="X984" s="1074"/>
      <c r="Y984" s="1074"/>
      <c r="Z984" s="1074"/>
      <c r="AA984" s="1074"/>
      <c r="AB984" s="1074"/>
      <c r="AC984" s="1074"/>
      <c r="AD984" s="1074"/>
      <c r="AE984" s="1074"/>
      <c r="AF984" s="1074"/>
      <c r="AG984" s="1074"/>
      <c r="AH984" s="1074"/>
      <c r="AI984" s="1074"/>
      <c r="AJ984" s="1074"/>
      <c r="AK984" s="1074"/>
      <c r="AL984" s="1074"/>
      <c r="AM984" s="1074"/>
      <c r="AN984" s="1074"/>
      <c r="AO984" s="1074"/>
      <c r="AP984" s="1074"/>
      <c r="AQ984" s="1074"/>
      <c r="AR984" s="1074"/>
      <c r="AS984" s="1074"/>
      <c r="AT984" s="1075"/>
    </row>
    <row r="985" ht="14.25" customHeight="1">
      <c r="A985" s="1116"/>
      <c r="B985" s="1120"/>
      <c r="C985" s="1100"/>
      <c r="D985" s="1100"/>
      <c r="E985" s="1100"/>
      <c r="F985" s="1100"/>
      <c r="G985" s="1100"/>
      <c r="H985" s="1100"/>
      <c r="I985" s="1100"/>
      <c r="J985" s="1100"/>
      <c r="K985" s="1074"/>
      <c r="L985" s="1074"/>
      <c r="M985" s="1074"/>
      <c r="N985" s="1074"/>
      <c r="O985" s="1074"/>
      <c r="P985" s="1074"/>
      <c r="Q985" s="1074"/>
      <c r="R985" s="1074"/>
      <c r="S985" s="1074"/>
      <c r="T985" s="1074"/>
      <c r="U985" s="1074"/>
      <c r="V985" s="1074"/>
      <c r="W985" s="1074"/>
      <c r="X985" s="1074"/>
      <c r="Y985" s="1074"/>
      <c r="Z985" s="1074"/>
      <c r="AA985" s="1074"/>
      <c r="AB985" s="1074"/>
      <c r="AC985" s="1074"/>
      <c r="AD985" s="1074"/>
      <c r="AE985" s="1074"/>
      <c r="AF985" s="1074"/>
      <c r="AG985" s="1074"/>
      <c r="AH985" s="1074"/>
      <c r="AI985" s="1074"/>
      <c r="AJ985" s="1074"/>
      <c r="AK985" s="1074"/>
      <c r="AL985" s="1074"/>
      <c r="AM985" s="1074"/>
      <c r="AN985" s="1074"/>
      <c r="AO985" s="1074"/>
      <c r="AP985" s="1074"/>
      <c r="AQ985" s="1074"/>
      <c r="AR985" s="1074"/>
      <c r="AS985" s="1074"/>
      <c r="AT985" s="1075"/>
    </row>
    <row r="986" ht="14.25" customHeight="1">
      <c r="A986" s="1116"/>
      <c r="B986" s="1120"/>
      <c r="C986" s="1100"/>
      <c r="D986" s="1100"/>
      <c r="E986" s="1100"/>
      <c r="F986" s="1100"/>
      <c r="G986" s="1100"/>
      <c r="H986" s="1100"/>
      <c r="I986" s="1100"/>
      <c r="J986" s="1100"/>
      <c r="K986" s="1074"/>
      <c r="L986" s="1074"/>
      <c r="M986" s="1074"/>
      <c r="N986" s="1074"/>
      <c r="O986" s="1074"/>
      <c r="P986" s="1074"/>
      <c r="Q986" s="1074"/>
      <c r="R986" s="1074"/>
      <c r="S986" s="1074"/>
      <c r="T986" s="1074"/>
      <c r="U986" s="1074"/>
      <c r="V986" s="1074"/>
      <c r="W986" s="1074"/>
      <c r="X986" s="1074"/>
      <c r="Y986" s="1074"/>
      <c r="Z986" s="1074"/>
      <c r="AA986" s="1074"/>
      <c r="AB986" s="1074"/>
      <c r="AC986" s="1074"/>
      <c r="AD986" s="1074"/>
      <c r="AE986" s="1074"/>
      <c r="AF986" s="1074"/>
      <c r="AG986" s="1074"/>
      <c r="AH986" s="1074"/>
      <c r="AI986" s="1074"/>
      <c r="AJ986" s="1074"/>
      <c r="AK986" s="1074"/>
      <c r="AL986" s="1074"/>
      <c r="AM986" s="1074"/>
      <c r="AN986" s="1074"/>
      <c r="AO986" s="1074"/>
      <c r="AP986" s="1074"/>
      <c r="AQ986" s="1074"/>
      <c r="AR986" s="1074"/>
      <c r="AS986" s="1074"/>
      <c r="AT986" s="1075"/>
    </row>
    <row r="987" ht="14.25" customHeight="1">
      <c r="A987" s="1116"/>
      <c r="B987" s="1120"/>
      <c r="C987" s="1100"/>
      <c r="D987" s="1100"/>
      <c r="E987" s="1100"/>
      <c r="F987" s="1100"/>
      <c r="G987" s="1100"/>
      <c r="H987" s="1100"/>
      <c r="I987" s="1100"/>
      <c r="J987" s="1100"/>
      <c r="K987" s="1074"/>
      <c r="L987" s="1074"/>
      <c r="M987" s="1074"/>
      <c r="N987" s="1074"/>
      <c r="O987" s="1074"/>
      <c r="P987" s="1074"/>
      <c r="Q987" s="1074"/>
      <c r="R987" s="1074"/>
      <c r="S987" s="1074"/>
      <c r="T987" s="1074"/>
      <c r="U987" s="1074"/>
      <c r="V987" s="1074"/>
      <c r="W987" s="1074"/>
      <c r="X987" s="1074"/>
      <c r="Y987" s="1074"/>
      <c r="Z987" s="1074"/>
      <c r="AA987" s="1074"/>
      <c r="AB987" s="1074"/>
      <c r="AC987" s="1074"/>
      <c r="AD987" s="1074"/>
      <c r="AE987" s="1074"/>
      <c r="AF987" s="1074"/>
      <c r="AG987" s="1074"/>
      <c r="AH987" s="1074"/>
      <c r="AI987" s="1074"/>
      <c r="AJ987" s="1074"/>
      <c r="AK987" s="1074"/>
      <c r="AL987" s="1074"/>
      <c r="AM987" s="1074"/>
      <c r="AN987" s="1074"/>
      <c r="AO987" s="1074"/>
      <c r="AP987" s="1074"/>
      <c r="AQ987" s="1074"/>
      <c r="AR987" s="1074"/>
      <c r="AS987" s="1074"/>
      <c r="AT987" s="1075"/>
    </row>
    <row r="988" ht="14.25" customHeight="1">
      <c r="A988" s="1116"/>
      <c r="B988" s="1120"/>
      <c r="C988" s="1100"/>
      <c r="D988" s="1100"/>
      <c r="E988" s="1100"/>
      <c r="F988" s="1100"/>
      <c r="G988" s="1100"/>
      <c r="H988" s="1100"/>
      <c r="I988" s="1100"/>
      <c r="J988" s="1100"/>
      <c r="K988" s="1074"/>
      <c r="L988" s="1074"/>
      <c r="M988" s="1074"/>
      <c r="N988" s="1074"/>
      <c r="O988" s="1074"/>
      <c r="P988" s="1074"/>
      <c r="Q988" s="1074"/>
      <c r="R988" s="1074"/>
      <c r="S988" s="1074"/>
      <c r="T988" s="1074"/>
      <c r="U988" s="1074"/>
      <c r="V988" s="1074"/>
      <c r="W988" s="1074"/>
      <c r="X988" s="1074"/>
      <c r="Y988" s="1074"/>
      <c r="Z988" s="1074"/>
      <c r="AA988" s="1074"/>
      <c r="AB988" s="1074"/>
      <c r="AC988" s="1074"/>
      <c r="AD988" s="1074"/>
      <c r="AE988" s="1074"/>
      <c r="AF988" s="1074"/>
      <c r="AG988" s="1074"/>
      <c r="AH988" s="1074"/>
      <c r="AI988" s="1074"/>
      <c r="AJ988" s="1074"/>
      <c r="AK988" s="1074"/>
      <c r="AL988" s="1074"/>
      <c r="AM988" s="1074"/>
      <c r="AN988" s="1074"/>
      <c r="AO988" s="1074"/>
      <c r="AP988" s="1074"/>
      <c r="AQ988" s="1074"/>
      <c r="AR988" s="1074"/>
      <c r="AS988" s="1074"/>
      <c r="AT988" s="1075"/>
    </row>
    <row r="989" ht="14.25" customHeight="1">
      <c r="A989" s="1116"/>
      <c r="B989" s="1120"/>
      <c r="C989" s="1100"/>
      <c r="D989" s="1100"/>
      <c r="E989" s="1100"/>
      <c r="F989" s="1100"/>
      <c r="G989" s="1100"/>
      <c r="H989" s="1100"/>
      <c r="I989" s="1100"/>
      <c r="J989" s="1100"/>
      <c r="K989" s="1074"/>
      <c r="L989" s="1074"/>
      <c r="M989" s="1074"/>
      <c r="N989" s="1074"/>
      <c r="O989" s="1074"/>
      <c r="P989" s="1074"/>
      <c r="Q989" s="1074"/>
      <c r="R989" s="1074"/>
      <c r="S989" s="1074"/>
      <c r="T989" s="1074"/>
      <c r="U989" s="1074"/>
      <c r="V989" s="1074"/>
      <c r="W989" s="1074"/>
      <c r="X989" s="1074"/>
      <c r="Y989" s="1074"/>
      <c r="Z989" s="1074"/>
      <c r="AA989" s="1074"/>
      <c r="AB989" s="1074"/>
      <c r="AC989" s="1074"/>
      <c r="AD989" s="1074"/>
      <c r="AE989" s="1074"/>
      <c r="AF989" s="1074"/>
      <c r="AG989" s="1074"/>
      <c r="AH989" s="1074"/>
      <c r="AI989" s="1074"/>
      <c r="AJ989" s="1074"/>
      <c r="AK989" s="1074"/>
      <c r="AL989" s="1074"/>
      <c r="AM989" s="1074"/>
      <c r="AN989" s="1074"/>
      <c r="AO989" s="1074"/>
      <c r="AP989" s="1074"/>
      <c r="AQ989" s="1074"/>
      <c r="AR989" s="1074"/>
      <c r="AS989" s="1074"/>
      <c r="AT989" s="1075"/>
    </row>
    <row r="990" ht="14.25" customHeight="1">
      <c r="A990" s="1116"/>
      <c r="B990" s="1120"/>
      <c r="C990" s="1100"/>
      <c r="D990" s="1100"/>
      <c r="E990" s="1100"/>
      <c r="F990" s="1100"/>
      <c r="G990" s="1100"/>
      <c r="H990" s="1100"/>
      <c r="I990" s="1100"/>
      <c r="J990" s="1100"/>
      <c r="K990" s="1074"/>
      <c r="L990" s="1074"/>
      <c r="M990" s="1074"/>
      <c r="N990" s="1074"/>
      <c r="O990" s="1074"/>
      <c r="P990" s="1074"/>
      <c r="Q990" s="1074"/>
      <c r="R990" s="1074"/>
      <c r="S990" s="1074"/>
      <c r="T990" s="1074"/>
      <c r="U990" s="1074"/>
      <c r="V990" s="1074"/>
      <c r="W990" s="1074"/>
      <c r="X990" s="1074"/>
      <c r="Y990" s="1074"/>
      <c r="Z990" s="1074"/>
      <c r="AA990" s="1074"/>
      <c r="AB990" s="1074"/>
      <c r="AC990" s="1074"/>
      <c r="AD990" s="1074"/>
      <c r="AE990" s="1074"/>
      <c r="AF990" s="1074"/>
      <c r="AG990" s="1074"/>
      <c r="AH990" s="1074"/>
      <c r="AI990" s="1074"/>
      <c r="AJ990" s="1074"/>
      <c r="AK990" s="1074"/>
      <c r="AL990" s="1074"/>
      <c r="AM990" s="1074"/>
      <c r="AN990" s="1074"/>
      <c r="AO990" s="1074"/>
      <c r="AP990" s="1074"/>
      <c r="AQ990" s="1074"/>
      <c r="AR990" s="1074"/>
      <c r="AS990" s="1074"/>
      <c r="AT990" s="1075"/>
    </row>
    <row r="991" ht="14.25" customHeight="1">
      <c r="A991" s="1116"/>
      <c r="B991" s="1120"/>
      <c r="C991" s="1100"/>
      <c r="D991" s="1100"/>
      <c r="E991" s="1100"/>
      <c r="F991" s="1100"/>
      <c r="G991" s="1100"/>
      <c r="H991" s="1100"/>
      <c r="I991" s="1100"/>
      <c r="J991" s="1100"/>
      <c r="K991" s="1074"/>
      <c r="L991" s="1074"/>
      <c r="M991" s="1074"/>
      <c r="N991" s="1074"/>
      <c r="O991" s="1074"/>
      <c r="P991" s="1074"/>
      <c r="Q991" s="1074"/>
      <c r="R991" s="1074"/>
      <c r="S991" s="1074"/>
      <c r="T991" s="1074"/>
      <c r="U991" s="1074"/>
      <c r="V991" s="1074"/>
      <c r="W991" s="1074"/>
      <c r="X991" s="1074"/>
      <c r="Y991" s="1074"/>
      <c r="Z991" s="1074"/>
      <c r="AA991" s="1074"/>
      <c r="AB991" s="1074"/>
      <c r="AC991" s="1074"/>
      <c r="AD991" s="1074"/>
      <c r="AE991" s="1074"/>
      <c r="AF991" s="1074"/>
      <c r="AG991" s="1074"/>
      <c r="AH991" s="1074"/>
      <c r="AI991" s="1074"/>
      <c r="AJ991" s="1074"/>
      <c r="AK991" s="1074"/>
      <c r="AL991" s="1074"/>
      <c r="AM991" s="1074"/>
      <c r="AN991" s="1074"/>
      <c r="AO991" s="1074"/>
      <c r="AP991" s="1074"/>
      <c r="AQ991" s="1074"/>
      <c r="AR991" s="1074"/>
      <c r="AS991" s="1074"/>
      <c r="AT991" s="1075"/>
    </row>
    <row r="992" ht="14.25" customHeight="1">
      <c r="A992" s="1116"/>
      <c r="B992" s="1120"/>
      <c r="C992" s="1100"/>
      <c r="D992" s="1100"/>
      <c r="E992" s="1100"/>
      <c r="F992" s="1100"/>
      <c r="G992" s="1100"/>
      <c r="H992" s="1100"/>
      <c r="I992" s="1100"/>
      <c r="J992" s="1100"/>
      <c r="K992" s="1074"/>
      <c r="L992" s="1074"/>
      <c r="M992" s="1074"/>
      <c r="N992" s="1074"/>
      <c r="O992" s="1074"/>
      <c r="P992" s="1074"/>
      <c r="Q992" s="1074"/>
      <c r="R992" s="1074"/>
      <c r="S992" s="1074"/>
      <c r="T992" s="1074"/>
      <c r="U992" s="1074"/>
      <c r="V992" s="1074"/>
      <c r="W992" s="1074"/>
      <c r="X992" s="1074"/>
      <c r="Y992" s="1074"/>
      <c r="Z992" s="1074"/>
      <c r="AA992" s="1074"/>
      <c r="AB992" s="1074"/>
      <c r="AC992" s="1074"/>
      <c r="AD992" s="1074"/>
      <c r="AE992" s="1074"/>
      <c r="AF992" s="1074"/>
      <c r="AG992" s="1074"/>
      <c r="AH992" s="1074"/>
      <c r="AI992" s="1074"/>
      <c r="AJ992" s="1074"/>
      <c r="AK992" s="1074"/>
      <c r="AL992" s="1074"/>
      <c r="AM992" s="1074"/>
      <c r="AN992" s="1074"/>
      <c r="AO992" s="1074"/>
      <c r="AP992" s="1074"/>
      <c r="AQ992" s="1074"/>
      <c r="AR992" s="1074"/>
      <c r="AS992" s="1074"/>
      <c r="AT992" s="1075"/>
    </row>
    <row r="993" ht="14.25" customHeight="1">
      <c r="A993" s="1116"/>
      <c r="B993" s="1120"/>
      <c r="C993" s="1100"/>
      <c r="D993" s="1100"/>
      <c r="E993" s="1100"/>
      <c r="F993" s="1100"/>
      <c r="G993" s="1100"/>
      <c r="H993" s="1100"/>
      <c r="I993" s="1100"/>
      <c r="J993" s="1100"/>
      <c r="K993" s="1074"/>
      <c r="L993" s="1074"/>
      <c r="M993" s="1074"/>
      <c r="N993" s="1074"/>
      <c r="O993" s="1074"/>
      <c r="P993" s="1074"/>
      <c r="Q993" s="1074"/>
      <c r="R993" s="1074"/>
      <c r="S993" s="1074"/>
      <c r="T993" s="1074"/>
      <c r="U993" s="1074"/>
      <c r="V993" s="1074"/>
      <c r="W993" s="1074"/>
      <c r="X993" s="1074"/>
      <c r="Y993" s="1074"/>
      <c r="Z993" s="1074"/>
      <c r="AA993" s="1074"/>
      <c r="AB993" s="1074"/>
      <c r="AC993" s="1074"/>
      <c r="AD993" s="1074"/>
      <c r="AE993" s="1074"/>
      <c r="AF993" s="1074"/>
      <c r="AG993" s="1074"/>
      <c r="AH993" s="1074"/>
      <c r="AI993" s="1074"/>
      <c r="AJ993" s="1074"/>
      <c r="AK993" s="1074"/>
      <c r="AL993" s="1074"/>
      <c r="AM993" s="1074"/>
      <c r="AN993" s="1074"/>
      <c r="AO993" s="1074"/>
      <c r="AP993" s="1074"/>
      <c r="AQ993" s="1074"/>
      <c r="AR993" s="1074"/>
      <c r="AS993" s="1074"/>
      <c r="AT993" s="1075"/>
    </row>
    <row r="994" ht="14.25" customHeight="1">
      <c r="A994" s="1116"/>
      <c r="B994" s="1120"/>
      <c r="C994" s="1100"/>
      <c r="D994" s="1100"/>
      <c r="E994" s="1100"/>
      <c r="F994" s="1100"/>
      <c r="G994" s="1100"/>
      <c r="H994" s="1100"/>
      <c r="I994" s="1100"/>
      <c r="J994" s="1100"/>
      <c r="K994" s="1074"/>
      <c r="L994" s="1074"/>
      <c r="M994" s="1074"/>
      <c r="N994" s="1074"/>
      <c r="O994" s="1074"/>
      <c r="P994" s="1074"/>
      <c r="Q994" s="1074"/>
      <c r="R994" s="1074"/>
      <c r="S994" s="1074"/>
      <c r="T994" s="1074"/>
      <c r="U994" s="1074"/>
      <c r="V994" s="1074"/>
      <c r="W994" s="1074"/>
      <c r="X994" s="1074"/>
      <c r="Y994" s="1074"/>
      <c r="Z994" s="1074"/>
      <c r="AA994" s="1074"/>
      <c r="AB994" s="1074"/>
      <c r="AC994" s="1074"/>
      <c r="AD994" s="1074"/>
      <c r="AE994" s="1074"/>
      <c r="AF994" s="1074"/>
      <c r="AG994" s="1074"/>
      <c r="AH994" s="1074"/>
      <c r="AI994" s="1074"/>
      <c r="AJ994" s="1074"/>
      <c r="AK994" s="1074"/>
      <c r="AL994" s="1074"/>
      <c r="AM994" s="1074"/>
      <c r="AN994" s="1074"/>
      <c r="AO994" s="1074"/>
      <c r="AP994" s="1074"/>
      <c r="AQ994" s="1074"/>
      <c r="AR994" s="1074"/>
      <c r="AS994" s="1074"/>
      <c r="AT994" s="1075"/>
    </row>
    <row r="995" ht="14.25" customHeight="1">
      <c r="A995" s="1116"/>
      <c r="B995" s="1120"/>
      <c r="C995" s="1100"/>
      <c r="D995" s="1100"/>
      <c r="E995" s="1100"/>
      <c r="F995" s="1100"/>
      <c r="G995" s="1100"/>
      <c r="H995" s="1100"/>
      <c r="I995" s="1100"/>
      <c r="J995" s="1100"/>
      <c r="K995" s="1074"/>
      <c r="L995" s="1074"/>
      <c r="M995" s="1074"/>
      <c r="N995" s="1074"/>
      <c r="O995" s="1074"/>
      <c r="P995" s="1074"/>
      <c r="Q995" s="1074"/>
      <c r="R995" s="1074"/>
      <c r="S995" s="1074"/>
      <c r="T995" s="1074"/>
      <c r="U995" s="1074"/>
      <c r="V995" s="1074"/>
      <c r="W995" s="1074"/>
      <c r="X995" s="1074"/>
      <c r="Y995" s="1074"/>
      <c r="Z995" s="1074"/>
      <c r="AA995" s="1074"/>
      <c r="AB995" s="1074"/>
      <c r="AC995" s="1074"/>
      <c r="AD995" s="1074"/>
      <c r="AE995" s="1074"/>
      <c r="AF995" s="1074"/>
      <c r="AG995" s="1074"/>
      <c r="AH995" s="1074"/>
      <c r="AI995" s="1074"/>
      <c r="AJ995" s="1074"/>
      <c r="AK995" s="1074"/>
      <c r="AL995" s="1074"/>
      <c r="AM995" s="1074"/>
      <c r="AN995" s="1074"/>
      <c r="AO995" s="1074"/>
      <c r="AP995" s="1074"/>
      <c r="AQ995" s="1074"/>
      <c r="AR995" s="1074"/>
      <c r="AS995" s="1074"/>
      <c r="AT995" s="1075"/>
    </row>
    <row r="996" ht="14.25" customHeight="1">
      <c r="A996" s="1116"/>
      <c r="B996" s="1120"/>
      <c r="C996" s="1100"/>
      <c r="D996" s="1100"/>
      <c r="E996" s="1100"/>
      <c r="F996" s="1100"/>
      <c r="G996" s="1100"/>
      <c r="H996" s="1100"/>
      <c r="I996" s="1100"/>
      <c r="J996" s="1100"/>
      <c r="K996" s="1074"/>
      <c r="L996" s="1074"/>
      <c r="M996" s="1074"/>
      <c r="N996" s="1074"/>
      <c r="O996" s="1074"/>
      <c r="P996" s="1074"/>
      <c r="Q996" s="1074"/>
      <c r="R996" s="1074"/>
      <c r="S996" s="1074"/>
      <c r="T996" s="1074"/>
      <c r="U996" s="1074"/>
      <c r="V996" s="1074"/>
      <c r="W996" s="1074"/>
      <c r="X996" s="1074"/>
      <c r="Y996" s="1074"/>
      <c r="Z996" s="1074"/>
      <c r="AA996" s="1074"/>
      <c r="AB996" s="1074"/>
      <c r="AC996" s="1074"/>
      <c r="AD996" s="1074"/>
      <c r="AE996" s="1074"/>
      <c r="AF996" s="1074"/>
      <c r="AG996" s="1074"/>
      <c r="AH996" s="1074"/>
      <c r="AI996" s="1074"/>
      <c r="AJ996" s="1074"/>
      <c r="AK996" s="1074"/>
      <c r="AL996" s="1074"/>
      <c r="AM996" s="1074"/>
      <c r="AN996" s="1074"/>
      <c r="AO996" s="1074"/>
      <c r="AP996" s="1074"/>
      <c r="AQ996" s="1074"/>
      <c r="AR996" s="1074"/>
      <c r="AS996" s="1074"/>
      <c r="AT996" s="1075"/>
    </row>
    <row r="997" ht="14.25" customHeight="1">
      <c r="A997" s="1116"/>
      <c r="B997" s="1120"/>
      <c r="C997" s="1100"/>
      <c r="D997" s="1100"/>
      <c r="E997" s="1100"/>
      <c r="F997" s="1100"/>
      <c r="G997" s="1100"/>
      <c r="H997" s="1100"/>
      <c r="I997" s="1100"/>
      <c r="J997" s="1100"/>
      <c r="K997" s="1074"/>
      <c r="L997" s="1074"/>
      <c r="M997" s="1074"/>
      <c r="N997" s="1074"/>
      <c r="O997" s="1074"/>
      <c r="P997" s="1074"/>
      <c r="Q997" s="1074"/>
      <c r="R997" s="1074"/>
      <c r="S997" s="1074"/>
      <c r="T997" s="1074"/>
      <c r="U997" s="1074"/>
      <c r="V997" s="1074"/>
      <c r="W997" s="1074"/>
      <c r="X997" s="1074"/>
      <c r="Y997" s="1074"/>
      <c r="Z997" s="1074"/>
      <c r="AA997" s="1074"/>
      <c r="AB997" s="1074"/>
      <c r="AC997" s="1074"/>
      <c r="AD997" s="1074"/>
      <c r="AE997" s="1074"/>
      <c r="AF997" s="1074"/>
      <c r="AG997" s="1074"/>
      <c r="AH997" s="1074"/>
      <c r="AI997" s="1074"/>
      <c r="AJ997" s="1074"/>
      <c r="AK997" s="1074"/>
      <c r="AL997" s="1074"/>
      <c r="AM997" s="1074"/>
      <c r="AN997" s="1074"/>
      <c r="AO997" s="1074"/>
      <c r="AP997" s="1074"/>
      <c r="AQ997" s="1074"/>
      <c r="AR997" s="1074"/>
      <c r="AS997" s="1074"/>
      <c r="AT997" s="1075"/>
    </row>
    <row r="998" ht="14.25" customHeight="1">
      <c r="A998" s="1116"/>
      <c r="B998" s="1120"/>
      <c r="C998" s="1100"/>
      <c r="D998" s="1100"/>
      <c r="E998" s="1100"/>
      <c r="F998" s="1100"/>
      <c r="G998" s="1100"/>
      <c r="H998" s="1100"/>
      <c r="I998" s="1100"/>
      <c r="J998" s="1100"/>
      <c r="K998" s="1074"/>
      <c r="L998" s="1074"/>
      <c r="M998" s="1074"/>
      <c r="N998" s="1074"/>
      <c r="O998" s="1074"/>
      <c r="P998" s="1074"/>
      <c r="Q998" s="1074"/>
      <c r="R998" s="1074"/>
      <c r="S998" s="1074"/>
      <c r="T998" s="1074"/>
      <c r="U998" s="1074"/>
      <c r="V998" s="1074"/>
      <c r="W998" s="1074"/>
      <c r="X998" s="1074"/>
      <c r="Y998" s="1074"/>
      <c r="Z998" s="1074"/>
      <c r="AA998" s="1074"/>
      <c r="AB998" s="1074"/>
      <c r="AC998" s="1074"/>
      <c r="AD998" s="1074"/>
      <c r="AE998" s="1074"/>
      <c r="AF998" s="1074"/>
      <c r="AG998" s="1074"/>
      <c r="AH998" s="1074"/>
      <c r="AI998" s="1074"/>
      <c r="AJ998" s="1074"/>
      <c r="AK998" s="1074"/>
      <c r="AL998" s="1074"/>
      <c r="AM998" s="1074"/>
      <c r="AN998" s="1074"/>
      <c r="AO998" s="1074"/>
      <c r="AP998" s="1074"/>
      <c r="AQ998" s="1074"/>
      <c r="AR998" s="1074"/>
      <c r="AS998" s="1074"/>
      <c r="AT998" s="1075"/>
    </row>
    <row r="999" ht="14.25" customHeight="1">
      <c r="A999" s="1116"/>
      <c r="B999" s="1120"/>
      <c r="C999" s="1100"/>
      <c r="D999" s="1100"/>
      <c r="E999" s="1100"/>
      <c r="F999" s="1100"/>
      <c r="G999" s="1100"/>
      <c r="H999" s="1100"/>
      <c r="I999" s="1100"/>
      <c r="J999" s="1100"/>
      <c r="K999" s="1074"/>
      <c r="L999" s="1074"/>
      <c r="M999" s="1074"/>
      <c r="N999" s="1074"/>
      <c r="O999" s="1074"/>
      <c r="P999" s="1074"/>
      <c r="Q999" s="1074"/>
      <c r="R999" s="1074"/>
      <c r="S999" s="1074"/>
      <c r="T999" s="1074"/>
      <c r="U999" s="1074"/>
      <c r="V999" s="1074"/>
      <c r="W999" s="1074"/>
      <c r="X999" s="1074"/>
      <c r="Y999" s="1074"/>
      <c r="Z999" s="1074"/>
      <c r="AA999" s="1074"/>
      <c r="AB999" s="1074"/>
      <c r="AC999" s="1074"/>
      <c r="AD999" s="1074"/>
      <c r="AE999" s="1074"/>
      <c r="AF999" s="1074"/>
      <c r="AG999" s="1074"/>
      <c r="AH999" s="1074"/>
      <c r="AI999" s="1074"/>
      <c r="AJ999" s="1074"/>
      <c r="AK999" s="1074"/>
      <c r="AL999" s="1074"/>
      <c r="AM999" s="1074"/>
      <c r="AN999" s="1074"/>
      <c r="AO999" s="1074"/>
      <c r="AP999" s="1074"/>
      <c r="AQ999" s="1074"/>
      <c r="AR999" s="1074"/>
      <c r="AS999" s="1074"/>
      <c r="AT999" s="1075"/>
    </row>
    <row r="1000" ht="14.25" customHeight="1">
      <c r="A1000" s="1116"/>
      <c r="B1000" s="1120"/>
      <c r="C1000" s="1100"/>
      <c r="D1000" s="1100"/>
      <c r="E1000" s="1100"/>
      <c r="F1000" s="1100"/>
      <c r="G1000" s="1100"/>
      <c r="H1000" s="1100"/>
      <c r="I1000" s="1100"/>
      <c r="J1000" s="1100"/>
      <c r="K1000" s="1074"/>
      <c r="L1000" s="1074"/>
      <c r="M1000" s="1074"/>
      <c r="N1000" s="1074"/>
      <c r="O1000" s="1074"/>
      <c r="P1000" s="1074"/>
      <c r="Q1000" s="1074"/>
      <c r="R1000" s="1074"/>
      <c r="S1000" s="1074"/>
      <c r="T1000" s="1074"/>
      <c r="U1000" s="1074"/>
      <c r="V1000" s="1074"/>
      <c r="W1000" s="1074"/>
      <c r="X1000" s="1074"/>
      <c r="Y1000" s="1074"/>
      <c r="Z1000" s="1074"/>
      <c r="AA1000" s="1074"/>
      <c r="AB1000" s="1074"/>
      <c r="AC1000" s="1074"/>
      <c r="AD1000" s="1074"/>
      <c r="AE1000" s="1074"/>
      <c r="AF1000" s="1074"/>
      <c r="AG1000" s="1074"/>
      <c r="AH1000" s="1074"/>
      <c r="AI1000" s="1074"/>
      <c r="AJ1000" s="1074"/>
      <c r="AK1000" s="1074"/>
      <c r="AL1000" s="1074"/>
      <c r="AM1000" s="1074"/>
      <c r="AN1000" s="1074"/>
      <c r="AO1000" s="1074"/>
      <c r="AP1000" s="1074"/>
      <c r="AQ1000" s="1074"/>
      <c r="AR1000" s="1074"/>
      <c r="AS1000" s="1074"/>
      <c r="AT1000" s="1075"/>
    </row>
    <row r="1001" ht="14.25" customHeight="1">
      <c r="A1001" s="1116"/>
      <c r="B1001" s="1120"/>
      <c r="C1001" s="1100"/>
      <c r="D1001" s="1100"/>
      <c r="E1001" s="1100"/>
      <c r="F1001" s="1100"/>
      <c r="G1001" s="1100"/>
      <c r="H1001" s="1100"/>
      <c r="I1001" s="1100"/>
      <c r="J1001" s="1100"/>
      <c r="K1001" s="1074"/>
      <c r="L1001" s="1074"/>
      <c r="M1001" s="1074"/>
      <c r="N1001" s="1074"/>
      <c r="O1001" s="1074"/>
      <c r="P1001" s="1074"/>
      <c r="Q1001" s="1074"/>
      <c r="R1001" s="1074"/>
      <c r="S1001" s="1074"/>
      <c r="T1001" s="1074"/>
      <c r="U1001" s="1074"/>
      <c r="V1001" s="1074"/>
      <c r="W1001" s="1074"/>
      <c r="X1001" s="1074"/>
      <c r="Y1001" s="1074"/>
      <c r="Z1001" s="1074"/>
      <c r="AA1001" s="1074"/>
      <c r="AB1001" s="1074"/>
      <c r="AC1001" s="1074"/>
      <c r="AD1001" s="1074"/>
      <c r="AE1001" s="1074"/>
      <c r="AF1001" s="1074"/>
      <c r="AG1001" s="1074"/>
      <c r="AH1001" s="1074"/>
      <c r="AI1001" s="1074"/>
      <c r="AJ1001" s="1074"/>
      <c r="AK1001" s="1074"/>
      <c r="AL1001" s="1074"/>
      <c r="AM1001" s="1074"/>
      <c r="AN1001" s="1074"/>
      <c r="AO1001" s="1074"/>
      <c r="AP1001" s="1074"/>
      <c r="AQ1001" s="1074"/>
      <c r="AR1001" s="1074"/>
      <c r="AS1001" s="1074"/>
      <c r="AT1001" s="1075"/>
    </row>
    <row r="1002" ht="14.25" customHeight="1">
      <c r="A1002" s="1116"/>
      <c r="B1002" s="1120"/>
      <c r="C1002" s="1100"/>
      <c r="D1002" s="1100"/>
      <c r="E1002" s="1100"/>
      <c r="F1002" s="1100"/>
      <c r="G1002" s="1100"/>
      <c r="H1002" s="1100"/>
      <c r="I1002" s="1100"/>
      <c r="J1002" s="1100"/>
      <c r="K1002" s="1074"/>
      <c r="L1002" s="1074"/>
      <c r="M1002" s="1074"/>
      <c r="N1002" s="1074"/>
      <c r="O1002" s="1074"/>
      <c r="P1002" s="1074"/>
      <c r="Q1002" s="1074"/>
      <c r="R1002" s="1074"/>
      <c r="S1002" s="1074"/>
      <c r="T1002" s="1074"/>
      <c r="U1002" s="1074"/>
      <c r="V1002" s="1074"/>
      <c r="W1002" s="1074"/>
      <c r="X1002" s="1074"/>
      <c r="Y1002" s="1074"/>
      <c r="Z1002" s="1074"/>
      <c r="AA1002" s="1074"/>
      <c r="AB1002" s="1074"/>
      <c r="AC1002" s="1074"/>
      <c r="AD1002" s="1074"/>
      <c r="AE1002" s="1074"/>
      <c r="AF1002" s="1074"/>
      <c r="AG1002" s="1074"/>
      <c r="AH1002" s="1074"/>
      <c r="AI1002" s="1074"/>
      <c r="AJ1002" s="1074"/>
      <c r="AK1002" s="1074"/>
      <c r="AL1002" s="1074"/>
      <c r="AM1002" s="1074"/>
      <c r="AN1002" s="1074"/>
      <c r="AO1002" s="1074"/>
      <c r="AP1002" s="1074"/>
      <c r="AQ1002" s="1074"/>
      <c r="AR1002" s="1074"/>
      <c r="AS1002" s="1074"/>
      <c r="AT1002" s="1075"/>
    </row>
    <row r="1003" ht="14.25" customHeight="1">
      <c r="A1003" s="1116"/>
      <c r="B1003" s="1120"/>
      <c r="C1003" s="1100"/>
      <c r="D1003" s="1100"/>
      <c r="E1003" s="1100"/>
      <c r="F1003" s="1100"/>
      <c r="G1003" s="1100"/>
      <c r="H1003" s="1100"/>
      <c r="I1003" s="1100"/>
      <c r="J1003" s="1100"/>
      <c r="K1003" s="1074"/>
      <c r="L1003" s="1074"/>
      <c r="M1003" s="1074"/>
      <c r="N1003" s="1074"/>
      <c r="O1003" s="1074"/>
      <c r="P1003" s="1074"/>
      <c r="Q1003" s="1074"/>
      <c r="R1003" s="1074"/>
      <c r="S1003" s="1074"/>
      <c r="T1003" s="1074"/>
      <c r="U1003" s="1074"/>
      <c r="V1003" s="1074"/>
      <c r="W1003" s="1074"/>
      <c r="X1003" s="1074"/>
      <c r="Y1003" s="1074"/>
      <c r="Z1003" s="1074"/>
      <c r="AA1003" s="1074"/>
      <c r="AB1003" s="1074"/>
      <c r="AC1003" s="1074"/>
      <c r="AD1003" s="1074"/>
      <c r="AE1003" s="1074"/>
      <c r="AF1003" s="1074"/>
      <c r="AG1003" s="1074"/>
      <c r="AH1003" s="1074"/>
      <c r="AI1003" s="1074"/>
      <c r="AJ1003" s="1074"/>
      <c r="AK1003" s="1074"/>
      <c r="AL1003" s="1074"/>
      <c r="AM1003" s="1074"/>
      <c r="AN1003" s="1074"/>
      <c r="AO1003" s="1074"/>
      <c r="AP1003" s="1074"/>
      <c r="AQ1003" s="1074"/>
      <c r="AR1003" s="1074"/>
      <c r="AS1003" s="1074"/>
      <c r="AT1003" s="1075"/>
    </row>
    <row r="1004" ht="14.25" customHeight="1">
      <c r="A1004" s="1116"/>
      <c r="B1004" s="1120"/>
      <c r="C1004" s="1100"/>
      <c r="D1004" s="1100"/>
      <c r="E1004" s="1100"/>
      <c r="F1004" s="1100"/>
      <c r="G1004" s="1100"/>
      <c r="H1004" s="1100"/>
      <c r="I1004" s="1100"/>
      <c r="J1004" s="1100"/>
      <c r="K1004" s="1074"/>
      <c r="L1004" s="1074"/>
      <c r="M1004" s="1074"/>
      <c r="N1004" s="1074"/>
      <c r="O1004" s="1074"/>
      <c r="P1004" s="1074"/>
      <c r="Q1004" s="1074"/>
      <c r="R1004" s="1074"/>
      <c r="S1004" s="1074"/>
      <c r="T1004" s="1074"/>
      <c r="U1004" s="1074"/>
      <c r="V1004" s="1074"/>
      <c r="W1004" s="1074"/>
      <c r="X1004" s="1074"/>
      <c r="Y1004" s="1074"/>
      <c r="Z1004" s="1074"/>
      <c r="AA1004" s="1074"/>
      <c r="AB1004" s="1074"/>
      <c r="AC1004" s="1074"/>
      <c r="AD1004" s="1074"/>
      <c r="AE1004" s="1074"/>
      <c r="AF1004" s="1074"/>
      <c r="AG1004" s="1074"/>
      <c r="AH1004" s="1074"/>
      <c r="AI1004" s="1074"/>
      <c r="AJ1004" s="1074"/>
      <c r="AK1004" s="1074"/>
      <c r="AL1004" s="1074"/>
      <c r="AM1004" s="1074"/>
      <c r="AN1004" s="1074"/>
      <c r="AO1004" s="1074"/>
      <c r="AP1004" s="1074"/>
      <c r="AQ1004" s="1074"/>
      <c r="AR1004" s="1074"/>
      <c r="AS1004" s="1074"/>
      <c r="AT1004" s="1075"/>
    </row>
    <row r="1005" ht="14.25" customHeight="1">
      <c r="A1005" s="1116"/>
      <c r="B1005" s="1120"/>
      <c r="C1005" s="1100"/>
      <c r="D1005" s="1100"/>
      <c r="E1005" s="1100"/>
      <c r="F1005" s="1100"/>
      <c r="G1005" s="1100"/>
      <c r="H1005" s="1100"/>
      <c r="I1005" s="1100"/>
      <c r="J1005" s="1100"/>
      <c r="K1005" s="1074"/>
      <c r="L1005" s="1074"/>
      <c r="M1005" s="1074"/>
      <c r="N1005" s="1074"/>
      <c r="O1005" s="1074"/>
      <c r="P1005" s="1074"/>
      <c r="Q1005" s="1074"/>
      <c r="R1005" s="1074"/>
      <c r="S1005" s="1074"/>
      <c r="T1005" s="1074"/>
      <c r="U1005" s="1074"/>
      <c r="V1005" s="1074"/>
      <c r="W1005" s="1074"/>
      <c r="X1005" s="1074"/>
      <c r="Y1005" s="1074"/>
      <c r="Z1005" s="1074"/>
      <c r="AA1005" s="1074"/>
      <c r="AB1005" s="1074"/>
      <c r="AC1005" s="1074"/>
      <c r="AD1005" s="1074"/>
      <c r="AE1005" s="1074"/>
      <c r="AF1005" s="1074"/>
      <c r="AG1005" s="1074"/>
      <c r="AH1005" s="1074"/>
      <c r="AI1005" s="1074"/>
      <c r="AJ1005" s="1074"/>
      <c r="AK1005" s="1074"/>
      <c r="AL1005" s="1074"/>
      <c r="AM1005" s="1074"/>
      <c r="AN1005" s="1074"/>
      <c r="AO1005" s="1074"/>
      <c r="AP1005" s="1074"/>
      <c r="AQ1005" s="1074"/>
      <c r="AR1005" s="1074"/>
      <c r="AS1005" s="1074"/>
      <c r="AT1005" s="1075"/>
    </row>
    <row r="1006" ht="14.25" customHeight="1">
      <c r="A1006" s="1116"/>
      <c r="B1006" s="1120"/>
      <c r="C1006" s="1100"/>
      <c r="D1006" s="1100"/>
      <c r="E1006" s="1100"/>
      <c r="F1006" s="1100"/>
      <c r="G1006" s="1100"/>
      <c r="H1006" s="1100"/>
      <c r="I1006" s="1100"/>
      <c r="J1006" s="1100"/>
      <c r="K1006" s="1074"/>
      <c r="L1006" s="1074"/>
      <c r="M1006" s="1074"/>
      <c r="N1006" s="1074"/>
      <c r="O1006" s="1074"/>
      <c r="P1006" s="1074"/>
      <c r="Q1006" s="1074"/>
      <c r="R1006" s="1074"/>
      <c r="S1006" s="1074"/>
      <c r="T1006" s="1074"/>
      <c r="U1006" s="1074"/>
      <c r="V1006" s="1074"/>
      <c r="W1006" s="1074"/>
      <c r="X1006" s="1074"/>
      <c r="Y1006" s="1074"/>
      <c r="Z1006" s="1074"/>
      <c r="AA1006" s="1074"/>
      <c r="AB1006" s="1074"/>
      <c r="AC1006" s="1074"/>
      <c r="AD1006" s="1074"/>
      <c r="AE1006" s="1074"/>
      <c r="AF1006" s="1074"/>
      <c r="AG1006" s="1074"/>
      <c r="AH1006" s="1074"/>
      <c r="AI1006" s="1074"/>
      <c r="AJ1006" s="1074"/>
      <c r="AK1006" s="1074"/>
      <c r="AL1006" s="1074"/>
      <c r="AM1006" s="1074"/>
      <c r="AN1006" s="1074"/>
      <c r="AO1006" s="1074"/>
      <c r="AP1006" s="1074"/>
      <c r="AQ1006" s="1074"/>
      <c r="AR1006" s="1074"/>
      <c r="AS1006" s="1074"/>
      <c r="AT1006" s="1075"/>
    </row>
    <row r="1007" ht="14.25" customHeight="1">
      <c r="A1007" s="1116"/>
      <c r="B1007" s="1120"/>
      <c r="C1007" s="1100"/>
      <c r="D1007" s="1100"/>
      <c r="E1007" s="1100"/>
      <c r="F1007" s="1100"/>
      <c r="G1007" s="1100"/>
      <c r="H1007" s="1100"/>
      <c r="I1007" s="1100"/>
      <c r="J1007" s="1100"/>
      <c r="K1007" s="1074"/>
      <c r="L1007" s="1074"/>
      <c r="M1007" s="1074"/>
      <c r="N1007" s="1074"/>
      <c r="O1007" s="1074"/>
      <c r="P1007" s="1074"/>
      <c r="Q1007" s="1074"/>
      <c r="R1007" s="1074"/>
      <c r="S1007" s="1074"/>
      <c r="T1007" s="1074"/>
      <c r="U1007" s="1074"/>
      <c r="V1007" s="1074"/>
      <c r="W1007" s="1074"/>
      <c r="X1007" s="1074"/>
      <c r="Y1007" s="1074"/>
      <c r="Z1007" s="1074"/>
      <c r="AA1007" s="1074"/>
      <c r="AB1007" s="1074"/>
      <c r="AC1007" s="1074"/>
      <c r="AD1007" s="1074"/>
      <c r="AE1007" s="1074"/>
      <c r="AF1007" s="1074"/>
      <c r="AG1007" s="1074"/>
      <c r="AH1007" s="1074"/>
      <c r="AI1007" s="1074"/>
      <c r="AJ1007" s="1074"/>
      <c r="AK1007" s="1074"/>
      <c r="AL1007" s="1074"/>
      <c r="AM1007" s="1074"/>
      <c r="AN1007" s="1074"/>
      <c r="AO1007" s="1074"/>
      <c r="AP1007" s="1074"/>
      <c r="AQ1007" s="1074"/>
      <c r="AR1007" s="1074"/>
      <c r="AS1007" s="1074"/>
      <c r="AT1007" s="1075"/>
    </row>
    <row r="1008" ht="14.25" customHeight="1">
      <c r="A1008" s="1116"/>
      <c r="B1008" s="1120"/>
      <c r="C1008" s="1100"/>
      <c r="D1008" s="1100"/>
      <c r="E1008" s="1100"/>
      <c r="F1008" s="1100"/>
      <c r="G1008" s="1100"/>
      <c r="H1008" s="1100"/>
      <c r="I1008" s="1100"/>
      <c r="J1008" s="1100"/>
      <c r="K1008" s="1074"/>
      <c r="L1008" s="1074"/>
      <c r="M1008" s="1074"/>
      <c r="N1008" s="1074"/>
      <c r="O1008" s="1074"/>
      <c r="P1008" s="1074"/>
      <c r="Q1008" s="1074"/>
      <c r="R1008" s="1074"/>
      <c r="S1008" s="1074"/>
      <c r="T1008" s="1074"/>
      <c r="U1008" s="1074"/>
      <c r="V1008" s="1074"/>
      <c r="W1008" s="1074"/>
      <c r="X1008" s="1074"/>
      <c r="Y1008" s="1074"/>
      <c r="Z1008" s="1074"/>
      <c r="AA1008" s="1074"/>
      <c r="AB1008" s="1074"/>
      <c r="AC1008" s="1074"/>
      <c r="AD1008" s="1074"/>
      <c r="AE1008" s="1074"/>
      <c r="AF1008" s="1074"/>
      <c r="AG1008" s="1074"/>
      <c r="AH1008" s="1074"/>
      <c r="AI1008" s="1074"/>
      <c r="AJ1008" s="1074"/>
      <c r="AK1008" s="1074"/>
      <c r="AL1008" s="1074"/>
      <c r="AM1008" s="1074"/>
      <c r="AN1008" s="1074"/>
      <c r="AO1008" s="1074"/>
      <c r="AP1008" s="1074"/>
      <c r="AQ1008" s="1074"/>
      <c r="AR1008" s="1074"/>
      <c r="AS1008" s="1074"/>
      <c r="AT1008" s="1075"/>
    </row>
    <row r="1009" ht="14.25" customHeight="1">
      <c r="A1009" s="1116"/>
      <c r="B1009" s="1120"/>
      <c r="C1009" s="1100"/>
      <c r="D1009" s="1100"/>
      <c r="E1009" s="1100"/>
      <c r="F1009" s="1100"/>
      <c r="G1009" s="1100"/>
      <c r="H1009" s="1100"/>
      <c r="I1009" s="1100"/>
      <c r="J1009" s="1100"/>
      <c r="K1009" s="1074"/>
      <c r="L1009" s="1074"/>
      <c r="M1009" s="1074"/>
      <c r="N1009" s="1074"/>
      <c r="O1009" s="1074"/>
      <c r="P1009" s="1074"/>
      <c r="Q1009" s="1074"/>
      <c r="R1009" s="1074"/>
      <c r="S1009" s="1074"/>
      <c r="T1009" s="1074"/>
      <c r="U1009" s="1074"/>
      <c r="V1009" s="1074"/>
      <c r="W1009" s="1074"/>
      <c r="X1009" s="1074"/>
      <c r="Y1009" s="1074"/>
      <c r="Z1009" s="1074"/>
      <c r="AA1009" s="1074"/>
      <c r="AB1009" s="1074"/>
      <c r="AC1009" s="1074"/>
      <c r="AD1009" s="1074"/>
      <c r="AE1009" s="1074"/>
      <c r="AF1009" s="1074"/>
      <c r="AG1009" s="1074"/>
      <c r="AH1009" s="1074"/>
      <c r="AI1009" s="1074"/>
      <c r="AJ1009" s="1074"/>
      <c r="AK1009" s="1074"/>
      <c r="AL1009" s="1074"/>
      <c r="AM1009" s="1074"/>
      <c r="AN1009" s="1074"/>
      <c r="AO1009" s="1074"/>
      <c r="AP1009" s="1074"/>
      <c r="AQ1009" s="1074"/>
      <c r="AR1009" s="1074"/>
      <c r="AS1009" s="1074"/>
      <c r="AT1009" s="1075"/>
    </row>
    <row r="1010" ht="14.25" customHeight="1">
      <c r="A1010" s="1116"/>
      <c r="B1010" s="1120"/>
      <c r="C1010" s="1100"/>
      <c r="D1010" s="1100"/>
      <c r="E1010" s="1100"/>
      <c r="F1010" s="1100"/>
      <c r="G1010" s="1100"/>
      <c r="H1010" s="1100"/>
      <c r="I1010" s="1100"/>
      <c r="J1010" s="1100"/>
      <c r="K1010" s="1074"/>
      <c r="L1010" s="1074"/>
      <c r="M1010" s="1074"/>
      <c r="N1010" s="1074"/>
      <c r="O1010" s="1074"/>
      <c r="P1010" s="1074"/>
      <c r="Q1010" s="1074"/>
      <c r="R1010" s="1074"/>
      <c r="S1010" s="1074"/>
      <c r="T1010" s="1074"/>
      <c r="U1010" s="1074"/>
      <c r="V1010" s="1074"/>
      <c r="W1010" s="1074"/>
      <c r="X1010" s="1074"/>
      <c r="Y1010" s="1074"/>
      <c r="Z1010" s="1074"/>
      <c r="AA1010" s="1074"/>
      <c r="AB1010" s="1074"/>
      <c r="AC1010" s="1074"/>
      <c r="AD1010" s="1074"/>
      <c r="AE1010" s="1074"/>
      <c r="AF1010" s="1074"/>
      <c r="AG1010" s="1074"/>
      <c r="AH1010" s="1074"/>
      <c r="AI1010" s="1074"/>
      <c r="AJ1010" s="1074"/>
      <c r="AK1010" s="1074"/>
      <c r="AL1010" s="1074"/>
      <c r="AM1010" s="1074"/>
      <c r="AN1010" s="1074"/>
      <c r="AO1010" s="1074"/>
      <c r="AP1010" s="1074"/>
      <c r="AQ1010" s="1074"/>
      <c r="AR1010" s="1074"/>
      <c r="AS1010" s="1074"/>
      <c r="AT1010" s="1075"/>
    </row>
    <row r="1011" ht="14.25" customHeight="1">
      <c r="A1011" s="1116"/>
      <c r="B1011" s="1120"/>
      <c r="C1011" s="1100"/>
      <c r="D1011" s="1100"/>
      <c r="E1011" s="1100"/>
      <c r="F1011" s="1100"/>
      <c r="G1011" s="1100"/>
      <c r="H1011" s="1100"/>
      <c r="I1011" s="1100"/>
      <c r="J1011" s="1100"/>
      <c r="K1011" s="1074"/>
      <c r="L1011" s="1074"/>
      <c r="M1011" s="1074"/>
      <c r="N1011" s="1074"/>
      <c r="O1011" s="1074"/>
      <c r="P1011" s="1074"/>
      <c r="Q1011" s="1074"/>
      <c r="R1011" s="1074"/>
      <c r="S1011" s="1074"/>
      <c r="T1011" s="1074"/>
      <c r="U1011" s="1074"/>
      <c r="V1011" s="1074"/>
      <c r="W1011" s="1074"/>
      <c r="X1011" s="1074"/>
      <c r="Y1011" s="1074"/>
      <c r="Z1011" s="1074"/>
      <c r="AA1011" s="1074"/>
      <c r="AB1011" s="1074"/>
      <c r="AC1011" s="1074"/>
      <c r="AD1011" s="1074"/>
      <c r="AE1011" s="1074"/>
      <c r="AF1011" s="1074"/>
      <c r="AG1011" s="1074"/>
      <c r="AH1011" s="1074"/>
      <c r="AI1011" s="1074"/>
      <c r="AJ1011" s="1074"/>
      <c r="AK1011" s="1074"/>
      <c r="AL1011" s="1074"/>
      <c r="AM1011" s="1074"/>
      <c r="AN1011" s="1074"/>
      <c r="AO1011" s="1074"/>
      <c r="AP1011" s="1074"/>
      <c r="AQ1011" s="1074"/>
      <c r="AR1011" s="1074"/>
      <c r="AS1011" s="1074"/>
      <c r="AT1011" s="1075"/>
    </row>
    <row r="1012" ht="14.25" customHeight="1">
      <c r="A1012" s="1116"/>
      <c r="B1012" s="1120"/>
      <c r="C1012" s="1100"/>
      <c r="D1012" s="1100"/>
      <c r="E1012" s="1100"/>
      <c r="F1012" s="1100"/>
      <c r="G1012" s="1100"/>
      <c r="H1012" s="1100"/>
      <c r="I1012" s="1100"/>
      <c r="J1012" s="1100"/>
      <c r="K1012" s="1074"/>
      <c r="L1012" s="1074"/>
      <c r="M1012" s="1074"/>
      <c r="N1012" s="1074"/>
      <c r="O1012" s="1074"/>
      <c r="P1012" s="1074"/>
      <c r="Q1012" s="1074"/>
      <c r="R1012" s="1074"/>
      <c r="S1012" s="1074"/>
      <c r="T1012" s="1074"/>
      <c r="U1012" s="1074"/>
      <c r="V1012" s="1074"/>
      <c r="W1012" s="1074"/>
      <c r="X1012" s="1074"/>
      <c r="Y1012" s="1074"/>
      <c r="Z1012" s="1074"/>
      <c r="AA1012" s="1074"/>
      <c r="AB1012" s="1074"/>
      <c r="AC1012" s="1074"/>
      <c r="AD1012" s="1074"/>
      <c r="AE1012" s="1074"/>
      <c r="AF1012" s="1074"/>
      <c r="AG1012" s="1074"/>
      <c r="AH1012" s="1074"/>
      <c r="AI1012" s="1074"/>
      <c r="AJ1012" s="1074"/>
      <c r="AK1012" s="1074"/>
      <c r="AL1012" s="1074"/>
      <c r="AM1012" s="1074"/>
      <c r="AN1012" s="1074"/>
      <c r="AO1012" s="1074"/>
      <c r="AP1012" s="1074"/>
      <c r="AQ1012" s="1074"/>
      <c r="AR1012" s="1074"/>
      <c r="AS1012" s="1074"/>
      <c r="AT1012" s="1075"/>
    </row>
    <row r="1013" ht="14.25" customHeight="1">
      <c r="A1013" s="1116"/>
      <c r="B1013" s="1120"/>
      <c r="C1013" s="1100"/>
      <c r="D1013" s="1100"/>
      <c r="E1013" s="1100"/>
      <c r="F1013" s="1100"/>
      <c r="G1013" s="1100"/>
      <c r="H1013" s="1100"/>
      <c r="I1013" s="1100"/>
      <c r="J1013" s="1100"/>
      <c r="K1013" s="1074"/>
      <c r="L1013" s="1074"/>
      <c r="M1013" s="1074"/>
      <c r="N1013" s="1074"/>
      <c r="O1013" s="1074"/>
      <c r="P1013" s="1074"/>
      <c r="Q1013" s="1074"/>
      <c r="R1013" s="1074"/>
      <c r="S1013" s="1074"/>
      <c r="T1013" s="1074"/>
      <c r="U1013" s="1074"/>
      <c r="V1013" s="1074"/>
      <c r="W1013" s="1074"/>
      <c r="X1013" s="1074"/>
      <c r="Y1013" s="1074"/>
      <c r="Z1013" s="1074"/>
      <c r="AA1013" s="1074"/>
      <c r="AB1013" s="1074"/>
      <c r="AC1013" s="1074"/>
      <c r="AD1013" s="1074"/>
      <c r="AE1013" s="1074"/>
      <c r="AF1013" s="1074"/>
      <c r="AG1013" s="1074"/>
      <c r="AH1013" s="1074"/>
      <c r="AI1013" s="1074"/>
      <c r="AJ1013" s="1074"/>
      <c r="AK1013" s="1074"/>
      <c r="AL1013" s="1074"/>
      <c r="AM1013" s="1074"/>
      <c r="AN1013" s="1074"/>
      <c r="AO1013" s="1074"/>
      <c r="AP1013" s="1074"/>
      <c r="AQ1013" s="1074"/>
      <c r="AR1013" s="1074"/>
      <c r="AS1013" s="1074"/>
      <c r="AT1013" s="1075"/>
    </row>
    <row r="1014" ht="14.25" customHeight="1">
      <c r="A1014" s="1116"/>
      <c r="B1014" s="1120"/>
      <c r="C1014" s="1100"/>
      <c r="D1014" s="1100"/>
      <c r="E1014" s="1100"/>
      <c r="F1014" s="1100"/>
      <c r="G1014" s="1100"/>
      <c r="H1014" s="1100"/>
      <c r="I1014" s="1100"/>
      <c r="J1014" s="1100"/>
      <c r="K1014" s="1074"/>
      <c r="L1014" s="1074"/>
      <c r="M1014" s="1074"/>
      <c r="N1014" s="1074"/>
      <c r="O1014" s="1074"/>
      <c r="P1014" s="1074"/>
      <c r="Q1014" s="1074"/>
      <c r="R1014" s="1074"/>
      <c r="S1014" s="1074"/>
      <c r="T1014" s="1074"/>
      <c r="U1014" s="1074"/>
      <c r="V1014" s="1074"/>
      <c r="W1014" s="1074"/>
      <c r="X1014" s="1074"/>
      <c r="Y1014" s="1074"/>
      <c r="Z1014" s="1074"/>
      <c r="AA1014" s="1074"/>
      <c r="AB1014" s="1074"/>
      <c r="AC1014" s="1074"/>
      <c r="AD1014" s="1074"/>
      <c r="AE1014" s="1074"/>
      <c r="AF1014" s="1074"/>
      <c r="AG1014" s="1074"/>
      <c r="AH1014" s="1074"/>
      <c r="AI1014" s="1074"/>
      <c r="AJ1014" s="1074"/>
      <c r="AK1014" s="1074"/>
      <c r="AL1014" s="1074"/>
      <c r="AM1014" s="1074"/>
      <c r="AN1014" s="1074"/>
      <c r="AO1014" s="1074"/>
      <c r="AP1014" s="1074"/>
      <c r="AQ1014" s="1074"/>
      <c r="AR1014" s="1074"/>
      <c r="AS1014" s="1074"/>
      <c r="AT1014" s="1075"/>
    </row>
    <row r="1015" ht="14.25" customHeight="1">
      <c r="A1015" s="1116"/>
      <c r="B1015" s="1120"/>
      <c r="C1015" s="1100"/>
      <c r="D1015" s="1100"/>
      <c r="E1015" s="1100"/>
      <c r="F1015" s="1100"/>
      <c r="G1015" s="1100"/>
      <c r="H1015" s="1100"/>
      <c r="I1015" s="1100"/>
      <c r="J1015" s="1100"/>
      <c r="K1015" s="1074"/>
      <c r="L1015" s="1074"/>
      <c r="M1015" s="1074"/>
      <c r="N1015" s="1074"/>
      <c r="O1015" s="1074"/>
      <c r="P1015" s="1074"/>
      <c r="Q1015" s="1074"/>
      <c r="R1015" s="1074"/>
      <c r="S1015" s="1074"/>
      <c r="T1015" s="1074"/>
      <c r="U1015" s="1074"/>
      <c r="V1015" s="1074"/>
      <c r="W1015" s="1074"/>
      <c r="X1015" s="1074"/>
      <c r="Y1015" s="1074"/>
      <c r="Z1015" s="1074"/>
      <c r="AA1015" s="1074"/>
      <c r="AB1015" s="1074"/>
      <c r="AC1015" s="1074"/>
      <c r="AD1015" s="1074"/>
      <c r="AE1015" s="1074"/>
      <c r="AF1015" s="1074"/>
      <c r="AG1015" s="1074"/>
      <c r="AH1015" s="1074"/>
      <c r="AI1015" s="1074"/>
      <c r="AJ1015" s="1074"/>
      <c r="AK1015" s="1074"/>
      <c r="AL1015" s="1074"/>
      <c r="AM1015" s="1074"/>
      <c r="AN1015" s="1074"/>
      <c r="AO1015" s="1074"/>
      <c r="AP1015" s="1074"/>
      <c r="AQ1015" s="1074"/>
      <c r="AR1015" s="1074"/>
      <c r="AS1015" s="1074"/>
      <c r="AT1015" s="1075"/>
    </row>
    <row r="1016" ht="14.25" customHeight="1">
      <c r="A1016" s="1116"/>
      <c r="B1016" s="1120"/>
      <c r="C1016" s="1100"/>
      <c r="D1016" s="1100"/>
      <c r="E1016" s="1100"/>
      <c r="F1016" s="1100"/>
      <c r="G1016" s="1100"/>
      <c r="H1016" s="1100"/>
      <c r="I1016" s="1100"/>
      <c r="J1016" s="1100"/>
      <c r="K1016" s="1074"/>
      <c r="L1016" s="1074"/>
      <c r="M1016" s="1074"/>
      <c r="N1016" s="1074"/>
      <c r="O1016" s="1074"/>
      <c r="P1016" s="1074"/>
      <c r="Q1016" s="1074"/>
      <c r="R1016" s="1074"/>
      <c r="S1016" s="1074"/>
      <c r="T1016" s="1074"/>
      <c r="U1016" s="1074"/>
      <c r="V1016" s="1074"/>
      <c r="W1016" s="1074"/>
      <c r="X1016" s="1074"/>
      <c r="Y1016" s="1074"/>
      <c r="Z1016" s="1074"/>
      <c r="AA1016" s="1074"/>
      <c r="AB1016" s="1074"/>
      <c r="AC1016" s="1074"/>
      <c r="AD1016" s="1074"/>
      <c r="AE1016" s="1074"/>
      <c r="AF1016" s="1074"/>
      <c r="AG1016" s="1074"/>
      <c r="AH1016" s="1074"/>
      <c r="AI1016" s="1074"/>
      <c r="AJ1016" s="1074"/>
      <c r="AK1016" s="1074"/>
      <c r="AL1016" s="1074"/>
      <c r="AM1016" s="1074"/>
      <c r="AN1016" s="1074"/>
      <c r="AO1016" s="1074"/>
      <c r="AP1016" s="1074"/>
      <c r="AQ1016" s="1074"/>
      <c r="AR1016" s="1074"/>
      <c r="AS1016" s="1074"/>
      <c r="AT1016" s="1075"/>
    </row>
    <row r="1017" ht="14.25" customHeight="1">
      <c r="A1017" s="1116"/>
      <c r="B1017" s="1120"/>
      <c r="C1017" s="1100"/>
      <c r="D1017" s="1100"/>
      <c r="E1017" s="1100"/>
      <c r="F1017" s="1100"/>
      <c r="G1017" s="1100"/>
      <c r="H1017" s="1100"/>
      <c r="I1017" s="1100"/>
      <c r="J1017" s="1100"/>
      <c r="K1017" s="1074"/>
      <c r="L1017" s="1074"/>
      <c r="M1017" s="1074"/>
      <c r="N1017" s="1074"/>
      <c r="O1017" s="1074"/>
      <c r="P1017" s="1074"/>
      <c r="Q1017" s="1074"/>
      <c r="R1017" s="1074"/>
      <c r="S1017" s="1074"/>
      <c r="T1017" s="1074"/>
      <c r="U1017" s="1074"/>
      <c r="V1017" s="1074"/>
      <c r="W1017" s="1074"/>
      <c r="X1017" s="1074"/>
      <c r="Y1017" s="1074"/>
      <c r="Z1017" s="1074"/>
      <c r="AA1017" s="1074"/>
      <c r="AB1017" s="1074"/>
      <c r="AC1017" s="1074"/>
      <c r="AD1017" s="1074"/>
      <c r="AE1017" s="1074"/>
      <c r="AF1017" s="1074"/>
      <c r="AG1017" s="1074"/>
      <c r="AH1017" s="1074"/>
      <c r="AI1017" s="1074"/>
      <c r="AJ1017" s="1074"/>
      <c r="AK1017" s="1074"/>
      <c r="AL1017" s="1074"/>
      <c r="AM1017" s="1074"/>
      <c r="AN1017" s="1074"/>
      <c r="AO1017" s="1074"/>
      <c r="AP1017" s="1074"/>
      <c r="AQ1017" s="1074"/>
      <c r="AR1017" s="1074"/>
      <c r="AS1017" s="1074"/>
      <c r="AT1017" s="1075"/>
    </row>
    <row r="1018" ht="14.25" customHeight="1">
      <c r="A1018" s="1116"/>
      <c r="B1018" s="1120"/>
      <c r="C1018" s="1100"/>
      <c r="D1018" s="1100"/>
      <c r="E1018" s="1100"/>
      <c r="F1018" s="1100"/>
      <c r="G1018" s="1100"/>
      <c r="H1018" s="1100"/>
      <c r="I1018" s="1100"/>
      <c r="J1018" s="1100"/>
      <c r="K1018" s="1074"/>
      <c r="L1018" s="1074"/>
      <c r="M1018" s="1074"/>
      <c r="N1018" s="1074"/>
      <c r="O1018" s="1074"/>
      <c r="P1018" s="1074"/>
      <c r="Q1018" s="1074"/>
      <c r="R1018" s="1074"/>
      <c r="S1018" s="1074"/>
      <c r="T1018" s="1074"/>
      <c r="U1018" s="1074"/>
      <c r="V1018" s="1074"/>
      <c r="W1018" s="1074"/>
      <c r="X1018" s="1074"/>
      <c r="Y1018" s="1074"/>
      <c r="Z1018" s="1074"/>
      <c r="AA1018" s="1074"/>
      <c r="AB1018" s="1074"/>
      <c r="AC1018" s="1074"/>
      <c r="AD1018" s="1074"/>
      <c r="AE1018" s="1074"/>
      <c r="AF1018" s="1074"/>
      <c r="AG1018" s="1074"/>
      <c r="AH1018" s="1074"/>
      <c r="AI1018" s="1074"/>
      <c r="AJ1018" s="1074"/>
      <c r="AK1018" s="1074"/>
      <c r="AL1018" s="1074"/>
      <c r="AM1018" s="1074"/>
      <c r="AN1018" s="1074"/>
      <c r="AO1018" s="1074"/>
      <c r="AP1018" s="1074"/>
      <c r="AQ1018" s="1074"/>
      <c r="AR1018" s="1074"/>
      <c r="AS1018" s="1074"/>
      <c r="AT1018" s="1075"/>
    </row>
    <row r="1019" ht="14.25" customHeight="1">
      <c r="A1019" s="1116"/>
      <c r="B1019" s="1120"/>
      <c r="C1019" s="1100"/>
      <c r="D1019" s="1100"/>
      <c r="E1019" s="1100"/>
      <c r="F1019" s="1100"/>
      <c r="G1019" s="1100"/>
      <c r="H1019" s="1100"/>
      <c r="I1019" s="1100"/>
      <c r="J1019" s="1100"/>
      <c r="K1019" s="1074"/>
      <c r="L1019" s="1074"/>
      <c r="M1019" s="1074"/>
      <c r="N1019" s="1074"/>
      <c r="O1019" s="1074"/>
      <c r="P1019" s="1074"/>
      <c r="Q1019" s="1074"/>
      <c r="R1019" s="1074"/>
      <c r="S1019" s="1074"/>
      <c r="T1019" s="1074"/>
      <c r="U1019" s="1074"/>
      <c r="V1019" s="1074"/>
      <c r="W1019" s="1074"/>
      <c r="X1019" s="1074"/>
      <c r="Y1019" s="1074"/>
      <c r="Z1019" s="1074"/>
      <c r="AA1019" s="1074"/>
      <c r="AB1019" s="1074"/>
      <c r="AC1019" s="1074"/>
      <c r="AD1019" s="1074"/>
      <c r="AE1019" s="1074"/>
      <c r="AF1019" s="1074"/>
      <c r="AG1019" s="1074"/>
      <c r="AH1019" s="1074"/>
      <c r="AI1019" s="1074"/>
      <c r="AJ1019" s="1074"/>
      <c r="AK1019" s="1074"/>
      <c r="AL1019" s="1074"/>
      <c r="AM1019" s="1074"/>
      <c r="AN1019" s="1074"/>
      <c r="AO1019" s="1074"/>
      <c r="AP1019" s="1074"/>
      <c r="AQ1019" s="1074"/>
      <c r="AR1019" s="1074"/>
      <c r="AS1019" s="1074"/>
      <c r="AT1019" s="1075"/>
    </row>
    <row r="1020" ht="14.25" customHeight="1">
      <c r="A1020" s="1116"/>
      <c r="B1020" s="1120"/>
      <c r="C1020" s="1100"/>
      <c r="D1020" s="1100"/>
      <c r="E1020" s="1100"/>
      <c r="F1020" s="1100"/>
      <c r="G1020" s="1100"/>
      <c r="H1020" s="1100"/>
      <c r="I1020" s="1100"/>
      <c r="J1020" s="1100"/>
      <c r="K1020" s="1074"/>
      <c r="L1020" s="1074"/>
      <c r="M1020" s="1074"/>
      <c r="N1020" s="1074"/>
      <c r="O1020" s="1074"/>
      <c r="P1020" s="1074"/>
      <c r="Q1020" s="1074"/>
      <c r="R1020" s="1074"/>
      <c r="S1020" s="1074"/>
      <c r="T1020" s="1074"/>
      <c r="U1020" s="1074"/>
      <c r="V1020" s="1074"/>
      <c r="W1020" s="1074"/>
      <c r="X1020" s="1074"/>
      <c r="Y1020" s="1074"/>
      <c r="Z1020" s="1074"/>
      <c r="AA1020" s="1074"/>
      <c r="AB1020" s="1074"/>
      <c r="AC1020" s="1074"/>
      <c r="AD1020" s="1074"/>
      <c r="AE1020" s="1074"/>
      <c r="AF1020" s="1074"/>
      <c r="AG1020" s="1074"/>
      <c r="AH1020" s="1074"/>
      <c r="AI1020" s="1074"/>
      <c r="AJ1020" s="1074"/>
      <c r="AK1020" s="1074"/>
      <c r="AL1020" s="1074"/>
      <c r="AM1020" s="1074"/>
      <c r="AN1020" s="1074"/>
      <c r="AO1020" s="1074"/>
      <c r="AP1020" s="1074"/>
      <c r="AQ1020" s="1074"/>
      <c r="AR1020" s="1074"/>
      <c r="AS1020" s="1074"/>
      <c r="AT1020" s="1075"/>
    </row>
    <row r="1021" ht="14.25" customHeight="1">
      <c r="A1021" s="1116"/>
      <c r="B1021" s="1120"/>
      <c r="C1021" s="1100"/>
      <c r="D1021" s="1100"/>
      <c r="E1021" s="1100"/>
      <c r="F1021" s="1100"/>
      <c r="G1021" s="1100"/>
      <c r="H1021" s="1100"/>
      <c r="I1021" s="1100"/>
      <c r="J1021" s="1100"/>
      <c r="K1021" s="1074"/>
      <c r="L1021" s="1074"/>
      <c r="M1021" s="1074"/>
      <c r="N1021" s="1074"/>
      <c r="O1021" s="1074"/>
      <c r="P1021" s="1074"/>
      <c r="Q1021" s="1074"/>
      <c r="R1021" s="1074"/>
      <c r="S1021" s="1074"/>
      <c r="T1021" s="1074"/>
      <c r="U1021" s="1074"/>
      <c r="V1021" s="1074"/>
      <c r="W1021" s="1074"/>
      <c r="X1021" s="1074"/>
      <c r="Y1021" s="1074"/>
      <c r="Z1021" s="1074"/>
      <c r="AA1021" s="1074"/>
      <c r="AB1021" s="1074"/>
      <c r="AC1021" s="1074"/>
      <c r="AD1021" s="1074"/>
      <c r="AE1021" s="1074"/>
      <c r="AF1021" s="1074"/>
      <c r="AG1021" s="1074"/>
      <c r="AH1021" s="1074"/>
      <c r="AI1021" s="1074"/>
      <c r="AJ1021" s="1074"/>
      <c r="AK1021" s="1074"/>
      <c r="AL1021" s="1074"/>
      <c r="AM1021" s="1074"/>
      <c r="AN1021" s="1074"/>
      <c r="AO1021" s="1074"/>
      <c r="AP1021" s="1074"/>
      <c r="AQ1021" s="1074"/>
      <c r="AR1021" s="1074"/>
      <c r="AS1021" s="1074"/>
      <c r="AT1021" s="1075"/>
    </row>
    <row r="1022" ht="14.25" customHeight="1">
      <c r="A1022" s="1116"/>
      <c r="B1022" s="1120"/>
      <c r="C1022" s="1100"/>
      <c r="D1022" s="1100"/>
      <c r="E1022" s="1100"/>
      <c r="F1022" s="1100"/>
      <c r="G1022" s="1100"/>
      <c r="H1022" s="1100"/>
      <c r="I1022" s="1100"/>
      <c r="J1022" s="1100"/>
      <c r="K1022" s="1074"/>
      <c r="L1022" s="1074"/>
      <c r="M1022" s="1074"/>
      <c r="N1022" s="1074"/>
      <c r="O1022" s="1074"/>
      <c r="P1022" s="1074"/>
      <c r="Q1022" s="1074"/>
      <c r="R1022" s="1074"/>
      <c r="S1022" s="1074"/>
      <c r="T1022" s="1074"/>
      <c r="U1022" s="1074"/>
      <c r="V1022" s="1074"/>
      <c r="W1022" s="1074"/>
      <c r="X1022" s="1074"/>
      <c r="Y1022" s="1074"/>
      <c r="Z1022" s="1074"/>
      <c r="AA1022" s="1074"/>
      <c r="AB1022" s="1074"/>
      <c r="AC1022" s="1074"/>
      <c r="AD1022" s="1074"/>
      <c r="AE1022" s="1074"/>
      <c r="AF1022" s="1074"/>
      <c r="AG1022" s="1074"/>
      <c r="AH1022" s="1074"/>
      <c r="AI1022" s="1074"/>
      <c r="AJ1022" s="1074"/>
      <c r="AK1022" s="1074"/>
      <c r="AL1022" s="1074"/>
      <c r="AM1022" s="1074"/>
      <c r="AN1022" s="1074"/>
      <c r="AO1022" s="1074"/>
      <c r="AP1022" s="1074"/>
      <c r="AQ1022" s="1074"/>
      <c r="AR1022" s="1074"/>
      <c r="AS1022" s="1074"/>
      <c r="AT1022" s="1075"/>
    </row>
    <row r="1023" ht="14.25" customHeight="1">
      <c r="A1023" s="1116"/>
      <c r="B1023" s="1120"/>
      <c r="C1023" s="1100"/>
      <c r="D1023" s="1100"/>
      <c r="E1023" s="1100"/>
      <c r="F1023" s="1100"/>
      <c r="G1023" s="1100"/>
      <c r="H1023" s="1100"/>
      <c r="I1023" s="1100"/>
      <c r="J1023" s="1100"/>
      <c r="K1023" s="1074"/>
      <c r="L1023" s="1074"/>
      <c r="M1023" s="1074"/>
      <c r="N1023" s="1074"/>
      <c r="O1023" s="1074"/>
      <c r="P1023" s="1074"/>
      <c r="Q1023" s="1074"/>
      <c r="R1023" s="1074"/>
      <c r="S1023" s="1074"/>
      <c r="T1023" s="1074"/>
      <c r="U1023" s="1074"/>
      <c r="V1023" s="1074"/>
      <c r="W1023" s="1074"/>
      <c r="X1023" s="1074"/>
      <c r="Y1023" s="1074"/>
      <c r="Z1023" s="1074"/>
      <c r="AA1023" s="1074"/>
      <c r="AB1023" s="1074"/>
      <c r="AC1023" s="1074"/>
      <c r="AD1023" s="1074"/>
      <c r="AE1023" s="1074"/>
      <c r="AF1023" s="1074"/>
      <c r="AG1023" s="1074"/>
      <c r="AH1023" s="1074"/>
      <c r="AI1023" s="1074"/>
      <c r="AJ1023" s="1074"/>
      <c r="AK1023" s="1074"/>
      <c r="AL1023" s="1074"/>
      <c r="AM1023" s="1074"/>
      <c r="AN1023" s="1074"/>
      <c r="AO1023" s="1074"/>
      <c r="AP1023" s="1074"/>
      <c r="AQ1023" s="1074"/>
      <c r="AR1023" s="1074"/>
      <c r="AS1023" s="1074"/>
      <c r="AT1023" s="1075"/>
    </row>
    <row r="1024" ht="14.25" customHeight="1">
      <c r="A1024" s="1116"/>
      <c r="B1024" s="1120"/>
      <c r="C1024" s="1100"/>
      <c r="D1024" s="1100"/>
      <c r="E1024" s="1100"/>
      <c r="F1024" s="1100"/>
      <c r="G1024" s="1100"/>
      <c r="H1024" s="1100"/>
      <c r="I1024" s="1100"/>
      <c r="J1024" s="1100"/>
      <c r="K1024" s="1074"/>
      <c r="L1024" s="1074"/>
      <c r="M1024" s="1074"/>
      <c r="N1024" s="1074"/>
      <c r="O1024" s="1074"/>
      <c r="P1024" s="1074"/>
      <c r="Q1024" s="1074"/>
      <c r="R1024" s="1074"/>
      <c r="S1024" s="1074"/>
      <c r="T1024" s="1074"/>
      <c r="U1024" s="1074"/>
      <c r="V1024" s="1074"/>
      <c r="W1024" s="1074"/>
      <c r="X1024" s="1074"/>
      <c r="Y1024" s="1074"/>
      <c r="Z1024" s="1074"/>
      <c r="AA1024" s="1074"/>
      <c r="AB1024" s="1074"/>
      <c r="AC1024" s="1074"/>
      <c r="AD1024" s="1074"/>
      <c r="AE1024" s="1074"/>
      <c r="AF1024" s="1074"/>
      <c r="AG1024" s="1074"/>
      <c r="AH1024" s="1074"/>
      <c r="AI1024" s="1074"/>
      <c r="AJ1024" s="1074"/>
      <c r="AK1024" s="1074"/>
      <c r="AL1024" s="1074"/>
      <c r="AM1024" s="1074"/>
      <c r="AN1024" s="1074"/>
      <c r="AO1024" s="1074"/>
      <c r="AP1024" s="1074"/>
      <c r="AQ1024" s="1074"/>
      <c r="AR1024" s="1074"/>
      <c r="AS1024" s="1074"/>
      <c r="AT1024" s="1075"/>
    </row>
    <row r="1025" ht="14.25" customHeight="1">
      <c r="A1025" s="1116"/>
      <c r="B1025" s="1120"/>
      <c r="C1025" s="1100"/>
      <c r="D1025" s="1100"/>
      <c r="E1025" s="1100"/>
      <c r="F1025" s="1100"/>
      <c r="G1025" s="1100"/>
      <c r="H1025" s="1100"/>
      <c r="I1025" s="1100"/>
      <c r="J1025" s="1100"/>
      <c r="K1025" s="1074"/>
      <c r="L1025" s="1074"/>
      <c r="M1025" s="1074"/>
      <c r="N1025" s="1074"/>
      <c r="O1025" s="1074"/>
      <c r="P1025" s="1074"/>
      <c r="Q1025" s="1074"/>
      <c r="R1025" s="1074"/>
      <c r="S1025" s="1074"/>
      <c r="T1025" s="1074"/>
      <c r="U1025" s="1074"/>
      <c r="V1025" s="1074"/>
      <c r="W1025" s="1074"/>
      <c r="X1025" s="1074"/>
      <c r="Y1025" s="1074"/>
      <c r="Z1025" s="1074"/>
      <c r="AA1025" s="1074"/>
      <c r="AB1025" s="1074"/>
      <c r="AC1025" s="1074"/>
      <c r="AD1025" s="1074"/>
      <c r="AE1025" s="1074"/>
      <c r="AF1025" s="1074"/>
      <c r="AG1025" s="1074"/>
      <c r="AH1025" s="1074"/>
      <c r="AI1025" s="1074"/>
      <c r="AJ1025" s="1074"/>
      <c r="AK1025" s="1074"/>
      <c r="AL1025" s="1074"/>
      <c r="AM1025" s="1074"/>
      <c r="AN1025" s="1074"/>
      <c r="AO1025" s="1074"/>
      <c r="AP1025" s="1074"/>
      <c r="AQ1025" s="1074"/>
      <c r="AR1025" s="1074"/>
      <c r="AS1025" s="1074"/>
      <c r="AT1025" s="1075"/>
    </row>
    <row r="1026" ht="14.25" customHeight="1">
      <c r="A1026" s="1116"/>
      <c r="B1026" s="1120"/>
      <c r="C1026" s="1100"/>
      <c r="D1026" s="1100"/>
      <c r="E1026" s="1100"/>
      <c r="F1026" s="1100"/>
      <c r="G1026" s="1100"/>
      <c r="H1026" s="1100"/>
      <c r="I1026" s="1100"/>
      <c r="J1026" s="1100"/>
      <c r="K1026" s="1074"/>
      <c r="L1026" s="1074"/>
      <c r="M1026" s="1074"/>
      <c r="N1026" s="1074"/>
      <c r="O1026" s="1074"/>
      <c r="P1026" s="1074"/>
      <c r="Q1026" s="1074"/>
      <c r="R1026" s="1074"/>
      <c r="S1026" s="1074"/>
      <c r="T1026" s="1074"/>
      <c r="U1026" s="1074"/>
      <c r="V1026" s="1074"/>
      <c r="W1026" s="1074"/>
      <c r="X1026" s="1074"/>
      <c r="Y1026" s="1074"/>
      <c r="Z1026" s="1074"/>
      <c r="AA1026" s="1074"/>
      <c r="AB1026" s="1074"/>
      <c r="AC1026" s="1074"/>
      <c r="AD1026" s="1074"/>
      <c r="AE1026" s="1074"/>
      <c r="AF1026" s="1074"/>
      <c r="AG1026" s="1074"/>
      <c r="AH1026" s="1074"/>
      <c r="AI1026" s="1074"/>
      <c r="AJ1026" s="1074"/>
      <c r="AK1026" s="1074"/>
      <c r="AL1026" s="1074"/>
      <c r="AM1026" s="1074"/>
      <c r="AN1026" s="1074"/>
      <c r="AO1026" s="1074"/>
      <c r="AP1026" s="1074"/>
      <c r="AQ1026" s="1074"/>
      <c r="AR1026" s="1074"/>
      <c r="AS1026" s="1074"/>
      <c r="AT1026" s="1075"/>
    </row>
    <row r="1027" ht="14.25" customHeight="1">
      <c r="A1027" s="1116"/>
      <c r="B1027" s="1120"/>
      <c r="C1027" s="1100"/>
      <c r="D1027" s="1100"/>
      <c r="E1027" s="1100"/>
      <c r="F1027" s="1100"/>
      <c r="G1027" s="1100"/>
      <c r="H1027" s="1100"/>
      <c r="I1027" s="1100"/>
      <c r="J1027" s="1100"/>
      <c r="K1027" s="1074"/>
      <c r="L1027" s="1074"/>
      <c r="M1027" s="1074"/>
      <c r="N1027" s="1074"/>
      <c r="O1027" s="1074"/>
      <c r="P1027" s="1074"/>
      <c r="Q1027" s="1074"/>
      <c r="R1027" s="1074"/>
      <c r="S1027" s="1074"/>
      <c r="T1027" s="1074"/>
      <c r="U1027" s="1074"/>
      <c r="V1027" s="1074"/>
      <c r="W1027" s="1074"/>
      <c r="X1027" s="1074"/>
      <c r="Y1027" s="1074"/>
      <c r="Z1027" s="1074"/>
      <c r="AA1027" s="1074"/>
      <c r="AB1027" s="1074"/>
      <c r="AC1027" s="1074"/>
      <c r="AD1027" s="1074"/>
      <c r="AE1027" s="1074"/>
      <c r="AF1027" s="1074"/>
      <c r="AG1027" s="1074"/>
      <c r="AH1027" s="1074"/>
      <c r="AI1027" s="1074"/>
      <c r="AJ1027" s="1074"/>
      <c r="AK1027" s="1074"/>
      <c r="AL1027" s="1074"/>
      <c r="AM1027" s="1074"/>
      <c r="AN1027" s="1074"/>
      <c r="AO1027" s="1074"/>
      <c r="AP1027" s="1074"/>
      <c r="AQ1027" s="1074"/>
      <c r="AR1027" s="1074"/>
      <c r="AS1027" s="1074"/>
      <c r="AT1027" s="1075"/>
    </row>
    <row r="1028" ht="14.25" customHeight="1">
      <c r="A1028" s="1116"/>
      <c r="B1028" s="1120"/>
      <c r="C1028" s="1100"/>
      <c r="D1028" s="1100"/>
      <c r="E1028" s="1100"/>
      <c r="F1028" s="1100"/>
      <c r="G1028" s="1100"/>
      <c r="H1028" s="1100"/>
      <c r="I1028" s="1100"/>
      <c r="J1028" s="1100"/>
      <c r="K1028" s="1074"/>
      <c r="L1028" s="1074"/>
      <c r="M1028" s="1074"/>
      <c r="N1028" s="1074"/>
      <c r="O1028" s="1074"/>
      <c r="P1028" s="1074"/>
      <c r="Q1028" s="1074"/>
      <c r="R1028" s="1074"/>
      <c r="S1028" s="1074"/>
      <c r="T1028" s="1074"/>
      <c r="U1028" s="1074"/>
      <c r="V1028" s="1074"/>
      <c r="W1028" s="1074"/>
      <c r="X1028" s="1074"/>
      <c r="Y1028" s="1074"/>
      <c r="Z1028" s="1074"/>
      <c r="AA1028" s="1074"/>
      <c r="AB1028" s="1074"/>
      <c r="AC1028" s="1074"/>
      <c r="AD1028" s="1074"/>
      <c r="AE1028" s="1074"/>
      <c r="AF1028" s="1074"/>
      <c r="AG1028" s="1074"/>
      <c r="AH1028" s="1074"/>
      <c r="AI1028" s="1074"/>
      <c r="AJ1028" s="1074"/>
      <c r="AK1028" s="1074"/>
      <c r="AL1028" s="1074"/>
      <c r="AM1028" s="1074"/>
      <c r="AN1028" s="1074"/>
      <c r="AO1028" s="1074"/>
      <c r="AP1028" s="1074"/>
      <c r="AQ1028" s="1074"/>
      <c r="AR1028" s="1074"/>
      <c r="AS1028" s="1074"/>
      <c r="AT1028" s="1075"/>
    </row>
    <row r="1029" ht="14.25" customHeight="1">
      <c r="A1029" s="1116"/>
      <c r="B1029" s="1120"/>
      <c r="C1029" s="1100"/>
      <c r="D1029" s="1100"/>
      <c r="E1029" s="1100"/>
      <c r="F1029" s="1100"/>
      <c r="G1029" s="1100"/>
      <c r="H1029" s="1100"/>
      <c r="I1029" s="1100"/>
      <c r="J1029" s="1100"/>
      <c r="K1029" s="1074"/>
      <c r="L1029" s="1074"/>
      <c r="M1029" s="1074"/>
      <c r="N1029" s="1074"/>
      <c r="O1029" s="1074"/>
      <c r="P1029" s="1074"/>
      <c r="Q1029" s="1074"/>
      <c r="R1029" s="1074"/>
      <c r="S1029" s="1074"/>
      <c r="T1029" s="1074"/>
      <c r="U1029" s="1074"/>
      <c r="V1029" s="1074"/>
      <c r="W1029" s="1074"/>
      <c r="X1029" s="1074"/>
      <c r="Y1029" s="1074"/>
      <c r="Z1029" s="1074"/>
      <c r="AA1029" s="1074"/>
      <c r="AB1029" s="1074"/>
      <c r="AC1029" s="1074"/>
      <c r="AD1029" s="1074"/>
      <c r="AE1029" s="1074"/>
      <c r="AF1029" s="1074"/>
      <c r="AG1029" s="1074"/>
      <c r="AH1029" s="1074"/>
      <c r="AI1029" s="1074"/>
      <c r="AJ1029" s="1074"/>
      <c r="AK1029" s="1074"/>
      <c r="AL1029" s="1074"/>
      <c r="AM1029" s="1074"/>
      <c r="AN1029" s="1074"/>
      <c r="AO1029" s="1074"/>
      <c r="AP1029" s="1074"/>
      <c r="AQ1029" s="1074"/>
      <c r="AR1029" s="1074"/>
      <c r="AS1029" s="1074"/>
      <c r="AT1029" s="1075"/>
    </row>
    <row r="1030" ht="14.25" customHeight="1">
      <c r="A1030" s="1116"/>
      <c r="B1030" s="1120"/>
      <c r="C1030" s="1100"/>
      <c r="D1030" s="1100"/>
      <c r="E1030" s="1100"/>
      <c r="F1030" s="1100"/>
      <c r="G1030" s="1100"/>
      <c r="H1030" s="1100"/>
      <c r="I1030" s="1100"/>
      <c r="J1030" s="1100"/>
      <c r="K1030" s="1074"/>
      <c r="L1030" s="1074"/>
      <c r="M1030" s="1074"/>
      <c r="N1030" s="1074"/>
      <c r="O1030" s="1074"/>
      <c r="P1030" s="1074"/>
      <c r="Q1030" s="1074"/>
      <c r="R1030" s="1074"/>
      <c r="S1030" s="1074"/>
      <c r="T1030" s="1074"/>
      <c r="U1030" s="1074"/>
      <c r="V1030" s="1074"/>
      <c r="W1030" s="1074"/>
      <c r="X1030" s="1074"/>
      <c r="Y1030" s="1074"/>
      <c r="Z1030" s="1074"/>
      <c r="AA1030" s="1074"/>
      <c r="AB1030" s="1074"/>
      <c r="AC1030" s="1074"/>
      <c r="AD1030" s="1074"/>
      <c r="AE1030" s="1074"/>
      <c r="AF1030" s="1074"/>
      <c r="AG1030" s="1074"/>
      <c r="AH1030" s="1074"/>
      <c r="AI1030" s="1074"/>
      <c r="AJ1030" s="1074"/>
      <c r="AK1030" s="1074"/>
      <c r="AL1030" s="1074"/>
      <c r="AM1030" s="1074"/>
      <c r="AN1030" s="1074"/>
      <c r="AO1030" s="1074"/>
      <c r="AP1030" s="1074"/>
      <c r="AQ1030" s="1074"/>
      <c r="AR1030" s="1074"/>
      <c r="AS1030" s="1074"/>
      <c r="AT1030" s="1075"/>
    </row>
    <row r="1031" ht="14.25" customHeight="1">
      <c r="A1031" s="1116"/>
      <c r="B1031" s="1120"/>
      <c r="C1031" s="1100"/>
      <c r="D1031" s="1100"/>
      <c r="E1031" s="1100"/>
      <c r="F1031" s="1100"/>
      <c r="G1031" s="1100"/>
      <c r="H1031" s="1100"/>
      <c r="I1031" s="1100"/>
      <c r="J1031" s="1100"/>
      <c r="K1031" s="1074"/>
      <c r="L1031" s="1074"/>
      <c r="M1031" s="1074"/>
      <c r="N1031" s="1074"/>
      <c r="O1031" s="1074"/>
      <c r="P1031" s="1074"/>
      <c r="Q1031" s="1074"/>
      <c r="R1031" s="1074"/>
      <c r="S1031" s="1074"/>
      <c r="T1031" s="1074"/>
      <c r="U1031" s="1074"/>
      <c r="V1031" s="1074"/>
      <c r="W1031" s="1074"/>
      <c r="X1031" s="1074"/>
      <c r="Y1031" s="1074"/>
      <c r="Z1031" s="1074"/>
      <c r="AA1031" s="1074"/>
      <c r="AB1031" s="1074"/>
      <c r="AC1031" s="1074"/>
      <c r="AD1031" s="1074"/>
      <c r="AE1031" s="1074"/>
      <c r="AF1031" s="1074"/>
      <c r="AG1031" s="1074"/>
      <c r="AH1031" s="1074"/>
      <c r="AI1031" s="1074"/>
      <c r="AJ1031" s="1074"/>
      <c r="AK1031" s="1074"/>
      <c r="AL1031" s="1074"/>
      <c r="AM1031" s="1074"/>
      <c r="AN1031" s="1074"/>
      <c r="AO1031" s="1074"/>
      <c r="AP1031" s="1074"/>
      <c r="AQ1031" s="1074"/>
      <c r="AR1031" s="1074"/>
      <c r="AS1031" s="1074"/>
      <c r="AT1031" s="1075"/>
    </row>
    <row r="1032" ht="14.25" customHeight="1">
      <c r="A1032" s="1122"/>
      <c r="B1032" s="1123"/>
      <c r="C1032" s="1124"/>
      <c r="D1032" s="1124"/>
      <c r="E1032" s="1124"/>
      <c r="F1032" s="1124"/>
      <c r="G1032" s="1124"/>
      <c r="H1032" s="1124"/>
      <c r="I1032" s="1124"/>
      <c r="J1032" s="1124"/>
      <c r="K1032" s="1125"/>
      <c r="L1032" s="1125"/>
      <c r="M1032" s="1125"/>
      <c r="N1032" s="1125"/>
      <c r="O1032" s="1125"/>
      <c r="P1032" s="1125"/>
      <c r="Q1032" s="1125"/>
      <c r="R1032" s="1125"/>
      <c r="S1032" s="1125"/>
      <c r="T1032" s="1125"/>
      <c r="U1032" s="1125"/>
      <c r="V1032" s="1125"/>
      <c r="W1032" s="1125"/>
      <c r="X1032" s="1125"/>
      <c r="Y1032" s="1125"/>
      <c r="Z1032" s="1125"/>
      <c r="AA1032" s="1125"/>
      <c r="AB1032" s="1125"/>
      <c r="AC1032" s="1125"/>
      <c r="AD1032" s="1125"/>
      <c r="AE1032" s="1125"/>
      <c r="AF1032" s="1125"/>
      <c r="AG1032" s="1125"/>
      <c r="AH1032" s="1125"/>
      <c r="AI1032" s="1125"/>
      <c r="AJ1032" s="1125"/>
      <c r="AK1032" s="1125"/>
      <c r="AL1032" s="1125"/>
      <c r="AM1032" s="1125"/>
      <c r="AN1032" s="1125"/>
      <c r="AO1032" s="1125"/>
      <c r="AP1032" s="1125"/>
      <c r="AQ1032" s="1125"/>
      <c r="AR1032" s="1125"/>
      <c r="AS1032" s="1125"/>
      <c r="AT1032" s="1126"/>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21.xml><?xml version="1.0" encoding="utf-8"?>
<worksheet xmlns:r="http://schemas.openxmlformats.org/officeDocument/2006/relationships" xmlns="http://schemas.openxmlformats.org/spreadsheetml/2006/main">
  <dimension ref="A1:U89"/>
  <sheetViews>
    <sheetView workbookViewId="0" showGridLines="0" defaultGridColor="1"/>
  </sheetViews>
  <sheetFormatPr defaultColWidth="8.83333" defaultRowHeight="14.5" customHeight="1" outlineLevelRow="0" outlineLevelCol="0"/>
  <cols>
    <col min="1" max="1" width="4.5" style="1289" customWidth="1"/>
    <col min="2" max="2" width="3.5" style="1289" customWidth="1"/>
    <col min="3" max="3" width="27.5" style="1289" customWidth="1"/>
    <col min="4" max="4" width="16.1719" style="1289" customWidth="1"/>
    <col min="5" max="5" width="16.6719" style="1289" customWidth="1"/>
    <col min="6" max="6" width="12.5" style="1289" customWidth="1"/>
    <col min="7" max="7" width="11.5" style="1289" customWidth="1"/>
    <col min="8" max="8" width="12.6719" style="1289" customWidth="1"/>
    <col min="9" max="9" width="15.8516" style="1289" customWidth="1"/>
    <col min="10" max="10" width="16.6719" style="1289" customWidth="1"/>
    <col min="11" max="11" width="14.8516" style="1289" customWidth="1"/>
    <col min="12" max="12" width="15.6719" style="1289" customWidth="1"/>
    <col min="13" max="13" width="16.1719" style="1289" customWidth="1"/>
    <col min="14" max="14" width="1.5" style="1289" customWidth="1"/>
    <col min="15" max="15" width="17.3516" style="1289" customWidth="1"/>
    <col min="16" max="16" width="17.6719" style="1289" customWidth="1"/>
    <col min="17" max="17" width="17.1719" style="1289" customWidth="1"/>
    <col min="18" max="18" width="19.1719" style="1289" customWidth="1"/>
    <col min="19" max="19" width="17.1719" style="1289" customWidth="1"/>
    <col min="20" max="20" width="19.5" style="1289" customWidth="1"/>
    <col min="21" max="21" width="8.85156" style="1289" customWidth="1"/>
    <col min="22" max="16384" width="8.85156" style="1289" customWidth="1"/>
  </cols>
  <sheetData>
    <row r="1" ht="15" customHeight="1" hidden="1">
      <c r="A1" s="1290"/>
      <c r="B1" s="1291"/>
      <c r="C1" s="1291"/>
      <c r="D1" s="1291"/>
      <c r="E1" s="1291"/>
      <c r="F1" s="1291"/>
      <c r="G1" s="1291"/>
      <c r="H1" s="1291"/>
      <c r="I1" s="1291"/>
      <c r="J1" s="1291"/>
      <c r="K1" s="1291"/>
      <c r="L1" s="1291"/>
      <c r="M1" s="1291"/>
      <c r="N1" s="1291"/>
      <c r="O1" s="1291"/>
      <c r="P1" s="1291"/>
      <c r="Q1" s="1291"/>
      <c r="R1" s="1291"/>
      <c r="S1" s="1291"/>
      <c r="T1" s="1291"/>
      <c r="U1" s="1292"/>
    </row>
    <row r="2" ht="15" customHeight="1" hidden="1">
      <c r="A2" s="1290"/>
      <c r="B2" s="1291"/>
      <c r="C2" s="1291"/>
      <c r="D2" s="1291"/>
      <c r="E2" s="1291"/>
      <c r="F2" s="1291"/>
      <c r="G2" s="1291"/>
      <c r="H2" s="1291"/>
      <c r="I2" s="1291"/>
      <c r="J2" s="1291"/>
      <c r="K2" s="1291"/>
      <c r="L2" s="1291"/>
      <c r="M2" s="1291"/>
      <c r="N2" s="1291"/>
      <c r="O2" s="1291"/>
      <c r="P2" s="1291"/>
      <c r="Q2" s="1291"/>
      <c r="R2" s="1291"/>
      <c r="S2" s="1291"/>
      <c r="T2" s="1291"/>
      <c r="U2" s="1292"/>
    </row>
    <row r="3" ht="15" customHeight="1">
      <c r="A3" s="7"/>
      <c r="B3" s="8"/>
      <c r="C3" s="8"/>
      <c r="D3" s="8"/>
      <c r="E3" s="8"/>
      <c r="F3" s="8"/>
      <c r="G3" s="8"/>
      <c r="H3" s="8"/>
      <c r="I3" s="8"/>
      <c r="J3" s="8"/>
      <c r="K3" s="8"/>
      <c r="L3" s="8"/>
      <c r="M3" s="8"/>
      <c r="N3" s="9"/>
      <c r="O3" s="8"/>
      <c r="P3" s="8"/>
      <c r="Q3" s="8"/>
      <c r="R3" s="8"/>
      <c r="S3" s="8"/>
      <c r="T3" s="8"/>
      <c r="U3" s="11"/>
    </row>
    <row r="4" ht="30.65" customHeight="1">
      <c r="A4" s="12"/>
      <c r="B4" s="1293"/>
      <c r="C4" t="s" s="1294">
        <v>987</v>
      </c>
      <c r="D4" t="s" s="1295">
        <v>7</v>
      </c>
      <c r="E4" t="s" s="1295">
        <v>988</v>
      </c>
      <c r="F4" t="s" s="1295">
        <v>933</v>
      </c>
      <c r="G4" t="s" s="1295">
        <v>934</v>
      </c>
      <c r="H4" t="s" s="1295">
        <v>989</v>
      </c>
      <c r="I4" t="s" s="1295">
        <v>990</v>
      </c>
      <c r="J4" t="s" s="1295">
        <v>991</v>
      </c>
      <c r="K4" t="s" s="1295">
        <v>659</v>
      </c>
      <c r="L4" t="s" s="1295">
        <v>1031</v>
      </c>
      <c r="M4" t="s" s="1296">
        <v>1055</v>
      </c>
      <c r="N4" s="1132"/>
      <c r="O4" t="s" s="1297">
        <v>1056</v>
      </c>
      <c r="P4" t="s" s="1295">
        <v>1057</v>
      </c>
      <c r="Q4" t="s" s="1295">
        <v>1058</v>
      </c>
      <c r="R4" t="s" s="1295">
        <v>1059</v>
      </c>
      <c r="S4" t="s" s="1295">
        <v>1060</v>
      </c>
      <c r="T4" t="s" s="1296">
        <v>1061</v>
      </c>
      <c r="U4" s="578"/>
    </row>
    <row r="5" ht="15" customHeight="1">
      <c r="A5" s="12"/>
      <c r="B5" s="1298" cm="1">
        <f t="array" ref="B5">'Boats Data Sheet 2025'!B3</f>
        <v>1</v>
      </c>
      <c r="C5" t="str" s="1299" cm="1">
        <f t="array" ref="C5">'Boats Data Sheet 2025'!C3</f>
        <v>Sweetheart 4</v>
      </c>
      <c r="D5" t="str" s="1300" cm="1">
        <f t="array" ref="D5">'Boats Data Sheet 2025'!D3</f>
        <v>Shared/Private</v>
      </c>
      <c r="E5" s="1301" cm="1">
        <f t="array" ref="E5">'Boats Data Sheet 2025'!E3</f>
        <v>0.7</v>
      </c>
      <c r="F5" t="str" s="1300" cm="1">
        <f t="array" ref="F5">'Boats Data Sheet 2025'!F3</f>
        <v>Own</v>
      </c>
      <c r="G5" t="str" s="1300" cm="1">
        <f t="array" ref="G5">'Boats Data Sheet 2025'!G3</f>
        <v>Primary</v>
      </c>
      <c r="H5" s="1302" cm="1">
        <f t="array" ref="H5">'Boats Data Sheet 2025'!H3</f>
        <v>14</v>
      </c>
      <c r="I5" s="1301">
        <v>0.8</v>
      </c>
      <c r="J5" s="1301">
        <v>0.8</v>
      </c>
      <c r="K5" s="1303" cm="1">
        <f t="array" ref="K5">365-15-10</f>
        <v>340</v>
      </c>
      <c r="L5" s="1304" cm="1">
        <f t="array" ref="L5">ROUNDDOWN(K5*I5*E5,0)</f>
        <v>190</v>
      </c>
      <c r="M5" s="1305" cm="1">
        <f t="array" ref="M5">ROUNDDOWN(L5*H5*J5,0)</f>
        <v>2128</v>
      </c>
      <c r="N5" s="71"/>
      <c r="O5" s="1306" cm="1">
        <f t="array" ref="O5">(1300000000)/10*E5</f>
        <v>91000000</v>
      </c>
      <c r="P5" s="1307" cm="1">
        <f t="array" ref="P5">38848416*E5</f>
        <v>27193891.2</v>
      </c>
      <c r="Q5" s="1307" cm="1">
        <f t="array" ref="Q5">120000000*E5</f>
        <v>84000000</v>
      </c>
      <c r="R5" s="1307" cm="1">
        <f t="array" ref="R5">SUM(O5:Q5)</f>
        <v>202193891.2</v>
      </c>
      <c r="S5" s="1307" cm="1">
        <f t="array" ref="S5">R5/L5</f>
        <v>1064178.37473684</v>
      </c>
      <c r="T5" s="1308" cm="1">
        <f t="array" ref="T5">R5/M5</f>
        <v>95015.9263157895</v>
      </c>
      <c r="U5" s="1309"/>
    </row>
    <row r="6" ht="15" customHeight="1">
      <c r="A6" s="12"/>
      <c r="B6" s="1310" cm="1">
        <f t="array" ref="B6">'Boats Data Sheet 2025'!B4</f>
        <v>2</v>
      </c>
      <c r="C6" t="str" s="1311" cm="1">
        <f t="array" ref="C6">'Boats Data Sheet 2025'!C4</f>
        <v>Riki J</v>
      </c>
      <c r="D6" t="str" s="1312" cm="1">
        <f t="array" ref="D6">'Boats Data Sheet 2025'!D4</f>
        <v>Shared/Private</v>
      </c>
      <c r="E6" s="1313" cm="1">
        <f t="array" ref="E6">'Boats Data Sheet 2025'!E4</f>
        <v>0.8</v>
      </c>
      <c r="F6" t="str" s="1312" cm="1">
        <f t="array" ref="F6">'Boats Data Sheet 2025'!F4</f>
        <v>Own</v>
      </c>
      <c r="G6" t="str" s="1312" cm="1">
        <f t="array" ref="G6">'Boats Data Sheet 2025'!G4</f>
        <v>Primary</v>
      </c>
      <c r="H6" s="1314" cm="1">
        <f t="array" ref="H6">'Boats Data Sheet 2025'!H4</f>
        <v>14</v>
      </c>
      <c r="I6" s="1313">
        <v>0.8</v>
      </c>
      <c r="J6" s="1313">
        <v>0.8</v>
      </c>
      <c r="K6" s="1315" cm="1">
        <f t="array" ref="K6">365-15-10</f>
        <v>340</v>
      </c>
      <c r="L6" s="1316" cm="1">
        <f t="array" ref="L6">ROUNDDOWN(K6*I6*E6,0)</f>
        <v>217</v>
      </c>
      <c r="M6" s="1317" cm="1">
        <f t="array" ref="M6">ROUNDDOWN(L6*H6*J6,0)</f>
        <v>2430</v>
      </c>
      <c r="N6" s="71"/>
      <c r="O6" s="1318" cm="1">
        <f t="array" ref="O6">(1450000000)/10*E6</f>
        <v>116000000</v>
      </c>
      <c r="P6" s="1319" cm="1">
        <f t="array" ref="P6">57400194*E6</f>
        <v>45920155.2</v>
      </c>
      <c r="Q6" s="1319">
        <v>0</v>
      </c>
      <c r="R6" s="1319" cm="1">
        <f t="array" ref="R6">SUM(O6:Q6)</f>
        <v>161920155.2</v>
      </c>
      <c r="S6" s="1319" cm="1">
        <f t="array" ref="S6">R6/L6</f>
        <v>746175.830414747</v>
      </c>
      <c r="T6" s="1320" cm="1">
        <f t="array" ref="T6">R6/M6</f>
        <v>66633.808724279806</v>
      </c>
      <c r="U6" s="1309"/>
    </row>
    <row r="7" ht="15" customHeight="1">
      <c r="A7" s="12"/>
      <c r="B7" s="1310" cm="1">
        <f t="array" ref="B7">'Boats Data Sheet 2025'!B11</f>
        <v>9</v>
      </c>
      <c r="C7" t="str" s="1311" cm="1">
        <f t="array" ref="C7">'Boats Data Sheet 2025'!C11</f>
        <v>Sanjaya</v>
      </c>
      <c r="D7" t="str" s="1312" cm="1">
        <f t="array" ref="D7">'Boats Data Sheet 2025'!D11</f>
        <v>Shared/Private</v>
      </c>
      <c r="E7" s="1313" cm="1">
        <f t="array" ref="E7">'Boats Data Sheet 2025'!E11</f>
        <v>0.6</v>
      </c>
      <c r="F7" t="str" s="1312" cm="1">
        <f t="array" ref="F7">'Boats Data Sheet 2025'!F11</f>
        <v>Rent</v>
      </c>
      <c r="G7" t="str" s="1312" cm="1">
        <f t="array" ref="G7">'Boats Data Sheet 2025'!G11</f>
        <v>Primary</v>
      </c>
      <c r="H7" s="1314" cm="1">
        <f t="array" ref="H7">'Boats Data Sheet 2025'!H11</f>
        <v>13</v>
      </c>
      <c r="I7" s="1313">
        <v>0.8</v>
      </c>
      <c r="J7" s="1313">
        <v>0.8</v>
      </c>
      <c r="K7" s="1315" cm="1">
        <f t="array" ref="K7">365-15-10</f>
        <v>340</v>
      </c>
      <c r="L7" s="1316" cm="1">
        <f t="array" ref="L7">ROUNDDOWN(K7*I7*E7,0)</f>
        <v>163</v>
      </c>
      <c r="M7" s="1317" cm="1">
        <f t="array" ref="M7">ROUNDDOWN(L7*H7*J7,0)</f>
        <v>1695</v>
      </c>
      <c r="N7" s="71"/>
      <c r="O7" s="1318">
        <v>0</v>
      </c>
      <c r="P7" s="1319"/>
      <c r="Q7" s="1319">
        <v>0</v>
      </c>
      <c r="R7" s="1319" cm="1">
        <f t="array" ref="R7">SUM(O7:Q7)</f>
        <v>0</v>
      </c>
      <c r="S7" s="1319" cm="1">
        <f t="array" ref="S7">R7/L7</f>
        <v>0</v>
      </c>
      <c r="T7" s="1320" cm="1">
        <f t="array" ref="T7">R7/M7</f>
        <v>0</v>
      </c>
      <c r="U7" s="1309"/>
    </row>
    <row r="8" ht="15" customHeight="1">
      <c r="A8" s="12"/>
      <c r="B8" s="1310" cm="1">
        <f t="array" ref="B8">'Boats Data Sheet 2025'!B12</f>
        <v>10</v>
      </c>
      <c r="C8" t="str" s="1311" cm="1">
        <f t="array" ref="C8">'Boats Data Sheet 2025'!C12</f>
        <v>Jayanadi</v>
      </c>
      <c r="D8" t="str" s="1312" cm="1">
        <f t="array" ref="D8">'Boats Data Sheet 2025'!D12</f>
        <v>Shared/Private</v>
      </c>
      <c r="E8" s="1313" cm="1">
        <f t="array" ref="E8">'Boats Data Sheet 2025'!E12</f>
        <v>0.4</v>
      </c>
      <c r="F8" t="str" s="1312" cm="1">
        <f t="array" ref="F8">'Boats Data Sheet 2025'!F12</f>
        <v>Tour </v>
      </c>
      <c r="G8" t="str" s="1312" cm="1">
        <f t="array" ref="G8">'Boats Data Sheet 2025'!G12</f>
        <v>Primary</v>
      </c>
      <c r="H8" s="1314" cm="1">
        <f t="array" ref="H8">'Boats Data Sheet 2025'!H12</f>
        <v>14</v>
      </c>
      <c r="I8" s="1313">
        <v>0.8</v>
      </c>
      <c r="J8" s="1313">
        <v>0.8</v>
      </c>
      <c r="K8" s="1315" cm="1">
        <f t="array" ref="K8">365-15-10</f>
        <v>340</v>
      </c>
      <c r="L8" s="1316" cm="1">
        <f t="array" ref="L8">ROUNDDOWN(K8*I8*E8,0)</f>
        <v>108</v>
      </c>
      <c r="M8" s="1317" cm="1">
        <f t="array" ref="M8">ROUNDDOWN(L8*H8*J8,0)</f>
        <v>1209</v>
      </c>
      <c r="N8" s="71"/>
      <c r="O8" s="1318">
        <v>0</v>
      </c>
      <c r="P8" s="1319"/>
      <c r="Q8" s="1319">
        <v>0</v>
      </c>
      <c r="R8" s="1319" cm="1">
        <f t="array" ref="R8">SUM(O8:Q8)</f>
        <v>0</v>
      </c>
      <c r="S8" s="1319" cm="1">
        <f t="array" ref="S8">R8/L8</f>
        <v>0</v>
      </c>
      <c r="T8" s="1320" cm="1">
        <f t="array" ref="T8">R8/M8</f>
        <v>0</v>
      </c>
      <c r="U8" s="1309"/>
    </row>
    <row r="9" ht="15" customHeight="1">
      <c r="A9" s="12"/>
      <c r="B9" s="1310" cm="1">
        <f t="array" ref="B9">'Boats Data Sheet 2025'!B13</f>
        <v>11</v>
      </c>
      <c r="C9" t="str" s="1311" cm="1">
        <f t="array" ref="C9">'Boats Data Sheet 2025'!C13</f>
        <v>Sea Dragon</v>
      </c>
      <c r="D9" t="str" s="1312" cm="1">
        <f t="array" ref="D9">'Boats Data Sheet 2025'!D13</f>
        <v>Shared/Private</v>
      </c>
      <c r="E9" s="1313" cm="1">
        <f t="array" ref="E9">'Boats Data Sheet 2025'!E13</f>
        <v>0.8</v>
      </c>
      <c r="F9" t="str" s="1312" cm="1">
        <f t="array" ref="F9">'Boats Data Sheet 2025'!F13</f>
        <v>Rent</v>
      </c>
      <c r="G9" t="str" s="1312" cm="1">
        <f t="array" ref="G9">'Boats Data Sheet 2025'!G13</f>
        <v>Primary</v>
      </c>
      <c r="H9" s="1314" cm="1">
        <f t="array" ref="H9">'Boats Data Sheet 2025'!H13</f>
        <v>13</v>
      </c>
      <c r="I9" s="1313">
        <v>0.8</v>
      </c>
      <c r="J9" s="1313">
        <v>0.8</v>
      </c>
      <c r="K9" s="1315" cm="1">
        <f t="array" ref="K9">365-15-10</f>
        <v>340</v>
      </c>
      <c r="L9" s="1316" cm="1">
        <f t="array" ref="L9">ROUNDDOWN(K9*I9*E9,0)</f>
        <v>217</v>
      </c>
      <c r="M9" s="1317" cm="1">
        <f t="array" ref="M9">ROUNDDOWN(L9*H9*J9,0)</f>
        <v>2256</v>
      </c>
      <c r="N9" s="71"/>
      <c r="O9" s="1318">
        <v>0</v>
      </c>
      <c r="P9" s="1319"/>
      <c r="Q9" s="1319">
        <v>0</v>
      </c>
      <c r="R9" s="1319" cm="1">
        <f t="array" ref="R9">SUM(O9:Q9)</f>
        <v>0</v>
      </c>
      <c r="S9" s="1319" cm="1">
        <f t="array" ref="S9">R9/L9</f>
        <v>0</v>
      </c>
      <c r="T9" s="1320" cm="1">
        <f t="array" ref="T9">R9/M9</f>
        <v>0</v>
      </c>
      <c r="U9" s="1309"/>
    </row>
    <row r="10" ht="13.75" customHeight="1">
      <c r="A10" s="12"/>
      <c r="B10" s="1310" cm="1">
        <f t="array" ref="B10">'Boats Data Sheet 2025'!B14</f>
        <v>12</v>
      </c>
      <c r="C10" t="str" s="1299" cm="1">
        <f t="array" ref="C10">'Boats Data Sheet 2025'!C14</f>
        <v>Sanjaya O4</v>
      </c>
      <c r="D10" t="str" s="1312" cm="1">
        <f t="array" ref="D10">'Boats Data Sheet 2025'!D14</f>
        <v>Shared/Private</v>
      </c>
      <c r="E10" s="1313">
        <v>0.6</v>
      </c>
      <c r="F10" t="str" s="1312" cm="1">
        <f t="array" ref="F10">'Boats Data Sheet 2025'!F14</f>
        <v>Rent</v>
      </c>
      <c r="G10" t="str" s="1312" cm="1">
        <f t="array" ref="G10">'Boats Data Sheet 2025'!G14</f>
        <v>Primary</v>
      </c>
      <c r="H10" s="1314" cm="1">
        <f t="array" ref="H10">'Boats Data Sheet 2025'!H14</f>
        <v>13</v>
      </c>
      <c r="I10" s="1313">
        <v>0.8</v>
      </c>
      <c r="J10" s="1313">
        <v>0.8</v>
      </c>
      <c r="K10" s="1315" cm="1">
        <f t="array" ref="K10">365-15-10</f>
        <v>340</v>
      </c>
      <c r="L10" s="1316" cm="1">
        <f t="array" ref="L10">ROUNDDOWN(K10*I10*E10,0)</f>
        <v>163</v>
      </c>
      <c r="M10" s="1317" cm="1">
        <f t="array" ref="M10">ROUNDDOWN(L10*H10*J10,0)</f>
        <v>1695</v>
      </c>
      <c r="N10" s="71"/>
      <c r="O10" s="1318">
        <v>0</v>
      </c>
      <c r="P10" s="1319"/>
      <c r="Q10" s="1319">
        <v>0</v>
      </c>
      <c r="R10" s="1319" cm="1">
        <f t="array" ref="R10">SUM(O10:Q10)</f>
        <v>0</v>
      </c>
      <c r="S10" s="1319" cm="1">
        <f t="array" ref="S10">R10/L10</f>
        <v>0</v>
      </c>
      <c r="T10" s="1320" cm="1">
        <f t="array" ref="T10">R10/M10</f>
        <v>0</v>
      </c>
      <c r="U10" s="1309"/>
    </row>
    <row r="11" ht="13.75" customHeight="1">
      <c r="A11" s="12"/>
      <c r="B11" s="1310" cm="1">
        <f t="array" ref="B11">'Boats Data Sheet 2025'!B15</f>
        <v>13</v>
      </c>
      <c r="C11" t="str" s="1299" cm="1">
        <f t="array" ref="C11">'Boats Data Sheet 2025'!C15</f>
        <v>Sanjaya O5</v>
      </c>
      <c r="D11" t="str" s="1312" cm="1">
        <f t="array" ref="D11">'Boats Data Sheet 2025'!D15</f>
        <v>Shared/Private</v>
      </c>
      <c r="E11" s="1313" cm="1">
        <f t="array" ref="E11">'Boats Data Sheet 2025'!E15</f>
        <v>0.8</v>
      </c>
      <c r="F11" t="str" s="1312" cm="1">
        <f t="array" ref="F11">'Boats Data Sheet 2025'!F15</f>
        <v>Rent</v>
      </c>
      <c r="G11" t="str" s="1312" cm="1">
        <f t="array" ref="G11">'Boats Data Sheet 2025'!G15</f>
        <v>Primary</v>
      </c>
      <c r="H11" s="1314" cm="1">
        <f t="array" ref="H11">'Boats Data Sheet 2025'!H15</f>
        <v>13</v>
      </c>
      <c r="I11" s="1313">
        <v>0.8</v>
      </c>
      <c r="J11" s="1313">
        <v>0.8</v>
      </c>
      <c r="K11" s="1315" cm="1">
        <f t="array" ref="K11">365-15-10</f>
        <v>340</v>
      </c>
      <c r="L11" s="1316" cm="1">
        <f t="array" ref="L11">ROUNDDOWN(K11*I11*E11,0)</f>
        <v>217</v>
      </c>
      <c r="M11" s="1317" cm="1">
        <f t="array" ref="M11">ROUNDDOWN(L11*H11*J11,0)</f>
        <v>2256</v>
      </c>
      <c r="N11" s="71"/>
      <c r="O11" s="1318">
        <v>0</v>
      </c>
      <c r="P11" s="1319"/>
      <c r="Q11" s="1319">
        <v>0</v>
      </c>
      <c r="R11" s="1319" cm="1">
        <f t="array" ref="R11">SUM(O11:Q11)</f>
        <v>0</v>
      </c>
      <c r="S11" s="1319" cm="1">
        <f t="array" ref="S11">R11/L11</f>
        <v>0</v>
      </c>
      <c r="T11" s="1320" cm="1">
        <f t="array" ref="T11">R11/M11</f>
        <v>0</v>
      </c>
      <c r="U11" s="1309"/>
    </row>
    <row r="12" ht="15" customHeight="1">
      <c r="A12" s="12"/>
      <c r="B12" s="1310" cm="1">
        <f t="array" ref="B12">'Boats Data Sheet 2025'!B16</f>
        <v>14</v>
      </c>
      <c r="C12" t="str" s="1311" cm="1">
        <f t="array" ref="C12">'Boats Data Sheet 2025'!C18</f>
        <v>Big Sweetheart</v>
      </c>
      <c r="D12" t="str" s="1312" cm="1">
        <f t="array" ref="D12">'Boats Data Sheet 2025'!D18</f>
        <v>Shared</v>
      </c>
      <c r="E12" s="1313" cm="1">
        <f t="array" ref="E12">'Boats Data Sheet 2025'!E18</f>
        <v>1</v>
      </c>
      <c r="F12" t="str" s="1312" cm="1">
        <f t="array" ref="F12">'Boats Data Sheet 2025'!F18</f>
        <v>Rent</v>
      </c>
      <c r="G12" t="str" s="1312" cm="1">
        <f t="array" ref="G12">'Boats Data Sheet 2025'!G18</f>
        <v>Primary</v>
      </c>
      <c r="H12" s="1314" cm="1">
        <f t="array" ref="H12">'Boats Data Sheet 2025'!H18</f>
        <v>14</v>
      </c>
      <c r="I12" s="1313">
        <v>0.9</v>
      </c>
      <c r="J12" s="1313">
        <v>0.8</v>
      </c>
      <c r="K12" s="1315" cm="1">
        <f t="array" ref="K12">365-15-10</f>
        <v>340</v>
      </c>
      <c r="L12" s="1316" cm="1">
        <f t="array" ref="L12">ROUNDDOWN(K12*I12*E12,0)</f>
        <v>306</v>
      </c>
      <c r="M12" s="1317" cm="1">
        <f t="array" ref="M12">ROUNDDOWN(L12*H12*J12,0)</f>
        <v>3427</v>
      </c>
      <c r="N12" s="71"/>
      <c r="O12" s="1318">
        <v>0</v>
      </c>
      <c r="P12" s="1319"/>
      <c r="Q12" s="1319">
        <v>0</v>
      </c>
      <c r="R12" s="1319" cm="1">
        <f t="array" ref="R12">SUM(O12:Q12)</f>
        <v>0</v>
      </c>
      <c r="S12" s="1319" cm="1">
        <f t="array" ref="S12">R12/L12</f>
        <v>0</v>
      </c>
      <c r="T12" s="1320" cm="1">
        <f t="array" ref="T12">R12/M12</f>
        <v>0</v>
      </c>
      <c r="U12" s="1309"/>
    </row>
    <row r="13" ht="15" customHeight="1">
      <c r="A13" s="12"/>
      <c r="B13" s="1310" cm="1">
        <f t="array" ref="B13">'Boats Data Sheet 2025'!B18</f>
        <v>16</v>
      </c>
      <c r="C13" t="str" s="1299" cm="1">
        <f t="array" ref="C13">'Boats Data Sheet 2025'!C24</f>
        <v>Lady Manta</v>
      </c>
      <c r="D13" t="str" s="1321" cm="1">
        <f t="array" ref="D13">'Boats Data Sheet 2025'!D24</f>
        <v>Shared</v>
      </c>
      <c r="E13" s="1313" cm="1">
        <f t="array" ref="E13">'Boats Data Sheet 2025'!E24</f>
        <v>1</v>
      </c>
      <c r="F13" t="str" s="1321" cm="1">
        <f t="array" ref="F13">'Boats Data Sheet 2025'!F24</f>
        <v>Own</v>
      </c>
      <c r="G13" t="str" s="1321" cm="1">
        <f t="array" ref="G13">'Boats Data Sheet 2025'!G24</f>
        <v>Primary</v>
      </c>
      <c r="H13" s="1314" cm="1">
        <f t="array" ref="H13">'Boats Data Sheet 2025'!H24</f>
        <v>14</v>
      </c>
      <c r="I13" s="1313">
        <v>0.8</v>
      </c>
      <c r="J13" s="1313">
        <v>0.8</v>
      </c>
      <c r="K13" s="1315" cm="1">
        <f t="array" ref="K13">365-15-10</f>
        <v>340</v>
      </c>
      <c r="L13" s="1316" cm="1">
        <f t="array" ref="L13">ROUNDDOWN(K13*I13*E13,0)</f>
        <v>272</v>
      </c>
      <c r="M13" s="1317" cm="1">
        <f t="array" ref="M13">ROUNDDOWN(L13*H13*J13,0)</f>
        <v>3046</v>
      </c>
      <c r="N13" s="71"/>
      <c r="O13" s="1318" cm="1">
        <f t="array" ref="O13">1360000000/10*E13</f>
        <v>136000000</v>
      </c>
      <c r="P13" s="1319" cm="1">
        <f t="array" ref="P13">38848416*E13</f>
        <v>38848416</v>
      </c>
      <c r="Q13" s="1319" cm="1">
        <f t="array" ref="Q13">120000000*E13</f>
        <v>120000000</v>
      </c>
      <c r="R13" s="1319" cm="1">
        <f t="array" ref="R13">SUM(O13:Q13)</f>
        <v>294848416</v>
      </c>
      <c r="S13" s="1319" cm="1">
        <f t="array" ref="S13">R13/L13</f>
        <v>1084001.52941176</v>
      </c>
      <c r="T13" s="1320" cm="1">
        <f t="array" ref="T13">R13/M13</f>
        <v>96798.5607353907</v>
      </c>
      <c r="U13" s="1309"/>
    </row>
    <row r="14" ht="15" customHeight="1">
      <c r="A14" s="12"/>
      <c r="B14" s="1310" cm="1">
        <f t="array" ref="B14">'Boats Data Sheet 2025'!B19</f>
        <v>17</v>
      </c>
      <c r="C14" t="str" s="1299" cm="1">
        <f t="array" ref="C14">'Boats Data Sheet 2025'!C25</f>
        <v>Debil Luxury</v>
      </c>
      <c r="D14" t="str" s="1321" cm="1">
        <f t="array" ref="D14">'Boats Data Sheet 2025'!D25</f>
        <v>Shared</v>
      </c>
      <c r="E14" s="1313" cm="1">
        <f t="array" ref="E14">'Boats Data Sheet 2025'!E25</f>
        <v>1</v>
      </c>
      <c r="F14" t="str" s="1321" cm="1">
        <f t="array" ref="F14">'Boats Data Sheet 2025'!F25</f>
        <v>Management</v>
      </c>
      <c r="G14" t="str" s="1321" cm="1">
        <f t="array" ref="G14">'Boats Data Sheet 2025'!G25</f>
        <v>Primary</v>
      </c>
      <c r="H14" s="1314" cm="1">
        <f t="array" ref="H14">'Boats Data Sheet 2025'!H25</f>
        <v>15</v>
      </c>
      <c r="I14" s="1313">
        <v>0.5</v>
      </c>
      <c r="J14" s="1313">
        <v>0.8</v>
      </c>
      <c r="K14" s="1315" cm="1">
        <f t="array" ref="K14">365-15-10</f>
        <v>340</v>
      </c>
      <c r="L14" s="1316" cm="1">
        <f t="array" ref="L14">ROUNDDOWN(K14*I14*E14,0)</f>
        <v>170</v>
      </c>
      <c r="M14" s="1317" cm="1">
        <f t="array" ref="M14">ROUNDDOWN(L14*H14*J14,0)</f>
        <v>2040</v>
      </c>
      <c r="N14" s="71"/>
      <c r="O14" s="1318">
        <v>0</v>
      </c>
      <c r="P14" s="1319"/>
      <c r="Q14" s="1319">
        <v>0</v>
      </c>
      <c r="R14" s="1319" cm="1">
        <f t="array" ref="R14">SUM(O14:Q14)</f>
        <v>0</v>
      </c>
      <c r="S14" s="1319" cm="1">
        <f t="array" ref="S14">R14/L14</f>
        <v>0</v>
      </c>
      <c r="T14" s="1320" cm="1">
        <f t="array" ref="T14">R14/M14</f>
        <v>0</v>
      </c>
      <c r="U14" s="1309"/>
    </row>
    <row r="15" ht="15" customHeight="1">
      <c r="A15" s="12"/>
      <c r="B15" s="1310" cm="1">
        <f t="array" ref="B15">'Boats Data Sheet 2025'!B5</f>
        <v>3</v>
      </c>
      <c r="C15" t="str" s="1299" cm="1">
        <f t="array" ref="C15">'Boats Data Sheet 2025'!C5</f>
        <v>Almond Milk</v>
      </c>
      <c r="D15" t="str" s="1321" cm="1">
        <f t="array" ref="D15">'Boats Data Sheet 2025'!D6</f>
        <v>Shared/Private</v>
      </c>
      <c r="E15" s="1313" cm="1">
        <f t="array" ref="E15">'Boats Data Sheet 2025'!E5</f>
        <v>0.8</v>
      </c>
      <c r="F15" t="str" s="1321" cm="1">
        <f t="array" ref="F15">'Boats Data Sheet 2025'!F5</f>
        <v>Own</v>
      </c>
      <c r="G15" t="str" s="1321" cm="1">
        <f t="array" ref="G15">'Boats Data Sheet 2025'!G5</f>
        <v>Primary</v>
      </c>
      <c r="H15" s="1314" cm="1">
        <f t="array" ref="H15">'Boats Data Sheet 2025'!H5</f>
        <v>13</v>
      </c>
      <c r="I15" s="1313">
        <v>0.8</v>
      </c>
      <c r="J15" s="1313">
        <v>0.8</v>
      </c>
      <c r="K15" s="1315" cm="1">
        <f t="array" ref="K15">365-15-10</f>
        <v>340</v>
      </c>
      <c r="L15" s="1316" cm="1">
        <f t="array" ref="L15">ROUNDDOWN(K15*I15*E15,0)*11/12</f>
        <v>198.916666666667</v>
      </c>
      <c r="M15" s="1317" cm="1">
        <f t="array" ref="M15">ROUNDDOWN(L15*H15*J15,0)</f>
        <v>2068</v>
      </c>
      <c r="N15" s="71"/>
      <c r="O15" s="1318" cm="1">
        <f t="array" ref="O15">1360000000/10*E15</f>
        <v>108800000</v>
      </c>
      <c r="P15" s="1319" cm="1">
        <f t="array" ref="P15">38848416*E15</f>
        <v>31078732.8</v>
      </c>
      <c r="Q15" s="1319">
        <v>0</v>
      </c>
      <c r="R15" s="1319" cm="1">
        <f t="array" ref="R15">SUM(O15:Q15)</f>
        <v>139878732.8</v>
      </c>
      <c r="S15" s="1319" cm="1">
        <f t="array" ref="S15">R15/L15</f>
        <v>703202.6785085869</v>
      </c>
      <c r="T15" s="1320" cm="1">
        <f t="array" ref="T15">R15/M15</f>
        <v>67639.6193423598</v>
      </c>
      <c r="U15" s="1309"/>
    </row>
    <row r="16" ht="15" customHeight="1">
      <c r="A16" s="12"/>
      <c r="B16" s="1310" cm="1">
        <f t="array" ref="B16">'Boats Data Sheet 2025'!B6</f>
        <v>4</v>
      </c>
      <c r="C16" t="str" s="1299" cm="1">
        <f t="array" ref="C16">'Boats Data Sheet 2025'!C6</f>
        <v>Honey Milk</v>
      </c>
      <c r="D16" t="str" s="1321" cm="1">
        <f t="array" ref="D16">'Boats Data Sheet 2025'!D7</f>
        <v>Shared/Private</v>
      </c>
      <c r="E16" s="1313" cm="1">
        <f t="array" ref="E16">'Boats Data Sheet 2025'!E6</f>
        <v>0.8</v>
      </c>
      <c r="F16" t="str" s="1321" cm="1">
        <f t="array" ref="F16">'Boats Data Sheet 2025'!F6</f>
        <v>Own</v>
      </c>
      <c r="G16" t="str" s="1321" cm="1">
        <f t="array" ref="G16">'Boats Data Sheet 2025'!G6</f>
        <v>Primary</v>
      </c>
      <c r="H16" s="1314" cm="1">
        <f t="array" ref="H16">'Boats Data Sheet 2025'!H6</f>
        <v>13</v>
      </c>
      <c r="I16" s="1313">
        <v>0.8</v>
      </c>
      <c r="J16" s="1313">
        <v>0.8</v>
      </c>
      <c r="K16" s="1315" cm="1">
        <f t="array" ref="K16">365-15-10</f>
        <v>340</v>
      </c>
      <c r="L16" s="1316" cm="1">
        <f t="array" ref="L16">ROUNDDOWN(K16*I16*E16,0)*10/12</f>
        <v>180.833333333333</v>
      </c>
      <c r="M16" s="1317" cm="1">
        <f t="array" ref="M16">ROUNDDOWN(L16*H16*J16,0)</f>
        <v>1880</v>
      </c>
      <c r="N16" s="71"/>
      <c r="O16" s="1318" cm="1">
        <f t="array" ref="O16">1360000000/10*E16</f>
        <v>108800000</v>
      </c>
      <c r="P16" s="1319" cm="1">
        <f t="array" ref="P16">38848416*E16</f>
        <v>31078732.8</v>
      </c>
      <c r="Q16" s="1319">
        <v>0</v>
      </c>
      <c r="R16" s="1319" cm="1">
        <f t="array" ref="R16">SUM(O16:Q16)</f>
        <v>139878732.8</v>
      </c>
      <c r="S16" s="1319" cm="1">
        <f t="array" ref="S16">R16/L16</f>
        <v>773522.946359448</v>
      </c>
      <c r="T16" s="1320" cm="1">
        <f t="array" ref="T16">R16/M16</f>
        <v>74403.581276595694</v>
      </c>
      <c r="U16" s="1309"/>
    </row>
    <row r="17" ht="15" customHeight="1">
      <c r="A17" s="12"/>
      <c r="B17" s="1310" cm="1">
        <f t="array" ref="B17">'Boats Data Sheet 2025'!B7</f>
        <v>5</v>
      </c>
      <c r="C17" t="str" s="1299" cm="1">
        <f t="array" ref="C17">'Boats Data Sheet 2025'!C7</f>
        <v>Eldorado 1</v>
      </c>
      <c r="D17" t="str" s="1321" cm="1">
        <f t="array" ref="D17">'Boats Data Sheet 2025'!D8</f>
        <v>Shared/Private</v>
      </c>
      <c r="E17" s="1313" cm="1">
        <f t="array" ref="E17">'Boats Data Sheet 2025'!E7</f>
        <v>0.7</v>
      </c>
      <c r="F17" t="str" s="1321" cm="1">
        <f t="array" ref="F17">'Boats Data Sheet 2025'!F7</f>
        <v>Own</v>
      </c>
      <c r="G17" t="str" s="1321" cm="1">
        <f t="array" ref="G17">'Boats Data Sheet 2025'!G7</f>
        <v>Primary</v>
      </c>
      <c r="H17" s="1314" cm="1">
        <f t="array" ref="H17">'Boats Data Sheet 2025'!H7</f>
        <v>13</v>
      </c>
      <c r="I17" s="1313">
        <v>0.8</v>
      </c>
      <c r="J17" s="1313">
        <v>0.8</v>
      </c>
      <c r="K17" s="1315" cm="1">
        <f t="array" ref="K17">365-15-10</f>
        <v>340</v>
      </c>
      <c r="L17" s="1316" cm="1">
        <f t="array" ref="L17">ROUNDDOWN(K17*I17*E17,0)*6/12</f>
        <v>95</v>
      </c>
      <c r="M17" s="1317" cm="1">
        <f t="array" ref="M17">ROUNDDOWN(L17*H17*J17,0)</f>
        <v>988</v>
      </c>
      <c r="N17" s="71"/>
      <c r="O17" s="1318" cm="1">
        <f t="array" ref="O17">1300000000/10*8/12*E17</f>
        <v>60666666.6666667</v>
      </c>
      <c r="P17" s="1319" cm="1">
        <f t="array" ref="P17">38848416*E17</f>
        <v>27193891.2</v>
      </c>
      <c r="Q17" s="1319">
        <v>0</v>
      </c>
      <c r="R17" s="1319" cm="1">
        <f t="array" ref="R17">SUM(O17:Q17)</f>
        <v>87860557.8666667</v>
      </c>
      <c r="S17" s="1319" cm="1">
        <f t="array" ref="S17">R17/L17</f>
        <v>924847.97754386</v>
      </c>
      <c r="T17" s="1320" cm="1">
        <f t="array" ref="T17">R17/M17</f>
        <v>88927.690148448106</v>
      </c>
      <c r="U17" s="1309"/>
    </row>
    <row r="18" ht="15" customHeight="1">
      <c r="A18" s="12"/>
      <c r="B18" s="1310" cm="1">
        <f t="array" ref="B18">'Boats Data Sheet 2025'!B8</f>
        <v>6</v>
      </c>
      <c r="C18" t="str" s="1299" cm="1">
        <f t="array" ref="C18">'Boats Data Sheet 2025'!C8</f>
        <v>Eldorado 2 - Arya</v>
      </c>
      <c r="D18" t="str" s="1321" cm="1">
        <f t="array" ref="D18">'Boats Data Sheet 2025'!D9</f>
        <v>Shared/Private</v>
      </c>
      <c r="E18" s="1313" cm="1">
        <f t="array" ref="E18">'Boats Data Sheet 2025'!E8</f>
        <v>0.7</v>
      </c>
      <c r="F18" t="str" s="1321" cm="1">
        <f t="array" ref="F18">'Boats Data Sheet 2025'!F8</f>
        <v>Own</v>
      </c>
      <c r="G18" t="str" s="1321" cm="1">
        <f t="array" ref="G18">'Boats Data Sheet 2025'!G8</f>
        <v>Primary</v>
      </c>
      <c r="H18" s="1314" cm="1">
        <f t="array" ref="H18">'Boats Data Sheet 2025'!H8</f>
        <v>13</v>
      </c>
      <c r="I18" s="1313">
        <v>0.8</v>
      </c>
      <c r="J18" s="1313">
        <v>0.8</v>
      </c>
      <c r="K18" s="1315" cm="1">
        <f t="array" ref="K18">365-15-10</f>
        <v>340</v>
      </c>
      <c r="L18" s="1316" cm="1">
        <f t="array" ref="L18">ROUNDDOWN(K18*I18*E18,0)*6/12</f>
        <v>95</v>
      </c>
      <c r="M18" s="1317" cm="1">
        <f t="array" ref="M18">ROUNDDOWN(L18*H18*J18,0)</f>
        <v>988</v>
      </c>
      <c r="N18" s="71"/>
      <c r="O18" s="1318" cm="1">
        <f t="array" ref="O18">1300000000/10*7/12*E18</f>
        <v>53083333.3333333</v>
      </c>
      <c r="P18" s="1319" cm="1">
        <f t="array" ref="P18">38848416*E18</f>
        <v>27193891.2</v>
      </c>
      <c r="Q18" s="1319">
        <v>0</v>
      </c>
      <c r="R18" s="1319" cm="1">
        <f t="array" ref="R18">SUM(O18:Q18)</f>
        <v>80277224.5333333</v>
      </c>
      <c r="S18" s="1319" cm="1">
        <f t="array" ref="S18">R18/L18</f>
        <v>845023.416140351</v>
      </c>
      <c r="T18" s="1320" cm="1">
        <f t="array" ref="T18">R18/M18</f>
        <v>81252.2515519568</v>
      </c>
      <c r="U18" s="1309"/>
    </row>
    <row r="19" ht="15" customHeight="1">
      <c r="A19" s="12"/>
      <c r="B19" s="1310" cm="1">
        <f t="array" ref="B19">'Boats Data Sheet 2025'!B9</f>
        <v>7</v>
      </c>
      <c r="C19" t="str" s="1299" cm="1">
        <f t="array" ref="C19">'Boats Data Sheet 2025'!C9</f>
        <v>Eldorado 3 - Evgenii</v>
      </c>
      <c r="D19" t="str" s="1321" cm="1">
        <f t="array" ref="D19">'Boats Data Sheet 2025'!D10</f>
        <v>Shared/Private</v>
      </c>
      <c r="E19" s="1313" cm="1">
        <f t="array" ref="E19">'Boats Data Sheet 2025'!E9</f>
        <v>0.7</v>
      </c>
      <c r="F19" t="str" s="1321" cm="1">
        <f t="array" ref="F19">'Boats Data Sheet 2025'!F9</f>
        <v>Management</v>
      </c>
      <c r="G19" t="str" s="1321" cm="1">
        <f t="array" ref="G19">'Boats Data Sheet 2025'!G9</f>
        <v>Primary</v>
      </c>
      <c r="H19" s="1314" cm="1">
        <f t="array" ref="H19">'Boats Data Sheet 2025'!H9</f>
        <v>13</v>
      </c>
      <c r="I19" s="1313">
        <v>0.8</v>
      </c>
      <c r="J19" s="1313">
        <v>0.8</v>
      </c>
      <c r="K19" s="1315" cm="1">
        <f t="array" ref="K19">365-15-10</f>
        <v>340</v>
      </c>
      <c r="L19" s="1316" cm="1">
        <f t="array" ref="L19">ROUNDDOWN(K19*I19*E19,0)*6/12</f>
        <v>95</v>
      </c>
      <c r="M19" s="1317" cm="1">
        <f t="array" ref="M19">ROUNDDOWN(L19*H19*J19,0)</f>
        <v>988</v>
      </c>
      <c r="N19" s="71"/>
      <c r="O19" s="1318" cm="1">
        <f t="array" ref="O19">1300000000/10*6/12*E19</f>
        <v>45500000</v>
      </c>
      <c r="P19" s="1319" cm="1">
        <f t="array" ref="P19">38848416*E19</f>
        <v>27193891.2</v>
      </c>
      <c r="Q19" s="1319">
        <v>0</v>
      </c>
      <c r="R19" s="1319" cm="1">
        <f t="array" ref="R19">SUM(O19:Q19)</f>
        <v>72693891.2</v>
      </c>
      <c r="S19" s="1319" cm="1">
        <f t="array" ref="S19">R19/L19</f>
        <v>765198.854736842</v>
      </c>
      <c r="T19" s="1320" cm="1">
        <f t="array" ref="T19">R19/M19</f>
        <v>73576.8129554656</v>
      </c>
      <c r="U19" s="1309"/>
    </row>
    <row r="20" ht="15" customHeight="1">
      <c r="A20" s="12"/>
      <c r="B20" s="1310" cm="1">
        <f t="array" ref="B20">'Boats Data Sheet 2025'!B10</f>
        <v>8</v>
      </c>
      <c r="C20" t="str" s="1299" cm="1">
        <f t="array" ref="C20">'Boats Data Sheet 2025'!C10</f>
        <v>Eldorado 4 - Vadim</v>
      </c>
      <c r="D20" t="str" s="1312" cm="1">
        <f t="array" ref="D20">'Boats Data Sheet 2025'!D11</f>
        <v>Shared/Private</v>
      </c>
      <c r="E20" s="1313" cm="1">
        <f t="array" ref="E20">'Boats Data Sheet 2025'!E10</f>
        <v>0.7</v>
      </c>
      <c r="F20" t="str" s="1321" cm="1">
        <f t="array" ref="F20">'Boats Data Sheet 2025'!F10</f>
        <v>Own</v>
      </c>
      <c r="G20" t="str" s="1321" cm="1">
        <f t="array" ref="G20">'Boats Data Sheet 2025'!G10</f>
        <v>Primary</v>
      </c>
      <c r="H20" s="1314" cm="1">
        <f t="array" ref="H20">'Boats Data Sheet 2025'!H10</f>
        <v>13</v>
      </c>
      <c r="I20" s="1313">
        <v>0.8</v>
      </c>
      <c r="J20" s="1313">
        <v>0.8</v>
      </c>
      <c r="K20" s="1315" cm="1">
        <f t="array" ref="K20">365-15-10</f>
        <v>340</v>
      </c>
      <c r="L20" s="1316" cm="1">
        <f t="array" ref="L20">ROUNDDOWN(K20*I20*E20,0)*5/12</f>
        <v>79.1666666666667</v>
      </c>
      <c r="M20" s="1317" cm="1">
        <f t="array" ref="M20">ROUNDDOWN(L20*H20*J20,0)</f>
        <v>823</v>
      </c>
      <c r="N20" s="71"/>
      <c r="O20" s="1318" cm="1">
        <f t="array" ref="O20">1300000000/10*5/12*E20</f>
        <v>37916666.6666667</v>
      </c>
      <c r="P20" s="1319" cm="1">
        <f t="array" ref="P20">38848416*E20</f>
        <v>27193891.2</v>
      </c>
      <c r="Q20" s="1319">
        <v>0</v>
      </c>
      <c r="R20" s="1319" cm="1">
        <f t="array" ref="R20">SUM(O20:Q20)</f>
        <v>65110557.8666667</v>
      </c>
      <c r="S20" s="1319" cm="1">
        <f t="array" ref="S20">R20/L20</f>
        <v>822449.152</v>
      </c>
      <c r="T20" s="1320" cm="1">
        <f t="array" ref="T20">R20/M20</f>
        <v>79113.6790603484</v>
      </c>
      <c r="U20" s="1309"/>
    </row>
    <row r="21" ht="15" customHeight="1">
      <c r="A21" s="12"/>
      <c r="B21" s="1310" cm="1">
        <f t="array" ref="B21">'Boats Data Sheet 2025'!B17</f>
        <v>15</v>
      </c>
      <c r="C21" t="str" s="1299" cm="1">
        <f t="array" ref="C21">'Boats Data Sheet 2025'!C17</f>
        <v>Queen Ruizi 12</v>
      </c>
      <c r="D21" t="str" s="1321" cm="1">
        <f t="array" ref="D21">'Boats Data Sheet 2025'!D17</f>
        <v>Shared/Private</v>
      </c>
      <c r="E21" s="1313" cm="1">
        <f t="array" ref="E21">'Boats Data Sheet 2025'!E17</f>
        <v>0.6</v>
      </c>
      <c r="F21" t="str" s="1321" cm="1">
        <f t="array" ref="F21">'Boats Data Sheet 2025'!F17</f>
        <v>Management</v>
      </c>
      <c r="G21" t="str" s="1321" cm="1">
        <f t="array" ref="G21">'Boats Data Sheet 2025'!G17</f>
        <v>Primary</v>
      </c>
      <c r="H21" s="1314" cm="1">
        <f t="array" ref="H21">'Boats Data Sheet 2025'!H17</f>
        <v>13</v>
      </c>
      <c r="I21" s="1313">
        <v>0.7</v>
      </c>
      <c r="J21" s="1313">
        <v>0.8</v>
      </c>
      <c r="K21" s="1315" cm="1">
        <f t="array" ref="K21">365-15-10</f>
        <v>340</v>
      </c>
      <c r="L21" s="1316" cm="1">
        <f t="array" ref="L21">ROUNDDOWN(K21*I21*E21,0)</f>
        <v>142</v>
      </c>
      <c r="M21" s="1317" cm="1">
        <f t="array" ref="M21">ROUNDDOWN(L21*H21*J21,0)</f>
        <v>1476</v>
      </c>
      <c r="N21" s="71"/>
      <c r="O21" s="1318">
        <v>0</v>
      </c>
      <c r="P21" s="1319">
        <v>0</v>
      </c>
      <c r="Q21" s="1319">
        <v>0</v>
      </c>
      <c r="R21" s="1319" cm="1">
        <f t="array" ref="R21">SUM(O21:Q21)</f>
        <v>0</v>
      </c>
      <c r="S21" s="1319" cm="1">
        <f t="array" ref="S21">R21/L21</f>
        <v>0</v>
      </c>
      <c r="T21" s="1320" cm="1">
        <f t="array" ref="T21">R21/M21</f>
        <v>0</v>
      </c>
      <c r="U21" s="1309"/>
    </row>
    <row r="22" ht="15" customHeight="1">
      <c r="A22" s="12"/>
      <c r="B22" s="1310">
        <v>17</v>
      </c>
      <c r="C22" t="s" s="1299">
        <v>111</v>
      </c>
      <c r="D22" t="s" s="1321">
        <v>940</v>
      </c>
      <c r="E22" s="1313" cm="1">
        <f t="array" ref="E22">'Boats Data Sheet 2025'!E56</f>
        <v>0.5</v>
      </c>
      <c r="F22" t="s" s="1321">
        <v>963</v>
      </c>
      <c r="G22" t="s" s="1321">
        <v>12</v>
      </c>
      <c r="H22" s="1314" cm="1">
        <f t="array" ref="H22">'Boats Data Sheet 2025'!H56</f>
        <v>13</v>
      </c>
      <c r="I22" s="1313">
        <v>0.6</v>
      </c>
      <c r="J22" s="1313">
        <v>0.8</v>
      </c>
      <c r="K22" s="1315" cm="1">
        <f t="array" ref="K22">365-15-10</f>
        <v>340</v>
      </c>
      <c r="L22" s="1316" cm="1">
        <f t="array" ref="L22">ROUNDDOWN(K22*I22*E22,0)/3</f>
        <v>34</v>
      </c>
      <c r="M22" s="1317" cm="1">
        <f t="array" ref="M22">ROUNDDOWN(L22*H22*J22,0)</f>
        <v>353</v>
      </c>
      <c r="N22" s="71"/>
      <c r="O22" s="1318">
        <v>0</v>
      </c>
      <c r="P22" s="1319">
        <v>0</v>
      </c>
      <c r="Q22" s="1319">
        <v>0</v>
      </c>
      <c r="R22" s="1319" cm="1">
        <f t="array" ref="R22">SUM(O22:Q22)</f>
        <v>0</v>
      </c>
      <c r="S22" s="1319" cm="1">
        <f t="array" ref="S22">R22/L22</f>
        <v>0</v>
      </c>
      <c r="T22" s="1320" cm="1">
        <f t="array" ref="T22">R22/M22</f>
        <v>0</v>
      </c>
      <c r="U22" s="1309"/>
    </row>
    <row r="23" ht="15.5" customHeight="1">
      <c r="A23" s="12"/>
      <c r="B23" s="1322">
        <v>10</v>
      </c>
      <c r="C23" t="s" s="1323">
        <v>103</v>
      </c>
      <c r="D23" t="s" s="1324">
        <v>940</v>
      </c>
      <c r="E23" s="1325" cm="1">
        <f t="array" ref="E23">'Boats Data Sheet 2025'!E16</f>
        <v>0.8</v>
      </c>
      <c r="F23" t="str" s="1324" cm="1">
        <f t="array" ref="F23">'Boats Data Sheet 2025'!F16</f>
        <v>Management</v>
      </c>
      <c r="G23" t="str" s="1324" cm="1">
        <f t="array" ref="G23">'Boats Data Sheet 2025'!G16</f>
        <v>Primary</v>
      </c>
      <c r="H23" s="1326" cm="1">
        <f t="array" ref="H23">'Boats Data Sheet 2025'!H16</f>
        <v>10</v>
      </c>
      <c r="I23" s="1325">
        <v>0.5</v>
      </c>
      <c r="J23" s="1325">
        <v>0.9</v>
      </c>
      <c r="K23" s="1327">
        <v>340</v>
      </c>
      <c r="L23" s="1328" cm="1">
        <f t="array" ref="L23">ROUNDDOWN(K23*I23*E23,0)</f>
        <v>136</v>
      </c>
      <c r="M23" s="1329" cm="1">
        <f t="array" ref="M23">ROUNDDOWN(L23*H23*J23,0)</f>
        <v>1224</v>
      </c>
      <c r="N23" s="71"/>
      <c r="O23" s="1330">
        <v>0</v>
      </c>
      <c r="P23" s="1331"/>
      <c r="Q23" s="1331">
        <v>0</v>
      </c>
      <c r="R23" s="1331" cm="1">
        <f t="array" ref="R23">SUM(O23:Q23)</f>
        <v>0</v>
      </c>
      <c r="S23" s="1331" cm="1">
        <f t="array" ref="S23">R23/L23</f>
        <v>0</v>
      </c>
      <c r="T23" s="1332" cm="1">
        <f t="array" ref="T23">R23/M23</f>
        <v>0</v>
      </c>
      <c r="U23" s="1309"/>
    </row>
    <row r="24" ht="15.5" customHeight="1">
      <c r="A24" s="12"/>
      <c r="B24" s="1333"/>
      <c r="C24" s="1334"/>
      <c r="D24" s="1335"/>
      <c r="E24" s="1336"/>
      <c r="F24" s="1335"/>
      <c r="G24" t="s" s="1337">
        <v>890</v>
      </c>
      <c r="H24" s="1338" cm="1">
        <f t="array" ref="H24">SUM(H5:H23)</f>
        <v>251</v>
      </c>
      <c r="I24" s="1336"/>
      <c r="J24" s="1336"/>
      <c r="K24" t="s" s="1337">
        <v>890</v>
      </c>
      <c r="L24" s="1339" cm="1">
        <f t="array" ref="L24">SUM(L5:L23)</f>
        <v>3078.916666666670</v>
      </c>
      <c r="M24" s="1340" cm="1">
        <f t="array" ref="M24">SUM(M5:M23)</f>
        <v>32970</v>
      </c>
      <c r="N24" s="71"/>
      <c r="O24" s="1341" cm="1">
        <f t="array" ref="O24">SUM(O5:O23)</f>
        <v>757766666.666667</v>
      </c>
      <c r="P24" s="1339"/>
      <c r="Q24" s="1339" cm="1">
        <f t="array" ref="Q24">SUM(Q5:Q23)</f>
        <v>204000000</v>
      </c>
      <c r="R24" s="1339" cm="1">
        <f t="array" ref="R24">SUM(R5:R23)</f>
        <v>1244662159.46667</v>
      </c>
      <c r="S24" s="1336"/>
      <c r="T24" s="1342"/>
      <c r="U24" s="1343"/>
    </row>
    <row r="25" ht="16" customHeight="1">
      <c r="A25" s="32"/>
      <c r="B25" s="124"/>
      <c r="C25" s="33"/>
      <c r="D25" s="1180"/>
      <c r="E25" s="33"/>
      <c r="F25" s="124"/>
      <c r="G25" s="124"/>
      <c r="H25" s="124"/>
      <c r="I25" s="124"/>
      <c r="J25" s="124"/>
      <c r="K25" s="124"/>
      <c r="L25" s="124"/>
      <c r="M25" s="438"/>
      <c r="N25" s="17"/>
      <c r="O25" s="1181"/>
      <c r="P25" s="1181"/>
      <c r="Q25" s="1181"/>
      <c r="R25" s="1181"/>
      <c r="S25" s="1181"/>
      <c r="T25" s="1181"/>
      <c r="U25" s="1344"/>
    </row>
    <row r="26" ht="29.4" customHeight="1">
      <c r="A26" s="32"/>
      <c r="B26" s="74"/>
      <c r="C26" t="s" s="1345">
        <v>1062</v>
      </c>
      <c r="D26" s="1346"/>
      <c r="E26" s="1347" cm="1">
        <f t="array" ref="E26">'Admin Expenses 2025'!C6</f>
        <v>4790281503.75155</v>
      </c>
      <c r="F26" s="16"/>
      <c r="G26" s="17"/>
      <c r="H26" s="17"/>
      <c r="I26" s="17"/>
      <c r="J26" s="17"/>
      <c r="K26" s="17"/>
      <c r="L26" s="17"/>
      <c r="M26" s="214"/>
      <c r="N26" s="17"/>
      <c r="O26" s="1182"/>
      <c r="P26" s="1182"/>
      <c r="Q26" s="1182"/>
      <c r="R26" s="1182"/>
      <c r="S26" s="1182"/>
      <c r="T26" s="1182"/>
      <c r="U26" s="1344"/>
    </row>
    <row r="27" ht="15" customHeight="1">
      <c r="A27" s="32"/>
      <c r="B27" s="74"/>
      <c r="C27" t="s" s="1348">
        <v>1024</v>
      </c>
      <c r="D27" s="1349"/>
      <c r="E27" s="1350" cm="1">
        <f t="array" ref="E27">E26/L24</f>
        <v>1555833.43830402</v>
      </c>
      <c r="F27" s="16"/>
      <c r="G27" s="17"/>
      <c r="H27" s="17"/>
      <c r="I27" s="17"/>
      <c r="J27" s="17"/>
      <c r="K27" s="17"/>
      <c r="L27" s="17"/>
      <c r="M27" s="214"/>
      <c r="N27" s="17"/>
      <c r="O27" s="17"/>
      <c r="P27" s="17"/>
      <c r="Q27" s="17"/>
      <c r="R27" s="17"/>
      <c r="S27" s="17"/>
      <c r="T27" s="17"/>
      <c r="U27" s="18"/>
    </row>
    <row r="28" ht="15.5" customHeight="1">
      <c r="A28" s="32"/>
      <c r="B28" s="74"/>
      <c r="C28" t="s" s="1351">
        <v>1025</v>
      </c>
      <c r="D28" s="1352"/>
      <c r="E28" s="1353" cm="1">
        <f t="array" ref="E28">E26/M24</f>
        <v>145292.129322158</v>
      </c>
      <c r="F28" s="16"/>
      <c r="G28" s="17"/>
      <c r="H28" s="17"/>
      <c r="I28" s="17"/>
      <c r="J28" s="17"/>
      <c r="K28" s="17"/>
      <c r="L28" s="17"/>
      <c r="M28" s="214"/>
      <c r="N28" s="214"/>
      <c r="O28" s="17"/>
      <c r="P28" s="17"/>
      <c r="Q28" s="17"/>
      <c r="R28" s="17"/>
      <c r="S28" s="17"/>
      <c r="T28" s="17"/>
      <c r="U28" s="18"/>
    </row>
    <row r="29" ht="15.5" customHeight="1">
      <c r="A29" s="32"/>
      <c r="B29" s="17"/>
      <c r="C29" s="33"/>
      <c r="D29" s="1180"/>
      <c r="E29" s="33"/>
      <c r="F29" s="17"/>
      <c r="G29" s="17"/>
      <c r="H29" s="17"/>
      <c r="I29" s="17"/>
      <c r="J29" s="17"/>
      <c r="K29" s="17"/>
      <c r="L29" s="17"/>
      <c r="M29" s="214"/>
      <c r="N29" s="214"/>
      <c r="O29" s="17"/>
      <c r="P29" s="17"/>
      <c r="Q29" s="17"/>
      <c r="R29" s="17"/>
      <c r="S29" s="17"/>
      <c r="T29" s="17"/>
      <c r="U29" s="18"/>
    </row>
    <row r="30" ht="30.65" customHeight="1">
      <c r="A30" s="32"/>
      <c r="B30" s="74"/>
      <c r="C30" t="s" s="1354">
        <v>1063</v>
      </c>
      <c r="D30" s="1355"/>
      <c r="E30" s="1356" cm="1">
        <f t="array" ref="E30">'Admin Expenses 2025'!C7</f>
        <v>7109078126.86685</v>
      </c>
      <c r="F30" s="16"/>
      <c r="G30" s="17"/>
      <c r="H30" s="17"/>
      <c r="I30" s="17"/>
      <c r="J30" s="17"/>
      <c r="K30" s="17"/>
      <c r="L30" s="17"/>
      <c r="M30" s="214"/>
      <c r="N30" s="214"/>
      <c r="O30" s="17"/>
      <c r="P30" s="17"/>
      <c r="Q30" s="17"/>
      <c r="R30" s="17"/>
      <c r="S30" s="17"/>
      <c r="T30" s="17"/>
      <c r="U30" s="18"/>
    </row>
    <row r="31" ht="15" customHeight="1">
      <c r="A31" s="32"/>
      <c r="B31" s="74"/>
      <c r="C31" t="s" s="1357">
        <v>1027</v>
      </c>
      <c r="D31" s="1358"/>
      <c r="E31" s="1359" cm="1">
        <f t="array" ref="E31">E30/K88</f>
        <v>2479838.88614872</v>
      </c>
      <c r="F31" s="16"/>
      <c r="G31" s="17"/>
      <c r="H31" s="17"/>
      <c r="I31" s="17"/>
      <c r="J31" s="17"/>
      <c r="K31" s="17"/>
      <c r="L31" s="17"/>
      <c r="M31" s="214"/>
      <c r="N31" s="214"/>
      <c r="O31" s="17"/>
      <c r="P31" s="17"/>
      <c r="Q31" s="17"/>
      <c r="R31" s="17"/>
      <c r="S31" s="17"/>
      <c r="T31" s="17"/>
      <c r="U31" s="18"/>
    </row>
    <row r="32" ht="15.5" customHeight="1">
      <c r="A32" s="32"/>
      <c r="B32" s="74"/>
      <c r="C32" t="s" s="1360">
        <v>1028</v>
      </c>
      <c r="D32" s="1361"/>
      <c r="E32" t="s" s="1362">
        <v>14</v>
      </c>
      <c r="F32" s="16"/>
      <c r="G32" s="17"/>
      <c r="H32" s="17"/>
      <c r="I32" s="17"/>
      <c r="J32" s="17"/>
      <c r="K32" s="17"/>
      <c r="L32" s="17"/>
      <c r="M32" s="214"/>
      <c r="N32" s="214"/>
      <c r="O32" s="17"/>
      <c r="P32" s="17"/>
      <c r="Q32" s="17"/>
      <c r="R32" s="17"/>
      <c r="S32" s="17"/>
      <c r="T32" s="17"/>
      <c r="U32" s="18"/>
    </row>
    <row r="33" ht="15.5" customHeight="1">
      <c r="A33" s="32"/>
      <c r="B33" s="35"/>
      <c r="C33" s="33"/>
      <c r="D33" s="33"/>
      <c r="E33" s="33"/>
      <c r="F33" s="35"/>
      <c r="G33" s="35"/>
      <c r="H33" s="35"/>
      <c r="I33" s="35"/>
      <c r="J33" s="35"/>
      <c r="K33" s="35"/>
      <c r="L33" s="17"/>
      <c r="M33" s="214"/>
      <c r="N33" s="214"/>
      <c r="O33" s="35"/>
      <c r="P33" s="35"/>
      <c r="Q33" s="35"/>
      <c r="R33" s="35"/>
      <c r="S33" s="35"/>
      <c r="T33" s="17"/>
      <c r="U33" s="18"/>
    </row>
    <row r="34" ht="30" customHeight="1">
      <c r="A34" s="12"/>
      <c r="B34" s="1363"/>
      <c r="C34" t="s" s="1364">
        <v>1029</v>
      </c>
      <c r="D34" t="s" s="1365">
        <v>7</v>
      </c>
      <c r="E34" t="s" s="1365">
        <v>1030</v>
      </c>
      <c r="F34" t="s" s="1365">
        <v>933</v>
      </c>
      <c r="G34" t="s" s="1365">
        <v>934</v>
      </c>
      <c r="H34" t="s" s="1365">
        <v>989</v>
      </c>
      <c r="I34" t="s" s="1365">
        <v>990</v>
      </c>
      <c r="J34" t="s" s="1365">
        <v>659</v>
      </c>
      <c r="K34" t="s" s="1366">
        <v>1031</v>
      </c>
      <c r="L34" s="16"/>
      <c r="M34" s="17"/>
      <c r="N34" s="74"/>
      <c r="O34" t="s" s="1367">
        <v>1056</v>
      </c>
      <c r="P34" t="s" s="1365">
        <v>1057</v>
      </c>
      <c r="Q34" t="s" s="1365">
        <v>1058</v>
      </c>
      <c r="R34" t="s" s="1365">
        <v>1059</v>
      </c>
      <c r="S34" t="s" s="1366">
        <v>1060</v>
      </c>
      <c r="T34" s="16"/>
      <c r="U34" s="18"/>
    </row>
    <row r="35" ht="14.5" customHeight="1">
      <c r="A35" s="12"/>
      <c r="B35" s="1368" cm="1">
        <f t="array" ref="B35">'Boats Data Sheet 2025'!B3</f>
        <v>1</v>
      </c>
      <c r="C35" t="str" s="1369" cm="1">
        <f t="array" ref="C35">'Boats Data Sheet 2025'!C3</f>
        <v>Sweetheart 4</v>
      </c>
      <c r="D35" t="str" s="1370" cm="1">
        <f t="array" ref="D35">'Boats Data Sheet 2025'!D3</f>
        <v>Shared/Private</v>
      </c>
      <c r="E35" s="1371" cm="1">
        <f t="array" ref="E35">1-'Boats Data Sheet 2025'!E3</f>
        <v>0.3</v>
      </c>
      <c r="F35" t="str" s="1370" cm="1">
        <f t="array" ref="F35">'Boats Data Sheet 2025'!F3</f>
        <v>Own</v>
      </c>
      <c r="G35" t="str" s="1370" cm="1">
        <f t="array" ref="G35">'Boats Data Sheet 2025'!G3</f>
        <v>Primary</v>
      </c>
      <c r="H35" s="1372" cm="1">
        <f t="array" ref="H35">'Boats Data Sheet 2025'!H3</f>
        <v>14</v>
      </c>
      <c r="I35" s="1371">
        <v>0.9</v>
      </c>
      <c r="J35" s="1373" cm="1">
        <f t="array" ref="J35">365-15-10</f>
        <v>340</v>
      </c>
      <c r="K35" s="1374" cm="1">
        <f t="array" ref="K35">_xlfn.IFERROR(ROUNDDOWN(E35*J35*I35,0),0)</f>
        <v>91</v>
      </c>
      <c r="L35" s="1236"/>
      <c r="M35" s="17"/>
      <c r="N35" s="74"/>
      <c r="O35" s="1375" cm="1">
        <f t="array" ref="O35">(1300000000)/10*E35</f>
        <v>39000000</v>
      </c>
      <c r="P35" s="1376" cm="1">
        <f t="array" ref="P35">38848416*E35</f>
        <v>11654524.8</v>
      </c>
      <c r="Q35" s="1376" cm="1">
        <f t="array" ref="Q35">120000000*E35</f>
        <v>36000000</v>
      </c>
      <c r="R35" s="1376" cm="1">
        <f t="array" ref="R35">SUM(O35:Q35)</f>
        <v>86654524.8</v>
      </c>
      <c r="S35" s="1377" cm="1">
        <f t="array" ref="S35">_xlfn.IFERROR(R35/K35,0)</f>
        <v>952247.525274725</v>
      </c>
      <c r="T35" s="16"/>
      <c r="U35" s="18"/>
    </row>
    <row r="36" ht="14.5" customHeight="1">
      <c r="A36" s="12"/>
      <c r="B36" s="1378" cm="1">
        <f t="array" ref="B36">'Boats Data Sheet 2025'!B4</f>
        <v>2</v>
      </c>
      <c r="C36" t="str" s="1379" cm="1">
        <f t="array" ref="C36">'Boats Data Sheet 2025'!C4</f>
        <v>Riki J</v>
      </c>
      <c r="D36" t="str" s="1380" cm="1">
        <f t="array" ref="D36">'Boats Data Sheet 2025'!D4</f>
        <v>Shared/Private</v>
      </c>
      <c r="E36" s="1381" cm="1">
        <f t="array" ref="E36">1-'Boats Data Sheet 2025'!E4</f>
        <v>0.2</v>
      </c>
      <c r="F36" t="str" s="1380" cm="1">
        <f t="array" ref="F36">'Boats Data Sheet 2025'!F4</f>
        <v>Own</v>
      </c>
      <c r="G36" t="str" s="1380" cm="1">
        <f t="array" ref="G36">'Boats Data Sheet 2025'!G4</f>
        <v>Primary</v>
      </c>
      <c r="H36" s="1382" cm="1">
        <f t="array" ref="H36">'Boats Data Sheet 2025'!H4</f>
        <v>14</v>
      </c>
      <c r="I36" s="1381">
        <v>0.9</v>
      </c>
      <c r="J36" s="1383" cm="1">
        <f t="array" ref="J36">365-15-10</f>
        <v>340</v>
      </c>
      <c r="K36" s="1384" cm="1">
        <f t="array" ref="K36">_xlfn.IFERROR(ROUNDDOWN(E36*J36*I36,0),0)</f>
        <v>61</v>
      </c>
      <c r="L36" s="1236"/>
      <c r="M36" s="17"/>
      <c r="N36" s="74"/>
      <c r="O36" s="1385" cm="1">
        <f t="array" ref="O36">(1450000000)/10*E36</f>
        <v>29000000</v>
      </c>
      <c r="P36" s="1386" cm="1">
        <f t="array" ref="P36">57400194*E36</f>
        <v>11480038.8</v>
      </c>
      <c r="Q36" s="1386">
        <v>0</v>
      </c>
      <c r="R36" s="1386" cm="1">
        <f t="array" ref="R36">SUM(O36:Q36)</f>
        <v>40480038.8</v>
      </c>
      <c r="S36" s="1387" cm="1">
        <f t="array" ref="S36">_xlfn.IFERROR(R36/K36,0)</f>
        <v>663607.193442623</v>
      </c>
      <c r="T36" s="16"/>
      <c r="U36" s="18"/>
    </row>
    <row r="37" ht="14.5" customHeight="1">
      <c r="A37" s="12"/>
      <c r="B37" s="1378" cm="1">
        <f t="array" ref="B37">'Boats Data Sheet 2025'!B11</f>
        <v>9</v>
      </c>
      <c r="C37" t="str" s="1379" cm="1">
        <f t="array" ref="C37">'Boats Data Sheet 2025'!C11</f>
        <v>Sanjaya</v>
      </c>
      <c r="D37" t="str" s="1380" cm="1">
        <f t="array" ref="D37">'Boats Data Sheet 2025'!D11</f>
        <v>Shared/Private</v>
      </c>
      <c r="E37" s="1381" cm="1">
        <f t="array" ref="E37">1-'Boats Data Sheet 2025'!E11</f>
        <v>0.4</v>
      </c>
      <c r="F37" t="str" s="1380" cm="1">
        <f t="array" ref="F37">'Boats Data Sheet 2025'!F11</f>
        <v>Rent</v>
      </c>
      <c r="G37" t="str" s="1380" cm="1">
        <f t="array" ref="G37">'Boats Data Sheet 2025'!G11</f>
        <v>Primary</v>
      </c>
      <c r="H37" s="1382" cm="1">
        <f t="array" ref="H37">'Boats Data Sheet 2025'!H11</f>
        <v>13</v>
      </c>
      <c r="I37" s="1381">
        <v>0.9</v>
      </c>
      <c r="J37" s="1383" cm="1">
        <f t="array" ref="J37">365-15-10</f>
        <v>340</v>
      </c>
      <c r="K37" s="1384" cm="1">
        <f t="array" ref="K37">_xlfn.IFERROR(ROUNDDOWN(E37*J37*I37,0),0)</f>
        <v>122</v>
      </c>
      <c r="L37" s="1236"/>
      <c r="M37" s="17"/>
      <c r="N37" s="74"/>
      <c r="O37" s="1385">
        <v>0</v>
      </c>
      <c r="P37" s="1386">
        <v>0</v>
      </c>
      <c r="Q37" s="1386">
        <v>0</v>
      </c>
      <c r="R37" s="1386" cm="1">
        <f t="array" ref="R37">SUM(O37:Q37)</f>
        <v>0</v>
      </c>
      <c r="S37" s="1387" cm="1">
        <f t="array" ref="S37">_xlfn.IFERROR(R37/K37,0)</f>
        <v>0</v>
      </c>
      <c r="T37" s="16"/>
      <c r="U37" s="18"/>
    </row>
    <row r="38" ht="14.5" customHeight="1">
      <c r="A38" s="12"/>
      <c r="B38" s="1378" cm="1">
        <f t="array" ref="B38">'Boats Data Sheet 2025'!B12</f>
        <v>10</v>
      </c>
      <c r="C38" t="str" s="1379" cm="1">
        <f t="array" ref="C38">'Boats Data Sheet 2025'!C12</f>
        <v>Jayanadi</v>
      </c>
      <c r="D38" t="str" s="1380" cm="1">
        <f t="array" ref="D38">'Boats Data Sheet 2025'!D12</f>
        <v>Shared/Private</v>
      </c>
      <c r="E38" s="1381" cm="1">
        <f t="array" ref="E38">1-'Boats Data Sheet 2025'!E12</f>
        <v>0.6</v>
      </c>
      <c r="F38" t="str" s="1380" cm="1">
        <f t="array" ref="F38">'Boats Data Sheet 2025'!F12</f>
        <v>Tour </v>
      </c>
      <c r="G38" t="str" s="1380" cm="1">
        <f t="array" ref="G38">'Boats Data Sheet 2025'!G12</f>
        <v>Primary</v>
      </c>
      <c r="H38" s="1382" cm="1">
        <f t="array" ref="H38">'Boats Data Sheet 2025'!H12</f>
        <v>14</v>
      </c>
      <c r="I38" s="1381">
        <v>0.9</v>
      </c>
      <c r="J38" s="1383" cm="1">
        <f t="array" ref="J38">365-15-10</f>
        <v>340</v>
      </c>
      <c r="K38" s="1384" cm="1">
        <f t="array" ref="K38">_xlfn.IFERROR(ROUNDDOWN(E38*J38*I38,0),0)</f>
        <v>183</v>
      </c>
      <c r="L38" s="1236"/>
      <c r="M38" s="17"/>
      <c r="N38" s="74"/>
      <c r="O38" s="1385">
        <v>0</v>
      </c>
      <c r="P38" s="1386">
        <v>0</v>
      </c>
      <c r="Q38" s="1386">
        <v>0</v>
      </c>
      <c r="R38" s="1386" cm="1">
        <f t="array" ref="R38">SUM(O38:Q38)</f>
        <v>0</v>
      </c>
      <c r="S38" s="1387" cm="1">
        <f t="array" ref="S38">_xlfn.IFERROR(R38/K38,0)</f>
        <v>0</v>
      </c>
      <c r="T38" s="16"/>
      <c r="U38" s="18"/>
    </row>
    <row r="39" ht="14.5" customHeight="1">
      <c r="A39" s="12"/>
      <c r="B39" s="1378" cm="1">
        <f t="array" ref="B39">'Boats Data Sheet 2025'!B13</f>
        <v>11</v>
      </c>
      <c r="C39" t="str" s="1379" cm="1">
        <f t="array" ref="C39">'Boats Data Sheet 2025'!C13</f>
        <v>Sea Dragon</v>
      </c>
      <c r="D39" t="str" s="1380" cm="1">
        <f t="array" ref="D39">'Boats Data Sheet 2025'!D13</f>
        <v>Shared/Private</v>
      </c>
      <c r="E39" s="1381" cm="1">
        <f t="array" ref="E39">1-'Boats Data Sheet 2025'!E13</f>
        <v>0.2</v>
      </c>
      <c r="F39" t="str" s="1380" cm="1">
        <f t="array" ref="F39">'Boats Data Sheet 2025'!F13</f>
        <v>Rent</v>
      </c>
      <c r="G39" t="str" s="1380" cm="1">
        <f t="array" ref="G39">'Boats Data Sheet 2025'!G13</f>
        <v>Primary</v>
      </c>
      <c r="H39" s="1382" cm="1">
        <f t="array" ref="H39">'Boats Data Sheet 2025'!H13</f>
        <v>13</v>
      </c>
      <c r="I39" s="1381">
        <v>0.9</v>
      </c>
      <c r="J39" s="1383" cm="1">
        <f t="array" ref="J39">365-15-10</f>
        <v>340</v>
      </c>
      <c r="K39" s="1384" cm="1">
        <f t="array" ref="K39">_xlfn.IFERROR(ROUNDDOWN(E39*J39*I39,0),0)</f>
        <v>61</v>
      </c>
      <c r="L39" s="1236"/>
      <c r="M39" s="17"/>
      <c r="N39" s="74"/>
      <c r="O39" s="1385">
        <v>0</v>
      </c>
      <c r="P39" s="1386">
        <v>0</v>
      </c>
      <c r="Q39" s="1386">
        <v>0</v>
      </c>
      <c r="R39" s="1386" cm="1">
        <f t="array" ref="R39">SUM(O39:Q39)</f>
        <v>0</v>
      </c>
      <c r="S39" s="1387" cm="1">
        <f t="array" ref="S39">_xlfn.IFERROR(R39/K39,0)</f>
        <v>0</v>
      </c>
      <c r="T39" s="16"/>
      <c r="U39" s="18"/>
    </row>
    <row r="40" ht="14.5" customHeight="1">
      <c r="A40" s="12"/>
      <c r="B40" s="1378" cm="1">
        <f t="array" ref="B40">'Boats Data Sheet 2025'!B14</f>
        <v>12</v>
      </c>
      <c r="C40" t="str" s="1379" cm="1">
        <f t="array" ref="C40">'Boats Data Sheet 2025'!C14</f>
        <v>Sanjaya O4</v>
      </c>
      <c r="D40" t="str" s="1380" cm="1">
        <f t="array" ref="D40">'Boats Data Sheet 2025'!D14</f>
        <v>Shared/Private</v>
      </c>
      <c r="E40" s="1381" cm="1">
        <f t="array" ref="E40">1-'Boats Data Sheet 2025'!E14</f>
        <v>0.4</v>
      </c>
      <c r="F40" t="str" s="1380" cm="1">
        <f t="array" ref="F40">'Boats Data Sheet 2025'!F14</f>
        <v>Rent</v>
      </c>
      <c r="G40" t="str" s="1380" cm="1">
        <f t="array" ref="G40">'Boats Data Sheet 2025'!G14</f>
        <v>Primary</v>
      </c>
      <c r="H40" s="1382" cm="1">
        <f t="array" ref="H40">'Boats Data Sheet 2025'!H14</f>
        <v>13</v>
      </c>
      <c r="I40" s="1381">
        <v>0.8</v>
      </c>
      <c r="J40" s="1383" cm="1">
        <f t="array" ref="J40">365-15-10</f>
        <v>340</v>
      </c>
      <c r="K40" s="1384" cm="1">
        <f t="array" ref="K40">_xlfn.IFERROR(ROUNDDOWN(E40*J40*I40,0),0)</f>
        <v>108</v>
      </c>
      <c r="L40" s="1236"/>
      <c r="M40" s="17"/>
      <c r="N40" s="74"/>
      <c r="O40" s="1385">
        <v>0</v>
      </c>
      <c r="P40" s="1386">
        <v>0</v>
      </c>
      <c r="Q40" s="1386">
        <v>0</v>
      </c>
      <c r="R40" s="1386" cm="1">
        <f t="array" ref="R40">SUM(O40:Q40)</f>
        <v>0</v>
      </c>
      <c r="S40" s="1387">
        <v>0</v>
      </c>
      <c r="T40" s="16"/>
      <c r="U40" s="18"/>
    </row>
    <row r="41" ht="14.5" customHeight="1">
      <c r="A41" s="12"/>
      <c r="B41" s="1378" cm="1">
        <f t="array" ref="B41">'Boats Data Sheet 2025'!B15</f>
        <v>13</v>
      </c>
      <c r="C41" t="str" s="1379" cm="1">
        <f t="array" ref="C41">'Boats Data Sheet 2025'!C15</f>
        <v>Sanjaya O5</v>
      </c>
      <c r="D41" t="str" s="1380" cm="1">
        <f t="array" ref="D41">'Boats Data Sheet 2025'!D15</f>
        <v>Shared/Private</v>
      </c>
      <c r="E41" s="1381" cm="1">
        <f t="array" ref="E41">1-'Boats Data Sheet 2025'!E15</f>
        <v>0.2</v>
      </c>
      <c r="F41" t="str" s="1380" cm="1">
        <f t="array" ref="F41">'Boats Data Sheet 2025'!F15</f>
        <v>Rent</v>
      </c>
      <c r="G41" t="str" s="1380" cm="1">
        <f t="array" ref="G41">'Boats Data Sheet 2025'!G15</f>
        <v>Primary</v>
      </c>
      <c r="H41" s="1382" cm="1">
        <f t="array" ref="H41">'Boats Data Sheet 2025'!H15</f>
        <v>13</v>
      </c>
      <c r="I41" s="1381">
        <v>0.8</v>
      </c>
      <c r="J41" s="1383" cm="1">
        <f t="array" ref="J41">365-15-10</f>
        <v>340</v>
      </c>
      <c r="K41" s="1384" cm="1">
        <f t="array" ref="K41">_xlfn.IFERROR(ROUNDDOWN(E41*J41*I41,0),0)</f>
        <v>54</v>
      </c>
      <c r="L41" s="1236"/>
      <c r="M41" s="17"/>
      <c r="N41" s="74"/>
      <c r="O41" s="1385">
        <v>0</v>
      </c>
      <c r="P41" s="1386">
        <v>0</v>
      </c>
      <c r="Q41" s="1386">
        <v>0</v>
      </c>
      <c r="R41" s="1386" cm="1">
        <f t="array" ref="R41">SUM(O41:Q41)</f>
        <v>0</v>
      </c>
      <c r="S41" s="1387">
        <v>0</v>
      </c>
      <c r="T41" s="16"/>
      <c r="U41" s="18"/>
    </row>
    <row r="42" ht="14.5" customHeight="1">
      <c r="A42" s="12"/>
      <c r="B42" s="1378" cm="1">
        <f t="array" ref="B42">B15</f>
        <v>3</v>
      </c>
      <c r="C42" t="str" s="1388" cm="1">
        <f t="array" ref="C42">C15</f>
        <v>Almond Milk</v>
      </c>
      <c r="D42" t="str" s="1389" cm="1">
        <f t="array" ref="D42">D15</f>
        <v>Shared/Private</v>
      </c>
      <c r="E42" s="1381" cm="1">
        <f t="array" ref="E42">1-E15</f>
        <v>0.2</v>
      </c>
      <c r="F42" t="str" s="1389" cm="1">
        <f t="array" ref="F42">F15</f>
        <v>Own</v>
      </c>
      <c r="G42" t="str" s="1389" cm="1">
        <f t="array" ref="G42">G15</f>
        <v>Primary</v>
      </c>
      <c r="H42" s="1382" cm="1">
        <f t="array" ref="H42">H15</f>
        <v>13</v>
      </c>
      <c r="I42" s="1381">
        <v>0.8</v>
      </c>
      <c r="J42" s="1383" cm="1">
        <f t="array" ref="J42">365-15-10</f>
        <v>340</v>
      </c>
      <c r="K42" s="1384" cm="1">
        <f t="array" ref="K42">_xlfn.IFERROR(ROUNDDOWN(E42*J42*I42,0),0)*11/12</f>
        <v>49.5</v>
      </c>
      <c r="L42" s="1236"/>
      <c r="M42" s="17"/>
      <c r="N42" s="74"/>
      <c r="O42" s="1385" cm="1">
        <f t="array" ref="O42">1300000000/10*E42</f>
        <v>26000000</v>
      </c>
      <c r="P42" s="1386" cm="1">
        <f t="array" ref="P42">38848416*E42</f>
        <v>7769683.2</v>
      </c>
      <c r="Q42" s="1386">
        <v>0</v>
      </c>
      <c r="R42" s="1386" cm="1">
        <f t="array" ref="R42">SUM(O42:Q42)</f>
        <v>33769683.2</v>
      </c>
      <c r="S42" s="1387" cm="1">
        <f t="array" ref="S42">_xlfn.IFERROR(R42/K42,0)</f>
        <v>682215.822222222</v>
      </c>
      <c r="T42" s="16"/>
      <c r="U42" s="18"/>
    </row>
    <row r="43" ht="14.5" customHeight="1">
      <c r="A43" s="12"/>
      <c r="B43" s="1378" cm="1">
        <f t="array" ref="B43">B16</f>
        <v>4</v>
      </c>
      <c r="C43" t="str" s="1388" cm="1">
        <f t="array" ref="C43">C16</f>
        <v>Honey Milk</v>
      </c>
      <c r="D43" t="str" s="1389" cm="1">
        <f t="array" ref="D43">D16</f>
        <v>Shared/Private</v>
      </c>
      <c r="E43" s="1381" cm="1">
        <f t="array" ref="E43">1-E16</f>
        <v>0.2</v>
      </c>
      <c r="F43" t="str" s="1389" cm="1">
        <f t="array" ref="F43">F16</f>
        <v>Own</v>
      </c>
      <c r="G43" t="str" s="1389" cm="1">
        <f t="array" ref="G43">G16</f>
        <v>Primary</v>
      </c>
      <c r="H43" s="1382" cm="1">
        <f t="array" ref="H43">H16</f>
        <v>13</v>
      </c>
      <c r="I43" s="1381">
        <v>0.8</v>
      </c>
      <c r="J43" s="1383" cm="1">
        <f t="array" ref="J43">365-15-10</f>
        <v>340</v>
      </c>
      <c r="K43" s="1384" cm="1">
        <f t="array" ref="K43">_xlfn.IFERROR(ROUNDDOWN(E43*J43*I43,0),0)*10/12</f>
        <v>45</v>
      </c>
      <c r="L43" s="1236"/>
      <c r="M43" s="17"/>
      <c r="N43" s="74"/>
      <c r="O43" s="1385" cm="1">
        <f t="array" ref="O43">1300000000/10*E43</f>
        <v>26000000</v>
      </c>
      <c r="P43" s="1386" cm="1">
        <f t="array" ref="P43">38848416*E43</f>
        <v>7769683.2</v>
      </c>
      <c r="Q43" s="1386">
        <v>0</v>
      </c>
      <c r="R43" s="1386" cm="1">
        <f t="array" ref="R43">SUM(O43:Q43)</f>
        <v>33769683.2</v>
      </c>
      <c r="S43" s="1387" cm="1">
        <f t="array" ref="S43">_xlfn.IFERROR(R43/K43,0)</f>
        <v>750437.404444444</v>
      </c>
      <c r="T43" s="16"/>
      <c r="U43" s="18"/>
    </row>
    <row r="44" ht="14.5" customHeight="1">
      <c r="A44" s="12"/>
      <c r="B44" s="1378" cm="1">
        <f t="array" ref="B44">B17</f>
        <v>5</v>
      </c>
      <c r="C44" t="str" s="1388" cm="1">
        <f t="array" ref="C44">C17</f>
        <v>Eldorado 1</v>
      </c>
      <c r="D44" t="str" s="1389" cm="1">
        <f t="array" ref="D44">D17</f>
        <v>Shared/Private</v>
      </c>
      <c r="E44" s="1381" cm="1">
        <f t="array" ref="E44">1-E17</f>
        <v>0.3</v>
      </c>
      <c r="F44" t="str" s="1389" cm="1">
        <f t="array" ref="F44">F17</f>
        <v>Own</v>
      </c>
      <c r="G44" t="str" s="1389" cm="1">
        <f t="array" ref="G44">G17</f>
        <v>Primary</v>
      </c>
      <c r="H44" s="1382" cm="1">
        <f t="array" ref="H44">H17</f>
        <v>13</v>
      </c>
      <c r="I44" s="1381">
        <v>0.8</v>
      </c>
      <c r="J44" s="1383" cm="1">
        <f t="array" ref="J44">365-15-10</f>
        <v>340</v>
      </c>
      <c r="K44" s="1384" cm="1">
        <f t="array" ref="K44">_xlfn.IFERROR(ROUNDDOWN(E44*J44*I44,0),0)*6/12</f>
        <v>40.5</v>
      </c>
      <c r="L44" s="1236"/>
      <c r="M44" s="17"/>
      <c r="N44" s="74"/>
      <c r="O44" s="1385" cm="1">
        <f t="array" ref="O44">1300000000/10*9/12*E44</f>
        <v>29250000</v>
      </c>
      <c r="P44" s="1386" cm="1">
        <f t="array" ref="P44">38848416*E44</f>
        <v>11654524.8</v>
      </c>
      <c r="Q44" s="1386">
        <v>0</v>
      </c>
      <c r="R44" s="1386" cm="1">
        <f t="array" ref="R44">SUM(O44:Q44)</f>
        <v>40904524.8</v>
      </c>
      <c r="S44" s="1387" cm="1">
        <f t="array" ref="S44">_xlfn.IFERROR(R44/K44,0)</f>
        <v>1009988.26666667</v>
      </c>
      <c r="T44" s="16"/>
      <c r="U44" s="18"/>
    </row>
    <row r="45" ht="14.5" customHeight="1">
      <c r="A45" s="12"/>
      <c r="B45" s="1378" cm="1">
        <f t="array" ref="B45">B18</f>
        <v>6</v>
      </c>
      <c r="C45" t="str" s="1388" cm="1">
        <f t="array" ref="C45">C18</f>
        <v>Eldorado 2 - Arya</v>
      </c>
      <c r="D45" t="str" s="1389" cm="1">
        <f t="array" ref="D45">D18</f>
        <v>Shared/Private</v>
      </c>
      <c r="E45" s="1381" cm="1">
        <f t="array" ref="E45">1-E18</f>
        <v>0.3</v>
      </c>
      <c r="F45" t="str" s="1389" cm="1">
        <f t="array" ref="F45">F18</f>
        <v>Own</v>
      </c>
      <c r="G45" t="str" s="1389" cm="1">
        <f t="array" ref="G45">G18</f>
        <v>Primary</v>
      </c>
      <c r="H45" s="1382" cm="1">
        <f t="array" ref="H45">H18</f>
        <v>13</v>
      </c>
      <c r="I45" s="1381">
        <v>0.8</v>
      </c>
      <c r="J45" s="1383" cm="1">
        <f t="array" ref="J45">365-15-10</f>
        <v>340</v>
      </c>
      <c r="K45" s="1384" cm="1">
        <f t="array" ref="K45">_xlfn.IFERROR(ROUNDDOWN(E45*J45*I45,0),0)*6/12</f>
        <v>40.5</v>
      </c>
      <c r="L45" s="1236"/>
      <c r="M45" s="17"/>
      <c r="N45" s="74"/>
      <c r="O45" s="1385" cm="1">
        <f t="array" ref="O45">1300000000/10*8/12*E45</f>
        <v>26000000</v>
      </c>
      <c r="P45" s="1386" cm="1">
        <f t="array" ref="P45">38848416*E45</f>
        <v>11654524.8</v>
      </c>
      <c r="Q45" s="1386">
        <v>0</v>
      </c>
      <c r="R45" s="1386" cm="1">
        <f t="array" ref="R45">SUM(O45:Q45)</f>
        <v>37654524.8</v>
      </c>
      <c r="S45" s="1387" cm="1">
        <f t="array" ref="S45">_xlfn.IFERROR(R45/K45,0)</f>
        <v>929741.35308642</v>
      </c>
      <c r="T45" s="16"/>
      <c r="U45" s="18"/>
    </row>
    <row r="46" ht="14.5" customHeight="1">
      <c r="A46" s="12"/>
      <c r="B46" s="1378" cm="1">
        <f t="array" ref="B46">B19</f>
        <v>7</v>
      </c>
      <c r="C46" t="str" s="1388" cm="1">
        <f t="array" ref="C46">C19</f>
        <v>Eldorado 3 - Evgenii</v>
      </c>
      <c r="D46" t="str" s="1389" cm="1">
        <f t="array" ref="D46">D19</f>
        <v>Shared/Private</v>
      </c>
      <c r="E46" s="1381" cm="1">
        <f t="array" ref="E46">1-E19</f>
        <v>0.3</v>
      </c>
      <c r="F46" t="str" s="1389" cm="1">
        <f t="array" ref="F46">F19</f>
        <v>Management</v>
      </c>
      <c r="G46" t="str" s="1389" cm="1">
        <f t="array" ref="G46">G19</f>
        <v>Primary</v>
      </c>
      <c r="H46" s="1382" cm="1">
        <f t="array" ref="H46">H19</f>
        <v>13</v>
      </c>
      <c r="I46" s="1381">
        <v>0.8</v>
      </c>
      <c r="J46" s="1383" cm="1">
        <f t="array" ref="J46">365-15-10</f>
        <v>340</v>
      </c>
      <c r="K46" s="1384" cm="1">
        <f t="array" ref="K46">_xlfn.IFERROR(ROUNDDOWN(E46*J46*I46,0),0)*6/12</f>
        <v>40.5</v>
      </c>
      <c r="L46" s="1236"/>
      <c r="M46" s="17"/>
      <c r="N46" s="74"/>
      <c r="O46" s="1385" cm="1">
        <f t="array" ref="O46">1300000000/10*7/12*E46</f>
        <v>22750000</v>
      </c>
      <c r="P46" s="1386" cm="1">
        <f t="array" ref="P46">38848416*E46</f>
        <v>11654524.8</v>
      </c>
      <c r="Q46" s="1386">
        <v>0</v>
      </c>
      <c r="R46" s="1386" cm="1">
        <f t="array" ref="R46">SUM(O46:Q46)</f>
        <v>34404524.8</v>
      </c>
      <c r="S46" s="1387" cm="1">
        <f t="array" ref="S46">_xlfn.IFERROR(R46/K46,0)</f>
        <v>849494.439506173</v>
      </c>
      <c r="T46" s="16"/>
      <c r="U46" s="18"/>
    </row>
    <row r="47" ht="14.5" customHeight="1">
      <c r="A47" s="12"/>
      <c r="B47" s="1378" cm="1">
        <f t="array" ref="B47">B20</f>
        <v>8</v>
      </c>
      <c r="C47" t="str" s="1388" cm="1">
        <f t="array" ref="C47">C20</f>
        <v>Eldorado 4 - Vadim</v>
      </c>
      <c r="D47" t="str" s="1389" cm="1">
        <f t="array" ref="D47">D20</f>
        <v>Shared/Private</v>
      </c>
      <c r="E47" s="1381" cm="1">
        <f t="array" ref="E47">1-E20</f>
        <v>0.3</v>
      </c>
      <c r="F47" t="str" s="1389" cm="1">
        <f t="array" ref="F47">F20</f>
        <v>Own</v>
      </c>
      <c r="G47" t="str" s="1389" cm="1">
        <f t="array" ref="G47">G20</f>
        <v>Primary</v>
      </c>
      <c r="H47" s="1382" cm="1">
        <f t="array" ref="H47">H20</f>
        <v>13</v>
      </c>
      <c r="I47" s="1381">
        <v>0.8</v>
      </c>
      <c r="J47" s="1383" cm="1">
        <f t="array" ref="J47">365-15-10</f>
        <v>340</v>
      </c>
      <c r="K47" s="1384" cm="1">
        <f t="array" ref="K47">_xlfn.IFERROR(ROUNDDOWN(E47*J47*I47,0),0)*5/12</f>
        <v>33.75</v>
      </c>
      <c r="L47" s="1236"/>
      <c r="M47" s="17"/>
      <c r="N47" s="74"/>
      <c r="O47" s="1385" cm="1">
        <f t="array" ref="O47">1300000000/10*6/12*E47</f>
        <v>19500000</v>
      </c>
      <c r="P47" s="1386" cm="1">
        <f t="array" ref="P47">38848416*E47</f>
        <v>11654524.8</v>
      </c>
      <c r="Q47" s="1386">
        <v>0</v>
      </c>
      <c r="R47" s="1386" cm="1">
        <f t="array" ref="R47">SUM(O47:Q47)</f>
        <v>31154524.8</v>
      </c>
      <c r="S47" s="1387" cm="1">
        <f t="array" ref="S47">_xlfn.IFERROR(R47/K47,0)</f>
        <v>923097.031111111</v>
      </c>
      <c r="T47" s="16"/>
      <c r="U47" s="18"/>
    </row>
    <row r="48" ht="14.5" customHeight="1">
      <c r="A48" s="12"/>
      <c r="B48" s="1378" cm="1">
        <f t="array" ref="B48">B21</f>
        <v>15</v>
      </c>
      <c r="C48" t="str" s="1388" cm="1">
        <f t="array" ref="C48">C21</f>
        <v>Queen Ruizi 12</v>
      </c>
      <c r="D48" t="str" s="1389" cm="1">
        <f t="array" ref="D48">D21</f>
        <v>Shared/Private</v>
      </c>
      <c r="E48" s="1381" cm="1">
        <f t="array" ref="E48">1-E21</f>
        <v>0.4</v>
      </c>
      <c r="F48" t="str" s="1389" cm="1">
        <f t="array" ref="F48">F21</f>
        <v>Management</v>
      </c>
      <c r="G48" t="str" s="1389" cm="1">
        <f t="array" ref="G48">G21</f>
        <v>Primary</v>
      </c>
      <c r="H48" s="1382" cm="1">
        <f t="array" ref="H48">H21</f>
        <v>13</v>
      </c>
      <c r="I48" s="1381">
        <v>0.5</v>
      </c>
      <c r="J48" s="1383" cm="1">
        <f t="array" ref="J48">365-15-10</f>
        <v>340</v>
      </c>
      <c r="K48" s="1384" cm="1">
        <f t="array" ref="K48">_xlfn.IFERROR(ROUNDDOWN(E48*J48*I48,0),0)</f>
        <v>68</v>
      </c>
      <c r="L48" s="1236"/>
      <c r="M48" s="17"/>
      <c r="N48" s="74"/>
      <c r="O48" s="1385">
        <v>0</v>
      </c>
      <c r="P48" s="1386">
        <v>0</v>
      </c>
      <c r="Q48" s="1386">
        <v>0</v>
      </c>
      <c r="R48" s="1386" cm="1">
        <f t="array" ref="R48">SUM(O48:Q48)</f>
        <v>0</v>
      </c>
      <c r="S48" s="1387">
        <v>0</v>
      </c>
      <c r="T48" s="16"/>
      <c r="U48" s="18"/>
    </row>
    <row r="49" ht="14.5" customHeight="1">
      <c r="A49" s="12"/>
      <c r="B49" s="1378" cm="1">
        <f t="array" ref="B49">'Boats Data Sheet 2025'!B16</f>
        <v>14</v>
      </c>
      <c r="C49" t="str" s="1379" cm="1">
        <f t="array" ref="C49">'Boats Data Sheet 2025'!C16</f>
        <v>Queen Ruizi 10</v>
      </c>
      <c r="D49" t="str" s="1380" cm="1">
        <f t="array" ref="D49">'Boats Data Sheet 2025'!D16</f>
        <v>Shared/Private</v>
      </c>
      <c r="E49" s="1381" cm="1">
        <f t="array" ref="E49">1-'Boats Data Sheet 2025'!E16</f>
        <v>0.2</v>
      </c>
      <c r="F49" t="str" s="1380" cm="1">
        <f t="array" ref="F49">'Boats Data Sheet 2025'!F16</f>
        <v>Management</v>
      </c>
      <c r="G49" t="str" s="1380" cm="1">
        <f t="array" ref="G49">'Boats Data Sheet 2025'!G16</f>
        <v>Primary</v>
      </c>
      <c r="H49" s="1382" cm="1">
        <f t="array" ref="H49">'Boats Data Sheet 2025'!H16</f>
        <v>10</v>
      </c>
      <c r="I49" s="1381">
        <v>0.7</v>
      </c>
      <c r="J49" s="1383" cm="1">
        <f t="array" ref="J49">365-15-10</f>
        <v>340</v>
      </c>
      <c r="K49" s="1384" cm="1">
        <f t="array" ref="K49">_xlfn.IFERROR(ROUNDDOWN(E49*J49*I49,0),0)</f>
        <v>47</v>
      </c>
      <c r="L49" s="1236"/>
      <c r="M49" s="17"/>
      <c r="N49" s="74"/>
      <c r="O49" s="1385">
        <v>0</v>
      </c>
      <c r="P49" s="1386">
        <v>0</v>
      </c>
      <c r="Q49" s="1386">
        <v>0</v>
      </c>
      <c r="R49" s="1386" cm="1">
        <f t="array" ref="R49">SUM(O49:Q49)</f>
        <v>0</v>
      </c>
      <c r="S49" s="1387">
        <v>0</v>
      </c>
      <c r="T49" s="16"/>
      <c r="U49" s="18"/>
    </row>
    <row r="50" ht="14.5" customHeight="1">
      <c r="A50" s="12"/>
      <c r="B50" s="1378" cm="1">
        <f t="array" ref="B50">'Boats Data Sheet 2025'!B18</f>
        <v>16</v>
      </c>
      <c r="C50" t="str" s="1379" cm="1">
        <f t="array" ref="C50">'Boats Data Sheet 2025'!C18</f>
        <v>Big Sweetheart</v>
      </c>
      <c r="D50" t="str" s="1380" cm="1">
        <f t="array" ref="D50">'Boats Data Sheet 2025'!D18</f>
        <v>Shared</v>
      </c>
      <c r="E50" s="1381" cm="1">
        <f t="array" ref="E50">1-'Boats Data Sheet 2025'!E18</f>
        <v>0</v>
      </c>
      <c r="F50" t="str" s="1380" cm="1">
        <f t="array" ref="F50">'Boats Data Sheet 2025'!F18</f>
        <v>Rent</v>
      </c>
      <c r="G50" t="str" s="1380" cm="1">
        <f t="array" ref="G50">'Boats Data Sheet 2025'!G18</f>
        <v>Primary</v>
      </c>
      <c r="H50" s="1382" cm="1">
        <f t="array" ref="H50">'Boats Data Sheet 2025'!H18</f>
        <v>14</v>
      </c>
      <c r="I50" t="s" s="1389">
        <v>14</v>
      </c>
      <c r="J50" s="1383" cm="1">
        <f t="array" ref="J50">365-15-10</f>
        <v>340</v>
      </c>
      <c r="K50" s="1384" cm="1">
        <f t="array" ref="K50">_xlfn.IFERROR(ROUNDDOWN(E50*J50*I50,0),0)</f>
        <v>0</v>
      </c>
      <c r="L50" s="16"/>
      <c r="M50" s="17"/>
      <c r="N50" s="74"/>
      <c r="O50" s="1385">
        <v>0</v>
      </c>
      <c r="P50" s="1386">
        <v>0</v>
      </c>
      <c r="Q50" s="1386">
        <v>0</v>
      </c>
      <c r="R50" s="1386" cm="1">
        <f t="array" ref="R50">SUM(O50:Q50)</f>
        <v>0</v>
      </c>
      <c r="S50" s="1387" cm="1">
        <f t="array" ref="S50">_xlfn.IFERROR(R50/K50,0)</f>
        <v>0</v>
      </c>
      <c r="T50" s="16"/>
      <c r="U50" s="18"/>
    </row>
    <row r="51" ht="14.5" customHeight="1">
      <c r="A51" s="12"/>
      <c r="B51" s="1378" cm="1">
        <f t="array" ref="B51">'Boats Data Sheet 2025'!B19</f>
        <v>17</v>
      </c>
      <c r="C51" t="str" s="1379" cm="1">
        <f t="array" ref="C51">'Boats Data Sheet 2025'!C19</f>
        <v>Seven Heaven</v>
      </c>
      <c r="D51" t="str" s="1380" cm="1">
        <f t="array" ref="D51">'Boats Data Sheet 2025'!D19</f>
        <v>Private</v>
      </c>
      <c r="E51" s="1381">
        <v>0</v>
      </c>
      <c r="F51" t="str" s="1380" cm="1">
        <f t="array" ref="F51">'Boats Data Sheet 2025'!F19</f>
        <v>Management</v>
      </c>
      <c r="G51" t="str" s="1380" cm="1">
        <f t="array" ref="G51">'Boats Data Sheet 2025'!G19</f>
        <v>Primary</v>
      </c>
      <c r="H51" s="1382" cm="1">
        <f t="array" ref="H51">'Boats Data Sheet 2025'!H19</f>
        <v>20</v>
      </c>
      <c r="I51" s="1381">
        <v>0.1</v>
      </c>
      <c r="J51" s="1383" cm="1">
        <f t="array" ref="J51">365-15-10</f>
        <v>340</v>
      </c>
      <c r="K51" s="1384" cm="1">
        <f t="array" ref="K51">_xlfn.IFERROR(ROUNDDOWN(E51*J51*I51,0),0)</f>
        <v>0</v>
      </c>
      <c r="L51" s="1236"/>
      <c r="M51" s="17"/>
      <c r="N51" s="74"/>
      <c r="O51" s="1385">
        <v>0</v>
      </c>
      <c r="P51" s="1386">
        <v>0</v>
      </c>
      <c r="Q51" s="1386">
        <v>0</v>
      </c>
      <c r="R51" s="1386" cm="1">
        <f t="array" ref="R51">SUM(O51:Q51)</f>
        <v>0</v>
      </c>
      <c r="S51" s="1387" cm="1">
        <f t="array" ref="S51">_xlfn.IFERROR(R51/K51,0)</f>
        <v>0</v>
      </c>
      <c r="T51" s="16"/>
      <c r="U51" s="18"/>
    </row>
    <row r="52" ht="14.5" customHeight="1">
      <c r="A52" s="12"/>
      <c r="B52" s="1378" cm="1">
        <f t="array" ref="B52">'Boats Data Sheet 2025'!B20</f>
        <v>18</v>
      </c>
      <c r="C52" t="str" s="1379" cm="1">
        <f t="array" ref="C52">'Boats Data Sheet 2025'!C20</f>
        <v>Mironia</v>
      </c>
      <c r="D52" t="str" s="1380" cm="1">
        <f t="array" ref="D52">'Boats Data Sheet 2025'!D20</f>
        <v>Private</v>
      </c>
      <c r="E52" s="1381">
        <v>0</v>
      </c>
      <c r="F52" t="str" s="1380" cm="1">
        <f t="array" ref="F52">'Boats Data Sheet 2025'!F20</f>
        <v>Tour </v>
      </c>
      <c r="G52" t="s" s="1389">
        <v>1064</v>
      </c>
      <c r="H52" s="1382" cm="1">
        <f t="array" ref="H52">'Boats Data Sheet 2025'!H20</f>
        <v>12</v>
      </c>
      <c r="I52" s="1381">
        <v>0.2</v>
      </c>
      <c r="J52" s="1383" cm="1">
        <f t="array" ref="J52">365-15-10</f>
        <v>340</v>
      </c>
      <c r="K52" s="1384" cm="1">
        <f t="array" ref="K52">_xlfn.IFERROR(ROUNDDOWN(E52*J52*I52,0),0)</f>
        <v>0</v>
      </c>
      <c r="L52" s="1236"/>
      <c r="M52" s="17"/>
      <c r="N52" s="74"/>
      <c r="O52" s="1385">
        <v>0</v>
      </c>
      <c r="P52" s="1386">
        <v>0</v>
      </c>
      <c r="Q52" s="1386">
        <v>0</v>
      </c>
      <c r="R52" s="1386" cm="1">
        <f t="array" ref="R52">SUM(O52:Q52)</f>
        <v>0</v>
      </c>
      <c r="S52" s="1387" cm="1">
        <f t="array" ref="S52">_xlfn.IFERROR(R52/K52,0)</f>
        <v>0</v>
      </c>
      <c r="T52" s="16"/>
      <c r="U52" s="18"/>
    </row>
    <row r="53" ht="14.5" customHeight="1">
      <c r="A53" s="12"/>
      <c r="B53" s="1378" cm="1">
        <f t="array" ref="B53">'Boats Data Sheet 2025'!B21</f>
        <v>19</v>
      </c>
      <c r="C53" t="str" s="1379" cm="1">
        <f t="array" ref="C53">'Boats Data Sheet 2025'!C21</f>
        <v>Little Star</v>
      </c>
      <c r="D53" t="str" s="1380" cm="1">
        <f t="array" ref="D53">'Boats Data Sheet 2025'!D21</f>
        <v>Private</v>
      </c>
      <c r="E53" s="1381" cm="1">
        <f t="array" ref="E53">1-'Boats Data Sheet 2025'!E21</f>
        <v>1</v>
      </c>
      <c r="F53" t="str" s="1380" cm="1">
        <f t="array" ref="F53">'Boats Data Sheet 2025'!F21</f>
        <v>Rent</v>
      </c>
      <c r="G53" t="s" s="1389">
        <v>1064</v>
      </c>
      <c r="H53" s="1382" cm="1">
        <f t="array" ref="H53">'Boats Data Sheet 2025'!H21</f>
        <v>8</v>
      </c>
      <c r="I53" s="1381">
        <v>0.6</v>
      </c>
      <c r="J53" s="1383" cm="1">
        <f t="array" ref="J53">365-15-10</f>
        <v>340</v>
      </c>
      <c r="K53" s="1384" cm="1">
        <f t="array" ref="K53">_xlfn.IFERROR(ROUNDDOWN(E53*J53*I53,0),0)</f>
        <v>204</v>
      </c>
      <c r="L53" s="1236"/>
      <c r="M53" s="17"/>
      <c r="N53" s="74"/>
      <c r="O53" s="1385">
        <v>0</v>
      </c>
      <c r="P53" s="1386">
        <v>0</v>
      </c>
      <c r="Q53" s="1386">
        <v>0</v>
      </c>
      <c r="R53" s="1386" cm="1">
        <f t="array" ref="R53">SUM(O53:Q53)</f>
        <v>0</v>
      </c>
      <c r="S53" s="1387" cm="1">
        <f t="array" ref="S53">_xlfn.IFERROR(R53/K53,0)</f>
        <v>0</v>
      </c>
      <c r="T53" s="16"/>
      <c r="U53" s="18"/>
    </row>
    <row r="54" ht="14.5" customHeight="1">
      <c r="A54" s="12"/>
      <c r="B54" s="1378" cm="1">
        <f t="array" ref="B54">'Boats Data Sheet 2025'!B22</f>
        <v>20</v>
      </c>
      <c r="C54" t="str" s="1379" cm="1">
        <f t="array" ref="C54">'Boats Data Sheet 2025'!C22</f>
        <v>Rara</v>
      </c>
      <c r="D54" t="str" s="1380" cm="1">
        <f t="array" ref="D54">'Boats Data Sheet 2025'!D22</f>
        <v>Private</v>
      </c>
      <c r="E54" s="1381" cm="1">
        <f t="array" ref="E54">1-'Boats Data Sheet 2025'!E22</f>
        <v>1</v>
      </c>
      <c r="F54" t="str" s="1380" cm="1">
        <f t="array" ref="F54">'Boats Data Sheet 2025'!F22</f>
        <v>Tour </v>
      </c>
      <c r="G54" t="s" s="1389">
        <v>1064</v>
      </c>
      <c r="H54" s="1382" cm="1">
        <f t="array" ref="H54">'Boats Data Sheet 2025'!H22</f>
        <v>10</v>
      </c>
      <c r="I54" s="1381">
        <v>0.4</v>
      </c>
      <c r="J54" s="1383" cm="1">
        <f t="array" ref="J54">365-15-10</f>
        <v>340</v>
      </c>
      <c r="K54" s="1384" cm="1">
        <f t="array" ref="K54">_xlfn.IFERROR(ROUNDDOWN(E54*J54*I54,0),0)</f>
        <v>136</v>
      </c>
      <c r="L54" s="1236"/>
      <c r="M54" s="17"/>
      <c r="N54" s="74"/>
      <c r="O54" s="1385">
        <v>0</v>
      </c>
      <c r="P54" s="1386">
        <v>0</v>
      </c>
      <c r="Q54" s="1386">
        <v>0</v>
      </c>
      <c r="R54" s="1386" cm="1">
        <f t="array" ref="R54">SUM(O54:Q54)</f>
        <v>0</v>
      </c>
      <c r="S54" s="1387" cm="1">
        <f t="array" ref="S54">_xlfn.IFERROR(R54/K54,0)</f>
        <v>0</v>
      </c>
      <c r="T54" s="16"/>
      <c r="U54" s="18"/>
    </row>
    <row r="55" ht="14.5" customHeight="1">
      <c r="A55" s="12"/>
      <c r="B55" s="1378" cm="1">
        <f t="array" ref="B55">'Boats Data Sheet 2025'!B23</f>
        <v>21</v>
      </c>
      <c r="C55" t="str" s="1379" cm="1">
        <f t="array" ref="C55">'Boats Data Sheet 2025'!C23</f>
        <v>Small Sweetheart</v>
      </c>
      <c r="D55" t="str" s="1380" cm="1">
        <f t="array" ref="D55">'Boats Data Sheet 2025'!D23</f>
        <v>Private</v>
      </c>
      <c r="E55" s="1381" cm="1">
        <f t="array" ref="E55">1-'Boats Data Sheet 2025'!E23</f>
        <v>1</v>
      </c>
      <c r="F55" t="str" s="1380" cm="1">
        <f t="array" ref="F55">'Boats Data Sheet 2025'!F23</f>
        <v>Rent</v>
      </c>
      <c r="G55" t="s" s="1389">
        <v>1064</v>
      </c>
      <c r="H55" s="1382" cm="1">
        <f t="array" ref="H55">'Boats Data Sheet 2025'!H23</f>
        <v>8</v>
      </c>
      <c r="I55" s="1381">
        <v>0.6</v>
      </c>
      <c r="J55" s="1383" cm="1">
        <f t="array" ref="J55">365-15-10</f>
        <v>340</v>
      </c>
      <c r="K55" s="1384" cm="1">
        <f t="array" ref="K55">_xlfn.IFERROR(ROUNDDOWN(E55*J55*I55,0),0)</f>
        <v>204</v>
      </c>
      <c r="L55" s="1236"/>
      <c r="M55" s="17"/>
      <c r="N55" s="74"/>
      <c r="O55" s="1385">
        <v>0</v>
      </c>
      <c r="P55" s="1386">
        <v>0</v>
      </c>
      <c r="Q55" s="1386">
        <v>0</v>
      </c>
      <c r="R55" s="1386" cm="1">
        <f t="array" ref="R55">SUM(O55:Q55)</f>
        <v>0</v>
      </c>
      <c r="S55" s="1387" cm="1">
        <f t="array" ref="S55">_xlfn.IFERROR(R55/K55,0)</f>
        <v>0</v>
      </c>
      <c r="T55" s="16"/>
      <c r="U55" s="18"/>
    </row>
    <row r="56" ht="14.5" customHeight="1">
      <c r="A56" s="12"/>
      <c r="B56" s="1378" cm="1">
        <f t="array" ref="B56">'Boats Data Sheet 2025'!B24</f>
        <v>22</v>
      </c>
      <c r="C56" t="str" s="1379" cm="1">
        <f t="array" ref="C56">'Boats Data Sheet 2025'!C26</f>
        <v>Dedean</v>
      </c>
      <c r="D56" t="str" s="1380" cm="1">
        <f t="array" ref="D56">'Boats Data Sheet 2025'!D26</f>
        <v>Private</v>
      </c>
      <c r="E56" s="1381" cm="1">
        <f t="array" ref="E56">1-'Boats Data Sheet 2025'!E26</f>
        <v>1</v>
      </c>
      <c r="F56" t="str" s="1380" cm="1">
        <f t="array" ref="F56">'Boats Data Sheet 2025'!F26</f>
        <v>Management</v>
      </c>
      <c r="G56" t="s" s="1389">
        <v>1064</v>
      </c>
      <c r="H56" s="1382" cm="1">
        <f t="array" ref="H56">'Boats Data Sheet 2025'!H26</f>
        <v>15</v>
      </c>
      <c r="I56" s="1381">
        <v>0.8</v>
      </c>
      <c r="J56" s="1383" cm="1">
        <f t="array" ref="J56">365-15-10</f>
        <v>340</v>
      </c>
      <c r="K56" s="1384" cm="1">
        <f t="array" ref="K56">_xlfn.IFERROR(ROUNDDOWN(E56*J56*I56,0),0)</f>
        <v>272</v>
      </c>
      <c r="L56" s="1236"/>
      <c r="M56" s="17"/>
      <c r="N56" s="74"/>
      <c r="O56" s="1385">
        <v>0</v>
      </c>
      <c r="P56" s="1386" cm="1">
        <f t="array" ref="P56">57400194*E56</f>
        <v>57400194</v>
      </c>
      <c r="Q56" s="1386">
        <v>0</v>
      </c>
      <c r="R56" s="1386" cm="1">
        <f t="array" ref="R56">SUM(O56:Q56)</f>
        <v>57400194</v>
      </c>
      <c r="S56" s="1387" cm="1">
        <f t="array" ref="S56">_xlfn.IFERROR(R56/K56,0)</f>
        <v>211030.125</v>
      </c>
      <c r="T56" s="16"/>
      <c r="U56" s="18"/>
    </row>
    <row r="57" ht="14.5" customHeight="1">
      <c r="A57" s="12"/>
      <c r="B57" s="1378" cm="1">
        <f t="array" ref="B57">'Boats Data Sheet 2025'!B25</f>
        <v>23</v>
      </c>
      <c r="C57" t="str" s="1379" cm="1">
        <f t="array" ref="C57">'Boats Data Sheet 2025'!C27</f>
        <v>King Fish</v>
      </c>
      <c r="D57" t="str" s="1380" cm="1">
        <f t="array" ref="D57">'Boats Data Sheet 2025'!D27</f>
        <v>Private</v>
      </c>
      <c r="E57" s="1381" cm="1">
        <f t="array" ref="E57">1-'Boats Data Sheet 2025'!E27</f>
        <v>1</v>
      </c>
      <c r="F57" t="str" s="1380" cm="1">
        <f t="array" ref="F57">'Boats Data Sheet 2025'!F27</f>
        <v>Tour </v>
      </c>
      <c r="G57" t="s" s="1389">
        <v>1064</v>
      </c>
      <c r="H57" s="1382" cm="1">
        <f t="array" ref="H57">'Boats Data Sheet 2025'!H27</f>
        <v>13</v>
      </c>
      <c r="I57" s="1381">
        <v>0.2</v>
      </c>
      <c r="J57" s="1383" cm="1">
        <f t="array" ref="J57">365-15-10</f>
        <v>340</v>
      </c>
      <c r="K57" s="1384" cm="1">
        <f t="array" ref="K57">_xlfn.IFERROR(ROUNDDOWN(E57*J57*I57,0),0)</f>
        <v>68</v>
      </c>
      <c r="L57" s="1236"/>
      <c r="M57" s="17"/>
      <c r="N57" s="74"/>
      <c r="O57" s="1385">
        <v>0</v>
      </c>
      <c r="P57" s="1386">
        <v>0</v>
      </c>
      <c r="Q57" s="1386">
        <v>0</v>
      </c>
      <c r="R57" s="1386" cm="1">
        <f t="array" ref="R57">SUM(O57:Q57)</f>
        <v>0</v>
      </c>
      <c r="S57" s="1387" cm="1">
        <f t="array" ref="S57">_xlfn.IFERROR(R57/K57,0)</f>
        <v>0</v>
      </c>
      <c r="T57" s="16"/>
      <c r="U57" s="18"/>
    </row>
    <row r="58" ht="14.5" customHeight="1">
      <c r="A58" s="12"/>
      <c r="B58" s="1378" cm="1">
        <f t="array" ref="B58">'Boats Data Sheet 2025'!B26</f>
        <v>24</v>
      </c>
      <c r="C58" t="str" s="1379" cm="1">
        <f t="array" ref="C58">'Boats Data Sheet 2025'!C28</f>
        <v>Big Little Star</v>
      </c>
      <c r="D58" t="str" s="1380" cm="1">
        <f t="array" ref="D58">'Boats Data Sheet 2025'!D28</f>
        <v>Private</v>
      </c>
      <c r="E58" s="1381" cm="1">
        <f t="array" ref="E58">1-'Boats Data Sheet 2025'!E28</f>
        <v>1</v>
      </c>
      <c r="F58" t="str" s="1380" cm="1">
        <f t="array" ref="F58">'Boats Data Sheet 2025'!F28</f>
        <v>Rent</v>
      </c>
      <c r="G58" t="s" s="1389">
        <v>1064</v>
      </c>
      <c r="H58" s="1382" cm="1">
        <f t="array" ref="H58">'Boats Data Sheet 2025'!H28</f>
        <v>10</v>
      </c>
      <c r="I58" s="1381">
        <v>0.5</v>
      </c>
      <c r="J58" s="1383" cm="1">
        <f t="array" ref="J58">365-15-10</f>
        <v>340</v>
      </c>
      <c r="K58" s="1384" cm="1">
        <f t="array" ref="K58">_xlfn.IFERROR(ROUNDDOWN(E58*J58*I58,0),0)</f>
        <v>170</v>
      </c>
      <c r="L58" s="1236"/>
      <c r="M58" s="17"/>
      <c r="N58" s="74"/>
      <c r="O58" s="1385">
        <v>0</v>
      </c>
      <c r="P58" s="1386">
        <v>0</v>
      </c>
      <c r="Q58" s="1386">
        <v>0</v>
      </c>
      <c r="R58" s="1386" cm="1">
        <f t="array" ref="R58">SUM(O58:Q58)</f>
        <v>0</v>
      </c>
      <c r="S58" s="1387" cm="1">
        <f t="array" ref="S58">_xlfn.IFERROR(R58/K58,0)</f>
        <v>0</v>
      </c>
      <c r="T58" s="16"/>
      <c r="U58" s="18"/>
    </row>
    <row r="59" ht="14.5" customHeight="1">
      <c r="A59" s="12"/>
      <c r="B59" s="1378" cm="1">
        <f t="array" ref="B59">'Boats Data Sheet 2025'!B27</f>
        <v>25</v>
      </c>
      <c r="C59" t="str" s="1379" cm="1">
        <f t="array" ref="C59">'Boats Data Sheet 2025'!C29</f>
        <v>Dhea</v>
      </c>
      <c r="D59" t="str" s="1380" cm="1">
        <f t="array" ref="D59">'Boats Data Sheet 2025'!D29</f>
        <v>Private</v>
      </c>
      <c r="E59" s="1381" cm="1">
        <f t="array" ref="E59">1-'Boats Data Sheet 2025'!E29</f>
        <v>1</v>
      </c>
      <c r="F59" t="str" s="1380" cm="1">
        <f t="array" ref="F59">'Boats Data Sheet 2025'!F29</f>
        <v>Tour </v>
      </c>
      <c r="G59" t="str" s="1380" cm="1">
        <f t="array" ref="G59">'Boats Data Sheet 2025'!G29</f>
        <v>Secondary</v>
      </c>
      <c r="H59" s="1382" cm="1">
        <f t="array" ref="H59">'Boats Data Sheet 2025'!H29</f>
        <v>14</v>
      </c>
      <c r="I59" s="1381">
        <v>0.05</v>
      </c>
      <c r="J59" s="1383" cm="1">
        <f t="array" ref="J59">365-15-10</f>
        <v>340</v>
      </c>
      <c r="K59" s="1384" cm="1">
        <f t="array" ref="K59">_xlfn.IFERROR(ROUNDDOWN(E59*J59*I59,0),0)</f>
        <v>17</v>
      </c>
      <c r="L59" s="1236"/>
      <c r="M59" s="17"/>
      <c r="N59" s="74"/>
      <c r="O59" s="1385">
        <v>0</v>
      </c>
      <c r="P59" s="1386">
        <v>0</v>
      </c>
      <c r="Q59" s="1386">
        <v>0</v>
      </c>
      <c r="R59" s="1386" cm="1">
        <f t="array" ref="R59">SUM(O59:Q59)</f>
        <v>0</v>
      </c>
      <c r="S59" s="1387" cm="1">
        <f t="array" ref="S59">_xlfn.IFERROR(R59/K59,0)</f>
        <v>0</v>
      </c>
      <c r="T59" s="16"/>
      <c r="U59" s="18"/>
    </row>
    <row r="60" ht="14.5" customHeight="1">
      <c r="A60" s="12"/>
      <c r="B60" s="1378" cm="1">
        <f t="array" ref="B60">'Boats Data Sheet 2025'!B28</f>
        <v>26</v>
      </c>
      <c r="C60" t="str" s="1379" cm="1">
        <f t="array" ref="C60">'Boats Data Sheet 2025'!C30</f>
        <v>Big Blue</v>
      </c>
      <c r="D60" t="str" s="1380" cm="1">
        <f t="array" ref="D60">'Boats Data Sheet 2025'!D30</f>
        <v>Private</v>
      </c>
      <c r="E60" s="1381" cm="1">
        <f t="array" ref="E60">1-'Boats Data Sheet 2025'!E30</f>
        <v>1</v>
      </c>
      <c r="F60" t="str" s="1380" cm="1">
        <f t="array" ref="F60">'Boats Data Sheet 2025'!F30</f>
        <v>Tour </v>
      </c>
      <c r="G60" t="str" s="1380" cm="1">
        <f t="array" ref="G60">'Boats Data Sheet 2025'!G30</f>
        <v>Secondary</v>
      </c>
      <c r="H60" s="1382" cm="1">
        <f t="array" ref="H60">'Boats Data Sheet 2025'!H30</f>
        <v>12</v>
      </c>
      <c r="I60" s="1381">
        <v>0</v>
      </c>
      <c r="J60" s="1383" cm="1">
        <f t="array" ref="J60">365-15-10</f>
        <v>340</v>
      </c>
      <c r="K60" s="1384" cm="1">
        <f t="array" ref="K60">_xlfn.IFERROR(ROUNDDOWN(E60*J60*I60,0),0)</f>
        <v>0</v>
      </c>
      <c r="L60" s="1236"/>
      <c r="M60" s="17"/>
      <c r="N60" s="74"/>
      <c r="O60" s="1385">
        <v>0</v>
      </c>
      <c r="P60" s="1386">
        <v>0</v>
      </c>
      <c r="Q60" s="1386">
        <v>0</v>
      </c>
      <c r="R60" s="1386" cm="1">
        <f t="array" ref="R60">SUM(O60:Q60)</f>
        <v>0</v>
      </c>
      <c r="S60" s="1387" cm="1">
        <f t="array" ref="S60">_xlfn.IFERROR(R60/K60,0)</f>
        <v>0</v>
      </c>
      <c r="T60" s="16"/>
      <c r="U60" s="18"/>
    </row>
    <row r="61" ht="14.5" customHeight="1">
      <c r="A61" s="12"/>
      <c r="B61" s="1378" cm="1">
        <f t="array" ref="B61">'Boats Data Sheet 2025'!B29</f>
        <v>27</v>
      </c>
      <c r="C61" t="str" s="1379" cm="1">
        <f t="array" ref="C61">'Boats Data Sheet 2025'!C31</f>
        <v>Seahorse</v>
      </c>
      <c r="D61" t="str" s="1380" cm="1">
        <f t="array" ref="D61">'Boats Data Sheet 2025'!D31</f>
        <v>Private</v>
      </c>
      <c r="E61" s="1381" cm="1">
        <f t="array" ref="E61">1-'Boats Data Sheet 2025'!E31</f>
        <v>1</v>
      </c>
      <c r="F61" t="str" s="1380" cm="1">
        <f t="array" ref="F61">'Boats Data Sheet 2025'!F31</f>
        <v>Tour </v>
      </c>
      <c r="G61" t="str" s="1380" cm="1">
        <f t="array" ref="G61">'Boats Data Sheet 2025'!G31</f>
        <v>Secondary</v>
      </c>
      <c r="H61" s="1382" cm="1">
        <f t="array" ref="H61">'Boats Data Sheet 2025'!H31</f>
        <v>12</v>
      </c>
      <c r="I61" s="1381">
        <v>0.4</v>
      </c>
      <c r="J61" s="1383" cm="1">
        <f t="array" ref="J61">365-15-10</f>
        <v>340</v>
      </c>
      <c r="K61" s="1384" cm="1">
        <f t="array" ref="K61">_xlfn.IFERROR(ROUNDDOWN(E61*J61*I61,0),0)</f>
        <v>136</v>
      </c>
      <c r="L61" s="1236"/>
      <c r="M61" s="17"/>
      <c r="N61" s="74"/>
      <c r="O61" s="1385">
        <v>0</v>
      </c>
      <c r="P61" s="1386">
        <v>0</v>
      </c>
      <c r="Q61" s="1386">
        <v>0</v>
      </c>
      <c r="R61" s="1386" cm="1">
        <f t="array" ref="R61">SUM(O61:Q61)</f>
        <v>0</v>
      </c>
      <c r="S61" s="1387" cm="1">
        <f t="array" ref="S61">_xlfn.IFERROR(R61/K61,0)</f>
        <v>0</v>
      </c>
      <c r="T61" s="16"/>
      <c r="U61" s="18"/>
    </row>
    <row r="62" ht="14.5" customHeight="1">
      <c r="A62" s="12"/>
      <c r="B62" s="1378" cm="1">
        <f t="array" ref="B62">'Boats Data Sheet 2025'!B30</f>
        <v>28</v>
      </c>
      <c r="C62" t="str" s="1379" cm="1">
        <f t="array" ref="C62">'Boats Data Sheet 2025'!C32</f>
        <v>Paradise Catamaran 4h</v>
      </c>
      <c r="D62" t="str" s="1380" cm="1">
        <f t="array" ref="D62">'Boats Data Sheet 2025'!D32</f>
        <v>Private</v>
      </c>
      <c r="E62" s="1381">
        <v>0</v>
      </c>
      <c r="F62" t="str" s="1380" cm="1">
        <f t="array" ref="F62">'Boats Data Sheet 2025'!F32</f>
        <v>Tour </v>
      </c>
      <c r="G62" t="str" s="1380" cm="1">
        <f t="array" ref="G62">'Boats Data Sheet 2025'!G32</f>
        <v>Secondary</v>
      </c>
      <c r="H62" s="1382" cm="1">
        <f t="array" ref="H62">'Boats Data Sheet 2025'!H32</f>
        <v>10</v>
      </c>
      <c r="I62" s="1381">
        <v>0.05</v>
      </c>
      <c r="J62" s="1383" cm="1">
        <f t="array" ref="J62">365-15-10</f>
        <v>340</v>
      </c>
      <c r="K62" s="1384" cm="1">
        <f t="array" ref="K62">_xlfn.IFERROR(ROUNDDOWN(E62*J62*I62,0),0)</f>
        <v>0</v>
      </c>
      <c r="L62" s="1236"/>
      <c r="M62" s="17"/>
      <c r="N62" s="74"/>
      <c r="O62" s="1385">
        <v>0</v>
      </c>
      <c r="P62" s="1386">
        <v>0</v>
      </c>
      <c r="Q62" s="1386">
        <v>0</v>
      </c>
      <c r="R62" s="1386" cm="1">
        <f t="array" ref="R62">SUM(O62:Q62)</f>
        <v>0</v>
      </c>
      <c r="S62" s="1387" cm="1">
        <f t="array" ref="S62">_xlfn.IFERROR(R62/K62,0)</f>
        <v>0</v>
      </c>
      <c r="T62" s="16"/>
      <c r="U62" s="18"/>
    </row>
    <row r="63" ht="14.5" customHeight="1">
      <c r="A63" s="12"/>
      <c r="B63" s="1378" cm="1">
        <f t="array" ref="B63">'Boats Data Sheet 2025'!B31</f>
        <v>29</v>
      </c>
      <c r="C63" t="str" s="1379" cm="1">
        <f t="array" ref="C63">'Boats Data Sheet 2025'!C33</f>
        <v>Paradise Catamaran 8h</v>
      </c>
      <c r="D63" t="str" s="1380" cm="1">
        <f t="array" ref="D63">'Boats Data Sheet 2025'!D33</f>
        <v>Private</v>
      </c>
      <c r="E63" s="1381">
        <v>0</v>
      </c>
      <c r="F63" t="str" s="1380" cm="1">
        <f t="array" ref="F63">'Boats Data Sheet 2025'!F33</f>
        <v>Tour </v>
      </c>
      <c r="G63" t="str" s="1380" cm="1">
        <f t="array" ref="G63">'Boats Data Sheet 2025'!G33</f>
        <v>Secondary</v>
      </c>
      <c r="H63" s="1382" cm="1">
        <f t="array" ref="H63">'Boats Data Sheet 2025'!H33</f>
        <v>10</v>
      </c>
      <c r="I63" s="1381">
        <v>0.05</v>
      </c>
      <c r="J63" s="1383" cm="1">
        <f t="array" ref="J63">365-15-10</f>
        <v>340</v>
      </c>
      <c r="K63" s="1384" cm="1">
        <f t="array" ref="K63">_xlfn.IFERROR(ROUNDDOWN(E63*J63*I63,0),0)</f>
        <v>0</v>
      </c>
      <c r="L63" s="1236"/>
      <c r="M63" s="17"/>
      <c r="N63" s="74"/>
      <c r="O63" s="1385">
        <v>0</v>
      </c>
      <c r="P63" s="1386">
        <v>0</v>
      </c>
      <c r="Q63" s="1386">
        <v>0</v>
      </c>
      <c r="R63" s="1386" cm="1">
        <f t="array" ref="R63">SUM(O63:Q63)</f>
        <v>0</v>
      </c>
      <c r="S63" s="1387" cm="1">
        <f t="array" ref="S63">_xlfn.IFERROR(R63/K63,0)</f>
        <v>0</v>
      </c>
      <c r="T63" s="16"/>
      <c r="U63" s="18"/>
    </row>
    <row r="64" ht="14.5" customHeight="1">
      <c r="A64" s="12"/>
      <c r="B64" s="1378" cm="1">
        <f t="array" ref="B64">'Boats Data Sheet 2025'!B32</f>
        <v>30</v>
      </c>
      <c r="C64" t="str" s="1379" cm="1">
        <f t="array" ref="C64">'Boats Data Sheet 2025'!C34</f>
        <v>Rising</v>
      </c>
      <c r="D64" t="str" s="1380" cm="1">
        <f t="array" ref="D64">'Boats Data Sheet 2025'!D34</f>
        <v>Private</v>
      </c>
      <c r="E64" s="1381">
        <v>0</v>
      </c>
      <c r="F64" t="str" s="1380" cm="1">
        <f t="array" ref="F64">'Boats Data Sheet 2025'!F34</f>
        <v>Tour </v>
      </c>
      <c r="G64" t="str" s="1380" cm="1">
        <f t="array" ref="G64">'Boats Data Sheet 2025'!G34</f>
        <v>Secondary</v>
      </c>
      <c r="H64" s="1382" cm="1">
        <f t="array" ref="H64">'Boats Data Sheet 2025'!H34</f>
        <v>12</v>
      </c>
      <c r="I64" s="1381">
        <v>0.05</v>
      </c>
      <c r="J64" s="1383" cm="1">
        <f t="array" ref="J64">365-15-10</f>
        <v>340</v>
      </c>
      <c r="K64" s="1384" cm="1">
        <f t="array" ref="K64">_xlfn.IFERROR(ROUNDDOWN(E64*J64*I64,0),0)</f>
        <v>0</v>
      </c>
      <c r="L64" s="1236"/>
      <c r="M64" s="17"/>
      <c r="N64" s="74"/>
      <c r="O64" s="1385">
        <v>0</v>
      </c>
      <c r="P64" s="1386">
        <v>0</v>
      </c>
      <c r="Q64" s="1386">
        <v>0</v>
      </c>
      <c r="R64" s="1386" cm="1">
        <f t="array" ref="R64">SUM(O64:Q64)</f>
        <v>0</v>
      </c>
      <c r="S64" s="1387" cm="1">
        <f t="array" ref="S64">_xlfn.IFERROR(R64/K64,0)</f>
        <v>0</v>
      </c>
      <c r="T64" s="16"/>
      <c r="U64" s="18"/>
    </row>
    <row r="65" ht="14.5" customHeight="1">
      <c r="A65" s="12"/>
      <c r="B65" s="1378" cm="1">
        <f t="array" ref="B65">'Boats Data Sheet 2025'!B33</f>
        <v>31</v>
      </c>
      <c r="C65" t="str" s="1379" cm="1">
        <f t="array" ref="C65">'Boats Data Sheet 2025'!C35</f>
        <v>Wahoo</v>
      </c>
      <c r="D65" t="str" s="1380" cm="1">
        <f t="array" ref="D65">'Boats Data Sheet 2025'!D35</f>
        <v>Private</v>
      </c>
      <c r="E65" s="1381">
        <v>0</v>
      </c>
      <c r="F65" t="str" s="1380" cm="1">
        <f t="array" ref="F65">'Boats Data Sheet 2025'!F35</f>
        <v>Tour </v>
      </c>
      <c r="G65" t="str" s="1380" cm="1">
        <f t="array" ref="G65">'Boats Data Sheet 2025'!G35</f>
        <v>Secondary</v>
      </c>
      <c r="H65" s="1382" cm="1">
        <f t="array" ref="H65">'Boats Data Sheet 2025'!H35</f>
        <v>12</v>
      </c>
      <c r="I65" s="1381">
        <v>0.05</v>
      </c>
      <c r="J65" s="1383" cm="1">
        <f t="array" ref="J65">365-15-10</f>
        <v>340</v>
      </c>
      <c r="K65" s="1384" cm="1">
        <f t="array" ref="K65">_xlfn.IFERROR(ROUNDDOWN(E65*J65*I65,0),0)</f>
        <v>0</v>
      </c>
      <c r="L65" s="1236"/>
      <c r="M65" s="17"/>
      <c r="N65" s="74"/>
      <c r="O65" s="1385">
        <v>0</v>
      </c>
      <c r="P65" s="1386">
        <v>0</v>
      </c>
      <c r="Q65" s="1386">
        <v>0</v>
      </c>
      <c r="R65" s="1386" cm="1">
        <f t="array" ref="R65">SUM(O65:Q65)</f>
        <v>0</v>
      </c>
      <c r="S65" s="1387" cm="1">
        <f t="array" ref="S65">_xlfn.IFERROR(R65/K65,0)</f>
        <v>0</v>
      </c>
      <c r="T65" s="16"/>
      <c r="U65" s="18"/>
    </row>
    <row r="66" ht="14.5" customHeight="1">
      <c r="A66" s="12"/>
      <c r="B66" s="1378" cm="1">
        <f t="array" ref="B66">'Boats Data Sheet 2025'!B34</f>
        <v>32</v>
      </c>
      <c r="C66" t="str" s="1379" cm="1">
        <f t="array" ref="C66">'Boats Data Sheet 2025'!C36</f>
        <v>Queen Ruizi 18</v>
      </c>
      <c r="D66" t="str" s="1380" cm="1">
        <f t="array" ref="D66">'Boats Data Sheet 2025'!D36</f>
        <v>Private</v>
      </c>
      <c r="E66" s="1381" cm="1">
        <f t="array" ref="E66">1-'Boats Data Sheet 2025'!E36</f>
        <v>1</v>
      </c>
      <c r="F66" t="str" s="1380" cm="1">
        <f t="array" ref="F66">'Boats Data Sheet 2025'!F36</f>
        <v>Tour </v>
      </c>
      <c r="G66" t="str" s="1380" cm="1">
        <f t="array" ref="G66">'Boats Data Sheet 2025'!G36</f>
        <v>Secondary</v>
      </c>
      <c r="H66" s="1382" cm="1">
        <f t="array" ref="H66">'Boats Data Sheet 2025'!H36</f>
        <v>13</v>
      </c>
      <c r="I66" s="1381">
        <v>0.05</v>
      </c>
      <c r="J66" s="1383" cm="1">
        <f t="array" ref="J66">365-15-10</f>
        <v>340</v>
      </c>
      <c r="K66" s="1384" cm="1">
        <f t="array" ref="K66">_xlfn.IFERROR(ROUNDDOWN(E66*J66*I66,0),0)</f>
        <v>17</v>
      </c>
      <c r="L66" s="1236"/>
      <c r="M66" s="17"/>
      <c r="N66" s="74"/>
      <c r="O66" s="1385">
        <v>0</v>
      </c>
      <c r="P66" s="1386">
        <v>0</v>
      </c>
      <c r="Q66" s="1386">
        <v>0</v>
      </c>
      <c r="R66" s="1386" cm="1">
        <f t="array" ref="R66">SUM(O66:Q66)</f>
        <v>0</v>
      </c>
      <c r="S66" s="1387" cm="1">
        <f t="array" ref="S66">_xlfn.IFERROR(R66/K66,0)</f>
        <v>0</v>
      </c>
      <c r="T66" s="16"/>
      <c r="U66" s="18"/>
    </row>
    <row r="67" ht="14.5" customHeight="1">
      <c r="A67" s="12"/>
      <c r="B67" s="1378" cm="1">
        <f t="array" ref="B67">'Boats Data Sheet 2025'!B35</f>
        <v>33</v>
      </c>
      <c r="C67" t="str" s="1379" cm="1">
        <f t="array" ref="C67">'Boats Data Sheet 2025'!C37</f>
        <v>Yacht F-13 meters</v>
      </c>
      <c r="D67" t="str" s="1380" cm="1">
        <f t="array" ref="D67">'Boats Data Sheet 2025'!D37</f>
        <v>Private</v>
      </c>
      <c r="E67" s="1381" cm="1">
        <f t="array" ref="E67">1-'Boats Data Sheet 2025'!E37</f>
        <v>1</v>
      </c>
      <c r="F67" t="str" s="1380" cm="1">
        <f t="array" ref="F67">'Boats Data Sheet 2025'!F37</f>
        <v>Tour </v>
      </c>
      <c r="G67" t="str" s="1380" cm="1">
        <f t="array" ref="G67">'Boats Data Sheet 2025'!G37</f>
        <v>Secondary</v>
      </c>
      <c r="H67" s="1382" cm="1">
        <f t="array" ref="H67">'Boats Data Sheet 2025'!H37</f>
        <v>12</v>
      </c>
      <c r="I67" s="1381">
        <v>0.25</v>
      </c>
      <c r="J67" s="1383" cm="1">
        <f t="array" ref="J67">365-15-10</f>
        <v>340</v>
      </c>
      <c r="K67" s="1384" cm="1">
        <f t="array" ref="K67">_xlfn.IFERROR(ROUNDDOWN(E67*J67*I67,0),0)</f>
        <v>85</v>
      </c>
      <c r="L67" s="1236"/>
      <c r="M67" s="17"/>
      <c r="N67" s="74"/>
      <c r="O67" s="1385">
        <v>0</v>
      </c>
      <c r="P67" s="1386">
        <v>0</v>
      </c>
      <c r="Q67" s="1386">
        <v>0</v>
      </c>
      <c r="R67" s="1386" cm="1">
        <f t="array" ref="R67">SUM(O67:Q67)</f>
        <v>0</v>
      </c>
      <c r="S67" s="1387" cm="1">
        <f t="array" ref="S67">_xlfn.IFERROR(R67/K67,0)</f>
        <v>0</v>
      </c>
      <c r="T67" s="16"/>
      <c r="U67" s="18"/>
    </row>
    <row r="68" ht="14.5" customHeight="1">
      <c r="A68" s="12"/>
      <c r="B68" s="1378" cm="1">
        <f t="array" ref="B68">'Boats Data Sheet 2025'!B36</f>
        <v>34</v>
      </c>
      <c r="C68" t="str" s="1379" cm="1">
        <f t="array" ref="C68">'Boats Data Sheet 2025'!C38</f>
        <v>My Darling</v>
      </c>
      <c r="D68" t="str" s="1380" cm="1">
        <f t="array" ref="D68">'Boats Data Sheet 2025'!D38</f>
        <v>Private</v>
      </c>
      <c r="E68" s="1381" cm="1">
        <f t="array" ref="E68">1-'Boats Data Sheet 2025'!E38</f>
        <v>1</v>
      </c>
      <c r="F68" t="str" s="1380" cm="1">
        <f t="array" ref="F68">'Boats Data Sheet 2025'!F38</f>
        <v>Tour </v>
      </c>
      <c r="G68" t="str" s="1380" cm="1">
        <f t="array" ref="G68">'Boats Data Sheet 2025'!G38</f>
        <v>Secondary</v>
      </c>
      <c r="H68" s="1382" cm="1">
        <f t="array" ref="H68">'Boats Data Sheet 2025'!H38</f>
        <v>12</v>
      </c>
      <c r="I68" s="1381">
        <v>0.7</v>
      </c>
      <c r="J68" s="1383" cm="1">
        <f t="array" ref="J68">365-15-10</f>
        <v>340</v>
      </c>
      <c r="K68" s="1384" cm="1">
        <f t="array" ref="K68">_xlfn.IFERROR(ROUNDDOWN(E68*J68*I68,0),0)</f>
        <v>238</v>
      </c>
      <c r="L68" s="1236"/>
      <c r="M68" s="17"/>
      <c r="N68" s="74"/>
      <c r="O68" s="1385">
        <v>0</v>
      </c>
      <c r="P68" s="1386">
        <v>0</v>
      </c>
      <c r="Q68" s="1386">
        <v>0</v>
      </c>
      <c r="R68" s="1386" cm="1">
        <f t="array" ref="R68">SUM(O68:Q68)</f>
        <v>0</v>
      </c>
      <c r="S68" s="1387" cm="1">
        <f t="array" ref="S68">_xlfn.IFERROR(R68/K68,0)</f>
        <v>0</v>
      </c>
      <c r="T68" s="16"/>
      <c r="U68" s="18"/>
    </row>
    <row r="69" ht="14.5" customHeight="1">
      <c r="A69" s="12"/>
      <c r="B69" s="1378" cm="1">
        <f t="array" ref="B69">'Boats Data Sheet 2025'!B37</f>
        <v>35</v>
      </c>
      <c r="C69" t="str" s="1379" cm="1">
        <f t="array" ref="C69">'Boats Data Sheet 2025'!C39</f>
        <v>Lux Yacht BM55</v>
      </c>
      <c r="D69" t="str" s="1380" cm="1">
        <f t="array" ref="D69">'Boats Data Sheet 2025'!D39</f>
        <v>Private</v>
      </c>
      <c r="E69" s="1381" cm="1">
        <f t="array" ref="E69">1-'Boats Data Sheet 2025'!E39</f>
        <v>1</v>
      </c>
      <c r="F69" t="str" s="1380" cm="1">
        <f t="array" ref="F69">'Boats Data Sheet 2025'!F39</f>
        <v>Comission</v>
      </c>
      <c r="G69" t="str" s="1380" cm="1">
        <f t="array" ref="G69">'Boats Data Sheet 2025'!G39</f>
        <v>Secondary</v>
      </c>
      <c r="H69" s="1382" cm="1">
        <f t="array" ref="H69">'Boats Data Sheet 2025'!H39</f>
        <v>18</v>
      </c>
      <c r="I69" s="1381">
        <v>0.05</v>
      </c>
      <c r="J69" s="1383" cm="1">
        <f t="array" ref="J69">365-15-10</f>
        <v>340</v>
      </c>
      <c r="K69" s="1384" cm="1">
        <f t="array" ref="K69">_xlfn.IFERROR(ROUNDDOWN(E69*J69*I69,0),0)</f>
        <v>17</v>
      </c>
      <c r="L69" s="1236"/>
      <c r="M69" s="17"/>
      <c r="N69" s="74"/>
      <c r="O69" s="1385">
        <v>0</v>
      </c>
      <c r="P69" s="1386">
        <v>0</v>
      </c>
      <c r="Q69" s="1386">
        <v>0</v>
      </c>
      <c r="R69" s="1386" cm="1">
        <f t="array" ref="R69">SUM(O69:Q69)</f>
        <v>0</v>
      </c>
      <c r="S69" s="1387" cm="1">
        <f t="array" ref="S69">_xlfn.IFERROR(R69/K69,0)</f>
        <v>0</v>
      </c>
      <c r="T69" s="16"/>
      <c r="U69" s="18"/>
    </row>
    <row r="70" ht="14.5" customHeight="1">
      <c r="A70" s="12"/>
      <c r="B70" s="1378" cm="1">
        <f t="array" ref="B70">'Boats Data Sheet 2025'!B38</f>
        <v>36</v>
      </c>
      <c r="C70" t="str" s="1379" cm="1">
        <f t="array" ref="C70">'Boats Data Sheet 2025'!C40</f>
        <v>Yacht BM49</v>
      </c>
      <c r="D70" t="str" s="1380" cm="1">
        <f t="array" ref="D70">'Boats Data Sheet 2025'!D40</f>
        <v>Private</v>
      </c>
      <c r="E70" s="1381" cm="1">
        <f t="array" ref="E70">1-'Boats Data Sheet 2025'!E40</f>
        <v>1</v>
      </c>
      <c r="F70" t="str" s="1380" cm="1">
        <f t="array" ref="F70">'Boats Data Sheet 2025'!F40</f>
        <v>Comission</v>
      </c>
      <c r="G70" t="str" s="1380" cm="1">
        <f t="array" ref="G70">'Boats Data Sheet 2025'!G40</f>
        <v>Secondary</v>
      </c>
      <c r="H70" s="1382" cm="1">
        <f t="array" ref="H70">'Boats Data Sheet 2025'!H40</f>
        <v>10</v>
      </c>
      <c r="I70" s="1381">
        <v>0.02</v>
      </c>
      <c r="J70" s="1383" cm="1">
        <f t="array" ref="J70">365-15-10</f>
        <v>340</v>
      </c>
      <c r="K70" s="1384" cm="1">
        <f t="array" ref="K70">_xlfn.IFERROR(ROUNDDOWN(E70*J70*I70,0),0)</f>
        <v>6</v>
      </c>
      <c r="L70" s="1236"/>
      <c r="M70" s="17"/>
      <c r="N70" s="74"/>
      <c r="O70" s="1385">
        <v>0</v>
      </c>
      <c r="P70" s="1386">
        <v>0</v>
      </c>
      <c r="Q70" s="1386">
        <v>0</v>
      </c>
      <c r="R70" s="1386" cm="1">
        <f t="array" ref="R70">SUM(O70:Q70)</f>
        <v>0</v>
      </c>
      <c r="S70" s="1387" cm="1">
        <f t="array" ref="S70">_xlfn.IFERROR(R70/K70,0)</f>
        <v>0</v>
      </c>
      <c r="T70" s="16"/>
      <c r="U70" s="18"/>
    </row>
    <row r="71" ht="14.5" customHeight="1">
      <c r="A71" s="12"/>
      <c r="B71" s="1378" cm="1">
        <f t="array" ref="B71">'Boats Data Sheet 2025'!B39</f>
        <v>37</v>
      </c>
      <c r="C71" t="str" s="1379" cm="1">
        <f t="array" ref="C71">'Boats Data Sheet 2025'!C41</f>
        <v>Yacht Lux M13</v>
      </c>
      <c r="D71" t="str" s="1380" cm="1">
        <f t="array" ref="D71">'Boats Data Sheet 2025'!D41</f>
        <v>Private</v>
      </c>
      <c r="E71" s="1381" cm="1">
        <f t="array" ref="E71">1-'Boats Data Sheet 2025'!E41</f>
        <v>1</v>
      </c>
      <c r="F71" t="str" s="1380" cm="1">
        <f t="array" ref="F71">'Boats Data Sheet 2025'!F41</f>
        <v>Comission</v>
      </c>
      <c r="G71" t="str" s="1380" cm="1">
        <f t="array" ref="G71">'Boats Data Sheet 2025'!G41</f>
        <v>Secondary</v>
      </c>
      <c r="H71" s="1382" cm="1">
        <f t="array" ref="H71">'Boats Data Sheet 2025'!H41</f>
        <v>12</v>
      </c>
      <c r="I71" s="1381">
        <v>0.05</v>
      </c>
      <c r="J71" s="1383" cm="1">
        <f t="array" ref="J71">365-15-10</f>
        <v>340</v>
      </c>
      <c r="K71" s="1384" cm="1">
        <f t="array" ref="K71">_xlfn.IFERROR(ROUNDDOWN(E71*J71*I71,0),0)</f>
        <v>17</v>
      </c>
      <c r="L71" s="1236"/>
      <c r="M71" s="17"/>
      <c r="N71" s="74"/>
      <c r="O71" s="1385">
        <v>0</v>
      </c>
      <c r="P71" s="1386">
        <v>0</v>
      </c>
      <c r="Q71" s="1386">
        <v>0</v>
      </c>
      <c r="R71" s="1386" cm="1">
        <f t="array" ref="R71">SUM(O71:Q71)</f>
        <v>0</v>
      </c>
      <c r="S71" s="1387" cm="1">
        <f t="array" ref="S71">_xlfn.IFERROR(R71/K71,0)</f>
        <v>0</v>
      </c>
      <c r="T71" s="16"/>
      <c r="U71" s="18"/>
    </row>
    <row r="72" ht="14.5" customHeight="1">
      <c r="A72" s="12"/>
      <c r="B72" s="1378" cm="1">
        <f t="array" ref="B72">'Boats Data Sheet 2025'!B40</f>
        <v>38</v>
      </c>
      <c r="C72" t="str" s="1379" cm="1">
        <f t="array" ref="C72">'Boats Data Sheet 2025'!C42</f>
        <v>Premium Yacht BM42</v>
      </c>
      <c r="D72" t="str" s="1380" cm="1">
        <f t="array" ref="D72">'Boats Data Sheet 2025'!D42</f>
        <v>Private</v>
      </c>
      <c r="E72" s="1381" cm="1">
        <f t="array" ref="E72">1-'Boats Data Sheet 2025'!E42</f>
        <v>1</v>
      </c>
      <c r="F72" t="str" s="1380" cm="1">
        <f t="array" ref="F72">'Boats Data Sheet 2025'!F42</f>
        <v>Comission</v>
      </c>
      <c r="G72" t="str" s="1380" cm="1">
        <f t="array" ref="G72">'Boats Data Sheet 2025'!G42</f>
        <v>Secondary</v>
      </c>
      <c r="H72" s="1382" cm="1">
        <f t="array" ref="H72">'Boats Data Sheet 2025'!H42</f>
        <v>13</v>
      </c>
      <c r="I72" s="1381">
        <v>0.02</v>
      </c>
      <c r="J72" s="1383" cm="1">
        <f t="array" ref="J72">365-15-10</f>
        <v>340</v>
      </c>
      <c r="K72" s="1384" cm="1">
        <f t="array" ref="K72">_xlfn.IFERROR(ROUNDDOWN(E72*J72*I72,0),0)</f>
        <v>6</v>
      </c>
      <c r="L72" s="1236"/>
      <c r="M72" s="17"/>
      <c r="N72" s="74"/>
      <c r="O72" s="1385">
        <v>0</v>
      </c>
      <c r="P72" s="1386">
        <v>0</v>
      </c>
      <c r="Q72" s="1386">
        <v>0</v>
      </c>
      <c r="R72" s="1386" cm="1">
        <f t="array" ref="R72">SUM(O72:Q72)</f>
        <v>0</v>
      </c>
      <c r="S72" s="1387" cm="1">
        <f t="array" ref="S72">_xlfn.IFERROR(R72/K72,0)</f>
        <v>0</v>
      </c>
      <c r="T72" s="16"/>
      <c r="U72" s="18"/>
    </row>
    <row r="73" ht="14.5" customHeight="1">
      <c r="A73" s="12"/>
      <c r="B73" s="1378" cm="1">
        <f t="array" ref="B73">'Boats Data Sheet 2025'!B41</f>
        <v>39</v>
      </c>
      <c r="C73" t="str" s="1379" cm="1">
        <f t="array" ref="C73">'Boats Data Sheet 2025'!C43</f>
        <v>Yacht R42</v>
      </c>
      <c r="D73" t="str" s="1380" cm="1">
        <f t="array" ref="D73">'Boats Data Sheet 2025'!D43</f>
        <v>Private</v>
      </c>
      <c r="E73" s="1381">
        <v>0</v>
      </c>
      <c r="F73" t="str" s="1380" cm="1">
        <f t="array" ref="F73">'Boats Data Sheet 2025'!F43</f>
        <v>Tour </v>
      </c>
      <c r="G73" t="str" s="1380" cm="1">
        <f t="array" ref="G73">'Boats Data Sheet 2025'!G43</f>
        <v>Secondary</v>
      </c>
      <c r="H73" s="1382" cm="1">
        <f t="array" ref="H73">'Boats Data Sheet 2025'!H43</f>
        <v>12</v>
      </c>
      <c r="I73" s="1381">
        <v>0</v>
      </c>
      <c r="J73" s="1383" cm="1">
        <f t="array" ref="J73">365-15-10</f>
        <v>340</v>
      </c>
      <c r="K73" s="1384" cm="1">
        <f t="array" ref="K73">_xlfn.IFERROR(ROUNDDOWN(E73*J73*I73,0),0)</f>
        <v>0</v>
      </c>
      <c r="L73" s="1236"/>
      <c r="M73" s="17"/>
      <c r="N73" s="74"/>
      <c r="O73" s="1385">
        <v>0</v>
      </c>
      <c r="P73" s="1386">
        <v>0</v>
      </c>
      <c r="Q73" s="1386">
        <v>0</v>
      </c>
      <c r="R73" s="1386" cm="1">
        <f t="array" ref="R73">SUM(O73:Q73)</f>
        <v>0</v>
      </c>
      <c r="S73" s="1387" cm="1">
        <f t="array" ref="S73">_xlfn.IFERROR(R73/K73,0)</f>
        <v>0</v>
      </c>
      <c r="T73" s="16"/>
      <c r="U73" s="18"/>
    </row>
    <row r="74" ht="14.5" customHeight="1">
      <c r="A74" s="12"/>
      <c r="B74" s="1378" cm="1">
        <f t="array" ref="B74">'Boats Data Sheet 2025'!B42</f>
        <v>40</v>
      </c>
      <c r="C74" t="str" s="1379" cm="1">
        <f t="array" ref="C74">'Boats Data Sheet 2025'!C44</f>
        <v>Yacht Lux WL 14</v>
      </c>
      <c r="D74" t="str" s="1380" cm="1">
        <f t="array" ref="D74">'Boats Data Sheet 2025'!D44</f>
        <v>Private</v>
      </c>
      <c r="E74" s="1381">
        <v>0</v>
      </c>
      <c r="F74" t="str" s="1380" cm="1">
        <f t="array" ref="F74">'Boats Data Sheet 2025'!F44</f>
        <v>Comission</v>
      </c>
      <c r="G74" t="str" s="1380" cm="1">
        <f t="array" ref="G74">'Boats Data Sheet 2025'!G44</f>
        <v>Secondary</v>
      </c>
      <c r="H74" s="1382" cm="1">
        <f t="array" ref="H74">'Boats Data Sheet 2025'!H44</f>
        <v>15</v>
      </c>
      <c r="I74" s="1381">
        <v>0.03</v>
      </c>
      <c r="J74" s="1383" cm="1">
        <f t="array" ref="J74">365-15-10</f>
        <v>340</v>
      </c>
      <c r="K74" s="1384" cm="1">
        <f t="array" ref="K74">_xlfn.IFERROR(ROUNDDOWN(E74*J74*I74,0),0)</f>
        <v>0</v>
      </c>
      <c r="L74" s="1236"/>
      <c r="M74" s="17"/>
      <c r="N74" s="74"/>
      <c r="O74" s="1385">
        <v>0</v>
      </c>
      <c r="P74" s="1386">
        <v>0</v>
      </c>
      <c r="Q74" s="1386">
        <v>0</v>
      </c>
      <c r="R74" s="1386" cm="1">
        <f t="array" ref="R74">SUM(O74:Q74)</f>
        <v>0</v>
      </c>
      <c r="S74" s="1387" cm="1">
        <f t="array" ref="S74">_xlfn.IFERROR(R74/K74,0)</f>
        <v>0</v>
      </c>
      <c r="T74" s="16"/>
      <c r="U74" s="18"/>
    </row>
    <row r="75" ht="14.5" customHeight="1">
      <c r="A75" s="12"/>
      <c r="B75" s="1378" cm="1">
        <f t="array" ref="B75">'Boats Data Sheet 2025'!B43</f>
        <v>41</v>
      </c>
      <c r="C75" t="str" s="1379" cm="1">
        <f t="array" ref="C75">'Boats Data Sheet 2025'!C45</f>
        <v>Yacht S49</v>
      </c>
      <c r="D75" t="str" s="1380" cm="1">
        <f t="array" ref="D75">'Boats Data Sheet 2025'!D45</f>
        <v>Private</v>
      </c>
      <c r="E75" s="1381">
        <v>0</v>
      </c>
      <c r="F75" t="str" s="1380" cm="1">
        <f t="array" ref="F75">'Boats Data Sheet 2025'!F45</f>
        <v>Tour </v>
      </c>
      <c r="G75" t="str" s="1380" cm="1">
        <f t="array" ref="G75">'Boats Data Sheet 2025'!G45</f>
        <v>Secondary</v>
      </c>
      <c r="H75" s="1382" cm="1">
        <f t="array" ref="H75">'Boats Data Sheet 2025'!H45</f>
        <v>20</v>
      </c>
      <c r="I75" s="1381">
        <v>0</v>
      </c>
      <c r="J75" s="1383" cm="1">
        <f t="array" ref="J75">365-15-10</f>
        <v>340</v>
      </c>
      <c r="K75" s="1384" cm="1">
        <f t="array" ref="K75">_xlfn.IFERROR(ROUNDDOWN(E75*J75*I75,0),0)</f>
        <v>0</v>
      </c>
      <c r="L75" s="1236"/>
      <c r="M75" s="17"/>
      <c r="N75" s="74"/>
      <c r="O75" s="1385">
        <v>0</v>
      </c>
      <c r="P75" s="1386">
        <v>0</v>
      </c>
      <c r="Q75" s="1386">
        <v>0</v>
      </c>
      <c r="R75" s="1386" cm="1">
        <f t="array" ref="R75">SUM(O75:Q75)</f>
        <v>0</v>
      </c>
      <c r="S75" s="1387" cm="1">
        <f t="array" ref="S75">_xlfn.IFERROR(R75/K75,0)</f>
        <v>0</v>
      </c>
      <c r="T75" s="16"/>
      <c r="U75" s="18"/>
    </row>
    <row r="76" ht="14.5" customHeight="1">
      <c r="A76" s="12"/>
      <c r="B76" s="1378" cm="1">
        <f t="array" ref="B76">'Boats Data Sheet 2025'!B44</f>
        <v>42</v>
      </c>
      <c r="C76" t="str" s="1379" cm="1">
        <f t="array" ref="C76">'Boats Data Sheet 2025'!C46</f>
        <v>Pula Catamaran (small)</v>
      </c>
      <c r="D76" t="str" s="1380" cm="1">
        <f t="array" ref="D76">'Boats Data Sheet 2025'!D46</f>
        <v>Private</v>
      </c>
      <c r="E76" s="1381">
        <v>0</v>
      </c>
      <c r="F76" t="str" s="1380" cm="1">
        <f t="array" ref="F76">'Boats Data Sheet 2025'!F46</f>
        <v>Tour</v>
      </c>
      <c r="G76" t="str" s="1380" cm="1">
        <f t="array" ref="G76">'Boats Data Sheet 2025'!G46</f>
        <v>Secondary</v>
      </c>
      <c r="H76" s="1382" cm="1">
        <f t="array" ref="H76">'Boats Data Sheet 2025'!H46</f>
        <v>16</v>
      </c>
      <c r="I76" s="1381">
        <v>0.02</v>
      </c>
      <c r="J76" s="1383" cm="1">
        <f t="array" ref="J76">365-15-10</f>
        <v>340</v>
      </c>
      <c r="K76" s="1384" cm="1">
        <f t="array" ref="K76">_xlfn.IFERROR(ROUNDDOWN(E76*J76*I76,0),0)</f>
        <v>0</v>
      </c>
      <c r="L76" s="1236"/>
      <c r="M76" s="17"/>
      <c r="N76" s="74"/>
      <c r="O76" s="1385" cm="1">
        <f t="array" ref="O76">'Private Boats 2026 Target'!AJ747/2</f>
        <v>0</v>
      </c>
      <c r="P76" s="1386">
        <v>0</v>
      </c>
      <c r="Q76" s="1386">
        <v>0</v>
      </c>
      <c r="R76" s="1386" cm="1">
        <f t="array" ref="R76">SUM(O76:Q76)</f>
        <v>0</v>
      </c>
      <c r="S76" s="1387" cm="1">
        <f t="array" ref="S76">_xlfn.IFERROR(R76/K76,0)</f>
        <v>0</v>
      </c>
      <c r="T76" s="16"/>
      <c r="U76" s="18"/>
    </row>
    <row r="77" ht="14.5" customHeight="1">
      <c r="A77" s="12"/>
      <c r="B77" s="1378" cm="1">
        <f t="array" ref="B77">'Boats Data Sheet 2025'!B45</f>
        <v>43</v>
      </c>
      <c r="C77" t="str" s="1379" cm="1">
        <f t="array" ref="C77">'Boats Data Sheet 2025'!C47</f>
        <v>Aneecha Catamaran</v>
      </c>
      <c r="D77" t="str" s="1380" cm="1">
        <f t="array" ref="D77">'Boats Data Sheet 2025'!D47</f>
        <v>Private</v>
      </c>
      <c r="E77" s="1381" cm="1">
        <f t="array" ref="E77">1-'Boats Data Sheet 2025'!E47</f>
        <v>1</v>
      </c>
      <c r="F77" t="str" s="1380" cm="1">
        <f t="array" ref="F77">'Boats Data Sheet 2025'!F47</f>
        <v>Tour</v>
      </c>
      <c r="G77" t="str" s="1380" cm="1">
        <f t="array" ref="G77">'Boats Data Sheet 2025'!G47</f>
        <v>Secondary</v>
      </c>
      <c r="H77" s="1382" cm="1">
        <f t="array" ref="H77">'Boats Data Sheet 2025'!H47</f>
        <v>45</v>
      </c>
      <c r="I77" s="1381">
        <v>0.06</v>
      </c>
      <c r="J77" s="1383" cm="1">
        <f t="array" ref="J77">365-15-10</f>
        <v>340</v>
      </c>
      <c r="K77" s="1384" cm="1">
        <f t="array" ref="K77">_xlfn.IFERROR(ROUNDDOWN(E77*J77*I77,0),0)</f>
        <v>20</v>
      </c>
      <c r="L77" s="1236"/>
      <c r="M77" s="17"/>
      <c r="N77" s="74"/>
      <c r="O77" s="1385" cm="1">
        <f t="array" ref="O77">'Private Boats 2026 Target'!AJ748/2</f>
        <v>0</v>
      </c>
      <c r="P77" s="1386">
        <v>0</v>
      </c>
      <c r="Q77" s="1386">
        <v>0</v>
      </c>
      <c r="R77" s="1386" cm="1">
        <f t="array" ref="R77">SUM(O77:Q77)</f>
        <v>0</v>
      </c>
      <c r="S77" s="1387">
        <v>0</v>
      </c>
      <c r="T77" s="16"/>
      <c r="U77" s="18"/>
    </row>
    <row r="78" ht="14.5" customHeight="1">
      <c r="A78" s="12"/>
      <c r="B78" s="1378" cm="1">
        <f t="array" ref="B78">'Boats Data Sheet 2025'!B46</f>
        <v>44</v>
      </c>
      <c r="C78" t="str" s="1379" cm="1">
        <f t="array" ref="C78">'Boats Data Sheet 2025'!C48</f>
        <v>Jet Asia Yacht</v>
      </c>
      <c r="D78" t="str" s="1380" cm="1">
        <f t="array" ref="D78">'Boats Data Sheet 2025'!D48</f>
        <v>Private</v>
      </c>
      <c r="E78" s="1381" cm="1">
        <f t="array" ref="E78">1-'Boats Data Sheet 2025'!E48</f>
        <v>1</v>
      </c>
      <c r="F78" t="str" s="1380" cm="1">
        <f t="array" ref="F78">'Boats Data Sheet 2025'!F48</f>
        <v>Tour</v>
      </c>
      <c r="G78" t="str" s="1380" cm="1">
        <f t="array" ref="G78">'Boats Data Sheet 2025'!G48</f>
        <v>Secondary</v>
      </c>
      <c r="H78" s="1382" cm="1">
        <f t="array" ref="H78">'Boats Data Sheet 2025'!H48</f>
        <v>35</v>
      </c>
      <c r="I78" s="1381">
        <v>0.15</v>
      </c>
      <c r="J78" s="1383" cm="1">
        <f t="array" ref="J78">365-15-10</f>
        <v>340</v>
      </c>
      <c r="K78" s="1384" cm="1">
        <f t="array" ref="K78">_xlfn.IFERROR(ROUNDDOWN(E78*J78*I78,0),0)</f>
        <v>51</v>
      </c>
      <c r="L78" s="1236"/>
      <c r="M78" s="17"/>
      <c r="N78" s="74"/>
      <c r="O78" s="1385" cm="1">
        <f t="array" ref="O78">'Private Boats 2026 Target'!AJ749/2</f>
        <v>0</v>
      </c>
      <c r="P78" s="1386">
        <v>0</v>
      </c>
      <c r="Q78" s="1386">
        <v>0</v>
      </c>
      <c r="R78" s="1386" cm="1">
        <f t="array" ref="R78">SUM(O78:Q78)</f>
        <v>0</v>
      </c>
      <c r="S78" s="1387">
        <v>0</v>
      </c>
      <c r="T78" s="16"/>
      <c r="U78" s="18"/>
    </row>
    <row r="79" ht="14.5" customHeight="1">
      <c r="A79" s="12"/>
      <c r="B79" s="1378" cm="1">
        <f t="array" ref="B79">'Boats Data Sheet 2025'!B49</f>
        <v>47</v>
      </c>
      <c r="C79" t="s" s="1388">
        <v>106</v>
      </c>
      <c r="D79" t="str" s="1380" cm="1">
        <f t="array" ref="D79">'Boats Data Sheet 2025'!D49</f>
        <v>Private</v>
      </c>
      <c r="E79" s="1381" cm="1">
        <f t="array" ref="E79">1-'Boats Data Sheet 2025'!E49</f>
        <v>1</v>
      </c>
      <c r="F79" t="str" s="1380" cm="1">
        <f t="array" ref="F79">'Boats Data Sheet 2025'!F49</f>
        <v>Tour</v>
      </c>
      <c r="G79" t="str" s="1380" cm="1">
        <f t="array" ref="G79">'Boats Data Sheet 2025'!G49</f>
        <v>Secondary</v>
      </c>
      <c r="H79" s="1382" cm="1">
        <f t="array" ref="H79">'Boats Data Sheet 2025'!H49</f>
        <v>18</v>
      </c>
      <c r="I79" s="1381">
        <v>0.15</v>
      </c>
      <c r="J79" s="1383" cm="1">
        <f t="array" ref="J79">365-15-10</f>
        <v>340</v>
      </c>
      <c r="K79" s="1384" cm="1">
        <f t="array" ref="K79">_xlfn.IFERROR(ROUNDDOWN(E79*J79*I79,0),0)</f>
        <v>51</v>
      </c>
      <c r="L79" s="1236"/>
      <c r="M79" s="17"/>
      <c r="N79" s="74"/>
      <c r="O79" s="1385">
        <v>0</v>
      </c>
      <c r="P79" s="1386">
        <v>0</v>
      </c>
      <c r="Q79" s="1386">
        <v>0</v>
      </c>
      <c r="R79" s="1386" cm="1">
        <f t="array" ref="R79">SUM(O79:Q79)</f>
        <v>0</v>
      </c>
      <c r="S79" s="1387">
        <v>0</v>
      </c>
      <c r="T79" s="16"/>
      <c r="U79" s="18"/>
    </row>
    <row r="80" ht="14.5" customHeight="1">
      <c r="A80" s="12"/>
      <c r="B80" s="1378">
        <v>37</v>
      </c>
      <c r="C80" t="s" s="1388">
        <v>1065</v>
      </c>
      <c r="D80" t="str" s="1380" cm="1">
        <f t="array" ref="D80">'Boats Data Sheet 2025'!D50</f>
        <v>Private</v>
      </c>
      <c r="E80" s="1381">
        <v>0</v>
      </c>
      <c r="F80" t="str" s="1380" cm="1">
        <f t="array" ref="F80">'Boats Data Sheet 2025'!F50</f>
        <v>Tour</v>
      </c>
      <c r="G80" t="str" s="1380" cm="1">
        <f t="array" ref="G80">'Boats Data Sheet 2025'!G50</f>
        <v>Secondary</v>
      </c>
      <c r="H80" s="1382" cm="1">
        <f t="array" ref="H80">'Boats Data Sheet 2025'!H50</f>
        <v>13</v>
      </c>
      <c r="I80" s="1381">
        <v>0.02</v>
      </c>
      <c r="J80" s="1383" cm="1">
        <f t="array" ref="J80">365-15-10</f>
        <v>340</v>
      </c>
      <c r="K80" s="1384" cm="1">
        <f t="array" ref="K80">_xlfn.IFERROR(ROUNDDOWN(E80*J80*I80,0),0)</f>
        <v>0</v>
      </c>
      <c r="L80" s="1236"/>
      <c r="M80" s="17"/>
      <c r="N80" s="74"/>
      <c r="O80" s="1385">
        <v>0</v>
      </c>
      <c r="P80" s="1386">
        <v>0</v>
      </c>
      <c r="Q80" s="1386">
        <v>0</v>
      </c>
      <c r="R80" s="1386" cm="1">
        <f t="array" ref="R80">SUM(O80:Q80)</f>
        <v>0</v>
      </c>
      <c r="S80" s="1387">
        <v>0</v>
      </c>
      <c r="T80" s="16"/>
      <c r="U80" s="18"/>
    </row>
    <row r="81" ht="14.5" customHeight="1">
      <c r="A81" s="12"/>
      <c r="B81" s="1378" cm="1">
        <f t="array" ref="B81">'Boats Data Sheet 2025'!B51</f>
        <v>49</v>
      </c>
      <c r="C81" t="s" s="1388">
        <v>107</v>
      </c>
      <c r="D81" t="str" s="1380" cm="1">
        <f t="array" ref="D81">'Boats Data Sheet 2025'!D51</f>
        <v>Private</v>
      </c>
      <c r="E81" s="1381" cm="1">
        <f t="array" ref="E81">1-'Boats Data Sheet 2025'!E51</f>
        <v>1</v>
      </c>
      <c r="F81" t="str" s="1380" cm="1">
        <f t="array" ref="F81">'Boats Data Sheet 2025'!F51</f>
        <v>Tour</v>
      </c>
      <c r="G81" t="str" s="1380" cm="1">
        <f t="array" ref="G81">'Boats Data Sheet 2025'!G51</f>
        <v>Secondary</v>
      </c>
      <c r="H81" s="1382" cm="1">
        <f t="array" ref="H81">'Boats Data Sheet 2025'!H51</f>
        <v>10</v>
      </c>
      <c r="I81" s="1381">
        <v>0.02</v>
      </c>
      <c r="J81" s="1383" cm="1">
        <f t="array" ref="J81">365-15-10</f>
        <v>340</v>
      </c>
      <c r="K81" s="1384" cm="1">
        <f t="array" ref="K81">_xlfn.IFERROR(ROUNDDOWN(E81*J81*I81,0),0)</f>
        <v>6</v>
      </c>
      <c r="L81" s="1236"/>
      <c r="M81" s="17"/>
      <c r="N81" s="74"/>
      <c r="O81" s="1385">
        <v>0</v>
      </c>
      <c r="P81" s="1386">
        <v>0</v>
      </c>
      <c r="Q81" s="1386">
        <v>0</v>
      </c>
      <c r="R81" s="1386" cm="1">
        <f t="array" ref="R81">SUM(O81:Q81)</f>
        <v>0</v>
      </c>
      <c r="S81" s="1387">
        <v>0</v>
      </c>
      <c r="T81" s="16"/>
      <c r="U81" s="18"/>
    </row>
    <row r="82" ht="14.5" customHeight="1">
      <c r="A82" s="12"/>
      <c r="B82" s="1378" cm="1">
        <f t="array" ref="B82">'Boats Data Sheet 2025'!B52</f>
        <v>50</v>
      </c>
      <c r="C82" t="str" s="1379" cm="1">
        <f t="array" ref="C82">'Boats Data Sheet 2025'!C52</f>
        <v>Boat BD99</v>
      </c>
      <c r="D82" t="str" s="1380" cm="1">
        <f t="array" ref="D82">'Boats Data Sheet 2025'!D52</f>
        <v>Private</v>
      </c>
      <c r="E82" s="1381" cm="1">
        <f t="array" ref="E82">1-'Boats Data Sheet 2025'!E52</f>
        <v>1</v>
      </c>
      <c r="F82" t="str" s="1380" cm="1">
        <f t="array" ref="F82">'Boats Data Sheet 2025'!F52</f>
        <v>Tour</v>
      </c>
      <c r="G82" t="str" s="1380" cm="1">
        <f t="array" ref="G82">'Boats Data Sheet 2025'!G52</f>
        <v>Secondary</v>
      </c>
      <c r="H82" s="1382" cm="1">
        <f t="array" ref="H82">'Boats Data Sheet 2025'!H52</f>
        <v>10</v>
      </c>
      <c r="I82" s="1381">
        <v>0.08</v>
      </c>
      <c r="J82" s="1383" cm="1">
        <f t="array" ref="J82">365-15-10</f>
        <v>340</v>
      </c>
      <c r="K82" s="1384" cm="1">
        <f t="array" ref="K82">_xlfn.IFERROR(ROUNDDOWN(E82*J82*I82,0),0)</f>
        <v>27</v>
      </c>
      <c r="L82" s="1236"/>
      <c r="M82" s="17"/>
      <c r="N82" s="74"/>
      <c r="O82" s="1385">
        <v>0</v>
      </c>
      <c r="P82" s="1386">
        <v>0</v>
      </c>
      <c r="Q82" s="1386">
        <v>0</v>
      </c>
      <c r="R82" s="1386" cm="1">
        <f t="array" ref="R82">SUM(O82:Q82)</f>
        <v>0</v>
      </c>
      <c r="S82" s="1387">
        <v>0</v>
      </c>
      <c r="T82" s="16"/>
      <c r="U82" s="18"/>
    </row>
    <row r="83" ht="14.5" customHeight="1">
      <c r="A83" s="12"/>
      <c r="B83" s="1378" cm="1">
        <f t="array" ref="B83">'Boats Data Sheet 2025'!B53</f>
        <v>51</v>
      </c>
      <c r="C83" t="str" s="1379" cm="1">
        <f t="array" ref="C83">'Boats Data Sheet 2025'!C53</f>
        <v>Yacht Lux O17</v>
      </c>
      <c r="D83" t="str" s="1380" cm="1">
        <f t="array" ref="D83">'Boats Data Sheet 2025'!D53</f>
        <v>Private</v>
      </c>
      <c r="E83" s="1381" cm="1">
        <f t="array" ref="E83">1-'Boats Data Sheet 2025'!E53</f>
        <v>1</v>
      </c>
      <c r="F83" t="str" s="1380" cm="1">
        <f t="array" ref="F83">'Boats Data Sheet 2025'!F53</f>
        <v>Tour </v>
      </c>
      <c r="G83" t="str" s="1380" cm="1">
        <f t="array" ref="G83">'Boats Data Sheet 2025'!G53</f>
        <v>Secondary</v>
      </c>
      <c r="H83" s="1382" cm="1">
        <f t="array" ref="H83">'Boats Data Sheet 2025'!H53</f>
        <v>25</v>
      </c>
      <c r="I83" s="1381">
        <v>0.05</v>
      </c>
      <c r="J83" s="1383" cm="1">
        <f t="array" ref="J83">365-15-10</f>
        <v>340</v>
      </c>
      <c r="K83" s="1384" cm="1">
        <f t="array" ref="K83">_xlfn.IFERROR(ROUNDDOWN(E83*J83*I83,0),0)</f>
        <v>17</v>
      </c>
      <c r="L83" s="1236"/>
      <c r="M83" s="17"/>
      <c r="N83" s="74"/>
      <c r="O83" s="1385">
        <v>0</v>
      </c>
      <c r="P83" s="1386">
        <v>0</v>
      </c>
      <c r="Q83" s="1386">
        <v>0</v>
      </c>
      <c r="R83" s="1386" cm="1">
        <f t="array" ref="R83">SUM(O83:Q83)</f>
        <v>0</v>
      </c>
      <c r="S83" s="1387" cm="1">
        <f t="array" ref="S83">_xlfn.IFERROR(R83/K83,0)</f>
        <v>0</v>
      </c>
      <c r="T83" s="16"/>
      <c r="U83" s="18"/>
    </row>
    <row r="84" ht="14.5" customHeight="1">
      <c r="A84" s="12"/>
      <c r="B84" s="1378">
        <v>52</v>
      </c>
      <c r="C84" t="s" s="1388">
        <v>112</v>
      </c>
      <c r="D84" t="str" s="1380" cm="1">
        <f t="array" ref="D84">'Boats Data Sheet 2025'!D54</f>
        <v>Private</v>
      </c>
      <c r="E84" s="1381" cm="1">
        <f t="array" ref="E84">1-'Boats Data Sheet 2025'!E54</f>
        <v>1</v>
      </c>
      <c r="F84" t="str" s="1380" cm="1">
        <f t="array" ref="F84">'Boats Data Sheet 2025'!F54</f>
        <v>Tour </v>
      </c>
      <c r="G84" t="str" s="1380" cm="1">
        <f t="array" ref="G84">'Boats Data Sheet 2025'!G54</f>
        <v>Secondary</v>
      </c>
      <c r="H84" s="1382" cm="1">
        <f t="array" ref="H84">'Boats Data Sheet 2025'!H54</f>
        <v>12</v>
      </c>
      <c r="I84" s="1381">
        <v>0.02</v>
      </c>
      <c r="J84" s="1383" cm="1">
        <f t="array" ref="J84">365-15-10</f>
        <v>340</v>
      </c>
      <c r="K84" s="1384" cm="1">
        <f t="array" ref="K84">_xlfn.IFERROR(ROUNDDOWN(E84*J84*I84,0),0)</f>
        <v>6</v>
      </c>
      <c r="L84" s="1236"/>
      <c r="M84" s="17"/>
      <c r="N84" s="74"/>
      <c r="O84" s="1385">
        <v>0</v>
      </c>
      <c r="P84" s="1386">
        <v>0</v>
      </c>
      <c r="Q84" s="1386">
        <v>0</v>
      </c>
      <c r="R84" s="1386" cm="1">
        <f t="array" ref="R84">SUM(O84:Q84)</f>
        <v>0</v>
      </c>
      <c r="S84" s="1387" cm="1">
        <f t="array" ref="S84">_xlfn.IFERROR(R84/K84,0)</f>
        <v>0</v>
      </c>
      <c r="T84" s="16"/>
      <c r="U84" s="18"/>
    </row>
    <row r="85" ht="14.5" customHeight="1">
      <c r="A85" s="12"/>
      <c r="B85" s="1378">
        <v>53</v>
      </c>
      <c r="C85" t="str" s="1379" cm="1">
        <f t="array" ref="C85">'Boats Data Sheet 2025'!C55</f>
        <v>Premium Yacht AZ50</v>
      </c>
      <c r="D85" t="str" s="1380" cm="1">
        <f t="array" ref="D85">'Boats Data Sheet 2025'!D55</f>
        <v>Private</v>
      </c>
      <c r="E85" s="1381" cm="1">
        <f t="array" ref="E85">1-'Boats Data Sheet 2025'!E55</f>
        <v>1</v>
      </c>
      <c r="F85" t="str" s="1380" cm="1">
        <f t="array" ref="F85">'Boats Data Sheet 2025'!F55</f>
        <v>Tour </v>
      </c>
      <c r="G85" t="str" s="1380" cm="1">
        <f t="array" ref="G85">'Boats Data Sheet 2025'!G55</f>
        <v>Secondary</v>
      </c>
      <c r="H85" s="1382" cm="1">
        <f t="array" ref="H85">'Boats Data Sheet 2025'!H55</f>
        <v>19</v>
      </c>
      <c r="I85" s="1381">
        <v>0.05</v>
      </c>
      <c r="J85" s="1383" cm="1">
        <f t="array" ref="J85">365-15-10</f>
        <v>340</v>
      </c>
      <c r="K85" s="1384" cm="1">
        <f t="array" ref="K85">_xlfn.IFERROR(ROUNDDOWN(E85*J85*I85,0),0)</f>
        <v>17</v>
      </c>
      <c r="L85" s="1236"/>
      <c r="M85" s="17"/>
      <c r="N85" s="74"/>
      <c r="O85" s="1385">
        <v>0</v>
      </c>
      <c r="P85" s="1386">
        <v>0</v>
      </c>
      <c r="Q85" s="1386">
        <v>0</v>
      </c>
      <c r="R85" s="1386" cm="1">
        <f t="array" ref="R85">SUM(O85:Q85)</f>
        <v>0</v>
      </c>
      <c r="S85" s="1387" cm="1">
        <f t="array" ref="S85">_xlfn.IFERROR(R85/K85,0)</f>
        <v>0</v>
      </c>
      <c r="T85" s="16"/>
      <c r="U85" s="18"/>
    </row>
    <row r="86" ht="14.5" customHeight="1">
      <c r="A86" s="12"/>
      <c r="B86" s="1378">
        <v>54</v>
      </c>
      <c r="C86" t="str" s="1379" cm="1">
        <f t="array" ref="C86">'Boats Data Sheet 2025'!C56</f>
        <v>Boat MW40</v>
      </c>
      <c r="D86" t="str" s="1380" cm="1">
        <f t="array" ref="D86">'Boats Data Sheet 2025'!D56</f>
        <v>Shared/Private</v>
      </c>
      <c r="E86" s="1381" cm="1">
        <f t="array" ref="E86">1-'Boats Data Sheet 2025'!E56</f>
        <v>0.5</v>
      </c>
      <c r="F86" t="str" s="1380" cm="1">
        <f t="array" ref="F86">'Boats Data Sheet 2025'!F56</f>
        <v>Tour </v>
      </c>
      <c r="G86" t="str" s="1380" cm="1">
        <f t="array" ref="G86">'Boats Data Sheet 2025'!G56</f>
        <v>Primary</v>
      </c>
      <c r="H86" s="1382" cm="1">
        <f t="array" ref="H86">'Boats Data Sheet 2025'!H56</f>
        <v>13</v>
      </c>
      <c r="I86" s="1381">
        <v>0.6</v>
      </c>
      <c r="J86" s="1383" cm="1">
        <f t="array" ref="J86">365-15-10</f>
        <v>340</v>
      </c>
      <c r="K86" s="1384" cm="1">
        <f t="array" ref="K86">_xlfn.IFERROR(ROUNDDOWN(E86*J86*I86,0),0)/3</f>
        <v>34</v>
      </c>
      <c r="L86" s="1236"/>
      <c r="M86" s="17"/>
      <c r="N86" s="74"/>
      <c r="O86" s="1385">
        <v>0</v>
      </c>
      <c r="P86" s="1386">
        <v>0</v>
      </c>
      <c r="Q86" s="1386">
        <v>0</v>
      </c>
      <c r="R86" s="1386" cm="1">
        <f t="array" ref="R86">SUM(O86:Q86)</f>
        <v>0</v>
      </c>
      <c r="S86" s="1387" cm="1">
        <f t="array" ref="S86">_xlfn.IFERROR(R86/K86,0)</f>
        <v>0</v>
      </c>
      <c r="T86" s="16"/>
      <c r="U86" s="18"/>
    </row>
    <row r="87" ht="15" customHeight="1">
      <c r="A87" s="12"/>
      <c r="B87" s="1390" cm="1">
        <f t="array" ref="B87">'Boats Data Sheet 2025'!B57</f>
        <v>55</v>
      </c>
      <c r="C87" t="str" s="1391" cm="1">
        <f t="array" ref="C87">'Boats Data Sheet 2025'!C57</f>
        <v>Yacht T13</v>
      </c>
      <c r="D87" t="str" s="1392" cm="1">
        <f t="array" ref="D87">'Boats Data Sheet 2025'!D57</f>
        <v>Private</v>
      </c>
      <c r="E87" s="1393">
        <v>0</v>
      </c>
      <c r="F87" t="str" s="1392" cm="1">
        <f t="array" ref="F87">'Boats Data Sheet 2025'!F57</f>
        <v>Tour</v>
      </c>
      <c r="G87" t="str" s="1392" cm="1">
        <f t="array" ref="G87">'Boats Data Sheet 2025'!G57</f>
        <v>Secondary</v>
      </c>
      <c r="H87" s="1394" cm="1">
        <f t="array" ref="H87">'Boats Data Sheet 2025'!H57</f>
        <v>12</v>
      </c>
      <c r="I87" s="1393">
        <v>0.05</v>
      </c>
      <c r="J87" s="1395" cm="1">
        <f t="array" ref="J87">365-15-10</f>
        <v>340</v>
      </c>
      <c r="K87" s="1396" cm="1">
        <f t="array" ref="K87">_xlfn.IFERROR(ROUNDDOWN(E87*J87*I87,0),0)</f>
        <v>0</v>
      </c>
      <c r="L87" s="1236"/>
      <c r="M87" s="17"/>
      <c r="N87" s="74"/>
      <c r="O87" s="1397">
        <v>0</v>
      </c>
      <c r="P87" s="1398">
        <v>0</v>
      </c>
      <c r="Q87" s="1398">
        <v>0</v>
      </c>
      <c r="R87" s="1398" cm="1">
        <f t="array" ref="R87">SUM(O87:Q87)</f>
        <v>0</v>
      </c>
      <c r="S87" s="1399" cm="1">
        <f t="array" ref="S87">_xlfn.IFERROR(R87/K87,0)</f>
        <v>0</v>
      </c>
      <c r="T87" s="16"/>
      <c r="U87" s="18"/>
    </row>
    <row r="88" ht="16" customHeight="1">
      <c r="A88" s="12"/>
      <c r="B88" s="1400"/>
      <c r="C88" s="1401"/>
      <c r="D88" s="1401"/>
      <c r="E88" s="1402"/>
      <c r="F88" s="1402"/>
      <c r="G88" s="1402"/>
      <c r="H88" s="1402"/>
      <c r="I88" s="1401"/>
      <c r="J88" t="s" s="1403">
        <v>890</v>
      </c>
      <c r="K88" s="1404" cm="1">
        <f t="array" ref="K88">SUM(K35:K87)</f>
        <v>2866.75</v>
      </c>
      <c r="L88" s="1236"/>
      <c r="M88" s="17"/>
      <c r="N88" s="74"/>
      <c r="O88" s="1405" cm="1">
        <f t="array" ref="O88">SUM(O35:O87)</f>
        <v>217500000</v>
      </c>
      <c r="P88" s="1406"/>
      <c r="Q88" s="1406" cm="1">
        <f t="array" ref="Q88">SUM(Q35:Q87)</f>
        <v>36000000</v>
      </c>
      <c r="R88" s="1406" cm="1">
        <f t="array" ref="R88">SUM(R35:R87)</f>
        <v>396192223.2</v>
      </c>
      <c r="S88" s="1407"/>
      <c r="T88" s="16"/>
      <c r="U88" s="18"/>
    </row>
    <row r="89" ht="15" customHeight="1">
      <c r="A89" s="192"/>
      <c r="B89" s="1256"/>
      <c r="C89" s="1256"/>
      <c r="D89" s="1256"/>
      <c r="E89" s="1256"/>
      <c r="F89" s="1256"/>
      <c r="G89" s="1256"/>
      <c r="H89" s="1256"/>
      <c r="I89" s="1256"/>
      <c r="J89" s="1256"/>
      <c r="K89" s="1257"/>
      <c r="L89" s="193"/>
      <c r="M89" s="193"/>
      <c r="N89" s="193"/>
      <c r="O89" s="1256"/>
      <c r="P89" s="1256"/>
      <c r="Q89" s="1256"/>
      <c r="R89" s="1256"/>
      <c r="S89" s="1256"/>
      <c r="T89" s="193"/>
      <c r="U89" s="195"/>
    </row>
  </sheetData>
  <mergeCells count="6">
    <mergeCell ref="C32:D32"/>
    <mergeCell ref="C26:D26"/>
    <mergeCell ref="C27:D27"/>
    <mergeCell ref="C28:D28"/>
    <mergeCell ref="C30:D30"/>
    <mergeCell ref="C31:D3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22.xml><?xml version="1.0" encoding="utf-8"?>
<worksheet xmlns:r="http://schemas.openxmlformats.org/officeDocument/2006/relationships" xmlns="http://schemas.openxmlformats.org/spreadsheetml/2006/main">
  <dimension ref="A1:H89"/>
  <sheetViews>
    <sheetView workbookViewId="0" showGridLines="0" defaultGridColor="1"/>
  </sheetViews>
  <sheetFormatPr defaultColWidth="8.83333" defaultRowHeight="16" customHeight="1" outlineLevelRow="0" outlineLevelCol="0"/>
  <cols>
    <col min="1" max="1" width="2.85156" style="1408" customWidth="1"/>
    <col min="2" max="2" width="45.8516" style="1408" customWidth="1"/>
    <col min="3" max="3" width="20.5" style="1408" customWidth="1"/>
    <col min="4" max="4" width="20.3516" style="1408" customWidth="1"/>
    <col min="5" max="5" width="19.5" style="1408" customWidth="1"/>
    <col min="6" max="6" width="84.8516" style="1408" customWidth="1"/>
    <col min="7" max="7" width="20.1719" style="1408" customWidth="1"/>
    <col min="8" max="8" width="3" style="1408" customWidth="1"/>
    <col min="9" max="16384" width="8.85156" style="1408" customWidth="1"/>
  </cols>
  <sheetData>
    <row r="1" ht="16.5" customHeight="1">
      <c r="A1" s="7"/>
      <c r="B1" s="8"/>
      <c r="C1" s="8"/>
      <c r="D1" s="8"/>
      <c r="E1" s="9"/>
      <c r="F1" s="9"/>
      <c r="G1" s="9"/>
      <c r="H1" s="11"/>
    </row>
    <row r="2" ht="16.5" customHeight="1">
      <c r="A2" s="12"/>
      <c r="B2" t="s" s="1409">
        <v>1067</v>
      </c>
      <c r="C2" s="1410"/>
      <c r="D2" s="1411"/>
      <c r="E2" s="16"/>
      <c r="F2" s="17"/>
      <c r="G2" s="17"/>
      <c r="H2" s="18"/>
    </row>
    <row r="3" ht="16" customHeight="1">
      <c r="A3" s="12"/>
      <c r="B3" t="s" s="1412">
        <v>1068</v>
      </c>
      <c r="C3" t="s" s="1413">
        <v>1069</v>
      </c>
      <c r="D3" t="s" s="1414">
        <v>1070</v>
      </c>
      <c r="E3" s="16"/>
      <c r="F3" s="17"/>
      <c r="G3" s="17"/>
      <c r="H3" s="18"/>
    </row>
    <row r="4" ht="16" customHeight="1">
      <c r="A4" s="12"/>
      <c r="B4" t="s" s="1415">
        <v>1071</v>
      </c>
      <c r="C4" s="1416" cm="1">
        <f t="array" ref="C4">G89</f>
        <v>13535346682.2896</v>
      </c>
      <c r="D4" s="1417">
        <v>1</v>
      </c>
      <c r="E4" s="16"/>
      <c r="F4" s="17"/>
      <c r="G4" s="17"/>
      <c r="H4" s="18"/>
    </row>
    <row r="5" ht="16" customHeight="1">
      <c r="A5" s="12"/>
      <c r="B5" t="s" s="1418">
        <v>1072</v>
      </c>
      <c r="C5" s="1419"/>
      <c r="D5" s="1420"/>
      <c r="E5" s="16"/>
      <c r="F5" s="17"/>
      <c r="G5" s="17"/>
      <c r="H5" s="18"/>
    </row>
    <row r="6" ht="16" customHeight="1">
      <c r="A6" s="12"/>
      <c r="B6" t="s" s="1421">
        <v>1073</v>
      </c>
      <c r="C6" s="1422" cm="1">
        <f t="array" ref="C6">$C$4*D6</f>
        <v>6229918066.9634</v>
      </c>
      <c r="D6" s="1423" cm="1">
        <f t="array" ref="D6">SUM('Actual Sales 2025'!C21,'Actual Sales 2025'!C36)/SUM('Actual Sales 2025'!C6,'Actual Sales 2025'!C21,'Actual Sales 2025'!C36)</f>
        <v>0.46027029918007</v>
      </c>
      <c r="E6" s="16"/>
      <c r="F6" s="17"/>
      <c r="G6" s="17"/>
      <c r="H6" s="18"/>
    </row>
    <row r="7" ht="16.5" customHeight="1">
      <c r="A7" s="12"/>
      <c r="B7" t="s" s="1424">
        <v>1074</v>
      </c>
      <c r="C7" s="1425" cm="1">
        <f t="array" ref="C7">$C$4*D7</f>
        <v>7305428615.3262</v>
      </c>
      <c r="D7" s="1426" cm="1">
        <f t="array" ref="D7">(1-D6)</f>
        <v>0.53972970081993</v>
      </c>
      <c r="E7" s="16"/>
      <c r="F7" s="17"/>
      <c r="G7" s="17"/>
      <c r="H7" s="18"/>
    </row>
    <row r="8" ht="17" customHeight="1">
      <c r="A8" s="32"/>
      <c r="B8" s="33"/>
      <c r="C8" s="33"/>
      <c r="D8" s="33"/>
      <c r="E8" s="35"/>
      <c r="F8" s="35"/>
      <c r="G8" s="35"/>
      <c r="H8" s="442"/>
    </row>
    <row r="9" ht="14.5" customHeight="1">
      <c r="A9" s="12"/>
      <c r="B9" s="1427"/>
      <c r="C9" t="s" s="1428">
        <v>1075</v>
      </c>
      <c r="D9" s="1429"/>
      <c r="E9" s="1430">
        <v>2026</v>
      </c>
      <c r="F9" s="1431"/>
      <c r="G9" s="1431"/>
      <c r="H9" s="1432"/>
    </row>
    <row r="10" ht="15" customHeight="1">
      <c r="A10" s="12"/>
      <c r="B10" s="1433"/>
      <c r="C10" t="s" s="1434">
        <v>1076</v>
      </c>
      <c r="D10" s="1435"/>
      <c r="E10" t="s" s="1436">
        <v>1077</v>
      </c>
      <c r="F10" s="1437"/>
      <c r="G10" s="1437"/>
      <c r="H10" s="1438"/>
    </row>
    <row r="11" ht="30.5" customHeight="1">
      <c r="A11" s="12"/>
      <c r="B11" s="1439"/>
      <c r="C11" t="s" s="1440">
        <v>1078</v>
      </c>
      <c r="D11" t="s" s="1440">
        <v>1079</v>
      </c>
      <c r="E11" t="s" s="1441">
        <v>1080</v>
      </c>
      <c r="F11" t="s" s="1441">
        <v>1081</v>
      </c>
      <c r="G11" t="s" s="1441">
        <v>1082</v>
      </c>
      <c r="H11" s="1442"/>
    </row>
    <row r="12" ht="9.5" customHeight="1">
      <c r="A12" s="12"/>
      <c r="B12" s="1443"/>
      <c r="C12" s="1444"/>
      <c r="D12" s="1444"/>
      <c r="E12" s="1445"/>
      <c r="F12" s="1445"/>
      <c r="G12" s="1445"/>
      <c r="H12" s="1446"/>
    </row>
    <row r="13" ht="17" customHeight="1">
      <c r="A13" s="12"/>
      <c r="B13" t="str" s="1447" cm="1">
        <f t="array" ref="B13">'PnL 2025'!B85</f>
        <v>Employee Salary (Tour Guides)</v>
      </c>
      <c r="C13" t="str" s="1448" cm="1">
        <f t="array" ref="C13">'PnL 2025'!A85</f>
        <v>61100011</v>
      </c>
      <c r="D13" s="1449" cm="1">
        <f t="array" ref="D13">SUM('PnL 2025'!C85:L85)</f>
        <v>4028366000</v>
      </c>
      <c r="E13" t="s" s="1450">
        <v>1085</v>
      </c>
      <c r="F13" t="s" s="1450">
        <v>1086</v>
      </c>
      <c r="G13" s="1451" cm="1">
        <f t="array" ref="G13">'Payroll 2026'!X83</f>
        <v>2388800000</v>
      </c>
      <c r="H13" s="1452"/>
    </row>
    <row r="14" ht="9.5" customHeight="1">
      <c r="A14" s="12"/>
      <c r="B14" s="1453"/>
      <c r="C14" s="1448"/>
      <c r="D14" s="1449"/>
      <c r="E14" s="1454"/>
      <c r="F14" s="1454"/>
      <c r="G14" s="1451"/>
      <c r="H14" s="1452"/>
    </row>
    <row r="15" ht="17" customHeight="1">
      <c r="A15" s="12"/>
      <c r="B15" t="s" s="1455">
        <v>1087</v>
      </c>
      <c r="C15" s="1456" cm="1">
        <f t="array" ref="C15">'PnL 2025'!A166</f>
        <v>0</v>
      </c>
      <c r="D15" s="1449" cm="1">
        <f t="array" ref="D15">SUM('PnL 2025'!C165:L165)</f>
        <v>44412994.91</v>
      </c>
      <c r="E15" t="s" s="1450">
        <v>1085</v>
      </c>
      <c r="F15" t="s" s="1450">
        <v>1088</v>
      </c>
      <c r="G15" s="1451" cm="1">
        <f t="array" ref="G15">D15*12/10*120%</f>
        <v>63954712.6704</v>
      </c>
      <c r="H15" s="1452"/>
    </row>
    <row r="16" ht="9.5" customHeight="1">
      <c r="A16" s="12"/>
      <c r="B16" s="1453"/>
      <c r="C16" s="1448"/>
      <c r="D16" s="1449"/>
      <c r="E16" s="1454"/>
      <c r="F16" s="1454"/>
      <c r="G16" s="1451"/>
      <c r="H16" s="1452"/>
    </row>
    <row r="17" ht="30.5" customHeight="1">
      <c r="A17" s="12"/>
      <c r="B17" t="s" s="1457">
        <v>550</v>
      </c>
      <c r="C17" s="1458"/>
      <c r="D17" s="1459" cm="1">
        <f t="array" ref="D17">SUM('PnL 2025'!C97:L97)</f>
        <v>18505039697.45</v>
      </c>
      <c r="E17" t="s" s="1441">
        <v>1080</v>
      </c>
      <c r="F17" t="s" s="1441">
        <v>1089</v>
      </c>
      <c r="G17" t="s" s="1441">
        <v>1082</v>
      </c>
      <c r="H17" s="1460"/>
    </row>
    <row r="18" ht="16.5" customHeight="1">
      <c r="A18" s="12"/>
      <c r="B18" t="s" s="1461">
        <v>550</v>
      </c>
      <c r="C18" s="1462"/>
      <c r="D18" s="1463" cm="1">
        <f t="array" ref="D18">SUM(D19:D79)</f>
        <v>18505039697.45</v>
      </c>
      <c r="E18" s="1464"/>
      <c r="F18" s="1464"/>
      <c r="G18" s="1465"/>
      <c r="H18" s="1466"/>
    </row>
    <row r="19" ht="17" customHeight="1">
      <c r="A19" s="12"/>
      <c r="B19" t="s" s="1455">
        <v>1090</v>
      </c>
      <c r="C19" s="1456">
        <v>61100020</v>
      </c>
      <c r="D19" s="1449" cm="1">
        <f t="array" ref="D19">SUM('PnL 2025'!C98:L98)</f>
        <v>2402483075</v>
      </c>
      <c r="E19" t="s" s="1450">
        <v>1085</v>
      </c>
      <c r="F19" t="s" s="1467">
        <v>1091</v>
      </c>
      <c r="G19" s="1468">
        <v>0</v>
      </c>
      <c r="H19" s="1469"/>
    </row>
    <row r="20" ht="17" customHeight="1">
      <c r="A20" s="12"/>
      <c r="B20" t="s" s="1455">
        <v>1092</v>
      </c>
      <c r="C20" s="1456">
        <v>61100021</v>
      </c>
      <c r="D20" s="1449" cm="1">
        <f t="array" ref="D20">SUM('PnL 2025'!C99:L99)</f>
        <v>183797340</v>
      </c>
      <c r="E20" t="s" s="1450">
        <v>1085</v>
      </c>
      <c r="F20" t="s" s="1467">
        <v>1093</v>
      </c>
      <c r="G20" s="1468" cm="1">
        <f t="array" ref="G20">D20*12/10*('Payroll 2026'!X55/'Payroll 2025'!X45)</f>
        <v>266048240.685641</v>
      </c>
      <c r="H20" s="1469"/>
    </row>
    <row r="21" ht="17" customHeight="1">
      <c r="A21" s="12"/>
      <c r="B21" t="s" s="1455">
        <v>1094</v>
      </c>
      <c r="C21" s="1456">
        <v>61100030</v>
      </c>
      <c r="D21" s="1449" cm="1">
        <f t="array" ref="D21">SUM('PnL 2025'!C100:L100)</f>
        <v>35967904</v>
      </c>
      <c r="E21" t="s" s="1450">
        <v>1085</v>
      </c>
      <c r="F21" t="s" s="1467">
        <v>1095</v>
      </c>
      <c r="G21" s="1468" cm="1">
        <f t="array" ref="G21">D21*12/10</f>
        <v>43161484.8</v>
      </c>
      <c r="H21" s="1469"/>
    </row>
    <row r="22" ht="17" customHeight="1">
      <c r="A22" s="12"/>
      <c r="B22" t="s" s="1455">
        <v>1096</v>
      </c>
      <c r="C22" s="1456">
        <v>61100040</v>
      </c>
      <c r="D22" s="1449" cm="1">
        <f t="array" ref="D22">SUM('PnL 2025'!C101:L101)</f>
        <v>249535769.82</v>
      </c>
      <c r="E22" t="s" s="1450">
        <v>1097</v>
      </c>
      <c r="F22" t="s" s="1467">
        <v>1098</v>
      </c>
      <c r="G22" s="1468" cm="1">
        <f t="array" ref="G22">4000000*12</f>
        <v>48000000</v>
      </c>
      <c r="H22" s="1469"/>
    </row>
    <row r="23" ht="17" customHeight="1">
      <c r="A23" s="12"/>
      <c r="B23" t="s" s="1455">
        <v>1099</v>
      </c>
      <c r="C23" s="1456">
        <v>61100100</v>
      </c>
      <c r="D23" s="1449" cm="1">
        <f t="array" ref="D23">SUM('PnL 2025'!C102:L102)</f>
        <v>0</v>
      </c>
      <c r="E23" t="s" s="1450">
        <v>1097</v>
      </c>
      <c r="F23" t="s" s="1467">
        <v>1099</v>
      </c>
      <c r="G23" s="1468" cm="1">
        <f t="array" ref="G23">D23*12/10</f>
        <v>0</v>
      </c>
      <c r="H23" s="1469"/>
    </row>
    <row r="24" ht="17" customHeight="1">
      <c r="A24" s="12"/>
      <c r="B24" t="s" s="1455">
        <v>1100</v>
      </c>
      <c r="C24" s="1456">
        <v>61100110</v>
      </c>
      <c r="D24" s="1449" cm="1">
        <f t="array" ref="D24">SUM('PnL 2025'!C103:L103)</f>
        <v>0</v>
      </c>
      <c r="E24" t="s" s="1450">
        <v>1085</v>
      </c>
      <c r="F24" t="s" s="1467">
        <v>1100</v>
      </c>
      <c r="G24" s="1468" cm="1">
        <f t="array" ref="G24">D24*12/10</f>
        <v>0</v>
      </c>
      <c r="H24" s="1469"/>
    </row>
    <row r="25" ht="17" customHeight="1">
      <c r="A25" s="12"/>
      <c r="B25" t="s" s="1455">
        <v>1101</v>
      </c>
      <c r="C25" s="1456">
        <v>61100120</v>
      </c>
      <c r="D25" s="1449" cm="1">
        <f t="array" ref="D25">SUM('PnL 2025'!C104:L104)</f>
        <v>0</v>
      </c>
      <c r="E25" t="s" s="1450">
        <v>1085</v>
      </c>
      <c r="F25" t="s" s="1467">
        <v>1101</v>
      </c>
      <c r="G25" s="1468" cm="1">
        <f t="array" ref="G25">D25*12/10</f>
        <v>0</v>
      </c>
      <c r="H25" s="1469"/>
    </row>
    <row r="26" ht="17" customHeight="1">
      <c r="A26" s="12"/>
      <c r="B26" t="s" s="1455">
        <v>1102</v>
      </c>
      <c r="C26" s="1456">
        <v>61610131</v>
      </c>
      <c r="D26" s="1449" cm="1">
        <f t="array" ref="D26">SUM('PnL 2025'!C105:L105)</f>
        <v>12862000</v>
      </c>
      <c r="E26" t="s" s="1450">
        <v>1085</v>
      </c>
      <c r="F26" t="s" s="1467">
        <v>1103</v>
      </c>
      <c r="G26" s="1468" cm="1">
        <f t="array" ref="G26">D26*12/10</f>
        <v>15434400</v>
      </c>
      <c r="H26" s="1469"/>
    </row>
    <row r="27" ht="17" customHeight="1">
      <c r="A27" s="12"/>
      <c r="B27" t="s" s="1455">
        <v>1104</v>
      </c>
      <c r="C27" s="1456">
        <v>63110060</v>
      </c>
      <c r="D27" s="1449" cm="1">
        <f t="array" ref="D27">SUM('PnL 2025'!C106:L106)</f>
        <v>0</v>
      </c>
      <c r="E27" t="s" s="1450">
        <v>1097</v>
      </c>
      <c r="F27" t="s" s="1467">
        <v>1105</v>
      </c>
      <c r="G27" s="1468">
        <v>0</v>
      </c>
      <c r="H27" s="1469"/>
    </row>
    <row r="28" ht="17" customHeight="1">
      <c r="A28" s="12"/>
      <c r="B28" t="s" s="1455">
        <v>1106</v>
      </c>
      <c r="C28" s="1456">
        <v>63110080</v>
      </c>
      <c r="D28" s="1449" cm="1">
        <f t="array" ref="D28">SUM('PnL 2025'!C107:L107)</f>
        <v>61600870</v>
      </c>
      <c r="E28" t="s" s="1450">
        <v>1097</v>
      </c>
      <c r="F28" t="s" s="1467">
        <v>1107</v>
      </c>
      <c r="G28" s="1468" cm="1">
        <f t="array" ref="G28">D28*12/10</f>
        <v>73921044</v>
      </c>
      <c r="H28" s="1469"/>
    </row>
    <row r="29" ht="17" customHeight="1">
      <c r="A29" s="12"/>
      <c r="B29" t="s" s="1455">
        <v>1108</v>
      </c>
      <c r="C29" s="1456">
        <v>63110081</v>
      </c>
      <c r="D29" s="1449" cm="1">
        <f t="array" ref="D29">SUM('PnL 2025'!C108:L108)</f>
        <v>4780000</v>
      </c>
      <c r="E29" t="s" s="1450">
        <v>1097</v>
      </c>
      <c r="F29" t="s" s="1467">
        <v>1109</v>
      </c>
      <c r="G29" s="1468">
        <v>0</v>
      </c>
      <c r="H29" s="1469"/>
    </row>
    <row r="30" ht="17" customHeight="1">
      <c r="A30" s="12"/>
      <c r="B30" t="s" s="1455">
        <v>1110</v>
      </c>
      <c r="C30" t="s" s="1470">
        <v>1111</v>
      </c>
      <c r="D30" s="1449" cm="1">
        <f t="array" ref="D30">SUM('PnL 2025'!C109:L109)</f>
        <v>11271080</v>
      </c>
      <c r="E30" t="s" s="1450">
        <v>1085</v>
      </c>
      <c r="F30" t="s" s="1467">
        <v>1112</v>
      </c>
      <c r="G30" s="1468" cm="1">
        <f t="array" ref="G30">D30*12/10</f>
        <v>13525296</v>
      </c>
      <c r="H30" s="1469"/>
    </row>
    <row r="31" ht="17" customHeight="1">
      <c r="A31" s="12"/>
      <c r="B31" t="s" s="1455">
        <v>1113</v>
      </c>
      <c r="C31" s="1456">
        <v>63110120</v>
      </c>
      <c r="D31" s="1449" cm="1">
        <f t="array" ref="D31">SUM('PnL 2025'!C110:L110)</f>
        <v>7332000</v>
      </c>
      <c r="E31" t="s" s="1450">
        <v>1097</v>
      </c>
      <c r="F31" t="s" s="1467">
        <v>1114</v>
      </c>
      <c r="G31" s="1468">
        <v>10000000</v>
      </c>
      <c r="H31" s="1469"/>
    </row>
    <row r="32" ht="17" customHeight="1">
      <c r="A32" s="12"/>
      <c r="B32" t="s" s="1455">
        <v>1115</v>
      </c>
      <c r="C32" s="1456">
        <v>63110140</v>
      </c>
      <c r="D32" s="1449" cm="1">
        <f t="array" ref="D32">SUM('PnL 2025'!C111:L111)</f>
        <v>3544000</v>
      </c>
      <c r="E32" t="s" s="1450">
        <v>1097</v>
      </c>
      <c r="F32" t="s" s="1467">
        <v>1115</v>
      </c>
      <c r="G32" s="1468">
        <v>5000000</v>
      </c>
      <c r="H32" s="1469"/>
    </row>
    <row r="33" ht="17" customHeight="1">
      <c r="A33" s="12"/>
      <c r="B33" t="s" s="1455">
        <v>1116</v>
      </c>
      <c r="C33" s="1456">
        <v>64110020</v>
      </c>
      <c r="D33" s="1449" cm="1">
        <f t="array" ref="D33">SUM('PnL 2025'!C112:L112)</f>
        <v>1112334653.66</v>
      </c>
      <c r="E33" t="s" s="1450">
        <v>1097</v>
      </c>
      <c r="F33" t="s" s="1467">
        <v>1117</v>
      </c>
      <c r="G33" s="1468" cm="1">
        <f t="array" ref="G33">85000000*12</f>
        <v>1020000000</v>
      </c>
      <c r="H33" s="1469"/>
    </row>
    <row r="34" ht="17" customHeight="1">
      <c r="A34" s="12"/>
      <c r="B34" t="s" s="1455">
        <v>1118</v>
      </c>
      <c r="C34" s="1456">
        <v>65110020</v>
      </c>
      <c r="D34" s="1449" cm="1">
        <f t="array" ref="D34">SUM('PnL 2025'!C113:L113)</f>
        <v>36756899.2</v>
      </c>
      <c r="E34" t="s" s="1450">
        <v>1085</v>
      </c>
      <c r="F34" t="s" s="1467">
        <v>1118</v>
      </c>
      <c r="G34" s="1468" cm="1">
        <f t="array" ref="G34">D34*12/10</f>
        <v>44108279.04</v>
      </c>
      <c r="H34" s="1469"/>
    </row>
    <row r="35" ht="17" customHeight="1">
      <c r="A35" s="12"/>
      <c r="B35" t="s" s="1455">
        <v>1119</v>
      </c>
      <c r="C35" s="1456">
        <v>65110021</v>
      </c>
      <c r="D35" s="1449" cm="1">
        <f t="array" ref="D35">SUM('PnL 2025'!C114:L114)</f>
        <v>0</v>
      </c>
      <c r="E35" t="s" s="1450">
        <v>1085</v>
      </c>
      <c r="F35" t="s" s="1467">
        <v>1119</v>
      </c>
      <c r="G35" s="1468" cm="1">
        <f t="array" ref="G35">D35*12/10</f>
        <v>0</v>
      </c>
      <c r="H35" s="1469"/>
    </row>
    <row r="36" ht="17" customHeight="1">
      <c r="A36" s="12"/>
      <c r="B36" t="s" s="1455">
        <v>1120</v>
      </c>
      <c r="C36" s="1456">
        <v>65110030</v>
      </c>
      <c r="D36" s="1449" cm="1">
        <f t="array" ref="D36">SUM('PnL 2025'!C115:L115)</f>
        <v>215963421</v>
      </c>
      <c r="E36" t="s" s="1450">
        <v>1085</v>
      </c>
      <c r="F36" t="s" s="1467">
        <v>1121</v>
      </c>
      <c r="G36" s="1468" cm="1">
        <f t="array" ref="G36">D36*12/10</f>
        <v>259156105.2</v>
      </c>
      <c r="H36" s="1469"/>
    </row>
    <row r="37" ht="17" customHeight="1">
      <c r="A37" s="12"/>
      <c r="B37" t="s" s="1455">
        <v>1122</v>
      </c>
      <c r="C37" s="1456">
        <v>65110050</v>
      </c>
      <c r="D37" s="1449" cm="1">
        <f t="array" ref="D37">SUM('PnL 2025'!C116:L116)</f>
        <v>50120000</v>
      </c>
      <c r="E37" t="s" s="1450">
        <v>1085</v>
      </c>
      <c r="F37" t="s" s="1467">
        <v>1123</v>
      </c>
      <c r="G37" s="1468" cm="1">
        <f t="array" ref="G37">D37*12/10</f>
        <v>60144000</v>
      </c>
      <c r="H37" s="1469"/>
    </row>
    <row r="38" ht="17" customHeight="1">
      <c r="A38" s="12"/>
      <c r="B38" t="s" s="1455">
        <v>1124</v>
      </c>
      <c r="C38" s="1456">
        <v>65110070</v>
      </c>
      <c r="D38" s="1449" cm="1">
        <f t="array" ref="D38">SUM('PnL 2025'!C117:L117)</f>
        <v>15881490</v>
      </c>
      <c r="E38" t="s" s="1450">
        <v>1085</v>
      </c>
      <c r="F38" t="s" s="1467">
        <v>1125</v>
      </c>
      <c r="G38" s="1468" cm="1">
        <f t="array" ref="G38">D38*12/10</f>
        <v>19057788</v>
      </c>
      <c r="H38" s="1469"/>
    </row>
    <row r="39" ht="17" customHeight="1">
      <c r="A39" s="12"/>
      <c r="B39" t="s" s="1455">
        <v>1126</v>
      </c>
      <c r="C39" s="1456">
        <v>65110080</v>
      </c>
      <c r="D39" s="1449" cm="1">
        <f t="array" ref="D39">SUM('PnL 2025'!C118:L118)</f>
        <v>70400</v>
      </c>
      <c r="E39" t="s" s="1450">
        <v>1085</v>
      </c>
      <c r="F39" t="s" s="1467">
        <v>1126</v>
      </c>
      <c r="G39" s="1468" cm="1">
        <f t="array" ref="G39">D39*12/10</f>
        <v>84480</v>
      </c>
      <c r="H39" s="1469"/>
    </row>
    <row r="40" ht="17" customHeight="1">
      <c r="A40" s="12"/>
      <c r="B40" t="s" s="1455">
        <v>1127</v>
      </c>
      <c r="C40" s="1456">
        <v>65110090</v>
      </c>
      <c r="D40" s="1449" cm="1">
        <f t="array" ref="D40">SUM('PnL 2025'!C119:L119)</f>
        <v>0</v>
      </c>
      <c r="E40" t="s" s="1450">
        <v>1097</v>
      </c>
      <c r="F40" t="s" s="1467">
        <v>1128</v>
      </c>
      <c r="G40" s="1468">
        <v>10000000</v>
      </c>
      <c r="H40" s="1469"/>
    </row>
    <row r="41" ht="17" customHeight="1">
      <c r="A41" s="12"/>
      <c r="B41" t="s" s="1455">
        <v>1129</v>
      </c>
      <c r="C41" t="s" s="1470">
        <v>1130</v>
      </c>
      <c r="D41" s="1449" cm="1">
        <f t="array" ref="D41">SUM('PnL 2025'!C120:L120)</f>
        <v>0</v>
      </c>
      <c r="E41" t="s" s="1450">
        <v>1097</v>
      </c>
      <c r="F41" t="s" s="1467">
        <v>1131</v>
      </c>
      <c r="G41" s="1468">
        <v>0</v>
      </c>
      <c r="H41" s="1469"/>
    </row>
    <row r="42" ht="17" customHeight="1">
      <c r="A42" s="12"/>
      <c r="B42" t="s" s="1455">
        <v>1132</v>
      </c>
      <c r="C42" s="1456">
        <v>66110011</v>
      </c>
      <c r="D42" s="1449" cm="1">
        <f t="array" ref="D42">SUM('PnL 2025'!C121:L121)</f>
        <v>1000000</v>
      </c>
      <c r="E42" t="s" s="1450">
        <v>1097</v>
      </c>
      <c r="F42" t="s" s="1467">
        <v>1132</v>
      </c>
      <c r="G42" s="1468">
        <v>2000000</v>
      </c>
      <c r="H42" s="1469"/>
    </row>
    <row r="43" ht="17" customHeight="1">
      <c r="A43" s="12"/>
      <c r="B43" t="s" s="1455">
        <v>1133</v>
      </c>
      <c r="C43" s="1456">
        <v>66110020</v>
      </c>
      <c r="D43" s="1449" cm="1">
        <f t="array" ref="D43">SUM('PnL 2025'!C122:L122)</f>
        <v>228208586</v>
      </c>
      <c r="E43" t="s" s="1450">
        <v>1097</v>
      </c>
      <c r="F43" t="s" s="1467">
        <v>1134</v>
      </c>
      <c r="G43" s="1468">
        <v>200000000</v>
      </c>
      <c r="H43" s="1469"/>
    </row>
    <row r="44" ht="17" customHeight="1">
      <c r="A44" s="12"/>
      <c r="B44" t="s" s="1455">
        <v>1135</v>
      </c>
      <c r="C44" s="1456">
        <v>66110030</v>
      </c>
      <c r="D44" s="1449" cm="1">
        <f t="array" ref="D44">SUM('PnL 2025'!C123:L123)</f>
        <v>39264363.76</v>
      </c>
      <c r="E44" t="s" s="1450">
        <v>1085</v>
      </c>
      <c r="F44" t="s" s="1467">
        <v>1136</v>
      </c>
      <c r="G44" s="1468" cm="1">
        <f t="array" ref="G44">D44*12/10</f>
        <v>47117236.512</v>
      </c>
      <c r="H44" s="1469"/>
    </row>
    <row r="45" ht="17" customHeight="1">
      <c r="A45" s="12"/>
      <c r="B45" t="s" s="1455">
        <v>1137</v>
      </c>
      <c r="C45" s="1456">
        <v>66110033</v>
      </c>
      <c r="D45" s="1449" cm="1">
        <f t="array" ref="D45">SUM('PnL 2025'!C124:L124)</f>
        <v>638700</v>
      </c>
      <c r="E45" t="s" s="1450">
        <v>1085</v>
      </c>
      <c r="F45" t="s" s="1467">
        <v>1138</v>
      </c>
      <c r="G45" s="1468">
        <v>3000000</v>
      </c>
      <c r="H45" s="1469"/>
    </row>
    <row r="46" ht="17" customHeight="1">
      <c r="A46" s="12"/>
      <c r="B46" t="s" s="1455">
        <v>1139</v>
      </c>
      <c r="C46" s="1456">
        <v>66110050</v>
      </c>
      <c r="D46" s="1449" cm="1">
        <f t="array" ref="D46">SUM('PnL 2025'!C125:L125)</f>
        <v>127719268.82</v>
      </c>
      <c r="E46" t="s" s="1450">
        <v>1097</v>
      </c>
      <c r="F46" t="s" s="1467">
        <v>1140</v>
      </c>
      <c r="G46" s="1468">
        <v>100000000</v>
      </c>
      <c r="H46" s="1469"/>
    </row>
    <row r="47" ht="17" customHeight="1">
      <c r="A47" s="12"/>
      <c r="B47" t="s" s="1455">
        <v>1141</v>
      </c>
      <c r="C47" s="1456">
        <v>66110070</v>
      </c>
      <c r="D47" s="1449" cm="1">
        <f t="array" ref="D47">SUM('PnL 2025'!C126:L126)</f>
        <v>510276971.17</v>
      </c>
      <c r="E47" t="s" s="1450">
        <v>1085</v>
      </c>
      <c r="F47" t="s" s="1467">
        <v>1142</v>
      </c>
      <c r="G47" s="1468" cm="1">
        <f t="array" ref="G47">D47*12/10</f>
        <v>612332365.404</v>
      </c>
      <c r="H47" s="1469"/>
    </row>
    <row r="48" ht="17" customHeight="1">
      <c r="A48" s="12"/>
      <c r="B48" t="s" s="1455">
        <v>1143</v>
      </c>
      <c r="C48" t="s" s="1470">
        <v>1144</v>
      </c>
      <c r="D48" s="1449" cm="1">
        <f t="array" ref="D48">SUM('PnL 2025'!C127:L127)</f>
        <v>56063015.51</v>
      </c>
      <c r="E48" t="s" s="1450">
        <v>1085</v>
      </c>
      <c r="F48" t="s" s="1467">
        <v>1142</v>
      </c>
      <c r="G48" s="1468" cm="1">
        <f t="array" ref="G48">D48*12/10</f>
        <v>67275618.612</v>
      </c>
      <c r="H48" s="1469"/>
    </row>
    <row r="49" ht="17" customHeight="1">
      <c r="A49" s="12"/>
      <c r="B49" t="s" s="1455">
        <v>1145</v>
      </c>
      <c r="C49" s="1456">
        <v>66110080</v>
      </c>
      <c r="D49" s="1449" cm="1">
        <f t="array" ref="D49">SUM('PnL 2025'!C128:L128)</f>
        <v>29847132</v>
      </c>
      <c r="E49" t="s" s="1450">
        <v>1085</v>
      </c>
      <c r="F49" t="s" s="1467">
        <v>1146</v>
      </c>
      <c r="G49" s="1468" cm="1">
        <f t="array" ref="G49">D49*12/10</f>
        <v>35816558.4</v>
      </c>
      <c r="H49" s="1469"/>
    </row>
    <row r="50" ht="17" customHeight="1">
      <c r="A50" s="12"/>
      <c r="B50" t="s" s="1455">
        <v>1147</v>
      </c>
      <c r="C50" s="1456">
        <v>66110090</v>
      </c>
      <c r="D50" s="1449" cm="1">
        <f t="array" ref="D50">SUM('PnL 2025'!C129:L129)</f>
        <v>224572454.84</v>
      </c>
      <c r="E50" t="s" s="1450">
        <v>1085</v>
      </c>
      <c r="F50" t="s" s="1467">
        <v>1148</v>
      </c>
      <c r="G50" s="1468">
        <v>190000000</v>
      </c>
      <c r="H50" s="1469"/>
    </row>
    <row r="51" ht="17" customHeight="1">
      <c r="A51" s="12"/>
      <c r="B51" t="s" s="1455">
        <v>252</v>
      </c>
      <c r="C51" t="s" s="1470">
        <v>252</v>
      </c>
      <c r="D51" s="1449">
        <v>0</v>
      </c>
      <c r="E51" t="s" s="1450">
        <v>1097</v>
      </c>
      <c r="F51" t="s" s="1467">
        <v>1149</v>
      </c>
      <c r="G51" s="1468">
        <v>40000000</v>
      </c>
      <c r="H51" s="1469"/>
    </row>
    <row r="52" ht="17" customHeight="1">
      <c r="A52" s="12"/>
      <c r="B52" t="s" s="1455">
        <v>1150</v>
      </c>
      <c r="C52" s="1456">
        <v>66110100</v>
      </c>
      <c r="D52" s="1449" cm="1">
        <f t="array" ref="D52">SUM('PnL 2025'!C130:L130)</f>
        <v>590715341.6</v>
      </c>
      <c r="E52" t="s" s="1450">
        <v>1085</v>
      </c>
      <c r="F52" t="s" s="1467">
        <v>1150</v>
      </c>
      <c r="G52" s="1468" cm="1">
        <f t="array" ref="G52">D52*12/10*120%</f>
        <v>850630091.904</v>
      </c>
      <c r="H52" s="1469"/>
    </row>
    <row r="53" ht="17" customHeight="1">
      <c r="A53" s="12"/>
      <c r="B53" t="s" s="1455">
        <v>1151</v>
      </c>
      <c r="C53" s="1456">
        <v>66110110</v>
      </c>
      <c r="D53" s="1449" cm="1">
        <f t="array" ref="D53">SUM('PnL 2025'!C131:L131)</f>
        <v>154465488</v>
      </c>
      <c r="E53" t="s" s="1450">
        <v>1085</v>
      </c>
      <c r="F53" t="s" s="1467">
        <v>1152</v>
      </c>
      <c r="G53" s="1468">
        <v>80000000</v>
      </c>
      <c r="H53" s="1469"/>
    </row>
    <row r="54" ht="17" customHeight="1">
      <c r="A54" s="12"/>
      <c r="B54" t="s" s="1455">
        <v>1153</v>
      </c>
      <c r="C54" s="1456">
        <v>66110120</v>
      </c>
      <c r="D54" s="1449" cm="1">
        <f t="array" ref="D54">SUM('PnL 2025'!C132:L132)</f>
        <v>104641500</v>
      </c>
      <c r="E54" t="s" s="1450">
        <v>1097</v>
      </c>
      <c r="F54" t="s" s="1467">
        <v>1154</v>
      </c>
      <c r="G54" s="1468">
        <v>80000000</v>
      </c>
      <c r="H54" s="1469"/>
    </row>
    <row r="55" ht="17" customHeight="1">
      <c r="A55" s="12"/>
      <c r="B55" t="s" s="1455">
        <v>1155</v>
      </c>
      <c r="C55" s="1456">
        <v>66110130</v>
      </c>
      <c r="D55" s="1449" cm="1">
        <f t="array" ref="D55">SUM('PnL 2025'!C133:L133)</f>
        <v>134895360</v>
      </c>
      <c r="E55" t="s" s="1450">
        <v>1097</v>
      </c>
      <c r="F55" t="s" s="1467">
        <v>1156</v>
      </c>
      <c r="G55" s="1468">
        <v>90000000</v>
      </c>
      <c r="H55" s="1469"/>
    </row>
    <row r="56" ht="17" customHeight="1">
      <c r="A56" s="12"/>
      <c r="B56" t="s" s="1455">
        <v>1157</v>
      </c>
      <c r="C56" s="1456">
        <v>66110131</v>
      </c>
      <c r="D56" s="1449" cm="1">
        <f t="array" ref="D56">SUM('PnL 2025'!C134:L134)</f>
        <v>257140918</v>
      </c>
      <c r="E56" t="s" s="1450">
        <v>1097</v>
      </c>
      <c r="F56" t="s" s="1467">
        <v>1158</v>
      </c>
      <c r="G56" s="1468">
        <v>40000000</v>
      </c>
      <c r="H56" s="1469"/>
    </row>
    <row r="57" ht="17" customHeight="1">
      <c r="A57" s="12"/>
      <c r="B57" t="s" s="1455">
        <v>1159</v>
      </c>
      <c r="C57" s="1456">
        <v>66110132</v>
      </c>
      <c r="D57" s="1449" cm="1">
        <f t="array" ref="D57">SUM('PnL 2025'!C135:L135)</f>
        <v>76122120.36</v>
      </c>
      <c r="E57" t="s" s="1450">
        <v>1085</v>
      </c>
      <c r="F57" t="s" s="1467">
        <v>1160</v>
      </c>
      <c r="G57" s="1468" cm="1">
        <f t="array" ref="G57">D57*12/10</f>
        <v>91346544.432</v>
      </c>
      <c r="H57" s="1469"/>
    </row>
    <row r="58" ht="17" customHeight="1">
      <c r="A58" s="12"/>
      <c r="B58" t="s" s="1455">
        <v>1161</v>
      </c>
      <c r="C58" s="1456">
        <v>66110133</v>
      </c>
      <c r="D58" s="1449" cm="1">
        <f t="array" ref="D58">SUM('PnL 2025'!C136:L136)</f>
        <v>3940219033</v>
      </c>
      <c r="E58" t="s" s="1450">
        <v>1085</v>
      </c>
      <c r="F58" t="s" s="1467">
        <v>1161</v>
      </c>
      <c r="G58" s="1468" cm="1">
        <f t="array" ref="G58">'Payroll 2026'!X55</f>
        <v>7368000000</v>
      </c>
      <c r="H58" s="1469"/>
    </row>
    <row r="59" ht="17" customHeight="1">
      <c r="A59" s="12"/>
      <c r="B59" t="s" s="1455">
        <v>1162</v>
      </c>
      <c r="C59" s="1456">
        <v>66110134</v>
      </c>
      <c r="D59" s="1449" cm="1">
        <f t="array" ref="D59">SUM('PnL 2025'!C137:L137)</f>
        <v>2046830539.99</v>
      </c>
      <c r="E59" t="s" s="1450">
        <v>1097</v>
      </c>
      <c r="F59" t="s" s="1471">
        <v>1163</v>
      </c>
      <c r="G59" s="1468">
        <v>0</v>
      </c>
      <c r="H59" s="1469"/>
    </row>
    <row r="60" ht="17" customHeight="1">
      <c r="A60" s="12"/>
      <c r="B60" t="s" s="1455">
        <v>1164</v>
      </c>
      <c r="C60" t="s" s="1470">
        <v>1165</v>
      </c>
      <c r="D60" s="1449" cm="1">
        <f t="array" ref="D60">SUM('PnL 2025'!C138:L138)</f>
        <v>13763907</v>
      </c>
      <c r="E60" t="s" s="1450">
        <v>1085</v>
      </c>
      <c r="F60" t="s" s="1467">
        <v>1166</v>
      </c>
      <c r="G60" s="1468" cm="1">
        <f t="array" ref="G60">D60*12/10*120%</f>
        <v>19820026.08</v>
      </c>
      <c r="H60" s="1469"/>
    </row>
    <row r="61" ht="17" customHeight="1">
      <c r="A61" s="12"/>
      <c r="B61" t="s" s="1455">
        <v>1167</v>
      </c>
      <c r="C61" s="1456">
        <v>66110136</v>
      </c>
      <c r="D61" s="1449" cm="1">
        <f t="array" ref="D61">SUM('PnL 2025'!C139:L139)</f>
        <v>2573953069.58</v>
      </c>
      <c r="E61" t="s" s="1450">
        <v>1097</v>
      </c>
      <c r="F61" t="s" s="1471">
        <v>1168</v>
      </c>
      <c r="G61" s="1468">
        <v>0</v>
      </c>
      <c r="H61" s="1469"/>
    </row>
    <row r="62" ht="17" customHeight="1">
      <c r="A62" s="12"/>
      <c r="B62" t="s" s="1455">
        <v>1169</v>
      </c>
      <c r="C62" t="s" s="1470">
        <v>1170</v>
      </c>
      <c r="D62" s="1449" cm="1">
        <f t="array" ref="D62">SUM('PnL 2025'!C140:L140)</f>
        <v>1500000</v>
      </c>
      <c r="E62" t="s" s="1450">
        <v>1097</v>
      </c>
      <c r="F62" t="s" s="1467">
        <v>1171</v>
      </c>
      <c r="G62" s="1468">
        <v>0</v>
      </c>
      <c r="H62" s="1469"/>
    </row>
    <row r="63" ht="17" customHeight="1">
      <c r="A63" s="12"/>
      <c r="B63" t="s" s="1455">
        <v>1172</v>
      </c>
      <c r="C63" s="1456">
        <v>66110140</v>
      </c>
      <c r="D63" s="1449" cm="1">
        <f t="array" ref="D63">SUM('PnL 2025'!C141:L141)</f>
        <v>0</v>
      </c>
      <c r="E63" t="s" s="1450">
        <v>1097</v>
      </c>
      <c r="F63" t="s" s="1467">
        <v>1173</v>
      </c>
      <c r="G63" s="1468">
        <v>0</v>
      </c>
      <c r="H63" s="1469"/>
    </row>
    <row r="64" ht="17" customHeight="1">
      <c r="A64" s="12"/>
      <c r="B64" t="s" s="1455">
        <v>1174</v>
      </c>
      <c r="C64" t="s" s="1470">
        <v>1175</v>
      </c>
      <c r="D64" s="1449" cm="1">
        <f t="array" ref="D64">SUM('PnL 2025'!C142:L142)</f>
        <v>0</v>
      </c>
      <c r="E64" t="s" s="1450">
        <v>1097</v>
      </c>
      <c r="F64" t="s" s="1467">
        <v>252</v>
      </c>
      <c r="G64" s="1468">
        <v>0</v>
      </c>
      <c r="H64" s="1469"/>
    </row>
    <row r="65" ht="17" customHeight="1">
      <c r="A65" s="12"/>
      <c r="B65" t="s" s="1455">
        <v>1176</v>
      </c>
      <c r="C65" t="s" s="1470">
        <v>1177</v>
      </c>
      <c r="D65" s="1449" cm="1">
        <f t="array" ref="D65">SUM('PnL 2025'!C143:L143)</f>
        <v>11960000</v>
      </c>
      <c r="E65" t="s" s="1450">
        <v>1097</v>
      </c>
      <c r="F65" t="s" s="1467">
        <v>1178</v>
      </c>
      <c r="G65" s="1468">
        <v>0</v>
      </c>
      <c r="H65" s="1469"/>
    </row>
    <row r="66" ht="17" customHeight="1">
      <c r="A66" s="12"/>
      <c r="B66" t="s" s="1455">
        <v>1179</v>
      </c>
      <c r="C66" s="1456">
        <v>69000000</v>
      </c>
      <c r="D66" s="1449" cm="1">
        <f t="array" ref="D66">SUM('PnL 2025'!C144:L144)</f>
        <v>390327.11</v>
      </c>
      <c r="E66" t="s" s="1450">
        <v>1097</v>
      </c>
      <c r="F66" t="s" s="1472">
        <v>252</v>
      </c>
      <c r="G66" s="1468">
        <v>0</v>
      </c>
      <c r="H66" s="1469"/>
    </row>
    <row r="67" ht="17" customHeight="1">
      <c r="A67" s="12"/>
      <c r="B67" t="s" s="1455">
        <v>1180</v>
      </c>
      <c r="C67" t="s" s="1470">
        <v>1181</v>
      </c>
      <c r="D67" s="1449" cm="1">
        <f t="array" ref="D67">SUM('PnL 2025'!C145:L145)</f>
        <v>1300000</v>
      </c>
      <c r="E67" t="s" s="1450">
        <v>1097</v>
      </c>
      <c r="F67" t="s" s="1472">
        <v>252</v>
      </c>
      <c r="G67" s="1468">
        <v>0</v>
      </c>
      <c r="H67" s="1469"/>
    </row>
    <row r="68" ht="17" customHeight="1">
      <c r="A68" s="12"/>
      <c r="B68" t="s" s="1455">
        <v>1182</v>
      </c>
      <c r="C68" s="1456">
        <v>91100010</v>
      </c>
      <c r="D68" s="1449" cm="1">
        <f t="array" ref="D68">SUM('PnL 2025'!C146:L146)</f>
        <v>-218</v>
      </c>
      <c r="E68" t="s" s="1450">
        <v>1097</v>
      </c>
      <c r="F68" t="s" s="1467">
        <v>1183</v>
      </c>
      <c r="G68" s="1468">
        <v>0</v>
      </c>
      <c r="H68" s="1469"/>
    </row>
    <row r="69" ht="17" customHeight="1">
      <c r="A69" s="12"/>
      <c r="B69" t="s" s="1455">
        <v>1184</v>
      </c>
      <c r="C69" s="1456">
        <v>91100030</v>
      </c>
      <c r="D69" s="1449" cm="1">
        <f t="array" ref="D69">SUM('PnL 2025'!C147:L147)</f>
        <v>0</v>
      </c>
      <c r="E69" t="s" s="1450">
        <v>1097</v>
      </c>
      <c r="F69" t="s" s="1467">
        <v>1184</v>
      </c>
      <c r="G69" s="1468">
        <v>0</v>
      </c>
      <c r="H69" s="1469"/>
    </row>
    <row r="70" ht="17" customHeight="1">
      <c r="A70" s="12"/>
      <c r="B70" t="s" s="1455">
        <v>1185</v>
      </c>
      <c r="C70" s="1456">
        <v>99900001</v>
      </c>
      <c r="D70" s="1449" cm="1">
        <f t="array" ref="D70">SUM('PnL 2025'!C148:L148)</f>
        <v>0</v>
      </c>
      <c r="E70" t="s" s="1450">
        <v>1085</v>
      </c>
      <c r="F70" t="s" s="1467">
        <v>1185</v>
      </c>
      <c r="G70" s="1468" cm="1">
        <f t="array" ref="G70">D70*12/10</f>
        <v>0</v>
      </c>
      <c r="H70" s="1469"/>
    </row>
    <row r="71" ht="17" customHeight="1">
      <c r="A71" s="12"/>
      <c r="B71" t="s" s="1455">
        <v>1186</v>
      </c>
      <c r="C71" s="1456">
        <v>99900010</v>
      </c>
      <c r="D71" s="1449" cm="1">
        <f t="array" ref="D71">SUM('PnL 2025'!C149:L149)</f>
        <v>45340124</v>
      </c>
      <c r="E71" t="s" s="1450">
        <v>1085</v>
      </c>
      <c r="F71" t="s" s="1467">
        <v>1186</v>
      </c>
      <c r="G71" s="1468" cm="1">
        <f t="array" ref="G71">D71*12/10*120%</f>
        <v>65289778.56</v>
      </c>
      <c r="H71" s="1469"/>
    </row>
    <row r="72" ht="17" customHeight="1">
      <c r="A72" s="12"/>
      <c r="B72" t="s" s="1455">
        <v>1187</v>
      </c>
      <c r="C72" s="1456">
        <v>99900011</v>
      </c>
      <c r="D72" s="1449" cm="1">
        <f t="array" ref="D72">SUM('PnL 2025'!C150:L150)</f>
        <v>80008936</v>
      </c>
      <c r="E72" t="s" s="1450">
        <v>1085</v>
      </c>
      <c r="F72" t="s" s="1467">
        <v>1187</v>
      </c>
      <c r="G72" s="1468" cm="1">
        <f t="array" ref="G72">D72*12/10*120%</f>
        <v>115212867.84</v>
      </c>
      <c r="H72" s="1469"/>
    </row>
    <row r="73" ht="17" customHeight="1">
      <c r="A73" s="12"/>
      <c r="B73" t="s" s="1455">
        <v>1188</v>
      </c>
      <c r="C73" s="1456">
        <v>99900020</v>
      </c>
      <c r="D73" s="1449" cm="1">
        <f t="array" ref="D73">SUM('PnL 2025'!C151:L151)</f>
        <v>43332136</v>
      </c>
      <c r="E73" t="s" s="1450">
        <v>1085</v>
      </c>
      <c r="F73" t="s" s="1467">
        <v>1188</v>
      </c>
      <c r="G73" s="1468" cm="1">
        <f t="array" ref="G73">D73*12/10*120%</f>
        <v>62398275.84</v>
      </c>
      <c r="H73" s="1469"/>
    </row>
    <row r="74" ht="17" customHeight="1">
      <c r="A74" s="12"/>
      <c r="B74" t="s" s="1455">
        <v>1189</v>
      </c>
      <c r="C74" s="1456">
        <v>99900030</v>
      </c>
      <c r="D74" s="1449" cm="1">
        <f t="array" ref="D74">SUM('PnL 2025'!C152:L152)</f>
        <v>51546750</v>
      </c>
      <c r="E74" t="s" s="1450">
        <v>1085</v>
      </c>
      <c r="F74" t="s" s="1467">
        <v>1189</v>
      </c>
      <c r="G74" s="1468" cm="1">
        <f t="array" ref="G74">D74*12/10*120%</f>
        <v>74227320</v>
      </c>
      <c r="H74" s="1469"/>
    </row>
    <row r="75" ht="17" customHeight="1">
      <c r="A75" s="12"/>
      <c r="B75" t="s" s="1455">
        <v>1190</v>
      </c>
      <c r="C75" s="1456">
        <v>99900031</v>
      </c>
      <c r="D75" s="1449" cm="1">
        <f t="array" ref="D75">SUM('PnL 2025'!C153:L153)</f>
        <v>2992000</v>
      </c>
      <c r="E75" t="s" s="1450">
        <v>1085</v>
      </c>
      <c r="F75" t="s" s="1467">
        <v>1190</v>
      </c>
      <c r="G75" s="1468" cm="1">
        <f t="array" ref="G75">D75*12/10*120%</f>
        <v>4308480</v>
      </c>
      <c r="H75" s="1469"/>
    </row>
    <row r="76" ht="17" customHeight="1">
      <c r="A76" s="12"/>
      <c r="B76" t="s" s="1455">
        <v>1191</v>
      </c>
      <c r="C76" t="s" s="1470">
        <v>1192</v>
      </c>
      <c r="D76" s="1449" cm="1">
        <f t="array" ref="D76">SUM('PnL 2025'!C154:L154)</f>
        <v>19999999</v>
      </c>
      <c r="E76" t="s" s="1450">
        <v>1085</v>
      </c>
      <c r="F76" t="s" s="1467">
        <v>1193</v>
      </c>
      <c r="G76" s="1468" cm="1">
        <f t="array" ref="G76">500000000*10%</f>
        <v>50000000</v>
      </c>
      <c r="H76" s="1469"/>
    </row>
    <row r="77" ht="17" customHeight="1">
      <c r="A77" s="12"/>
      <c r="B77" t="s" s="1455">
        <v>1194</v>
      </c>
      <c r="C77" s="1456">
        <v>99900050</v>
      </c>
      <c r="D77" s="1449" cm="1">
        <f t="array" ref="D77">SUM('PnL 2025'!C155:L155)</f>
        <v>0</v>
      </c>
      <c r="E77" t="s" s="1450">
        <v>1085</v>
      </c>
      <c r="F77" t="s" s="1467">
        <v>1194</v>
      </c>
      <c r="G77" s="1468" cm="1">
        <f t="array" ref="G77">D77*12/10*120%</f>
        <v>0</v>
      </c>
      <c r="H77" s="1469"/>
    </row>
    <row r="78" ht="17" customHeight="1">
      <c r="A78" s="12"/>
      <c r="B78" t="s" s="1455">
        <v>1195</v>
      </c>
      <c r="C78" t="s" s="1470">
        <v>1196</v>
      </c>
      <c r="D78" s="1449" cm="1">
        <f t="array" ref="D78">SUM('PnL 2025'!C156:L156)</f>
        <v>4318339</v>
      </c>
      <c r="E78" t="s" s="1450">
        <v>1085</v>
      </c>
      <c r="F78" t="s" s="1467">
        <v>1195</v>
      </c>
      <c r="G78" s="1468" cm="1">
        <f t="array" ref="G78">D78*12/10*120%</f>
        <v>6218408.16</v>
      </c>
      <c r="H78" s="1469"/>
    </row>
    <row r="79" ht="17" customHeight="1">
      <c r="A79" s="12"/>
      <c r="B79" t="s" s="1455">
        <v>1197</v>
      </c>
      <c r="C79" t="s" s="1470">
        <v>1198</v>
      </c>
      <c r="D79" s="1449" cm="1">
        <f t="array" ref="D79">SUM('PnL 2025'!C157:L157)</f>
        <v>2727712632.03</v>
      </c>
      <c r="E79" t="s" s="1450">
        <v>1097</v>
      </c>
      <c r="F79" t="s" s="1471">
        <v>1168</v>
      </c>
      <c r="G79" s="1468">
        <v>0</v>
      </c>
      <c r="H79" s="1469"/>
    </row>
    <row r="80" ht="17" customHeight="1">
      <c r="A80" s="12"/>
      <c r="B80" t="s" s="1455">
        <v>1199</v>
      </c>
      <c r="C80" s="1448"/>
      <c r="D80" s="1449" cm="1">
        <f t="array" ref="D80">SUM(D19:D79)</f>
        <v>18505039697.45</v>
      </c>
      <c r="E80" s="1454"/>
      <c r="F80" s="1473"/>
      <c r="G80" s="1468"/>
      <c r="H80" s="1469"/>
    </row>
    <row r="81" ht="17" customHeight="1">
      <c r="A81" s="12"/>
      <c r="B81" t="s" s="1455">
        <v>682</v>
      </c>
      <c r="C81" s="1448"/>
      <c r="D81" s="1449" cm="1">
        <f t="array" ref="D81">SUM(D82:D85)</f>
        <v>1085593327.35</v>
      </c>
      <c r="E81" s="1454"/>
      <c r="F81" s="1473"/>
      <c r="G81" s="1468"/>
      <c r="H81" s="1469"/>
    </row>
    <row r="82" ht="17" customHeight="1">
      <c r="A82" s="12"/>
      <c r="B82" t="s" s="1455">
        <v>1200</v>
      </c>
      <c r="C82" t="s" s="1470">
        <v>1201</v>
      </c>
      <c r="D82" s="1449" cm="1">
        <f t="array" ref="D82">SUM('PnL 2025'!C167:L167)</f>
        <v>135610215.06</v>
      </c>
      <c r="E82" t="s" s="1450">
        <v>1085</v>
      </c>
      <c r="F82" t="s" s="1467">
        <v>1202</v>
      </c>
      <c r="G82" s="1468" cm="1">
        <f t="array" ref="G82">D82*12/10</f>
        <v>162732258.072</v>
      </c>
      <c r="H82" s="1469"/>
    </row>
    <row r="83" ht="17" customHeight="1">
      <c r="A83" s="12"/>
      <c r="B83" t="s" s="1455">
        <v>1203</v>
      </c>
      <c r="C83" t="s" s="1470">
        <v>1204</v>
      </c>
      <c r="D83" s="1449" cm="1">
        <f t="array" ref="D83">SUM('PnL 2025'!C168:L168)</f>
        <v>155709106.58</v>
      </c>
      <c r="E83" t="s" s="1450">
        <v>1085</v>
      </c>
      <c r="F83" t="s" s="1467">
        <v>1205</v>
      </c>
      <c r="G83" s="1468" cm="1">
        <f t="array" ref="G83">D83*12/10</f>
        <v>186850927.896</v>
      </c>
      <c r="H83" s="1469"/>
    </row>
    <row r="84" ht="17" customHeight="1">
      <c r="A84" s="12"/>
      <c r="B84" t="s" s="1455">
        <v>1206</v>
      </c>
      <c r="C84" t="s" s="1470">
        <v>1207</v>
      </c>
      <c r="D84" s="1449" cm="1">
        <f t="array" ref="D84">SUM('PnL 2025'!C169:L169)</f>
        <v>573143988.04</v>
      </c>
      <c r="E84" t="s" s="1450">
        <v>1085</v>
      </c>
      <c r="F84" t="s" s="1467">
        <v>1206</v>
      </c>
      <c r="G84" s="1468" cm="1">
        <f t="array" ref="G84">D84*12/10</f>
        <v>687772785.648</v>
      </c>
      <c r="H84" s="1469"/>
    </row>
    <row r="85" ht="17" customHeight="1">
      <c r="A85" s="12"/>
      <c r="B85" t="s" s="1455">
        <v>1208</v>
      </c>
      <c r="C85" t="s" s="1470">
        <v>1209</v>
      </c>
      <c r="D85" s="1449" cm="1">
        <f t="array" ref="D85">SUM('PnL 2025'!C170:L170)</f>
        <v>221130017.67</v>
      </c>
      <c r="E85" t="s" s="1450">
        <v>1085</v>
      </c>
      <c r="F85" t="s" s="1467">
        <v>1210</v>
      </c>
      <c r="G85" s="1468" cm="1">
        <f t="array" ref="G85">D85*12/10</f>
        <v>265356021.204</v>
      </c>
      <c r="H85" s="1469"/>
    </row>
    <row r="86" ht="17" customHeight="1">
      <c r="A86" s="12"/>
      <c r="B86" s="1453"/>
      <c r="C86" s="1448"/>
      <c r="D86" s="1449"/>
      <c r="E86" s="1454"/>
      <c r="F86" s="1473"/>
      <c r="G86" s="1468"/>
      <c r="H86" s="1469"/>
    </row>
    <row r="87" ht="17" customHeight="1">
      <c r="A87" s="12"/>
      <c r="B87" s="1453"/>
      <c r="C87" s="1448"/>
      <c r="D87" s="1449"/>
      <c r="E87" s="1454"/>
      <c r="F87" t="s" s="1474">
        <v>1211</v>
      </c>
      <c r="G87" s="1468">
        <v>50000000</v>
      </c>
      <c r="H87" s="1469"/>
    </row>
    <row r="88" ht="16.5" customHeight="1">
      <c r="A88" s="12"/>
      <c r="B88" t="s" s="1475">
        <v>1212</v>
      </c>
      <c r="C88" s="1476"/>
      <c r="D88" s="1477" cm="1">
        <f t="array" ref="D88">D81</f>
        <v>1085593327.35</v>
      </c>
      <c r="E88" s="1478"/>
      <c r="F88" s="1478"/>
      <c r="G88" s="1479"/>
      <c r="H88" s="1480"/>
    </row>
    <row r="89" ht="18" customHeight="1">
      <c r="A89" s="570"/>
      <c r="B89" t="s" s="1481">
        <v>1199</v>
      </c>
      <c r="C89" s="1482"/>
      <c r="D89" s="1483" cm="1">
        <f t="array" ref="D89">D80+D88</f>
        <v>19590633024.8</v>
      </c>
      <c r="E89" s="1484"/>
      <c r="F89" t="s" s="1485">
        <v>1199</v>
      </c>
      <c r="G89" s="1486" cm="1">
        <f t="array" ref="G89">SUM(G19:G88)</f>
        <v>13535346682.2896</v>
      </c>
      <c r="H89" s="1487"/>
    </row>
  </sheetData>
  <mergeCells count="5">
    <mergeCell ref="B2:D2"/>
    <mergeCell ref="C9:D9"/>
    <mergeCell ref="E9:G9"/>
    <mergeCell ref="C10:D10"/>
    <mergeCell ref="E10:G10"/>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23.xml><?xml version="1.0" encoding="utf-8"?>
<worksheet xmlns:r="http://schemas.openxmlformats.org/officeDocument/2006/relationships" xmlns="http://schemas.openxmlformats.org/spreadsheetml/2006/main">
  <dimension ref="A1:H79"/>
  <sheetViews>
    <sheetView workbookViewId="0" showGridLines="0" defaultGridColor="1"/>
  </sheetViews>
  <sheetFormatPr defaultColWidth="8.83333" defaultRowHeight="16" customHeight="1" outlineLevelRow="0" outlineLevelCol="0"/>
  <cols>
    <col min="1" max="1" width="2.85156" style="1488" customWidth="1"/>
    <col min="2" max="2" width="48.6719" style="1488" customWidth="1"/>
    <col min="3" max="3" width="19.8516" style="1488" customWidth="1"/>
    <col min="4" max="4" width="20.3516" style="1488" customWidth="1"/>
    <col min="5" max="5" width="19.3516" style="1488" customWidth="1"/>
    <col min="6" max="6" width="84.1719" style="1488" customWidth="1"/>
    <col min="7" max="7" width="20.1719" style="1488" customWidth="1"/>
    <col min="8" max="8" width="3" style="1488" customWidth="1"/>
    <col min="9" max="16384" width="8.85156" style="1488" customWidth="1"/>
  </cols>
  <sheetData>
    <row r="1" ht="16.5" customHeight="1">
      <c r="A1" s="7"/>
      <c r="B1" s="8"/>
      <c r="C1" s="8"/>
      <c r="D1" s="8"/>
      <c r="E1" s="9"/>
      <c r="F1" s="9"/>
      <c r="G1" s="9"/>
      <c r="H1" s="11"/>
    </row>
    <row r="2" ht="16.5" customHeight="1">
      <c r="A2" s="12"/>
      <c r="B2" t="s" s="1489">
        <v>1067</v>
      </c>
      <c r="C2" s="1490"/>
      <c r="D2" s="1491"/>
      <c r="E2" s="16"/>
      <c r="F2" s="17"/>
      <c r="G2" s="17"/>
      <c r="H2" s="18"/>
    </row>
    <row r="3" ht="16" customHeight="1">
      <c r="A3" s="12"/>
      <c r="B3" t="s" s="1492">
        <v>1068</v>
      </c>
      <c r="C3" t="s" s="1493">
        <v>1214</v>
      </c>
      <c r="D3" t="s" s="1494">
        <v>1070</v>
      </c>
      <c r="E3" s="16"/>
      <c r="F3" s="17"/>
      <c r="G3" s="17"/>
      <c r="H3" s="18"/>
    </row>
    <row r="4" ht="16" customHeight="1">
      <c r="A4" s="12"/>
      <c r="B4" t="s" s="1495">
        <v>1215</v>
      </c>
      <c r="C4" s="1496" cm="1">
        <f t="array" ref="C4">G79</f>
        <v>11899359630.6184</v>
      </c>
      <c r="D4" s="1497">
        <v>1</v>
      </c>
      <c r="E4" s="16"/>
      <c r="F4" s="17"/>
      <c r="G4" s="17"/>
      <c r="H4" s="18"/>
    </row>
    <row r="5" ht="16" customHeight="1">
      <c r="A5" s="12"/>
      <c r="B5" t="s" s="1498">
        <v>1072</v>
      </c>
      <c r="C5" s="1499"/>
      <c r="D5" s="1500"/>
      <c r="E5" s="16"/>
      <c r="F5" s="17"/>
      <c r="G5" s="17"/>
      <c r="H5" s="18"/>
    </row>
    <row r="6" ht="16" customHeight="1">
      <c r="A6" s="12"/>
      <c r="B6" t="s" s="1501">
        <v>1073</v>
      </c>
      <c r="C6" s="729" cm="1">
        <f t="array" ref="C6">$C$4*D6</f>
        <v>4790281503.75155</v>
      </c>
      <c r="D6" s="1502" cm="1">
        <f t="array" ref="D6">('NEW Actual Sales Jan-Nov 2024'!$C$19+'NEW Actual Sales Jan-Nov 2024'!$C$33)/('NEW Actual Sales Jan-Nov 2024'!$C$6+'NEW Actual Sales Jan-Nov 2024'!$C$19+'NEW Actual Sales Jan-Nov 2024'!$C$33)</f>
        <v>0.402566327302657</v>
      </c>
      <c r="E6" s="16"/>
      <c r="F6" s="17"/>
      <c r="G6" s="17"/>
      <c r="H6" s="18"/>
    </row>
    <row r="7" ht="16.5" customHeight="1">
      <c r="A7" s="12"/>
      <c r="B7" t="s" s="1503">
        <v>1074</v>
      </c>
      <c r="C7" s="1504" cm="1">
        <f t="array" ref="C7">$C$4*D7</f>
        <v>7109078126.86685</v>
      </c>
      <c r="D7" s="1505" cm="1">
        <f t="array" ref="D7">(1-D6)</f>
        <v>0.597433672697343</v>
      </c>
      <c r="E7" s="16"/>
      <c r="F7" s="17"/>
      <c r="G7" s="17"/>
      <c r="H7" s="18"/>
    </row>
    <row r="8" ht="17" customHeight="1">
      <c r="A8" s="32"/>
      <c r="B8" s="33"/>
      <c r="C8" s="33"/>
      <c r="D8" s="33"/>
      <c r="E8" s="35"/>
      <c r="F8" s="35"/>
      <c r="G8" s="35"/>
      <c r="H8" s="442"/>
    </row>
    <row r="9" ht="14.5" customHeight="1">
      <c r="A9" s="12"/>
      <c r="B9" s="1506"/>
      <c r="C9" t="s" s="1508">
        <v>1216</v>
      </c>
      <c r="D9" s="1509"/>
      <c r="E9" s="1510">
        <v>2025</v>
      </c>
      <c r="F9" s="1511"/>
      <c r="G9" s="1511"/>
      <c r="H9" s="1512"/>
    </row>
    <row r="10" ht="15" customHeight="1">
      <c r="A10" s="12"/>
      <c r="B10" s="1513"/>
      <c r="C10" t="s" s="1514">
        <v>1076</v>
      </c>
      <c r="D10" s="1515"/>
      <c r="E10" t="s" s="1516">
        <v>1077</v>
      </c>
      <c r="F10" s="1517"/>
      <c r="G10" s="1517"/>
      <c r="H10" s="1518"/>
    </row>
    <row r="11" ht="30.5" customHeight="1">
      <c r="A11" s="12"/>
      <c r="B11" s="1519"/>
      <c r="C11" t="s" s="1520">
        <v>1078</v>
      </c>
      <c r="D11" t="s" s="1520">
        <v>1079</v>
      </c>
      <c r="E11" t="s" s="1521">
        <v>1080</v>
      </c>
      <c r="F11" t="s" s="1521">
        <v>1081</v>
      </c>
      <c r="G11" t="s" s="1522">
        <v>1217</v>
      </c>
      <c r="H11" s="1523"/>
    </row>
    <row r="12" ht="9.5" customHeight="1">
      <c r="A12" s="12"/>
      <c r="B12" s="1524"/>
      <c r="C12" s="1525"/>
      <c r="D12" s="1525"/>
      <c r="E12" s="1526"/>
      <c r="F12" s="1526"/>
      <c r="G12" s="1526"/>
      <c r="H12" s="1527"/>
    </row>
    <row r="13" ht="17" customHeight="1">
      <c r="A13" s="12"/>
      <c r="B13" t="s" s="1528">
        <v>1086</v>
      </c>
      <c r="C13" s="1529">
        <v>61100010</v>
      </c>
      <c r="D13" s="1530">
        <v>687672274</v>
      </c>
      <c r="E13" t="s" s="1531">
        <v>1085</v>
      </c>
      <c r="F13" s="1532"/>
      <c r="G13" s="1533" cm="1">
        <f t="array" ref="G13">'Payroll 2025'!X61</f>
        <v>2008000000</v>
      </c>
      <c r="H13" s="1534"/>
    </row>
    <row r="14" ht="11.5" customHeight="1">
      <c r="A14" s="12"/>
      <c r="B14" s="1535"/>
      <c r="C14" s="1536"/>
      <c r="D14" s="1530"/>
      <c r="E14" s="1532"/>
      <c r="F14" s="1532"/>
      <c r="G14" s="1533"/>
      <c r="H14" s="1534"/>
    </row>
    <row r="15" ht="15" customHeight="1">
      <c r="A15" s="12"/>
      <c r="B15" t="s" s="1528">
        <v>1087</v>
      </c>
      <c r="C15" s="1529">
        <v>81100040</v>
      </c>
      <c r="D15" s="1530">
        <v>71078374.03</v>
      </c>
      <c r="E15" t="s" s="1531">
        <v>1085</v>
      </c>
      <c r="F15" t="s" s="1531">
        <v>1088</v>
      </c>
      <c r="G15" s="1533" cm="1">
        <f t="array" ref="G15">D15*12/10*120%</f>
        <v>102352858.6032</v>
      </c>
      <c r="H15" s="1534"/>
    </row>
    <row r="16" ht="15" customHeight="1">
      <c r="A16" s="12"/>
      <c r="B16" s="1535"/>
      <c r="C16" s="1536"/>
      <c r="D16" s="1530"/>
      <c r="E16" s="1532"/>
      <c r="F16" s="1532"/>
      <c r="G16" s="1533"/>
      <c r="H16" s="1534"/>
    </row>
    <row r="17" ht="30.5" customHeight="1">
      <c r="A17" s="12"/>
      <c r="B17" t="s" s="1537">
        <v>550</v>
      </c>
      <c r="C17" s="1538"/>
      <c r="D17" s="1539" cm="1">
        <f t="array" ref="D17">D79</f>
        <v>10589042839.61</v>
      </c>
      <c r="E17" t="s" s="1521">
        <v>1080</v>
      </c>
      <c r="F17" t="s" s="1521">
        <v>1089</v>
      </c>
      <c r="G17" t="s" s="1540">
        <v>1217</v>
      </c>
      <c r="H17" s="1541"/>
    </row>
    <row r="18" ht="16.5" customHeight="1">
      <c r="A18" s="12"/>
      <c r="B18" t="s" s="1542">
        <v>550</v>
      </c>
      <c r="C18" s="1543"/>
      <c r="D18" s="1544">
        <v>10363809802</v>
      </c>
      <c r="E18" s="1545"/>
      <c r="F18" s="1545"/>
      <c r="G18" s="1546"/>
      <c r="H18" s="1547"/>
    </row>
    <row r="19" ht="17" customHeight="1">
      <c r="A19" s="12"/>
      <c r="B19" t="s" s="1528">
        <v>1090</v>
      </c>
      <c r="C19" s="1529">
        <v>61100020</v>
      </c>
      <c r="D19" s="1530">
        <v>1514221133</v>
      </c>
      <c r="E19" t="s" s="1531">
        <v>1085</v>
      </c>
      <c r="F19" t="s" s="1548">
        <v>1091</v>
      </c>
      <c r="G19" s="1549">
        <v>0</v>
      </c>
      <c r="H19" s="1550"/>
    </row>
    <row r="20" ht="17" customHeight="1">
      <c r="A20" s="12"/>
      <c r="B20" t="s" s="1528">
        <v>1092</v>
      </c>
      <c r="C20" s="1529">
        <v>61100021</v>
      </c>
      <c r="D20" s="1530">
        <v>61056000</v>
      </c>
      <c r="E20" t="s" s="1531">
        <v>1085</v>
      </c>
      <c r="F20" t="s" s="1548">
        <v>1093</v>
      </c>
      <c r="G20" s="1549" cm="1">
        <f t="array" ref="G20">D20*12/10*120%</f>
        <v>87920640</v>
      </c>
      <c r="H20" s="1550"/>
    </row>
    <row r="21" ht="17" customHeight="1">
      <c r="A21" s="12"/>
      <c r="B21" t="s" s="1528">
        <v>1094</v>
      </c>
      <c r="C21" s="1551">
        <v>61100030</v>
      </c>
      <c r="D21" s="1530">
        <v>7420754</v>
      </c>
      <c r="E21" t="s" s="1531">
        <v>1085</v>
      </c>
      <c r="F21" t="s" s="1548">
        <v>1095</v>
      </c>
      <c r="G21" s="1549" cm="1">
        <f t="array" ref="G21">D21*12/10</f>
        <v>8904904.800000001</v>
      </c>
      <c r="H21" s="1550"/>
    </row>
    <row r="22" ht="17" customHeight="1">
      <c r="A22" s="12"/>
      <c r="B22" t="s" s="1528">
        <v>1096</v>
      </c>
      <c r="C22" s="1529">
        <v>61100040</v>
      </c>
      <c r="D22" s="1530">
        <v>20402500</v>
      </c>
      <c r="E22" t="s" s="1531">
        <v>1097</v>
      </c>
      <c r="F22" t="s" s="1548">
        <v>1098</v>
      </c>
      <c r="G22" s="1549">
        <v>10000000</v>
      </c>
      <c r="H22" s="1550"/>
    </row>
    <row r="23" ht="17" customHeight="1">
      <c r="A23" s="12"/>
      <c r="B23" t="s" s="1528">
        <v>1099</v>
      </c>
      <c r="C23" s="1529">
        <v>61100100</v>
      </c>
      <c r="D23" s="1530">
        <v>625468</v>
      </c>
      <c r="E23" t="s" s="1531">
        <v>1097</v>
      </c>
      <c r="F23" t="s" s="1548">
        <v>1099</v>
      </c>
      <c r="G23" s="1549" cm="1">
        <f t="array" ref="G23">D23*12/10</f>
        <v>750561.6</v>
      </c>
      <c r="H23" s="1550"/>
    </row>
    <row r="24" ht="17" customHeight="1">
      <c r="A24" s="12"/>
      <c r="B24" t="s" s="1528">
        <v>1100</v>
      </c>
      <c r="C24" s="1529">
        <v>61100110</v>
      </c>
      <c r="D24" s="1530">
        <v>2163776</v>
      </c>
      <c r="E24" t="s" s="1531">
        <v>1085</v>
      </c>
      <c r="F24" t="s" s="1548">
        <v>1100</v>
      </c>
      <c r="G24" s="1549" cm="1">
        <f t="array" ref="G24">D24*12/10</f>
        <v>2596531.2</v>
      </c>
      <c r="H24" s="1550"/>
    </row>
    <row r="25" ht="17" customHeight="1">
      <c r="A25" s="12"/>
      <c r="B25" t="s" s="1528">
        <v>1101</v>
      </c>
      <c r="C25" s="1529">
        <v>61100120</v>
      </c>
      <c r="D25" s="1530">
        <v>1461763</v>
      </c>
      <c r="E25" t="s" s="1531">
        <v>1085</v>
      </c>
      <c r="F25" t="s" s="1548">
        <v>1101</v>
      </c>
      <c r="G25" s="1549" cm="1">
        <f t="array" ref="G25">D25*12/10</f>
        <v>1754115.6</v>
      </c>
      <c r="H25" s="1550"/>
    </row>
    <row r="26" ht="17" customHeight="1">
      <c r="A26" s="12"/>
      <c r="B26" t="s" s="1528">
        <v>1102</v>
      </c>
      <c r="C26" s="1529">
        <v>61610131</v>
      </c>
      <c r="D26" s="1530">
        <v>16312400</v>
      </c>
      <c r="E26" t="s" s="1531">
        <v>1085</v>
      </c>
      <c r="F26" t="s" s="1548">
        <v>1103</v>
      </c>
      <c r="G26" s="1549" cm="1">
        <f t="array" ref="G26">D26*12/10</f>
        <v>19574880</v>
      </c>
      <c r="H26" s="1550"/>
    </row>
    <row r="27" ht="17" customHeight="1">
      <c r="A27" s="12"/>
      <c r="B27" t="s" s="1528">
        <v>1104</v>
      </c>
      <c r="C27" s="1529">
        <v>63110060</v>
      </c>
      <c r="D27" s="1530">
        <v>6749025</v>
      </c>
      <c r="E27" t="s" s="1531">
        <v>1097</v>
      </c>
      <c r="F27" t="s" s="1548">
        <v>1105</v>
      </c>
      <c r="G27" s="1549">
        <v>0</v>
      </c>
      <c r="H27" s="1550"/>
    </row>
    <row r="28" ht="17" customHeight="1">
      <c r="A28" s="12"/>
      <c r="B28" t="s" s="1528">
        <v>1106</v>
      </c>
      <c r="C28" s="1529">
        <v>63110080</v>
      </c>
      <c r="D28" s="1530">
        <v>8175410</v>
      </c>
      <c r="E28" t="s" s="1531">
        <v>1097</v>
      </c>
      <c r="F28" t="s" s="1548">
        <v>1107</v>
      </c>
      <c r="G28" s="1549" cm="1">
        <f t="array" ref="G28">D28*12/10</f>
        <v>9810492</v>
      </c>
      <c r="H28" s="1550"/>
    </row>
    <row r="29" ht="17" customHeight="1">
      <c r="A29" s="12"/>
      <c r="B29" t="s" s="1528">
        <v>1108</v>
      </c>
      <c r="C29" s="1529">
        <v>63110081</v>
      </c>
      <c r="D29" s="1530">
        <v>63288194</v>
      </c>
      <c r="E29" t="s" s="1531">
        <v>1085</v>
      </c>
      <c r="F29" t="s" s="1548">
        <v>1218</v>
      </c>
      <c r="G29" s="1549">
        <v>80000000</v>
      </c>
      <c r="H29" s="1550"/>
    </row>
    <row r="30" ht="17" customHeight="1">
      <c r="A30" s="12"/>
      <c r="B30" t="s" s="1528">
        <v>1113</v>
      </c>
      <c r="C30" s="1529">
        <v>63110120</v>
      </c>
      <c r="D30" s="1530">
        <v>5878618</v>
      </c>
      <c r="E30" t="s" s="1531">
        <v>1097</v>
      </c>
      <c r="F30" t="s" s="1548">
        <v>1114</v>
      </c>
      <c r="G30" s="1549">
        <v>3000000</v>
      </c>
      <c r="H30" s="1550"/>
    </row>
    <row r="31" ht="17" customHeight="1">
      <c r="A31" s="12"/>
      <c r="B31" t="s" s="1528">
        <v>1115</v>
      </c>
      <c r="C31" s="1529">
        <v>63110140</v>
      </c>
      <c r="D31" s="1530">
        <v>18000900</v>
      </c>
      <c r="E31" t="s" s="1531">
        <v>1097</v>
      </c>
      <c r="F31" t="s" s="1548">
        <v>1115</v>
      </c>
      <c r="G31" s="1549">
        <v>10000000</v>
      </c>
      <c r="H31" s="1550"/>
    </row>
    <row r="32" ht="17" customHeight="1">
      <c r="A32" s="12"/>
      <c r="B32" t="s" s="1528">
        <v>1116</v>
      </c>
      <c r="C32" s="1529">
        <v>64110020</v>
      </c>
      <c r="D32" s="1530">
        <v>586458656</v>
      </c>
      <c r="E32" t="s" s="1531">
        <v>1097</v>
      </c>
      <c r="F32" t="s" s="1548">
        <v>1219</v>
      </c>
      <c r="G32" s="1549" cm="1">
        <f t="array" ref="G32">D32*12/10*110%</f>
        <v>774125425.92</v>
      </c>
      <c r="H32" s="1550"/>
    </row>
    <row r="33" ht="17" customHeight="1">
      <c r="A33" s="12"/>
      <c r="B33" t="s" s="1528">
        <v>1118</v>
      </c>
      <c r="C33" s="1529">
        <v>65110020</v>
      </c>
      <c r="D33" s="1530">
        <v>6591454.42</v>
      </c>
      <c r="E33" t="s" s="1531">
        <v>1085</v>
      </c>
      <c r="F33" t="s" s="1548">
        <v>1118</v>
      </c>
      <c r="G33" s="1549" cm="1">
        <f t="array" ref="G33">D33*12/10</f>
        <v>7909745.304</v>
      </c>
      <c r="H33" s="1550"/>
    </row>
    <row r="34" ht="17" customHeight="1">
      <c r="A34" s="12"/>
      <c r="B34" t="s" s="1528">
        <v>1119</v>
      </c>
      <c r="C34" s="1529">
        <v>65110021</v>
      </c>
      <c r="D34" s="1530">
        <v>3320979</v>
      </c>
      <c r="E34" t="s" s="1531">
        <v>1085</v>
      </c>
      <c r="F34" t="s" s="1548">
        <v>1119</v>
      </c>
      <c r="G34" s="1549" cm="1">
        <f t="array" ref="G34">D34*12/10</f>
        <v>3985174.8</v>
      </c>
      <c r="H34" s="1550"/>
    </row>
    <row r="35" ht="17" customHeight="1">
      <c r="A35" s="12"/>
      <c r="B35" t="s" s="1528">
        <v>1120</v>
      </c>
      <c r="C35" s="1529">
        <v>65110030</v>
      </c>
      <c r="D35" s="1530">
        <v>157912500</v>
      </c>
      <c r="E35" t="s" s="1531">
        <v>1085</v>
      </c>
      <c r="F35" t="s" s="1548">
        <v>1121</v>
      </c>
      <c r="G35" s="1549" cm="1">
        <f t="array" ref="G35">D35*12/10*130%</f>
        <v>246343500</v>
      </c>
      <c r="H35" s="1550"/>
    </row>
    <row r="36" ht="17" customHeight="1">
      <c r="A36" s="12"/>
      <c r="B36" t="s" s="1528">
        <v>1200</v>
      </c>
      <c r="C36" s="1529">
        <v>65110040</v>
      </c>
      <c r="D36" s="1530">
        <v>37906451.61</v>
      </c>
      <c r="E36" t="s" s="1531">
        <v>1085</v>
      </c>
      <c r="F36" t="s" s="1548">
        <v>1220</v>
      </c>
      <c r="G36" s="1549" cm="1">
        <f t="array" ref="G36">D36*12/10</f>
        <v>45487741.932</v>
      </c>
      <c r="H36" s="1550"/>
    </row>
    <row r="37" ht="17" customHeight="1">
      <c r="A37" s="12"/>
      <c r="B37" t="s" s="1528">
        <v>1122</v>
      </c>
      <c r="C37" s="1529">
        <v>65110050</v>
      </c>
      <c r="D37" s="1530">
        <v>37620000</v>
      </c>
      <c r="E37" t="s" s="1531">
        <v>1085</v>
      </c>
      <c r="F37" t="s" s="1548">
        <v>1221</v>
      </c>
      <c r="G37" s="1549" cm="1">
        <f t="array" ref="G37">D37*12/10</f>
        <v>45144000</v>
      </c>
      <c r="H37" s="1550"/>
    </row>
    <row r="38" ht="17" customHeight="1">
      <c r="A38" s="12"/>
      <c r="B38" t="s" s="1528">
        <v>1124</v>
      </c>
      <c r="C38" s="1529">
        <v>65110070</v>
      </c>
      <c r="D38" s="1530">
        <v>26955830</v>
      </c>
      <c r="E38" t="s" s="1531">
        <v>1085</v>
      </c>
      <c r="F38" t="s" s="1548">
        <v>1125</v>
      </c>
      <c r="G38" s="1549" cm="1">
        <f t="array" ref="G38">D38*12/10</f>
        <v>32346996</v>
      </c>
      <c r="H38" s="1550"/>
    </row>
    <row r="39" ht="17" customHeight="1">
      <c r="A39" s="12"/>
      <c r="B39" t="s" s="1528">
        <v>1126</v>
      </c>
      <c r="C39" s="1529">
        <v>65110080</v>
      </c>
      <c r="D39" s="1530">
        <v>24465500</v>
      </c>
      <c r="E39" t="s" s="1531">
        <v>1085</v>
      </c>
      <c r="F39" t="s" s="1548">
        <v>1126</v>
      </c>
      <c r="G39" s="1549" cm="1">
        <f t="array" ref="G39">D39*12/10</f>
        <v>29358600</v>
      </c>
      <c r="H39" s="1550"/>
    </row>
    <row r="40" ht="17" customHeight="1">
      <c r="A40" s="12"/>
      <c r="B40" t="s" s="1528">
        <v>1127</v>
      </c>
      <c r="C40" s="1529">
        <v>65110090</v>
      </c>
      <c r="D40" s="1530">
        <v>12050000</v>
      </c>
      <c r="E40" t="s" s="1531">
        <v>1097</v>
      </c>
      <c r="F40" t="s" s="1548">
        <v>1128</v>
      </c>
      <c r="G40" s="1549">
        <v>10000000</v>
      </c>
      <c r="H40" s="1550"/>
    </row>
    <row r="41" ht="17" customHeight="1">
      <c r="A41" s="12"/>
      <c r="B41" t="s" s="1528">
        <v>1132</v>
      </c>
      <c r="C41" s="1529">
        <v>66110011</v>
      </c>
      <c r="D41" s="1530">
        <v>500000</v>
      </c>
      <c r="E41" t="s" s="1531">
        <v>1097</v>
      </c>
      <c r="F41" t="s" s="1548">
        <v>1132</v>
      </c>
      <c r="G41" s="1549">
        <v>2000000</v>
      </c>
      <c r="H41" s="1550"/>
    </row>
    <row r="42" ht="17" customHeight="1">
      <c r="A42" s="12"/>
      <c r="B42" t="s" s="1528">
        <v>1133</v>
      </c>
      <c r="C42" s="1529">
        <v>66110020</v>
      </c>
      <c r="D42" s="1530">
        <v>208037963</v>
      </c>
      <c r="E42" t="s" s="1531">
        <v>1097</v>
      </c>
      <c r="F42" t="s" s="1548">
        <v>1134</v>
      </c>
      <c r="G42" s="1549">
        <v>300000000</v>
      </c>
      <c r="H42" s="1550"/>
    </row>
    <row r="43" ht="17" customHeight="1">
      <c r="A43" s="12"/>
      <c r="B43" t="s" s="1528">
        <v>1135</v>
      </c>
      <c r="C43" s="1529">
        <v>66110030</v>
      </c>
      <c r="D43" s="1530">
        <v>16003968</v>
      </c>
      <c r="E43" t="s" s="1531">
        <v>1085</v>
      </c>
      <c r="F43" t="s" s="1548">
        <v>1136</v>
      </c>
      <c r="G43" s="1549" cm="1">
        <f t="array" ref="G43">D43*12/10</f>
        <v>19204761.6</v>
      </c>
      <c r="H43" s="1550"/>
    </row>
    <row r="44" ht="17" customHeight="1">
      <c r="A44" s="12"/>
      <c r="B44" t="s" s="1528">
        <v>1137</v>
      </c>
      <c r="C44" s="1529">
        <v>66110033</v>
      </c>
      <c r="D44" s="1530">
        <v>964924</v>
      </c>
      <c r="E44" t="s" s="1531">
        <v>1085</v>
      </c>
      <c r="F44" t="s" s="1548">
        <v>1138</v>
      </c>
      <c r="G44" s="1549">
        <v>5000000</v>
      </c>
      <c r="H44" s="1550"/>
    </row>
    <row r="45" ht="17" customHeight="1">
      <c r="A45" s="12"/>
      <c r="B45" t="s" s="1528">
        <v>1139</v>
      </c>
      <c r="C45" s="1529">
        <v>66110050</v>
      </c>
      <c r="D45" s="1530">
        <v>90746000</v>
      </c>
      <c r="E45" t="s" s="1531">
        <v>1097</v>
      </c>
      <c r="F45" t="s" s="1548">
        <v>1140</v>
      </c>
      <c r="G45" s="1549">
        <v>100000000</v>
      </c>
      <c r="H45" s="1550"/>
    </row>
    <row r="46" ht="17" customHeight="1">
      <c r="A46" s="12"/>
      <c r="B46" t="s" s="1528">
        <v>1141</v>
      </c>
      <c r="C46" s="1529">
        <v>66110070</v>
      </c>
      <c r="D46" s="1530">
        <v>169799869</v>
      </c>
      <c r="E46" t="s" s="1531">
        <v>1085</v>
      </c>
      <c r="F46" t="s" s="1548">
        <v>1222</v>
      </c>
      <c r="G46" s="1549" cm="1">
        <f t="array" ref="G46">D46*12/10</f>
        <v>203759842.8</v>
      </c>
      <c r="H46" s="1550"/>
    </row>
    <row r="47" ht="17" customHeight="1">
      <c r="A47" s="12"/>
      <c r="B47" t="s" s="1528">
        <v>1145</v>
      </c>
      <c r="C47" s="1529">
        <v>66110080</v>
      </c>
      <c r="D47" s="1530">
        <v>2071000</v>
      </c>
      <c r="E47" t="s" s="1531">
        <v>1085</v>
      </c>
      <c r="F47" t="s" s="1548">
        <v>1146</v>
      </c>
      <c r="G47" s="1549" cm="1">
        <f t="array" ref="G47">D47*12/10</f>
        <v>2485200</v>
      </c>
      <c r="H47" s="1550"/>
    </row>
    <row r="48" ht="17" customHeight="1">
      <c r="A48" s="12"/>
      <c r="B48" t="s" s="1528">
        <v>1147</v>
      </c>
      <c r="C48" s="1529">
        <v>66110090</v>
      </c>
      <c r="D48" s="1530">
        <v>238210540.4</v>
      </c>
      <c r="E48" t="s" s="1531">
        <v>1085</v>
      </c>
      <c r="F48" t="s" s="1548">
        <v>1148</v>
      </c>
      <c r="G48" s="1549">
        <v>230000000</v>
      </c>
      <c r="H48" s="1550"/>
    </row>
    <row r="49" ht="17" customHeight="1">
      <c r="A49" s="12"/>
      <c r="B49" s="1535"/>
      <c r="C49" s="1536"/>
      <c r="D49" s="1530"/>
      <c r="E49" t="s" s="1531">
        <v>1097</v>
      </c>
      <c r="F49" t="s" s="1548">
        <v>1223</v>
      </c>
      <c r="G49" s="1549">
        <v>50000000</v>
      </c>
      <c r="H49" s="1550"/>
    </row>
    <row r="50" ht="17" customHeight="1">
      <c r="A50" s="12"/>
      <c r="B50" t="s" s="1528">
        <v>1150</v>
      </c>
      <c r="C50" s="1529">
        <v>66110100</v>
      </c>
      <c r="D50" s="1530">
        <v>286705643.8</v>
      </c>
      <c r="E50" t="s" s="1531">
        <v>1085</v>
      </c>
      <c r="F50" t="s" s="1548">
        <v>1150</v>
      </c>
      <c r="G50" s="1549" cm="1">
        <f t="array" ref="G50">D50*12/10*120%</f>
        <v>412856127.072</v>
      </c>
      <c r="H50" s="1550"/>
    </row>
    <row r="51" ht="17" customHeight="1">
      <c r="A51" s="12"/>
      <c r="B51" t="s" s="1528">
        <v>1151</v>
      </c>
      <c r="C51" s="1529">
        <v>66110110</v>
      </c>
      <c r="D51" s="1530">
        <v>102600732</v>
      </c>
      <c r="E51" t="s" s="1531">
        <v>1085</v>
      </c>
      <c r="F51" t="s" s="1548">
        <v>1152</v>
      </c>
      <c r="G51" s="1549">
        <v>80000000</v>
      </c>
      <c r="H51" s="1550"/>
    </row>
    <row r="52" ht="17" customHeight="1">
      <c r="A52" s="12"/>
      <c r="B52" t="s" s="1528">
        <v>1153</v>
      </c>
      <c r="C52" s="1529">
        <v>66110120</v>
      </c>
      <c r="D52" s="1530">
        <v>80800000</v>
      </c>
      <c r="E52" t="s" s="1531">
        <v>1097</v>
      </c>
      <c r="F52" t="s" s="1548">
        <v>1154</v>
      </c>
      <c r="G52" s="1549">
        <v>80000000</v>
      </c>
      <c r="H52" s="1550"/>
    </row>
    <row r="53" ht="17" customHeight="1">
      <c r="A53" s="12"/>
      <c r="B53" t="s" s="1528">
        <v>1155</v>
      </c>
      <c r="C53" s="1529">
        <v>66110130</v>
      </c>
      <c r="D53" s="1530">
        <v>15464500</v>
      </c>
      <c r="E53" t="s" s="1531">
        <v>1097</v>
      </c>
      <c r="F53" t="s" s="1552">
        <v>1224</v>
      </c>
      <c r="G53" s="1549">
        <v>0</v>
      </c>
      <c r="H53" s="1550"/>
    </row>
    <row r="54" ht="17" customHeight="1">
      <c r="A54" s="12"/>
      <c r="B54" t="s" s="1528">
        <v>1157</v>
      </c>
      <c r="C54" s="1529">
        <v>66110131</v>
      </c>
      <c r="D54" s="1530">
        <v>133535734</v>
      </c>
      <c r="E54" t="s" s="1531">
        <v>1097</v>
      </c>
      <c r="F54" t="s" s="1548">
        <v>1158</v>
      </c>
      <c r="G54" s="1549">
        <v>110000000</v>
      </c>
      <c r="H54" s="1550"/>
    </row>
    <row r="55" ht="17" customHeight="1">
      <c r="A55" s="12"/>
      <c r="B55" t="s" s="1528">
        <v>1159</v>
      </c>
      <c r="C55" s="1529">
        <v>66110132</v>
      </c>
      <c r="D55" s="1530">
        <v>17611761</v>
      </c>
      <c r="E55" t="s" s="1531">
        <v>1085</v>
      </c>
      <c r="F55" t="s" s="1548">
        <v>1160</v>
      </c>
      <c r="G55" s="1549" cm="1">
        <f t="array" ref="G55">D55*12/10</f>
        <v>21134113.2</v>
      </c>
      <c r="H55" s="1550"/>
    </row>
    <row r="56" ht="17" customHeight="1">
      <c r="A56" s="12"/>
      <c r="B56" t="s" s="1528">
        <v>1161</v>
      </c>
      <c r="C56" s="1529">
        <v>66110133</v>
      </c>
      <c r="D56" s="1530">
        <v>3199723288</v>
      </c>
      <c r="E56" t="s" s="1531">
        <v>1085</v>
      </c>
      <c r="F56" t="s" s="1548">
        <v>1161</v>
      </c>
      <c r="G56" s="1549" cm="1">
        <f t="array" ref="G56">'Payroll 2025'!X45</f>
        <v>6108150000</v>
      </c>
      <c r="H56" s="1550"/>
    </row>
    <row r="57" ht="17" customHeight="1">
      <c r="A57" s="12"/>
      <c r="B57" t="s" s="1528">
        <v>1162</v>
      </c>
      <c r="C57" s="1529">
        <v>66110134</v>
      </c>
      <c r="D57" s="1530">
        <v>2244742609</v>
      </c>
      <c r="E57" t="s" s="1553">
        <v>1168</v>
      </c>
      <c r="F57" s="1554"/>
      <c r="G57" s="1549">
        <v>0</v>
      </c>
      <c r="H57" s="1550"/>
    </row>
    <row r="58" ht="17" customHeight="1">
      <c r="A58" s="12"/>
      <c r="B58" t="s" s="1528">
        <v>1167</v>
      </c>
      <c r="C58" s="1529">
        <v>66110136</v>
      </c>
      <c r="D58" s="1530">
        <v>449909105</v>
      </c>
      <c r="E58" t="s" s="1553">
        <v>1168</v>
      </c>
      <c r="F58" s="1554"/>
      <c r="G58" s="1549">
        <v>0</v>
      </c>
      <c r="H58" s="1550"/>
    </row>
    <row r="59" ht="17" customHeight="1">
      <c r="A59" s="12"/>
      <c r="B59" t="s" s="1528">
        <v>1172</v>
      </c>
      <c r="C59" s="1529">
        <v>66110140</v>
      </c>
      <c r="D59" s="1530">
        <v>22400000</v>
      </c>
      <c r="E59" t="s" s="1531">
        <v>1097</v>
      </c>
      <c r="F59" t="s" s="1548">
        <v>1173</v>
      </c>
      <c r="G59" s="1549">
        <v>0</v>
      </c>
      <c r="H59" s="1550"/>
    </row>
    <row r="60" ht="17" customHeight="1">
      <c r="A60" s="12"/>
      <c r="B60" t="s" s="1528">
        <v>1179</v>
      </c>
      <c r="C60" s="1529">
        <v>69000000</v>
      </c>
      <c r="D60" s="1530">
        <v>1.92</v>
      </c>
      <c r="E60" s="1532"/>
      <c r="F60" s="1554"/>
      <c r="G60" s="1549">
        <v>0</v>
      </c>
      <c r="H60" s="1550"/>
    </row>
    <row r="61" ht="17" customHeight="1">
      <c r="A61" s="12"/>
      <c r="B61" t="s" s="1528">
        <v>1225</v>
      </c>
      <c r="C61" s="1529">
        <v>69000001</v>
      </c>
      <c r="D61" s="1530">
        <v>2759551</v>
      </c>
      <c r="E61" t="s" s="1531">
        <v>1097</v>
      </c>
      <c r="F61" t="s" s="1548">
        <v>1226</v>
      </c>
      <c r="G61" s="1549">
        <v>0</v>
      </c>
      <c r="H61" s="1550"/>
    </row>
    <row r="62" ht="17" customHeight="1">
      <c r="A62" s="12"/>
      <c r="B62" t="s" s="1528">
        <v>1182</v>
      </c>
      <c r="C62" s="1529">
        <v>91100010</v>
      </c>
      <c r="D62" s="1530">
        <v>23718</v>
      </c>
      <c r="E62" t="s" s="1531">
        <v>1097</v>
      </c>
      <c r="F62" t="s" s="1548">
        <v>1183</v>
      </c>
      <c r="G62" s="1549">
        <v>0</v>
      </c>
      <c r="H62" s="1550"/>
    </row>
    <row r="63" ht="17" customHeight="1">
      <c r="A63" s="12"/>
      <c r="B63" t="s" s="1528">
        <v>1184</v>
      </c>
      <c r="C63" s="1529">
        <v>91100030</v>
      </c>
      <c r="D63" s="1530">
        <v>377454007.8</v>
      </c>
      <c r="E63" t="s" s="1531">
        <v>1097</v>
      </c>
      <c r="F63" t="s" s="1548">
        <v>1184</v>
      </c>
      <c r="G63" s="1549">
        <v>0</v>
      </c>
      <c r="H63" s="1550"/>
    </row>
    <row r="64" ht="17" customHeight="1">
      <c r="A64" s="12"/>
      <c r="B64" t="s" s="1528">
        <v>1185</v>
      </c>
      <c r="C64" s="1529">
        <v>99900001</v>
      </c>
      <c r="D64" s="1530">
        <v>2325850</v>
      </c>
      <c r="E64" t="s" s="1531">
        <v>1085</v>
      </c>
      <c r="F64" t="s" s="1548">
        <v>1185</v>
      </c>
      <c r="G64" s="1549" cm="1">
        <f t="array" ref="G64">D64*12/10</f>
        <v>2791020</v>
      </c>
      <c r="H64" s="1550"/>
    </row>
    <row r="65" ht="17" customHeight="1">
      <c r="A65" s="12"/>
      <c r="B65" t="s" s="1528">
        <v>1186</v>
      </c>
      <c r="C65" s="1529">
        <v>99900010</v>
      </c>
      <c r="D65" s="1530">
        <v>18442779</v>
      </c>
      <c r="E65" t="s" s="1531">
        <v>1085</v>
      </c>
      <c r="F65" t="s" s="1548">
        <v>1186</v>
      </c>
      <c r="G65" s="1549" cm="1">
        <f t="array" ref="G65">D65*12/10*120%</f>
        <v>26557601.76</v>
      </c>
      <c r="H65" s="1550"/>
    </row>
    <row r="66" ht="17" customHeight="1">
      <c r="A66" s="12"/>
      <c r="B66" t="s" s="1528">
        <v>1187</v>
      </c>
      <c r="C66" s="1529">
        <v>99900011</v>
      </c>
      <c r="D66" s="1530">
        <v>14507239</v>
      </c>
      <c r="E66" t="s" s="1531">
        <v>1085</v>
      </c>
      <c r="F66" t="s" s="1548">
        <v>1187</v>
      </c>
      <c r="G66" s="1549" cm="1">
        <f t="array" ref="G66">D66*12/10*120%</f>
        <v>20890424.16</v>
      </c>
      <c r="H66" s="1550"/>
    </row>
    <row r="67" ht="17" customHeight="1">
      <c r="A67" s="12"/>
      <c r="B67" t="s" s="1528">
        <v>1188</v>
      </c>
      <c r="C67" s="1529">
        <v>99900020</v>
      </c>
      <c r="D67" s="1530">
        <v>35661479</v>
      </c>
      <c r="E67" t="s" s="1531">
        <v>1085</v>
      </c>
      <c r="F67" t="s" s="1548">
        <v>1188</v>
      </c>
      <c r="G67" s="1549" cm="1">
        <f t="array" ref="G67">D67*12/10*120%</f>
        <v>51352529.76</v>
      </c>
      <c r="H67" s="1550"/>
    </row>
    <row r="68" ht="17" customHeight="1">
      <c r="A68" s="12"/>
      <c r="B68" t="s" s="1528">
        <v>1189</v>
      </c>
      <c r="C68" s="1529">
        <v>99900030</v>
      </c>
      <c r="D68" s="1530">
        <v>13382080</v>
      </c>
      <c r="E68" t="s" s="1531">
        <v>1085</v>
      </c>
      <c r="F68" t="s" s="1548">
        <v>1189</v>
      </c>
      <c r="G68" s="1549" cm="1">
        <f t="array" ref="G68">D68*12/10*120%</f>
        <v>19270195.2</v>
      </c>
      <c r="H68" s="1550"/>
    </row>
    <row r="69" ht="17" customHeight="1">
      <c r="A69" s="12"/>
      <c r="B69" t="s" s="1528">
        <v>1190</v>
      </c>
      <c r="C69" s="1529">
        <v>99900031</v>
      </c>
      <c r="D69" s="1530">
        <v>65504</v>
      </c>
      <c r="E69" t="s" s="1531">
        <v>1085</v>
      </c>
      <c r="F69" t="s" s="1548">
        <v>1190</v>
      </c>
      <c r="G69" s="1549" cm="1">
        <f t="array" ref="G69">D69*12/10*120%</f>
        <v>94325.759999999995</v>
      </c>
      <c r="H69" s="1550"/>
    </row>
    <row r="70" ht="17" customHeight="1">
      <c r="A70" s="12"/>
      <c r="B70" t="s" s="1528">
        <v>1194</v>
      </c>
      <c r="C70" s="1529">
        <v>99900050</v>
      </c>
      <c r="D70" s="1530">
        <v>322643</v>
      </c>
      <c r="E70" t="s" s="1531">
        <v>1085</v>
      </c>
      <c r="F70" t="s" s="1548">
        <v>1194</v>
      </c>
      <c r="G70" s="1549" cm="1">
        <f t="array" ref="G70">D70*12/10*120%</f>
        <v>464605.92</v>
      </c>
      <c r="H70" s="1550"/>
    </row>
    <row r="71" ht="17" customHeight="1">
      <c r="A71" s="12"/>
      <c r="B71" t="s" s="1528">
        <v>1199</v>
      </c>
      <c r="C71" s="1536"/>
      <c r="D71" s="1530" cm="1">
        <f t="array" ref="D71">SUM(D19:D70)</f>
        <v>10363809801.95</v>
      </c>
      <c r="E71" s="1532"/>
      <c r="F71" s="1554"/>
      <c r="G71" s="1549"/>
      <c r="H71" s="1550"/>
    </row>
    <row r="72" ht="17" customHeight="1">
      <c r="A72" s="12"/>
      <c r="B72" t="s" s="1528">
        <v>682</v>
      </c>
      <c r="C72" s="1536"/>
      <c r="D72" s="1530" cm="1">
        <f t="array" ref="D72">SUM(D73:D75)</f>
        <v>225233037.66</v>
      </c>
      <c r="E72" s="1532"/>
      <c r="F72" s="1554"/>
      <c r="G72" s="1549"/>
      <c r="H72" s="1550"/>
    </row>
    <row r="73" ht="17" customHeight="1">
      <c r="A73" s="12"/>
      <c r="B73" t="s" s="1528">
        <v>1203</v>
      </c>
      <c r="C73" s="1529">
        <v>67100010</v>
      </c>
      <c r="D73" s="1530">
        <v>13727545.97</v>
      </c>
      <c r="E73" t="s" s="1531">
        <v>1085</v>
      </c>
      <c r="F73" t="s" s="1548">
        <v>1227</v>
      </c>
      <c r="G73" s="1549" cm="1">
        <f t="array" ref="G73">D73*12/10*120%</f>
        <v>19767666.1968</v>
      </c>
      <c r="H73" s="1550"/>
    </row>
    <row r="74" ht="17" customHeight="1">
      <c r="A74" s="12"/>
      <c r="B74" t="s" s="1528">
        <v>1206</v>
      </c>
      <c r="C74" s="1529">
        <v>67100020</v>
      </c>
      <c r="D74" s="1530">
        <v>93050354.19</v>
      </c>
      <c r="E74" s="1532"/>
      <c r="F74" t="s" s="1548">
        <v>1206</v>
      </c>
      <c r="G74" s="1549" cm="1">
        <f t="array" ref="G74">D74*12/10*120%</f>
        <v>133992510.0336</v>
      </c>
      <c r="H74" s="1550"/>
    </row>
    <row r="75" ht="17" customHeight="1">
      <c r="A75" s="12"/>
      <c r="B75" t="s" s="1528">
        <v>1208</v>
      </c>
      <c r="C75" s="1529">
        <v>67100030</v>
      </c>
      <c r="D75" s="1530">
        <v>118455137.5</v>
      </c>
      <c r="E75" t="s" s="1531">
        <v>1085</v>
      </c>
      <c r="F75" t="s" s="1548">
        <v>1210</v>
      </c>
      <c r="G75" s="1549" cm="1">
        <f t="array" ref="G75">D75*12/10*120%</f>
        <v>170575398</v>
      </c>
      <c r="H75" s="1550"/>
    </row>
    <row r="76" ht="17" customHeight="1">
      <c r="A76" s="12"/>
      <c r="B76" s="1535"/>
      <c r="C76" s="1536"/>
      <c r="D76" s="1530"/>
      <c r="E76" s="1532"/>
      <c r="F76" s="1554"/>
      <c r="G76" s="1549"/>
      <c r="H76" s="1550"/>
    </row>
    <row r="77" ht="17" customHeight="1">
      <c r="A77" s="12"/>
      <c r="B77" s="1535"/>
      <c r="C77" s="1536"/>
      <c r="D77" s="1530"/>
      <c r="E77" s="1532"/>
      <c r="F77" t="s" s="1552">
        <v>1228</v>
      </c>
      <c r="G77" s="1549">
        <v>2300000000</v>
      </c>
      <c r="H77" s="1550"/>
    </row>
    <row r="78" ht="16.5" customHeight="1">
      <c r="A78" s="12"/>
      <c r="B78" t="s" s="1555">
        <v>1212</v>
      </c>
      <c r="C78" s="1556"/>
      <c r="D78" s="1557" cm="1">
        <f t="array" ref="D78">SUM(D73:D75)</f>
        <v>225233037.66</v>
      </c>
      <c r="E78" s="1558"/>
      <c r="F78" s="1558"/>
      <c r="G78" s="1559"/>
      <c r="H78" s="1560"/>
    </row>
    <row r="79" ht="18" customHeight="1">
      <c r="A79" s="570"/>
      <c r="B79" t="s" s="1561">
        <v>1199</v>
      </c>
      <c r="C79" s="1562"/>
      <c r="D79" s="1563" cm="1">
        <f t="array" ref="D79">D71+D78</f>
        <v>10589042839.61</v>
      </c>
      <c r="E79" s="1564"/>
      <c r="F79" t="s" s="1565">
        <v>1199</v>
      </c>
      <c r="G79" s="1566" cm="1">
        <f t="array" ref="G79">SUM(G19:G78)</f>
        <v>11899359630.6184</v>
      </c>
      <c r="H79" s="1567"/>
    </row>
  </sheetData>
  <mergeCells count="5">
    <mergeCell ref="C9:D9"/>
    <mergeCell ref="E9:G9"/>
    <mergeCell ref="C10:D10"/>
    <mergeCell ref="E10:G10"/>
    <mergeCell ref="B2:D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24.xml><?xml version="1.0" encoding="utf-8"?>
<worksheet xmlns:r="http://schemas.openxmlformats.org/officeDocument/2006/relationships" xmlns="http://schemas.openxmlformats.org/spreadsheetml/2006/main">
  <dimension ref="A1:G63"/>
  <sheetViews>
    <sheetView workbookViewId="0" showGridLines="0" defaultGridColor="1"/>
  </sheetViews>
  <sheetFormatPr defaultColWidth="8.83333" defaultRowHeight="14.5" customHeight="1" outlineLevelRow="0" outlineLevelCol="0"/>
  <cols>
    <col min="1" max="1" width="3.67188" style="1568" customWidth="1"/>
    <col min="2" max="2" width="37.1719" style="1568" customWidth="1"/>
    <col min="3" max="3" width="20" style="1568" customWidth="1"/>
    <col min="4" max="4" width="14.8516" style="1568" customWidth="1"/>
    <col min="5" max="5" width="16.3516" style="1568" customWidth="1"/>
    <col min="6" max="6" width="20.3516" style="1568" customWidth="1"/>
    <col min="7" max="7" width="8.85156" style="1568" customWidth="1"/>
    <col min="8" max="16384" width="8.85156" style="1568" customWidth="1"/>
  </cols>
  <sheetData>
    <row r="1" ht="15" customHeight="1">
      <c r="A1" s="7"/>
      <c r="B1" s="8"/>
      <c r="C1" s="8"/>
      <c r="D1" s="8"/>
      <c r="E1" s="9"/>
      <c r="F1" s="9"/>
      <c r="G1" s="11"/>
    </row>
    <row r="2" ht="15.5" customHeight="1">
      <c r="A2" s="12"/>
      <c r="B2" t="s" s="1569">
        <v>1067</v>
      </c>
      <c r="C2" s="1570"/>
      <c r="D2" s="1571"/>
      <c r="E2" s="16"/>
      <c r="F2" s="17"/>
      <c r="G2" s="18"/>
    </row>
    <row r="3" ht="15" customHeight="1">
      <c r="A3" s="12"/>
      <c r="B3" t="s" s="1572">
        <v>1068</v>
      </c>
      <c r="C3" t="s" s="1573">
        <v>1230</v>
      </c>
      <c r="D3" t="s" s="1574">
        <v>1070</v>
      </c>
      <c r="E3" s="16"/>
      <c r="F3" s="17"/>
      <c r="G3" s="18"/>
    </row>
    <row r="4" ht="16" customHeight="1">
      <c r="A4" s="12"/>
      <c r="B4" t="s" s="1575">
        <v>1231</v>
      </c>
      <c r="C4" s="1576" cm="1">
        <f t="array" ref="C4">F63</f>
        <v>8149423673.164</v>
      </c>
      <c r="D4" s="1577">
        <v>1</v>
      </c>
      <c r="E4" s="16"/>
      <c r="F4" s="17"/>
      <c r="G4" s="18"/>
    </row>
    <row r="5" ht="16" customHeight="1">
      <c r="A5" s="12"/>
      <c r="B5" t="s" s="1578">
        <v>1072</v>
      </c>
      <c r="C5" s="1579"/>
      <c r="D5" s="1580"/>
      <c r="E5" s="16"/>
      <c r="F5" s="17"/>
      <c r="G5" s="18"/>
    </row>
    <row r="6" ht="15" customHeight="1">
      <c r="A6" s="12"/>
      <c r="B6" t="s" s="1581">
        <v>1073</v>
      </c>
      <c r="C6" s="1582" cm="1">
        <f t="array" ref="C6">$C$4*D6</f>
        <v>2268857401.83556</v>
      </c>
      <c r="D6" s="1583" cm="1">
        <f t="array" ref="D6">'OLD Actual Sales Jan-Mar 2024'!$C$27/SUM('OLD Actual Sales Jan-Mar 2024'!$C$16,'OLD Actual Sales Jan-Mar 2024'!$C$27)</f>
        <v>0.278407098812017</v>
      </c>
      <c r="E6" s="16"/>
      <c r="F6" s="17"/>
      <c r="G6" s="18"/>
    </row>
    <row r="7" ht="15.5" customHeight="1">
      <c r="A7" s="12"/>
      <c r="B7" t="s" s="1584">
        <v>1074</v>
      </c>
      <c r="C7" s="1585" cm="1">
        <f t="array" ref="C7">$C$4*D7</f>
        <v>5880566271.32844</v>
      </c>
      <c r="D7" s="1586" cm="1">
        <f t="array" ref="D7">'OLD Actual Sales Jan-Mar 2024'!$C$16/SUM('OLD Actual Sales Jan-Mar 2024'!$C$16,'OLD Actual Sales Jan-Mar 2024'!$C$27)</f>
        <v>0.721592901187983</v>
      </c>
      <c r="E7" s="16"/>
      <c r="F7" s="17"/>
      <c r="G7" s="18"/>
    </row>
    <row r="8" ht="15.5" customHeight="1">
      <c r="A8" s="32"/>
      <c r="B8" s="125"/>
      <c r="C8" s="125"/>
      <c r="D8" s="125"/>
      <c r="E8" s="1587"/>
      <c r="F8" s="1587"/>
      <c r="G8" s="18"/>
    </row>
    <row r="9" ht="15" customHeight="1">
      <c r="A9" s="362"/>
      <c r="B9" t="s" s="1588">
        <v>1067</v>
      </c>
      <c r="C9" s="1589"/>
      <c r="D9" s="1589"/>
      <c r="E9" s="1589"/>
      <c r="F9" s="1590"/>
      <c r="G9" s="929"/>
    </row>
    <row r="10" ht="8" customHeight="1">
      <c r="A10" s="362"/>
      <c r="B10" s="1591"/>
      <c r="C10" s="1592"/>
      <c r="D10" s="1592"/>
      <c r="E10" s="1592"/>
      <c r="F10" s="1593"/>
      <c r="G10" s="929"/>
    </row>
    <row r="11" ht="15" customHeight="1">
      <c r="A11" s="362"/>
      <c r="B11" t="s" s="1594">
        <v>1068</v>
      </c>
      <c r="C11" t="s" s="1573">
        <v>1232</v>
      </c>
      <c r="D11" t="s" s="1573">
        <v>1233</v>
      </c>
      <c r="E11" t="s" s="1573">
        <v>1234</v>
      </c>
      <c r="F11" t="s" s="1595">
        <v>1235</v>
      </c>
      <c r="G11" s="929"/>
    </row>
    <row r="12" ht="16" customHeight="1">
      <c r="A12" s="362"/>
      <c r="B12" t="str" s="1596" cm="1">
        <f t="array" ref="B12">'PnL 2023'!A67</f>
        <v>Advertising</v>
      </c>
      <c r="C12" s="1576" cm="1">
        <f t="array" ref="C12">'PnL 2023'!Z67</f>
        <v>697921458</v>
      </c>
      <c r="D12" t="s" s="1597">
        <v>1237</v>
      </c>
      <c r="E12" s="1598">
        <v>0.15</v>
      </c>
      <c r="F12" s="1599" cm="1">
        <f t="array" ref="F12">_xlfn.IFERROR((C12*(1+E12)),0)</f>
        <v>802609676.7</v>
      </c>
      <c r="G12" s="929"/>
    </row>
    <row r="13" ht="16" customHeight="1">
      <c r="A13" s="362"/>
      <c r="B13" t="str" s="1600" cm="1">
        <f t="array" ref="B13">'PnL 2023'!A68</f>
        <v>2c2p fee</v>
      </c>
      <c r="C13" s="1579" cm="1">
        <f t="array" ref="C13">'PnL 2023'!Z68</f>
        <v>986026</v>
      </c>
      <c r="D13" t="s" s="1601">
        <v>1237</v>
      </c>
      <c r="E13" s="1602">
        <v>0</v>
      </c>
      <c r="F13" s="1599" cm="1">
        <f t="array" ref="F13">_xlfn.IFERROR((C13*(1+E13)),0)</f>
        <v>986026</v>
      </c>
      <c r="G13" s="929"/>
    </row>
    <row r="14" ht="16" customHeight="1">
      <c r="A14" s="362"/>
      <c r="B14" t="str" s="1600" cm="1">
        <f t="array" ref="B14">'PnL 2023'!A69</f>
        <v>Bank Fees</v>
      </c>
      <c r="C14" s="1579" cm="1">
        <f t="array" ref="C14">'PnL 2023'!Z69</f>
        <v>6402966.85</v>
      </c>
      <c r="D14" t="s" s="1601">
        <v>1237</v>
      </c>
      <c r="E14" s="1602">
        <v>0.1</v>
      </c>
      <c r="F14" s="1599" cm="1">
        <f t="array" ref="F14">_xlfn.IFERROR((C14*(1+E14)),0)</f>
        <v>7043263.535</v>
      </c>
      <c r="G14" s="929"/>
    </row>
    <row r="15" ht="16" customHeight="1">
      <c r="A15" s="362"/>
      <c r="B15" t="str" s="1600" cm="1">
        <f t="array" ref="B15">'PnL 2023'!A70</f>
        <v>Bonus</v>
      </c>
      <c r="C15" s="1579" cm="1">
        <f t="array" ref="C15">'PnL 2023'!Z70</f>
        <v>511850000</v>
      </c>
      <c r="D15" t="s" s="1601">
        <v>1237</v>
      </c>
      <c r="E15" s="1602">
        <v>1.2</v>
      </c>
      <c r="F15" s="1599" cm="1">
        <f t="array" ref="F15">_xlfn.IFERROR((C15*(1+E15)),0)</f>
        <v>1126070000</v>
      </c>
      <c r="G15" s="929"/>
    </row>
    <row r="16" ht="16" customHeight="1">
      <c r="A16" s="362"/>
      <c r="B16" t="str" s="1600" cm="1">
        <f t="array" ref="B16">'PnL 2023'!A71</f>
        <v>Boat Tour and Supplies</v>
      </c>
      <c r="C16" s="1579" cm="1">
        <f t="array" ref="C16">'PnL 2023'!Z71</f>
        <v>3818920</v>
      </c>
      <c r="D16" t="s" s="1601">
        <v>1237</v>
      </c>
      <c r="E16" s="1602">
        <v>0.1</v>
      </c>
      <c r="F16" s="1599" cm="1">
        <f t="array" ref="F16">_xlfn.IFERROR((C16*(1+E16)),0)</f>
        <v>4200812</v>
      </c>
      <c r="G16" s="929"/>
    </row>
    <row r="17" ht="16" customHeight="1">
      <c r="A17" s="362"/>
      <c r="B17" t="str" s="1600" cm="1">
        <f t="array" ref="B17">'PnL 2023'!A72</f>
        <v>Cashlez Fee</v>
      </c>
      <c r="C17" s="1579" cm="1">
        <f t="array" ref="C17">'PnL 2023'!Z72</f>
        <v>12196924.39</v>
      </c>
      <c r="D17" t="s" s="1601">
        <v>1237</v>
      </c>
      <c r="E17" s="1602">
        <v>0.1</v>
      </c>
      <c r="F17" s="1599" cm="1">
        <f t="array" ref="F17">_xlfn.IFERROR((C17*(1+E17)),0)</f>
        <v>13416616.829</v>
      </c>
      <c r="G17" s="929"/>
    </row>
    <row r="18" ht="16" customHeight="1">
      <c r="A18" s="362"/>
      <c r="B18" t="str" s="1600" cm="1">
        <f t="array" ref="B18">'PnL 2023'!A73</f>
        <v>Commision</v>
      </c>
      <c r="C18" s="1579" cm="1">
        <f t="array" ref="C18">'PnL 2023'!Z73</f>
        <v>1128578300</v>
      </c>
      <c r="D18" t="s" s="1601">
        <v>1237</v>
      </c>
      <c r="E18" s="1602">
        <v>0.1</v>
      </c>
      <c r="F18" s="1599">
        <v>0</v>
      </c>
      <c r="G18" t="s" s="1603">
        <v>1244</v>
      </c>
    </row>
    <row r="19" ht="16" customHeight="1">
      <c r="A19" s="362"/>
      <c r="B19" t="str" s="1600" cm="1">
        <f t="array" ref="B19">'PnL 2023'!A74</f>
        <v>Refund to Guest</v>
      </c>
      <c r="C19" s="1579" cm="1">
        <f t="array" ref="C19">'PnL 2023'!Z74</f>
        <v>173215070</v>
      </c>
      <c r="D19" t="s" s="1601">
        <v>1246</v>
      </c>
      <c r="E19" t="s" s="1601">
        <v>1247</v>
      </c>
      <c r="F19" s="1599" cm="1">
        <f t="array" ref="F19">_xlfn.IFERROR((C19*(1+E19)),0)</f>
        <v>0</v>
      </c>
      <c r="G19" s="929"/>
    </row>
    <row r="20" ht="16" customHeight="1">
      <c r="A20" s="362"/>
      <c r="B20" t="str" s="1600" cm="1">
        <f t="array" ref="B20">'PnL 2023'!A75</f>
        <v>Consulting &amp; Accounting</v>
      </c>
      <c r="C20" s="1579" cm="1">
        <f t="array" ref="C20">'PnL 2023'!Z75</f>
        <v>130820000</v>
      </c>
      <c r="D20" t="s" s="1601">
        <v>1237</v>
      </c>
      <c r="E20" s="1602">
        <v>0</v>
      </c>
      <c r="F20" s="1599" cm="1">
        <f t="array" ref="F20">_xlfn.IFERROR((C20*(1+E20)),0)</f>
        <v>130820000</v>
      </c>
      <c r="G20" s="929"/>
    </row>
    <row r="21" ht="16" customHeight="1">
      <c r="A21" s="362"/>
      <c r="B21" t="str" s="1600" cm="1">
        <f t="array" ref="B21">'PnL 2023'!A76</f>
        <v>Ceremony</v>
      </c>
      <c r="C21" s="1579" cm="1">
        <f t="array" ref="C21">'PnL 2023'!Z76</f>
        <v>2250000</v>
      </c>
      <c r="D21" t="s" s="1601">
        <v>1237</v>
      </c>
      <c r="E21" s="1602">
        <v>0</v>
      </c>
      <c r="F21" s="1599" cm="1">
        <f t="array" ref="F21">_xlfn.IFERROR((C21*(1+E21)),0)</f>
        <v>2250000</v>
      </c>
      <c r="G21" s="929"/>
    </row>
    <row r="22" ht="16" customHeight="1">
      <c r="A22" s="362"/>
      <c r="B22" t="str" s="1600" cm="1">
        <f t="array" ref="B22">'PnL 2023'!A77</f>
        <v>Diving &amp; Snorkling Gear</v>
      </c>
      <c r="C22" s="1579" cm="1">
        <f t="array" ref="C22">'PnL 2023'!Z77</f>
        <v>209386060</v>
      </c>
      <c r="D22" t="s" s="1601">
        <v>1237</v>
      </c>
      <c r="E22" s="1602">
        <v>0</v>
      </c>
      <c r="F22" s="1599" cm="1">
        <f t="array" ref="F22">_xlfn.IFERROR((C22*(1+E22)),0)</f>
        <v>209386060</v>
      </c>
      <c r="G22" s="929"/>
    </row>
    <row r="23" ht="16" customHeight="1">
      <c r="A23" s="362"/>
      <c r="B23" t="str" s="1600" cm="1">
        <f t="array" ref="B23">'PnL 2023'!A78</f>
        <v>Donation and Contribution ( CSR )</v>
      </c>
      <c r="C23" s="1579" cm="1">
        <f t="array" ref="C23">'PnL 2023'!Z78</f>
        <v>22680000</v>
      </c>
      <c r="D23" t="s" s="1601">
        <v>1237</v>
      </c>
      <c r="E23" s="1602">
        <v>0</v>
      </c>
      <c r="F23" s="1599" cm="1">
        <f t="array" ref="F23">_xlfn.IFERROR((C23*(1+E23)),0)</f>
        <v>22680000</v>
      </c>
      <c r="G23" s="929"/>
    </row>
    <row r="24" ht="16" customHeight="1">
      <c r="A24" s="362"/>
      <c r="B24" t="str" s="1600" cm="1">
        <f t="array" ref="B24">'PnL 2023'!A79</f>
        <v>Entertainment</v>
      </c>
      <c r="C24" s="1579" cm="1">
        <f t="array" ref="C24">'PnL 2023'!Z79</f>
        <v>101060176</v>
      </c>
      <c r="D24" t="s" s="1601">
        <v>1237</v>
      </c>
      <c r="E24" s="1602">
        <v>1.3</v>
      </c>
      <c r="F24" s="1599" cm="1">
        <f t="array" ref="F24">_xlfn.IFERROR((C24*(1+E24)),0)</f>
        <v>232438404.8</v>
      </c>
      <c r="G24" s="929"/>
    </row>
    <row r="25" ht="16" customHeight="1">
      <c r="A25" s="362"/>
      <c r="B25" t="str" s="1600" cm="1">
        <f t="array" ref="B25">'PnL 2023'!A80</f>
        <v>Ipay88 Fee</v>
      </c>
      <c r="C25" s="1579" cm="1">
        <f t="array" ref="C25">'PnL 2023'!Z80</f>
        <v>192700</v>
      </c>
      <c r="D25" t="s" s="1601">
        <v>1246</v>
      </c>
      <c r="E25" t="s" s="1601">
        <v>1247</v>
      </c>
      <c r="F25" s="1599" cm="1">
        <f t="array" ref="F25">_xlfn.IFERROR((C25*(1+E25)),0)</f>
        <v>0</v>
      </c>
      <c r="G25" s="929"/>
    </row>
    <row r="26" ht="16" customHeight="1">
      <c r="A26" s="362"/>
      <c r="B26" t="str" s="1600" cm="1">
        <f t="array" ref="B26">'PnL 2023'!A81</f>
        <v>Insurance</v>
      </c>
      <c r="C26" s="1579" cm="1">
        <f t="array" ref="C26">'PnL 2023'!Z81</f>
        <v>55020000</v>
      </c>
      <c r="D26" t="s" s="1601">
        <v>1237</v>
      </c>
      <c r="E26" s="1602">
        <v>0</v>
      </c>
      <c r="F26" s="1599" cm="1">
        <f t="array" ref="F26">_xlfn.IFERROR((C26*(1+E26)),0)</f>
        <v>55020000</v>
      </c>
      <c r="G26" s="929"/>
    </row>
    <row r="27" ht="16" customHeight="1">
      <c r="A27" s="362"/>
      <c r="B27" t="str" s="1600" cm="1">
        <f t="array" ref="B27">'PnL 2023'!A82</f>
        <v>Office Supplies</v>
      </c>
      <c r="C27" s="1579" cm="1">
        <f t="array" ref="C27">'PnL 2023'!Z82</f>
        <v>17392600</v>
      </c>
      <c r="D27" t="s" s="1601">
        <v>1237</v>
      </c>
      <c r="E27" s="1602">
        <v>0</v>
      </c>
      <c r="F27" s="1599" cm="1">
        <f t="array" ref="F27">_xlfn.IFERROR((C27*(1+E27)),0)</f>
        <v>17392600</v>
      </c>
      <c r="G27" s="929"/>
    </row>
    <row r="28" ht="16" customHeight="1">
      <c r="A28" s="362"/>
      <c r="B28" t="str" s="1600" cm="1">
        <f t="array" ref="B28">'PnL 2023'!A83</f>
        <v>Office Expenses</v>
      </c>
      <c r="C28" s="1579" cm="1">
        <f t="array" ref="C28">'PnL 2023'!Z83</f>
        <v>4706110</v>
      </c>
      <c r="D28" t="s" s="1601">
        <v>1237</v>
      </c>
      <c r="E28" s="1602">
        <v>0</v>
      </c>
      <c r="F28" s="1599" cm="1">
        <f t="array" ref="F28">_xlfn.IFERROR((C28*(1+E28)),0)</f>
        <v>4706110</v>
      </c>
      <c r="G28" s="929"/>
    </row>
    <row r="29" ht="16" customHeight="1">
      <c r="A29" s="362"/>
      <c r="B29" t="str" s="1600" cm="1">
        <f t="array" ref="B29">'PnL 2023'!A84</f>
        <v>Go Pro and Electronic Supplies</v>
      </c>
      <c r="C29" s="1579" cm="1">
        <f t="array" ref="C29">'PnL 2023'!Z84</f>
        <v>42638189</v>
      </c>
      <c r="D29" t="s" s="1601">
        <v>1246</v>
      </c>
      <c r="E29" t="s" s="1601">
        <v>1258</v>
      </c>
      <c r="F29" s="1599">
        <v>15000000</v>
      </c>
      <c r="G29" s="929"/>
    </row>
    <row r="30" ht="16" customHeight="1">
      <c r="A30" s="362"/>
      <c r="B30" t="str" s="1600" cm="1">
        <f t="array" ref="B30">'PnL 2023'!A85</f>
        <v>Legal expenses</v>
      </c>
      <c r="C30" s="1579" cm="1">
        <f t="array" ref="C30">'PnL 2023'!Z85</f>
        <v>274115736</v>
      </c>
      <c r="D30" t="s" s="1601">
        <v>1246</v>
      </c>
      <c r="E30" t="s" s="1601">
        <v>1258</v>
      </c>
      <c r="F30" s="1599">
        <v>120000000</v>
      </c>
      <c r="G30" s="929"/>
    </row>
    <row r="31" ht="16" customHeight="1">
      <c r="A31" s="362"/>
      <c r="B31" t="str" s="1600" cm="1">
        <f t="array" ref="B31">'PnL 2023'!A86</f>
        <v>Rent</v>
      </c>
      <c r="C31" s="1579" cm="1">
        <f t="array" ref="C31">'PnL 2023'!Z86</f>
        <v>9208332</v>
      </c>
      <c r="D31" t="s" s="1601">
        <v>1237</v>
      </c>
      <c r="E31" s="1602">
        <v>0</v>
      </c>
      <c r="F31" s="1599" cm="1">
        <f t="array" ref="F31">_xlfn.IFERROR((C31*(1+E31)),0)</f>
        <v>9208332</v>
      </c>
      <c r="G31" s="929"/>
    </row>
    <row r="32" ht="16" customHeight="1">
      <c r="A32" s="362"/>
      <c r="B32" t="str" s="1600" cm="1">
        <f t="array" ref="B32">'PnL 2023'!A87</f>
        <v>Seagrass Office Expenses</v>
      </c>
      <c r="C32" s="1579" cm="1">
        <f t="array" ref="C32">'PnL 2023'!Z87</f>
        <v>285476163</v>
      </c>
      <c r="D32" t="s" s="1601">
        <v>1237</v>
      </c>
      <c r="E32" s="1602">
        <v>0</v>
      </c>
      <c r="F32" s="1599" cm="1">
        <f t="array" ref="F32">_xlfn.IFERROR((C32*(1+E32)),0)</f>
        <v>285476163</v>
      </c>
      <c r="G32" s="929"/>
    </row>
    <row r="33" ht="16" customHeight="1">
      <c r="A33" s="362"/>
      <c r="B33" t="str" s="1600" cm="1">
        <f t="array" ref="B33">'PnL 2023'!A88</f>
        <v>Pontoon Expenses</v>
      </c>
      <c r="C33" s="1579" cm="1">
        <f t="array" ref="C33">'PnL 2023'!Z88</f>
        <v>61367400</v>
      </c>
      <c r="D33" t="s" s="1601">
        <v>1237</v>
      </c>
      <c r="E33" s="1602">
        <v>0</v>
      </c>
      <c r="F33" s="1599" cm="1">
        <f t="array" ref="F33">_xlfn.IFERROR((C33*(1+E33)),0)</f>
        <v>61367400</v>
      </c>
      <c r="G33" s="929"/>
    </row>
    <row r="34" ht="16" customHeight="1">
      <c r="A34" s="362"/>
      <c r="B34" t="str" s="1600" cm="1">
        <f t="array" ref="B34">'PnL 2023'!A89</f>
        <v>Jetski Expenses</v>
      </c>
      <c r="C34" s="1579" cm="1">
        <f t="array" ref="C34">'PnL 2023'!Z89</f>
        <v>504336231</v>
      </c>
      <c r="D34" t="s" s="1601">
        <v>1246</v>
      </c>
      <c r="E34" t="s" s="1601">
        <v>1247</v>
      </c>
      <c r="F34" s="1599" cm="1">
        <f t="array" ref="F34">_xlfn.IFERROR((C34*(1+E34)),0)</f>
        <v>0</v>
      </c>
      <c r="G34" s="929"/>
    </row>
    <row r="35" ht="16" customHeight="1">
      <c r="A35" s="362"/>
      <c r="B35" t="str" s="1600" cm="1">
        <f t="array" ref="B35">'PnL 2023'!A90</f>
        <v>Accounting office expenses</v>
      </c>
      <c r="C35" s="1579" cm="1">
        <f t="array" ref="C35">'PnL 2023'!Z90</f>
        <v>109308000</v>
      </c>
      <c r="D35" t="s" s="1601">
        <v>1237</v>
      </c>
      <c r="E35" s="1602">
        <v>0.5</v>
      </c>
      <c r="F35" s="1599" cm="1">
        <f t="array" ref="F35">_xlfn.IFERROR((C35*(1+E35)),0)</f>
        <v>163962000</v>
      </c>
      <c r="G35" s="929"/>
    </row>
    <row r="36" ht="16" customHeight="1">
      <c r="A36" s="362"/>
      <c r="B36" t="str" s="1600" cm="1">
        <f t="array" ref="B36">'PnL 2023'!A91</f>
        <v>Sekoci 8 Metre</v>
      </c>
      <c r="C36" s="1579" cm="1">
        <f t="array" ref="C36">'PnL 2023'!Z91</f>
        <v>45000000</v>
      </c>
      <c r="D36" t="s" s="1601">
        <v>1246</v>
      </c>
      <c r="E36" t="s" s="1601">
        <v>1265</v>
      </c>
      <c r="F36" s="1599" cm="1">
        <f t="array" ref="F36">_xlfn.IFERROR((C36*(1+E36)),0)</f>
        <v>0</v>
      </c>
      <c r="G36" s="929"/>
    </row>
    <row r="37" ht="16" customHeight="1">
      <c r="A37" s="362"/>
      <c r="B37" t="str" s="1600" cm="1">
        <f t="array" ref="B37">'PnL 2023'!A92</f>
        <v>Medical Expenses</v>
      </c>
      <c r="C37" s="1579" cm="1">
        <f t="array" ref="C37">'PnL 2023'!Z92</f>
        <v>600400</v>
      </c>
      <c r="D37" t="s" s="1601">
        <v>1237</v>
      </c>
      <c r="E37" s="1602">
        <v>0</v>
      </c>
      <c r="F37" s="1599" cm="1">
        <f t="array" ref="F37">_xlfn.IFERROR((C37*(1+E37)),0)</f>
        <v>600400</v>
      </c>
      <c r="G37" s="929"/>
    </row>
    <row r="38" ht="16" customHeight="1">
      <c r="A38" s="362"/>
      <c r="B38" t="str" s="1600" cm="1">
        <f t="array" ref="B38">'PnL 2023'!A93</f>
        <v>Mooring Making - Construction Expenses</v>
      </c>
      <c r="C38" s="1579" cm="1">
        <f t="array" ref="C38">'PnL 2023'!Z93</f>
        <v>10050000</v>
      </c>
      <c r="D38" t="s" s="1601">
        <v>1246</v>
      </c>
      <c r="E38" t="s" s="1601">
        <v>1265</v>
      </c>
      <c r="F38" s="1599" cm="1">
        <f t="array" ref="F38">_xlfn.IFERROR((C38*(1+E38)),0)</f>
        <v>0</v>
      </c>
      <c r="G38" s="929"/>
    </row>
    <row r="39" ht="16" customHeight="1">
      <c r="A39" s="362"/>
      <c r="B39" t="str" s="1600" cm="1">
        <f t="array" ref="B39">'PnL 2023'!A94</f>
        <v>Shirkage , Spoilage and Loss</v>
      </c>
      <c r="C39" s="1579" cm="1">
        <f t="array" ref="C39">'PnL 2023'!Z94</f>
        <v>4000000</v>
      </c>
      <c r="D39" t="s" s="1601">
        <v>1237</v>
      </c>
      <c r="E39" s="1602">
        <v>0</v>
      </c>
      <c r="F39" s="1599" cm="1">
        <f t="array" ref="F39">_xlfn.IFERROR((C39*(1+E39)),0)</f>
        <v>4000000</v>
      </c>
      <c r="G39" s="929"/>
    </row>
    <row r="40" ht="16" customHeight="1">
      <c r="A40" s="362"/>
      <c r="B40" t="str" s="1600" cm="1">
        <f t="array" ref="B40">'PnL 2023'!A95</f>
        <v>Software Expenses</v>
      </c>
      <c r="C40" s="1579" cm="1">
        <f t="array" ref="C40">'PnL 2023'!Z95</f>
        <v>83189319</v>
      </c>
      <c r="D40" t="s" s="1601">
        <v>1237</v>
      </c>
      <c r="E40" s="1602">
        <v>2</v>
      </c>
      <c r="F40" s="1599" cm="1">
        <f t="array" ref="F40">_xlfn.IFERROR((C40*(1+E40)),0)</f>
        <v>249567957</v>
      </c>
      <c r="G40" s="929"/>
    </row>
    <row r="41" ht="16" customHeight="1">
      <c r="A41" s="362"/>
      <c r="B41" t="str" s="1600" cm="1">
        <f t="array" ref="B41">'PnL 2023'!A96</f>
        <v>Telephone &amp; Internet</v>
      </c>
      <c r="C41" s="1579" cm="1">
        <f t="array" ref="C41">'PnL 2023'!Z96</f>
        <v>5204175</v>
      </c>
      <c r="D41" t="s" s="1601">
        <v>1237</v>
      </c>
      <c r="E41" s="1602">
        <v>0</v>
      </c>
      <c r="F41" s="1599" cm="1">
        <f t="array" ref="F41">_xlfn.IFERROR((C41*(1+E41)),0)</f>
        <v>5204175</v>
      </c>
      <c r="G41" s="929"/>
    </row>
    <row r="42" ht="16" customHeight="1">
      <c r="A42" s="362"/>
      <c r="B42" t="str" s="1600" cm="1">
        <f t="array" ref="B42">'PnL 2023'!A97</f>
        <v>Training Expense</v>
      </c>
      <c r="C42" s="1579" cm="1">
        <f t="array" ref="C42">'PnL 2023'!Z97</f>
        <v>30831330</v>
      </c>
      <c r="D42" t="s" s="1601">
        <v>1237</v>
      </c>
      <c r="E42" s="1602">
        <v>0</v>
      </c>
      <c r="F42" s="1599" cm="1">
        <f t="array" ref="F42">_xlfn.IFERROR((C42*(1+E42)),0)</f>
        <v>30831330</v>
      </c>
      <c r="G42" s="929"/>
    </row>
    <row r="43" ht="16" customHeight="1">
      <c r="A43" s="362"/>
      <c r="B43" t="str" s="1600" cm="1">
        <f t="array" ref="B43">'PnL 2023'!A98</f>
        <v>Travel Expense</v>
      </c>
      <c r="C43" s="1579" cm="1">
        <f t="array" ref="C43">'PnL 2023'!Z98</f>
        <v>2700000</v>
      </c>
      <c r="D43" t="s" s="1601">
        <v>1237</v>
      </c>
      <c r="E43" t="s" s="1601">
        <v>1258</v>
      </c>
      <c r="F43" s="1599">
        <v>110000000</v>
      </c>
      <c r="G43" s="929"/>
    </row>
    <row r="44" ht="16" customHeight="1">
      <c r="A44" s="362"/>
      <c r="B44" t="str" s="1600" cm="1">
        <f t="array" ref="B44">'PnL 2023'!A99</f>
        <v>Monthly Tax </v>
      </c>
      <c r="C44" s="1579" cm="1">
        <f t="array" ref="C44">'PnL 2023'!Z99</f>
        <v>134507416</v>
      </c>
      <c r="D44" t="s" s="1601">
        <v>1246</v>
      </c>
      <c r="E44" t="s" s="1601">
        <v>1247</v>
      </c>
      <c r="F44" s="1599" cm="1">
        <f t="array" ref="F44">_xlfn.IFERROR((C44*(1+E44)),0)</f>
        <v>0</v>
      </c>
      <c r="G44" s="929"/>
    </row>
    <row r="45" ht="16" customHeight="1">
      <c r="A45" s="362"/>
      <c r="B45" t="str" s="1600" cm="1">
        <f t="array" ref="B45">'PnL 2023'!A100</f>
        <v>Annual Tax </v>
      </c>
      <c r="C45" s="1579" cm="1">
        <f t="array" ref="C45">'PnL 2023'!Z100</f>
        <v>131199627</v>
      </c>
      <c r="D45" t="s" s="1601">
        <v>1246</v>
      </c>
      <c r="E45" t="s" s="1601">
        <v>1247</v>
      </c>
      <c r="F45" s="1599" cm="1">
        <f t="array" ref="F45">_xlfn.IFERROR((C45*(1+E45)),0)</f>
        <v>0</v>
      </c>
      <c r="G45" s="929"/>
    </row>
    <row r="46" ht="16" customHeight="1">
      <c r="A46" s="362"/>
      <c r="B46" t="str" s="1600" cm="1">
        <f t="array" ref="B46">'PnL 2023'!A101</f>
        <v>Tour Supplies</v>
      </c>
      <c r="C46" s="1579" cm="1">
        <f t="array" ref="C46">'PnL 2023'!Z101</f>
        <v>108714969</v>
      </c>
      <c r="D46" t="s" s="1601">
        <v>1237</v>
      </c>
      <c r="E46" s="1602">
        <v>0</v>
      </c>
      <c r="F46" s="1599" cm="1">
        <f t="array" ref="F46">_xlfn.IFERROR((C46*(1+E46)),0)</f>
        <v>108714969</v>
      </c>
      <c r="G46" s="929"/>
    </row>
    <row r="47" ht="16" customHeight="1">
      <c r="A47" s="362"/>
      <c r="B47" t="str" s="1600" cm="1">
        <f t="array" ref="B47">'PnL 2023'!A102</f>
        <v>Travel - International</v>
      </c>
      <c r="C47" s="1579" cm="1">
        <f t="array" ref="C47">'PnL 2023'!Z102</f>
        <v>25087859</v>
      </c>
      <c r="D47" t="s" s="1601">
        <v>1237</v>
      </c>
      <c r="E47" s="1602">
        <v>0</v>
      </c>
      <c r="F47" s="1599" cm="1">
        <f t="array" ref="F47">_xlfn.IFERROR((C47*(1+E47)),0)</f>
        <v>25087859</v>
      </c>
      <c r="G47" s="929"/>
    </row>
    <row r="48" ht="16" customHeight="1">
      <c r="A48" s="362"/>
      <c r="B48" t="str" s="1600" cm="1">
        <f t="array" ref="B48">'PnL 2023'!A103</f>
        <v>Travel - National</v>
      </c>
      <c r="C48" s="1579" cm="1">
        <f t="array" ref="C48">'PnL 2023'!Z103</f>
        <v>50500000</v>
      </c>
      <c r="D48" t="s" s="1601">
        <v>1237</v>
      </c>
      <c r="E48" s="1602">
        <v>0</v>
      </c>
      <c r="F48" s="1599" cm="1">
        <f t="array" ref="F48">_xlfn.IFERROR((C48*(1+E48)),0)</f>
        <v>50500000</v>
      </c>
      <c r="G48" s="929"/>
    </row>
    <row r="49" ht="16" customHeight="1">
      <c r="A49" s="362"/>
      <c r="B49" t="str" s="1600" cm="1">
        <f t="array" ref="B49">'PnL 2023'!A104</f>
        <v>Tools and Equipment </v>
      </c>
      <c r="C49" s="1579" cm="1">
        <f t="array" ref="C49">'PnL 2023'!Z104</f>
        <v>9021075</v>
      </c>
      <c r="D49" t="s" s="1601">
        <v>1237</v>
      </c>
      <c r="E49" s="1602">
        <v>0</v>
      </c>
      <c r="F49" s="1599" cm="1">
        <f t="array" ref="F49">_xlfn.IFERROR((C49*(1+E49)),0)</f>
        <v>9021075</v>
      </c>
      <c r="G49" s="929"/>
    </row>
    <row r="50" ht="16" customHeight="1">
      <c r="A50" s="362"/>
      <c r="B50" t="str" s="1600" cm="1">
        <f t="array" ref="B50">'PnL 2023'!A105</f>
        <v>Employee Meal &amp; Trip Allowance</v>
      </c>
      <c r="C50" s="1579" cm="1">
        <f t="array" ref="C50">'PnL 2023'!Z105</f>
        <v>10640000</v>
      </c>
      <c r="D50" t="s" s="1601">
        <v>1237</v>
      </c>
      <c r="E50" s="1602">
        <v>0</v>
      </c>
      <c r="F50" s="1599" cm="1">
        <f t="array" ref="F50">_xlfn.IFERROR((C50*(1+E50)),0)</f>
        <v>10640000</v>
      </c>
      <c r="G50" s="929"/>
    </row>
    <row r="51" ht="16" customHeight="1">
      <c r="A51" s="362"/>
      <c r="B51" t="str" s="1600" cm="1">
        <f t="array" ref="B51">'PnL 2023'!A106</f>
        <v>Wages and Salaries</v>
      </c>
      <c r="C51" s="1579" cm="1">
        <f t="array" ref="C51">'PnL 2023'!Z106</f>
        <v>2092706758</v>
      </c>
      <c r="D51" t="s" s="1601">
        <v>1237</v>
      </c>
      <c r="E51" s="1602">
        <v>0.8</v>
      </c>
      <c r="F51" s="1599" cm="1">
        <f t="array" ref="F51">_xlfn.IFERROR((C51*(1+E51)),0)</f>
        <v>3766872164.4</v>
      </c>
      <c r="G51" s="929"/>
    </row>
    <row r="52" ht="16" customHeight="1">
      <c r="A52" s="362"/>
      <c r="B52" t="str" s="1600" cm="1">
        <f t="array" ref="B52">'PnL 2023'!A107</f>
        <v>Alex Expenses</v>
      </c>
      <c r="C52" s="1579" cm="1">
        <f t="array" ref="C52">'PnL 2023'!Z107</f>
        <v>55967200</v>
      </c>
      <c r="D52" t="s" s="1601">
        <v>1246</v>
      </c>
      <c r="E52" t="s" s="1601">
        <v>1265</v>
      </c>
      <c r="F52" s="1599" cm="1">
        <f t="array" ref="F52">_xlfn.IFERROR((C52*(1+E52)),0)</f>
        <v>0</v>
      </c>
      <c r="G52" s="929"/>
    </row>
    <row r="53" ht="16" customHeight="1">
      <c r="A53" s="362"/>
      <c r="B53" t="str" s="1600" cm="1">
        <f t="array" ref="B53">'PnL 2023'!A108</f>
        <v>BPJS Kesehatan</v>
      </c>
      <c r="C53" s="1579" cm="1">
        <f t="array" ref="C53">'PnL 2023'!Z108</f>
        <v>17192400</v>
      </c>
      <c r="D53" t="s" s="1601">
        <v>1237</v>
      </c>
      <c r="E53" s="1602">
        <v>2</v>
      </c>
      <c r="F53" s="1599" cm="1">
        <f t="array" ref="F53">_xlfn.IFERROR((C53*(1+E53)),0)</f>
        <v>51577200</v>
      </c>
      <c r="G53" s="929"/>
    </row>
    <row r="54" ht="16" customHeight="1">
      <c r="A54" s="362"/>
      <c r="B54" t="str" s="1600" cm="1">
        <f t="array" ref="B54">'PnL 2023'!A109</f>
        <v>Uniform </v>
      </c>
      <c r="C54" s="1579" cm="1">
        <f t="array" ref="C54">'PnL 2023'!Z109</f>
        <v>94376420</v>
      </c>
      <c r="D54" t="s" s="1601">
        <v>1246</v>
      </c>
      <c r="E54" t="s" s="1601">
        <v>1258</v>
      </c>
      <c r="F54" s="1599">
        <v>40000000</v>
      </c>
      <c r="G54" s="929"/>
    </row>
    <row r="55" ht="16" customHeight="1">
      <c r="A55" s="362"/>
      <c r="B55" t="str" s="1600" cm="1">
        <f t="array" ref="B55">'PnL 2023'!A110</f>
        <v>Printing &amp; Stationery </v>
      </c>
      <c r="C55" s="1579" cm="1">
        <f t="array" ref="C55">'PnL 2023'!Z110</f>
        <v>66538945</v>
      </c>
      <c r="D55" t="s" s="1601">
        <v>1237</v>
      </c>
      <c r="E55" s="1602">
        <v>0</v>
      </c>
      <c r="F55" s="1599" cm="1">
        <f t="array" ref="F55">_xlfn.IFERROR((C55*(1+E55)),0)</f>
        <v>66538945</v>
      </c>
      <c r="G55" s="929"/>
    </row>
    <row r="56" ht="16" customHeight="1">
      <c r="A56" s="362"/>
      <c r="B56" t="str" s="1600" cm="1">
        <f t="array" ref="B56">'PnL 2023'!A111</f>
        <v>Staff Expenses</v>
      </c>
      <c r="C56" s="1579" cm="1">
        <f t="array" ref="C56">'PnL 2023'!Z111</f>
        <v>880000</v>
      </c>
      <c r="D56" t="s" s="1601">
        <v>1237</v>
      </c>
      <c r="E56" s="1602">
        <v>0</v>
      </c>
      <c r="F56" s="1599" cm="1">
        <f t="array" ref="F56">_xlfn.IFERROR((C56*(1+E56)),0)</f>
        <v>880000</v>
      </c>
      <c r="G56" s="929"/>
    </row>
    <row r="57" ht="16" customHeight="1">
      <c r="A57" s="362"/>
      <c r="B57" t="str" s="1600" cm="1">
        <f t="array" ref="B57">'PnL 2023'!A112</f>
        <v>Freight And Courier</v>
      </c>
      <c r="C57" s="1579" cm="1">
        <f t="array" ref="C57">'PnL 2023'!Z112</f>
        <v>121000</v>
      </c>
      <c r="D57" t="s" s="1601">
        <v>1246</v>
      </c>
      <c r="E57" t="s" s="1601">
        <v>1265</v>
      </c>
      <c r="F57" s="1599" cm="1">
        <f t="array" ref="F57">_xlfn.IFERROR((C57*(1+E57)),0)</f>
        <v>0</v>
      </c>
      <c r="G57" s="929"/>
    </row>
    <row r="58" ht="16" customHeight="1">
      <c r="A58" s="362"/>
      <c r="B58" t="str" s="1600" cm="1">
        <f t="array" ref="B58">'PnL 2023'!A113</f>
        <v>Getyourguide Fee</v>
      </c>
      <c r="C58" s="1579" cm="1">
        <f t="array" ref="C58">'PnL 2023'!Z113</f>
        <v>155000</v>
      </c>
      <c r="D58" t="s" s="1601">
        <v>1246</v>
      </c>
      <c r="E58" t="s" s="1601">
        <v>1265</v>
      </c>
      <c r="F58" s="1599" cm="1">
        <f t="array" ref="F58">_xlfn.IFERROR((C58*(1+E58)),0)</f>
        <v>0</v>
      </c>
      <c r="G58" s="929"/>
    </row>
    <row r="59" ht="16" customHeight="1">
      <c r="A59" s="362"/>
      <c r="B59" t="str" s="1600" cm="1">
        <f t="array" ref="B59">'PnL 2023'!A114</f>
        <v>Tour Expenses</v>
      </c>
      <c r="C59" s="1579" cm="1">
        <f t="array" ref="C59">'PnL 2023'!Z114</f>
        <v>7200000</v>
      </c>
      <c r="D59" t="s" s="1601">
        <v>1237</v>
      </c>
      <c r="E59" s="1602">
        <v>0</v>
      </c>
      <c r="F59" s="1599" cm="1">
        <f t="array" ref="F59">_xlfn.IFERROR((C59*(1+E59)),0)</f>
        <v>7200000</v>
      </c>
      <c r="G59" s="929"/>
    </row>
    <row r="60" ht="16" customHeight="1">
      <c r="A60" s="362"/>
      <c r="B60" t="s" s="1604">
        <v>1289</v>
      </c>
      <c r="C60" s="1579">
        <v>0</v>
      </c>
      <c r="D60" t="s" s="1601">
        <v>1237</v>
      </c>
      <c r="E60" s="1602">
        <v>0</v>
      </c>
      <c r="F60" s="1599">
        <v>80000000</v>
      </c>
      <c r="G60" s="929"/>
    </row>
    <row r="61" ht="16" customHeight="1">
      <c r="A61" s="362"/>
      <c r="B61" t="str" s="1600" cm="1">
        <f t="array" ref="B61">'PnL 2023'!A115</f>
        <v>Website</v>
      </c>
      <c r="C61" s="1579" cm="1">
        <f t="array" ref="C61">'PnL 2023'!Z115</f>
        <v>71317200</v>
      </c>
      <c r="D61" t="s" s="1601">
        <v>1237</v>
      </c>
      <c r="E61" s="1602">
        <v>0</v>
      </c>
      <c r="F61" s="1599" cm="1">
        <f t="array" ref="F61">_xlfn.IFERROR((C61*(1+E61)),0)</f>
        <v>71317200</v>
      </c>
      <c r="G61" s="929"/>
    </row>
    <row r="62" ht="15" customHeight="1">
      <c r="A62" s="362"/>
      <c r="B62" t="str" s="1605" cm="1">
        <f t="array" ref="B62">'PnL 2023'!A116</f>
        <v>Xendit fee</v>
      </c>
      <c r="C62" s="1606" cm="1">
        <f t="array" ref="C62">'PnL 2023'!Z116</f>
        <v>160760849</v>
      </c>
      <c r="D62" t="s" s="1607">
        <v>1237</v>
      </c>
      <c r="E62" s="1608">
        <v>0.1</v>
      </c>
      <c r="F62" s="1609" cm="1">
        <f t="array" ref="F62">_xlfn.IFERROR((C62*(1+E62)),0)</f>
        <v>176836933.9</v>
      </c>
      <c r="G62" s="929"/>
    </row>
    <row r="63" ht="16" customHeight="1">
      <c r="A63" s="951"/>
      <c r="B63" t="s" s="1610">
        <v>1292</v>
      </c>
      <c r="C63" s="1611" cm="1">
        <f t="array" ref="C63">SUM(C12:C62)</f>
        <v>7583389304.24</v>
      </c>
      <c r="D63" s="1612"/>
      <c r="E63" s="1612"/>
      <c r="F63" s="1613" cm="1">
        <f t="array" ref="F63">SUM(F12:F62)</f>
        <v>8149423673.164</v>
      </c>
      <c r="G63" s="952"/>
    </row>
  </sheetData>
  <mergeCells count="2">
    <mergeCell ref="B9:F9"/>
    <mergeCell ref="B2:D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Y116"/>
  <sheetViews>
    <sheetView workbookViewId="0" showGridLines="0" defaultGridColor="1"/>
  </sheetViews>
  <sheetFormatPr defaultColWidth="8.83333" defaultRowHeight="0" customHeight="1" outlineLevelRow="0" outlineLevelCol="0"/>
  <cols>
    <col min="1" max="1" width="4" style="1614" customWidth="1"/>
    <col min="2" max="2" width="5.85156" style="1614" customWidth="1"/>
    <col min="3" max="3" width="39.1719" style="1614" customWidth="1"/>
    <col min="4" max="4" width="31.8516" style="1614" customWidth="1"/>
    <col min="5" max="5" width="20.1719" style="1614" customWidth="1"/>
    <col min="6" max="6" width="19.8516" style="1614" customWidth="1"/>
    <col min="7" max="7" width="18.8516" style="1614" customWidth="1"/>
    <col min="8" max="8" width="19.8516" style="1614" customWidth="1"/>
    <col min="9" max="9" width="16.6719" style="1614" customWidth="1"/>
    <col min="10" max="10" width="18.3516" style="1614" customWidth="1"/>
    <col min="11" max="11" width="8.17188" style="1614" customWidth="1"/>
    <col min="12" max="24" width="19.1719" style="1614" customWidth="1"/>
    <col min="25" max="25" width="15.3516" style="1614" customWidth="1"/>
    <col min="26" max="16384" width="8.85156" style="1614" customWidth="1"/>
  </cols>
  <sheetData>
    <row r="1" ht="13.5" customHeight="1">
      <c r="A1" s="7"/>
      <c r="B1" s="1615"/>
      <c r="C1" s="1615"/>
      <c r="D1" s="1615"/>
      <c r="E1" s="1616"/>
      <c r="F1" s="1616"/>
      <c r="G1" s="1616"/>
      <c r="H1" s="1616"/>
      <c r="I1" s="1616"/>
      <c r="J1" s="1616"/>
      <c r="K1" s="1616"/>
      <c r="L1" s="1615"/>
      <c r="M1" s="1615"/>
      <c r="N1" s="1615"/>
      <c r="O1" s="1615"/>
      <c r="P1" s="1615"/>
      <c r="Q1" s="1615"/>
      <c r="R1" s="1615"/>
      <c r="S1" s="1615"/>
      <c r="T1" s="1615"/>
      <c r="U1" s="1615"/>
      <c r="V1" s="1615"/>
      <c r="W1" s="1615"/>
      <c r="X1" s="1615"/>
      <c r="Y1" s="11"/>
    </row>
    <row r="2" ht="16.5" customHeight="1">
      <c r="A2" s="12"/>
      <c r="B2" t="s" s="1617">
        <v>1294</v>
      </c>
      <c r="C2" s="1618"/>
      <c r="D2" s="1618"/>
      <c r="E2" t="s" s="1619">
        <v>1295</v>
      </c>
      <c r="F2" s="1620"/>
      <c r="G2" s="1620"/>
      <c r="H2" s="1620"/>
      <c r="I2" s="1620"/>
      <c r="J2" s="1620"/>
      <c r="K2" s="1618"/>
      <c r="L2" s="1621"/>
      <c r="M2" s="1621"/>
      <c r="N2" s="1621"/>
      <c r="O2" s="1621"/>
      <c r="P2" s="1621"/>
      <c r="Q2" s="1621"/>
      <c r="R2" s="1621"/>
      <c r="S2" s="1621"/>
      <c r="T2" s="1621"/>
      <c r="U2" s="1621"/>
      <c r="V2" s="1621"/>
      <c r="W2" s="1621"/>
      <c r="X2" s="1622"/>
      <c r="Y2" s="578"/>
    </row>
    <row r="3" ht="13.5" customHeight="1">
      <c r="A3" s="12"/>
      <c r="B3" t="s" s="1623">
        <v>1296</v>
      </c>
      <c r="C3" t="s" s="1624">
        <v>1297</v>
      </c>
      <c r="D3" t="s" s="1624">
        <v>1298</v>
      </c>
      <c r="E3" t="s" s="1624">
        <v>1299</v>
      </c>
      <c r="F3" t="s" s="1624">
        <v>1300</v>
      </c>
      <c r="G3" t="s" s="1624">
        <v>1301</v>
      </c>
      <c r="H3" t="s" s="1624">
        <v>1302</v>
      </c>
      <c r="I3" t="s" s="1624">
        <v>1303</v>
      </c>
      <c r="J3" t="s" s="1624">
        <v>1304</v>
      </c>
      <c r="K3" s="1625"/>
      <c r="L3" s="1626">
        <v>45682</v>
      </c>
      <c r="M3" s="1626">
        <v>45689</v>
      </c>
      <c r="N3" s="1626">
        <v>45717</v>
      </c>
      <c r="O3" s="1626">
        <v>45748</v>
      </c>
      <c r="P3" s="1626">
        <v>45778</v>
      </c>
      <c r="Q3" s="1626">
        <v>45809</v>
      </c>
      <c r="R3" s="1626">
        <v>45839</v>
      </c>
      <c r="S3" s="1626">
        <v>45870</v>
      </c>
      <c r="T3" s="1626">
        <v>45901</v>
      </c>
      <c r="U3" s="1626">
        <v>45931</v>
      </c>
      <c r="V3" s="1626">
        <v>45962</v>
      </c>
      <c r="W3" s="1626">
        <v>45992</v>
      </c>
      <c r="X3" t="s" s="1627">
        <v>890</v>
      </c>
      <c r="Y3" s="578"/>
    </row>
    <row r="4" ht="16.5" customHeight="1">
      <c r="A4" s="12"/>
      <c r="B4" s="1628">
        <v>1</v>
      </c>
      <c r="C4" t="s" s="1629">
        <v>1305</v>
      </c>
      <c r="D4" t="s" s="1629">
        <v>1306</v>
      </c>
      <c r="E4" s="1630" cm="1">
        <f t="array" ref="E4">35000000</f>
        <v>35000000</v>
      </c>
      <c r="F4" s="1630" cm="1">
        <f t="array" ref="F4">30000000</f>
        <v>30000000</v>
      </c>
      <c r="G4" s="1631"/>
      <c r="H4" s="1630"/>
      <c r="I4" s="1630"/>
      <c r="J4" s="1630" cm="1">
        <f t="array" ref="J4">SUM(E4:I4)</f>
        <v>65000000</v>
      </c>
      <c r="K4" s="1630"/>
      <c r="L4" s="1630">
        <v>65000000</v>
      </c>
      <c r="M4" s="1630">
        <v>65000000</v>
      </c>
      <c r="N4" s="1630">
        <v>65000000</v>
      </c>
      <c r="O4" s="1630">
        <v>65000000</v>
      </c>
      <c r="P4" s="1630">
        <v>65000000</v>
      </c>
      <c r="Q4" s="1630">
        <v>65000000</v>
      </c>
      <c r="R4" s="1630">
        <v>65000000</v>
      </c>
      <c r="S4" s="1630">
        <v>65000000</v>
      </c>
      <c r="T4" s="1630">
        <v>65000000</v>
      </c>
      <c r="U4" s="1630">
        <v>65000000</v>
      </c>
      <c r="V4" s="1630">
        <v>65000000</v>
      </c>
      <c r="W4" s="1630">
        <v>65000000</v>
      </c>
      <c r="X4" s="1632" cm="1">
        <f t="array" ref="X4">SUM(L4:W4)</f>
        <v>780000000</v>
      </c>
      <c r="Y4" s="578"/>
    </row>
    <row r="5" ht="16.5" customHeight="1">
      <c r="A5" s="12"/>
      <c r="B5" s="1628">
        <v>2</v>
      </c>
      <c r="C5" t="s" s="1629">
        <v>1307</v>
      </c>
      <c r="D5" t="s" s="1629">
        <v>1306</v>
      </c>
      <c r="E5" s="1630" cm="1">
        <f t="array" ref="E5">35000000</f>
        <v>35000000</v>
      </c>
      <c r="F5" s="1630" cm="1">
        <f t="array" ref="F5">35000000</f>
        <v>35000000</v>
      </c>
      <c r="G5" s="1630"/>
      <c r="H5" s="1630"/>
      <c r="I5" s="1630"/>
      <c r="J5" s="1630" cm="1">
        <f t="array" ref="J5">SUM(E5:I5)</f>
        <v>70000000</v>
      </c>
      <c r="K5" s="1630"/>
      <c r="L5" s="1630">
        <v>70000000</v>
      </c>
      <c r="M5" s="1630">
        <v>70000000</v>
      </c>
      <c r="N5" s="1630">
        <v>70000000</v>
      </c>
      <c r="O5" s="1630">
        <v>70000000</v>
      </c>
      <c r="P5" s="1630">
        <v>70000000</v>
      </c>
      <c r="Q5" s="1630">
        <v>70000000</v>
      </c>
      <c r="R5" s="1630">
        <v>70000000</v>
      </c>
      <c r="S5" s="1630">
        <v>70000000</v>
      </c>
      <c r="T5" s="1630">
        <v>70000000</v>
      </c>
      <c r="U5" s="1630">
        <v>70000000</v>
      </c>
      <c r="V5" s="1630">
        <v>70000000</v>
      </c>
      <c r="W5" s="1630">
        <v>70000000</v>
      </c>
      <c r="X5" s="1632" cm="1">
        <f t="array" ref="X5">SUM(L5:W5)</f>
        <v>840000000</v>
      </c>
      <c r="Y5" s="578"/>
    </row>
    <row r="6" ht="16.5" customHeight="1">
      <c r="A6" s="12"/>
      <c r="B6" s="1628">
        <v>3</v>
      </c>
      <c r="C6" t="s" s="1629">
        <v>1308</v>
      </c>
      <c r="D6" t="s" s="1629">
        <v>1309</v>
      </c>
      <c r="E6" s="1630" cm="1">
        <f t="array" ref="E6">35000000</f>
        <v>35000000</v>
      </c>
      <c r="F6" s="1630"/>
      <c r="G6" s="1630">
        <v>3000000</v>
      </c>
      <c r="H6" s="1630"/>
      <c r="I6" s="1630"/>
      <c r="J6" s="1630" cm="1">
        <f t="array" ref="J6">SUM(E6:I6)</f>
        <v>38000000</v>
      </c>
      <c r="K6" s="1630"/>
      <c r="L6" s="1630">
        <v>38000000</v>
      </c>
      <c r="M6" s="1630">
        <v>38000000</v>
      </c>
      <c r="N6" s="1630">
        <v>38000000</v>
      </c>
      <c r="O6" s="1630">
        <v>38000000</v>
      </c>
      <c r="P6" s="1630">
        <v>38000000</v>
      </c>
      <c r="Q6" s="1630">
        <v>38000000</v>
      </c>
      <c r="R6" s="1630">
        <v>38000000</v>
      </c>
      <c r="S6" s="1630">
        <v>38000000</v>
      </c>
      <c r="T6" s="1630">
        <v>38000000</v>
      </c>
      <c r="U6" s="1630">
        <v>38000000</v>
      </c>
      <c r="V6" s="1630">
        <v>38000000</v>
      </c>
      <c r="W6" s="1630">
        <v>38000000</v>
      </c>
      <c r="X6" s="1632" cm="1">
        <f t="array" ref="X6">SUM(L6:W6)</f>
        <v>456000000</v>
      </c>
      <c r="Y6" s="578"/>
    </row>
    <row r="7" ht="16.5" customHeight="1">
      <c r="A7" s="12"/>
      <c r="B7" s="1628">
        <v>4</v>
      </c>
      <c r="C7" t="s" s="1629">
        <v>1310</v>
      </c>
      <c r="D7" t="s" s="1629">
        <v>1311</v>
      </c>
      <c r="E7" s="1630">
        <v>35000000</v>
      </c>
      <c r="F7" s="1630">
        <v>5000000</v>
      </c>
      <c r="G7" s="1630">
        <v>5000000</v>
      </c>
      <c r="H7" s="1630"/>
      <c r="I7" s="1630">
        <v>150000</v>
      </c>
      <c r="J7" s="1630" cm="1">
        <f t="array" ref="J7">SUM(E7:I7)</f>
        <v>45150000</v>
      </c>
      <c r="K7" s="1630"/>
      <c r="L7" s="1630">
        <v>45150000</v>
      </c>
      <c r="M7" s="1630">
        <v>45150000</v>
      </c>
      <c r="N7" s="1630">
        <v>45150000</v>
      </c>
      <c r="O7" s="1630">
        <v>45150000</v>
      </c>
      <c r="P7" s="1630">
        <v>45150000</v>
      </c>
      <c r="Q7" s="1630">
        <v>45150000</v>
      </c>
      <c r="R7" s="1630">
        <v>45150000</v>
      </c>
      <c r="S7" s="1630">
        <v>45150000</v>
      </c>
      <c r="T7" s="1630">
        <v>45150000</v>
      </c>
      <c r="U7" s="1630">
        <v>45150000</v>
      </c>
      <c r="V7" s="1630">
        <v>45150000</v>
      </c>
      <c r="W7" s="1630">
        <v>45150000</v>
      </c>
      <c r="X7" s="1632" cm="1">
        <f t="array" ref="X7">SUM(L7:W7)</f>
        <v>541800000</v>
      </c>
      <c r="Y7" s="578"/>
    </row>
    <row r="8" ht="16.5" customHeight="1">
      <c r="A8" s="12"/>
      <c r="B8" s="1628">
        <v>5</v>
      </c>
      <c r="C8" t="s" s="1629">
        <v>1312</v>
      </c>
      <c r="D8" t="s" s="1629">
        <v>1313</v>
      </c>
      <c r="E8" s="1630">
        <v>10000000</v>
      </c>
      <c r="F8" s="1630"/>
      <c r="G8" s="1630">
        <v>2000000</v>
      </c>
      <c r="H8" s="1630"/>
      <c r="I8" s="1630">
        <v>150000</v>
      </c>
      <c r="J8" s="1630" cm="1">
        <f t="array" ref="J8">SUM(E8:I8)</f>
        <v>12150000</v>
      </c>
      <c r="K8" s="1630"/>
      <c r="L8" s="1630">
        <v>12900000</v>
      </c>
      <c r="M8" s="1630">
        <v>12900000</v>
      </c>
      <c r="N8" s="1630">
        <v>12900000</v>
      </c>
      <c r="O8" s="1630">
        <v>12900000</v>
      </c>
      <c r="P8" s="1630">
        <v>12900000</v>
      </c>
      <c r="Q8" s="1630">
        <v>12900000</v>
      </c>
      <c r="R8" s="1630">
        <v>12900000</v>
      </c>
      <c r="S8" s="1630">
        <v>12900000</v>
      </c>
      <c r="T8" s="1630">
        <v>12900000</v>
      </c>
      <c r="U8" s="1630">
        <v>12900000</v>
      </c>
      <c r="V8" s="1630">
        <v>12900000</v>
      </c>
      <c r="W8" s="1630">
        <v>12900000</v>
      </c>
      <c r="X8" s="1632" cm="1">
        <f t="array" ref="X8">SUM(L8:W8)</f>
        <v>154800000</v>
      </c>
      <c r="Y8" s="578"/>
    </row>
    <row r="9" ht="16.5" customHeight="1">
      <c r="A9" s="12"/>
      <c r="B9" s="1628">
        <v>6</v>
      </c>
      <c r="C9" t="s" s="1629">
        <v>1314</v>
      </c>
      <c r="D9" t="s" s="1629">
        <v>1315</v>
      </c>
      <c r="E9" s="1630">
        <v>6000000</v>
      </c>
      <c r="F9" s="1630"/>
      <c r="G9" s="1630"/>
      <c r="H9" s="1630"/>
      <c r="I9" s="1630">
        <v>150000</v>
      </c>
      <c r="J9" s="1630" cm="1">
        <f t="array" ref="J9">SUM(E9:I9)</f>
        <v>6150000</v>
      </c>
      <c r="K9" s="1630"/>
      <c r="L9" s="1630">
        <v>6650000</v>
      </c>
      <c r="M9" s="1630">
        <v>6650000</v>
      </c>
      <c r="N9" s="1630">
        <v>6650000</v>
      </c>
      <c r="O9" s="1630">
        <v>6650000</v>
      </c>
      <c r="P9" s="1630">
        <v>6650000</v>
      </c>
      <c r="Q9" s="1630">
        <v>6650000</v>
      </c>
      <c r="R9" s="1630">
        <v>6650000</v>
      </c>
      <c r="S9" s="1630">
        <v>6650000</v>
      </c>
      <c r="T9" s="1630">
        <v>6650000</v>
      </c>
      <c r="U9" s="1630">
        <v>6650000</v>
      </c>
      <c r="V9" s="1630">
        <v>6650000</v>
      </c>
      <c r="W9" s="1630">
        <v>6650000</v>
      </c>
      <c r="X9" s="1632" cm="1">
        <f t="array" ref="X9">SUM(L9:W9)</f>
        <v>79800000</v>
      </c>
      <c r="Y9" s="578"/>
    </row>
    <row r="10" ht="16.5" customHeight="1">
      <c r="A10" s="12"/>
      <c r="B10" s="1628">
        <v>7</v>
      </c>
      <c r="C10" t="s" s="1629">
        <v>1316</v>
      </c>
      <c r="D10" t="s" s="1629">
        <v>1317</v>
      </c>
      <c r="E10" s="1630">
        <v>4000000</v>
      </c>
      <c r="F10" s="1630"/>
      <c r="G10" s="1630"/>
      <c r="H10" s="1630"/>
      <c r="I10" s="1630">
        <v>150000</v>
      </c>
      <c r="J10" s="1630" cm="1">
        <f t="array" ref="J10">SUM(E10:I10)</f>
        <v>4150000</v>
      </c>
      <c r="K10" s="1630"/>
      <c r="L10" s="1630">
        <v>4150000</v>
      </c>
      <c r="M10" s="1630">
        <v>4150000</v>
      </c>
      <c r="N10" s="1630">
        <v>4150000</v>
      </c>
      <c r="O10" s="1630">
        <v>4150000</v>
      </c>
      <c r="P10" s="1630">
        <v>4150000</v>
      </c>
      <c r="Q10" s="1630">
        <v>4150000</v>
      </c>
      <c r="R10" s="1630">
        <v>4150000</v>
      </c>
      <c r="S10" s="1630">
        <v>4150000</v>
      </c>
      <c r="T10" s="1630">
        <v>4150000</v>
      </c>
      <c r="U10" s="1630">
        <v>4150000</v>
      </c>
      <c r="V10" s="1630">
        <v>4150000</v>
      </c>
      <c r="W10" s="1630">
        <v>4150000</v>
      </c>
      <c r="X10" s="1632" cm="1">
        <f t="array" ref="X10">SUM(L10:W10)</f>
        <v>49800000</v>
      </c>
      <c r="Y10" s="578"/>
    </row>
    <row r="11" ht="16.5" customHeight="1">
      <c r="A11" s="12"/>
      <c r="B11" s="1628">
        <v>8</v>
      </c>
      <c r="C11" t="s" s="1629">
        <v>1318</v>
      </c>
      <c r="D11" t="s" s="1629">
        <v>1319</v>
      </c>
      <c r="E11" s="1630">
        <v>6000000</v>
      </c>
      <c r="F11" s="1630" cm="1">
        <f t="array" ref="F11">1500000+5000000</f>
        <v>6500000</v>
      </c>
      <c r="G11" s="1630">
        <v>3000000</v>
      </c>
      <c r="H11" s="1630"/>
      <c r="I11" s="1630">
        <v>150000</v>
      </c>
      <c r="J11" s="1630" cm="1">
        <f t="array" ref="J11">SUM(E11:I11)</f>
        <v>15650000</v>
      </c>
      <c r="K11" s="1630"/>
      <c r="L11" s="1630">
        <v>15650000</v>
      </c>
      <c r="M11" s="1630">
        <v>15650000</v>
      </c>
      <c r="N11" s="1630">
        <v>15650000</v>
      </c>
      <c r="O11" s="1630">
        <v>15650000</v>
      </c>
      <c r="P11" s="1630">
        <v>15650000</v>
      </c>
      <c r="Q11" s="1630">
        <v>15650000</v>
      </c>
      <c r="R11" s="1630">
        <v>15650000</v>
      </c>
      <c r="S11" s="1630">
        <v>15650000</v>
      </c>
      <c r="T11" s="1630">
        <v>15650000</v>
      </c>
      <c r="U11" s="1630">
        <v>15650000</v>
      </c>
      <c r="V11" s="1630">
        <v>15650000</v>
      </c>
      <c r="W11" s="1630">
        <v>15650000</v>
      </c>
      <c r="X11" s="1632" cm="1">
        <f t="array" ref="X11">SUM(L11:W11)</f>
        <v>187800000</v>
      </c>
      <c r="Y11" s="578"/>
    </row>
    <row r="12" ht="16.5" customHeight="1">
      <c r="A12" s="12"/>
      <c r="B12" s="1628">
        <v>9</v>
      </c>
      <c r="C12" t="s" s="1629">
        <v>1320</v>
      </c>
      <c r="D12" t="s" s="1629">
        <v>1321</v>
      </c>
      <c r="E12" s="1630">
        <v>2000000</v>
      </c>
      <c r="F12" s="1630"/>
      <c r="G12" s="1630"/>
      <c r="H12" s="1630"/>
      <c r="I12" s="1630">
        <v>150000</v>
      </c>
      <c r="J12" s="1630" cm="1">
        <f t="array" ref="J12">SUM(E12:I12)</f>
        <v>2150000</v>
      </c>
      <c r="K12" s="1630"/>
      <c r="L12" s="1630">
        <v>2150000</v>
      </c>
      <c r="M12" s="1630">
        <v>2150000</v>
      </c>
      <c r="N12" s="1630">
        <v>2150000</v>
      </c>
      <c r="O12" s="1630">
        <v>2150000</v>
      </c>
      <c r="P12" s="1630">
        <v>2150000</v>
      </c>
      <c r="Q12" s="1630">
        <v>2150000</v>
      </c>
      <c r="R12" s="1630">
        <v>2150000</v>
      </c>
      <c r="S12" s="1630">
        <v>2150000</v>
      </c>
      <c r="T12" s="1630">
        <v>2150000</v>
      </c>
      <c r="U12" s="1630">
        <v>2150000</v>
      </c>
      <c r="V12" s="1630">
        <v>2150000</v>
      </c>
      <c r="W12" s="1630">
        <v>2150000</v>
      </c>
      <c r="X12" s="1632" cm="1">
        <f t="array" ref="X12">SUM(L12:W12)</f>
        <v>25800000</v>
      </c>
      <c r="Y12" s="578"/>
    </row>
    <row r="13" ht="16.5" customHeight="1">
      <c r="A13" s="12"/>
      <c r="B13" s="1628">
        <v>10</v>
      </c>
      <c r="C13" t="s" s="1629">
        <v>1322</v>
      </c>
      <c r="D13" t="s" s="1629">
        <v>1323</v>
      </c>
      <c r="E13" s="1630">
        <v>2000000</v>
      </c>
      <c r="F13" s="1630"/>
      <c r="G13" s="1630"/>
      <c r="H13" s="1630"/>
      <c r="I13" s="1630">
        <v>150000</v>
      </c>
      <c r="J13" s="1630" cm="1">
        <f t="array" ref="J13">SUM(E13:I13)</f>
        <v>2150000</v>
      </c>
      <c r="K13" s="1630"/>
      <c r="L13" s="1630">
        <v>2150000</v>
      </c>
      <c r="M13" s="1630">
        <v>2150000</v>
      </c>
      <c r="N13" s="1630">
        <v>2150000</v>
      </c>
      <c r="O13" s="1630">
        <v>2150000</v>
      </c>
      <c r="P13" s="1630">
        <v>2150000</v>
      </c>
      <c r="Q13" s="1630">
        <v>2150000</v>
      </c>
      <c r="R13" s="1630">
        <v>2150000</v>
      </c>
      <c r="S13" s="1630">
        <v>2150000</v>
      </c>
      <c r="T13" s="1630">
        <v>2150000</v>
      </c>
      <c r="U13" s="1630">
        <v>2150000</v>
      </c>
      <c r="V13" s="1630">
        <v>2150000</v>
      </c>
      <c r="W13" s="1630">
        <v>2150000</v>
      </c>
      <c r="X13" s="1632" cm="1">
        <f t="array" ref="X13">SUM(L13:W13)</f>
        <v>25800000</v>
      </c>
      <c r="Y13" s="578"/>
    </row>
    <row r="14" ht="16.5" customHeight="1">
      <c r="A14" s="12"/>
      <c r="B14" s="1628">
        <v>11</v>
      </c>
      <c r="C14" t="s" s="1629">
        <v>1324</v>
      </c>
      <c r="D14" t="s" s="1629">
        <v>1325</v>
      </c>
      <c r="E14" s="1630">
        <v>4000000</v>
      </c>
      <c r="F14" s="1630"/>
      <c r="G14" s="1630"/>
      <c r="H14" s="1630"/>
      <c r="I14" s="1630">
        <v>150000</v>
      </c>
      <c r="J14" s="1630" cm="1">
        <f t="array" ref="J14">SUM(E14:I14)</f>
        <v>4150000</v>
      </c>
      <c r="K14" s="1630"/>
      <c r="L14" s="1630">
        <v>4150000</v>
      </c>
      <c r="M14" s="1630">
        <v>4150000</v>
      </c>
      <c r="N14" s="1630">
        <v>4150000</v>
      </c>
      <c r="O14" s="1630">
        <v>4150000</v>
      </c>
      <c r="P14" s="1630">
        <v>4150000</v>
      </c>
      <c r="Q14" s="1630">
        <v>4150000</v>
      </c>
      <c r="R14" s="1630">
        <v>4150000</v>
      </c>
      <c r="S14" s="1630">
        <v>4150000</v>
      </c>
      <c r="T14" s="1630">
        <v>4150000</v>
      </c>
      <c r="U14" s="1630">
        <v>4150000</v>
      </c>
      <c r="V14" s="1630">
        <v>4150000</v>
      </c>
      <c r="W14" s="1630">
        <v>4150000</v>
      </c>
      <c r="X14" s="1632" cm="1">
        <f t="array" ref="X14">SUM(L14:W14)</f>
        <v>49800000</v>
      </c>
      <c r="Y14" s="578"/>
    </row>
    <row r="15" ht="16.5" customHeight="1">
      <c r="A15" s="12"/>
      <c r="B15" s="1628">
        <v>12</v>
      </c>
      <c r="C15" t="s" s="1629">
        <v>1326</v>
      </c>
      <c r="D15" t="s" s="1629">
        <v>1327</v>
      </c>
      <c r="E15" s="1630">
        <v>3500000</v>
      </c>
      <c r="F15" s="1630"/>
      <c r="G15" s="1630"/>
      <c r="H15" s="1630"/>
      <c r="I15" s="1630">
        <v>150000</v>
      </c>
      <c r="J15" s="1630" cm="1">
        <f t="array" ref="J15">SUM(E15:I15)</f>
        <v>3650000</v>
      </c>
      <c r="K15" s="1630"/>
      <c r="L15" s="1630">
        <v>3650000</v>
      </c>
      <c r="M15" s="1630">
        <v>3650000</v>
      </c>
      <c r="N15" s="1630">
        <v>3650000</v>
      </c>
      <c r="O15" s="1630">
        <v>3650000</v>
      </c>
      <c r="P15" s="1630">
        <v>3650000</v>
      </c>
      <c r="Q15" s="1630">
        <v>3650000</v>
      </c>
      <c r="R15" s="1630">
        <v>3650000</v>
      </c>
      <c r="S15" s="1630">
        <v>3650000</v>
      </c>
      <c r="T15" s="1630">
        <v>3650000</v>
      </c>
      <c r="U15" s="1630">
        <v>3650000</v>
      </c>
      <c r="V15" s="1630">
        <v>3650000</v>
      </c>
      <c r="W15" s="1630">
        <v>3650000</v>
      </c>
      <c r="X15" s="1632" cm="1">
        <f t="array" ref="X15">SUM(L15:W15)</f>
        <v>43800000</v>
      </c>
      <c r="Y15" s="578"/>
    </row>
    <row r="16" ht="16.5" customHeight="1">
      <c r="A16" s="12"/>
      <c r="B16" s="1628">
        <v>13</v>
      </c>
      <c r="C16" t="s" s="1629">
        <v>1328</v>
      </c>
      <c r="D16" t="s" s="1629">
        <v>1329</v>
      </c>
      <c r="E16" s="1630">
        <v>3500000</v>
      </c>
      <c r="F16" s="1630"/>
      <c r="G16" s="1630"/>
      <c r="H16" s="1630"/>
      <c r="I16" s="1630">
        <v>150000</v>
      </c>
      <c r="J16" s="1630" cm="1">
        <f t="array" ref="J16">SUM(E16:I16)</f>
        <v>3650000</v>
      </c>
      <c r="K16" s="1630"/>
      <c r="L16" s="1630">
        <v>3650000</v>
      </c>
      <c r="M16" s="1630">
        <v>3650000</v>
      </c>
      <c r="N16" s="1630">
        <v>3650000</v>
      </c>
      <c r="O16" s="1630">
        <v>3650000</v>
      </c>
      <c r="P16" s="1630">
        <v>3650000</v>
      </c>
      <c r="Q16" s="1630">
        <v>3650000</v>
      </c>
      <c r="R16" s="1630">
        <v>3650000</v>
      </c>
      <c r="S16" s="1630">
        <v>3650000</v>
      </c>
      <c r="T16" s="1630">
        <v>3650000</v>
      </c>
      <c r="U16" s="1630">
        <v>3650000</v>
      </c>
      <c r="V16" s="1630">
        <v>3650000</v>
      </c>
      <c r="W16" s="1630">
        <v>3650000</v>
      </c>
      <c r="X16" s="1632" cm="1">
        <f t="array" ref="X16">SUM(L16:W16)</f>
        <v>43800000</v>
      </c>
      <c r="Y16" s="578"/>
    </row>
    <row r="17" ht="16.5" customHeight="1">
      <c r="A17" s="12"/>
      <c r="B17" s="1628">
        <v>14</v>
      </c>
      <c r="C17" t="s" s="1629">
        <v>1330</v>
      </c>
      <c r="D17" t="s" s="1629">
        <v>1331</v>
      </c>
      <c r="E17" s="1630">
        <v>17000000</v>
      </c>
      <c r="F17" s="1630">
        <v>3000000</v>
      </c>
      <c r="G17" s="1630"/>
      <c r="H17" s="1630"/>
      <c r="I17" s="1630">
        <v>150000</v>
      </c>
      <c r="J17" s="1630" cm="1">
        <f t="array" ref="J17">SUM(E17:I17)</f>
        <v>20150000</v>
      </c>
      <c r="K17" s="1630"/>
      <c r="L17" s="1630">
        <v>20150000</v>
      </c>
      <c r="M17" s="1630">
        <v>20150000</v>
      </c>
      <c r="N17" s="1630">
        <v>20150000</v>
      </c>
      <c r="O17" s="1630">
        <v>20150000</v>
      </c>
      <c r="P17" s="1630">
        <v>20150000</v>
      </c>
      <c r="Q17" s="1630">
        <v>20150000</v>
      </c>
      <c r="R17" s="1630">
        <v>20150000</v>
      </c>
      <c r="S17" s="1630">
        <v>20150000</v>
      </c>
      <c r="T17" s="1630">
        <v>20150000</v>
      </c>
      <c r="U17" s="1630">
        <v>20150000</v>
      </c>
      <c r="V17" s="1630">
        <v>20150000</v>
      </c>
      <c r="W17" s="1630">
        <v>20150000</v>
      </c>
      <c r="X17" s="1632" cm="1">
        <f t="array" ref="X17">SUM(L17:W17)</f>
        <v>241800000</v>
      </c>
      <c r="Y17" s="578"/>
    </row>
    <row r="18" ht="16.5" customHeight="1">
      <c r="A18" s="12"/>
      <c r="B18" s="1628">
        <v>15</v>
      </c>
      <c r="C18" t="s" s="1629">
        <v>1332</v>
      </c>
      <c r="D18" t="s" s="1629">
        <v>1333</v>
      </c>
      <c r="E18" s="1630">
        <v>3500000</v>
      </c>
      <c r="F18" s="1630">
        <v>3000000</v>
      </c>
      <c r="G18" s="1630"/>
      <c r="H18" s="1630"/>
      <c r="I18" s="1630">
        <v>150000</v>
      </c>
      <c r="J18" s="1630" cm="1">
        <f t="array" ref="J18">SUM(E18:I18)</f>
        <v>6650000</v>
      </c>
      <c r="K18" s="1630"/>
      <c r="L18" s="1630">
        <v>6650000</v>
      </c>
      <c r="M18" s="1630">
        <v>6650000</v>
      </c>
      <c r="N18" s="1630">
        <v>6650000</v>
      </c>
      <c r="O18" s="1630">
        <v>6650000</v>
      </c>
      <c r="P18" s="1630">
        <v>6650000</v>
      </c>
      <c r="Q18" s="1630">
        <v>6650000</v>
      </c>
      <c r="R18" s="1630">
        <v>6650000</v>
      </c>
      <c r="S18" s="1630">
        <v>6650000</v>
      </c>
      <c r="T18" s="1630">
        <v>6650000</v>
      </c>
      <c r="U18" s="1630">
        <v>6650000</v>
      </c>
      <c r="V18" s="1630">
        <v>6650000</v>
      </c>
      <c r="W18" s="1630">
        <v>6650000</v>
      </c>
      <c r="X18" s="1632" cm="1">
        <f t="array" ref="X18">SUM(L18:W18)</f>
        <v>79800000</v>
      </c>
      <c r="Y18" s="578"/>
    </row>
    <row r="19" ht="16.5" customHeight="1">
      <c r="A19" s="12"/>
      <c r="B19" s="1628">
        <v>16</v>
      </c>
      <c r="C19" t="s" s="1629">
        <v>1334</v>
      </c>
      <c r="D19" t="s" s="1629">
        <v>1335</v>
      </c>
      <c r="E19" s="1630">
        <v>3500000</v>
      </c>
      <c r="F19" s="1630">
        <v>500000</v>
      </c>
      <c r="G19" s="1630"/>
      <c r="H19" s="1630"/>
      <c r="I19" s="1630">
        <v>150000</v>
      </c>
      <c r="J19" s="1630" cm="1">
        <f t="array" ref="J19">SUM(E19:I19)</f>
        <v>4150000</v>
      </c>
      <c r="K19" s="1630"/>
      <c r="L19" s="1630">
        <v>4150000</v>
      </c>
      <c r="M19" s="1630">
        <v>4150000</v>
      </c>
      <c r="N19" s="1630">
        <v>4150000</v>
      </c>
      <c r="O19" s="1630">
        <v>4150000</v>
      </c>
      <c r="P19" s="1630">
        <v>4150000</v>
      </c>
      <c r="Q19" s="1630">
        <v>4150000</v>
      </c>
      <c r="R19" s="1630">
        <v>4150000</v>
      </c>
      <c r="S19" s="1630">
        <v>4150000</v>
      </c>
      <c r="T19" s="1630">
        <v>4150000</v>
      </c>
      <c r="U19" s="1630">
        <v>4150000</v>
      </c>
      <c r="V19" s="1630">
        <v>4150000</v>
      </c>
      <c r="W19" s="1630">
        <v>4150000</v>
      </c>
      <c r="X19" s="1632" cm="1">
        <f t="array" ref="X19">SUM(L19:W19)</f>
        <v>49800000</v>
      </c>
      <c r="Y19" s="578"/>
    </row>
    <row r="20" ht="16.5" customHeight="1">
      <c r="A20" s="12"/>
      <c r="B20" s="1628">
        <v>17</v>
      </c>
      <c r="C20" t="s" s="1629">
        <v>1336</v>
      </c>
      <c r="D20" t="s" s="1629">
        <v>1337</v>
      </c>
      <c r="E20" s="1630">
        <v>30000000</v>
      </c>
      <c r="F20" s="1630">
        <v>5000000</v>
      </c>
      <c r="G20" s="1630"/>
      <c r="H20" s="1630"/>
      <c r="I20" s="1630">
        <v>150000</v>
      </c>
      <c r="J20" s="1630" cm="1">
        <f t="array" ref="J20">SUM(E20:I20)</f>
        <v>35150000</v>
      </c>
      <c r="K20" s="1630"/>
      <c r="L20" s="1630">
        <v>35150000</v>
      </c>
      <c r="M20" s="1630">
        <v>35150000</v>
      </c>
      <c r="N20" s="1630">
        <v>35150000</v>
      </c>
      <c r="O20" s="1630">
        <v>35150000</v>
      </c>
      <c r="P20" s="1630">
        <v>35150000</v>
      </c>
      <c r="Q20" s="1630">
        <v>35150000</v>
      </c>
      <c r="R20" s="1630">
        <v>35150000</v>
      </c>
      <c r="S20" s="1630">
        <v>35150000</v>
      </c>
      <c r="T20" s="1630">
        <v>35150000</v>
      </c>
      <c r="U20" s="1630">
        <v>35150000</v>
      </c>
      <c r="V20" s="1630">
        <v>35150000</v>
      </c>
      <c r="W20" s="1630">
        <v>35150000</v>
      </c>
      <c r="X20" s="1632" cm="1">
        <f t="array" ref="X20">SUM(L20:W20)</f>
        <v>421800000</v>
      </c>
      <c r="Y20" s="578"/>
    </row>
    <row r="21" ht="16.5" customHeight="1">
      <c r="A21" s="12"/>
      <c r="B21" s="1628">
        <v>18</v>
      </c>
      <c r="C21" t="s" s="1629">
        <v>1338</v>
      </c>
      <c r="D21" t="s" s="1633">
        <v>1339</v>
      </c>
      <c r="E21" s="1630">
        <v>6000000</v>
      </c>
      <c r="F21" s="1630">
        <v>5000000</v>
      </c>
      <c r="G21" s="1630"/>
      <c r="H21" s="1630"/>
      <c r="I21" s="1630">
        <v>150000</v>
      </c>
      <c r="J21" s="1630" cm="1">
        <f t="array" ref="J21">SUM(E21:I21)</f>
        <v>11150000</v>
      </c>
      <c r="K21" s="1630"/>
      <c r="L21" s="1630">
        <v>11150000</v>
      </c>
      <c r="M21" s="1630">
        <v>11150000</v>
      </c>
      <c r="N21" s="1630">
        <v>11150000</v>
      </c>
      <c r="O21" s="1630">
        <v>11150000</v>
      </c>
      <c r="P21" s="1630">
        <v>11150000</v>
      </c>
      <c r="Q21" s="1630">
        <v>11150000</v>
      </c>
      <c r="R21" s="1630">
        <v>11150000</v>
      </c>
      <c r="S21" s="1630">
        <v>11150000</v>
      </c>
      <c r="T21" s="1630">
        <v>11150000</v>
      </c>
      <c r="U21" s="1630">
        <v>11150000</v>
      </c>
      <c r="V21" s="1630">
        <v>11150000</v>
      </c>
      <c r="W21" s="1630">
        <v>11150000</v>
      </c>
      <c r="X21" s="1632" cm="1">
        <f t="array" ref="X21">SUM(L21:W21)</f>
        <v>133800000</v>
      </c>
      <c r="Y21" s="578"/>
    </row>
    <row r="22" ht="16.5" customHeight="1">
      <c r="A22" s="12"/>
      <c r="B22" s="1628">
        <v>19</v>
      </c>
      <c r="C22" t="s" s="1629">
        <v>1340</v>
      </c>
      <c r="D22" t="s" s="1633">
        <v>1341</v>
      </c>
      <c r="E22" s="1630">
        <v>3500000</v>
      </c>
      <c r="F22" s="1630"/>
      <c r="G22" s="1630"/>
      <c r="H22" s="1630"/>
      <c r="I22" s="1630">
        <v>150000</v>
      </c>
      <c r="J22" s="1630" cm="1">
        <f t="array" ref="J22">SUM(E22:I22)</f>
        <v>3650000</v>
      </c>
      <c r="K22" s="1630"/>
      <c r="L22" s="1630">
        <v>3650000</v>
      </c>
      <c r="M22" s="1630">
        <v>3650000</v>
      </c>
      <c r="N22" s="1630">
        <v>3650000</v>
      </c>
      <c r="O22" s="1630">
        <v>3650000</v>
      </c>
      <c r="P22" s="1630">
        <v>3650000</v>
      </c>
      <c r="Q22" s="1630">
        <v>3650000</v>
      </c>
      <c r="R22" s="1630">
        <v>3650000</v>
      </c>
      <c r="S22" s="1630">
        <v>3650000</v>
      </c>
      <c r="T22" s="1630">
        <v>3650000</v>
      </c>
      <c r="U22" s="1630">
        <v>3650000</v>
      </c>
      <c r="V22" s="1630">
        <v>3650000</v>
      </c>
      <c r="W22" s="1630">
        <v>3650000</v>
      </c>
      <c r="X22" s="1632" cm="1">
        <f t="array" ref="X22">SUM(L22:W22)</f>
        <v>43800000</v>
      </c>
      <c r="Y22" s="578"/>
    </row>
    <row r="23" ht="16.5" customHeight="1">
      <c r="A23" s="12"/>
      <c r="B23" s="1628">
        <v>20</v>
      </c>
      <c r="C23" t="s" s="1629">
        <v>1342</v>
      </c>
      <c r="D23" t="s" s="1633">
        <v>1343</v>
      </c>
      <c r="E23" s="1630">
        <v>5000000</v>
      </c>
      <c r="F23" s="1630"/>
      <c r="G23" s="1630"/>
      <c r="H23" s="1630"/>
      <c r="I23" s="1630">
        <v>150000</v>
      </c>
      <c r="J23" s="1630" cm="1">
        <f t="array" ref="J23">SUM(E23:I23)</f>
        <v>5150000</v>
      </c>
      <c r="K23" s="1630"/>
      <c r="L23" s="1630">
        <v>5150000</v>
      </c>
      <c r="M23" s="1630">
        <v>5150000</v>
      </c>
      <c r="N23" s="1630">
        <v>5150000</v>
      </c>
      <c r="O23" s="1630">
        <v>5150000</v>
      </c>
      <c r="P23" s="1630">
        <v>5150000</v>
      </c>
      <c r="Q23" s="1630">
        <v>5150000</v>
      </c>
      <c r="R23" s="1630">
        <v>5150000</v>
      </c>
      <c r="S23" s="1630">
        <v>5150000</v>
      </c>
      <c r="T23" s="1630">
        <v>5150000</v>
      </c>
      <c r="U23" s="1630">
        <v>5150000</v>
      </c>
      <c r="V23" s="1630">
        <v>5150000</v>
      </c>
      <c r="W23" s="1630">
        <v>5150000</v>
      </c>
      <c r="X23" s="1632" cm="1">
        <f t="array" ref="X23">SUM(L23:W23)</f>
        <v>61800000</v>
      </c>
      <c r="Y23" s="578"/>
    </row>
    <row r="24" ht="16.5" customHeight="1">
      <c r="A24" s="12"/>
      <c r="B24" s="1628">
        <v>21</v>
      </c>
      <c r="C24" t="s" s="1629">
        <v>1344</v>
      </c>
      <c r="D24" t="s" s="1633">
        <v>1345</v>
      </c>
      <c r="E24" s="1630" cm="1">
        <f t="array" ref="E24">7000000+1500000</f>
        <v>8500000</v>
      </c>
      <c r="F24" s="1630"/>
      <c r="G24" s="1630"/>
      <c r="H24" s="1630"/>
      <c r="I24" s="1630">
        <v>150000</v>
      </c>
      <c r="J24" s="1630" cm="1">
        <f t="array" ref="J24">SUM(E24:I24)</f>
        <v>8650000</v>
      </c>
      <c r="K24" s="1630"/>
      <c r="L24" s="1630">
        <v>8650000</v>
      </c>
      <c r="M24" s="1630">
        <v>8650000</v>
      </c>
      <c r="N24" s="1630">
        <v>8650000</v>
      </c>
      <c r="O24" s="1630">
        <v>8650000</v>
      </c>
      <c r="P24" s="1630">
        <v>8650000</v>
      </c>
      <c r="Q24" s="1630">
        <v>8650000</v>
      </c>
      <c r="R24" s="1630">
        <v>8650000</v>
      </c>
      <c r="S24" s="1630">
        <v>8650000</v>
      </c>
      <c r="T24" s="1630">
        <v>8650000</v>
      </c>
      <c r="U24" s="1630">
        <v>8650000</v>
      </c>
      <c r="V24" s="1630">
        <v>8650000</v>
      </c>
      <c r="W24" s="1630">
        <v>8650000</v>
      </c>
      <c r="X24" s="1632" cm="1">
        <f t="array" ref="X24">SUM(L24:W24)</f>
        <v>103800000</v>
      </c>
      <c r="Y24" s="578"/>
    </row>
    <row r="25" ht="16.5" customHeight="1">
      <c r="A25" s="12"/>
      <c r="B25" s="1628">
        <v>22</v>
      </c>
      <c r="C25" t="s" s="1629">
        <v>1346</v>
      </c>
      <c r="D25" t="s" s="1629">
        <v>1347</v>
      </c>
      <c r="E25" s="1630">
        <v>8500000</v>
      </c>
      <c r="F25" s="1630">
        <v>1500000</v>
      </c>
      <c r="G25" s="1630"/>
      <c r="H25" s="1630"/>
      <c r="I25" s="1630">
        <v>150000</v>
      </c>
      <c r="J25" s="1630" cm="1">
        <f t="array" ref="J25">SUM(E25:I25)</f>
        <v>10150000</v>
      </c>
      <c r="K25" s="1630"/>
      <c r="L25" s="1630">
        <v>10150000</v>
      </c>
      <c r="M25" s="1630">
        <v>10150000</v>
      </c>
      <c r="N25" s="1630">
        <v>10150000</v>
      </c>
      <c r="O25" s="1630">
        <v>10150000</v>
      </c>
      <c r="P25" s="1630">
        <v>10150000</v>
      </c>
      <c r="Q25" s="1630">
        <v>10150000</v>
      </c>
      <c r="R25" s="1630">
        <v>10150000</v>
      </c>
      <c r="S25" s="1630">
        <v>10150000</v>
      </c>
      <c r="T25" s="1630">
        <v>10150000</v>
      </c>
      <c r="U25" s="1630">
        <v>10150000</v>
      </c>
      <c r="V25" s="1630">
        <v>10150000</v>
      </c>
      <c r="W25" s="1630">
        <v>10150000</v>
      </c>
      <c r="X25" s="1632" cm="1">
        <f t="array" ref="X25">SUM(L25:W25)</f>
        <v>121800000</v>
      </c>
      <c r="Y25" s="578"/>
    </row>
    <row r="26" ht="16.5" customHeight="1">
      <c r="A26" s="12"/>
      <c r="B26" s="1628">
        <v>23</v>
      </c>
      <c r="C26" t="s" s="1629">
        <v>1348</v>
      </c>
      <c r="D26" t="s" s="1629">
        <v>1347</v>
      </c>
      <c r="E26" s="1630">
        <v>7000000</v>
      </c>
      <c r="F26" s="1630"/>
      <c r="G26" s="1630"/>
      <c r="H26" s="1630"/>
      <c r="I26" s="1630">
        <v>150000</v>
      </c>
      <c r="J26" s="1630" cm="1">
        <f t="array" ref="J26">SUM(E26:I26)</f>
        <v>7150000</v>
      </c>
      <c r="K26" s="1630"/>
      <c r="L26" s="1630">
        <v>7150000</v>
      </c>
      <c r="M26" s="1630">
        <v>7150000</v>
      </c>
      <c r="N26" s="1630">
        <v>7150000</v>
      </c>
      <c r="O26" s="1630">
        <v>7150000</v>
      </c>
      <c r="P26" s="1630">
        <v>7150000</v>
      </c>
      <c r="Q26" s="1630">
        <v>7150000</v>
      </c>
      <c r="R26" s="1630">
        <v>7150000</v>
      </c>
      <c r="S26" s="1630">
        <v>7150000</v>
      </c>
      <c r="T26" s="1630">
        <v>7150000</v>
      </c>
      <c r="U26" s="1630">
        <v>7150000</v>
      </c>
      <c r="V26" s="1630">
        <v>7150000</v>
      </c>
      <c r="W26" s="1630">
        <v>7150000</v>
      </c>
      <c r="X26" s="1632" cm="1">
        <f t="array" ref="X26">SUM(L26:W26)</f>
        <v>85800000</v>
      </c>
      <c r="Y26" s="578"/>
    </row>
    <row r="27" ht="16.5" customHeight="1">
      <c r="A27" s="12"/>
      <c r="B27" s="1628">
        <v>24</v>
      </c>
      <c r="C27" t="s" s="1629">
        <v>1349</v>
      </c>
      <c r="D27" t="s" s="1629">
        <v>1350</v>
      </c>
      <c r="E27" s="1630">
        <v>6000000</v>
      </c>
      <c r="F27" s="1630"/>
      <c r="G27" s="1630"/>
      <c r="H27" s="1630"/>
      <c r="I27" s="1630">
        <v>150000</v>
      </c>
      <c r="J27" s="1630" cm="1">
        <f t="array" ref="J27">SUM(E27:I27)</f>
        <v>6150000</v>
      </c>
      <c r="K27" s="1630"/>
      <c r="L27" s="1630">
        <v>6150000</v>
      </c>
      <c r="M27" s="1630">
        <v>6150000</v>
      </c>
      <c r="N27" s="1630">
        <v>6150000</v>
      </c>
      <c r="O27" s="1630">
        <v>6150000</v>
      </c>
      <c r="P27" s="1630">
        <v>6150000</v>
      </c>
      <c r="Q27" s="1630">
        <v>6150000</v>
      </c>
      <c r="R27" s="1630">
        <v>6150000</v>
      </c>
      <c r="S27" s="1630">
        <v>6150000</v>
      </c>
      <c r="T27" s="1630">
        <v>6150000</v>
      </c>
      <c r="U27" s="1630">
        <v>6150000</v>
      </c>
      <c r="V27" s="1630">
        <v>6150000</v>
      </c>
      <c r="W27" s="1630">
        <v>6150000</v>
      </c>
      <c r="X27" s="1632" cm="1">
        <f t="array" ref="X27">SUM(L27:W27)</f>
        <v>73800000</v>
      </c>
      <c r="Y27" s="578"/>
    </row>
    <row r="28" ht="16.5" customHeight="1">
      <c r="A28" s="12"/>
      <c r="B28" s="1628">
        <v>25</v>
      </c>
      <c r="C28" t="s" s="1629">
        <v>1351</v>
      </c>
      <c r="D28" t="s" s="1629">
        <v>1347</v>
      </c>
      <c r="E28" s="1630">
        <v>5000000</v>
      </c>
      <c r="F28" s="1630"/>
      <c r="G28" s="1630"/>
      <c r="H28" s="1630"/>
      <c r="I28" s="1630">
        <v>150000</v>
      </c>
      <c r="J28" s="1630" cm="1">
        <f t="array" ref="J28">SUM(E28:I28)</f>
        <v>5150000</v>
      </c>
      <c r="K28" s="1630"/>
      <c r="L28" s="1630">
        <v>5150000</v>
      </c>
      <c r="M28" s="1630">
        <v>5150000</v>
      </c>
      <c r="N28" s="1630">
        <v>5150000</v>
      </c>
      <c r="O28" s="1630">
        <v>5150000</v>
      </c>
      <c r="P28" s="1630">
        <v>5150000</v>
      </c>
      <c r="Q28" s="1630">
        <v>5150000</v>
      </c>
      <c r="R28" s="1630">
        <v>5150000</v>
      </c>
      <c r="S28" s="1630">
        <v>5150000</v>
      </c>
      <c r="T28" s="1630">
        <v>5150000</v>
      </c>
      <c r="U28" s="1630">
        <v>5150000</v>
      </c>
      <c r="V28" s="1630">
        <v>5150000</v>
      </c>
      <c r="W28" s="1630">
        <v>5150000</v>
      </c>
      <c r="X28" s="1632" cm="1">
        <f t="array" ref="X28">SUM(L28:W28)</f>
        <v>61800000</v>
      </c>
      <c r="Y28" s="578"/>
    </row>
    <row r="29" ht="16.5" customHeight="1">
      <c r="A29" s="12"/>
      <c r="B29" s="1628">
        <v>26</v>
      </c>
      <c r="C29" t="s" s="1629">
        <v>1352</v>
      </c>
      <c r="D29" t="s" s="1629">
        <v>1353</v>
      </c>
      <c r="E29" s="1630">
        <v>5000000</v>
      </c>
      <c r="F29" s="1630"/>
      <c r="G29" s="1630"/>
      <c r="H29" s="1630"/>
      <c r="I29" s="1630">
        <v>150000</v>
      </c>
      <c r="J29" s="1630" cm="1">
        <f t="array" ref="J29">SUM(E29:I29)</f>
        <v>5150000</v>
      </c>
      <c r="K29" s="1630"/>
      <c r="L29" s="1630">
        <v>5150000</v>
      </c>
      <c r="M29" s="1630">
        <v>5150000</v>
      </c>
      <c r="N29" s="1630">
        <v>5150000</v>
      </c>
      <c r="O29" s="1630">
        <v>5150000</v>
      </c>
      <c r="P29" s="1630">
        <v>5150000</v>
      </c>
      <c r="Q29" s="1630">
        <v>5150000</v>
      </c>
      <c r="R29" s="1630">
        <v>5150000</v>
      </c>
      <c r="S29" s="1630">
        <v>5150000</v>
      </c>
      <c r="T29" s="1630">
        <v>5150000</v>
      </c>
      <c r="U29" s="1630">
        <v>5150000</v>
      </c>
      <c r="V29" s="1630">
        <v>5150000</v>
      </c>
      <c r="W29" s="1630">
        <v>5150000</v>
      </c>
      <c r="X29" s="1632" cm="1">
        <f t="array" ref="X29">SUM(L29:W29)</f>
        <v>61800000</v>
      </c>
      <c r="Y29" s="578"/>
    </row>
    <row r="30" ht="16.5" customHeight="1">
      <c r="A30" s="12"/>
      <c r="B30" s="1628">
        <v>27</v>
      </c>
      <c r="C30" t="s" s="1629">
        <v>1354</v>
      </c>
      <c r="D30" t="s" s="1629">
        <v>1355</v>
      </c>
      <c r="E30" s="1630">
        <v>3500000</v>
      </c>
      <c r="F30" s="1630"/>
      <c r="G30" s="1630"/>
      <c r="H30" s="1630"/>
      <c r="I30" s="1630">
        <v>150000</v>
      </c>
      <c r="J30" s="1630" cm="1">
        <f t="array" ref="J30">SUM(E30:I30)</f>
        <v>3650000</v>
      </c>
      <c r="K30" s="1630"/>
      <c r="L30" s="1630">
        <v>3650000</v>
      </c>
      <c r="M30" s="1630">
        <v>3650000</v>
      </c>
      <c r="N30" s="1630">
        <v>3650000</v>
      </c>
      <c r="O30" s="1630">
        <v>3650000</v>
      </c>
      <c r="P30" s="1630">
        <v>3650000</v>
      </c>
      <c r="Q30" s="1630">
        <v>3650000</v>
      </c>
      <c r="R30" s="1630">
        <v>3650000</v>
      </c>
      <c r="S30" s="1630">
        <v>3650000</v>
      </c>
      <c r="T30" s="1630">
        <v>3650000</v>
      </c>
      <c r="U30" s="1630">
        <v>3650000</v>
      </c>
      <c r="V30" s="1630">
        <v>3650000</v>
      </c>
      <c r="W30" s="1630">
        <v>3650000</v>
      </c>
      <c r="X30" s="1632" cm="1">
        <f t="array" ref="X30">SUM(L30:W30)</f>
        <v>43800000</v>
      </c>
      <c r="Y30" s="578"/>
    </row>
    <row r="31" ht="16.5" customHeight="1">
      <c r="A31" s="12"/>
      <c r="B31" s="1628">
        <v>28</v>
      </c>
      <c r="C31" t="s" s="1629">
        <v>1356</v>
      </c>
      <c r="D31" t="s" s="1629">
        <v>1355</v>
      </c>
      <c r="E31" s="1630">
        <v>3500000</v>
      </c>
      <c r="F31" s="1630"/>
      <c r="G31" s="1630"/>
      <c r="H31" s="1630"/>
      <c r="I31" s="1630">
        <v>150000</v>
      </c>
      <c r="J31" s="1630" cm="1">
        <f t="array" ref="J31">SUM(E31:I31)</f>
        <v>3650000</v>
      </c>
      <c r="K31" s="1630"/>
      <c r="L31" s="1630">
        <v>3650000</v>
      </c>
      <c r="M31" s="1630">
        <v>3650000</v>
      </c>
      <c r="N31" s="1630">
        <v>3650000</v>
      </c>
      <c r="O31" s="1630">
        <v>3650000</v>
      </c>
      <c r="P31" s="1630">
        <v>3650000</v>
      </c>
      <c r="Q31" s="1630">
        <v>3650000</v>
      </c>
      <c r="R31" s="1630">
        <v>3650000</v>
      </c>
      <c r="S31" s="1630">
        <v>3650000</v>
      </c>
      <c r="T31" s="1630">
        <v>3650000</v>
      </c>
      <c r="U31" s="1630">
        <v>3650000</v>
      </c>
      <c r="V31" s="1630">
        <v>3650000</v>
      </c>
      <c r="W31" s="1630">
        <v>3650000</v>
      </c>
      <c r="X31" s="1632" cm="1">
        <f t="array" ref="X31">SUM(L31:W31)</f>
        <v>43800000</v>
      </c>
      <c r="Y31" s="578"/>
    </row>
    <row r="32" ht="16.5" customHeight="1">
      <c r="A32" s="12"/>
      <c r="B32" s="1628">
        <v>29</v>
      </c>
      <c r="C32" t="s" s="1629">
        <v>1324</v>
      </c>
      <c r="D32" t="s" s="1629">
        <v>1357</v>
      </c>
      <c r="E32" s="1630">
        <v>3500000</v>
      </c>
      <c r="F32" s="1630"/>
      <c r="G32" s="1630"/>
      <c r="H32" s="1630"/>
      <c r="I32" s="1630">
        <v>150000</v>
      </c>
      <c r="J32" s="1630" cm="1">
        <f t="array" ref="J32">SUM(E32:I32)</f>
        <v>3650000</v>
      </c>
      <c r="K32" s="1630"/>
      <c r="L32" s="1630">
        <v>3650000</v>
      </c>
      <c r="M32" s="1630">
        <v>3650000</v>
      </c>
      <c r="N32" s="1630">
        <v>3650000</v>
      </c>
      <c r="O32" s="1630">
        <v>3650000</v>
      </c>
      <c r="P32" s="1630">
        <v>3650000</v>
      </c>
      <c r="Q32" s="1630">
        <v>3650000</v>
      </c>
      <c r="R32" s="1630">
        <v>3650000</v>
      </c>
      <c r="S32" s="1630">
        <v>3650000</v>
      </c>
      <c r="T32" s="1630">
        <v>3650000</v>
      </c>
      <c r="U32" s="1630">
        <v>3650000</v>
      </c>
      <c r="V32" s="1630">
        <v>3650000</v>
      </c>
      <c r="W32" s="1630">
        <v>3650000</v>
      </c>
      <c r="X32" s="1632" cm="1">
        <f t="array" ref="X32">SUM(L32:W32)</f>
        <v>43800000</v>
      </c>
      <c r="Y32" s="578"/>
    </row>
    <row r="33" ht="16.5" customHeight="1">
      <c r="A33" s="12"/>
      <c r="B33" s="1628">
        <v>30</v>
      </c>
      <c r="C33" t="s" s="1629">
        <v>1358</v>
      </c>
      <c r="D33" t="s" s="1629">
        <v>1359</v>
      </c>
      <c r="E33" s="1630">
        <v>2000000</v>
      </c>
      <c r="F33" s="1630"/>
      <c r="G33" s="1630"/>
      <c r="H33" s="1630"/>
      <c r="I33" s="1630">
        <v>150000</v>
      </c>
      <c r="J33" s="1630" cm="1">
        <f t="array" ref="J33">SUM(E33:I33)</f>
        <v>2150000</v>
      </c>
      <c r="K33" s="1630"/>
      <c r="L33" s="1630">
        <v>2150000</v>
      </c>
      <c r="M33" s="1630">
        <v>2150000</v>
      </c>
      <c r="N33" s="1630">
        <v>2150000</v>
      </c>
      <c r="O33" s="1630">
        <v>2150000</v>
      </c>
      <c r="P33" s="1630">
        <v>2150000</v>
      </c>
      <c r="Q33" s="1630">
        <v>2150000</v>
      </c>
      <c r="R33" s="1630">
        <v>2150000</v>
      </c>
      <c r="S33" s="1630">
        <v>2150000</v>
      </c>
      <c r="T33" s="1630">
        <v>2150000</v>
      </c>
      <c r="U33" s="1630">
        <v>2150000</v>
      </c>
      <c r="V33" s="1630">
        <v>2150000</v>
      </c>
      <c r="W33" s="1630">
        <v>2150000</v>
      </c>
      <c r="X33" s="1632" cm="1">
        <f t="array" ref="X33">SUM(L33:W33)</f>
        <v>25800000</v>
      </c>
      <c r="Y33" s="578"/>
    </row>
    <row r="34" ht="16.5" customHeight="1">
      <c r="A34" s="12"/>
      <c r="B34" s="1628">
        <v>31</v>
      </c>
      <c r="C34" t="s" s="1629">
        <v>1360</v>
      </c>
      <c r="D34" t="s" s="1629">
        <v>1361</v>
      </c>
      <c r="E34" s="1630">
        <v>4000000</v>
      </c>
      <c r="F34" s="1630"/>
      <c r="G34" s="1630"/>
      <c r="H34" s="1630"/>
      <c r="I34" s="1630">
        <v>150000</v>
      </c>
      <c r="J34" s="1630" cm="1">
        <f t="array" ref="J34">SUM(E34:I34)</f>
        <v>4150000</v>
      </c>
      <c r="K34" s="1630"/>
      <c r="L34" s="1630">
        <v>4150000</v>
      </c>
      <c r="M34" s="1630">
        <v>4150000</v>
      </c>
      <c r="N34" s="1630">
        <v>4150000</v>
      </c>
      <c r="O34" s="1630">
        <v>4150000</v>
      </c>
      <c r="P34" s="1630">
        <v>4150000</v>
      </c>
      <c r="Q34" s="1630">
        <v>4150000</v>
      </c>
      <c r="R34" s="1630">
        <v>4150000</v>
      </c>
      <c r="S34" s="1630">
        <v>4150000</v>
      </c>
      <c r="T34" s="1630">
        <v>4150000</v>
      </c>
      <c r="U34" s="1630">
        <v>4150000</v>
      </c>
      <c r="V34" s="1630">
        <v>4150000</v>
      </c>
      <c r="W34" s="1630">
        <v>4150000</v>
      </c>
      <c r="X34" s="1632" cm="1">
        <f t="array" ref="X34">SUM(L34:W34)</f>
        <v>49800000</v>
      </c>
      <c r="Y34" s="578"/>
    </row>
    <row r="35" ht="16.5" customHeight="1">
      <c r="A35" s="12"/>
      <c r="B35" s="1628">
        <v>32</v>
      </c>
      <c r="C35" t="s" s="1629">
        <v>1362</v>
      </c>
      <c r="D35" t="s" s="1629">
        <v>1363</v>
      </c>
      <c r="E35" s="1630">
        <v>13000000</v>
      </c>
      <c r="F35" s="1630">
        <v>5000000</v>
      </c>
      <c r="G35" s="1630"/>
      <c r="H35" s="1630"/>
      <c r="I35" s="1630">
        <v>150000</v>
      </c>
      <c r="J35" s="1630" cm="1">
        <f t="array" ref="J35">SUM(E35:I35)</f>
        <v>18150000</v>
      </c>
      <c r="K35" s="1630"/>
      <c r="L35" s="1630">
        <v>18150000</v>
      </c>
      <c r="M35" s="1630">
        <v>18150000</v>
      </c>
      <c r="N35" s="1630">
        <v>18150000</v>
      </c>
      <c r="O35" s="1630">
        <v>18150000</v>
      </c>
      <c r="P35" s="1630">
        <v>18150000</v>
      </c>
      <c r="Q35" s="1630">
        <v>18150000</v>
      </c>
      <c r="R35" s="1630">
        <v>18150000</v>
      </c>
      <c r="S35" s="1630">
        <v>18150000</v>
      </c>
      <c r="T35" s="1630">
        <v>18150000</v>
      </c>
      <c r="U35" s="1630">
        <v>18150000</v>
      </c>
      <c r="V35" s="1630">
        <v>18150000</v>
      </c>
      <c r="W35" s="1630">
        <v>18150000</v>
      </c>
      <c r="X35" s="1632" cm="1">
        <f t="array" ref="X35">SUM(L35:W35)</f>
        <v>217800000</v>
      </c>
      <c r="Y35" s="578"/>
    </row>
    <row r="36" ht="16.5" customHeight="1">
      <c r="A36" s="12"/>
      <c r="B36" s="1628">
        <v>33</v>
      </c>
      <c r="C36" t="s" s="1629">
        <v>1364</v>
      </c>
      <c r="D36" t="s" s="1629">
        <v>1363</v>
      </c>
      <c r="E36" s="1630">
        <v>13000000</v>
      </c>
      <c r="F36" s="1630">
        <v>5000000</v>
      </c>
      <c r="G36" s="1630"/>
      <c r="H36" s="1630"/>
      <c r="I36" s="1630">
        <v>150000</v>
      </c>
      <c r="J36" s="1630" cm="1">
        <f t="array" ref="J36">SUM(E36:I36)</f>
        <v>18150000</v>
      </c>
      <c r="K36" s="1630"/>
      <c r="L36" s="1630">
        <v>18150000</v>
      </c>
      <c r="M36" s="1630">
        <v>18150000</v>
      </c>
      <c r="N36" s="1630">
        <v>18150000</v>
      </c>
      <c r="O36" s="1630">
        <v>18150000</v>
      </c>
      <c r="P36" s="1630">
        <v>18150000</v>
      </c>
      <c r="Q36" s="1630">
        <v>18150000</v>
      </c>
      <c r="R36" s="1630">
        <v>18150000</v>
      </c>
      <c r="S36" s="1630">
        <v>18150000</v>
      </c>
      <c r="T36" s="1630">
        <v>18150000</v>
      </c>
      <c r="U36" s="1630">
        <v>18150000</v>
      </c>
      <c r="V36" s="1630">
        <v>18150000</v>
      </c>
      <c r="W36" s="1630">
        <v>18150000</v>
      </c>
      <c r="X36" s="1632" cm="1">
        <f t="array" ref="X36">SUM(L36:W36)</f>
        <v>217800000</v>
      </c>
      <c r="Y36" s="578"/>
    </row>
    <row r="37" ht="16.5" customHeight="1">
      <c r="A37" s="12"/>
      <c r="B37" s="1628">
        <v>34</v>
      </c>
      <c r="C37" t="s" s="1629">
        <v>1365</v>
      </c>
      <c r="D37" t="s" s="1629">
        <v>1363</v>
      </c>
      <c r="E37" s="1630">
        <v>13000000</v>
      </c>
      <c r="F37" s="1630">
        <v>5000000</v>
      </c>
      <c r="G37" s="1630">
        <v>5000000</v>
      </c>
      <c r="H37" s="1630"/>
      <c r="I37" s="1630">
        <v>150000</v>
      </c>
      <c r="J37" s="1630" cm="1">
        <f t="array" ref="J37">SUM(E37:I37)</f>
        <v>23150000</v>
      </c>
      <c r="K37" s="1630"/>
      <c r="L37" s="1630">
        <v>23150000</v>
      </c>
      <c r="M37" s="1630">
        <v>23150000</v>
      </c>
      <c r="N37" s="1630">
        <v>23150000</v>
      </c>
      <c r="O37" s="1630">
        <v>23150000</v>
      </c>
      <c r="P37" s="1630">
        <v>23150000</v>
      </c>
      <c r="Q37" s="1630">
        <v>23150000</v>
      </c>
      <c r="R37" s="1630">
        <v>23150000</v>
      </c>
      <c r="S37" s="1630">
        <v>23150000</v>
      </c>
      <c r="T37" s="1630">
        <v>23150000</v>
      </c>
      <c r="U37" s="1630">
        <v>23150000</v>
      </c>
      <c r="V37" s="1630">
        <v>23150000</v>
      </c>
      <c r="W37" s="1630">
        <v>23150000</v>
      </c>
      <c r="X37" s="1632" cm="1">
        <f t="array" ref="X37">SUM(L37:W37)</f>
        <v>277800000</v>
      </c>
      <c r="Y37" s="578"/>
    </row>
    <row r="38" ht="16.5" customHeight="1">
      <c r="A38" s="12"/>
      <c r="B38" s="1628">
        <v>35</v>
      </c>
      <c r="C38" t="s" s="1629">
        <v>1366</v>
      </c>
      <c r="D38" t="s" s="1629">
        <v>1363</v>
      </c>
      <c r="E38" s="1630">
        <v>13000000</v>
      </c>
      <c r="F38" s="1630">
        <v>5000000</v>
      </c>
      <c r="G38" s="1630"/>
      <c r="H38" s="1630"/>
      <c r="I38" s="1630">
        <v>150000</v>
      </c>
      <c r="J38" s="1630" cm="1">
        <f t="array" ref="J38">SUM(E38:I38)</f>
        <v>18150000</v>
      </c>
      <c r="K38" s="1630"/>
      <c r="L38" s="1630">
        <v>18150000</v>
      </c>
      <c r="M38" s="1630">
        <v>18150000</v>
      </c>
      <c r="N38" s="1630">
        <v>18150000</v>
      </c>
      <c r="O38" s="1630">
        <v>18150000</v>
      </c>
      <c r="P38" s="1630">
        <v>18150000</v>
      </c>
      <c r="Q38" s="1630">
        <v>18150000</v>
      </c>
      <c r="R38" s="1630">
        <v>18150000</v>
      </c>
      <c r="S38" s="1630">
        <v>18150000</v>
      </c>
      <c r="T38" s="1630">
        <v>18150000</v>
      </c>
      <c r="U38" s="1630">
        <v>18150000</v>
      </c>
      <c r="V38" s="1630">
        <v>18150000</v>
      </c>
      <c r="W38" s="1630">
        <v>18150000</v>
      </c>
      <c r="X38" s="1632" cm="1">
        <f t="array" ref="X38">SUM(L38:W38)</f>
        <v>217800000</v>
      </c>
      <c r="Y38" s="578"/>
    </row>
    <row r="39" ht="16.5" customHeight="1">
      <c r="A39" s="12"/>
      <c r="B39" s="1628">
        <v>36</v>
      </c>
      <c r="C39" t="s" s="1629">
        <v>1367</v>
      </c>
      <c r="D39" t="s" s="1629">
        <v>1363</v>
      </c>
      <c r="E39" s="1630">
        <v>10000000</v>
      </c>
      <c r="F39" s="1630">
        <v>5000000</v>
      </c>
      <c r="G39" s="1630"/>
      <c r="H39" s="1630"/>
      <c r="I39" s="1630">
        <v>150000</v>
      </c>
      <c r="J39" s="1630" cm="1">
        <f t="array" ref="J39">SUM(E39:I39)</f>
        <v>15150000</v>
      </c>
      <c r="K39" s="1630"/>
      <c r="L39" s="1630">
        <v>15150000</v>
      </c>
      <c r="M39" s="1630">
        <v>15150000</v>
      </c>
      <c r="N39" s="1630">
        <v>15150000</v>
      </c>
      <c r="O39" s="1630">
        <v>15150000</v>
      </c>
      <c r="P39" s="1630">
        <v>15150000</v>
      </c>
      <c r="Q39" s="1630">
        <v>15150000</v>
      </c>
      <c r="R39" s="1630">
        <v>15150000</v>
      </c>
      <c r="S39" s="1630">
        <v>15150000</v>
      </c>
      <c r="T39" s="1630">
        <v>15150000</v>
      </c>
      <c r="U39" s="1630">
        <v>15150000</v>
      </c>
      <c r="V39" s="1630">
        <v>15150000</v>
      </c>
      <c r="W39" s="1630">
        <v>15150000</v>
      </c>
      <c r="X39" s="1632" cm="1">
        <f t="array" ref="X39">SUM(L39:W39)</f>
        <v>181800000</v>
      </c>
      <c r="Y39" s="578"/>
    </row>
    <row r="40" ht="16.5" customHeight="1">
      <c r="A40" s="12"/>
      <c r="B40" s="1628">
        <v>37</v>
      </c>
      <c r="C40" t="s" s="1629">
        <v>1368</v>
      </c>
      <c r="D40" t="s" s="1629">
        <v>1363</v>
      </c>
      <c r="E40" s="1630">
        <v>10000000</v>
      </c>
      <c r="F40" s="1630">
        <v>3000000</v>
      </c>
      <c r="G40" s="1630"/>
      <c r="H40" s="1630"/>
      <c r="I40" s="1630">
        <v>150000</v>
      </c>
      <c r="J40" s="1630" cm="1">
        <f t="array" ref="J40">SUM(E40:I40)</f>
        <v>13150000</v>
      </c>
      <c r="K40" s="1630"/>
      <c r="L40" s="1630">
        <v>13150000</v>
      </c>
      <c r="M40" s="1630">
        <v>13150000</v>
      </c>
      <c r="N40" s="1630">
        <v>13150000</v>
      </c>
      <c r="O40" s="1630">
        <v>13150000</v>
      </c>
      <c r="P40" s="1630">
        <v>13150000</v>
      </c>
      <c r="Q40" s="1630">
        <v>13150000</v>
      </c>
      <c r="R40" s="1630">
        <v>13150000</v>
      </c>
      <c r="S40" s="1630">
        <v>13150000</v>
      </c>
      <c r="T40" s="1630">
        <v>13150000</v>
      </c>
      <c r="U40" s="1630">
        <v>13150000</v>
      </c>
      <c r="V40" s="1630">
        <v>13150000</v>
      </c>
      <c r="W40" s="1630">
        <v>13150000</v>
      </c>
      <c r="X40" s="1632" cm="1">
        <f t="array" ref="X40">SUM(L40:W40)</f>
        <v>157800000</v>
      </c>
      <c r="Y40" s="578"/>
    </row>
    <row r="41" ht="16.5" customHeight="1">
      <c r="A41" s="12"/>
      <c r="B41" s="1628">
        <v>39</v>
      </c>
      <c r="C41" t="s" s="1629">
        <v>1369</v>
      </c>
      <c r="D41" t="s" s="1629">
        <v>1370</v>
      </c>
      <c r="E41" s="1630">
        <v>3000000</v>
      </c>
      <c r="F41" s="1630"/>
      <c r="G41" s="1630"/>
      <c r="H41" s="1630"/>
      <c r="I41" s="1630">
        <v>150000</v>
      </c>
      <c r="J41" s="1630" cm="1">
        <f t="array" ref="J41">SUM(E41:I41)</f>
        <v>3150000</v>
      </c>
      <c r="K41" s="1630"/>
      <c r="L41" s="1630">
        <v>3150000</v>
      </c>
      <c r="M41" s="1630">
        <v>3150000</v>
      </c>
      <c r="N41" s="1630">
        <v>3150000</v>
      </c>
      <c r="O41" s="1630">
        <v>3150000</v>
      </c>
      <c r="P41" s="1630">
        <v>3150000</v>
      </c>
      <c r="Q41" s="1630">
        <v>3150000</v>
      </c>
      <c r="R41" s="1630">
        <v>3150000</v>
      </c>
      <c r="S41" s="1630">
        <v>3150000</v>
      </c>
      <c r="T41" s="1630">
        <v>3150000</v>
      </c>
      <c r="U41" s="1630">
        <v>3150000</v>
      </c>
      <c r="V41" s="1630">
        <v>3150000</v>
      </c>
      <c r="W41" s="1630">
        <v>3150000</v>
      </c>
      <c r="X41" s="1632" cm="1">
        <f t="array" ref="X41">SUM(L41:W41)</f>
        <v>37800000</v>
      </c>
      <c r="Y41" s="578"/>
    </row>
    <row r="42" ht="16.5" customHeight="1">
      <c r="A42" s="12"/>
      <c r="B42" s="1628">
        <v>38</v>
      </c>
      <c r="C42" t="s" s="1629">
        <v>1371</v>
      </c>
      <c r="D42" t="s" s="1629">
        <v>1372</v>
      </c>
      <c r="E42" s="1630">
        <v>3000000</v>
      </c>
      <c r="F42" s="1630"/>
      <c r="G42" s="1630"/>
      <c r="H42" s="1630"/>
      <c r="I42" s="1630"/>
      <c r="J42" s="1630" cm="1">
        <f t="array" ref="J42">SUM(E42:I42)</f>
        <v>3000000</v>
      </c>
      <c r="K42" s="1630"/>
      <c r="L42" s="1630">
        <v>3000000</v>
      </c>
      <c r="M42" s="1630">
        <v>3000000</v>
      </c>
      <c r="N42" s="1630">
        <v>3000000</v>
      </c>
      <c r="O42" s="1630">
        <v>3000000</v>
      </c>
      <c r="P42" s="1630">
        <v>3000000</v>
      </c>
      <c r="Q42" s="1630">
        <v>3000000</v>
      </c>
      <c r="R42" s="1630">
        <v>3000000</v>
      </c>
      <c r="S42" s="1630">
        <v>3000000</v>
      </c>
      <c r="T42" s="1630">
        <v>3000000</v>
      </c>
      <c r="U42" s="1630">
        <v>3000000</v>
      </c>
      <c r="V42" s="1630">
        <v>3000000</v>
      </c>
      <c r="W42" s="1630">
        <v>3000000</v>
      </c>
      <c r="X42" s="1632" cm="1">
        <f t="array" ref="X42">SUM(L42:W42)</f>
        <v>36000000</v>
      </c>
      <c r="Y42" s="578"/>
    </row>
    <row r="43" ht="16.5" customHeight="1">
      <c r="A43" s="12"/>
      <c r="B43" s="1628">
        <v>40</v>
      </c>
      <c r="C43" t="s" s="1629">
        <v>1373</v>
      </c>
      <c r="D43" t="s" s="1629">
        <v>1373</v>
      </c>
      <c r="E43" s="1630">
        <v>40000000</v>
      </c>
      <c r="F43" s="1630"/>
      <c r="G43" s="1630"/>
      <c r="H43" s="1630"/>
      <c r="I43" s="1630"/>
      <c r="J43" s="1630" cm="1">
        <f t="array" ref="J43">SUM(E43:I43)</f>
        <v>40000000</v>
      </c>
      <c r="K43" s="1630"/>
      <c r="L43" s="1630">
        <v>40000000</v>
      </c>
      <c r="M43" s="1630">
        <v>40000000</v>
      </c>
      <c r="N43" s="1630">
        <v>40000000</v>
      </c>
      <c r="O43" s="1630">
        <v>40000000</v>
      </c>
      <c r="P43" s="1630">
        <v>40000000</v>
      </c>
      <c r="Q43" s="1630">
        <v>40000000</v>
      </c>
      <c r="R43" s="1630">
        <v>40000000</v>
      </c>
      <c r="S43" s="1630">
        <v>40000000</v>
      </c>
      <c r="T43" s="1630">
        <v>40000000</v>
      </c>
      <c r="U43" s="1630">
        <v>40000000</v>
      </c>
      <c r="V43" s="1630">
        <v>40000000</v>
      </c>
      <c r="W43" s="1630">
        <v>40000000</v>
      </c>
      <c r="X43" s="1632" cm="1">
        <f t="array" ref="X43">SUM(L43:W43)</f>
        <v>480000000</v>
      </c>
      <c r="Y43" s="578"/>
    </row>
    <row r="44" ht="16.5" customHeight="1">
      <c r="A44" s="12"/>
      <c r="B44" s="1628">
        <v>41</v>
      </c>
      <c r="C44" t="s" s="1629">
        <v>1374</v>
      </c>
      <c r="D44" t="s" s="1629">
        <v>1374</v>
      </c>
      <c r="E44" s="1630">
        <v>16000000</v>
      </c>
      <c r="F44" s="1630"/>
      <c r="G44" s="1630"/>
      <c r="H44" s="1630"/>
      <c r="I44" s="1630"/>
      <c r="J44" s="1630" cm="1">
        <f t="array" ref="J44">SUM(E44:I44)</f>
        <v>16000000</v>
      </c>
      <c r="K44" s="1630"/>
      <c r="L44" s="1630">
        <v>16000000</v>
      </c>
      <c r="M44" s="1630">
        <v>16000000</v>
      </c>
      <c r="N44" s="1630">
        <v>16000000</v>
      </c>
      <c r="O44" s="1630">
        <v>16000000</v>
      </c>
      <c r="P44" s="1630">
        <v>16000000</v>
      </c>
      <c r="Q44" s="1630">
        <v>16000000</v>
      </c>
      <c r="R44" s="1630">
        <v>16000000</v>
      </c>
      <c r="S44" s="1630">
        <v>16000000</v>
      </c>
      <c r="T44" s="1630">
        <v>16000000</v>
      </c>
      <c r="U44" s="1630">
        <v>16000000</v>
      </c>
      <c r="V44" s="1630">
        <v>16000000</v>
      </c>
      <c r="W44" s="1630">
        <v>16000000</v>
      </c>
      <c r="X44" s="1632" cm="1">
        <f t="array" ref="X44">SUM(L44:W44)</f>
        <v>192000000</v>
      </c>
      <c r="Y44" s="578"/>
    </row>
    <row r="45" ht="16.5" customHeight="1">
      <c r="A45" s="12"/>
      <c r="B45" s="1628">
        <v>42</v>
      </c>
      <c r="C45" t="s" s="1629">
        <v>1375</v>
      </c>
      <c r="D45" t="s" s="1629">
        <v>1376</v>
      </c>
      <c r="E45" s="1630">
        <v>3000000</v>
      </c>
      <c r="F45" s="1630"/>
      <c r="G45" s="1630"/>
      <c r="H45" s="1630"/>
      <c r="I45" s="1630"/>
      <c r="J45" s="1630" cm="1">
        <f t="array" ref="J45">SUM(E45:I45)</f>
        <v>3000000</v>
      </c>
      <c r="K45" s="1630"/>
      <c r="L45" s="1630">
        <v>3000000</v>
      </c>
      <c r="M45" s="1630">
        <v>3000000</v>
      </c>
      <c r="N45" s="1630">
        <v>3000000</v>
      </c>
      <c r="O45" s="1630">
        <v>3000000</v>
      </c>
      <c r="P45" s="1630">
        <v>3000000</v>
      </c>
      <c r="Q45" s="1630">
        <v>3000000</v>
      </c>
      <c r="R45" s="1630">
        <v>3000000</v>
      </c>
      <c r="S45" s="1630">
        <v>3000000</v>
      </c>
      <c r="T45" s="1630">
        <v>3000000</v>
      </c>
      <c r="U45" s="1630">
        <v>3000000</v>
      </c>
      <c r="V45" s="1630">
        <v>3000000</v>
      </c>
      <c r="W45" s="1630">
        <v>3000000</v>
      </c>
      <c r="X45" s="1632" cm="1">
        <f t="array" ref="X45">SUM(L45:W45)</f>
        <v>36000000</v>
      </c>
      <c r="Y45" s="578"/>
    </row>
    <row r="46" ht="16.5" customHeight="1">
      <c r="A46" s="12"/>
      <c r="B46" s="1628">
        <v>43</v>
      </c>
      <c r="C46" t="s" s="1629">
        <v>1375</v>
      </c>
      <c r="D46" t="s" s="1629">
        <v>1377</v>
      </c>
      <c r="E46" s="1630">
        <v>3000000</v>
      </c>
      <c r="F46" s="1630"/>
      <c r="G46" s="1630"/>
      <c r="H46" s="1630"/>
      <c r="I46" s="1630"/>
      <c r="J46" s="1630" cm="1">
        <f t="array" ref="J46">SUM(E46:I46)</f>
        <v>3000000</v>
      </c>
      <c r="K46" s="1630"/>
      <c r="L46" s="1630">
        <v>3000000</v>
      </c>
      <c r="M46" s="1630">
        <v>3000000</v>
      </c>
      <c r="N46" s="1630">
        <v>3000000</v>
      </c>
      <c r="O46" s="1630">
        <v>3000000</v>
      </c>
      <c r="P46" s="1630">
        <v>3000000</v>
      </c>
      <c r="Q46" s="1630">
        <v>3000000</v>
      </c>
      <c r="R46" s="1630">
        <v>3000000</v>
      </c>
      <c r="S46" s="1630">
        <v>3000000</v>
      </c>
      <c r="T46" s="1630">
        <v>3000000</v>
      </c>
      <c r="U46" s="1630">
        <v>3000000</v>
      </c>
      <c r="V46" s="1630">
        <v>3000000</v>
      </c>
      <c r="W46" s="1630">
        <v>3000000</v>
      </c>
      <c r="X46" s="1632" cm="1">
        <f t="array" ref="X46">SUM(L46:W46)</f>
        <v>36000000</v>
      </c>
      <c r="Y46" s="578"/>
    </row>
    <row r="47" ht="16.5" customHeight="1">
      <c r="A47" s="12"/>
      <c r="B47" s="1628">
        <v>44</v>
      </c>
      <c r="C47" t="s" s="1629">
        <v>1375</v>
      </c>
      <c r="D47" t="s" s="1629">
        <v>1378</v>
      </c>
      <c r="E47" s="1630">
        <v>3000000</v>
      </c>
      <c r="F47" s="1630"/>
      <c r="G47" s="1630"/>
      <c r="H47" s="1630"/>
      <c r="I47" s="1630"/>
      <c r="J47" s="1630" cm="1">
        <f t="array" ref="J47">SUM(E47:I47)</f>
        <v>3000000</v>
      </c>
      <c r="K47" s="1630"/>
      <c r="L47" s="1630">
        <v>3000000</v>
      </c>
      <c r="M47" s="1630">
        <v>3000000</v>
      </c>
      <c r="N47" s="1630">
        <v>3000000</v>
      </c>
      <c r="O47" s="1630">
        <v>3000000</v>
      </c>
      <c r="P47" s="1630">
        <v>3000000</v>
      </c>
      <c r="Q47" s="1630">
        <v>3000000</v>
      </c>
      <c r="R47" s="1630">
        <v>3000000</v>
      </c>
      <c r="S47" s="1630">
        <v>3000000</v>
      </c>
      <c r="T47" s="1630">
        <v>3000000</v>
      </c>
      <c r="U47" s="1630">
        <v>3000000</v>
      </c>
      <c r="V47" s="1630">
        <v>3000000</v>
      </c>
      <c r="W47" s="1630">
        <v>3000000</v>
      </c>
      <c r="X47" s="1632" cm="1">
        <f t="array" ref="X47">SUM(L47:W47)</f>
        <v>36000000</v>
      </c>
      <c r="Y47" s="578"/>
    </row>
    <row r="48" ht="16.5" customHeight="1">
      <c r="A48" s="12"/>
      <c r="B48" s="1628">
        <v>45</v>
      </c>
      <c r="C48" t="s" s="1629">
        <v>1375</v>
      </c>
      <c r="D48" t="s" s="1629">
        <v>1379</v>
      </c>
      <c r="E48" s="1630">
        <v>3000000</v>
      </c>
      <c r="F48" s="1630"/>
      <c r="G48" s="1630"/>
      <c r="H48" s="1630"/>
      <c r="I48" s="1630"/>
      <c r="J48" s="1630" cm="1">
        <f t="array" ref="J48">SUM(E48:I48)</f>
        <v>3000000</v>
      </c>
      <c r="K48" s="1630"/>
      <c r="L48" s="1630">
        <v>0</v>
      </c>
      <c r="M48" s="1630">
        <v>0</v>
      </c>
      <c r="N48" s="1630">
        <v>0</v>
      </c>
      <c r="O48" s="1630">
        <v>0</v>
      </c>
      <c r="P48" s="1630">
        <v>3000000</v>
      </c>
      <c r="Q48" s="1630">
        <v>3000000</v>
      </c>
      <c r="R48" s="1630">
        <v>3000000</v>
      </c>
      <c r="S48" s="1630">
        <v>3000000</v>
      </c>
      <c r="T48" s="1630">
        <v>3000000</v>
      </c>
      <c r="U48" s="1630">
        <v>3000000</v>
      </c>
      <c r="V48" s="1630">
        <v>3000000</v>
      </c>
      <c r="W48" s="1630">
        <v>3000000</v>
      </c>
      <c r="X48" s="1632" cm="1">
        <f t="array" ref="X48">SUM(L48:W48)</f>
        <v>24000000</v>
      </c>
      <c r="Y48" s="578"/>
    </row>
    <row r="49" ht="16.5" customHeight="1">
      <c r="A49" s="12"/>
      <c r="B49" s="1628">
        <v>46</v>
      </c>
      <c r="C49" t="s" s="1629">
        <v>1375</v>
      </c>
      <c r="D49" t="s" s="1629">
        <v>1380</v>
      </c>
      <c r="E49" s="1630">
        <v>3000000</v>
      </c>
      <c r="F49" s="1630"/>
      <c r="G49" s="1630"/>
      <c r="H49" s="1630"/>
      <c r="I49" s="1630"/>
      <c r="J49" s="1630" cm="1">
        <f t="array" ref="J49">SUM(E49:I49)</f>
        <v>3000000</v>
      </c>
      <c r="K49" s="1630"/>
      <c r="L49" s="1630">
        <v>0</v>
      </c>
      <c r="M49" s="1630">
        <v>0</v>
      </c>
      <c r="N49" s="1630">
        <v>0</v>
      </c>
      <c r="O49" s="1630">
        <v>0</v>
      </c>
      <c r="P49" s="1630">
        <v>3000000</v>
      </c>
      <c r="Q49" s="1630">
        <v>3000000</v>
      </c>
      <c r="R49" s="1630">
        <v>3000000</v>
      </c>
      <c r="S49" s="1630">
        <v>3000000</v>
      </c>
      <c r="T49" s="1630">
        <v>3000000</v>
      </c>
      <c r="U49" s="1630">
        <v>3000000</v>
      </c>
      <c r="V49" s="1630">
        <v>3000000</v>
      </c>
      <c r="W49" s="1630">
        <v>3000000</v>
      </c>
      <c r="X49" s="1632" cm="1">
        <f t="array" ref="X49">SUM(L49:W49)</f>
        <v>24000000</v>
      </c>
      <c r="Y49" s="578"/>
    </row>
    <row r="50" ht="16.5" customHeight="1">
      <c r="A50" s="12"/>
      <c r="B50" s="1628">
        <v>47</v>
      </c>
      <c r="C50" t="s" s="1629">
        <v>1381</v>
      </c>
      <c r="D50" t="s" s="1629">
        <v>1382</v>
      </c>
      <c r="E50" s="1630">
        <v>4000000</v>
      </c>
      <c r="F50" s="1630"/>
      <c r="G50" s="1630"/>
      <c r="H50" s="1630"/>
      <c r="I50" s="1630"/>
      <c r="J50" s="1630" cm="1">
        <f t="array" ref="J50">SUM(E50:I50)</f>
        <v>4000000</v>
      </c>
      <c r="K50" s="1630"/>
      <c r="L50" s="1630">
        <v>4000000</v>
      </c>
      <c r="M50" s="1630">
        <v>4000000</v>
      </c>
      <c r="N50" s="1630">
        <v>4000000</v>
      </c>
      <c r="O50" s="1630">
        <v>4000000</v>
      </c>
      <c r="P50" s="1630">
        <v>4000000</v>
      </c>
      <c r="Q50" s="1630">
        <v>4000000</v>
      </c>
      <c r="R50" s="1630">
        <v>4000000</v>
      </c>
      <c r="S50" s="1630">
        <v>4000000</v>
      </c>
      <c r="T50" s="1630">
        <v>4000000</v>
      </c>
      <c r="U50" s="1630">
        <v>4000000</v>
      </c>
      <c r="V50" s="1630">
        <v>4000000</v>
      </c>
      <c r="W50" s="1630">
        <v>4000000</v>
      </c>
      <c r="X50" s="1632" cm="1">
        <f t="array" ref="X50">SUM(L50:W50)</f>
        <v>48000000</v>
      </c>
      <c r="Y50" s="578"/>
    </row>
    <row r="51" ht="16.5" customHeight="1">
      <c r="A51" s="12"/>
      <c r="B51" s="1628">
        <v>48</v>
      </c>
      <c r="C51" t="s" s="1629">
        <v>1383</v>
      </c>
      <c r="D51" t="s" s="1629">
        <v>1384</v>
      </c>
      <c r="E51" s="1630">
        <v>2000000</v>
      </c>
      <c r="F51" s="1630"/>
      <c r="G51" s="1630"/>
      <c r="H51" s="1630"/>
      <c r="I51" s="1630"/>
      <c r="J51" s="1630" cm="1">
        <f t="array" ref="J51">SUM(E51:I51)</f>
        <v>2000000</v>
      </c>
      <c r="K51" s="1630"/>
      <c r="L51" s="1630">
        <v>2000000</v>
      </c>
      <c r="M51" s="1630">
        <v>2000000</v>
      </c>
      <c r="N51" s="1630">
        <v>2000000</v>
      </c>
      <c r="O51" s="1630">
        <v>2000000</v>
      </c>
      <c r="P51" s="1630">
        <v>2000000</v>
      </c>
      <c r="Q51" s="1630">
        <v>2000000</v>
      </c>
      <c r="R51" s="1630">
        <v>2000000</v>
      </c>
      <c r="S51" s="1630">
        <v>2000000</v>
      </c>
      <c r="T51" s="1630">
        <v>2000000</v>
      </c>
      <c r="U51" s="1630">
        <v>2000000</v>
      </c>
      <c r="V51" s="1630">
        <v>2000000</v>
      </c>
      <c r="W51" s="1630">
        <v>2000000</v>
      </c>
      <c r="X51" s="1632" cm="1">
        <f t="array" ref="X51">SUM(L51:W51)</f>
        <v>24000000</v>
      </c>
      <c r="Y51" s="578"/>
    </row>
    <row r="52" ht="16.5" customHeight="1">
      <c r="A52" s="12"/>
      <c r="B52" s="1628">
        <v>49</v>
      </c>
      <c r="C52" t="s" s="1629">
        <v>1385</v>
      </c>
      <c r="D52" t="s" s="1629">
        <v>1382</v>
      </c>
      <c r="E52" s="1630">
        <v>4000000</v>
      </c>
      <c r="F52" s="1630"/>
      <c r="G52" s="1630"/>
      <c r="H52" s="1630"/>
      <c r="I52" s="1630"/>
      <c r="J52" s="1630" cm="1">
        <f t="array" ref="J52">SUM(E52:I52)</f>
        <v>4000000</v>
      </c>
      <c r="K52" s="1630"/>
      <c r="L52" s="1630">
        <v>4000000</v>
      </c>
      <c r="M52" s="1630">
        <v>4000000</v>
      </c>
      <c r="N52" s="1630">
        <v>4000000</v>
      </c>
      <c r="O52" s="1630">
        <v>4000000</v>
      </c>
      <c r="P52" s="1630">
        <v>4000000</v>
      </c>
      <c r="Q52" s="1630">
        <v>4000000</v>
      </c>
      <c r="R52" s="1630">
        <v>4000000</v>
      </c>
      <c r="S52" s="1630">
        <v>4000000</v>
      </c>
      <c r="T52" s="1630">
        <v>4000000</v>
      </c>
      <c r="U52" s="1630">
        <v>4000000</v>
      </c>
      <c r="V52" s="1630">
        <v>4000000</v>
      </c>
      <c r="W52" s="1630">
        <v>4000000</v>
      </c>
      <c r="X52" s="1632" cm="1">
        <f t="array" ref="X52">SUM(L52:W52)</f>
        <v>48000000</v>
      </c>
      <c r="Y52" s="578"/>
    </row>
    <row r="53" ht="16.5" customHeight="1">
      <c r="A53" s="12"/>
      <c r="B53" s="1628">
        <v>50</v>
      </c>
      <c r="C53" t="s" s="1629">
        <v>1386</v>
      </c>
      <c r="D53" t="s" s="1629">
        <v>1382</v>
      </c>
      <c r="E53" s="1630">
        <v>4000000</v>
      </c>
      <c r="F53" s="1630"/>
      <c r="G53" s="1630"/>
      <c r="H53" s="1630"/>
      <c r="I53" s="1630"/>
      <c r="J53" s="1630" cm="1">
        <f t="array" ref="J53">SUM(E53:I53)</f>
        <v>4000000</v>
      </c>
      <c r="K53" s="1630"/>
      <c r="L53" s="1630">
        <v>0</v>
      </c>
      <c r="M53" s="1630">
        <v>0</v>
      </c>
      <c r="N53" s="1630">
        <v>0</v>
      </c>
      <c r="O53" s="1630">
        <v>0</v>
      </c>
      <c r="P53" s="1630">
        <v>4000000</v>
      </c>
      <c r="Q53" s="1630">
        <v>4000000</v>
      </c>
      <c r="R53" s="1630">
        <v>4000000</v>
      </c>
      <c r="S53" s="1630">
        <v>4000000</v>
      </c>
      <c r="T53" s="1630">
        <v>4000000</v>
      </c>
      <c r="U53" s="1630">
        <v>4000000</v>
      </c>
      <c r="V53" s="1630">
        <v>4000000</v>
      </c>
      <c r="W53" s="1630">
        <v>4000000</v>
      </c>
      <c r="X53" s="1632" cm="1">
        <f t="array" ref="X53">SUM(L53:W53)</f>
        <v>32000000</v>
      </c>
      <c r="Y53" s="578"/>
    </row>
    <row r="54" ht="16.5" customHeight="1">
      <c r="A54" s="12"/>
      <c r="B54" s="1628">
        <v>51</v>
      </c>
      <c r="C54" t="s" s="1629">
        <v>1387</v>
      </c>
      <c r="D54" t="s" s="1629">
        <v>1382</v>
      </c>
      <c r="E54" s="1630">
        <v>2000000</v>
      </c>
      <c r="F54" s="1630"/>
      <c r="G54" s="1630"/>
      <c r="H54" s="1630"/>
      <c r="I54" s="1630"/>
      <c r="J54" s="1630" cm="1">
        <f t="array" ref="J54">SUM(E54:I54)</f>
        <v>2000000</v>
      </c>
      <c r="K54" s="1630"/>
      <c r="L54" s="1630">
        <v>0</v>
      </c>
      <c r="M54" s="1630">
        <v>0</v>
      </c>
      <c r="N54" s="1630">
        <v>0</v>
      </c>
      <c r="O54" s="1630">
        <v>0</v>
      </c>
      <c r="P54" s="1630">
        <v>2000000</v>
      </c>
      <c r="Q54" s="1630">
        <v>2000000</v>
      </c>
      <c r="R54" s="1630">
        <v>2000000</v>
      </c>
      <c r="S54" s="1630">
        <v>2000000</v>
      </c>
      <c r="T54" s="1630">
        <v>2000000</v>
      </c>
      <c r="U54" s="1630">
        <v>2000000</v>
      </c>
      <c r="V54" s="1630">
        <v>2000000</v>
      </c>
      <c r="W54" s="1630">
        <v>2000000</v>
      </c>
      <c r="X54" s="1632" cm="1">
        <f t="array" ref="X54">SUM(L54:W54)</f>
        <v>16000000</v>
      </c>
      <c r="Y54" s="578"/>
    </row>
    <row r="55" ht="16.5" customHeight="1">
      <c r="A55" s="12"/>
      <c r="B55" s="1634"/>
      <c r="C55" s="1635"/>
      <c r="D55" t="s" s="1624">
        <v>1388</v>
      </c>
      <c r="E55" s="1625" cm="1">
        <f t="array" ref="E55">SUM(E4:E54)</f>
        <v>471000000</v>
      </c>
      <c r="F55" s="1625" cm="1">
        <f t="array" ref="F55">SUM(F4:F54)</f>
        <v>122500000</v>
      </c>
      <c r="G55" s="1625" cm="1">
        <f t="array" ref="G55">SUM(G4:G54)</f>
        <v>18000000</v>
      </c>
      <c r="H55" s="1625" cm="1">
        <f t="array" ref="H55">SUM(H4:H54)</f>
        <v>0</v>
      </c>
      <c r="I55" s="1625" cm="1">
        <f t="array" ref="I55">SUM(I4:I54)</f>
        <v>5250000</v>
      </c>
      <c r="J55" s="1625" cm="1">
        <f t="array" ref="J55">SUM(J4:J54)</f>
        <v>616750000</v>
      </c>
      <c r="K55" s="1625" cm="1">
        <f t="array" ref="K55">SUM(K4:K54)</f>
        <v>0</v>
      </c>
      <c r="L55" s="1625" cm="1">
        <f t="array" ref="L55">SUM(L4:L54)</f>
        <v>606000000</v>
      </c>
      <c r="M55" s="1625" cm="1">
        <f t="array" ref="M55">SUM(M4:M54)</f>
        <v>606000000</v>
      </c>
      <c r="N55" s="1625" cm="1">
        <f t="array" ref="N55">SUM(N4:N54)</f>
        <v>606000000</v>
      </c>
      <c r="O55" s="1625" cm="1">
        <f t="array" ref="O55">SUM(O4:O54)</f>
        <v>606000000</v>
      </c>
      <c r="P55" s="1625" cm="1">
        <f t="array" ref="P55">SUM(P4:P54)</f>
        <v>618000000</v>
      </c>
      <c r="Q55" s="1625" cm="1">
        <f t="array" ref="Q55">SUM(Q4:Q54)</f>
        <v>618000000</v>
      </c>
      <c r="R55" s="1625" cm="1">
        <f t="array" ref="R55">SUM(R4:R54)</f>
        <v>618000000</v>
      </c>
      <c r="S55" s="1625" cm="1">
        <f t="array" ref="S55">SUM(S4:S54)</f>
        <v>618000000</v>
      </c>
      <c r="T55" s="1625" cm="1">
        <f t="array" ref="T55">SUM(T4:T54)</f>
        <v>618000000</v>
      </c>
      <c r="U55" s="1625" cm="1">
        <f t="array" ref="U55">SUM(U4:U54)</f>
        <v>618000000</v>
      </c>
      <c r="V55" s="1625" cm="1">
        <f t="array" ref="V55">SUM(V4:V54)</f>
        <v>618000000</v>
      </c>
      <c r="W55" s="1625" cm="1">
        <f t="array" ref="W55">SUM(W4:W54)</f>
        <v>618000000</v>
      </c>
      <c r="X55" s="1625" cm="1">
        <f t="array" ref="X55">SUM(X4:X54)</f>
        <v>7368000000</v>
      </c>
      <c r="Y55" s="1636"/>
    </row>
    <row r="56" ht="16.5" customHeight="1">
      <c r="A56" s="12"/>
      <c r="B56" t="s" s="1637">
        <v>1389</v>
      </c>
      <c r="C56" s="1638"/>
      <c r="D56" s="1638"/>
      <c r="E56" s="1639"/>
      <c r="F56" s="1639"/>
      <c r="G56" s="1639"/>
      <c r="H56" s="1639"/>
      <c r="I56" s="1639"/>
      <c r="J56" s="1639"/>
      <c r="K56" s="1639"/>
      <c r="L56" s="1639"/>
      <c r="M56" s="1638"/>
      <c r="N56" s="1638"/>
      <c r="O56" s="1638"/>
      <c r="P56" s="1638"/>
      <c r="Q56" s="1638"/>
      <c r="R56" s="1638"/>
      <c r="S56" s="1638"/>
      <c r="T56" s="1638"/>
      <c r="U56" s="1638"/>
      <c r="V56" s="1638"/>
      <c r="W56" s="1638"/>
      <c r="X56" s="1640"/>
      <c r="Y56" s="578"/>
    </row>
    <row r="57" ht="16.5" customHeight="1">
      <c r="A57" s="12"/>
      <c r="B57" s="1628">
        <v>1</v>
      </c>
      <c r="C57" t="s" s="1629">
        <v>1390</v>
      </c>
      <c r="D57" t="s" s="1633">
        <v>1391</v>
      </c>
      <c r="E57" s="1630">
        <v>6000000</v>
      </c>
      <c r="F57" s="1630">
        <v>1500000</v>
      </c>
      <c r="G57" s="1630"/>
      <c r="H57" s="1630">
        <v>6000000</v>
      </c>
      <c r="I57" s="1630">
        <v>150000</v>
      </c>
      <c r="J57" s="1630" cm="1">
        <f t="array" ref="J57">SUM(E57:I57)</f>
        <v>13650000</v>
      </c>
      <c r="K57" s="1630"/>
      <c r="L57" s="1630">
        <v>8630000</v>
      </c>
      <c r="M57" s="1630">
        <v>8630000</v>
      </c>
      <c r="N57" s="1630">
        <v>8630000</v>
      </c>
      <c r="O57" s="1630">
        <v>8630000</v>
      </c>
      <c r="P57" s="1630">
        <v>8630000</v>
      </c>
      <c r="Q57" s="1630">
        <v>8630000</v>
      </c>
      <c r="R57" s="1630">
        <v>8630000</v>
      </c>
      <c r="S57" s="1630">
        <v>8630000</v>
      </c>
      <c r="T57" s="1630">
        <v>8630000</v>
      </c>
      <c r="U57" s="1630">
        <v>8630000</v>
      </c>
      <c r="V57" s="1630">
        <v>8630000</v>
      </c>
      <c r="W57" s="1630">
        <v>8630000</v>
      </c>
      <c r="X57" s="1632" cm="1">
        <f t="array" ref="X57">SUM(L57:W57)</f>
        <v>103560000</v>
      </c>
      <c r="Y57" s="578"/>
    </row>
    <row r="58" ht="16.5" customHeight="1">
      <c r="A58" s="12"/>
      <c r="B58" s="1628">
        <v>2</v>
      </c>
      <c r="C58" t="s" s="1629">
        <v>1392</v>
      </c>
      <c r="D58" t="s" s="1629">
        <v>1393</v>
      </c>
      <c r="E58" s="1630">
        <v>5000000</v>
      </c>
      <c r="F58" s="1630">
        <v>1500000</v>
      </c>
      <c r="G58" s="1630"/>
      <c r="H58" s="1630">
        <v>6000000</v>
      </c>
      <c r="I58" s="1630">
        <v>150000</v>
      </c>
      <c r="J58" s="1630" cm="1">
        <f t="array" ref="J58">SUM(E58:I58)</f>
        <v>12650000</v>
      </c>
      <c r="K58" s="1630"/>
      <c r="L58" s="1630">
        <v>5150000</v>
      </c>
      <c r="M58" s="1630">
        <v>5150000</v>
      </c>
      <c r="N58" s="1630">
        <v>5150000</v>
      </c>
      <c r="O58" s="1630">
        <v>5150000</v>
      </c>
      <c r="P58" s="1630">
        <v>5150000</v>
      </c>
      <c r="Q58" s="1630">
        <v>5150000</v>
      </c>
      <c r="R58" s="1630">
        <v>5150000</v>
      </c>
      <c r="S58" s="1630">
        <v>5150000</v>
      </c>
      <c r="T58" s="1630">
        <v>5150000</v>
      </c>
      <c r="U58" s="1630">
        <v>5150000</v>
      </c>
      <c r="V58" s="1630">
        <v>5150000</v>
      </c>
      <c r="W58" s="1630">
        <v>5150000</v>
      </c>
      <c r="X58" s="1632" cm="1">
        <f t="array" ref="X58">SUM(L58:W58)</f>
        <v>61800000</v>
      </c>
      <c r="Y58" s="578"/>
    </row>
    <row r="59" ht="16.5" customHeight="1">
      <c r="A59" s="12"/>
      <c r="B59" s="1628">
        <v>3</v>
      </c>
      <c r="C59" t="s" s="1629">
        <v>1394</v>
      </c>
      <c r="D59" t="s" s="1629">
        <v>1395</v>
      </c>
      <c r="E59" s="1630">
        <v>5000000</v>
      </c>
      <c r="F59" s="1630">
        <v>1500000</v>
      </c>
      <c r="G59" s="1630"/>
      <c r="H59" s="1630">
        <v>6000000</v>
      </c>
      <c r="I59" s="1630">
        <v>150000</v>
      </c>
      <c r="J59" s="1630" cm="1">
        <f t="array" ref="J59">SUM(E59:I59)</f>
        <v>12650000</v>
      </c>
      <c r="K59" s="1630"/>
      <c r="L59" s="1630">
        <v>7450000</v>
      </c>
      <c r="M59" s="1630">
        <v>7450000</v>
      </c>
      <c r="N59" s="1630">
        <v>7450000</v>
      </c>
      <c r="O59" s="1630">
        <v>7450000</v>
      </c>
      <c r="P59" s="1630">
        <v>7450000</v>
      </c>
      <c r="Q59" s="1630">
        <v>7450000</v>
      </c>
      <c r="R59" s="1630">
        <v>7450000</v>
      </c>
      <c r="S59" s="1630">
        <v>7450000</v>
      </c>
      <c r="T59" s="1630">
        <v>7450000</v>
      </c>
      <c r="U59" s="1630">
        <v>7450000</v>
      </c>
      <c r="V59" s="1630">
        <v>7450000</v>
      </c>
      <c r="W59" s="1630">
        <v>7450000</v>
      </c>
      <c r="X59" s="1632" cm="1">
        <f t="array" ref="X59">SUM(L59:W59)</f>
        <v>89400000</v>
      </c>
      <c r="Y59" s="578"/>
    </row>
    <row r="60" ht="16.5" customHeight="1">
      <c r="A60" s="12"/>
      <c r="B60" s="1628">
        <v>4</v>
      </c>
      <c r="C60" t="s" s="1629">
        <v>1396</v>
      </c>
      <c r="D60" t="s" s="1629">
        <v>1397</v>
      </c>
      <c r="E60" s="1630">
        <v>6000000</v>
      </c>
      <c r="F60" s="1630">
        <v>1500000</v>
      </c>
      <c r="G60" s="1630"/>
      <c r="H60" s="1630">
        <v>6000000</v>
      </c>
      <c r="I60" s="1630">
        <v>150000</v>
      </c>
      <c r="J60" s="1630" cm="1">
        <f t="array" ref="J60">SUM(E60:I60)</f>
        <v>13650000</v>
      </c>
      <c r="K60" s="1630"/>
      <c r="L60" s="1630">
        <v>8270000</v>
      </c>
      <c r="M60" s="1630">
        <v>8270000</v>
      </c>
      <c r="N60" s="1630">
        <v>8270000</v>
      </c>
      <c r="O60" s="1630">
        <v>8270000</v>
      </c>
      <c r="P60" s="1630">
        <v>8270000</v>
      </c>
      <c r="Q60" s="1630">
        <v>8270000</v>
      </c>
      <c r="R60" s="1630">
        <v>8270000</v>
      </c>
      <c r="S60" s="1630">
        <v>8270000</v>
      </c>
      <c r="T60" s="1630">
        <v>8270000</v>
      </c>
      <c r="U60" s="1630">
        <v>8270000</v>
      </c>
      <c r="V60" s="1630">
        <v>8270000</v>
      </c>
      <c r="W60" s="1630">
        <v>8270000</v>
      </c>
      <c r="X60" s="1632" cm="1">
        <f t="array" ref="X60">SUM(L60:W60)</f>
        <v>99240000</v>
      </c>
      <c r="Y60" s="578"/>
    </row>
    <row r="61" ht="16.5" customHeight="1">
      <c r="A61" s="12"/>
      <c r="B61" s="1628">
        <v>5</v>
      </c>
      <c r="C61" t="s" s="1629">
        <v>1398</v>
      </c>
      <c r="D61" t="s" s="1629">
        <v>1399</v>
      </c>
      <c r="E61" s="1630">
        <v>5000000</v>
      </c>
      <c r="F61" s="1630">
        <v>1500000</v>
      </c>
      <c r="G61" s="1630"/>
      <c r="H61" s="1630">
        <v>6000000</v>
      </c>
      <c r="I61" s="1630">
        <v>150000</v>
      </c>
      <c r="J61" s="1630" cm="1">
        <f t="array" ref="J61">SUM(E61:I61)</f>
        <v>12650000</v>
      </c>
      <c r="K61" s="1630"/>
      <c r="L61" s="1630">
        <v>7810000</v>
      </c>
      <c r="M61" s="1630">
        <v>7810000</v>
      </c>
      <c r="N61" s="1630">
        <v>7810000</v>
      </c>
      <c r="O61" s="1630">
        <v>7810000</v>
      </c>
      <c r="P61" s="1630">
        <v>7810000</v>
      </c>
      <c r="Q61" s="1630">
        <v>7810000</v>
      </c>
      <c r="R61" s="1630">
        <v>7810000</v>
      </c>
      <c r="S61" s="1630">
        <v>7810000</v>
      </c>
      <c r="T61" s="1630">
        <v>7810000</v>
      </c>
      <c r="U61" s="1630">
        <v>7810000</v>
      </c>
      <c r="V61" s="1630">
        <v>7810000</v>
      </c>
      <c r="W61" s="1630">
        <v>7810000</v>
      </c>
      <c r="X61" s="1632" cm="1">
        <f t="array" ref="X61">SUM(L61:W61)</f>
        <v>93720000</v>
      </c>
      <c r="Y61" s="578"/>
    </row>
    <row r="62" ht="16.5" customHeight="1">
      <c r="A62" s="12"/>
      <c r="B62" s="1628">
        <v>6</v>
      </c>
      <c r="C62" t="s" s="1633">
        <v>1400</v>
      </c>
      <c r="D62" t="s" s="1629">
        <v>1401</v>
      </c>
      <c r="E62" s="1630">
        <v>6000000</v>
      </c>
      <c r="F62" s="1630">
        <v>1500000</v>
      </c>
      <c r="G62" s="1630"/>
      <c r="H62" s="1630">
        <v>6000000</v>
      </c>
      <c r="I62" s="1630">
        <v>150000</v>
      </c>
      <c r="J62" s="1630" cm="1">
        <f t="array" ref="J62">SUM(E62:I62)</f>
        <v>13650000</v>
      </c>
      <c r="K62" s="1630"/>
      <c r="L62" s="1630">
        <v>10500000</v>
      </c>
      <c r="M62" s="1630">
        <v>10500000</v>
      </c>
      <c r="N62" s="1630">
        <v>10500000</v>
      </c>
      <c r="O62" s="1630">
        <v>10500000</v>
      </c>
      <c r="P62" s="1630">
        <v>10500000</v>
      </c>
      <c r="Q62" s="1630">
        <v>10500000</v>
      </c>
      <c r="R62" s="1630">
        <v>10500000</v>
      </c>
      <c r="S62" s="1630">
        <v>10500000</v>
      </c>
      <c r="T62" s="1630">
        <v>10500000</v>
      </c>
      <c r="U62" s="1630">
        <v>10500000</v>
      </c>
      <c r="V62" s="1630">
        <v>10500000</v>
      </c>
      <c r="W62" s="1630">
        <v>10500000</v>
      </c>
      <c r="X62" s="1632" cm="1">
        <f t="array" ref="X62">SUM(L62:W62)</f>
        <v>126000000</v>
      </c>
      <c r="Y62" s="578"/>
    </row>
    <row r="63" ht="16.5" customHeight="1">
      <c r="A63" s="12"/>
      <c r="B63" s="1628">
        <v>8</v>
      </c>
      <c r="C63" t="s" s="1629">
        <v>1402</v>
      </c>
      <c r="D63" t="s" s="1629">
        <v>1403</v>
      </c>
      <c r="E63" s="1630">
        <v>0</v>
      </c>
      <c r="F63" s="1630">
        <v>0</v>
      </c>
      <c r="G63" s="1630">
        <v>2000000</v>
      </c>
      <c r="H63" s="1630"/>
      <c r="I63" s="1630"/>
      <c r="J63" s="1630" cm="1">
        <f t="array" ref="J63">SUM(E63:I63)</f>
        <v>2000000</v>
      </c>
      <c r="K63" s="1630"/>
      <c r="L63" s="1630">
        <v>2000000</v>
      </c>
      <c r="M63" s="1630">
        <v>2000000</v>
      </c>
      <c r="N63" s="1630">
        <v>2000000</v>
      </c>
      <c r="O63" s="1630">
        <v>2000000</v>
      </c>
      <c r="P63" s="1630">
        <v>2000000</v>
      </c>
      <c r="Q63" s="1630">
        <v>2000000</v>
      </c>
      <c r="R63" s="1630">
        <v>2000000</v>
      </c>
      <c r="S63" s="1630">
        <v>2000000</v>
      </c>
      <c r="T63" s="1630">
        <v>2000000</v>
      </c>
      <c r="U63" s="1630">
        <v>2000000</v>
      </c>
      <c r="V63" s="1630">
        <v>2000000</v>
      </c>
      <c r="W63" s="1630">
        <v>2000000</v>
      </c>
      <c r="X63" s="1632" cm="1">
        <f t="array" ref="X63">SUM(L63:W63)</f>
        <v>24000000</v>
      </c>
      <c r="Y63" s="578"/>
    </row>
    <row r="64" ht="16.5" customHeight="1">
      <c r="A64" s="12"/>
      <c r="B64" s="1628">
        <v>9</v>
      </c>
      <c r="C64" t="s" s="1633">
        <v>1404</v>
      </c>
      <c r="D64" t="s" s="1629">
        <v>1405</v>
      </c>
      <c r="E64" s="1630">
        <v>5000000</v>
      </c>
      <c r="F64" s="1630">
        <v>1500000</v>
      </c>
      <c r="G64" s="1630"/>
      <c r="H64" s="1630">
        <v>6000000</v>
      </c>
      <c r="I64" s="1630">
        <v>150000</v>
      </c>
      <c r="J64" s="1630" cm="1">
        <f t="array" ref="J64">SUM(E64:I64)</f>
        <v>12650000</v>
      </c>
      <c r="K64" s="1630"/>
      <c r="L64" s="1630">
        <v>10470000</v>
      </c>
      <c r="M64" s="1630">
        <v>10470000</v>
      </c>
      <c r="N64" s="1630">
        <v>10470000</v>
      </c>
      <c r="O64" s="1630">
        <v>10470000</v>
      </c>
      <c r="P64" s="1630">
        <v>10470000</v>
      </c>
      <c r="Q64" s="1630">
        <v>10470000</v>
      </c>
      <c r="R64" s="1630">
        <v>10470000</v>
      </c>
      <c r="S64" s="1630">
        <v>10470000</v>
      </c>
      <c r="T64" s="1630">
        <v>10470000</v>
      </c>
      <c r="U64" s="1630">
        <v>10470000</v>
      </c>
      <c r="V64" s="1630">
        <v>10470000</v>
      </c>
      <c r="W64" s="1630">
        <v>10470000</v>
      </c>
      <c r="X64" s="1632" cm="1">
        <f t="array" ref="X64">SUM(L64:W64)</f>
        <v>125640000</v>
      </c>
      <c r="Y64" s="578"/>
    </row>
    <row r="65" ht="16.5" customHeight="1">
      <c r="A65" s="12"/>
      <c r="B65" s="1628">
        <v>10</v>
      </c>
      <c r="C65" t="s" s="1629">
        <v>1406</v>
      </c>
      <c r="D65" t="s" s="1629">
        <v>1407</v>
      </c>
      <c r="E65" s="1630">
        <v>6000000</v>
      </c>
      <c r="F65" s="1630">
        <v>1500000</v>
      </c>
      <c r="G65" s="1630"/>
      <c r="H65" s="1630">
        <v>6000000</v>
      </c>
      <c r="I65" s="1630">
        <v>150000</v>
      </c>
      <c r="J65" s="1630" cm="1">
        <f t="array" ref="J65">SUM(E65:I65)</f>
        <v>13650000</v>
      </c>
      <c r="K65" s="1630"/>
      <c r="L65" s="1630">
        <v>11110000</v>
      </c>
      <c r="M65" s="1630">
        <v>11110000</v>
      </c>
      <c r="N65" s="1630">
        <v>11110000</v>
      </c>
      <c r="O65" s="1630">
        <v>11110000</v>
      </c>
      <c r="P65" s="1630">
        <v>11110000</v>
      </c>
      <c r="Q65" s="1630">
        <v>11110000</v>
      </c>
      <c r="R65" s="1630">
        <v>11110000</v>
      </c>
      <c r="S65" s="1630">
        <v>11110000</v>
      </c>
      <c r="T65" s="1630">
        <v>11110000</v>
      </c>
      <c r="U65" s="1630">
        <v>11110000</v>
      </c>
      <c r="V65" s="1630">
        <v>11110000</v>
      </c>
      <c r="W65" s="1630">
        <v>11110000</v>
      </c>
      <c r="X65" s="1632" cm="1">
        <f t="array" ref="X65">SUM(L65:W65)</f>
        <v>133320000</v>
      </c>
      <c r="Y65" s="578"/>
    </row>
    <row r="66" ht="16.5" customHeight="1">
      <c r="A66" s="12"/>
      <c r="B66" s="1628">
        <v>11</v>
      </c>
      <c r="C66" t="s" s="1629">
        <v>1408</v>
      </c>
      <c r="D66" t="s" s="1629">
        <v>1409</v>
      </c>
      <c r="E66" s="1630">
        <v>5000000</v>
      </c>
      <c r="F66" s="1630">
        <v>1500000</v>
      </c>
      <c r="G66" s="1630"/>
      <c r="H66" s="1630">
        <v>6000000</v>
      </c>
      <c r="I66" s="1630">
        <v>150000</v>
      </c>
      <c r="J66" s="1630" cm="1">
        <f t="array" ref="J66">SUM(E66:I66)</f>
        <v>12650000</v>
      </c>
      <c r="K66" s="1630"/>
      <c r="L66" s="1630">
        <v>9930000</v>
      </c>
      <c r="M66" s="1630">
        <v>9930000</v>
      </c>
      <c r="N66" s="1630">
        <v>9930000</v>
      </c>
      <c r="O66" s="1630">
        <v>9930000</v>
      </c>
      <c r="P66" s="1630">
        <v>9930000</v>
      </c>
      <c r="Q66" s="1630">
        <v>9930000</v>
      </c>
      <c r="R66" s="1630">
        <v>9930000</v>
      </c>
      <c r="S66" s="1630">
        <v>9930000</v>
      </c>
      <c r="T66" s="1630">
        <v>9930000</v>
      </c>
      <c r="U66" s="1630">
        <v>9930000</v>
      </c>
      <c r="V66" s="1630">
        <v>9930000</v>
      </c>
      <c r="W66" s="1630">
        <v>9930000</v>
      </c>
      <c r="X66" s="1632" cm="1">
        <f t="array" ref="X66">SUM(L66:W66)</f>
        <v>119160000</v>
      </c>
      <c r="Y66" s="578"/>
    </row>
    <row r="67" ht="16.5" customHeight="1">
      <c r="A67" s="12"/>
      <c r="B67" s="1628">
        <v>12</v>
      </c>
      <c r="C67" t="s" s="1629">
        <v>1410</v>
      </c>
      <c r="D67" t="s" s="1629">
        <v>1411</v>
      </c>
      <c r="E67" s="1630">
        <v>6000000</v>
      </c>
      <c r="F67" s="1630">
        <v>1500000</v>
      </c>
      <c r="G67" s="1630">
        <v>1000000</v>
      </c>
      <c r="H67" s="1630">
        <v>6000000</v>
      </c>
      <c r="I67" s="1630">
        <v>150000</v>
      </c>
      <c r="J67" s="1630" cm="1">
        <f t="array" ref="J67">SUM(E67:I67)</f>
        <v>14650000</v>
      </c>
      <c r="K67" s="1630"/>
      <c r="L67" s="1630">
        <v>13550000</v>
      </c>
      <c r="M67" s="1630">
        <v>13550000</v>
      </c>
      <c r="N67" s="1630">
        <v>13550000</v>
      </c>
      <c r="O67" s="1630">
        <v>13550000</v>
      </c>
      <c r="P67" s="1630">
        <v>13550000</v>
      </c>
      <c r="Q67" s="1630">
        <v>13550000</v>
      </c>
      <c r="R67" s="1630">
        <v>13550000</v>
      </c>
      <c r="S67" s="1630">
        <v>13550000</v>
      </c>
      <c r="T67" s="1630">
        <v>13550000</v>
      </c>
      <c r="U67" s="1630">
        <v>13550000</v>
      </c>
      <c r="V67" s="1630">
        <v>13550000</v>
      </c>
      <c r="W67" s="1630">
        <v>13550000</v>
      </c>
      <c r="X67" s="1632" cm="1">
        <f t="array" ref="X67">SUM(L67:W67)</f>
        <v>162600000</v>
      </c>
      <c r="Y67" s="578"/>
    </row>
    <row r="68" ht="16.5" customHeight="1">
      <c r="A68" s="12"/>
      <c r="B68" s="1628">
        <v>13</v>
      </c>
      <c r="C68" t="s" s="1629">
        <v>1412</v>
      </c>
      <c r="D68" t="s" s="1629">
        <v>1413</v>
      </c>
      <c r="E68" s="1630">
        <v>5500000</v>
      </c>
      <c r="F68" s="1630">
        <v>1500000</v>
      </c>
      <c r="G68" s="1630"/>
      <c r="H68" s="1630">
        <v>6000000</v>
      </c>
      <c r="I68" s="1630">
        <v>150000</v>
      </c>
      <c r="J68" s="1630" cm="1">
        <f t="array" ref="J68">SUM(E68:I68)</f>
        <v>13150000</v>
      </c>
      <c r="K68" s="1630"/>
      <c r="L68" s="1630">
        <v>12920000</v>
      </c>
      <c r="M68" s="1630">
        <v>12920000</v>
      </c>
      <c r="N68" s="1630">
        <v>12920000</v>
      </c>
      <c r="O68" s="1630">
        <v>12920000</v>
      </c>
      <c r="P68" s="1630">
        <v>12920000</v>
      </c>
      <c r="Q68" s="1630">
        <v>12920000</v>
      </c>
      <c r="R68" s="1630">
        <v>12920000</v>
      </c>
      <c r="S68" s="1630">
        <v>12920000</v>
      </c>
      <c r="T68" s="1630">
        <v>12920000</v>
      </c>
      <c r="U68" s="1630">
        <v>12920000</v>
      </c>
      <c r="V68" s="1630">
        <v>12920000</v>
      </c>
      <c r="W68" s="1630">
        <v>12920000</v>
      </c>
      <c r="X68" s="1632" cm="1">
        <f t="array" ref="X68">SUM(L68:W68)</f>
        <v>155040000</v>
      </c>
      <c r="Y68" s="578"/>
    </row>
    <row r="69" ht="16.5" customHeight="1">
      <c r="A69" s="12"/>
      <c r="B69" s="1628">
        <v>14</v>
      </c>
      <c r="C69" t="s" s="1629">
        <v>1414</v>
      </c>
      <c r="D69" t="s" s="1629">
        <v>1415</v>
      </c>
      <c r="E69" s="1630">
        <v>6000000</v>
      </c>
      <c r="F69" s="1630">
        <v>1500000</v>
      </c>
      <c r="G69" s="1630"/>
      <c r="H69" s="1630">
        <v>6000000</v>
      </c>
      <c r="I69" s="1630">
        <v>150000</v>
      </c>
      <c r="J69" s="1630" cm="1">
        <f t="array" ref="J69">SUM(E69:I69)</f>
        <v>13650000</v>
      </c>
      <c r="K69" s="1630"/>
      <c r="L69" s="1630">
        <v>13190000</v>
      </c>
      <c r="M69" s="1630">
        <v>13190000</v>
      </c>
      <c r="N69" s="1630">
        <v>13190000</v>
      </c>
      <c r="O69" s="1630">
        <v>13190000</v>
      </c>
      <c r="P69" s="1630">
        <v>13190000</v>
      </c>
      <c r="Q69" s="1630">
        <v>13190000</v>
      </c>
      <c r="R69" s="1630">
        <v>13190000</v>
      </c>
      <c r="S69" s="1630">
        <v>13190000</v>
      </c>
      <c r="T69" s="1630">
        <v>13190000</v>
      </c>
      <c r="U69" s="1630">
        <v>13190000</v>
      </c>
      <c r="V69" s="1630">
        <v>13190000</v>
      </c>
      <c r="W69" s="1630">
        <v>13190000</v>
      </c>
      <c r="X69" s="1632" cm="1">
        <f t="array" ref="X69">SUM(L69:W69)</f>
        <v>158280000</v>
      </c>
      <c r="Y69" s="578"/>
    </row>
    <row r="70" ht="16.5" customHeight="1">
      <c r="A70" s="12"/>
      <c r="B70" s="1628">
        <v>15</v>
      </c>
      <c r="C70" t="s" s="1629">
        <v>1416</v>
      </c>
      <c r="D70" t="s" s="1629">
        <v>1417</v>
      </c>
      <c r="E70" s="1630">
        <v>5000000</v>
      </c>
      <c r="F70" s="1630">
        <v>1500000</v>
      </c>
      <c r="G70" s="1630"/>
      <c r="H70" s="1630">
        <v>6000000</v>
      </c>
      <c r="I70" s="1630">
        <v>150000</v>
      </c>
      <c r="J70" s="1630" cm="1">
        <f t="array" ref="J70">SUM(E70:I70)</f>
        <v>12650000</v>
      </c>
      <c r="K70" s="1630"/>
      <c r="L70" s="1630">
        <v>11600000</v>
      </c>
      <c r="M70" s="1630">
        <v>11600000</v>
      </c>
      <c r="N70" s="1630">
        <v>11600000</v>
      </c>
      <c r="O70" s="1630">
        <v>11600000</v>
      </c>
      <c r="P70" s="1630">
        <v>11600000</v>
      </c>
      <c r="Q70" s="1630">
        <v>11600000</v>
      </c>
      <c r="R70" s="1630">
        <v>11600000</v>
      </c>
      <c r="S70" s="1630">
        <v>11600000</v>
      </c>
      <c r="T70" s="1630">
        <v>11600000</v>
      </c>
      <c r="U70" s="1630">
        <v>11600000</v>
      </c>
      <c r="V70" s="1630">
        <v>11600000</v>
      </c>
      <c r="W70" s="1630">
        <v>11600000</v>
      </c>
      <c r="X70" s="1632" cm="1">
        <f t="array" ref="X70">SUM(L70:W70)</f>
        <v>139200000</v>
      </c>
      <c r="Y70" s="578"/>
    </row>
    <row r="71" ht="16.5" customHeight="1">
      <c r="A71" s="12"/>
      <c r="B71" s="1628">
        <v>16</v>
      </c>
      <c r="C71" t="s" s="1629">
        <v>1418</v>
      </c>
      <c r="D71" t="s" s="1633">
        <v>1419</v>
      </c>
      <c r="E71" s="1630">
        <v>6000000</v>
      </c>
      <c r="F71" s="1630">
        <v>1500000</v>
      </c>
      <c r="G71" s="1630"/>
      <c r="H71" s="1630">
        <v>6000000</v>
      </c>
      <c r="I71" s="1630">
        <v>150000</v>
      </c>
      <c r="J71" s="1630" cm="1">
        <f t="array" ref="J71">SUM(E71:I71)</f>
        <v>13650000</v>
      </c>
      <c r="K71" s="1630"/>
      <c r="L71" s="1630">
        <v>9350000</v>
      </c>
      <c r="M71" s="1630">
        <v>9350000</v>
      </c>
      <c r="N71" s="1630">
        <v>9350000</v>
      </c>
      <c r="O71" s="1630">
        <v>9350000</v>
      </c>
      <c r="P71" s="1630">
        <v>9350000</v>
      </c>
      <c r="Q71" s="1630">
        <v>9350000</v>
      </c>
      <c r="R71" s="1630">
        <v>9350000</v>
      </c>
      <c r="S71" s="1630">
        <v>9350000</v>
      </c>
      <c r="T71" s="1630">
        <v>9350000</v>
      </c>
      <c r="U71" s="1630">
        <v>9350000</v>
      </c>
      <c r="V71" s="1630">
        <v>9350000</v>
      </c>
      <c r="W71" s="1630">
        <v>9350000</v>
      </c>
      <c r="X71" s="1632" cm="1">
        <f t="array" ref="X71">SUM(L71:W71)</f>
        <v>112200000</v>
      </c>
      <c r="Y71" s="578"/>
    </row>
    <row r="72" ht="16.5" customHeight="1">
      <c r="A72" s="12"/>
      <c r="B72" s="1628">
        <v>17</v>
      </c>
      <c r="C72" t="s" s="1629">
        <v>1420</v>
      </c>
      <c r="D72" t="s" s="1629">
        <v>1421</v>
      </c>
      <c r="E72" s="1630">
        <v>5000000</v>
      </c>
      <c r="F72" s="1630">
        <v>1500000</v>
      </c>
      <c r="G72" s="1630"/>
      <c r="H72" s="1630">
        <v>6000000</v>
      </c>
      <c r="I72" s="1630">
        <v>150000</v>
      </c>
      <c r="J72" s="1630" cm="1">
        <f t="array" ref="J72">SUM(E72:I72)</f>
        <v>12650000</v>
      </c>
      <c r="K72" s="1630"/>
      <c r="L72" s="1630">
        <v>8170000</v>
      </c>
      <c r="M72" s="1630">
        <v>8170000</v>
      </c>
      <c r="N72" s="1630">
        <v>8170000</v>
      </c>
      <c r="O72" s="1630">
        <v>8170000</v>
      </c>
      <c r="P72" s="1630">
        <v>8170000</v>
      </c>
      <c r="Q72" s="1630">
        <v>8170000</v>
      </c>
      <c r="R72" s="1630">
        <v>8170000</v>
      </c>
      <c r="S72" s="1630">
        <v>8170000</v>
      </c>
      <c r="T72" s="1630">
        <v>8170000</v>
      </c>
      <c r="U72" s="1630">
        <v>8170000</v>
      </c>
      <c r="V72" s="1630">
        <v>8170000</v>
      </c>
      <c r="W72" s="1630">
        <v>8170000</v>
      </c>
      <c r="X72" s="1632" cm="1">
        <f t="array" ref="X72">SUM(L72:W72)</f>
        <v>98040000</v>
      </c>
      <c r="Y72" s="578"/>
    </row>
    <row r="73" ht="16.5" customHeight="1">
      <c r="A73" s="12"/>
      <c r="B73" s="1628">
        <v>18</v>
      </c>
      <c r="C73" t="s" s="1633">
        <v>1422</v>
      </c>
      <c r="D73" t="s" s="1629">
        <v>1423</v>
      </c>
      <c r="E73" s="1630">
        <v>6000000</v>
      </c>
      <c r="F73" s="1630">
        <v>1500000</v>
      </c>
      <c r="G73" s="1630"/>
      <c r="H73" s="1630">
        <v>6000000</v>
      </c>
      <c r="I73" s="1630">
        <v>150000</v>
      </c>
      <c r="J73" s="1630" cm="1">
        <f t="array" ref="J73">SUM(E73:I73)</f>
        <v>13650000</v>
      </c>
      <c r="K73" s="1630"/>
      <c r="L73" s="1630">
        <v>6150000</v>
      </c>
      <c r="M73" s="1630">
        <v>6150000</v>
      </c>
      <c r="N73" s="1630">
        <v>6150000</v>
      </c>
      <c r="O73" s="1630">
        <v>6150000</v>
      </c>
      <c r="P73" s="1630">
        <v>6150000</v>
      </c>
      <c r="Q73" s="1630">
        <v>6150000</v>
      </c>
      <c r="R73" s="1630">
        <v>6150000</v>
      </c>
      <c r="S73" s="1630">
        <v>6150000</v>
      </c>
      <c r="T73" s="1630">
        <v>6150000</v>
      </c>
      <c r="U73" s="1630">
        <v>6150000</v>
      </c>
      <c r="V73" s="1630">
        <v>6150000</v>
      </c>
      <c r="W73" s="1630">
        <v>6150000</v>
      </c>
      <c r="X73" s="1632" cm="1">
        <f t="array" ref="X73">SUM(L73:W73)</f>
        <v>73800000</v>
      </c>
      <c r="Y73" s="578"/>
    </row>
    <row r="74" ht="16.5" customHeight="1">
      <c r="A74" s="12"/>
      <c r="B74" s="1628">
        <v>19</v>
      </c>
      <c r="C74" t="s" s="1629">
        <v>1424</v>
      </c>
      <c r="D74" t="s" s="1629">
        <v>1423</v>
      </c>
      <c r="E74" s="1630">
        <v>5000000</v>
      </c>
      <c r="F74" s="1630">
        <v>1500000</v>
      </c>
      <c r="G74" s="1630"/>
      <c r="H74" s="1630">
        <v>6000000</v>
      </c>
      <c r="I74" s="1630">
        <v>150000</v>
      </c>
      <c r="J74" s="1630" cm="1">
        <f t="array" ref="J74">SUM(E74:I74)</f>
        <v>12650000</v>
      </c>
      <c r="K74" s="1630"/>
      <c r="L74" s="1630">
        <v>5150000</v>
      </c>
      <c r="M74" s="1630">
        <v>5150000</v>
      </c>
      <c r="N74" s="1630">
        <v>5150000</v>
      </c>
      <c r="O74" s="1630">
        <v>5150000</v>
      </c>
      <c r="P74" s="1630">
        <v>5150000</v>
      </c>
      <c r="Q74" s="1630">
        <v>5150000</v>
      </c>
      <c r="R74" s="1630">
        <v>5150000</v>
      </c>
      <c r="S74" s="1630">
        <v>5150000</v>
      </c>
      <c r="T74" s="1630">
        <v>5150000</v>
      </c>
      <c r="U74" s="1630">
        <v>5150000</v>
      </c>
      <c r="V74" s="1630">
        <v>5150000</v>
      </c>
      <c r="W74" s="1630">
        <v>5150000</v>
      </c>
      <c r="X74" s="1632" cm="1">
        <f t="array" ref="X74">SUM(L74:W74)</f>
        <v>61800000</v>
      </c>
      <c r="Y74" s="578"/>
    </row>
    <row r="75" ht="16.5" customHeight="1">
      <c r="A75" s="12"/>
      <c r="B75" s="1628">
        <v>20</v>
      </c>
      <c r="C75" t="s" s="1633">
        <v>1425</v>
      </c>
      <c r="D75" t="s" s="1629">
        <v>1423</v>
      </c>
      <c r="E75" s="1630">
        <v>6000000</v>
      </c>
      <c r="F75" s="1630">
        <v>1500000</v>
      </c>
      <c r="G75" s="1630"/>
      <c r="H75" s="1630">
        <v>6000000</v>
      </c>
      <c r="I75" s="1630">
        <v>150000</v>
      </c>
      <c r="J75" s="1630" cm="1">
        <f t="array" ref="J75">SUM(E75:I75)</f>
        <v>13650000</v>
      </c>
      <c r="K75" s="1630"/>
      <c r="L75" s="1630">
        <v>6150000</v>
      </c>
      <c r="M75" s="1630">
        <v>6150000</v>
      </c>
      <c r="N75" s="1630">
        <v>6150000</v>
      </c>
      <c r="O75" s="1630">
        <v>6150000</v>
      </c>
      <c r="P75" s="1630">
        <v>6150000</v>
      </c>
      <c r="Q75" s="1630">
        <v>6150000</v>
      </c>
      <c r="R75" s="1630">
        <v>6150000</v>
      </c>
      <c r="S75" s="1630">
        <v>6150000</v>
      </c>
      <c r="T75" s="1630">
        <v>6150000</v>
      </c>
      <c r="U75" s="1630">
        <v>6150000</v>
      </c>
      <c r="V75" s="1630">
        <v>6150000</v>
      </c>
      <c r="W75" s="1630">
        <v>6150000</v>
      </c>
      <c r="X75" s="1632" cm="1">
        <f t="array" ref="X75">SUM(L75:W75)</f>
        <v>73800000</v>
      </c>
      <c r="Y75" s="578"/>
    </row>
    <row r="76" ht="16.5" customHeight="1">
      <c r="A76" s="12"/>
      <c r="B76" s="1628">
        <v>21</v>
      </c>
      <c r="C76" t="s" s="1629">
        <v>1426</v>
      </c>
      <c r="D76" t="s" s="1629">
        <v>1423</v>
      </c>
      <c r="E76" s="1630">
        <v>5000000</v>
      </c>
      <c r="F76" s="1630">
        <v>1500000</v>
      </c>
      <c r="G76" s="1630"/>
      <c r="H76" s="1630">
        <v>6000000</v>
      </c>
      <c r="I76" s="1630">
        <v>150000</v>
      </c>
      <c r="J76" s="1630" cm="1">
        <f t="array" ref="J76">SUM(E76:I76)</f>
        <v>12650000</v>
      </c>
      <c r="K76" s="1630"/>
      <c r="L76" s="1630">
        <v>5150000</v>
      </c>
      <c r="M76" s="1630">
        <v>5150000</v>
      </c>
      <c r="N76" s="1630">
        <v>5150000</v>
      </c>
      <c r="O76" s="1630">
        <v>5150000</v>
      </c>
      <c r="P76" s="1630">
        <v>5150000</v>
      </c>
      <c r="Q76" s="1630">
        <v>5150000</v>
      </c>
      <c r="R76" s="1630">
        <v>5150000</v>
      </c>
      <c r="S76" s="1630">
        <v>5150000</v>
      </c>
      <c r="T76" s="1630">
        <v>5150000</v>
      </c>
      <c r="U76" s="1630">
        <v>5150000</v>
      </c>
      <c r="V76" s="1630">
        <v>5150000</v>
      </c>
      <c r="W76" s="1630">
        <v>5150000</v>
      </c>
      <c r="X76" s="1632" cm="1">
        <f t="array" ref="X76">SUM(L76:W76)</f>
        <v>61800000</v>
      </c>
      <c r="Y76" s="578"/>
    </row>
    <row r="77" ht="16.5" customHeight="1">
      <c r="A77" s="12"/>
      <c r="B77" s="1628">
        <v>22</v>
      </c>
      <c r="C77" t="s" s="1633">
        <v>1427</v>
      </c>
      <c r="D77" t="s" s="1629">
        <v>1423</v>
      </c>
      <c r="E77" s="1630">
        <v>6000000</v>
      </c>
      <c r="F77" s="1630">
        <v>1500000</v>
      </c>
      <c r="G77" s="1630"/>
      <c r="H77" s="1630">
        <v>6000000</v>
      </c>
      <c r="I77" s="1630">
        <v>150000</v>
      </c>
      <c r="J77" s="1630" cm="1">
        <f t="array" ref="J77">SUM(E77:I77)</f>
        <v>13650000</v>
      </c>
      <c r="K77" s="1630"/>
      <c r="L77" s="1630">
        <v>6150000</v>
      </c>
      <c r="M77" s="1630">
        <v>6150000</v>
      </c>
      <c r="N77" s="1630">
        <v>6150000</v>
      </c>
      <c r="O77" s="1630">
        <v>6150000</v>
      </c>
      <c r="P77" s="1630">
        <v>6150000</v>
      </c>
      <c r="Q77" s="1630">
        <v>6150000</v>
      </c>
      <c r="R77" s="1630">
        <v>6150000</v>
      </c>
      <c r="S77" s="1630">
        <v>6150000</v>
      </c>
      <c r="T77" s="1630">
        <v>6150000</v>
      </c>
      <c r="U77" s="1630">
        <v>6150000</v>
      </c>
      <c r="V77" s="1630">
        <v>6150000</v>
      </c>
      <c r="W77" s="1630">
        <v>6150000</v>
      </c>
      <c r="X77" s="1632" cm="1">
        <f t="array" ref="X77">SUM(L77:W77)</f>
        <v>73800000</v>
      </c>
      <c r="Y77" s="578"/>
    </row>
    <row r="78" ht="16.5" customHeight="1">
      <c r="A78" s="12"/>
      <c r="B78" s="1628">
        <v>23</v>
      </c>
      <c r="C78" t="s" s="1629">
        <v>1428</v>
      </c>
      <c r="D78" t="s" s="1629">
        <v>1423</v>
      </c>
      <c r="E78" s="1630">
        <v>5000000</v>
      </c>
      <c r="F78" s="1630">
        <v>1500000</v>
      </c>
      <c r="G78" s="1630"/>
      <c r="H78" s="1630">
        <v>6000000</v>
      </c>
      <c r="I78" s="1630">
        <v>150000</v>
      </c>
      <c r="J78" s="1630" cm="1">
        <f t="array" ref="J78">SUM(E78:I78)</f>
        <v>12650000</v>
      </c>
      <c r="K78" s="1630"/>
      <c r="L78" s="1630">
        <v>5150000</v>
      </c>
      <c r="M78" s="1630">
        <v>5150000</v>
      </c>
      <c r="N78" s="1630">
        <v>5150000</v>
      </c>
      <c r="O78" s="1630">
        <v>5150000</v>
      </c>
      <c r="P78" s="1630">
        <v>5150000</v>
      </c>
      <c r="Q78" s="1630">
        <v>5150000</v>
      </c>
      <c r="R78" s="1630">
        <v>5150000</v>
      </c>
      <c r="S78" s="1630">
        <v>5150000</v>
      </c>
      <c r="T78" s="1630">
        <v>5150000</v>
      </c>
      <c r="U78" s="1630">
        <v>5150000</v>
      </c>
      <c r="V78" s="1630">
        <v>5150000</v>
      </c>
      <c r="W78" s="1630">
        <v>5150000</v>
      </c>
      <c r="X78" s="1632" cm="1">
        <f t="array" ref="X78">SUM(L78:W78)</f>
        <v>61800000</v>
      </c>
      <c r="Y78" s="578"/>
    </row>
    <row r="79" ht="16.5" customHeight="1">
      <c r="A79" s="12"/>
      <c r="B79" s="1628">
        <v>24</v>
      </c>
      <c r="C79" t="s" s="1633">
        <v>1429</v>
      </c>
      <c r="D79" t="s" s="1629">
        <v>1423</v>
      </c>
      <c r="E79" s="1630">
        <v>6000000</v>
      </c>
      <c r="F79" s="1630">
        <v>1500000</v>
      </c>
      <c r="G79" s="1630"/>
      <c r="H79" s="1630">
        <v>6000000</v>
      </c>
      <c r="I79" s="1630">
        <v>150000</v>
      </c>
      <c r="J79" s="1630" cm="1">
        <f t="array" ref="J79">SUM(E79:I79)</f>
        <v>13650000</v>
      </c>
      <c r="K79" s="1630"/>
      <c r="L79" s="1630">
        <v>0</v>
      </c>
      <c r="M79" s="1630">
        <v>0</v>
      </c>
      <c r="N79" s="1630">
        <v>0</v>
      </c>
      <c r="O79" s="1630">
        <v>0</v>
      </c>
      <c r="P79" s="1630">
        <v>6150000</v>
      </c>
      <c r="Q79" s="1630">
        <v>6150000</v>
      </c>
      <c r="R79" s="1630">
        <v>6150000</v>
      </c>
      <c r="S79" s="1630">
        <v>6150000</v>
      </c>
      <c r="T79" s="1630">
        <v>6150000</v>
      </c>
      <c r="U79" s="1630">
        <v>6150000</v>
      </c>
      <c r="V79" s="1630">
        <v>6150000</v>
      </c>
      <c r="W79" s="1630">
        <v>6150000</v>
      </c>
      <c r="X79" s="1632" cm="1">
        <f t="array" ref="X79">SUM(L79:W79)</f>
        <v>49200000</v>
      </c>
      <c r="Y79" s="578"/>
    </row>
    <row r="80" ht="16.5" customHeight="1">
      <c r="A80" s="12"/>
      <c r="B80" s="1628">
        <v>25</v>
      </c>
      <c r="C80" t="s" s="1629">
        <v>1430</v>
      </c>
      <c r="D80" t="s" s="1629">
        <v>1423</v>
      </c>
      <c r="E80" s="1630">
        <v>5000000</v>
      </c>
      <c r="F80" s="1630">
        <v>1500000</v>
      </c>
      <c r="G80" s="1630"/>
      <c r="H80" s="1630">
        <v>6000000</v>
      </c>
      <c r="I80" s="1630">
        <v>150000</v>
      </c>
      <c r="J80" s="1630" cm="1">
        <f t="array" ref="J80">SUM(E80:I80)</f>
        <v>12650000</v>
      </c>
      <c r="K80" s="1630"/>
      <c r="L80" s="1630">
        <v>0</v>
      </c>
      <c r="M80" s="1630">
        <v>0</v>
      </c>
      <c r="N80" s="1630">
        <v>0</v>
      </c>
      <c r="O80" s="1630">
        <v>0</v>
      </c>
      <c r="P80" s="1630">
        <v>5150000</v>
      </c>
      <c r="Q80" s="1630">
        <v>5150000</v>
      </c>
      <c r="R80" s="1630">
        <v>5150000</v>
      </c>
      <c r="S80" s="1630">
        <v>5150000</v>
      </c>
      <c r="T80" s="1630">
        <v>5150000</v>
      </c>
      <c r="U80" s="1630">
        <v>5150000</v>
      </c>
      <c r="V80" s="1630">
        <v>5150000</v>
      </c>
      <c r="W80" s="1630">
        <v>5150000</v>
      </c>
      <c r="X80" s="1632" cm="1">
        <f t="array" ref="X80">SUM(L80:W80)</f>
        <v>41200000</v>
      </c>
      <c r="Y80" s="578"/>
    </row>
    <row r="81" ht="16.5" customHeight="1">
      <c r="A81" s="12"/>
      <c r="B81" s="1628">
        <v>26</v>
      </c>
      <c r="C81" t="s" s="1633">
        <v>1431</v>
      </c>
      <c r="D81" t="s" s="1629">
        <v>1423</v>
      </c>
      <c r="E81" s="1630">
        <v>6000000</v>
      </c>
      <c r="F81" s="1630">
        <v>1500000</v>
      </c>
      <c r="G81" s="1630"/>
      <c r="H81" s="1630">
        <v>6000000</v>
      </c>
      <c r="I81" s="1630">
        <v>150000</v>
      </c>
      <c r="J81" s="1630" cm="1">
        <f t="array" ref="J81">SUM(E81:I81)</f>
        <v>13650000</v>
      </c>
      <c r="K81" s="1630"/>
      <c r="L81" s="1630">
        <v>0</v>
      </c>
      <c r="M81" s="1630">
        <v>0</v>
      </c>
      <c r="N81" s="1630">
        <v>0</v>
      </c>
      <c r="O81" s="1630">
        <v>0</v>
      </c>
      <c r="P81" s="1630">
        <v>6150000</v>
      </c>
      <c r="Q81" s="1630">
        <v>6150000</v>
      </c>
      <c r="R81" s="1630">
        <v>6150000</v>
      </c>
      <c r="S81" s="1630">
        <v>6150000</v>
      </c>
      <c r="T81" s="1630">
        <v>6150000</v>
      </c>
      <c r="U81" s="1630">
        <v>6150000</v>
      </c>
      <c r="V81" s="1630">
        <v>6150000</v>
      </c>
      <c r="W81" s="1630">
        <v>6150000</v>
      </c>
      <c r="X81" s="1632" cm="1">
        <f t="array" ref="X81">SUM(L81:W81)</f>
        <v>49200000</v>
      </c>
      <c r="Y81" s="578"/>
    </row>
    <row r="82" ht="16.5" customHeight="1">
      <c r="A82" s="12"/>
      <c r="B82" s="1628">
        <v>27</v>
      </c>
      <c r="C82" t="s" s="1629">
        <v>1432</v>
      </c>
      <c r="D82" t="s" s="1629">
        <v>1423</v>
      </c>
      <c r="E82" s="1630">
        <v>5000000</v>
      </c>
      <c r="F82" s="1630">
        <v>1500000</v>
      </c>
      <c r="G82" s="1630"/>
      <c r="H82" s="1630">
        <v>6000000</v>
      </c>
      <c r="I82" s="1630">
        <v>150000</v>
      </c>
      <c r="J82" s="1630" cm="1">
        <f t="array" ref="J82">SUM(E82:I82)</f>
        <v>12650000</v>
      </c>
      <c r="K82" s="1630"/>
      <c r="L82" s="1630">
        <v>0</v>
      </c>
      <c r="M82" s="1630">
        <v>0</v>
      </c>
      <c r="N82" s="1630">
        <v>0</v>
      </c>
      <c r="O82" s="1630">
        <v>0</v>
      </c>
      <c r="P82" s="1630">
        <v>5150000</v>
      </c>
      <c r="Q82" s="1630">
        <v>5150000</v>
      </c>
      <c r="R82" s="1630">
        <v>5150000</v>
      </c>
      <c r="S82" s="1630">
        <v>5150000</v>
      </c>
      <c r="T82" s="1630">
        <v>5150000</v>
      </c>
      <c r="U82" s="1630">
        <v>5150000</v>
      </c>
      <c r="V82" s="1630">
        <v>5150000</v>
      </c>
      <c r="W82" s="1630">
        <v>5150000</v>
      </c>
      <c r="X82" s="1632" cm="1">
        <f t="array" ref="X82">SUM(L82:W82)</f>
        <v>41200000</v>
      </c>
      <c r="Y82" s="578"/>
    </row>
    <row r="83" ht="21.75" customHeight="1">
      <c r="A83" s="12"/>
      <c r="B83" s="1641"/>
      <c r="C83" s="1642"/>
      <c r="D83" t="s" s="1643">
        <v>1433</v>
      </c>
      <c r="E83" s="1644" cm="1">
        <f t="array" ref="E83">SUM(E57:E82)</f>
        <v>137500000</v>
      </c>
      <c r="F83" s="1644" cm="1">
        <f t="array" ref="F83">SUM(F57:F82)</f>
        <v>37500000</v>
      </c>
      <c r="G83" s="1644" cm="1">
        <f t="array" ref="G83">SUM(G57:G82)</f>
        <v>3000000</v>
      </c>
      <c r="H83" s="1644" cm="1">
        <f t="array" ref="H83">SUM(H57:H82)</f>
        <v>150000000</v>
      </c>
      <c r="I83" s="1644" cm="1">
        <f t="array" ref="I83">SUM(I57:I82)</f>
        <v>3750000</v>
      </c>
      <c r="J83" s="1644" cm="1">
        <f t="array" ref="J83">SUM(J57:J82)</f>
        <v>331750000</v>
      </c>
      <c r="K83" s="1644" cm="1">
        <f t="array" ref="K83">SUM(K57:K82)</f>
        <v>0</v>
      </c>
      <c r="L83" s="1644" cm="1">
        <f t="array" ref="L83">SUM(L57:L82)</f>
        <v>184000000</v>
      </c>
      <c r="M83" s="1644" cm="1">
        <f t="array" ref="M83">SUM(M57:M82)</f>
        <v>184000000</v>
      </c>
      <c r="N83" s="1644" cm="1">
        <f t="array" ref="N83">SUM(N57:N82)</f>
        <v>184000000</v>
      </c>
      <c r="O83" s="1644" cm="1">
        <f t="array" ref="O83">SUM(O57:O82)</f>
        <v>184000000</v>
      </c>
      <c r="P83" s="1644" cm="1">
        <f t="array" ref="P83">SUM(P57:P82)</f>
        <v>206600000</v>
      </c>
      <c r="Q83" s="1644" cm="1">
        <f t="array" ref="Q83">SUM(Q57:Q82)</f>
        <v>206600000</v>
      </c>
      <c r="R83" s="1644" cm="1">
        <f t="array" ref="R83">SUM(R57:R82)</f>
        <v>206600000</v>
      </c>
      <c r="S83" s="1644" cm="1">
        <f t="array" ref="S83">SUM(S57:S82)</f>
        <v>206600000</v>
      </c>
      <c r="T83" s="1644" cm="1">
        <f t="array" ref="T83">SUM(T57:T82)</f>
        <v>206600000</v>
      </c>
      <c r="U83" s="1644" cm="1">
        <f t="array" ref="U83">SUM(U57:U82)</f>
        <v>206600000</v>
      </c>
      <c r="V83" s="1644" cm="1">
        <f t="array" ref="V83">SUM(V57:V82)</f>
        <v>206600000</v>
      </c>
      <c r="W83" s="1644" cm="1">
        <f t="array" ref="W83">SUM(W57:W82)</f>
        <v>206600000</v>
      </c>
      <c r="X83" s="1644" cm="1">
        <f t="array" ref="X83">SUM(X57:X82)</f>
        <v>2388800000</v>
      </c>
      <c r="Y83" s="1636"/>
    </row>
    <row r="84" ht="16.5" customHeight="1">
      <c r="A84" s="12"/>
      <c r="B84" t="s" s="1637">
        <v>1434</v>
      </c>
      <c r="C84" s="1638"/>
      <c r="D84" s="1638"/>
      <c r="E84" s="1639"/>
      <c r="F84" s="1639"/>
      <c r="G84" s="1639"/>
      <c r="H84" s="1639"/>
      <c r="I84" s="1639"/>
      <c r="J84" s="1639"/>
      <c r="K84" s="1639"/>
      <c r="L84" s="1639"/>
      <c r="M84" s="1638"/>
      <c r="N84" s="1638"/>
      <c r="O84" s="1638"/>
      <c r="P84" s="1638"/>
      <c r="Q84" s="1638"/>
      <c r="R84" s="1638"/>
      <c r="S84" s="1638"/>
      <c r="T84" s="1638"/>
      <c r="U84" s="1638"/>
      <c r="V84" s="1638"/>
      <c r="W84" s="1638"/>
      <c r="X84" s="1640"/>
      <c r="Y84" s="578"/>
    </row>
    <row r="85" ht="16.5" customHeight="1">
      <c r="A85" s="12"/>
      <c r="B85" s="1628">
        <v>1</v>
      </c>
      <c r="C85" t="s" s="1629">
        <v>1310</v>
      </c>
      <c r="D85" t="s" s="1629">
        <v>1435</v>
      </c>
      <c r="E85" s="1630">
        <v>10000000</v>
      </c>
      <c r="F85" s="1630"/>
      <c r="G85" s="1630">
        <v>2000000</v>
      </c>
      <c r="H85" s="1630"/>
      <c r="I85" s="1630"/>
      <c r="J85" s="1630" cm="1">
        <f t="array" ref="J85">SUM(E85:I85)</f>
        <v>12000000</v>
      </c>
      <c r="K85" s="1630"/>
      <c r="L85" s="1630">
        <v>12000000</v>
      </c>
      <c r="M85" s="1630">
        <v>12000000</v>
      </c>
      <c r="N85" s="1630">
        <v>12000000</v>
      </c>
      <c r="O85" s="1630">
        <v>12000000</v>
      </c>
      <c r="P85" s="1630">
        <v>12000000</v>
      </c>
      <c r="Q85" s="1630">
        <v>12000000</v>
      </c>
      <c r="R85" s="1630">
        <v>12000000</v>
      </c>
      <c r="S85" s="1630">
        <v>12000000</v>
      </c>
      <c r="T85" s="1630">
        <v>12000000</v>
      </c>
      <c r="U85" s="1630">
        <v>12000000</v>
      </c>
      <c r="V85" s="1630">
        <v>12000000</v>
      </c>
      <c r="W85" s="1630">
        <v>12000000</v>
      </c>
      <c r="X85" s="1632" cm="1">
        <f t="array" ref="X85">SUM(L85:W85)</f>
        <v>144000000</v>
      </c>
      <c r="Y85" s="578"/>
    </row>
    <row r="86" ht="16.5" customHeight="1">
      <c r="A86" s="12"/>
      <c r="B86" s="1628">
        <v>2</v>
      </c>
      <c r="C86" t="s" s="1629">
        <v>1436</v>
      </c>
      <c r="D86" t="s" s="1629">
        <v>1437</v>
      </c>
      <c r="E86" s="1630">
        <v>5000000</v>
      </c>
      <c r="F86" s="1630"/>
      <c r="G86" s="1630">
        <v>2000000</v>
      </c>
      <c r="H86" s="1630"/>
      <c r="I86" s="1630"/>
      <c r="J86" s="1630" cm="1">
        <f t="array" ref="J86">SUM(E86:I86)</f>
        <v>7000000</v>
      </c>
      <c r="K86" s="1630"/>
      <c r="L86" s="1630">
        <v>7000000</v>
      </c>
      <c r="M86" s="1630">
        <v>7000000</v>
      </c>
      <c r="N86" s="1630">
        <v>7000000</v>
      </c>
      <c r="O86" s="1630">
        <v>7000000</v>
      </c>
      <c r="P86" s="1630">
        <v>7000000</v>
      </c>
      <c r="Q86" s="1630">
        <v>7000000</v>
      </c>
      <c r="R86" s="1630">
        <v>7000000</v>
      </c>
      <c r="S86" s="1630">
        <v>7000000</v>
      </c>
      <c r="T86" s="1630">
        <v>7000000</v>
      </c>
      <c r="U86" s="1630">
        <v>7000000</v>
      </c>
      <c r="V86" s="1630">
        <v>7000000</v>
      </c>
      <c r="W86" s="1630">
        <v>7000000</v>
      </c>
      <c r="X86" s="1632" cm="1">
        <f t="array" ref="X86">SUM(L86:W86)</f>
        <v>84000000</v>
      </c>
      <c r="Y86" s="578"/>
    </row>
    <row r="87" ht="16.5" customHeight="1">
      <c r="A87" s="12"/>
      <c r="B87" s="1628">
        <v>3</v>
      </c>
      <c r="C87" t="s" s="1629">
        <v>1438</v>
      </c>
      <c r="D87" t="s" s="1629">
        <v>1439</v>
      </c>
      <c r="E87" s="1630">
        <v>6000000</v>
      </c>
      <c r="F87" s="1630"/>
      <c r="G87" s="1630"/>
      <c r="H87" s="1630"/>
      <c r="I87" s="1630">
        <v>150000</v>
      </c>
      <c r="J87" s="1630" cm="1">
        <f t="array" ref="J87">SUM(E87:I87)</f>
        <v>6150000</v>
      </c>
      <c r="K87" s="1630"/>
      <c r="L87" s="1630">
        <v>6150000</v>
      </c>
      <c r="M87" s="1630">
        <v>6150000</v>
      </c>
      <c r="N87" s="1630">
        <v>6150000</v>
      </c>
      <c r="O87" s="1630">
        <v>6150000</v>
      </c>
      <c r="P87" s="1630">
        <v>6150000</v>
      </c>
      <c r="Q87" s="1630">
        <v>6150000</v>
      </c>
      <c r="R87" s="1630">
        <v>6150000</v>
      </c>
      <c r="S87" s="1630">
        <v>6150000</v>
      </c>
      <c r="T87" s="1630">
        <v>6150000</v>
      </c>
      <c r="U87" s="1630">
        <v>6150000</v>
      </c>
      <c r="V87" s="1630">
        <v>6150000</v>
      </c>
      <c r="W87" s="1630">
        <v>6150000</v>
      </c>
      <c r="X87" s="1632" cm="1">
        <f t="array" ref="X87">SUM(L87:W87)</f>
        <v>73800000</v>
      </c>
      <c r="Y87" s="578"/>
    </row>
    <row r="88" ht="16.5" customHeight="1">
      <c r="A88" s="12"/>
      <c r="B88" s="1628">
        <v>4</v>
      </c>
      <c r="C88" t="s" s="1629">
        <v>1440</v>
      </c>
      <c r="D88" t="s" s="1629">
        <v>1441</v>
      </c>
      <c r="E88" s="1630">
        <v>0</v>
      </c>
      <c r="F88" s="1630"/>
      <c r="G88" s="1630">
        <v>2000000</v>
      </c>
      <c r="H88" s="1630"/>
      <c r="I88" s="1630"/>
      <c r="J88" s="1630" cm="1">
        <f t="array" ref="J88">SUM(E88:I88)</f>
        <v>2000000</v>
      </c>
      <c r="K88" s="1630"/>
      <c r="L88" s="1630">
        <v>2000000</v>
      </c>
      <c r="M88" s="1630">
        <v>2000000</v>
      </c>
      <c r="N88" s="1630">
        <v>2000000</v>
      </c>
      <c r="O88" s="1630">
        <v>2000000</v>
      </c>
      <c r="P88" s="1630">
        <v>2000000</v>
      </c>
      <c r="Q88" s="1630">
        <v>2000000</v>
      </c>
      <c r="R88" s="1630">
        <v>2000000</v>
      </c>
      <c r="S88" s="1630">
        <v>2000000</v>
      </c>
      <c r="T88" s="1630">
        <v>2000000</v>
      </c>
      <c r="U88" s="1630">
        <v>2000000</v>
      </c>
      <c r="V88" s="1630">
        <v>2000000</v>
      </c>
      <c r="W88" s="1630">
        <v>2000000</v>
      </c>
      <c r="X88" s="1632" cm="1">
        <f t="array" ref="X88">SUM(L88:W88)</f>
        <v>24000000</v>
      </c>
      <c r="Y88" s="578"/>
    </row>
    <row r="89" ht="16.5" customHeight="1">
      <c r="A89" s="12"/>
      <c r="B89" s="1628">
        <v>5</v>
      </c>
      <c r="C89" t="s" s="1629">
        <v>1442</v>
      </c>
      <c r="D89" t="s" s="1629">
        <v>1443</v>
      </c>
      <c r="E89" s="1630">
        <v>2000000</v>
      </c>
      <c r="F89" s="1630"/>
      <c r="G89" s="1630"/>
      <c r="H89" s="1630"/>
      <c r="I89" s="1630">
        <v>150000</v>
      </c>
      <c r="J89" s="1630" cm="1">
        <f t="array" ref="J89">SUM(E89:I89)</f>
        <v>2150000</v>
      </c>
      <c r="K89" s="1630"/>
      <c r="L89" s="1630">
        <v>2150000</v>
      </c>
      <c r="M89" s="1630">
        <v>2150000</v>
      </c>
      <c r="N89" s="1630">
        <v>2150000</v>
      </c>
      <c r="O89" s="1630">
        <v>2150000</v>
      </c>
      <c r="P89" s="1630">
        <v>2150000</v>
      </c>
      <c r="Q89" s="1630">
        <v>2150000</v>
      </c>
      <c r="R89" s="1630">
        <v>2150000</v>
      </c>
      <c r="S89" s="1630">
        <v>2150000</v>
      </c>
      <c r="T89" s="1630">
        <v>2150000</v>
      </c>
      <c r="U89" s="1630">
        <v>2150000</v>
      </c>
      <c r="V89" s="1630">
        <v>2150000</v>
      </c>
      <c r="W89" s="1630">
        <v>2150000</v>
      </c>
      <c r="X89" s="1632" cm="1">
        <f t="array" ref="X89">SUM(L89:W89)</f>
        <v>25800000</v>
      </c>
      <c r="Y89" s="578"/>
    </row>
    <row r="90" ht="16.5" customHeight="1">
      <c r="A90" s="12"/>
      <c r="B90" s="1628">
        <v>6</v>
      </c>
      <c r="C90" t="s" s="1629">
        <v>1444</v>
      </c>
      <c r="D90" t="s" s="1629">
        <v>1445</v>
      </c>
      <c r="E90" s="1630">
        <v>3500000</v>
      </c>
      <c r="F90" s="1630"/>
      <c r="G90" s="1630"/>
      <c r="H90" s="1630"/>
      <c r="I90" s="1630">
        <v>150000</v>
      </c>
      <c r="J90" s="1630" cm="1">
        <f t="array" ref="J90">SUM(E90:I90)</f>
        <v>3650000</v>
      </c>
      <c r="K90" s="1630"/>
      <c r="L90" s="1630">
        <v>3650000</v>
      </c>
      <c r="M90" s="1630">
        <v>3650000</v>
      </c>
      <c r="N90" s="1630">
        <v>3650000</v>
      </c>
      <c r="O90" s="1630">
        <v>3650000</v>
      </c>
      <c r="P90" s="1630">
        <v>3650000</v>
      </c>
      <c r="Q90" s="1630">
        <v>3650000</v>
      </c>
      <c r="R90" s="1630">
        <v>3650000</v>
      </c>
      <c r="S90" s="1630">
        <v>3650000</v>
      </c>
      <c r="T90" s="1630">
        <v>3650000</v>
      </c>
      <c r="U90" s="1630">
        <v>3650000</v>
      </c>
      <c r="V90" s="1630">
        <v>3650000</v>
      </c>
      <c r="W90" s="1630">
        <v>3650000</v>
      </c>
      <c r="X90" s="1632" cm="1">
        <f t="array" ref="X90">SUM(L90:W90)</f>
        <v>43800000</v>
      </c>
      <c r="Y90" s="578"/>
    </row>
    <row r="91" ht="16.5" customHeight="1">
      <c r="A91" s="12"/>
      <c r="B91" s="1628">
        <v>7</v>
      </c>
      <c r="C91" t="s" s="1629">
        <v>1446</v>
      </c>
      <c r="D91" t="s" s="1629">
        <v>1447</v>
      </c>
      <c r="E91" s="1630">
        <v>40000000</v>
      </c>
      <c r="F91" s="1630"/>
      <c r="G91" s="1630"/>
      <c r="H91" s="1630"/>
      <c r="I91" s="1630"/>
      <c r="J91" s="1630" cm="1">
        <f t="array" ref="J91">SUM(E91:I91)</f>
        <v>40000000</v>
      </c>
      <c r="K91" s="1630"/>
      <c r="L91" s="1630">
        <v>40000000</v>
      </c>
      <c r="M91" s="1630">
        <v>40000000</v>
      </c>
      <c r="N91" s="1630">
        <v>40000000</v>
      </c>
      <c r="O91" s="1630">
        <v>40000000</v>
      </c>
      <c r="P91" s="1630">
        <v>40000000</v>
      </c>
      <c r="Q91" s="1630">
        <v>40000000</v>
      </c>
      <c r="R91" s="1630">
        <v>40000000</v>
      </c>
      <c r="S91" s="1630">
        <v>40000000</v>
      </c>
      <c r="T91" s="1630">
        <v>40000000</v>
      </c>
      <c r="U91" s="1630">
        <v>40000000</v>
      </c>
      <c r="V91" s="1630">
        <v>40000000</v>
      </c>
      <c r="W91" s="1630">
        <v>40000000</v>
      </c>
      <c r="X91" s="1632" cm="1">
        <f t="array" ref="X91">SUM(L91:W91)</f>
        <v>480000000</v>
      </c>
      <c r="Y91" s="578"/>
    </row>
    <row r="92" ht="16.5" customHeight="1">
      <c r="A92" s="12"/>
      <c r="B92" s="1628">
        <v>8</v>
      </c>
      <c r="C92" t="s" s="1629">
        <v>1448</v>
      </c>
      <c r="D92" t="s" s="1629">
        <v>1449</v>
      </c>
      <c r="E92" s="1630">
        <v>24000000</v>
      </c>
      <c r="F92" s="1630"/>
      <c r="G92" s="1630"/>
      <c r="H92" s="1630"/>
      <c r="I92" s="1630"/>
      <c r="J92" s="1630" cm="1">
        <f t="array" ref="J92">SUM(E92:I92)</f>
        <v>24000000</v>
      </c>
      <c r="K92" s="1630"/>
      <c r="L92" s="1630">
        <v>24000000</v>
      </c>
      <c r="M92" s="1630">
        <v>24000000</v>
      </c>
      <c r="N92" s="1630">
        <v>24000000</v>
      </c>
      <c r="O92" s="1630">
        <v>24000000</v>
      </c>
      <c r="P92" s="1630">
        <v>24000000</v>
      </c>
      <c r="Q92" s="1630">
        <v>24000000</v>
      </c>
      <c r="R92" s="1630">
        <v>24000000</v>
      </c>
      <c r="S92" s="1630">
        <v>24000000</v>
      </c>
      <c r="T92" s="1630">
        <v>24000000</v>
      </c>
      <c r="U92" s="1630">
        <v>24000000</v>
      </c>
      <c r="V92" s="1630">
        <v>24000000</v>
      </c>
      <c r="W92" s="1630">
        <v>24000000</v>
      </c>
      <c r="X92" s="1632" cm="1">
        <f t="array" ref="X92">SUM(L92:W92)</f>
        <v>288000000</v>
      </c>
      <c r="Y92" s="578"/>
    </row>
    <row r="93" ht="16.5" customHeight="1">
      <c r="A93" s="12"/>
      <c r="B93" s="1628">
        <v>9</v>
      </c>
      <c r="C93" t="s" s="1629">
        <v>1450</v>
      </c>
      <c r="D93" t="s" s="1629">
        <v>1451</v>
      </c>
      <c r="E93" s="1630">
        <v>6500000</v>
      </c>
      <c r="F93" s="1630"/>
      <c r="G93" s="1630"/>
      <c r="H93" s="1630"/>
      <c r="I93" s="1630">
        <v>150000</v>
      </c>
      <c r="J93" s="1630" cm="1">
        <f t="array" ref="J93">SUM(E93:I93)</f>
        <v>6650000</v>
      </c>
      <c r="K93" s="1630"/>
      <c r="L93" s="1630">
        <v>6650000</v>
      </c>
      <c r="M93" s="1630">
        <v>6650000</v>
      </c>
      <c r="N93" s="1630">
        <v>6650000</v>
      </c>
      <c r="O93" s="1630">
        <v>6650000</v>
      </c>
      <c r="P93" s="1630">
        <v>6650000</v>
      </c>
      <c r="Q93" s="1630">
        <v>6650000</v>
      </c>
      <c r="R93" s="1630">
        <v>6650000</v>
      </c>
      <c r="S93" s="1630">
        <v>6650000</v>
      </c>
      <c r="T93" s="1630">
        <v>6650000</v>
      </c>
      <c r="U93" s="1630">
        <v>6650000</v>
      </c>
      <c r="V93" s="1630">
        <v>6650000</v>
      </c>
      <c r="W93" s="1630">
        <v>6650000</v>
      </c>
      <c r="X93" s="1632" cm="1">
        <f t="array" ref="X93">SUM(L93:W93)</f>
        <v>79800000</v>
      </c>
      <c r="Y93" s="578"/>
    </row>
    <row r="94" ht="16.5" customHeight="1">
      <c r="A94" s="12"/>
      <c r="B94" s="1628">
        <v>10</v>
      </c>
      <c r="C94" t="s" s="1633">
        <v>1452</v>
      </c>
      <c r="D94" t="s" s="1629">
        <v>1453</v>
      </c>
      <c r="E94" s="1630">
        <v>4800000</v>
      </c>
      <c r="F94" s="1630"/>
      <c r="G94" s="1630"/>
      <c r="H94" s="1630"/>
      <c r="I94" s="1630">
        <v>150000</v>
      </c>
      <c r="J94" s="1630" cm="1">
        <f t="array" ref="J94">SUM(E94:I94)</f>
        <v>4950000</v>
      </c>
      <c r="K94" s="1630"/>
      <c r="L94" s="1630">
        <v>4950000</v>
      </c>
      <c r="M94" s="1630">
        <v>4950000</v>
      </c>
      <c r="N94" s="1630">
        <v>4950000</v>
      </c>
      <c r="O94" s="1630">
        <v>4950000</v>
      </c>
      <c r="P94" s="1630">
        <v>4950000</v>
      </c>
      <c r="Q94" s="1630">
        <v>4950000</v>
      </c>
      <c r="R94" s="1630">
        <v>4950000</v>
      </c>
      <c r="S94" s="1630">
        <v>4950000</v>
      </c>
      <c r="T94" s="1630">
        <v>4950000</v>
      </c>
      <c r="U94" s="1630">
        <v>4950000</v>
      </c>
      <c r="V94" s="1630">
        <v>4950000</v>
      </c>
      <c r="W94" s="1630">
        <v>4950000</v>
      </c>
      <c r="X94" s="1632" cm="1">
        <f t="array" ref="X94">SUM(L94:W94)</f>
        <v>59400000</v>
      </c>
      <c r="Y94" s="578"/>
    </row>
    <row r="95" ht="16.5" customHeight="1">
      <c r="A95" s="12"/>
      <c r="B95" s="1628">
        <v>11</v>
      </c>
      <c r="C95" t="s" s="1629">
        <v>1454</v>
      </c>
      <c r="D95" t="s" s="1629">
        <v>1453</v>
      </c>
      <c r="E95" s="1630">
        <v>4800000</v>
      </c>
      <c r="F95" s="1630"/>
      <c r="G95" s="1630"/>
      <c r="H95" s="1630"/>
      <c r="I95" s="1630">
        <v>150000</v>
      </c>
      <c r="J95" s="1630" cm="1">
        <f t="array" ref="J95">SUM(E95:I95)</f>
        <v>4950000</v>
      </c>
      <c r="K95" s="1630"/>
      <c r="L95" s="1630">
        <v>4950000</v>
      </c>
      <c r="M95" s="1630">
        <v>4950000</v>
      </c>
      <c r="N95" s="1630">
        <v>4950000</v>
      </c>
      <c r="O95" s="1630">
        <v>4950000</v>
      </c>
      <c r="P95" s="1630">
        <v>4950000</v>
      </c>
      <c r="Q95" s="1630">
        <v>4950000</v>
      </c>
      <c r="R95" s="1630">
        <v>4950000</v>
      </c>
      <c r="S95" s="1630">
        <v>4950000</v>
      </c>
      <c r="T95" s="1630">
        <v>4950000</v>
      </c>
      <c r="U95" s="1630">
        <v>4950000</v>
      </c>
      <c r="V95" s="1630">
        <v>4950000</v>
      </c>
      <c r="W95" s="1630">
        <v>4950000</v>
      </c>
      <c r="X95" s="1632" cm="1">
        <f t="array" ref="X95">SUM(L95:W95)</f>
        <v>59400000</v>
      </c>
      <c r="Y95" s="578"/>
    </row>
    <row r="96" ht="16.5" customHeight="1">
      <c r="A96" s="12"/>
      <c r="B96" s="1628">
        <v>12</v>
      </c>
      <c r="C96" t="s" s="1633">
        <v>1455</v>
      </c>
      <c r="D96" t="s" s="1629">
        <v>1456</v>
      </c>
      <c r="E96" s="1630">
        <v>4800000</v>
      </c>
      <c r="F96" s="1630"/>
      <c r="G96" s="1630"/>
      <c r="H96" s="1630"/>
      <c r="I96" s="1630">
        <v>150000</v>
      </c>
      <c r="J96" s="1630" cm="1">
        <f t="array" ref="J96">SUM(E96:I96)</f>
        <v>4950000</v>
      </c>
      <c r="K96" s="1630"/>
      <c r="L96" s="1630">
        <v>4950000</v>
      </c>
      <c r="M96" s="1630">
        <v>4950000</v>
      </c>
      <c r="N96" s="1630">
        <v>4950000</v>
      </c>
      <c r="O96" s="1630">
        <v>4950000</v>
      </c>
      <c r="P96" s="1630">
        <v>4950000</v>
      </c>
      <c r="Q96" s="1630">
        <v>4950000</v>
      </c>
      <c r="R96" s="1630">
        <v>4950000</v>
      </c>
      <c r="S96" s="1630">
        <v>4950000</v>
      </c>
      <c r="T96" s="1630">
        <v>4950000</v>
      </c>
      <c r="U96" s="1630">
        <v>4950000</v>
      </c>
      <c r="V96" s="1630">
        <v>4950000</v>
      </c>
      <c r="W96" s="1630">
        <v>4950000</v>
      </c>
      <c r="X96" s="1632" cm="1">
        <f t="array" ref="X96">SUM(L96:W96)</f>
        <v>59400000</v>
      </c>
      <c r="Y96" s="578"/>
    </row>
    <row r="97" ht="16.5" customHeight="1">
      <c r="A97" s="12"/>
      <c r="B97" s="1628">
        <v>13</v>
      </c>
      <c r="C97" t="s" s="1629">
        <v>1457</v>
      </c>
      <c r="D97" t="s" s="1629">
        <v>1458</v>
      </c>
      <c r="E97" s="1630">
        <v>4800000</v>
      </c>
      <c r="F97" s="1630"/>
      <c r="G97" s="1630"/>
      <c r="H97" s="1630"/>
      <c r="I97" s="1630">
        <v>150000</v>
      </c>
      <c r="J97" s="1630" cm="1">
        <f t="array" ref="J97">SUM(E97:I97)</f>
        <v>4950000</v>
      </c>
      <c r="K97" s="1630"/>
      <c r="L97" s="1630">
        <v>4950000</v>
      </c>
      <c r="M97" s="1630">
        <v>4950000</v>
      </c>
      <c r="N97" s="1630">
        <v>4950000</v>
      </c>
      <c r="O97" s="1630">
        <v>4950000</v>
      </c>
      <c r="P97" s="1630">
        <v>4950000</v>
      </c>
      <c r="Q97" s="1630">
        <v>4950000</v>
      </c>
      <c r="R97" s="1630">
        <v>4950000</v>
      </c>
      <c r="S97" s="1630">
        <v>4950000</v>
      </c>
      <c r="T97" s="1630">
        <v>4950000</v>
      </c>
      <c r="U97" s="1630">
        <v>4950000</v>
      </c>
      <c r="V97" s="1630">
        <v>4950000</v>
      </c>
      <c r="W97" s="1630">
        <v>4950000</v>
      </c>
      <c r="X97" s="1632" cm="1">
        <f t="array" ref="X97">SUM(L97:W97)</f>
        <v>59400000</v>
      </c>
      <c r="Y97" s="578"/>
    </row>
    <row r="98" ht="16.5" customHeight="1">
      <c r="A98" s="12"/>
      <c r="B98" s="1628">
        <v>14</v>
      </c>
      <c r="C98" t="s" s="1629">
        <v>1459</v>
      </c>
      <c r="D98" t="s" s="1629">
        <v>1458</v>
      </c>
      <c r="E98" s="1630">
        <v>4800000</v>
      </c>
      <c r="F98" s="1630"/>
      <c r="G98" s="1630"/>
      <c r="H98" s="1630"/>
      <c r="I98" s="1630">
        <v>150000</v>
      </c>
      <c r="J98" s="1630" cm="1">
        <f t="array" ref="J98">SUM(E98:I98)</f>
        <v>4950000</v>
      </c>
      <c r="K98" s="1630"/>
      <c r="L98" s="1630">
        <v>4950000</v>
      </c>
      <c r="M98" s="1630">
        <v>4950000</v>
      </c>
      <c r="N98" s="1630">
        <v>4950000</v>
      </c>
      <c r="O98" s="1630">
        <v>4950000</v>
      </c>
      <c r="P98" s="1630">
        <v>4950000</v>
      </c>
      <c r="Q98" s="1630">
        <v>4950000</v>
      </c>
      <c r="R98" s="1630">
        <v>4950000</v>
      </c>
      <c r="S98" s="1630">
        <v>4950000</v>
      </c>
      <c r="T98" s="1630">
        <v>4950000</v>
      </c>
      <c r="U98" s="1630">
        <v>4950000</v>
      </c>
      <c r="V98" s="1630">
        <v>4950000</v>
      </c>
      <c r="W98" s="1630">
        <v>4950000</v>
      </c>
      <c r="X98" s="1632" cm="1">
        <f t="array" ref="X98">SUM(L98:W98)</f>
        <v>59400000</v>
      </c>
      <c r="Y98" s="578"/>
    </row>
    <row r="99" ht="16.5" customHeight="1">
      <c r="A99" s="12"/>
      <c r="B99" s="1628">
        <v>15</v>
      </c>
      <c r="C99" t="s" s="1629">
        <v>1460</v>
      </c>
      <c r="D99" t="s" s="1629">
        <v>1458</v>
      </c>
      <c r="E99" s="1630">
        <v>4800000</v>
      </c>
      <c r="F99" s="1630"/>
      <c r="G99" s="1630"/>
      <c r="H99" s="1630"/>
      <c r="I99" s="1630">
        <v>150000</v>
      </c>
      <c r="J99" s="1630" cm="1">
        <f t="array" ref="J99">SUM(E99:I99)</f>
        <v>4950000</v>
      </c>
      <c r="K99" s="1630"/>
      <c r="L99" s="1630">
        <v>4950000</v>
      </c>
      <c r="M99" s="1630">
        <v>4950000</v>
      </c>
      <c r="N99" s="1630">
        <v>4950000</v>
      </c>
      <c r="O99" s="1630">
        <v>4950000</v>
      </c>
      <c r="P99" s="1630">
        <v>4950000</v>
      </c>
      <c r="Q99" s="1630">
        <v>4950000</v>
      </c>
      <c r="R99" s="1630">
        <v>4950000</v>
      </c>
      <c r="S99" s="1630">
        <v>4950000</v>
      </c>
      <c r="T99" s="1630">
        <v>4950000</v>
      </c>
      <c r="U99" s="1630">
        <v>4950000</v>
      </c>
      <c r="V99" s="1630">
        <v>4950000</v>
      </c>
      <c r="W99" s="1630">
        <v>4950000</v>
      </c>
      <c r="X99" s="1632" cm="1">
        <f t="array" ref="X99">SUM(L99:W99)</f>
        <v>59400000</v>
      </c>
      <c r="Y99" s="578"/>
    </row>
    <row r="100" ht="16.5" customHeight="1">
      <c r="A100" s="12"/>
      <c r="B100" s="1628">
        <v>16</v>
      </c>
      <c r="C100" t="s" s="1629">
        <v>1461</v>
      </c>
      <c r="D100" t="s" s="1629">
        <v>1462</v>
      </c>
      <c r="E100" s="1630">
        <v>4800000</v>
      </c>
      <c r="F100" s="1630"/>
      <c r="G100" s="1630"/>
      <c r="H100" s="1630"/>
      <c r="I100" s="1630">
        <v>150000</v>
      </c>
      <c r="J100" s="1630" cm="1">
        <f t="array" ref="J100">SUM(E100:I100)</f>
        <v>4950000</v>
      </c>
      <c r="K100" s="1630"/>
      <c r="L100" s="1630">
        <v>4950000</v>
      </c>
      <c r="M100" s="1630">
        <v>4950000</v>
      </c>
      <c r="N100" s="1630">
        <v>4950000</v>
      </c>
      <c r="O100" s="1630">
        <v>4950000</v>
      </c>
      <c r="P100" s="1630">
        <v>4950000</v>
      </c>
      <c r="Q100" s="1630">
        <v>4950000</v>
      </c>
      <c r="R100" s="1630">
        <v>4950000</v>
      </c>
      <c r="S100" s="1630">
        <v>4950000</v>
      </c>
      <c r="T100" s="1630">
        <v>4950000</v>
      </c>
      <c r="U100" s="1630">
        <v>4950000</v>
      </c>
      <c r="V100" s="1630">
        <v>4950000</v>
      </c>
      <c r="W100" s="1630">
        <v>4950000</v>
      </c>
      <c r="X100" s="1632" cm="1">
        <f t="array" ref="X100">SUM(L100:W100)</f>
        <v>59400000</v>
      </c>
      <c r="Y100" s="578"/>
    </row>
    <row r="101" ht="16.5" customHeight="1">
      <c r="A101" s="12"/>
      <c r="B101" s="1628">
        <v>17</v>
      </c>
      <c r="C101" t="s" s="1629">
        <v>1463</v>
      </c>
      <c r="D101" t="s" s="1629">
        <v>1423</v>
      </c>
      <c r="E101" s="1630">
        <v>6000000</v>
      </c>
      <c r="F101" s="1630"/>
      <c r="G101" s="1630"/>
      <c r="H101" s="1630"/>
      <c r="I101" s="1630">
        <v>150000</v>
      </c>
      <c r="J101" s="1630" cm="1">
        <f t="array" ref="J101">SUM(E101:I101)</f>
        <v>6150000</v>
      </c>
      <c r="K101" s="1630"/>
      <c r="L101" s="1630">
        <v>6150000</v>
      </c>
      <c r="M101" s="1630">
        <v>6150000</v>
      </c>
      <c r="N101" s="1630">
        <v>6150000</v>
      </c>
      <c r="O101" s="1630">
        <v>6150000</v>
      </c>
      <c r="P101" s="1630">
        <v>6150000</v>
      </c>
      <c r="Q101" s="1630">
        <v>6150000</v>
      </c>
      <c r="R101" s="1630">
        <v>6150000</v>
      </c>
      <c r="S101" s="1630">
        <v>6150000</v>
      </c>
      <c r="T101" s="1630">
        <v>6150000</v>
      </c>
      <c r="U101" s="1630">
        <v>6150000</v>
      </c>
      <c r="V101" s="1630">
        <v>6150000</v>
      </c>
      <c r="W101" s="1630">
        <v>6150000</v>
      </c>
      <c r="X101" s="1632" cm="1">
        <f t="array" ref="X101">SUM(L101:W101)</f>
        <v>73800000</v>
      </c>
      <c r="Y101" s="578"/>
    </row>
    <row r="102" ht="16.5" customHeight="1">
      <c r="A102" s="12"/>
      <c r="B102" s="1628">
        <v>18</v>
      </c>
      <c r="C102" t="s" s="1629">
        <v>1463</v>
      </c>
      <c r="D102" t="s" s="1629">
        <v>1423</v>
      </c>
      <c r="E102" s="1630">
        <v>6000000</v>
      </c>
      <c r="F102" s="1630"/>
      <c r="G102" s="1630"/>
      <c r="H102" s="1630"/>
      <c r="I102" s="1630">
        <v>150000</v>
      </c>
      <c r="J102" s="1630" cm="1">
        <f t="array" ref="J102">SUM(E102:I102)</f>
        <v>6150000</v>
      </c>
      <c r="K102" s="1630"/>
      <c r="L102" s="1630">
        <v>6150000</v>
      </c>
      <c r="M102" s="1630">
        <v>6150000</v>
      </c>
      <c r="N102" s="1630">
        <v>6150000</v>
      </c>
      <c r="O102" s="1630">
        <v>6150000</v>
      </c>
      <c r="P102" s="1630">
        <v>6150000</v>
      </c>
      <c r="Q102" s="1630">
        <v>6150000</v>
      </c>
      <c r="R102" s="1630">
        <v>6150000</v>
      </c>
      <c r="S102" s="1630">
        <v>6150000</v>
      </c>
      <c r="T102" s="1630">
        <v>6150000</v>
      </c>
      <c r="U102" s="1630">
        <v>6150000</v>
      </c>
      <c r="V102" s="1630">
        <v>6150000</v>
      </c>
      <c r="W102" s="1630">
        <v>6150000</v>
      </c>
      <c r="X102" s="1632" cm="1">
        <f t="array" ref="X102">SUM(L102:W102)</f>
        <v>73800000</v>
      </c>
      <c r="Y102" s="578"/>
    </row>
    <row r="103" ht="16.5" customHeight="1">
      <c r="A103" s="12"/>
      <c r="B103" s="1628">
        <v>19</v>
      </c>
      <c r="C103" t="s" s="1629">
        <v>1463</v>
      </c>
      <c r="D103" t="s" s="1629">
        <v>1423</v>
      </c>
      <c r="E103" s="1630">
        <v>6000000</v>
      </c>
      <c r="F103" s="1630"/>
      <c r="G103" s="1630"/>
      <c r="H103" s="1630"/>
      <c r="I103" s="1630">
        <v>150000</v>
      </c>
      <c r="J103" s="1630" cm="1">
        <f t="array" ref="J103">SUM(E103:I103)</f>
        <v>6150000</v>
      </c>
      <c r="K103" s="1630"/>
      <c r="L103" s="1630">
        <v>6150000</v>
      </c>
      <c r="M103" s="1630">
        <v>6150000</v>
      </c>
      <c r="N103" s="1630">
        <v>6150000</v>
      </c>
      <c r="O103" s="1630">
        <v>6150000</v>
      </c>
      <c r="P103" s="1630">
        <v>6150000</v>
      </c>
      <c r="Q103" s="1630">
        <v>6150000</v>
      </c>
      <c r="R103" s="1630">
        <v>6150000</v>
      </c>
      <c r="S103" s="1630">
        <v>6150000</v>
      </c>
      <c r="T103" s="1630">
        <v>6150000</v>
      </c>
      <c r="U103" s="1630">
        <v>6150000</v>
      </c>
      <c r="V103" s="1630">
        <v>6150000</v>
      </c>
      <c r="W103" s="1630">
        <v>6150000</v>
      </c>
      <c r="X103" s="1632" cm="1">
        <f t="array" ref="X103">SUM(L103:W103)</f>
        <v>73800000</v>
      </c>
      <c r="Y103" s="578"/>
    </row>
    <row r="104" ht="16.5" customHeight="1">
      <c r="A104" s="12"/>
      <c r="B104" s="1628">
        <v>20</v>
      </c>
      <c r="C104" t="s" s="1629">
        <v>1463</v>
      </c>
      <c r="D104" t="s" s="1629">
        <v>1423</v>
      </c>
      <c r="E104" s="1630">
        <v>6000000</v>
      </c>
      <c r="F104" s="1630"/>
      <c r="G104" s="1630"/>
      <c r="H104" s="1630"/>
      <c r="I104" s="1630">
        <v>150000</v>
      </c>
      <c r="J104" s="1630" cm="1">
        <f t="array" ref="J104">SUM(E104:I104)</f>
        <v>6150000</v>
      </c>
      <c r="K104" s="1630"/>
      <c r="L104" s="1630">
        <v>6150000</v>
      </c>
      <c r="M104" s="1630">
        <v>6150000</v>
      </c>
      <c r="N104" s="1630">
        <v>6150000</v>
      </c>
      <c r="O104" s="1630">
        <v>6150000</v>
      </c>
      <c r="P104" s="1630">
        <v>6150000</v>
      </c>
      <c r="Q104" s="1630">
        <v>6150000</v>
      </c>
      <c r="R104" s="1630">
        <v>6150000</v>
      </c>
      <c r="S104" s="1630">
        <v>6150000</v>
      </c>
      <c r="T104" s="1630">
        <v>6150000</v>
      </c>
      <c r="U104" s="1630">
        <v>6150000</v>
      </c>
      <c r="V104" s="1630">
        <v>6150000</v>
      </c>
      <c r="W104" s="1630">
        <v>6150000</v>
      </c>
      <c r="X104" s="1632" cm="1">
        <f t="array" ref="X104">SUM(L104:W104)</f>
        <v>73800000</v>
      </c>
      <c r="Y104" s="578"/>
    </row>
    <row r="105" ht="16.5" customHeight="1">
      <c r="A105" s="12"/>
      <c r="B105" s="1628">
        <v>21</v>
      </c>
      <c r="C105" t="s" s="1629">
        <v>1464</v>
      </c>
      <c r="D105" t="s" s="1629">
        <v>1423</v>
      </c>
      <c r="E105" s="1630">
        <v>19000000</v>
      </c>
      <c r="F105" s="1630"/>
      <c r="G105" s="1630"/>
      <c r="H105" s="1630"/>
      <c r="I105" s="1630"/>
      <c r="J105" s="1630" cm="1">
        <f t="array" ref="J105">SUM(E105:I105)</f>
        <v>19000000</v>
      </c>
      <c r="K105" s="1630"/>
      <c r="L105" s="1630">
        <v>19000000</v>
      </c>
      <c r="M105" s="1630">
        <v>19000000</v>
      </c>
      <c r="N105" s="1630">
        <v>19000000</v>
      </c>
      <c r="O105" s="1630">
        <v>19000000</v>
      </c>
      <c r="P105" s="1630">
        <v>19000000</v>
      </c>
      <c r="Q105" s="1630">
        <v>19000000</v>
      </c>
      <c r="R105" s="1630">
        <v>19000000</v>
      </c>
      <c r="S105" s="1630">
        <v>19000000</v>
      </c>
      <c r="T105" s="1630">
        <v>19000000</v>
      </c>
      <c r="U105" s="1630">
        <v>19000000</v>
      </c>
      <c r="V105" s="1630">
        <v>19000000</v>
      </c>
      <c r="W105" s="1630">
        <v>19000000</v>
      </c>
      <c r="X105" s="1632" cm="1">
        <f t="array" ref="X105">SUM(L105:W105)</f>
        <v>228000000</v>
      </c>
      <c r="Y105" s="578"/>
    </row>
    <row r="106" ht="16.5" customHeight="1">
      <c r="A106" s="12"/>
      <c r="B106" s="1628">
        <v>22</v>
      </c>
      <c r="C106" t="s" s="1629">
        <v>1465</v>
      </c>
      <c r="D106" t="s" s="1629">
        <v>1423</v>
      </c>
      <c r="E106" s="1630">
        <v>6000000</v>
      </c>
      <c r="F106" s="1630"/>
      <c r="G106" s="1630"/>
      <c r="H106" s="1630"/>
      <c r="I106" s="1630">
        <v>150000</v>
      </c>
      <c r="J106" s="1630" cm="1">
        <f t="array" ref="J106">SUM(E106:I106)</f>
        <v>6150000</v>
      </c>
      <c r="K106" s="1630"/>
      <c r="L106" s="1630">
        <v>6150000</v>
      </c>
      <c r="M106" s="1630">
        <v>6150000</v>
      </c>
      <c r="N106" s="1630">
        <v>6150000</v>
      </c>
      <c r="O106" s="1630">
        <v>6150000</v>
      </c>
      <c r="P106" s="1630">
        <v>6150000</v>
      </c>
      <c r="Q106" s="1630">
        <v>6150000</v>
      </c>
      <c r="R106" s="1630">
        <v>6150000</v>
      </c>
      <c r="S106" s="1630">
        <v>6150000</v>
      </c>
      <c r="T106" s="1630">
        <v>6150000</v>
      </c>
      <c r="U106" s="1630">
        <v>6150000</v>
      </c>
      <c r="V106" s="1630">
        <v>6150000</v>
      </c>
      <c r="W106" s="1630">
        <v>6150000</v>
      </c>
      <c r="X106" s="1632" cm="1">
        <f t="array" ref="X106">SUM(L106:W106)</f>
        <v>73800000</v>
      </c>
      <c r="Y106" s="578"/>
    </row>
    <row r="107" ht="21.75" customHeight="1">
      <c r="A107" s="12"/>
      <c r="B107" s="1641"/>
      <c r="C107" s="1642"/>
      <c r="D107" t="s" s="1643">
        <v>1466</v>
      </c>
      <c r="E107" s="1644" cm="1">
        <f t="array" ref="E107">SUM(E85:E106)</f>
        <v>179600000</v>
      </c>
      <c r="F107" s="1644" cm="1">
        <f t="array" ref="F107">SUM(F85:F106)</f>
        <v>0</v>
      </c>
      <c r="G107" s="1644" cm="1">
        <f t="array" ref="G107">SUM(G85:G106)</f>
        <v>6000000</v>
      </c>
      <c r="H107" s="1644" cm="1">
        <f t="array" ref="H107">SUM(H85:H106)</f>
        <v>0</v>
      </c>
      <c r="I107" s="1644" cm="1">
        <f t="array" ref="I107">SUM(I85:I106)</f>
        <v>2400000</v>
      </c>
      <c r="J107" s="1644" cm="1">
        <f t="array" ref="J107">SUM(J85:J106)</f>
        <v>188000000</v>
      </c>
      <c r="K107" s="1644" cm="1">
        <f t="array" ref="K107">SUM(K85:K106)</f>
        <v>0</v>
      </c>
      <c r="L107" s="1644" cm="1">
        <f t="array" ref="L107">SUM(L85:L106)</f>
        <v>188000000</v>
      </c>
      <c r="M107" s="1644" cm="1">
        <f t="array" ref="M107">SUM(M85:M106)</f>
        <v>188000000</v>
      </c>
      <c r="N107" s="1644" cm="1">
        <f t="array" ref="N107">SUM(N85:N106)</f>
        <v>188000000</v>
      </c>
      <c r="O107" s="1644" cm="1">
        <f t="array" ref="O107">SUM(O85:O106)</f>
        <v>188000000</v>
      </c>
      <c r="P107" s="1644" cm="1">
        <f t="array" ref="P107">SUM(P85:P106)</f>
        <v>188000000</v>
      </c>
      <c r="Q107" s="1644" cm="1">
        <f t="array" ref="Q107">SUM(Q85:Q106)</f>
        <v>188000000</v>
      </c>
      <c r="R107" s="1644" cm="1">
        <f t="array" ref="R107">SUM(R85:R106)</f>
        <v>188000000</v>
      </c>
      <c r="S107" s="1644" cm="1">
        <f t="array" ref="S107">SUM(S85:S106)</f>
        <v>188000000</v>
      </c>
      <c r="T107" s="1644" cm="1">
        <f t="array" ref="T107">SUM(T85:T106)</f>
        <v>188000000</v>
      </c>
      <c r="U107" s="1644" cm="1">
        <f t="array" ref="U107">SUM(U85:U106)</f>
        <v>188000000</v>
      </c>
      <c r="V107" s="1644" cm="1">
        <f t="array" ref="V107">SUM(V85:V106)</f>
        <v>188000000</v>
      </c>
      <c r="W107" s="1644" cm="1">
        <f t="array" ref="W107">SUM(W85:W106)</f>
        <v>188000000</v>
      </c>
      <c r="X107" s="1644" cm="1">
        <f t="array" ref="X107">SUM(X85:X106)</f>
        <v>2256000000</v>
      </c>
      <c r="Y107" s="1636"/>
    </row>
    <row r="108" ht="24.9" customHeight="1">
      <c r="A108" s="12"/>
      <c r="B108" s="1645"/>
      <c r="C108" s="1646"/>
      <c r="D108" t="s" s="1647">
        <v>1467</v>
      </c>
      <c r="E108" s="1648" cm="1">
        <f t="array" ref="E108">E55+E83+E107</f>
        <v>788100000</v>
      </c>
      <c r="F108" s="1648" cm="1">
        <f t="array" ref="F108">F55+F83+F107</f>
        <v>160000000</v>
      </c>
      <c r="G108" s="1648" cm="1">
        <f t="array" ref="G108">G55+G83+G107</f>
        <v>27000000</v>
      </c>
      <c r="H108" s="1648" cm="1">
        <f t="array" ref="H108">H55+H83+H107</f>
        <v>150000000</v>
      </c>
      <c r="I108" s="1648" cm="1">
        <f t="array" ref="I108">I55+I83+I107</f>
        <v>11400000</v>
      </c>
      <c r="J108" s="1648" cm="1">
        <f t="array" ref="J108">J55+J83+J107</f>
        <v>1136500000</v>
      </c>
      <c r="K108" s="1648" cm="1">
        <f t="array" ref="K108">K55+K83+K107</f>
        <v>0</v>
      </c>
      <c r="L108" s="1648" cm="1">
        <f t="array" ref="L108">L55+L83+L107</f>
        <v>978000000</v>
      </c>
      <c r="M108" s="1648" cm="1">
        <f t="array" ref="M108">M55+M83+M107</f>
        <v>978000000</v>
      </c>
      <c r="N108" s="1648" cm="1">
        <f t="array" ref="N108">N55+N83+N107</f>
        <v>978000000</v>
      </c>
      <c r="O108" s="1648" cm="1">
        <f t="array" ref="O108">O55+O83+O107</f>
        <v>978000000</v>
      </c>
      <c r="P108" s="1648" cm="1">
        <f t="array" ref="P108">P55+P83+P107</f>
        <v>1012600000</v>
      </c>
      <c r="Q108" s="1648" cm="1">
        <f t="array" ref="Q108">Q55+Q83+Q107</f>
        <v>1012600000</v>
      </c>
      <c r="R108" s="1648" cm="1">
        <f t="array" ref="R108">R55+R83+R107</f>
        <v>1012600000</v>
      </c>
      <c r="S108" s="1648" cm="1">
        <f t="array" ref="S108">S55+S83+S107</f>
        <v>1012600000</v>
      </c>
      <c r="T108" s="1648" cm="1">
        <f t="array" ref="T108">T55+T83+T107</f>
        <v>1012600000</v>
      </c>
      <c r="U108" s="1648" cm="1">
        <f t="array" ref="U108">U55+U83+U107</f>
        <v>1012600000</v>
      </c>
      <c r="V108" s="1648" cm="1">
        <f t="array" ref="V108">V55+V83+V107</f>
        <v>1012600000</v>
      </c>
      <c r="W108" s="1648" cm="1">
        <f t="array" ref="W108">W55+W83+W107</f>
        <v>1012600000</v>
      </c>
      <c r="X108" s="1648" cm="1">
        <f t="array" ref="X108">X55+X83+X107</f>
        <v>12012800000</v>
      </c>
      <c r="Y108" s="1649"/>
    </row>
    <row r="109" ht="13.5" customHeight="1">
      <c r="A109" s="32"/>
      <c r="B109" s="1650"/>
      <c r="C109" s="1650"/>
      <c r="D109" s="1650"/>
      <c r="E109" s="1651"/>
      <c r="F109" s="1651"/>
      <c r="G109" s="1651"/>
      <c r="H109" s="1651"/>
      <c r="I109" s="1651"/>
      <c r="J109" s="1651"/>
      <c r="K109" s="1651"/>
      <c r="L109" s="1651"/>
      <c r="M109" s="1650"/>
      <c r="N109" s="1650"/>
      <c r="O109" s="1650"/>
      <c r="P109" s="1650"/>
      <c r="Q109" s="1650"/>
      <c r="R109" s="1650"/>
      <c r="S109" s="1650"/>
      <c r="T109" s="1650"/>
      <c r="U109" s="1650"/>
      <c r="V109" s="1650"/>
      <c r="W109" s="1650"/>
      <c r="X109" s="1651" cm="1">
        <f t="array" ref="X109">X108-X107</f>
        <v>9756800000</v>
      </c>
      <c r="Y109" s="18"/>
    </row>
    <row r="110" ht="13" customHeight="1">
      <c r="A110" s="32"/>
      <c r="B110" s="1652"/>
      <c r="C110" s="1652"/>
      <c r="D110" s="1652"/>
      <c r="E110" s="1653"/>
      <c r="F110" s="1653"/>
      <c r="G110" s="1653"/>
      <c r="H110" s="1653"/>
      <c r="I110" s="1653"/>
      <c r="J110" s="1653"/>
      <c r="K110" s="1653"/>
      <c r="L110" s="1653"/>
      <c r="M110" s="1652"/>
      <c r="N110" s="1652"/>
      <c r="O110" s="1652"/>
      <c r="P110" s="1652"/>
      <c r="Q110" s="1652"/>
      <c r="R110" s="1652"/>
      <c r="S110" s="1652"/>
      <c r="T110" s="1652"/>
      <c r="U110" s="1652"/>
      <c r="V110" s="1652"/>
      <c r="W110" s="1652"/>
      <c r="X110" s="1652"/>
      <c r="Y110" s="18"/>
    </row>
    <row r="111" ht="13" customHeight="1">
      <c r="A111" s="32"/>
      <c r="B111" s="1652"/>
      <c r="C111" s="1652"/>
      <c r="D111" s="1652"/>
      <c r="E111" s="1653"/>
      <c r="F111" s="1653"/>
      <c r="G111" s="1653"/>
      <c r="H111" s="1653"/>
      <c r="I111" s="1653"/>
      <c r="J111" s="1653"/>
      <c r="K111" s="1653"/>
      <c r="L111" s="1653"/>
      <c r="M111" s="1652"/>
      <c r="N111" s="1652"/>
      <c r="O111" s="1652"/>
      <c r="P111" s="1652"/>
      <c r="Q111" s="1652"/>
      <c r="R111" s="1652"/>
      <c r="S111" s="1652"/>
      <c r="T111" s="1652"/>
      <c r="U111" s="1652"/>
      <c r="V111" s="1652"/>
      <c r="W111" s="1652"/>
      <c r="X111" s="1652"/>
      <c r="Y111" s="18"/>
    </row>
    <row r="112" ht="13" customHeight="1">
      <c r="A112" s="32"/>
      <c r="B112" s="1652"/>
      <c r="C112" s="1652"/>
      <c r="D112" s="1652"/>
      <c r="E112" s="1653"/>
      <c r="F112" s="1653"/>
      <c r="G112" s="1653"/>
      <c r="H112" s="1653"/>
      <c r="I112" s="1653"/>
      <c r="J112" s="1653"/>
      <c r="K112" s="1653"/>
      <c r="L112" s="1653"/>
      <c r="M112" s="1652"/>
      <c r="N112" s="1652"/>
      <c r="O112" s="1652"/>
      <c r="P112" s="1652"/>
      <c r="Q112" s="1652"/>
      <c r="R112" s="1652"/>
      <c r="S112" s="1652"/>
      <c r="T112" s="1652"/>
      <c r="U112" s="1652"/>
      <c r="V112" s="1652"/>
      <c r="W112" s="1652"/>
      <c r="X112" s="1652"/>
      <c r="Y112" s="18"/>
    </row>
    <row r="113" ht="13" customHeight="1" hidden="1">
      <c r="A113" s="32"/>
      <c r="B113" s="1654"/>
      <c r="C113" s="1655"/>
      <c r="D113" s="1655"/>
      <c r="E113" s="1655"/>
      <c r="F113" s="1655"/>
      <c r="G113" s="1655"/>
      <c r="H113" s="1655"/>
      <c r="I113" s="1655"/>
      <c r="J113" s="1655"/>
      <c r="K113" s="1655"/>
      <c r="L113" s="1656"/>
      <c r="M113" s="1655"/>
      <c r="N113" s="1655"/>
      <c r="O113" s="1655"/>
      <c r="P113" s="1655"/>
      <c r="Q113" s="1655"/>
      <c r="R113" s="1655"/>
      <c r="S113" s="1655"/>
      <c r="T113" s="1655"/>
      <c r="U113" s="1655"/>
      <c r="V113" s="1655"/>
      <c r="W113" s="1655"/>
      <c r="X113" s="1657"/>
      <c r="Y113" s="18"/>
    </row>
    <row r="114" ht="13" customHeight="1" hidden="1">
      <c r="A114" s="32"/>
      <c r="B114" s="1654"/>
      <c r="C114" s="1655"/>
      <c r="D114" s="1655"/>
      <c r="E114" s="1655"/>
      <c r="F114" s="1655"/>
      <c r="G114" s="1655"/>
      <c r="H114" s="1655"/>
      <c r="I114" s="1655"/>
      <c r="J114" s="1655"/>
      <c r="K114" s="1655"/>
      <c r="L114" s="1656"/>
      <c r="M114" s="1655"/>
      <c r="N114" s="1655"/>
      <c r="O114" s="1655"/>
      <c r="P114" s="1655"/>
      <c r="Q114" s="1655"/>
      <c r="R114" s="1655"/>
      <c r="S114" s="1655"/>
      <c r="T114" s="1655"/>
      <c r="U114" s="1655"/>
      <c r="V114" s="1655"/>
      <c r="W114" s="1655"/>
      <c r="X114" s="1657"/>
      <c r="Y114" s="18"/>
    </row>
    <row r="115" ht="13" customHeight="1" hidden="1">
      <c r="A115" s="32"/>
      <c r="B115" s="1654"/>
      <c r="C115" s="1655"/>
      <c r="D115" s="1655"/>
      <c r="E115" s="1655"/>
      <c r="F115" s="1655"/>
      <c r="G115" s="1655"/>
      <c r="H115" s="1655"/>
      <c r="I115" s="1655"/>
      <c r="J115" s="1655"/>
      <c r="K115" s="1655"/>
      <c r="L115" s="1655"/>
      <c r="M115" s="1655"/>
      <c r="N115" s="1655"/>
      <c r="O115" s="1655"/>
      <c r="P115" s="1655"/>
      <c r="Q115" s="1655"/>
      <c r="R115" s="1655"/>
      <c r="S115" s="1655"/>
      <c r="T115" s="1655"/>
      <c r="U115" s="1655"/>
      <c r="V115" s="1655"/>
      <c r="W115" s="1655"/>
      <c r="X115" s="1657"/>
      <c r="Y115" s="18"/>
    </row>
    <row r="116" ht="13.55" customHeight="1">
      <c r="A116" s="192"/>
      <c r="B116" s="1658"/>
      <c r="C116" s="1659"/>
      <c r="D116" s="1659"/>
      <c r="E116" s="1659"/>
      <c r="F116" s="1659"/>
      <c r="G116" s="1659"/>
      <c r="H116" s="1659"/>
      <c r="I116" s="1659"/>
      <c r="J116" s="1659"/>
      <c r="K116" s="1659"/>
      <c r="L116" s="1659"/>
      <c r="M116" s="1659"/>
      <c r="N116" s="1659"/>
      <c r="O116" s="1659"/>
      <c r="P116" s="1659"/>
      <c r="Q116" s="1659"/>
      <c r="R116" s="1659"/>
      <c r="S116" s="1659"/>
      <c r="T116" s="1659"/>
      <c r="U116" s="1659"/>
      <c r="V116" s="1659"/>
      <c r="W116" s="1659"/>
      <c r="X116" s="1660"/>
      <c r="Y116" s="195"/>
    </row>
  </sheetData>
  <mergeCells count="1">
    <mergeCell ref="E2:J2"/>
  </mergeCells>
  <pageMargins left="0.25" right="0.25" top="0.25" bottom="0.25" header="0.3" footer="0.3"/>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26.xml><?xml version="1.0" encoding="utf-8"?>
<worksheet xmlns:r="http://schemas.openxmlformats.org/officeDocument/2006/relationships" xmlns="http://schemas.openxmlformats.org/spreadsheetml/2006/main">
  <sheetPr>
    <pageSetUpPr fitToPage="1"/>
  </sheetPr>
  <dimension ref="A1:Y69"/>
  <sheetViews>
    <sheetView workbookViewId="0" showGridLines="0" defaultGridColor="1"/>
  </sheetViews>
  <sheetFormatPr defaultColWidth="8.83333" defaultRowHeight="13" customHeight="1" outlineLevelRow="0" outlineLevelCol="0"/>
  <cols>
    <col min="1" max="1" width="6.17188" style="1661" customWidth="1"/>
    <col min="2" max="2" width="5.85156" style="1661" customWidth="1"/>
    <col min="3" max="3" width="25.5" style="1661" customWidth="1"/>
    <col min="4" max="4" width="33.3516" style="1661" customWidth="1"/>
    <col min="5" max="5" width="16.8516" style="1661" customWidth="1"/>
    <col min="6" max="6" width="16.1719" style="1661" customWidth="1"/>
    <col min="7" max="8" width="15.5" style="1661" customWidth="1"/>
    <col min="9" max="9" width="14.1719" style="1661" customWidth="1"/>
    <col min="10" max="10" width="17.6719" style="1661" customWidth="1"/>
    <col min="11" max="11" width="2.85156" style="1661" customWidth="1"/>
    <col min="12" max="23" width="16.6719" style="1661" customWidth="1"/>
    <col min="24" max="24" width="18.5" style="1661" customWidth="1"/>
    <col min="25" max="25" width="15.3516" style="1661" customWidth="1"/>
    <col min="26" max="16384" width="8.85156" style="1661" customWidth="1"/>
  </cols>
  <sheetData>
    <row r="1" ht="13.5" customHeight="1">
      <c r="A1" s="7"/>
      <c r="B1" s="1615"/>
      <c r="C1" s="1615"/>
      <c r="D1" s="1615"/>
      <c r="E1" s="1616"/>
      <c r="F1" s="1616"/>
      <c r="G1" s="1616"/>
      <c r="H1" s="1616"/>
      <c r="I1" s="1616"/>
      <c r="J1" s="1616"/>
      <c r="K1" s="1616"/>
      <c r="L1" s="1615"/>
      <c r="M1" s="1615"/>
      <c r="N1" s="1615"/>
      <c r="O1" s="1615"/>
      <c r="P1" s="1615"/>
      <c r="Q1" s="1615"/>
      <c r="R1" s="1615"/>
      <c r="S1" s="1615"/>
      <c r="T1" s="1615"/>
      <c r="U1" s="1615"/>
      <c r="V1" s="1615"/>
      <c r="W1" s="1615"/>
      <c r="X1" s="1615"/>
      <c r="Y1" s="11"/>
    </row>
    <row r="2" ht="16.5" customHeight="1">
      <c r="A2" s="12"/>
      <c r="B2" t="s" s="1617">
        <v>1294</v>
      </c>
      <c r="C2" s="1618"/>
      <c r="D2" s="1618"/>
      <c r="E2" t="s" s="1619">
        <v>1295</v>
      </c>
      <c r="F2" s="1620"/>
      <c r="G2" s="1620"/>
      <c r="H2" s="1620"/>
      <c r="I2" s="1620"/>
      <c r="J2" s="1620"/>
      <c r="K2" s="1618"/>
      <c r="L2" s="1621"/>
      <c r="M2" s="1621"/>
      <c r="N2" s="1621"/>
      <c r="O2" s="1621"/>
      <c r="P2" s="1621"/>
      <c r="Q2" s="1621"/>
      <c r="R2" s="1621"/>
      <c r="S2" s="1621"/>
      <c r="T2" s="1621"/>
      <c r="U2" s="1621"/>
      <c r="V2" s="1621"/>
      <c r="W2" s="1621"/>
      <c r="X2" s="1622"/>
      <c r="Y2" s="578"/>
    </row>
    <row r="3" ht="16.5" customHeight="1">
      <c r="A3" s="12"/>
      <c r="B3" t="s" s="1623">
        <v>1296</v>
      </c>
      <c r="C3" t="s" s="1624">
        <v>1297</v>
      </c>
      <c r="D3" t="s" s="1624">
        <v>1298</v>
      </c>
      <c r="E3" t="s" s="1624">
        <v>1299</v>
      </c>
      <c r="F3" t="s" s="1624">
        <v>1300</v>
      </c>
      <c r="G3" t="s" s="1624">
        <v>1301</v>
      </c>
      <c r="H3" t="s" s="1624">
        <v>1302</v>
      </c>
      <c r="I3" t="s" s="1624">
        <v>1303</v>
      </c>
      <c r="J3" t="s" s="1624">
        <v>1304</v>
      </c>
      <c r="K3" s="1625"/>
      <c r="L3" s="1626">
        <v>45682</v>
      </c>
      <c r="M3" s="1626">
        <v>45689</v>
      </c>
      <c r="N3" s="1626">
        <v>45717</v>
      </c>
      <c r="O3" s="1626">
        <v>45748</v>
      </c>
      <c r="P3" s="1626">
        <v>45778</v>
      </c>
      <c r="Q3" s="1626">
        <v>45809</v>
      </c>
      <c r="R3" s="1626">
        <v>45839</v>
      </c>
      <c r="S3" s="1626">
        <v>45870</v>
      </c>
      <c r="T3" s="1626">
        <v>45901</v>
      </c>
      <c r="U3" s="1626">
        <v>45931</v>
      </c>
      <c r="V3" s="1626">
        <v>45962</v>
      </c>
      <c r="W3" s="1626">
        <v>45992</v>
      </c>
      <c r="X3" t="s" s="1627">
        <v>890</v>
      </c>
      <c r="Y3" s="578"/>
    </row>
    <row r="4" ht="16.5" customHeight="1">
      <c r="A4" s="12"/>
      <c r="B4" s="1628">
        <v>1</v>
      </c>
      <c r="C4" t="s" s="1629">
        <v>1305</v>
      </c>
      <c r="D4" t="s" s="1629">
        <v>1306</v>
      </c>
      <c r="E4" s="1630" cm="1">
        <f t="array" ref="E4">35000000</f>
        <v>35000000</v>
      </c>
      <c r="F4" s="1630" cm="1">
        <f t="array" ref="F4">30000000</f>
        <v>30000000</v>
      </c>
      <c r="G4" s="1631"/>
      <c r="H4" s="1630"/>
      <c r="I4" s="1630"/>
      <c r="J4" s="1630" cm="1">
        <f t="array" ref="J4">SUM(E4:I4)</f>
        <v>65000000</v>
      </c>
      <c r="K4" s="1630"/>
      <c r="L4" s="1630">
        <v>65000000</v>
      </c>
      <c r="M4" s="1630">
        <v>65000000</v>
      </c>
      <c r="N4" s="1630">
        <v>65000000</v>
      </c>
      <c r="O4" s="1630">
        <v>65000000</v>
      </c>
      <c r="P4" s="1630">
        <v>65000000</v>
      </c>
      <c r="Q4" s="1630">
        <v>65000000</v>
      </c>
      <c r="R4" s="1630">
        <v>65000000</v>
      </c>
      <c r="S4" s="1630">
        <v>65000000</v>
      </c>
      <c r="T4" s="1630">
        <v>65000000</v>
      </c>
      <c r="U4" s="1630">
        <v>65000000</v>
      </c>
      <c r="V4" s="1630">
        <v>65000000</v>
      </c>
      <c r="W4" s="1630">
        <v>65000000</v>
      </c>
      <c r="X4" s="1632" cm="1">
        <f t="array" ref="X4">SUM(L4:W4)</f>
        <v>780000000</v>
      </c>
      <c r="Y4" s="578"/>
    </row>
    <row r="5" ht="16.5" customHeight="1">
      <c r="A5" s="12"/>
      <c r="B5" s="1628" cm="1">
        <f t="array" ref="B5">B4+1</f>
        <v>2</v>
      </c>
      <c r="C5" t="s" s="1629">
        <v>1307</v>
      </c>
      <c r="D5" t="s" s="1629">
        <v>1306</v>
      </c>
      <c r="E5" s="1630" cm="1">
        <f t="array" ref="E5">35000000</f>
        <v>35000000</v>
      </c>
      <c r="F5" s="1630" cm="1">
        <f t="array" ref="F5">35000000</f>
        <v>35000000</v>
      </c>
      <c r="G5" s="1630"/>
      <c r="H5" s="1630"/>
      <c r="I5" s="1630"/>
      <c r="J5" s="1630" cm="1">
        <f t="array" ref="J5">SUM(E5:I5)</f>
        <v>70000000</v>
      </c>
      <c r="K5" s="1630"/>
      <c r="L5" s="1630">
        <v>70000000</v>
      </c>
      <c r="M5" s="1630">
        <v>70000000</v>
      </c>
      <c r="N5" s="1630">
        <v>70000000</v>
      </c>
      <c r="O5" s="1630">
        <v>70000000</v>
      </c>
      <c r="P5" s="1630">
        <v>70000000</v>
      </c>
      <c r="Q5" s="1630">
        <v>70000000</v>
      </c>
      <c r="R5" s="1630">
        <v>70000000</v>
      </c>
      <c r="S5" s="1630">
        <v>70000000</v>
      </c>
      <c r="T5" s="1630">
        <v>70000000</v>
      </c>
      <c r="U5" s="1630">
        <v>70000000</v>
      </c>
      <c r="V5" s="1630">
        <v>70000000</v>
      </c>
      <c r="W5" s="1630">
        <v>70000000</v>
      </c>
      <c r="X5" s="1632" cm="1">
        <f t="array" ref="X5">SUM(L5:W5)</f>
        <v>840000000</v>
      </c>
      <c r="Y5" s="578"/>
    </row>
    <row r="6" ht="16.5" customHeight="1">
      <c r="A6" s="12"/>
      <c r="B6" s="1628" cm="1">
        <f t="array" ref="B6">B5+1</f>
        <v>3</v>
      </c>
      <c r="C6" t="s" s="1629">
        <v>1308</v>
      </c>
      <c r="D6" t="s" s="1629">
        <v>1309</v>
      </c>
      <c r="E6" s="1630" cm="1">
        <f t="array" ref="E6">35000000</f>
        <v>35000000</v>
      </c>
      <c r="F6" s="1630"/>
      <c r="G6" s="1630"/>
      <c r="H6" s="1630"/>
      <c r="I6" s="1630"/>
      <c r="J6" s="1630" cm="1">
        <f t="array" ref="J6">SUM(E6:I6)</f>
        <v>35000000</v>
      </c>
      <c r="K6" s="1630"/>
      <c r="L6" s="1630">
        <v>35000000</v>
      </c>
      <c r="M6" s="1630">
        <v>35000000</v>
      </c>
      <c r="N6" s="1630">
        <v>35000000</v>
      </c>
      <c r="O6" s="1630">
        <v>35000000</v>
      </c>
      <c r="P6" s="1630">
        <v>35000000</v>
      </c>
      <c r="Q6" s="1630">
        <v>35000000</v>
      </c>
      <c r="R6" s="1630">
        <v>35000000</v>
      </c>
      <c r="S6" s="1630">
        <v>35000000</v>
      </c>
      <c r="T6" s="1630">
        <v>35000000</v>
      </c>
      <c r="U6" s="1630">
        <v>35000000</v>
      </c>
      <c r="V6" s="1630">
        <v>35000000</v>
      </c>
      <c r="W6" s="1630">
        <v>35000000</v>
      </c>
      <c r="X6" s="1632" cm="1">
        <f t="array" ref="X6">SUM(L6:W6)</f>
        <v>420000000</v>
      </c>
      <c r="Y6" s="578"/>
    </row>
    <row r="7" ht="16.5" customHeight="1">
      <c r="A7" s="12"/>
      <c r="B7" s="1628" cm="1">
        <f t="array" ref="B7">B6+1</f>
        <v>4</v>
      </c>
      <c r="C7" t="s" s="1629">
        <v>1310</v>
      </c>
      <c r="D7" t="s" s="1629">
        <v>1311</v>
      </c>
      <c r="E7" s="1630">
        <v>30000000</v>
      </c>
      <c r="F7" s="1630">
        <v>10000000</v>
      </c>
      <c r="G7" s="1630">
        <v>3000000</v>
      </c>
      <c r="H7" s="1630"/>
      <c r="I7" s="1630">
        <v>150000</v>
      </c>
      <c r="J7" s="1630" cm="1">
        <f t="array" ref="J7">SUM(E7:I7)</f>
        <v>43150000</v>
      </c>
      <c r="K7" s="1630"/>
      <c r="L7" s="1630">
        <v>43150000</v>
      </c>
      <c r="M7" s="1630">
        <v>43150000</v>
      </c>
      <c r="N7" s="1630">
        <v>43150000</v>
      </c>
      <c r="O7" s="1630">
        <v>43150000</v>
      </c>
      <c r="P7" s="1630">
        <v>43150000</v>
      </c>
      <c r="Q7" s="1630">
        <v>43150000</v>
      </c>
      <c r="R7" s="1630">
        <v>43150000</v>
      </c>
      <c r="S7" s="1630">
        <v>43150000</v>
      </c>
      <c r="T7" s="1630">
        <v>43150000</v>
      </c>
      <c r="U7" s="1630">
        <v>43150000</v>
      </c>
      <c r="V7" s="1630">
        <v>43150000</v>
      </c>
      <c r="W7" s="1630">
        <v>43150000</v>
      </c>
      <c r="X7" s="1632" cm="1">
        <f t="array" ref="X7">SUM(L7:W7)</f>
        <v>517800000</v>
      </c>
      <c r="Y7" s="578"/>
    </row>
    <row r="8" ht="16.5" customHeight="1">
      <c r="A8" s="12"/>
      <c r="B8" s="1628" cm="1">
        <f t="array" ref="B8">B7+1</f>
        <v>5</v>
      </c>
      <c r="C8" t="s" s="1629">
        <v>1312</v>
      </c>
      <c r="D8" t="s" s="1629">
        <v>1313</v>
      </c>
      <c r="E8" s="1630">
        <v>9000000</v>
      </c>
      <c r="F8" s="1630">
        <v>1000000</v>
      </c>
      <c r="G8" s="1630">
        <v>2000000</v>
      </c>
      <c r="H8" s="1630"/>
      <c r="I8" s="1630">
        <v>150000</v>
      </c>
      <c r="J8" s="1630" cm="1">
        <f t="array" ref="J8">SUM(E8:I8)</f>
        <v>12150000</v>
      </c>
      <c r="K8" s="1630"/>
      <c r="L8" s="1630">
        <v>12150000</v>
      </c>
      <c r="M8" s="1630">
        <v>12150000</v>
      </c>
      <c r="N8" s="1630">
        <v>12150000</v>
      </c>
      <c r="O8" s="1630">
        <v>12150000</v>
      </c>
      <c r="P8" s="1630">
        <v>12150000</v>
      </c>
      <c r="Q8" s="1630">
        <v>12150000</v>
      </c>
      <c r="R8" s="1630">
        <v>12150000</v>
      </c>
      <c r="S8" s="1630">
        <v>12150000</v>
      </c>
      <c r="T8" s="1630">
        <v>12150000</v>
      </c>
      <c r="U8" s="1630">
        <v>12150000</v>
      </c>
      <c r="V8" s="1630">
        <v>12150000</v>
      </c>
      <c r="W8" s="1630">
        <v>12150000</v>
      </c>
      <c r="X8" s="1632" cm="1">
        <f t="array" ref="X8">SUM(L8:W8)</f>
        <v>145800000</v>
      </c>
      <c r="Y8" s="578"/>
    </row>
    <row r="9" ht="16.5" customHeight="1">
      <c r="A9" s="12"/>
      <c r="B9" s="1628" cm="1">
        <f t="array" ref="B9">B8+1</f>
        <v>6</v>
      </c>
      <c r="C9" t="s" s="1629">
        <v>1314</v>
      </c>
      <c r="D9" t="s" s="1629">
        <v>1315</v>
      </c>
      <c r="E9" s="1630">
        <v>6000000</v>
      </c>
      <c r="F9" s="1630">
        <v>1000000</v>
      </c>
      <c r="G9" s="1630"/>
      <c r="H9" s="1630"/>
      <c r="I9" s="1630">
        <v>150000</v>
      </c>
      <c r="J9" s="1630" cm="1">
        <f t="array" ref="J9">SUM(E9:I9)</f>
        <v>7150000</v>
      </c>
      <c r="K9" s="1630"/>
      <c r="L9" s="1630">
        <v>7150000</v>
      </c>
      <c r="M9" s="1630">
        <v>7150000</v>
      </c>
      <c r="N9" s="1630">
        <v>7150000</v>
      </c>
      <c r="O9" s="1630">
        <v>7150000</v>
      </c>
      <c r="P9" s="1630">
        <v>7150000</v>
      </c>
      <c r="Q9" s="1630">
        <v>7150000</v>
      </c>
      <c r="R9" s="1630">
        <v>7150000</v>
      </c>
      <c r="S9" s="1630">
        <v>7150000</v>
      </c>
      <c r="T9" s="1630">
        <v>7150000</v>
      </c>
      <c r="U9" s="1630">
        <v>7150000</v>
      </c>
      <c r="V9" s="1630">
        <v>7150000</v>
      </c>
      <c r="W9" s="1630">
        <v>7150000</v>
      </c>
      <c r="X9" s="1632" cm="1">
        <f t="array" ref="X9">SUM(L9:W9)</f>
        <v>85800000</v>
      </c>
      <c r="Y9" s="578"/>
    </row>
    <row r="10" ht="16.5" customHeight="1">
      <c r="A10" s="12"/>
      <c r="B10" s="1628" cm="1">
        <f t="array" ref="B10">B9+1</f>
        <v>7</v>
      </c>
      <c r="C10" t="s" s="1629">
        <v>1316</v>
      </c>
      <c r="D10" t="s" s="1629">
        <v>1317</v>
      </c>
      <c r="E10" s="1630" cm="1">
        <f t="array" ref="E10">3000000</f>
        <v>3000000</v>
      </c>
      <c r="F10" s="1630">
        <v>1000000</v>
      </c>
      <c r="G10" s="1630"/>
      <c r="H10" s="1630"/>
      <c r="I10" s="1630">
        <v>150000</v>
      </c>
      <c r="J10" s="1630" cm="1">
        <f t="array" ref="J10">SUM(E10:I10)</f>
        <v>4150000</v>
      </c>
      <c r="K10" s="1630"/>
      <c r="L10" s="1630">
        <v>4150000</v>
      </c>
      <c r="M10" s="1630">
        <v>4150000</v>
      </c>
      <c r="N10" s="1630">
        <v>4150000</v>
      </c>
      <c r="O10" s="1630">
        <v>4150000</v>
      </c>
      <c r="P10" s="1630">
        <v>4150000</v>
      </c>
      <c r="Q10" s="1630">
        <v>4150000</v>
      </c>
      <c r="R10" s="1630">
        <v>4150000</v>
      </c>
      <c r="S10" s="1630">
        <v>4150000</v>
      </c>
      <c r="T10" s="1630">
        <v>4150000</v>
      </c>
      <c r="U10" s="1630">
        <v>4150000</v>
      </c>
      <c r="V10" s="1630">
        <v>4150000</v>
      </c>
      <c r="W10" s="1630">
        <v>4150000</v>
      </c>
      <c r="X10" s="1632" cm="1">
        <f t="array" ref="X10">SUM(L10:W10)</f>
        <v>49800000</v>
      </c>
      <c r="Y10" s="578"/>
    </row>
    <row r="11" ht="16.5" customHeight="1">
      <c r="A11" s="12"/>
      <c r="B11" s="1628" cm="1">
        <f t="array" ref="B11">B10+1</f>
        <v>8</v>
      </c>
      <c r="C11" t="s" s="1629">
        <v>1318</v>
      </c>
      <c r="D11" t="s" s="1629">
        <v>1319</v>
      </c>
      <c r="E11" s="1630">
        <v>6000000</v>
      </c>
      <c r="F11" s="1630" cm="1">
        <f t="array" ref="F11">1500000+1000000</f>
        <v>2500000</v>
      </c>
      <c r="G11" s="1630">
        <v>3000000</v>
      </c>
      <c r="H11" s="1630"/>
      <c r="I11" s="1630">
        <v>150000</v>
      </c>
      <c r="J11" s="1630" cm="1">
        <f t="array" ref="J11">SUM(E11:I11)</f>
        <v>11650000</v>
      </c>
      <c r="K11" s="1630"/>
      <c r="L11" s="1630">
        <v>11650000</v>
      </c>
      <c r="M11" s="1630">
        <v>11650000</v>
      </c>
      <c r="N11" s="1630">
        <v>11650000</v>
      </c>
      <c r="O11" s="1630">
        <v>11650000</v>
      </c>
      <c r="P11" s="1630">
        <v>11650000</v>
      </c>
      <c r="Q11" s="1630">
        <v>11650000</v>
      </c>
      <c r="R11" s="1630">
        <v>11650000</v>
      </c>
      <c r="S11" s="1630">
        <v>11650000</v>
      </c>
      <c r="T11" s="1630">
        <v>11650000</v>
      </c>
      <c r="U11" s="1630">
        <v>11650000</v>
      </c>
      <c r="V11" s="1630">
        <v>11650000</v>
      </c>
      <c r="W11" s="1630">
        <v>11650000</v>
      </c>
      <c r="X11" s="1632" cm="1">
        <f t="array" ref="X11">SUM(L11:W11)</f>
        <v>139800000</v>
      </c>
      <c r="Y11" s="578"/>
    </row>
    <row r="12" ht="16.5" customHeight="1">
      <c r="A12" s="12"/>
      <c r="B12" s="1628" cm="1">
        <f t="array" ref="B12">B11+1</f>
        <v>9</v>
      </c>
      <c r="C12" t="s" s="1629">
        <v>1469</v>
      </c>
      <c r="D12" t="s" s="1629">
        <v>1470</v>
      </c>
      <c r="E12" s="1630" cm="1">
        <f t="array" ref="E12">5000000</f>
        <v>5000000</v>
      </c>
      <c r="F12" s="1630">
        <v>1000000</v>
      </c>
      <c r="G12" s="1630">
        <v>3000000</v>
      </c>
      <c r="H12" s="1630"/>
      <c r="I12" s="1630">
        <v>150000</v>
      </c>
      <c r="J12" s="1630" cm="1">
        <f t="array" ref="J12">SUM(E12:I12)</f>
        <v>9150000</v>
      </c>
      <c r="K12" s="1630"/>
      <c r="L12" s="1630">
        <v>9150000</v>
      </c>
      <c r="M12" s="1630">
        <v>9150000</v>
      </c>
      <c r="N12" s="1630">
        <v>9150000</v>
      </c>
      <c r="O12" s="1630">
        <v>9150000</v>
      </c>
      <c r="P12" s="1630">
        <v>9150000</v>
      </c>
      <c r="Q12" s="1630">
        <v>9150000</v>
      </c>
      <c r="R12" s="1630">
        <v>9150000</v>
      </c>
      <c r="S12" s="1630">
        <v>9150000</v>
      </c>
      <c r="T12" s="1630">
        <v>9150000</v>
      </c>
      <c r="U12" s="1630">
        <v>9150000</v>
      </c>
      <c r="V12" s="1630">
        <v>9150000</v>
      </c>
      <c r="W12" s="1630">
        <v>9150000</v>
      </c>
      <c r="X12" s="1632" cm="1">
        <f t="array" ref="X12">SUM(L12:W12)</f>
        <v>109800000</v>
      </c>
      <c r="Y12" s="578"/>
    </row>
    <row r="13" ht="16.5" customHeight="1">
      <c r="A13" s="12"/>
      <c r="B13" s="1628" cm="1">
        <f t="array" ref="B13">B12+1</f>
        <v>10</v>
      </c>
      <c r="C13" t="s" s="1629">
        <v>1471</v>
      </c>
      <c r="D13" t="s" s="1629">
        <v>1472</v>
      </c>
      <c r="E13" s="1630">
        <v>2000000</v>
      </c>
      <c r="F13" s="1630"/>
      <c r="G13" s="1630"/>
      <c r="H13" s="1630"/>
      <c r="I13" s="1630"/>
      <c r="J13" s="1630" cm="1">
        <f t="array" ref="J13">SUM(E13:I13)</f>
        <v>2000000</v>
      </c>
      <c r="K13" s="1630"/>
      <c r="L13" s="1630">
        <v>2000000</v>
      </c>
      <c r="M13" s="1630">
        <v>2000000</v>
      </c>
      <c r="N13" s="1630">
        <v>2000000</v>
      </c>
      <c r="O13" s="1630">
        <v>2000000</v>
      </c>
      <c r="P13" s="1630">
        <v>2000000</v>
      </c>
      <c r="Q13" s="1630">
        <v>2000000</v>
      </c>
      <c r="R13" s="1630">
        <v>2000000</v>
      </c>
      <c r="S13" s="1630">
        <v>2000000</v>
      </c>
      <c r="T13" s="1630">
        <v>2000000</v>
      </c>
      <c r="U13" s="1630">
        <v>2000000</v>
      </c>
      <c r="V13" s="1630">
        <v>2000000</v>
      </c>
      <c r="W13" s="1630">
        <v>2000000</v>
      </c>
      <c r="X13" s="1632" cm="1">
        <f t="array" ref="X13">SUM(L13:W13)</f>
        <v>24000000</v>
      </c>
      <c r="Y13" s="578"/>
    </row>
    <row r="14" ht="16.5" customHeight="1">
      <c r="A14" s="12"/>
      <c r="B14" s="1628" cm="1">
        <f t="array" ref="B14">B13+1</f>
        <v>11</v>
      </c>
      <c r="C14" t="s" s="1629">
        <v>1473</v>
      </c>
      <c r="D14" t="s" s="1629">
        <v>1472</v>
      </c>
      <c r="E14" s="1630">
        <v>2000000</v>
      </c>
      <c r="F14" s="1630"/>
      <c r="G14" s="1630"/>
      <c r="H14" s="1630"/>
      <c r="I14" s="1630"/>
      <c r="J14" s="1630" cm="1">
        <f t="array" ref="J14">SUM(E14:I14)</f>
        <v>2000000</v>
      </c>
      <c r="K14" s="1630"/>
      <c r="L14" s="1630">
        <v>2000000</v>
      </c>
      <c r="M14" s="1630">
        <v>2000000</v>
      </c>
      <c r="N14" s="1630">
        <v>2000000</v>
      </c>
      <c r="O14" s="1630">
        <v>2000000</v>
      </c>
      <c r="P14" s="1630">
        <v>2000000</v>
      </c>
      <c r="Q14" s="1630">
        <v>2000000</v>
      </c>
      <c r="R14" s="1630">
        <v>2000000</v>
      </c>
      <c r="S14" s="1630">
        <v>2000000</v>
      </c>
      <c r="T14" s="1630">
        <v>2000000</v>
      </c>
      <c r="U14" s="1630">
        <v>2000000</v>
      </c>
      <c r="V14" s="1630">
        <v>2000000</v>
      </c>
      <c r="W14" s="1630">
        <v>2000000</v>
      </c>
      <c r="X14" s="1632" cm="1">
        <f t="array" ref="X14">SUM(L14:W14)</f>
        <v>24000000</v>
      </c>
      <c r="Y14" s="578"/>
    </row>
    <row r="15" ht="16.5" customHeight="1">
      <c r="A15" s="12"/>
      <c r="B15" s="1628" cm="1">
        <f t="array" ref="B15">B14+1</f>
        <v>12</v>
      </c>
      <c r="C15" t="s" s="1629">
        <v>1474</v>
      </c>
      <c r="D15" t="s" s="1629">
        <v>1472</v>
      </c>
      <c r="E15" s="1630">
        <v>2000000</v>
      </c>
      <c r="F15" s="1630"/>
      <c r="G15" s="1630"/>
      <c r="H15" s="1630"/>
      <c r="I15" s="1630"/>
      <c r="J15" s="1630" cm="1">
        <f t="array" ref="J15">SUM(E15:I15)</f>
        <v>2000000</v>
      </c>
      <c r="K15" s="1630"/>
      <c r="L15" s="1630">
        <v>2000000</v>
      </c>
      <c r="M15" s="1630">
        <v>2000000</v>
      </c>
      <c r="N15" s="1630">
        <v>2000000</v>
      </c>
      <c r="O15" s="1630">
        <v>2000000</v>
      </c>
      <c r="P15" s="1630">
        <v>2000000</v>
      </c>
      <c r="Q15" s="1630">
        <v>2000000</v>
      </c>
      <c r="R15" s="1630">
        <v>2000000</v>
      </c>
      <c r="S15" s="1630">
        <v>2000000</v>
      </c>
      <c r="T15" s="1630">
        <v>2000000</v>
      </c>
      <c r="U15" s="1630">
        <v>2000000</v>
      </c>
      <c r="V15" s="1630">
        <v>2000000</v>
      </c>
      <c r="W15" s="1630">
        <v>2000000</v>
      </c>
      <c r="X15" s="1632" cm="1">
        <f t="array" ref="X15">SUM(L15:W15)</f>
        <v>24000000</v>
      </c>
      <c r="Y15" s="578"/>
    </row>
    <row r="16" ht="16.5" customHeight="1">
      <c r="A16" s="12"/>
      <c r="B16" s="1628" cm="1">
        <f t="array" ref="B16">B15+1</f>
        <v>13</v>
      </c>
      <c r="C16" t="s" s="1629">
        <v>1475</v>
      </c>
      <c r="D16" t="s" s="1629">
        <v>1472</v>
      </c>
      <c r="E16" s="1630">
        <v>2000000</v>
      </c>
      <c r="F16" s="1630"/>
      <c r="G16" s="1630"/>
      <c r="H16" s="1630"/>
      <c r="I16" s="1630"/>
      <c r="J16" s="1630" cm="1">
        <f t="array" ref="J16">SUM(E16:I16)</f>
        <v>2000000</v>
      </c>
      <c r="K16" s="1630"/>
      <c r="L16" s="1630">
        <v>2000000</v>
      </c>
      <c r="M16" s="1630">
        <v>2000000</v>
      </c>
      <c r="N16" s="1630">
        <v>2000000</v>
      </c>
      <c r="O16" s="1630">
        <v>2000000</v>
      </c>
      <c r="P16" s="1630">
        <v>2000000</v>
      </c>
      <c r="Q16" s="1630">
        <v>2000000</v>
      </c>
      <c r="R16" s="1630">
        <v>2000000</v>
      </c>
      <c r="S16" s="1630">
        <v>2000000</v>
      </c>
      <c r="T16" s="1630">
        <v>2000000</v>
      </c>
      <c r="U16" s="1630">
        <v>2000000</v>
      </c>
      <c r="V16" s="1630">
        <v>2000000</v>
      </c>
      <c r="W16" s="1630">
        <v>2000000</v>
      </c>
      <c r="X16" s="1632" cm="1">
        <f t="array" ref="X16">SUM(L16:W16)</f>
        <v>24000000</v>
      </c>
      <c r="Y16" s="578"/>
    </row>
    <row r="17" ht="16.5" customHeight="1">
      <c r="A17" s="12"/>
      <c r="B17" s="1628" cm="1">
        <f t="array" ref="B17">B16+1</f>
        <v>14</v>
      </c>
      <c r="C17" t="s" s="1629">
        <v>1476</v>
      </c>
      <c r="D17" t="s" s="1629">
        <v>1472</v>
      </c>
      <c r="E17" s="1630">
        <v>2000000</v>
      </c>
      <c r="F17" s="1630"/>
      <c r="G17" s="1630"/>
      <c r="H17" s="1630"/>
      <c r="I17" s="1630"/>
      <c r="J17" s="1630" cm="1">
        <f t="array" ref="J17">SUM(E17:I17)</f>
        <v>2000000</v>
      </c>
      <c r="K17" s="1630"/>
      <c r="L17" s="1630">
        <v>2000000</v>
      </c>
      <c r="M17" s="1630">
        <v>2000000</v>
      </c>
      <c r="N17" s="1630">
        <v>2000000</v>
      </c>
      <c r="O17" s="1630">
        <v>2000000</v>
      </c>
      <c r="P17" s="1630">
        <v>2000000</v>
      </c>
      <c r="Q17" s="1630">
        <v>2000000</v>
      </c>
      <c r="R17" s="1630">
        <v>2000000</v>
      </c>
      <c r="S17" s="1630">
        <v>2000000</v>
      </c>
      <c r="T17" s="1630">
        <v>2000000</v>
      </c>
      <c r="U17" s="1630">
        <v>2000000</v>
      </c>
      <c r="V17" s="1630">
        <v>2000000</v>
      </c>
      <c r="W17" s="1630">
        <v>2000000</v>
      </c>
      <c r="X17" s="1632" cm="1">
        <f t="array" ref="X17">SUM(L17:W17)</f>
        <v>24000000</v>
      </c>
      <c r="Y17" s="578"/>
    </row>
    <row r="18" ht="16.5" customHeight="1">
      <c r="A18" s="12"/>
      <c r="B18" s="1628" cm="1">
        <f t="array" ref="B18">B17+1</f>
        <v>15</v>
      </c>
      <c r="C18" t="s" s="1629">
        <v>1477</v>
      </c>
      <c r="D18" t="s" s="1629">
        <v>1472</v>
      </c>
      <c r="E18" s="1630">
        <v>6000000</v>
      </c>
      <c r="F18" s="1630"/>
      <c r="G18" s="1630"/>
      <c r="H18" s="1630"/>
      <c r="I18" s="1630">
        <v>150000</v>
      </c>
      <c r="J18" s="1630" cm="1">
        <f t="array" ref="J18">SUM(E18:I18)</f>
        <v>6150000</v>
      </c>
      <c r="K18" s="1630"/>
      <c r="L18" s="1630">
        <v>6150000</v>
      </c>
      <c r="M18" s="1630">
        <v>6150000</v>
      </c>
      <c r="N18" s="1630">
        <v>6150000</v>
      </c>
      <c r="O18" s="1630">
        <v>6150000</v>
      </c>
      <c r="P18" s="1630">
        <v>6150000</v>
      </c>
      <c r="Q18" s="1630">
        <v>6150000</v>
      </c>
      <c r="R18" s="1630">
        <v>6150000</v>
      </c>
      <c r="S18" s="1630">
        <v>6150000</v>
      </c>
      <c r="T18" s="1630">
        <v>6150000</v>
      </c>
      <c r="U18" s="1630">
        <v>6150000</v>
      </c>
      <c r="V18" s="1630">
        <v>6150000</v>
      </c>
      <c r="W18" s="1630">
        <v>6150000</v>
      </c>
      <c r="X18" s="1632" cm="1">
        <f t="array" ref="X18">SUM(L18:W18)</f>
        <v>73800000</v>
      </c>
      <c r="Y18" s="578"/>
    </row>
    <row r="19" ht="16.5" customHeight="1">
      <c r="A19" s="12"/>
      <c r="B19" s="1628" cm="1">
        <f t="array" ref="B19">B18+1</f>
        <v>16</v>
      </c>
      <c r="C19" t="s" s="1629">
        <v>1478</v>
      </c>
      <c r="D19" t="s" s="1629">
        <v>1472</v>
      </c>
      <c r="E19" s="1630">
        <v>3000000</v>
      </c>
      <c r="F19" s="1630"/>
      <c r="G19" s="1630"/>
      <c r="H19" s="1630"/>
      <c r="I19" s="1630">
        <v>150000</v>
      </c>
      <c r="J19" s="1630" cm="1">
        <f t="array" ref="J19">SUM(E19:I19)</f>
        <v>3150000</v>
      </c>
      <c r="K19" s="1630"/>
      <c r="L19" s="1630">
        <v>3150000</v>
      </c>
      <c r="M19" s="1630">
        <v>3150000</v>
      </c>
      <c r="N19" s="1630">
        <v>3150000</v>
      </c>
      <c r="O19" s="1630">
        <v>3150000</v>
      </c>
      <c r="P19" s="1630">
        <v>3150000</v>
      </c>
      <c r="Q19" s="1630">
        <v>3150000</v>
      </c>
      <c r="R19" s="1630">
        <v>3150000</v>
      </c>
      <c r="S19" s="1630">
        <v>3150000</v>
      </c>
      <c r="T19" s="1630">
        <v>3150000</v>
      </c>
      <c r="U19" s="1630">
        <v>3150000</v>
      </c>
      <c r="V19" s="1630">
        <v>3150000</v>
      </c>
      <c r="W19" s="1630">
        <v>3150000</v>
      </c>
      <c r="X19" s="1632" cm="1">
        <f t="array" ref="X19">SUM(L19:W19)</f>
        <v>37800000</v>
      </c>
      <c r="Y19" s="578"/>
    </row>
    <row r="20" ht="16.5" customHeight="1">
      <c r="A20" s="12"/>
      <c r="B20" s="1628" cm="1">
        <f t="array" ref="B20">B19+1</f>
        <v>17</v>
      </c>
      <c r="C20" t="s" s="1629">
        <v>1479</v>
      </c>
      <c r="D20" t="s" s="1629">
        <v>1472</v>
      </c>
      <c r="E20" s="1630">
        <v>5000000</v>
      </c>
      <c r="F20" s="1630"/>
      <c r="G20" s="1630"/>
      <c r="H20" s="1630"/>
      <c r="I20" s="1630">
        <v>150000</v>
      </c>
      <c r="J20" s="1630" cm="1">
        <f t="array" ref="J20">SUM(E20:I20)</f>
        <v>5150000</v>
      </c>
      <c r="K20" s="1630"/>
      <c r="L20" s="1630"/>
      <c r="M20" s="1630"/>
      <c r="N20" s="1630"/>
      <c r="O20" s="1630"/>
      <c r="P20" s="1630">
        <v>5150000</v>
      </c>
      <c r="Q20" s="1630">
        <v>5150000</v>
      </c>
      <c r="R20" s="1630">
        <v>5150000</v>
      </c>
      <c r="S20" s="1630">
        <v>5150000</v>
      </c>
      <c r="T20" s="1630">
        <v>5150000</v>
      </c>
      <c r="U20" s="1630">
        <v>5150000</v>
      </c>
      <c r="V20" s="1630">
        <v>5150000</v>
      </c>
      <c r="W20" s="1630">
        <v>5150000</v>
      </c>
      <c r="X20" s="1632" cm="1">
        <f t="array" ref="X20">SUM(L20:W20)</f>
        <v>41200000</v>
      </c>
      <c r="Y20" s="578"/>
    </row>
    <row r="21" ht="16.5" customHeight="1">
      <c r="A21" s="12"/>
      <c r="B21" s="1628" cm="1">
        <f t="array" ref="B21">B20+1</f>
        <v>18</v>
      </c>
      <c r="C21" t="s" s="1629">
        <v>1336</v>
      </c>
      <c r="D21" t="s" s="1629">
        <v>1337</v>
      </c>
      <c r="E21" s="1630">
        <v>30000000</v>
      </c>
      <c r="F21" s="1630">
        <v>5000000</v>
      </c>
      <c r="G21" s="1630"/>
      <c r="H21" s="1630"/>
      <c r="I21" s="1630">
        <v>150000</v>
      </c>
      <c r="J21" s="1630" cm="1">
        <f t="array" ref="J21">SUM(E21:I21)</f>
        <v>35150000</v>
      </c>
      <c r="K21" s="1630"/>
      <c r="L21" s="1630">
        <v>35150000</v>
      </c>
      <c r="M21" s="1630">
        <v>35150000</v>
      </c>
      <c r="N21" s="1630">
        <v>35150000</v>
      </c>
      <c r="O21" s="1630">
        <v>35150000</v>
      </c>
      <c r="P21" s="1630">
        <v>35150000</v>
      </c>
      <c r="Q21" s="1630">
        <v>35150000</v>
      </c>
      <c r="R21" s="1630">
        <v>35150000</v>
      </c>
      <c r="S21" s="1630">
        <v>35150000</v>
      </c>
      <c r="T21" s="1630">
        <v>35150000</v>
      </c>
      <c r="U21" s="1630">
        <v>35150000</v>
      </c>
      <c r="V21" s="1630">
        <v>35150000</v>
      </c>
      <c r="W21" s="1630">
        <v>35150000</v>
      </c>
      <c r="X21" s="1632" cm="1">
        <f t="array" ref="X21">SUM(L21:W21)</f>
        <v>421800000</v>
      </c>
      <c r="Y21" s="578"/>
    </row>
    <row r="22" ht="16.5" customHeight="1">
      <c r="A22" s="12"/>
      <c r="B22" s="1628" cm="1">
        <f t="array" ref="B22">B21+1</f>
        <v>19</v>
      </c>
      <c r="C22" t="s" s="1629">
        <v>1338</v>
      </c>
      <c r="D22" t="s" s="1633">
        <v>1339</v>
      </c>
      <c r="E22" s="1630">
        <v>6000000</v>
      </c>
      <c r="F22" s="1630"/>
      <c r="G22" s="1630"/>
      <c r="H22" s="1630"/>
      <c r="I22" s="1630">
        <v>150000</v>
      </c>
      <c r="J22" s="1630" cm="1">
        <f t="array" ref="J22">SUM(E22:I22)</f>
        <v>6150000</v>
      </c>
      <c r="K22" s="1630"/>
      <c r="L22" s="1630">
        <v>6150000</v>
      </c>
      <c r="M22" s="1630">
        <v>6150000</v>
      </c>
      <c r="N22" s="1630">
        <v>6150000</v>
      </c>
      <c r="O22" s="1630">
        <v>6150000</v>
      </c>
      <c r="P22" s="1630">
        <v>6150000</v>
      </c>
      <c r="Q22" s="1630">
        <v>6150000</v>
      </c>
      <c r="R22" s="1630">
        <v>6150000</v>
      </c>
      <c r="S22" s="1630">
        <v>6150000</v>
      </c>
      <c r="T22" s="1630">
        <v>6150000</v>
      </c>
      <c r="U22" s="1630">
        <v>6150000</v>
      </c>
      <c r="V22" s="1630">
        <v>6150000</v>
      </c>
      <c r="W22" s="1630">
        <v>6150000</v>
      </c>
      <c r="X22" s="1632" cm="1">
        <f t="array" ref="X22">SUM(L22:W22)</f>
        <v>73800000</v>
      </c>
      <c r="Y22" s="578"/>
    </row>
    <row r="23" ht="16.5" customHeight="1">
      <c r="A23" s="12"/>
      <c r="B23" s="1628" cm="1">
        <f t="array" ref="B23">B22+1</f>
        <v>20</v>
      </c>
      <c r="C23" t="s" s="1629">
        <v>1480</v>
      </c>
      <c r="D23" t="s" s="1633">
        <v>1481</v>
      </c>
      <c r="E23" s="1630" cm="1">
        <f t="array" ref="E23">5000000</f>
        <v>5000000</v>
      </c>
      <c r="F23" s="1630"/>
      <c r="G23" s="1630"/>
      <c r="H23" s="1630"/>
      <c r="I23" s="1630">
        <v>150000</v>
      </c>
      <c r="J23" s="1630" cm="1">
        <f t="array" ref="J23">SUM(E23:I23)</f>
        <v>5150000</v>
      </c>
      <c r="K23" s="1630"/>
      <c r="L23" s="1630">
        <v>5150000</v>
      </c>
      <c r="M23" s="1630">
        <v>5150000</v>
      </c>
      <c r="N23" s="1630">
        <v>5150000</v>
      </c>
      <c r="O23" s="1630">
        <v>5150000</v>
      </c>
      <c r="P23" s="1630">
        <v>5150000</v>
      </c>
      <c r="Q23" s="1630">
        <v>5150000</v>
      </c>
      <c r="R23" s="1630">
        <v>5150000</v>
      </c>
      <c r="S23" s="1630">
        <v>5150000</v>
      </c>
      <c r="T23" s="1630">
        <v>5150000</v>
      </c>
      <c r="U23" s="1630">
        <v>5150000</v>
      </c>
      <c r="V23" s="1630">
        <v>5150000</v>
      </c>
      <c r="W23" s="1630">
        <v>5150000</v>
      </c>
      <c r="X23" s="1632" cm="1">
        <f t="array" ref="X23">SUM(L23:W23)</f>
        <v>61800000</v>
      </c>
      <c r="Y23" s="578"/>
    </row>
    <row r="24" ht="16.5" customHeight="1">
      <c r="A24" s="12"/>
      <c r="B24" s="1628" cm="1">
        <f t="array" ref="B24">B23+1</f>
        <v>21</v>
      </c>
      <c r="C24" t="s" s="1629">
        <v>1342</v>
      </c>
      <c r="D24" t="s" s="1633">
        <v>1343</v>
      </c>
      <c r="E24" s="1630">
        <v>5000000</v>
      </c>
      <c r="F24" s="1630"/>
      <c r="G24" s="1630"/>
      <c r="H24" s="1630"/>
      <c r="I24" s="1630">
        <v>150000</v>
      </c>
      <c r="J24" s="1630" cm="1">
        <f t="array" ref="J24">SUM(E24:I24)</f>
        <v>5150000</v>
      </c>
      <c r="K24" s="1630"/>
      <c r="L24" s="1630">
        <v>5150000</v>
      </c>
      <c r="M24" s="1630">
        <v>5150000</v>
      </c>
      <c r="N24" s="1630">
        <v>5150000</v>
      </c>
      <c r="O24" s="1630">
        <v>5150000</v>
      </c>
      <c r="P24" s="1630">
        <v>5150000</v>
      </c>
      <c r="Q24" s="1630">
        <v>5150000</v>
      </c>
      <c r="R24" s="1630">
        <v>5150000</v>
      </c>
      <c r="S24" s="1630">
        <v>5150000</v>
      </c>
      <c r="T24" s="1630">
        <v>5150000</v>
      </c>
      <c r="U24" s="1630">
        <v>5150000</v>
      </c>
      <c r="V24" s="1630">
        <v>5150000</v>
      </c>
      <c r="W24" s="1630">
        <v>5150000</v>
      </c>
      <c r="X24" s="1632" cm="1">
        <f t="array" ref="X24">SUM(L24:W24)</f>
        <v>61800000</v>
      </c>
      <c r="Y24" s="578"/>
    </row>
    <row r="25" ht="16.5" customHeight="1">
      <c r="A25" s="12"/>
      <c r="B25" s="1628" cm="1">
        <f t="array" ref="B25">B24+1</f>
        <v>22</v>
      </c>
      <c r="C25" t="s" s="1629">
        <v>1344</v>
      </c>
      <c r="D25" t="s" s="1633">
        <v>1345</v>
      </c>
      <c r="E25" s="1630" cm="1">
        <f t="array" ref="E25">7000000+1500000</f>
        <v>8500000</v>
      </c>
      <c r="F25" s="1630"/>
      <c r="G25" s="1630"/>
      <c r="H25" s="1630"/>
      <c r="I25" s="1630">
        <v>150000</v>
      </c>
      <c r="J25" s="1630" cm="1">
        <f t="array" ref="J25">SUM(E25:I25)</f>
        <v>8650000</v>
      </c>
      <c r="K25" s="1630"/>
      <c r="L25" s="1630">
        <v>8650000</v>
      </c>
      <c r="M25" s="1630">
        <v>8650000</v>
      </c>
      <c r="N25" s="1630">
        <v>8650000</v>
      </c>
      <c r="O25" s="1630">
        <v>8650000</v>
      </c>
      <c r="P25" s="1630">
        <v>8650000</v>
      </c>
      <c r="Q25" s="1630">
        <v>8650000</v>
      </c>
      <c r="R25" s="1630">
        <v>8650000</v>
      </c>
      <c r="S25" s="1630">
        <v>8650000</v>
      </c>
      <c r="T25" s="1630">
        <v>8650000</v>
      </c>
      <c r="U25" s="1630">
        <v>8650000</v>
      </c>
      <c r="V25" s="1630">
        <v>8650000</v>
      </c>
      <c r="W25" s="1630">
        <v>8650000</v>
      </c>
      <c r="X25" s="1632" cm="1">
        <f t="array" ref="X25">SUM(L25:W25)</f>
        <v>103800000</v>
      </c>
      <c r="Y25" s="578"/>
    </row>
    <row r="26" ht="16.5" customHeight="1">
      <c r="A26" s="12"/>
      <c r="B26" s="1628" cm="1">
        <f t="array" ref="B26">B25+1</f>
        <v>23</v>
      </c>
      <c r="C26" t="s" s="1629">
        <v>1346</v>
      </c>
      <c r="D26" t="s" s="1629">
        <v>1347</v>
      </c>
      <c r="E26" s="1630">
        <v>6500000</v>
      </c>
      <c r="F26" s="1630"/>
      <c r="G26" s="1630"/>
      <c r="H26" s="1630"/>
      <c r="I26" s="1630">
        <v>150000</v>
      </c>
      <c r="J26" s="1630" cm="1">
        <f t="array" ref="J26">SUM(E26:I26)</f>
        <v>6650000</v>
      </c>
      <c r="K26" s="1630"/>
      <c r="L26" s="1630">
        <v>6650000</v>
      </c>
      <c r="M26" s="1630">
        <v>6650000</v>
      </c>
      <c r="N26" s="1630">
        <v>6650000</v>
      </c>
      <c r="O26" s="1630">
        <v>6650000</v>
      </c>
      <c r="P26" s="1630">
        <v>6650000</v>
      </c>
      <c r="Q26" s="1630">
        <v>6650000</v>
      </c>
      <c r="R26" s="1630">
        <v>6650000</v>
      </c>
      <c r="S26" s="1630">
        <v>6650000</v>
      </c>
      <c r="T26" s="1630">
        <v>6650000</v>
      </c>
      <c r="U26" s="1630">
        <v>6650000</v>
      </c>
      <c r="V26" s="1630">
        <v>6650000</v>
      </c>
      <c r="W26" s="1630">
        <v>6650000</v>
      </c>
      <c r="X26" s="1632" cm="1">
        <f t="array" ref="X26">SUM(L26:W26)</f>
        <v>79800000</v>
      </c>
      <c r="Y26" s="578"/>
    </row>
    <row r="27" ht="16.5" customHeight="1">
      <c r="A27" s="12"/>
      <c r="B27" s="1628" cm="1">
        <f t="array" ref="B27">B26+1</f>
        <v>24</v>
      </c>
      <c r="C27" t="s" s="1629">
        <v>1348</v>
      </c>
      <c r="D27" t="s" s="1629">
        <v>1347</v>
      </c>
      <c r="E27" s="1630">
        <v>5000000</v>
      </c>
      <c r="F27" s="1630"/>
      <c r="G27" s="1630"/>
      <c r="H27" s="1630"/>
      <c r="I27" s="1630">
        <v>150000</v>
      </c>
      <c r="J27" s="1630" cm="1">
        <f t="array" ref="J27">SUM(E27:I27)</f>
        <v>5150000</v>
      </c>
      <c r="K27" s="1630"/>
      <c r="L27" s="1630">
        <v>5150000</v>
      </c>
      <c r="M27" s="1630">
        <v>5150000</v>
      </c>
      <c r="N27" s="1630">
        <v>5150000</v>
      </c>
      <c r="O27" s="1630">
        <v>5150000</v>
      </c>
      <c r="P27" s="1630">
        <v>5150000</v>
      </c>
      <c r="Q27" s="1630">
        <v>5150000</v>
      </c>
      <c r="R27" s="1630">
        <v>5150000</v>
      </c>
      <c r="S27" s="1630">
        <v>5150000</v>
      </c>
      <c r="T27" s="1630">
        <v>5150000</v>
      </c>
      <c r="U27" s="1630">
        <v>5150000</v>
      </c>
      <c r="V27" s="1630">
        <v>5150000</v>
      </c>
      <c r="W27" s="1630">
        <v>5150000</v>
      </c>
      <c r="X27" s="1632" cm="1">
        <f t="array" ref="X27">SUM(L27:W27)</f>
        <v>61800000</v>
      </c>
      <c r="Y27" s="578"/>
    </row>
    <row r="28" ht="16.5" customHeight="1">
      <c r="A28" s="12"/>
      <c r="B28" s="1628" cm="1">
        <f t="array" ref="B28">B27+1</f>
        <v>25</v>
      </c>
      <c r="C28" t="s" s="1629">
        <v>1349</v>
      </c>
      <c r="D28" t="s" s="1629">
        <v>1350</v>
      </c>
      <c r="E28" s="1630">
        <v>5000000</v>
      </c>
      <c r="F28" s="1630"/>
      <c r="G28" s="1630"/>
      <c r="H28" s="1630"/>
      <c r="I28" s="1630">
        <v>150000</v>
      </c>
      <c r="J28" s="1630" cm="1">
        <f t="array" ref="J28">SUM(E28:I28)</f>
        <v>5150000</v>
      </c>
      <c r="K28" s="1630"/>
      <c r="L28" s="1630">
        <v>5150000</v>
      </c>
      <c r="M28" s="1630">
        <v>5150000</v>
      </c>
      <c r="N28" s="1630">
        <v>5150000</v>
      </c>
      <c r="O28" s="1630">
        <v>5150000</v>
      </c>
      <c r="P28" s="1630">
        <v>5150000</v>
      </c>
      <c r="Q28" s="1630">
        <v>5150000</v>
      </c>
      <c r="R28" s="1630">
        <v>5150000</v>
      </c>
      <c r="S28" s="1630">
        <v>5150000</v>
      </c>
      <c r="T28" s="1630">
        <v>5150000</v>
      </c>
      <c r="U28" s="1630">
        <v>5150000</v>
      </c>
      <c r="V28" s="1630">
        <v>5150000</v>
      </c>
      <c r="W28" s="1630">
        <v>5150000</v>
      </c>
      <c r="X28" s="1632" cm="1">
        <f t="array" ref="X28">SUM(L28:W28)</f>
        <v>61800000</v>
      </c>
      <c r="Y28" s="578"/>
    </row>
    <row r="29" ht="16.5" customHeight="1">
      <c r="A29" s="12"/>
      <c r="B29" s="1628" cm="1">
        <f t="array" ref="B29">B28+1</f>
        <v>26</v>
      </c>
      <c r="C29" t="s" s="1629">
        <v>1482</v>
      </c>
      <c r="D29" t="s" s="1629">
        <v>1347</v>
      </c>
      <c r="E29" s="1630">
        <v>5500000</v>
      </c>
      <c r="F29" s="1630"/>
      <c r="G29" s="1630"/>
      <c r="H29" s="1630"/>
      <c r="I29" s="1630">
        <v>150000</v>
      </c>
      <c r="J29" s="1630" cm="1">
        <f t="array" ref="J29">SUM(E29:I29)</f>
        <v>5650000</v>
      </c>
      <c r="K29" s="1630"/>
      <c r="L29" s="1630">
        <v>5650000</v>
      </c>
      <c r="M29" s="1630">
        <v>5650000</v>
      </c>
      <c r="N29" s="1630">
        <v>5650000</v>
      </c>
      <c r="O29" s="1630">
        <v>5650000</v>
      </c>
      <c r="P29" s="1630">
        <v>5650000</v>
      </c>
      <c r="Q29" s="1630">
        <v>5650000</v>
      </c>
      <c r="R29" s="1630">
        <v>5650000</v>
      </c>
      <c r="S29" s="1630">
        <v>5650000</v>
      </c>
      <c r="T29" s="1630">
        <v>5650000</v>
      </c>
      <c r="U29" s="1630">
        <v>5650000</v>
      </c>
      <c r="V29" s="1630">
        <v>5650000</v>
      </c>
      <c r="W29" s="1630">
        <v>5650000</v>
      </c>
      <c r="X29" s="1632" cm="1">
        <f t="array" ref="X29">SUM(L29:W29)</f>
        <v>67800000</v>
      </c>
      <c r="Y29" s="578"/>
    </row>
    <row r="30" ht="16.5" customHeight="1">
      <c r="A30" s="12"/>
      <c r="B30" s="1662"/>
      <c r="C30" t="s" s="1629">
        <v>1347</v>
      </c>
      <c r="D30" t="s" s="1629">
        <v>1483</v>
      </c>
      <c r="E30" s="1630">
        <v>7000000</v>
      </c>
      <c r="F30" s="1630"/>
      <c r="G30" s="1630"/>
      <c r="H30" s="1630"/>
      <c r="I30" s="1630"/>
      <c r="J30" s="1630" cm="1">
        <f t="array" ref="J30">SUM(E30:I30)</f>
        <v>7000000</v>
      </c>
      <c r="K30" s="1630"/>
      <c r="L30" s="1630">
        <v>7000000</v>
      </c>
      <c r="M30" s="1630">
        <v>7000000</v>
      </c>
      <c r="N30" s="1630">
        <v>7000000</v>
      </c>
      <c r="O30" s="1630">
        <v>7000000</v>
      </c>
      <c r="P30" s="1630">
        <v>7000000</v>
      </c>
      <c r="Q30" s="1630">
        <v>7000000</v>
      </c>
      <c r="R30" s="1630">
        <v>7000000</v>
      </c>
      <c r="S30" s="1630">
        <v>7000000</v>
      </c>
      <c r="T30" s="1630">
        <v>7000000</v>
      </c>
      <c r="U30" s="1630">
        <v>7000000</v>
      </c>
      <c r="V30" s="1630">
        <v>7000000</v>
      </c>
      <c r="W30" s="1630">
        <v>7000000</v>
      </c>
      <c r="X30" s="1632" cm="1">
        <f t="array" ref="X30">SUM(L30:W30)</f>
        <v>84000000</v>
      </c>
      <c r="Y30" s="578"/>
    </row>
    <row r="31" ht="16.5" customHeight="1">
      <c r="A31" s="12"/>
      <c r="B31" s="1662"/>
      <c r="C31" t="s" s="1629">
        <v>1347</v>
      </c>
      <c r="D31" t="s" s="1629">
        <v>1484</v>
      </c>
      <c r="E31" s="1630">
        <v>6000000</v>
      </c>
      <c r="F31" s="1630"/>
      <c r="G31" s="1630"/>
      <c r="H31" s="1630"/>
      <c r="I31" s="1630"/>
      <c r="J31" s="1630" cm="1">
        <f t="array" ref="J31">SUM(E31:I31)</f>
        <v>6000000</v>
      </c>
      <c r="K31" s="1630"/>
      <c r="L31" s="1630"/>
      <c r="M31" s="1630"/>
      <c r="N31" s="1630"/>
      <c r="O31" s="1630"/>
      <c r="P31" s="1630">
        <v>0</v>
      </c>
      <c r="Q31" s="1630">
        <v>0</v>
      </c>
      <c r="R31" s="1630">
        <v>0</v>
      </c>
      <c r="S31" s="1630">
        <v>6000000</v>
      </c>
      <c r="T31" s="1630">
        <v>6000000</v>
      </c>
      <c r="U31" s="1630">
        <v>6000000</v>
      </c>
      <c r="V31" s="1630">
        <v>6000000</v>
      </c>
      <c r="W31" s="1630">
        <v>6000000</v>
      </c>
      <c r="X31" s="1632" cm="1">
        <f t="array" ref="X31">SUM(L31:W31)</f>
        <v>30000000</v>
      </c>
      <c r="Y31" s="578"/>
    </row>
    <row r="32" ht="16.5" customHeight="1">
      <c r="A32" s="12"/>
      <c r="B32" s="1628" cm="1">
        <f t="array" ref="B32">B29+1</f>
        <v>27</v>
      </c>
      <c r="C32" t="s" s="1629">
        <v>1485</v>
      </c>
      <c r="D32" t="s" s="1629">
        <v>1486</v>
      </c>
      <c r="E32" s="1630">
        <v>5000000</v>
      </c>
      <c r="F32" s="1630"/>
      <c r="G32" s="1630"/>
      <c r="H32" s="1630"/>
      <c r="I32" s="1630">
        <v>150000</v>
      </c>
      <c r="J32" s="1630" cm="1">
        <f t="array" ref="J32">SUM(E32:I32)</f>
        <v>5150000</v>
      </c>
      <c r="K32" s="1630"/>
      <c r="L32" s="1630">
        <v>5150000</v>
      </c>
      <c r="M32" s="1630">
        <v>5150000</v>
      </c>
      <c r="N32" s="1630">
        <v>5150000</v>
      </c>
      <c r="O32" s="1630">
        <v>5150000</v>
      </c>
      <c r="P32" s="1630">
        <v>5150000</v>
      </c>
      <c r="Q32" s="1630">
        <v>5150000</v>
      </c>
      <c r="R32" s="1630">
        <v>5150000</v>
      </c>
      <c r="S32" s="1630">
        <v>5150000</v>
      </c>
      <c r="T32" s="1630">
        <v>5150000</v>
      </c>
      <c r="U32" s="1630">
        <v>5150000</v>
      </c>
      <c r="V32" s="1630">
        <v>5150000</v>
      </c>
      <c r="W32" s="1630">
        <v>5150000</v>
      </c>
      <c r="X32" s="1632" cm="1">
        <f t="array" ref="X32">SUM(L32:W32)</f>
        <v>61800000</v>
      </c>
      <c r="Y32" s="578"/>
    </row>
    <row r="33" ht="16.5" customHeight="1">
      <c r="A33" s="12"/>
      <c r="B33" s="1628" cm="1">
        <f t="array" ref="B33">B32+1</f>
        <v>28</v>
      </c>
      <c r="C33" t="s" s="1629">
        <v>1487</v>
      </c>
      <c r="D33" t="s" s="1629">
        <v>1488</v>
      </c>
      <c r="E33" s="1630">
        <v>4000000</v>
      </c>
      <c r="F33" s="1630"/>
      <c r="G33" s="1630"/>
      <c r="H33" s="1630"/>
      <c r="I33" s="1630">
        <v>150000</v>
      </c>
      <c r="J33" s="1630" cm="1">
        <f t="array" ref="J33">SUM(E33:I33)</f>
        <v>4150000</v>
      </c>
      <c r="K33" s="1630"/>
      <c r="L33" s="1630">
        <v>4150000</v>
      </c>
      <c r="M33" s="1630">
        <v>4150000</v>
      </c>
      <c r="N33" s="1630">
        <v>4150000</v>
      </c>
      <c r="O33" s="1630">
        <v>4150000</v>
      </c>
      <c r="P33" s="1630">
        <v>4150000</v>
      </c>
      <c r="Q33" s="1630">
        <v>4150000</v>
      </c>
      <c r="R33" s="1630">
        <v>4150000</v>
      </c>
      <c r="S33" s="1630">
        <v>4150000</v>
      </c>
      <c r="T33" s="1630">
        <v>4150000</v>
      </c>
      <c r="U33" s="1630">
        <v>4150000</v>
      </c>
      <c r="V33" s="1630">
        <v>4150000</v>
      </c>
      <c r="W33" s="1630">
        <v>4150000</v>
      </c>
      <c r="X33" s="1632" cm="1">
        <f t="array" ref="X33">SUM(L33:W33)</f>
        <v>49800000</v>
      </c>
      <c r="Y33" s="578"/>
    </row>
    <row r="34" ht="16.5" customHeight="1">
      <c r="A34" s="12"/>
      <c r="B34" s="1628" cm="1">
        <f t="array" ref="B34">B33+1</f>
        <v>29</v>
      </c>
      <c r="C34" t="s" s="1629">
        <v>1324</v>
      </c>
      <c r="D34" t="s" s="1629">
        <v>1357</v>
      </c>
      <c r="E34" s="1630">
        <v>3500000</v>
      </c>
      <c r="F34" s="1630"/>
      <c r="G34" s="1630"/>
      <c r="H34" s="1630"/>
      <c r="I34" s="1630">
        <v>150000</v>
      </c>
      <c r="J34" s="1630" cm="1">
        <f t="array" ref="J34">SUM(E34:I34)</f>
        <v>3650000</v>
      </c>
      <c r="K34" s="1630"/>
      <c r="L34" s="1630">
        <v>3650000</v>
      </c>
      <c r="M34" s="1630">
        <v>3650000</v>
      </c>
      <c r="N34" s="1630">
        <v>3650000</v>
      </c>
      <c r="O34" s="1630">
        <v>3650000</v>
      </c>
      <c r="P34" s="1630">
        <v>3650000</v>
      </c>
      <c r="Q34" s="1630">
        <v>3650000</v>
      </c>
      <c r="R34" s="1630">
        <v>3650000</v>
      </c>
      <c r="S34" s="1630">
        <v>3650000</v>
      </c>
      <c r="T34" s="1630">
        <v>3650000</v>
      </c>
      <c r="U34" s="1630">
        <v>3650000</v>
      </c>
      <c r="V34" s="1630">
        <v>3650000</v>
      </c>
      <c r="W34" s="1630">
        <v>3650000</v>
      </c>
      <c r="X34" s="1632" cm="1">
        <f t="array" ref="X34">SUM(L34:W34)</f>
        <v>43800000</v>
      </c>
      <c r="Y34" s="578"/>
    </row>
    <row r="35" ht="16.5" customHeight="1">
      <c r="A35" s="12"/>
      <c r="B35" s="1628" cm="1">
        <f t="array" ref="B35">B34+1</f>
        <v>30</v>
      </c>
      <c r="C35" t="s" s="1629">
        <v>1489</v>
      </c>
      <c r="D35" t="s" s="1629">
        <v>1490</v>
      </c>
      <c r="E35" s="1630" cm="1">
        <f t="array" ref="E35">1500000</f>
        <v>1500000</v>
      </c>
      <c r="F35" s="1630"/>
      <c r="G35" s="1630"/>
      <c r="H35" s="1630"/>
      <c r="I35" s="1630">
        <v>150000</v>
      </c>
      <c r="J35" s="1630" cm="1">
        <f t="array" ref="J35">SUM(E35:I35)</f>
        <v>1650000</v>
      </c>
      <c r="K35" s="1630"/>
      <c r="L35" s="1630">
        <v>1650000</v>
      </c>
      <c r="M35" s="1630">
        <v>1650000</v>
      </c>
      <c r="N35" s="1630">
        <v>1650000</v>
      </c>
      <c r="O35" s="1630">
        <v>1650000</v>
      </c>
      <c r="P35" s="1630">
        <v>1650000</v>
      </c>
      <c r="Q35" s="1630">
        <v>1650000</v>
      </c>
      <c r="R35" s="1630">
        <v>1650000</v>
      </c>
      <c r="S35" s="1630">
        <v>1650000</v>
      </c>
      <c r="T35" s="1630">
        <v>1650000</v>
      </c>
      <c r="U35" s="1630">
        <v>1650000</v>
      </c>
      <c r="V35" s="1630">
        <v>1650000</v>
      </c>
      <c r="W35" s="1630">
        <v>1650000</v>
      </c>
      <c r="X35" s="1632" cm="1">
        <f t="array" ref="X35">SUM(L35:W35)</f>
        <v>19800000</v>
      </c>
      <c r="Y35" s="578"/>
    </row>
    <row r="36" ht="16.5" customHeight="1">
      <c r="A36" s="12"/>
      <c r="B36" s="1628" cm="1">
        <f t="array" ref="B36">B35+1</f>
        <v>31</v>
      </c>
      <c r="C36" t="s" s="1629">
        <v>1362</v>
      </c>
      <c r="D36" t="s" s="1629">
        <v>1363</v>
      </c>
      <c r="E36" s="1630">
        <v>13000000</v>
      </c>
      <c r="F36" s="1630">
        <v>6000000</v>
      </c>
      <c r="G36" s="1630"/>
      <c r="H36" s="1630"/>
      <c r="I36" s="1630">
        <v>150000</v>
      </c>
      <c r="J36" s="1630" cm="1">
        <f t="array" ref="J36">SUM(E36:I36)</f>
        <v>19150000</v>
      </c>
      <c r="K36" s="1630"/>
      <c r="L36" s="1630">
        <v>19150000</v>
      </c>
      <c r="M36" s="1630">
        <v>19150000</v>
      </c>
      <c r="N36" s="1630">
        <v>19150000</v>
      </c>
      <c r="O36" s="1630">
        <v>19150000</v>
      </c>
      <c r="P36" s="1630">
        <v>19150000</v>
      </c>
      <c r="Q36" s="1630">
        <v>19150000</v>
      </c>
      <c r="R36" s="1630">
        <v>19150000</v>
      </c>
      <c r="S36" s="1630">
        <v>19150000</v>
      </c>
      <c r="T36" s="1630">
        <v>19150000</v>
      </c>
      <c r="U36" s="1630">
        <v>19150000</v>
      </c>
      <c r="V36" s="1630">
        <v>19150000</v>
      </c>
      <c r="W36" s="1630">
        <v>19150000</v>
      </c>
      <c r="X36" s="1632" cm="1">
        <f t="array" ref="X36">SUM(L36:W36)</f>
        <v>229800000</v>
      </c>
      <c r="Y36" s="578"/>
    </row>
    <row r="37" ht="16.5" customHeight="1">
      <c r="A37" s="12"/>
      <c r="B37" s="1628" cm="1">
        <f t="array" ref="B37">B36+1</f>
        <v>32</v>
      </c>
      <c r="C37" t="s" s="1629">
        <v>1364</v>
      </c>
      <c r="D37" t="s" s="1629">
        <v>1363</v>
      </c>
      <c r="E37" s="1630">
        <v>13000000</v>
      </c>
      <c r="F37" s="1630">
        <v>6000000</v>
      </c>
      <c r="G37" s="1630"/>
      <c r="H37" s="1630"/>
      <c r="I37" s="1630">
        <v>150000</v>
      </c>
      <c r="J37" s="1630" cm="1">
        <f t="array" ref="J37">SUM(E37:I37)</f>
        <v>19150000</v>
      </c>
      <c r="K37" s="1630"/>
      <c r="L37" s="1630">
        <v>19150000</v>
      </c>
      <c r="M37" s="1630">
        <v>19150000</v>
      </c>
      <c r="N37" s="1630">
        <v>19150000</v>
      </c>
      <c r="O37" s="1630">
        <v>19150000</v>
      </c>
      <c r="P37" s="1630">
        <v>19150000</v>
      </c>
      <c r="Q37" s="1630">
        <v>19150000</v>
      </c>
      <c r="R37" s="1630">
        <v>19150000</v>
      </c>
      <c r="S37" s="1630">
        <v>19150000</v>
      </c>
      <c r="T37" s="1630">
        <v>19150000</v>
      </c>
      <c r="U37" s="1630">
        <v>19150000</v>
      </c>
      <c r="V37" s="1630">
        <v>19150000</v>
      </c>
      <c r="W37" s="1630">
        <v>19150000</v>
      </c>
      <c r="X37" s="1632" cm="1">
        <f t="array" ref="X37">SUM(L37:W37)</f>
        <v>229800000</v>
      </c>
      <c r="Y37" s="578"/>
    </row>
    <row r="38" ht="16.5" customHeight="1">
      <c r="A38" s="12"/>
      <c r="B38" s="1628" cm="1">
        <f t="array" ref="B38">B37+1</f>
        <v>33</v>
      </c>
      <c r="C38" t="s" s="1629">
        <v>1365</v>
      </c>
      <c r="D38" t="s" s="1629">
        <v>1363</v>
      </c>
      <c r="E38" s="1630">
        <v>13000000</v>
      </c>
      <c r="F38" s="1630">
        <v>6000000</v>
      </c>
      <c r="G38" s="1630"/>
      <c r="H38" s="1630"/>
      <c r="I38" s="1630">
        <v>150000</v>
      </c>
      <c r="J38" s="1630" cm="1">
        <f t="array" ref="J38">SUM(E38:I38)</f>
        <v>19150000</v>
      </c>
      <c r="K38" s="1630"/>
      <c r="L38" s="1630">
        <v>19150000</v>
      </c>
      <c r="M38" s="1630">
        <v>19150000</v>
      </c>
      <c r="N38" s="1630">
        <v>19150000</v>
      </c>
      <c r="O38" s="1630">
        <v>19150000</v>
      </c>
      <c r="P38" s="1630">
        <v>19150000</v>
      </c>
      <c r="Q38" s="1630">
        <v>19150000</v>
      </c>
      <c r="R38" s="1630">
        <v>19150000</v>
      </c>
      <c r="S38" s="1630">
        <v>19150000</v>
      </c>
      <c r="T38" s="1630">
        <v>19150000</v>
      </c>
      <c r="U38" s="1630">
        <v>19150000</v>
      </c>
      <c r="V38" s="1630">
        <v>19150000</v>
      </c>
      <c r="W38" s="1630">
        <v>19150000</v>
      </c>
      <c r="X38" s="1632" cm="1">
        <f t="array" ref="X38">SUM(L38:W38)</f>
        <v>229800000</v>
      </c>
      <c r="Y38" s="578"/>
    </row>
    <row r="39" ht="16.5" customHeight="1">
      <c r="A39" s="12"/>
      <c r="B39" s="1628" cm="1">
        <f t="array" ref="B39">B38+1</f>
        <v>34</v>
      </c>
      <c r="C39" t="s" s="1629">
        <v>1366</v>
      </c>
      <c r="D39" t="s" s="1629">
        <v>1363</v>
      </c>
      <c r="E39" s="1630">
        <v>13000000</v>
      </c>
      <c r="F39" s="1630">
        <v>6000000</v>
      </c>
      <c r="G39" s="1630"/>
      <c r="H39" s="1630"/>
      <c r="I39" s="1630">
        <v>150000</v>
      </c>
      <c r="J39" s="1630" cm="1">
        <f t="array" ref="J39">SUM(E39:I39)</f>
        <v>19150000</v>
      </c>
      <c r="K39" s="1630"/>
      <c r="L39" s="1630">
        <v>19150000</v>
      </c>
      <c r="M39" s="1630">
        <v>19150000</v>
      </c>
      <c r="N39" s="1630">
        <v>19150000</v>
      </c>
      <c r="O39" s="1630">
        <v>19150000</v>
      </c>
      <c r="P39" s="1630">
        <v>19150000</v>
      </c>
      <c r="Q39" s="1630">
        <v>19150000</v>
      </c>
      <c r="R39" s="1630">
        <v>19150000</v>
      </c>
      <c r="S39" s="1630">
        <v>19150000</v>
      </c>
      <c r="T39" s="1630">
        <v>19150000</v>
      </c>
      <c r="U39" s="1630">
        <v>19150000</v>
      </c>
      <c r="V39" s="1630">
        <v>19150000</v>
      </c>
      <c r="W39" s="1630">
        <v>19150000</v>
      </c>
      <c r="X39" s="1632" cm="1">
        <f t="array" ref="X39">SUM(L39:W39)</f>
        <v>229800000</v>
      </c>
      <c r="Y39" s="578"/>
    </row>
    <row r="40" ht="16.5" customHeight="1">
      <c r="A40" s="12"/>
      <c r="B40" s="1628" cm="1">
        <f t="array" ref="B40">B39+1</f>
        <v>35</v>
      </c>
      <c r="C40" t="s" s="1629">
        <v>1491</v>
      </c>
      <c r="D40" t="s" s="1629">
        <v>1363</v>
      </c>
      <c r="E40" s="1630">
        <v>13000000</v>
      </c>
      <c r="F40" s="1630">
        <v>3000000</v>
      </c>
      <c r="G40" s="1630"/>
      <c r="H40" s="1630"/>
      <c r="I40" s="1630">
        <v>150000</v>
      </c>
      <c r="J40" s="1630" cm="1">
        <f t="array" ref="J40">SUM(E40:I40)</f>
        <v>16150000</v>
      </c>
      <c r="K40" s="1630"/>
      <c r="L40" s="1630" cm="1">
        <f t="array" ref="L40">$J$40</f>
        <v>16150000</v>
      </c>
      <c r="M40" s="1630" cm="1">
        <f t="array" ref="M40">$J$40</f>
        <v>16150000</v>
      </c>
      <c r="N40" s="1630" cm="1">
        <f t="array" ref="N40">$J$40</f>
        <v>16150000</v>
      </c>
      <c r="O40" s="1630" cm="1">
        <f t="array" ref="O40">$J$40</f>
        <v>16150000</v>
      </c>
      <c r="P40" s="1630" cm="1">
        <f t="array" ref="P40">$J$40</f>
        <v>16150000</v>
      </c>
      <c r="Q40" s="1630" cm="1">
        <f t="array" ref="Q40">$J$40</f>
        <v>16150000</v>
      </c>
      <c r="R40" s="1630" cm="1">
        <f t="array" ref="R40">$J$40</f>
        <v>16150000</v>
      </c>
      <c r="S40" s="1630" cm="1">
        <f t="array" ref="S40">$J$40</f>
        <v>16150000</v>
      </c>
      <c r="T40" s="1630" cm="1">
        <f t="array" ref="T40">$J$40</f>
        <v>16150000</v>
      </c>
      <c r="U40" s="1630" cm="1">
        <f t="array" ref="U40">$J$40</f>
        <v>16150000</v>
      </c>
      <c r="V40" s="1630" cm="1">
        <f t="array" ref="V40">$J$40</f>
        <v>16150000</v>
      </c>
      <c r="W40" s="1630" cm="1">
        <f t="array" ref="W40">$J$40</f>
        <v>16150000</v>
      </c>
      <c r="X40" s="1632" cm="1">
        <f t="array" ref="X40">SUM(L40:W40)</f>
        <v>193800000</v>
      </c>
      <c r="Y40" s="578"/>
    </row>
    <row r="41" ht="16.5" customHeight="1">
      <c r="A41" s="12"/>
      <c r="B41" s="1628">
        <v>38</v>
      </c>
      <c r="C41" t="s" s="1629">
        <v>1492</v>
      </c>
      <c r="D41" t="s" s="1629">
        <v>1363</v>
      </c>
      <c r="E41" s="1630">
        <v>10000000</v>
      </c>
      <c r="F41" s="1630">
        <v>2500000</v>
      </c>
      <c r="G41" s="1630"/>
      <c r="H41" s="1630"/>
      <c r="I41" s="1630">
        <v>150000</v>
      </c>
      <c r="J41" s="1630" cm="1">
        <f t="array" ref="J41">SUM(E41:I41)</f>
        <v>12650000</v>
      </c>
      <c r="K41" s="1630"/>
      <c r="L41" s="1630" cm="1">
        <f t="array" ref="L41">$J$41</f>
        <v>12650000</v>
      </c>
      <c r="M41" s="1630" cm="1">
        <f t="array" ref="M41">$J$41</f>
        <v>12650000</v>
      </c>
      <c r="N41" s="1630" cm="1">
        <f t="array" ref="N41">$J$41</f>
        <v>12650000</v>
      </c>
      <c r="O41" s="1630" cm="1">
        <f t="array" ref="O41">$J$41</f>
        <v>12650000</v>
      </c>
      <c r="P41" s="1630" cm="1">
        <f t="array" ref="P41">$J$41</f>
        <v>12650000</v>
      </c>
      <c r="Q41" s="1630" cm="1">
        <f t="array" ref="Q41">$J$41</f>
        <v>12650000</v>
      </c>
      <c r="R41" s="1630" cm="1">
        <f t="array" ref="R41">$J$41</f>
        <v>12650000</v>
      </c>
      <c r="S41" s="1630" cm="1">
        <f t="array" ref="S41">$J$41</f>
        <v>12650000</v>
      </c>
      <c r="T41" s="1630" cm="1">
        <f t="array" ref="T41">$J$41</f>
        <v>12650000</v>
      </c>
      <c r="U41" s="1630" cm="1">
        <f t="array" ref="U41">$J$41</f>
        <v>12650000</v>
      </c>
      <c r="V41" s="1630" cm="1">
        <f t="array" ref="V41">$J$41</f>
        <v>12650000</v>
      </c>
      <c r="W41" s="1630" cm="1">
        <f t="array" ref="W41">$J$41</f>
        <v>12650000</v>
      </c>
      <c r="X41" s="1632" cm="1">
        <f t="array" ref="X41">SUM(L41:W41)</f>
        <v>151800000</v>
      </c>
      <c r="Y41" s="578"/>
    </row>
    <row r="42" ht="16.5" customHeight="1">
      <c r="A42" s="12"/>
      <c r="B42" s="1628">
        <v>39</v>
      </c>
      <c r="C42" t="s" s="1629">
        <v>1493</v>
      </c>
      <c r="D42" t="s" s="1629">
        <v>1363</v>
      </c>
      <c r="E42" s="1630">
        <v>10000000</v>
      </c>
      <c r="F42" s="1630">
        <v>2500000</v>
      </c>
      <c r="G42" s="1630"/>
      <c r="H42" s="1630"/>
      <c r="I42" s="1630">
        <v>150000</v>
      </c>
      <c r="J42" s="1630" cm="1">
        <f t="array" ref="J42">SUM(E42:I42)</f>
        <v>12650000</v>
      </c>
      <c r="K42" s="1630"/>
      <c r="L42" s="1630"/>
      <c r="M42" s="1630"/>
      <c r="N42" s="1630"/>
      <c r="O42" s="1630"/>
      <c r="P42" s="1630"/>
      <c r="Q42" s="1630" cm="1">
        <f t="array" ref="Q42">$J$42</f>
        <v>12650000</v>
      </c>
      <c r="R42" s="1630" cm="1">
        <f t="array" ref="R42">$J$42</f>
        <v>12650000</v>
      </c>
      <c r="S42" s="1630" cm="1">
        <f t="array" ref="S42">$J$42</f>
        <v>12650000</v>
      </c>
      <c r="T42" s="1630" cm="1">
        <f t="array" ref="T42">$J$42</f>
        <v>12650000</v>
      </c>
      <c r="U42" s="1630" cm="1">
        <f t="array" ref="U42">$J$42</f>
        <v>12650000</v>
      </c>
      <c r="V42" s="1630" cm="1">
        <f t="array" ref="V42">$J$42</f>
        <v>12650000</v>
      </c>
      <c r="W42" s="1630" cm="1">
        <f t="array" ref="W42">$J$42</f>
        <v>12650000</v>
      </c>
      <c r="X42" s="1632" cm="1">
        <f t="array" ref="X42">SUM(L42:W42)</f>
        <v>88550000</v>
      </c>
      <c r="Y42" s="578"/>
    </row>
    <row r="43" ht="16.5" customHeight="1">
      <c r="A43" s="12"/>
      <c r="B43" s="1628" cm="1">
        <f t="array" ref="B43">B40+1</f>
        <v>36</v>
      </c>
      <c r="C43" t="s" s="1629">
        <v>1371</v>
      </c>
      <c r="D43" t="s" s="1629">
        <v>1372</v>
      </c>
      <c r="E43" s="1630">
        <v>3000000</v>
      </c>
      <c r="F43" s="1630"/>
      <c r="G43" s="1630"/>
      <c r="H43" s="1630"/>
      <c r="I43" s="1630"/>
      <c r="J43" s="1630" cm="1">
        <f t="array" ref="J43">SUM(E43:I43)</f>
        <v>3000000</v>
      </c>
      <c r="K43" s="1630"/>
      <c r="L43" s="1630">
        <v>3000000</v>
      </c>
      <c r="M43" s="1630">
        <v>3000000</v>
      </c>
      <c r="N43" s="1630">
        <v>3000000</v>
      </c>
      <c r="O43" s="1630">
        <v>3000000</v>
      </c>
      <c r="P43" s="1630">
        <v>3000000</v>
      </c>
      <c r="Q43" s="1630">
        <v>3000000</v>
      </c>
      <c r="R43" s="1630">
        <v>3000000</v>
      </c>
      <c r="S43" s="1630">
        <v>3000000</v>
      </c>
      <c r="T43" s="1630">
        <v>3000000</v>
      </c>
      <c r="U43" s="1630">
        <v>3000000</v>
      </c>
      <c r="V43" s="1630">
        <v>3000000</v>
      </c>
      <c r="W43" s="1630">
        <v>3000000</v>
      </c>
      <c r="X43" s="1632" cm="1">
        <f t="array" ref="X43">SUM(L43:W43)</f>
        <v>36000000</v>
      </c>
      <c r="Y43" s="578"/>
    </row>
    <row r="44" ht="16.5" customHeight="1">
      <c r="A44" s="12"/>
      <c r="B44" s="1628" cm="1">
        <f t="array" ref="B44">B43+1</f>
        <v>37</v>
      </c>
      <c r="C44" t="s" s="1629">
        <v>1494</v>
      </c>
      <c r="D44" t="s" s="1629">
        <v>1495</v>
      </c>
      <c r="E44" s="1630">
        <v>6000000</v>
      </c>
      <c r="F44" s="1630"/>
      <c r="G44" s="1630"/>
      <c r="H44" s="1630"/>
      <c r="I44" s="1630">
        <v>150000</v>
      </c>
      <c r="J44" s="1630" cm="1">
        <f t="array" ref="J44">SUM(E44:I44)</f>
        <v>6150000</v>
      </c>
      <c r="K44" s="1630"/>
      <c r="L44" s="1630">
        <v>6150000</v>
      </c>
      <c r="M44" s="1630">
        <v>6150000</v>
      </c>
      <c r="N44" s="1630">
        <v>6150000</v>
      </c>
      <c r="O44" s="1630">
        <v>6150000</v>
      </c>
      <c r="P44" s="1630">
        <v>6150000</v>
      </c>
      <c r="Q44" s="1630">
        <v>6150000</v>
      </c>
      <c r="R44" s="1630">
        <v>6150000</v>
      </c>
      <c r="S44" s="1630">
        <v>6150000</v>
      </c>
      <c r="T44" s="1630">
        <v>6150000</v>
      </c>
      <c r="U44" s="1630">
        <v>6150000</v>
      </c>
      <c r="V44" s="1630">
        <v>6150000</v>
      </c>
      <c r="W44" s="1630">
        <v>6150000</v>
      </c>
      <c r="X44" s="1632" cm="1">
        <f t="array" ref="X44">SUM(L44:W44)</f>
        <v>73800000</v>
      </c>
      <c r="Y44" s="578"/>
    </row>
    <row r="45" ht="16.5" customHeight="1">
      <c r="A45" s="12"/>
      <c r="B45" s="1634"/>
      <c r="C45" s="1635"/>
      <c r="D45" t="s" s="1624">
        <v>1388</v>
      </c>
      <c r="E45" s="1625" cm="1">
        <f t="array" ref="E45">SUM(E4:E44)</f>
        <v>385500000</v>
      </c>
      <c r="F45" s="1625" cm="1">
        <f t="array" ref="F45">SUM(F4:F44)</f>
        <v>118500000</v>
      </c>
      <c r="G45" s="1625" cm="1">
        <f t="array" ref="G45">SUM(G4:G44)</f>
        <v>11000000</v>
      </c>
      <c r="H45" s="1625" cm="1">
        <f t="array" ref="H45">SUM(H4:H44)</f>
        <v>0</v>
      </c>
      <c r="I45" s="1625" cm="1">
        <f t="array" ref="I45">SUM(I4:I44)</f>
        <v>4500000</v>
      </c>
      <c r="J45" s="1625" cm="1">
        <f t="array" ref="J45">SUM(J4:J44)</f>
        <v>519500000</v>
      </c>
      <c r="K45" s="1625"/>
      <c r="L45" s="1625" cm="1">
        <f t="array" ref="L45">SUM(L4:L44)</f>
        <v>495700000</v>
      </c>
      <c r="M45" s="1625" cm="1">
        <f t="array" ref="M45">SUM(M4:M44)</f>
        <v>495700000</v>
      </c>
      <c r="N45" s="1625" cm="1">
        <f t="array" ref="N45">SUM(N4:N44)</f>
        <v>495700000</v>
      </c>
      <c r="O45" s="1625" cm="1">
        <f t="array" ref="O45">SUM(O4:O44)</f>
        <v>495700000</v>
      </c>
      <c r="P45" s="1625" cm="1">
        <f t="array" ref="P45">SUM(P4:P44)</f>
        <v>500850000</v>
      </c>
      <c r="Q45" s="1625" cm="1">
        <f t="array" ref="Q45">SUM(Q4:Q44)</f>
        <v>513500000</v>
      </c>
      <c r="R45" s="1625" cm="1">
        <f t="array" ref="R45">SUM(R4:R44)</f>
        <v>513500000</v>
      </c>
      <c r="S45" s="1625" cm="1">
        <f t="array" ref="S45">SUM(S4:S44)</f>
        <v>519500000</v>
      </c>
      <c r="T45" s="1625" cm="1">
        <f t="array" ref="T45">SUM(T4:T44)</f>
        <v>519500000</v>
      </c>
      <c r="U45" s="1625" cm="1">
        <f t="array" ref="U45">SUM(U4:U44)</f>
        <v>519500000</v>
      </c>
      <c r="V45" s="1625" cm="1">
        <f t="array" ref="V45">SUM(V4:V44)</f>
        <v>519500000</v>
      </c>
      <c r="W45" s="1625" cm="1">
        <f t="array" ref="W45">SUM(W4:W44)</f>
        <v>519500000</v>
      </c>
      <c r="X45" s="1663" cm="1">
        <f t="array" ref="X45">SUM(X4:X44)</f>
        <v>6108150000</v>
      </c>
      <c r="Y45" s="578"/>
    </row>
    <row r="46" ht="16.5" customHeight="1">
      <c r="A46" s="12"/>
      <c r="B46" t="s" s="1637">
        <v>1389</v>
      </c>
      <c r="C46" s="1638"/>
      <c r="D46" s="1638"/>
      <c r="E46" s="1639"/>
      <c r="F46" s="1639"/>
      <c r="G46" s="1639"/>
      <c r="H46" s="1639"/>
      <c r="I46" s="1639"/>
      <c r="J46" s="1639"/>
      <c r="K46" s="1639"/>
      <c r="L46" s="1639"/>
      <c r="M46" s="1638"/>
      <c r="N46" s="1638"/>
      <c r="O46" s="1638"/>
      <c r="P46" s="1638"/>
      <c r="Q46" s="1638"/>
      <c r="R46" s="1638"/>
      <c r="S46" s="1638"/>
      <c r="T46" s="1638"/>
      <c r="U46" s="1638"/>
      <c r="V46" s="1638"/>
      <c r="W46" s="1638"/>
      <c r="X46" s="1640"/>
      <c r="Y46" s="578"/>
    </row>
    <row r="47" ht="16.5" customHeight="1">
      <c r="A47" s="12"/>
      <c r="B47" s="1628">
        <v>1</v>
      </c>
      <c r="C47" t="s" s="1629">
        <v>1390</v>
      </c>
      <c r="D47" t="s" s="1633">
        <v>1496</v>
      </c>
      <c r="E47" s="1630">
        <v>6000000</v>
      </c>
      <c r="F47" s="1630">
        <v>1500000</v>
      </c>
      <c r="G47" s="1630"/>
      <c r="H47" s="1630">
        <v>5400000</v>
      </c>
      <c r="I47" s="1630">
        <v>150000</v>
      </c>
      <c r="J47" s="1630" cm="1">
        <f t="array" ref="J47">SUM(E47:I47)</f>
        <v>13050000</v>
      </c>
      <c r="K47" s="1630"/>
      <c r="L47" s="1630">
        <v>13050000</v>
      </c>
      <c r="M47" s="1630">
        <v>13050000</v>
      </c>
      <c r="N47" s="1630">
        <v>13050000</v>
      </c>
      <c r="O47" s="1630">
        <v>13050000</v>
      </c>
      <c r="P47" s="1630">
        <v>13050000</v>
      </c>
      <c r="Q47" s="1630">
        <v>13050000</v>
      </c>
      <c r="R47" s="1630">
        <v>13050000</v>
      </c>
      <c r="S47" s="1630">
        <v>13050000</v>
      </c>
      <c r="T47" s="1630">
        <v>13050000</v>
      </c>
      <c r="U47" s="1630">
        <v>13050000</v>
      </c>
      <c r="V47" s="1630">
        <v>13050000</v>
      </c>
      <c r="W47" s="1630">
        <v>13050000</v>
      </c>
      <c r="X47" s="1632" cm="1">
        <f t="array" ref="X47">SUM(L47:W47)</f>
        <v>156600000</v>
      </c>
      <c r="Y47" s="578"/>
    </row>
    <row r="48" ht="16.5" customHeight="1">
      <c r="A48" s="12"/>
      <c r="B48" s="1628" cm="1">
        <f t="array" ref="B48">B47+1</f>
        <v>2</v>
      </c>
      <c r="C48" t="s" s="1629">
        <v>1392</v>
      </c>
      <c r="D48" t="s" s="1629">
        <v>1497</v>
      </c>
      <c r="E48" s="1630">
        <v>5000000</v>
      </c>
      <c r="F48" s="1630">
        <v>1500000</v>
      </c>
      <c r="G48" s="1630"/>
      <c r="H48" s="1630">
        <v>5400000</v>
      </c>
      <c r="I48" s="1630">
        <v>150000</v>
      </c>
      <c r="J48" s="1630" cm="1">
        <f t="array" ref="J48">SUM(E48:I48)</f>
        <v>12050000</v>
      </c>
      <c r="K48" s="1630"/>
      <c r="L48" s="1630">
        <v>12050000</v>
      </c>
      <c r="M48" s="1630">
        <v>12050000</v>
      </c>
      <c r="N48" s="1630">
        <v>12050000</v>
      </c>
      <c r="O48" s="1630">
        <v>12050000</v>
      </c>
      <c r="P48" s="1630">
        <v>12050000</v>
      </c>
      <c r="Q48" s="1630">
        <v>12050000</v>
      </c>
      <c r="R48" s="1630">
        <v>12050000</v>
      </c>
      <c r="S48" s="1630">
        <v>12050000</v>
      </c>
      <c r="T48" s="1630">
        <v>12050000</v>
      </c>
      <c r="U48" s="1630">
        <v>12050000</v>
      </c>
      <c r="V48" s="1630">
        <v>12050000</v>
      </c>
      <c r="W48" s="1630">
        <v>12050000</v>
      </c>
      <c r="X48" s="1632" cm="1">
        <f t="array" ref="X48">SUM(L48:W48)</f>
        <v>144600000</v>
      </c>
      <c r="Y48" s="578"/>
    </row>
    <row r="49" ht="16.5" customHeight="1">
      <c r="A49" s="12"/>
      <c r="B49" s="1628" cm="1">
        <f t="array" ref="B49">B48+1</f>
        <v>3</v>
      </c>
      <c r="C49" t="s" s="1629">
        <v>1404</v>
      </c>
      <c r="D49" t="s" s="1629">
        <v>1497</v>
      </c>
      <c r="E49" s="1630">
        <v>5000000</v>
      </c>
      <c r="F49" s="1630">
        <v>1500000</v>
      </c>
      <c r="G49" s="1630"/>
      <c r="H49" s="1630">
        <v>5400000</v>
      </c>
      <c r="I49" s="1630">
        <v>150000</v>
      </c>
      <c r="J49" s="1630" cm="1">
        <f t="array" ref="J49">SUM(E49:I49)</f>
        <v>12050000</v>
      </c>
      <c r="K49" s="1630"/>
      <c r="L49" s="1630">
        <v>12050000</v>
      </c>
      <c r="M49" s="1630">
        <v>12050000</v>
      </c>
      <c r="N49" s="1630">
        <v>12050000</v>
      </c>
      <c r="O49" s="1630">
        <v>12050000</v>
      </c>
      <c r="P49" s="1630">
        <v>12050000</v>
      </c>
      <c r="Q49" s="1630">
        <v>12050000</v>
      </c>
      <c r="R49" s="1630">
        <v>12050000</v>
      </c>
      <c r="S49" s="1630">
        <v>12050000</v>
      </c>
      <c r="T49" s="1630">
        <v>12050000</v>
      </c>
      <c r="U49" s="1630">
        <v>12050000</v>
      </c>
      <c r="V49" s="1630">
        <v>12050000</v>
      </c>
      <c r="W49" s="1630">
        <v>12050000</v>
      </c>
      <c r="X49" s="1632" cm="1">
        <f t="array" ref="X49">SUM(L49:W49)</f>
        <v>144600000</v>
      </c>
      <c r="Y49" s="578"/>
    </row>
    <row r="50" ht="16.5" customHeight="1">
      <c r="A50" s="12"/>
      <c r="B50" s="1628" cm="1">
        <f t="array" ref="B50">B49+1</f>
        <v>4</v>
      </c>
      <c r="C50" t="s" s="1629">
        <v>1396</v>
      </c>
      <c r="D50" t="s" s="1629">
        <v>1498</v>
      </c>
      <c r="E50" s="1630">
        <v>6000000</v>
      </c>
      <c r="F50" s="1630">
        <v>1500000</v>
      </c>
      <c r="G50" s="1630"/>
      <c r="H50" s="1630">
        <v>5400000</v>
      </c>
      <c r="I50" s="1630">
        <v>150000</v>
      </c>
      <c r="J50" s="1630" cm="1">
        <f t="array" ref="J50">SUM(E50:I50)</f>
        <v>13050000</v>
      </c>
      <c r="K50" s="1630"/>
      <c r="L50" s="1630">
        <v>13050000</v>
      </c>
      <c r="M50" s="1630">
        <v>13050000</v>
      </c>
      <c r="N50" s="1630">
        <v>13050000</v>
      </c>
      <c r="O50" s="1630">
        <v>13050000</v>
      </c>
      <c r="P50" s="1630">
        <v>13050000</v>
      </c>
      <c r="Q50" s="1630">
        <v>13050000</v>
      </c>
      <c r="R50" s="1630">
        <v>13050000</v>
      </c>
      <c r="S50" s="1630">
        <v>13050000</v>
      </c>
      <c r="T50" s="1630">
        <v>13050000</v>
      </c>
      <c r="U50" s="1630">
        <v>13050000</v>
      </c>
      <c r="V50" s="1630">
        <v>13050000</v>
      </c>
      <c r="W50" s="1630">
        <v>13050000</v>
      </c>
      <c r="X50" s="1632" cm="1">
        <f t="array" ref="X50">SUM(L50:W50)</f>
        <v>156600000</v>
      </c>
      <c r="Y50" s="578"/>
    </row>
    <row r="51" ht="16.5" customHeight="1">
      <c r="A51" s="12"/>
      <c r="B51" s="1628" cm="1">
        <f t="array" ref="B51">B50+1</f>
        <v>5</v>
      </c>
      <c r="C51" t="s" s="1629">
        <v>1398</v>
      </c>
      <c r="D51" t="s" s="1629">
        <v>1399</v>
      </c>
      <c r="E51" s="1630">
        <v>5000000</v>
      </c>
      <c r="F51" s="1630">
        <v>1500000</v>
      </c>
      <c r="G51" s="1630"/>
      <c r="H51" s="1630">
        <v>5400000</v>
      </c>
      <c r="I51" s="1630">
        <v>150000</v>
      </c>
      <c r="J51" s="1630" cm="1">
        <f t="array" ref="J51">SUM(E51:I51)</f>
        <v>12050000</v>
      </c>
      <c r="K51" s="1630"/>
      <c r="L51" s="1630">
        <v>12050000</v>
      </c>
      <c r="M51" s="1630">
        <v>12050000</v>
      </c>
      <c r="N51" s="1630">
        <v>12050000</v>
      </c>
      <c r="O51" s="1630">
        <v>12050000</v>
      </c>
      <c r="P51" s="1630">
        <v>12050000</v>
      </c>
      <c r="Q51" s="1630">
        <v>12050000</v>
      </c>
      <c r="R51" s="1630">
        <v>12050000</v>
      </c>
      <c r="S51" s="1630">
        <v>12050000</v>
      </c>
      <c r="T51" s="1630">
        <v>12050000</v>
      </c>
      <c r="U51" s="1630">
        <v>12050000</v>
      </c>
      <c r="V51" s="1630">
        <v>12050000</v>
      </c>
      <c r="W51" s="1630">
        <v>12050000</v>
      </c>
      <c r="X51" s="1632" cm="1">
        <f t="array" ref="X51">SUM(L51:W51)</f>
        <v>144600000</v>
      </c>
      <c r="Y51" s="578"/>
    </row>
    <row r="52" ht="16.5" customHeight="1">
      <c r="A52" s="12"/>
      <c r="B52" s="1628" cm="1">
        <f t="array" ref="B52">B51+1</f>
        <v>6</v>
      </c>
      <c r="C52" t="s" s="1633">
        <v>1499</v>
      </c>
      <c r="D52" t="s" s="1629">
        <v>1401</v>
      </c>
      <c r="E52" s="1630" cm="1">
        <f t="array" ref="E52">6000000</f>
        <v>6000000</v>
      </c>
      <c r="F52" s="1630">
        <v>1500000</v>
      </c>
      <c r="G52" s="1630"/>
      <c r="H52" s="1630">
        <v>5400000</v>
      </c>
      <c r="I52" s="1630">
        <v>150000</v>
      </c>
      <c r="J52" s="1630" cm="1">
        <f t="array" ref="J52">SUM(E52:I52)</f>
        <v>13050000</v>
      </c>
      <c r="K52" s="1630"/>
      <c r="L52" s="1630">
        <v>13050000</v>
      </c>
      <c r="M52" s="1630">
        <v>13050000</v>
      </c>
      <c r="N52" s="1630">
        <v>13050000</v>
      </c>
      <c r="O52" s="1630">
        <v>13050000</v>
      </c>
      <c r="P52" s="1630">
        <v>13050000</v>
      </c>
      <c r="Q52" s="1630">
        <v>13050000</v>
      </c>
      <c r="R52" s="1630">
        <v>13050000</v>
      </c>
      <c r="S52" s="1630">
        <v>13050000</v>
      </c>
      <c r="T52" s="1630">
        <v>13050000</v>
      </c>
      <c r="U52" s="1630">
        <v>13050000</v>
      </c>
      <c r="V52" s="1630">
        <v>13050000</v>
      </c>
      <c r="W52" s="1630">
        <v>13050000</v>
      </c>
      <c r="X52" s="1632" cm="1">
        <f t="array" ref="X52">SUM(L52:W52)</f>
        <v>156600000</v>
      </c>
      <c r="Y52" s="578"/>
    </row>
    <row r="53" ht="16.5" customHeight="1">
      <c r="A53" s="12"/>
      <c r="B53" s="1628" cm="1">
        <f t="array" ref="B53">B52+1</f>
        <v>7</v>
      </c>
      <c r="C53" t="s" s="1629">
        <v>1410</v>
      </c>
      <c r="D53" t="s" s="1629">
        <v>1500</v>
      </c>
      <c r="E53" s="1630" cm="1">
        <f t="array" ref="E53">5000000</f>
        <v>5000000</v>
      </c>
      <c r="F53" s="1630">
        <v>1500000</v>
      </c>
      <c r="G53" s="1630">
        <v>1000000</v>
      </c>
      <c r="H53" s="1630">
        <v>5400000</v>
      </c>
      <c r="I53" s="1630">
        <v>150000</v>
      </c>
      <c r="J53" s="1630" cm="1">
        <f t="array" ref="J53">SUM(E53:I53)</f>
        <v>13050000</v>
      </c>
      <c r="K53" s="1630"/>
      <c r="L53" s="1630">
        <v>13050000</v>
      </c>
      <c r="M53" s="1630">
        <v>13050000</v>
      </c>
      <c r="N53" s="1630">
        <v>13050000</v>
      </c>
      <c r="O53" s="1630">
        <v>13050000</v>
      </c>
      <c r="P53" s="1630">
        <v>13050000</v>
      </c>
      <c r="Q53" s="1630">
        <v>13050000</v>
      </c>
      <c r="R53" s="1630">
        <v>13050000</v>
      </c>
      <c r="S53" s="1630">
        <v>13050000</v>
      </c>
      <c r="T53" s="1630">
        <v>13050000</v>
      </c>
      <c r="U53" s="1630">
        <v>13050000</v>
      </c>
      <c r="V53" s="1630">
        <v>13050000</v>
      </c>
      <c r="W53" s="1630">
        <v>13050000</v>
      </c>
      <c r="X53" s="1632" cm="1">
        <f t="array" ref="X53">SUM(L53:W53)</f>
        <v>156600000</v>
      </c>
      <c r="Y53" s="578"/>
    </row>
    <row r="54" ht="16.5" customHeight="1">
      <c r="A54" s="12"/>
      <c r="B54" s="1628" cm="1">
        <f t="array" ref="B54">B53+1</f>
        <v>8</v>
      </c>
      <c r="C54" t="s" s="1633">
        <v>1406</v>
      </c>
      <c r="D54" t="s" s="1629">
        <v>1407</v>
      </c>
      <c r="E54" s="1630">
        <v>6000000</v>
      </c>
      <c r="F54" s="1630">
        <v>1500000</v>
      </c>
      <c r="G54" s="1630"/>
      <c r="H54" s="1630">
        <v>5400000</v>
      </c>
      <c r="I54" s="1630">
        <v>150000</v>
      </c>
      <c r="J54" s="1630" cm="1">
        <f t="array" ref="J54">SUM(E54:I54)</f>
        <v>13050000</v>
      </c>
      <c r="K54" s="1630"/>
      <c r="L54" s="1630">
        <v>13050000</v>
      </c>
      <c r="M54" s="1630">
        <v>13050000</v>
      </c>
      <c r="N54" s="1630">
        <v>13050000</v>
      </c>
      <c r="O54" s="1630">
        <v>13050000</v>
      </c>
      <c r="P54" s="1630">
        <v>13050000</v>
      </c>
      <c r="Q54" s="1630">
        <v>13050000</v>
      </c>
      <c r="R54" s="1630">
        <v>13050000</v>
      </c>
      <c r="S54" s="1630">
        <v>13050000</v>
      </c>
      <c r="T54" s="1630">
        <v>13050000</v>
      </c>
      <c r="U54" s="1630">
        <v>13050000</v>
      </c>
      <c r="V54" s="1630">
        <v>13050000</v>
      </c>
      <c r="W54" s="1630">
        <v>13050000</v>
      </c>
      <c r="X54" s="1632" cm="1">
        <f t="array" ref="X54">SUM(L54:W54)</f>
        <v>156600000</v>
      </c>
      <c r="Y54" s="578"/>
    </row>
    <row r="55" ht="16.5" customHeight="1">
      <c r="A55" s="12"/>
      <c r="B55" s="1628" cm="1">
        <f t="array" ref="B55">B54+1</f>
        <v>9</v>
      </c>
      <c r="C55" t="s" s="1629">
        <v>1408</v>
      </c>
      <c r="D55" t="s" s="1629">
        <v>1409</v>
      </c>
      <c r="E55" s="1630">
        <v>5000000</v>
      </c>
      <c r="F55" s="1630">
        <v>1500000</v>
      </c>
      <c r="G55" s="1630"/>
      <c r="H55" s="1630">
        <v>5400000</v>
      </c>
      <c r="I55" s="1630">
        <v>150000</v>
      </c>
      <c r="J55" s="1630" cm="1">
        <f t="array" ref="J55">SUM(E55:I55)</f>
        <v>12050000</v>
      </c>
      <c r="K55" s="1630"/>
      <c r="L55" s="1630">
        <v>12050000</v>
      </c>
      <c r="M55" s="1630">
        <v>12050000</v>
      </c>
      <c r="N55" s="1630">
        <v>12050000</v>
      </c>
      <c r="O55" s="1630">
        <v>12050000</v>
      </c>
      <c r="P55" s="1630">
        <v>12050000</v>
      </c>
      <c r="Q55" s="1630">
        <v>12050000</v>
      </c>
      <c r="R55" s="1630">
        <v>12050000</v>
      </c>
      <c r="S55" s="1630">
        <v>12050000</v>
      </c>
      <c r="T55" s="1630">
        <v>12050000</v>
      </c>
      <c r="U55" s="1630">
        <v>12050000</v>
      </c>
      <c r="V55" s="1630">
        <v>12050000</v>
      </c>
      <c r="W55" s="1630">
        <v>12050000</v>
      </c>
      <c r="X55" s="1632" cm="1">
        <f t="array" ref="X55">SUM(L55:W55)</f>
        <v>144600000</v>
      </c>
      <c r="Y55" s="578"/>
    </row>
    <row r="56" ht="16.5" customHeight="1">
      <c r="A56" s="12"/>
      <c r="B56" s="1628" cm="1">
        <f t="array" ref="B56">B55+1</f>
        <v>10</v>
      </c>
      <c r="C56" t="s" s="1629">
        <v>1412</v>
      </c>
      <c r="D56" t="s" s="1629">
        <v>1409</v>
      </c>
      <c r="E56" s="1630" cm="1">
        <f t="array" ref="E56">5000000</f>
        <v>5000000</v>
      </c>
      <c r="F56" s="1630">
        <v>1500000</v>
      </c>
      <c r="G56" s="1630"/>
      <c r="H56" s="1630">
        <v>5400000</v>
      </c>
      <c r="I56" s="1630">
        <v>150000</v>
      </c>
      <c r="J56" s="1630" cm="1">
        <f t="array" ref="J56">SUM(E56:I56)</f>
        <v>12050000</v>
      </c>
      <c r="K56" s="1630"/>
      <c r="L56" s="1630">
        <v>12050000</v>
      </c>
      <c r="M56" s="1630">
        <v>12050000</v>
      </c>
      <c r="N56" s="1630">
        <v>12050000</v>
      </c>
      <c r="O56" s="1630">
        <v>12050000</v>
      </c>
      <c r="P56" s="1630">
        <v>12050000</v>
      </c>
      <c r="Q56" s="1630">
        <v>12050000</v>
      </c>
      <c r="R56" s="1630">
        <v>12050000</v>
      </c>
      <c r="S56" s="1630">
        <v>12050000</v>
      </c>
      <c r="T56" s="1630">
        <v>12050000</v>
      </c>
      <c r="U56" s="1630">
        <v>12050000</v>
      </c>
      <c r="V56" s="1630">
        <v>12050000</v>
      </c>
      <c r="W56" s="1630">
        <v>12050000</v>
      </c>
      <c r="X56" s="1632" cm="1">
        <f t="array" ref="X56">SUM(L56:W56)</f>
        <v>144600000</v>
      </c>
      <c r="Y56" s="578"/>
    </row>
    <row r="57" ht="16.5" customHeight="1">
      <c r="A57" s="12"/>
      <c r="B57" s="1628" cm="1">
        <f t="array" ref="B57">B56+1</f>
        <v>11</v>
      </c>
      <c r="C57" t="s" s="1629">
        <v>1501</v>
      </c>
      <c r="D57" t="s" s="1629">
        <v>1502</v>
      </c>
      <c r="E57" s="1630">
        <v>6000000</v>
      </c>
      <c r="F57" s="1630">
        <v>1500000</v>
      </c>
      <c r="G57" s="1630"/>
      <c r="H57" s="1630">
        <v>5400000</v>
      </c>
      <c r="I57" s="1630">
        <v>150000</v>
      </c>
      <c r="J57" s="1630" cm="1">
        <f t="array" ref="J57">SUM(E57:I57)</f>
        <v>13050000</v>
      </c>
      <c r="K57" s="1630"/>
      <c r="L57" s="1630">
        <v>13050000</v>
      </c>
      <c r="M57" s="1630">
        <v>13050000</v>
      </c>
      <c r="N57" s="1630">
        <v>13050000</v>
      </c>
      <c r="O57" s="1630">
        <v>13050000</v>
      </c>
      <c r="P57" s="1630">
        <v>13050000</v>
      </c>
      <c r="Q57" s="1630">
        <v>13050000</v>
      </c>
      <c r="R57" s="1630">
        <v>13050000</v>
      </c>
      <c r="S57" s="1630">
        <v>13050000</v>
      </c>
      <c r="T57" s="1630">
        <v>13050000</v>
      </c>
      <c r="U57" s="1630">
        <v>13050000</v>
      </c>
      <c r="V57" s="1630">
        <v>13050000</v>
      </c>
      <c r="W57" s="1630">
        <v>13050000</v>
      </c>
      <c r="X57" s="1632" cm="1">
        <f t="array" ref="X57">SUM(L57:W57)</f>
        <v>156600000</v>
      </c>
      <c r="Y57" s="578"/>
    </row>
    <row r="58" ht="16.5" customHeight="1">
      <c r="A58" s="12"/>
      <c r="B58" s="1628" cm="1">
        <f t="array" ref="B58">B57+1</f>
        <v>12</v>
      </c>
      <c r="C58" t="s" s="1629">
        <v>1503</v>
      </c>
      <c r="D58" t="s" s="1629">
        <v>1502</v>
      </c>
      <c r="E58" s="1630">
        <v>5000000</v>
      </c>
      <c r="F58" s="1630">
        <v>1500000</v>
      </c>
      <c r="G58" s="1630"/>
      <c r="H58" s="1630">
        <v>5400000</v>
      </c>
      <c r="I58" s="1630">
        <v>150000</v>
      </c>
      <c r="J58" s="1630" cm="1">
        <f t="array" ref="J58">SUM(E58:I58)</f>
        <v>12050000</v>
      </c>
      <c r="K58" s="1630"/>
      <c r="L58" s="1630">
        <v>12050000</v>
      </c>
      <c r="M58" s="1630">
        <v>12050000</v>
      </c>
      <c r="N58" s="1630">
        <v>12050000</v>
      </c>
      <c r="O58" s="1630">
        <v>12050000</v>
      </c>
      <c r="P58" s="1630">
        <v>12050000</v>
      </c>
      <c r="Q58" s="1630">
        <v>12050000</v>
      </c>
      <c r="R58" s="1630">
        <v>12050000</v>
      </c>
      <c r="S58" s="1630">
        <v>12050000</v>
      </c>
      <c r="T58" s="1630">
        <v>12050000</v>
      </c>
      <c r="U58" s="1630">
        <v>12050000</v>
      </c>
      <c r="V58" s="1630">
        <v>12050000</v>
      </c>
      <c r="W58" s="1630">
        <v>12050000</v>
      </c>
      <c r="X58" s="1632" cm="1">
        <f t="array" ref="X58">SUM(L58:W58)</f>
        <v>144600000</v>
      </c>
      <c r="Y58" s="578"/>
    </row>
    <row r="59" ht="16.5" customHeight="1">
      <c r="A59" s="12"/>
      <c r="B59" s="1628" cm="1">
        <f t="array" ref="B59">B58+1</f>
        <v>13</v>
      </c>
      <c r="C59" t="s" s="1629">
        <v>1501</v>
      </c>
      <c r="D59" t="s" s="1629">
        <v>1504</v>
      </c>
      <c r="E59" s="1630">
        <v>6000000</v>
      </c>
      <c r="F59" s="1630">
        <v>1500000</v>
      </c>
      <c r="G59" s="1630"/>
      <c r="H59" s="1630">
        <v>5400000</v>
      </c>
      <c r="I59" s="1630">
        <v>150000</v>
      </c>
      <c r="J59" s="1630" cm="1">
        <f t="array" ref="J59">SUM(E59:I59)</f>
        <v>13050000</v>
      </c>
      <c r="K59" s="1630"/>
      <c r="L59" s="1630"/>
      <c r="M59" s="1630"/>
      <c r="N59" s="1630"/>
      <c r="O59" s="1630"/>
      <c r="P59" s="1630">
        <v>13050000</v>
      </c>
      <c r="Q59" s="1630">
        <v>13050000</v>
      </c>
      <c r="R59" s="1630">
        <v>13050000</v>
      </c>
      <c r="S59" s="1630">
        <v>13050000</v>
      </c>
      <c r="T59" s="1630">
        <v>13050000</v>
      </c>
      <c r="U59" s="1630">
        <v>13050000</v>
      </c>
      <c r="V59" s="1630">
        <v>13050000</v>
      </c>
      <c r="W59" s="1630">
        <v>13050000</v>
      </c>
      <c r="X59" s="1632" cm="1">
        <f t="array" ref="X59">SUM(L59:W59)</f>
        <v>104400000</v>
      </c>
      <c r="Y59" s="578"/>
    </row>
    <row r="60" ht="16.5" customHeight="1">
      <c r="A60" s="12"/>
      <c r="B60" s="1628" cm="1">
        <f t="array" ref="B60">B59+1</f>
        <v>14</v>
      </c>
      <c r="C60" t="s" s="1629">
        <v>1503</v>
      </c>
      <c r="D60" t="s" s="1629">
        <v>1504</v>
      </c>
      <c r="E60" s="1630">
        <v>5000000</v>
      </c>
      <c r="F60" s="1630">
        <v>1500000</v>
      </c>
      <c r="G60" s="1630"/>
      <c r="H60" s="1630">
        <v>5400000</v>
      </c>
      <c r="I60" s="1630">
        <v>150000</v>
      </c>
      <c r="J60" s="1630" cm="1">
        <f t="array" ref="J60">SUM(E60:I60)</f>
        <v>12050000</v>
      </c>
      <c r="K60" s="1630"/>
      <c r="L60" s="1630"/>
      <c r="M60" s="1630"/>
      <c r="N60" s="1630"/>
      <c r="O60" s="1630"/>
      <c r="P60" s="1630">
        <v>12050000</v>
      </c>
      <c r="Q60" s="1630">
        <v>12050000</v>
      </c>
      <c r="R60" s="1630">
        <v>12050000</v>
      </c>
      <c r="S60" s="1630">
        <v>12050000</v>
      </c>
      <c r="T60" s="1630">
        <v>12050000</v>
      </c>
      <c r="U60" s="1630">
        <v>12050000</v>
      </c>
      <c r="V60" s="1630">
        <v>12050000</v>
      </c>
      <c r="W60" s="1630">
        <v>12050000</v>
      </c>
      <c r="X60" s="1632" cm="1">
        <f t="array" ref="X60">SUM(L60:W60)</f>
        <v>96400000</v>
      </c>
      <c r="Y60" s="578"/>
    </row>
    <row r="61" ht="21.75" customHeight="1">
      <c r="A61" s="12"/>
      <c r="B61" s="1641"/>
      <c r="C61" s="1642"/>
      <c r="D61" t="s" s="1643">
        <v>1433</v>
      </c>
      <c r="E61" s="1644" cm="1">
        <f t="array" ref="E61">SUM(E47:E60)</f>
        <v>76000000</v>
      </c>
      <c r="F61" s="1644" cm="1">
        <f t="array" ref="F61">SUM(F47:F60)</f>
        <v>21000000</v>
      </c>
      <c r="G61" s="1644" cm="1">
        <f t="array" ref="G61">SUM(G47:G60)</f>
        <v>1000000</v>
      </c>
      <c r="H61" s="1644" cm="1">
        <f t="array" ref="H61">SUM(H47:H60)</f>
        <v>75600000</v>
      </c>
      <c r="I61" s="1644" cm="1">
        <f t="array" ref="I61">SUM(I47:I60)</f>
        <v>2100000</v>
      </c>
      <c r="J61" s="1644" cm="1">
        <f t="array" ref="J61">SUM(J47:J60)</f>
        <v>175700000</v>
      </c>
      <c r="K61" s="1644"/>
      <c r="L61" s="1644" cm="1">
        <f t="array" ref="L61">SUM(L47:L60)</f>
        <v>150600000</v>
      </c>
      <c r="M61" s="1644" cm="1">
        <f t="array" ref="M61">SUM(M47:M60)</f>
        <v>150600000</v>
      </c>
      <c r="N61" s="1644" cm="1">
        <f t="array" ref="N61">SUM(N47:N60)</f>
        <v>150600000</v>
      </c>
      <c r="O61" s="1644" cm="1">
        <f t="array" ref="O61">SUM(O47:O60)</f>
        <v>150600000</v>
      </c>
      <c r="P61" s="1644" cm="1">
        <f t="array" ref="P61">SUM(P47:P60)</f>
        <v>175700000</v>
      </c>
      <c r="Q61" s="1644" cm="1">
        <f t="array" ref="Q61">SUM(Q47:Q60)</f>
        <v>175700000</v>
      </c>
      <c r="R61" s="1644" cm="1">
        <f t="array" ref="R61">SUM(R47:R60)</f>
        <v>175700000</v>
      </c>
      <c r="S61" s="1644" cm="1">
        <f t="array" ref="S61">SUM(S47:S60)</f>
        <v>175700000</v>
      </c>
      <c r="T61" s="1644" cm="1">
        <f t="array" ref="T61">SUM(T47:T60)</f>
        <v>175700000</v>
      </c>
      <c r="U61" s="1644" cm="1">
        <f t="array" ref="U61">SUM(U47:U60)</f>
        <v>175700000</v>
      </c>
      <c r="V61" s="1644" cm="1">
        <f t="array" ref="V61">SUM(V47:V60)</f>
        <v>175700000</v>
      </c>
      <c r="W61" s="1644" cm="1">
        <f t="array" ref="W61">SUM(W47:W60)</f>
        <v>175700000</v>
      </c>
      <c r="X61" s="1664" cm="1">
        <f t="array" ref="X61">SUM(X47:X60)</f>
        <v>2008000000</v>
      </c>
      <c r="Y61" s="578"/>
    </row>
    <row r="62" ht="24.9" customHeight="1">
      <c r="A62" s="12"/>
      <c r="B62" s="1645"/>
      <c r="C62" s="1646"/>
      <c r="D62" t="s" s="1647">
        <v>1467</v>
      </c>
      <c r="E62" s="1648" cm="1">
        <f t="array" ref="E62">E45+E61</f>
        <v>461500000</v>
      </c>
      <c r="F62" s="1648" cm="1">
        <f t="array" ref="F62">F45+F61</f>
        <v>139500000</v>
      </c>
      <c r="G62" s="1648" cm="1">
        <f t="array" ref="G62">G45+G61</f>
        <v>12000000</v>
      </c>
      <c r="H62" s="1648" cm="1">
        <f t="array" ref="H62">H45+H61</f>
        <v>75600000</v>
      </c>
      <c r="I62" s="1648" cm="1">
        <f t="array" ref="I62">I45+I61</f>
        <v>6600000</v>
      </c>
      <c r="J62" s="1648" cm="1">
        <f t="array" ref="J62">J45+J61</f>
        <v>695200000</v>
      </c>
      <c r="K62" s="1648"/>
      <c r="L62" s="1648" cm="1">
        <f t="array" ref="L62">L45+L61</f>
        <v>646300000</v>
      </c>
      <c r="M62" s="1648" cm="1">
        <f t="array" ref="M62">M45+M61</f>
        <v>646300000</v>
      </c>
      <c r="N62" s="1648" cm="1">
        <f t="array" ref="N62">N45+N61</f>
        <v>646300000</v>
      </c>
      <c r="O62" s="1648" cm="1">
        <f t="array" ref="O62">O45+O61</f>
        <v>646300000</v>
      </c>
      <c r="P62" s="1648" cm="1">
        <f t="array" ref="P62">P45+P61</f>
        <v>676550000</v>
      </c>
      <c r="Q62" s="1648" cm="1">
        <f t="array" ref="Q62">Q45+Q61</f>
        <v>689200000</v>
      </c>
      <c r="R62" s="1648" cm="1">
        <f t="array" ref="R62">R45+R61</f>
        <v>689200000</v>
      </c>
      <c r="S62" s="1648" cm="1">
        <f t="array" ref="S62">S45+S61</f>
        <v>695200000</v>
      </c>
      <c r="T62" s="1648" cm="1">
        <f t="array" ref="T62">T45+T61</f>
        <v>695200000</v>
      </c>
      <c r="U62" s="1648" cm="1">
        <f t="array" ref="U62">U45+U61</f>
        <v>695200000</v>
      </c>
      <c r="V62" s="1648" cm="1">
        <f t="array" ref="V62">V45+V61</f>
        <v>695200000</v>
      </c>
      <c r="W62" s="1648" cm="1">
        <f t="array" ref="W62">W45+W61</f>
        <v>695200000</v>
      </c>
      <c r="X62" s="1665" cm="1">
        <f t="array" ref="X62">X45+X61</f>
        <v>8116150000</v>
      </c>
      <c r="Y62" s="1666"/>
    </row>
    <row r="63" ht="13.5" customHeight="1">
      <c r="A63" s="32"/>
      <c r="B63" s="1650"/>
      <c r="C63" s="1650"/>
      <c r="D63" s="1650"/>
      <c r="E63" s="1651"/>
      <c r="F63" s="1651"/>
      <c r="G63" s="1651"/>
      <c r="H63" s="1651"/>
      <c r="I63" s="1651"/>
      <c r="J63" s="1651"/>
      <c r="K63" s="1651"/>
      <c r="L63" s="1651"/>
      <c r="M63" s="1650"/>
      <c r="N63" s="1650"/>
      <c r="O63" s="1650"/>
      <c r="P63" s="1650"/>
      <c r="Q63" s="1650"/>
      <c r="R63" s="1650"/>
      <c r="S63" s="1650"/>
      <c r="T63" s="1650"/>
      <c r="U63" s="1650"/>
      <c r="V63" s="1650"/>
      <c r="W63" s="1650"/>
      <c r="X63" s="1650"/>
      <c r="Y63" s="18"/>
    </row>
    <row r="64" ht="15" customHeight="1">
      <c r="A64" s="32"/>
      <c r="B64" s="1652"/>
      <c r="C64" s="1652"/>
      <c r="D64" s="1652"/>
      <c r="E64" s="1653"/>
      <c r="F64" s="1653"/>
      <c r="G64" s="1653"/>
      <c r="H64" s="1653"/>
      <c r="I64" s="1653"/>
      <c r="J64" s="1653"/>
      <c r="K64" s="1653"/>
      <c r="L64" s="1653"/>
      <c r="M64" s="1652"/>
      <c r="N64" s="1652"/>
      <c r="O64" s="1652"/>
      <c r="P64" s="1652"/>
      <c r="Q64" s="1652"/>
      <c r="R64" s="1652"/>
      <c r="S64" s="1652"/>
      <c r="T64" s="1652"/>
      <c r="U64" s="1652"/>
      <c r="V64" s="1652"/>
      <c r="W64" s="1652"/>
      <c r="X64" s="1652"/>
      <c r="Y64" s="18"/>
    </row>
    <row r="65" ht="15" customHeight="1">
      <c r="A65" s="32"/>
      <c r="B65" s="1652"/>
      <c r="C65" s="1652"/>
      <c r="D65" s="1652"/>
      <c r="E65" s="1653"/>
      <c r="F65" s="1653"/>
      <c r="G65" s="1653"/>
      <c r="H65" s="1653"/>
      <c r="I65" s="1653"/>
      <c r="J65" s="1653"/>
      <c r="K65" s="1653"/>
      <c r="L65" s="1653"/>
      <c r="M65" s="1652"/>
      <c r="N65" s="1652"/>
      <c r="O65" s="1652"/>
      <c r="P65" s="1652"/>
      <c r="Q65" s="1652"/>
      <c r="R65" s="1652"/>
      <c r="S65" s="1652"/>
      <c r="T65" s="1652"/>
      <c r="U65" s="1652"/>
      <c r="V65" s="1652"/>
      <c r="W65" s="1652"/>
      <c r="X65" s="1652"/>
      <c r="Y65" s="18"/>
    </row>
    <row r="66" ht="15" customHeight="1">
      <c r="A66" s="32"/>
      <c r="B66" s="1652"/>
      <c r="C66" s="1652"/>
      <c r="D66" s="1652"/>
      <c r="E66" s="1653"/>
      <c r="F66" s="1653"/>
      <c r="G66" s="1653"/>
      <c r="H66" s="1653"/>
      <c r="I66" s="1653"/>
      <c r="J66" s="1653"/>
      <c r="K66" s="1653"/>
      <c r="L66" s="1653"/>
      <c r="M66" s="1652"/>
      <c r="N66" s="1652"/>
      <c r="O66" s="1652"/>
      <c r="P66" s="1652"/>
      <c r="Q66" s="1652"/>
      <c r="R66" s="1652"/>
      <c r="S66" s="1652"/>
      <c r="T66" s="1652"/>
      <c r="U66" s="1652"/>
      <c r="V66" s="1652"/>
      <c r="W66" s="1652"/>
      <c r="X66" s="1652"/>
      <c r="Y66" s="18"/>
    </row>
    <row r="67" ht="9" customHeight="1" hidden="1">
      <c r="A67" s="32"/>
      <c r="B67" s="1654"/>
      <c r="C67" s="1655"/>
      <c r="D67" s="1655"/>
      <c r="E67" s="1655"/>
      <c r="F67" s="1655"/>
      <c r="G67" s="1655"/>
      <c r="H67" s="1655"/>
      <c r="I67" s="1655"/>
      <c r="J67" s="1655"/>
      <c r="K67" s="1655"/>
      <c r="L67" s="1656"/>
      <c r="M67" s="1655"/>
      <c r="N67" s="1655"/>
      <c r="O67" s="1655"/>
      <c r="P67" s="1655"/>
      <c r="Q67" s="1655"/>
      <c r="R67" s="1655"/>
      <c r="S67" s="1655"/>
      <c r="T67" s="1655"/>
      <c r="U67" s="1655"/>
      <c r="V67" s="1655"/>
      <c r="W67" s="1655"/>
      <c r="X67" s="1657"/>
      <c r="Y67" s="18"/>
    </row>
    <row r="68" ht="9" customHeight="1" hidden="1">
      <c r="A68" s="32"/>
      <c r="B68" s="1654"/>
      <c r="C68" s="1655"/>
      <c r="D68" s="1655"/>
      <c r="E68" s="1655"/>
      <c r="F68" s="1655"/>
      <c r="G68" s="1655"/>
      <c r="H68" s="1655"/>
      <c r="I68" s="1655"/>
      <c r="J68" s="1655"/>
      <c r="K68" s="1655"/>
      <c r="L68" s="1656"/>
      <c r="M68" s="1655"/>
      <c r="N68" s="1655"/>
      <c r="O68" s="1655"/>
      <c r="P68" s="1655"/>
      <c r="Q68" s="1655"/>
      <c r="R68" s="1655"/>
      <c r="S68" s="1655"/>
      <c r="T68" s="1655"/>
      <c r="U68" s="1655"/>
      <c r="V68" s="1655"/>
      <c r="W68" s="1655"/>
      <c r="X68" s="1657"/>
      <c r="Y68" s="18"/>
    </row>
    <row r="69" ht="13.55" customHeight="1">
      <c r="A69" s="192"/>
      <c r="B69" s="1658"/>
      <c r="C69" s="1659"/>
      <c r="D69" s="1659"/>
      <c r="E69" s="1659"/>
      <c r="F69" s="1659"/>
      <c r="G69" s="1659"/>
      <c r="H69" s="1659"/>
      <c r="I69" s="1659"/>
      <c r="J69" s="1659"/>
      <c r="K69" s="1659"/>
      <c r="L69" s="1659"/>
      <c r="M69" s="1659"/>
      <c r="N69" s="1659"/>
      <c r="O69" s="1659"/>
      <c r="P69" s="1659"/>
      <c r="Q69" s="1659"/>
      <c r="R69" s="1659"/>
      <c r="S69" s="1659"/>
      <c r="T69" s="1659"/>
      <c r="U69" s="1659"/>
      <c r="V69" s="1659"/>
      <c r="W69" s="1659"/>
      <c r="X69" s="1660"/>
      <c r="Y69" s="195"/>
    </row>
  </sheetData>
  <mergeCells count="1">
    <mergeCell ref="E2:J2"/>
  </mergeCells>
  <pageMargins left="0.25" right="0.25" top="0.25" bottom="0.25" header="0.3" footer="0.3"/>
  <pageSetup firstPageNumber="1" fitToHeight="1" fitToWidth="1" scale="100" useFirstPageNumber="0" orientation="landscape" pageOrder="downThenOver"/>
  <headerFooter>
    <oddFooter>&amp;C&amp;"Helvetica Neue,Regular"&amp;12&amp;K000000&amp;P</oddFooter>
  </headerFooter>
  <drawing r:id="rId1"/>
  <legacyDrawing r:id="rId2"/>
</worksheet>
</file>

<file path=xl/worksheets/sheet27.xml><?xml version="1.0" encoding="utf-8"?>
<worksheet xmlns:r="http://schemas.openxmlformats.org/officeDocument/2006/relationships" xmlns="http://schemas.openxmlformats.org/spreadsheetml/2006/main">
  <dimension ref="A1:F342"/>
  <sheetViews>
    <sheetView workbookViewId="0" showGridLines="0" defaultGridColor="1"/>
  </sheetViews>
  <sheetFormatPr defaultColWidth="8.83333" defaultRowHeight="14.5" customHeight="1" outlineLevelRow="0" outlineLevelCol="0"/>
  <cols>
    <col min="1" max="1" width="8.85156" style="1667" customWidth="1"/>
    <col min="2" max="2" width="65.1719" style="1667" customWidth="1"/>
    <col min="3" max="3" width="21.1719" style="1667" customWidth="1"/>
    <col min="4" max="5" width="8.85156" style="1667" customWidth="1"/>
    <col min="6" max="6" width="16.8516" style="1667" customWidth="1"/>
    <col min="7" max="16384" width="8.85156" style="1667" customWidth="1"/>
  </cols>
  <sheetData>
    <row r="1" ht="15" customHeight="1">
      <c r="A1" s="7"/>
      <c r="B1" s="8"/>
      <c r="C1" s="8"/>
      <c r="D1" s="8"/>
      <c r="E1" s="8"/>
      <c r="F1" s="246"/>
    </row>
    <row r="2" ht="30.5" customHeight="1">
      <c r="A2" s="12"/>
      <c r="B2" t="s" s="1668">
        <v>1506</v>
      </c>
      <c r="C2" t="s" s="1669">
        <v>1507</v>
      </c>
      <c r="D2" t="s" s="1670">
        <v>161</v>
      </c>
      <c r="E2" s="1671"/>
      <c r="F2" t="s" s="1672">
        <v>1508</v>
      </c>
    </row>
    <row r="3" ht="9.65" customHeight="1">
      <c r="A3" s="12"/>
      <c r="B3" s="1673"/>
      <c r="C3" s="1674"/>
      <c r="D3" s="1675"/>
      <c r="E3" s="1674"/>
      <c r="F3" s="1676"/>
    </row>
    <row r="4" ht="15" customHeight="1">
      <c r="A4" s="12"/>
      <c r="B4" t="s" s="1677">
        <v>1292</v>
      </c>
      <c r="C4" s="1678">
        <v>71041063539.7</v>
      </c>
      <c r="D4" s="1678"/>
      <c r="E4" s="1678"/>
      <c r="F4" s="1679">
        <v>102868</v>
      </c>
    </row>
    <row r="5" ht="9.5" customHeight="1">
      <c r="A5" s="12"/>
      <c r="B5" s="1680"/>
      <c r="C5" s="1681"/>
      <c r="D5" s="1681"/>
      <c r="E5" s="1681"/>
      <c r="F5" s="1682"/>
    </row>
    <row r="6" ht="15" customHeight="1">
      <c r="A6" s="12"/>
      <c r="B6" t="s" s="1677">
        <v>1509</v>
      </c>
      <c r="C6" s="1678">
        <v>34904738603.7</v>
      </c>
      <c r="D6" s="1678"/>
      <c r="E6" s="1678"/>
      <c r="F6" s="1679">
        <v>1948</v>
      </c>
    </row>
    <row r="7" ht="16" customHeight="1">
      <c r="A7" s="12"/>
      <c r="B7" t="s" s="1683">
        <v>164</v>
      </c>
      <c r="C7" s="1681">
        <v>23140000</v>
      </c>
      <c r="D7" s="1684" cm="1">
        <f t="array" ref="D7">IF(C7/$C$6=0,"-",C7/$C$6)</f>
        <v>0.00066294723655507</v>
      </c>
      <c r="E7" s="1681"/>
      <c r="F7" s="1682">
        <v>2</v>
      </c>
    </row>
    <row r="8" ht="16" customHeight="1">
      <c r="A8" s="12"/>
      <c r="B8" t="s" s="1683">
        <v>166</v>
      </c>
      <c r="C8" s="1681">
        <v>10390000</v>
      </c>
      <c r="D8" s="1684" cm="1">
        <f t="array" ref="D8">IF(C8/$C$6=0,"-",C8/$C$6)</f>
        <v>0.000297667320129956</v>
      </c>
      <c r="E8" s="1681"/>
      <c r="F8" s="1682">
        <v>2</v>
      </c>
    </row>
    <row r="9" ht="16" customHeight="1">
      <c r="A9" s="12"/>
      <c r="B9" t="s" s="1683">
        <v>168</v>
      </c>
      <c r="C9" s="1681">
        <v>86953020</v>
      </c>
      <c r="D9" s="1684" cm="1">
        <f t="array" ref="D9">IF(C9/$C$6=0,"-",C9/$C$6)</f>
        <v>0.00249115230419696</v>
      </c>
      <c r="E9" s="1681"/>
      <c r="F9" s="1682">
        <v>5</v>
      </c>
    </row>
    <row r="10" ht="16" customHeight="1">
      <c r="A10" s="12"/>
      <c r="B10" t="s" s="1683">
        <v>167</v>
      </c>
      <c r="C10" s="1681">
        <v>25352550769.7</v>
      </c>
      <c r="D10" s="1684" cm="1">
        <f t="array" ref="D10">IF(C10/$C$6=0,"-",C10/$C$6)</f>
        <v>0.726335500103489</v>
      </c>
      <c r="E10" s="1681"/>
      <c r="F10" s="1682">
        <v>1306</v>
      </c>
    </row>
    <row r="11" ht="16" customHeight="1">
      <c r="A11" s="12"/>
      <c r="B11" t="s" s="1683">
        <v>171</v>
      </c>
      <c r="C11" s="1681">
        <v>212752400</v>
      </c>
      <c r="D11" s="1684" cm="1">
        <f t="array" ref="D11">IF(C11/$C$6=0,"-",C11/$C$6)</f>
        <v>0.0060952297169602</v>
      </c>
      <c r="E11" s="1681"/>
      <c r="F11" s="1682">
        <v>14</v>
      </c>
    </row>
    <row r="12" ht="16" customHeight="1">
      <c r="A12" s="12"/>
      <c r="B12" t="s" s="1683">
        <v>173</v>
      </c>
      <c r="C12" s="1681">
        <v>5466770851</v>
      </c>
      <c r="D12" s="1684" cm="1">
        <f t="array" ref="D12">IF(C12/$C$6=0,"-",C12/$C$6)</f>
        <v>0.156619733299493</v>
      </c>
      <c r="E12" s="1681"/>
      <c r="F12" s="1682">
        <v>411</v>
      </c>
    </row>
    <row r="13" ht="16" customHeight="1">
      <c r="A13" s="12"/>
      <c r="B13" t="s" s="1683">
        <v>180</v>
      </c>
      <c r="C13" s="1681">
        <v>171473000</v>
      </c>
      <c r="D13" s="1684" cm="1">
        <f t="array" ref="D13">IF(C13/$C$6=0,"-",C13/$C$6)</f>
        <v>0.00491259945954225</v>
      </c>
      <c r="E13" s="1681"/>
      <c r="F13" s="1682">
        <v>11</v>
      </c>
    </row>
    <row r="14" ht="16" customHeight="1">
      <c r="A14" s="12"/>
      <c r="B14" t="s" s="1683">
        <v>177</v>
      </c>
      <c r="C14" s="1681">
        <v>111870140</v>
      </c>
      <c r="D14" s="1684" cm="1">
        <f t="array" ref="D14">IF(C14/$C$6=0,"-",C14/$C$6)</f>
        <v>0.0032050129717385</v>
      </c>
      <c r="E14" s="1681"/>
      <c r="F14" s="1682">
        <v>5</v>
      </c>
    </row>
    <row r="15" ht="16" customHeight="1">
      <c r="A15" s="12"/>
      <c r="B15" t="s" s="1683">
        <v>175</v>
      </c>
      <c r="C15" s="1681">
        <v>52640000</v>
      </c>
      <c r="D15" s="1684" cm="1">
        <f t="array" ref="D15">IF(C15/$C$6=0,"-",C15/$C$6)</f>
        <v>0.00150810469024455</v>
      </c>
      <c r="E15" s="1681"/>
      <c r="F15" s="1682">
        <v>3</v>
      </c>
    </row>
    <row r="16" ht="16" customHeight="1">
      <c r="A16" s="12"/>
      <c r="B16" t="s" s="1683">
        <v>176</v>
      </c>
      <c r="C16" s="1681">
        <v>158227200</v>
      </c>
      <c r="D16" s="1684" cm="1">
        <f t="array" ref="D16">IF(C16/$C$6=0,"-",C16/$C$6)</f>
        <v>0.00453311516801411</v>
      </c>
      <c r="E16" s="1681"/>
      <c r="F16" s="1682">
        <v>9</v>
      </c>
    </row>
    <row r="17" ht="16" customHeight="1">
      <c r="A17" s="12"/>
      <c r="B17" t="s" s="1683">
        <v>178</v>
      </c>
      <c r="C17" s="1681">
        <v>56570000</v>
      </c>
      <c r="D17" s="1684" cm="1">
        <f t="array" ref="D17">IF(C17/$C$6=0,"-",C17/$C$6)</f>
        <v>0.00162069685271912</v>
      </c>
      <c r="E17" s="1681"/>
      <c r="F17" s="1682">
        <v>3</v>
      </c>
    </row>
    <row r="18" ht="16" customHeight="1">
      <c r="A18" s="12"/>
      <c r="B18" t="s" s="1683">
        <v>179</v>
      </c>
      <c r="C18" s="1681">
        <v>14115000</v>
      </c>
      <c r="D18" s="1684" cm="1">
        <f t="array" ref="D18">IF(C18/$C$6=0,"-",C18/$C$6)</f>
        <v>0.000404386354536509</v>
      </c>
      <c r="E18" s="1681"/>
      <c r="F18" s="1682">
        <v>1</v>
      </c>
    </row>
    <row r="19" ht="16" customHeight="1">
      <c r="A19" s="12"/>
      <c r="B19" t="s" s="1683">
        <v>169</v>
      </c>
      <c r="C19" s="1681">
        <v>3187286223</v>
      </c>
      <c r="D19" s="1684" cm="1">
        <f t="array" ref="D19">IF(C19/$C$6=0,"-",C19/$C$6)</f>
        <v>0.0913138545223811</v>
      </c>
      <c r="E19" s="1681"/>
      <c r="F19" s="1682">
        <v>176</v>
      </c>
    </row>
    <row r="20" ht="9.5" customHeight="1">
      <c r="A20" s="12"/>
      <c r="B20" s="1680"/>
      <c r="C20" s="1681"/>
      <c r="D20" s="1681"/>
      <c r="E20" s="1681"/>
      <c r="F20" s="1682"/>
    </row>
    <row r="21" ht="15" customHeight="1">
      <c r="A21" s="12"/>
      <c r="B21" t="s" s="1683">
        <v>1510</v>
      </c>
      <c r="C21" s="1681">
        <v>18311241401</v>
      </c>
      <c r="D21" s="1685"/>
      <c r="E21" s="1681"/>
      <c r="F21" s="1682">
        <v>12911</v>
      </c>
    </row>
    <row r="22" ht="16" customHeight="1">
      <c r="A22" s="12"/>
      <c r="B22" t="s" s="1683">
        <v>1511</v>
      </c>
      <c r="C22" s="1681">
        <v>2213874500</v>
      </c>
      <c r="D22" s="1684" cm="1">
        <f t="array" ref="D22">IF(C22/$C$21=0,"-",C22/$C$21)</f>
        <v>0.120902480149658</v>
      </c>
      <c r="E22" s="1681"/>
      <c r="F22" s="1682">
        <v>1653</v>
      </c>
    </row>
    <row r="23" ht="16" customHeight="1">
      <c r="A23" s="12"/>
      <c r="B23" t="s" s="1683">
        <v>1512</v>
      </c>
      <c r="C23" s="1681">
        <v>22175400</v>
      </c>
      <c r="D23" s="1684" cm="1">
        <f t="array" ref="D23">IF(C23/$C$21=0,"-",C23/$C$21)</f>
        <v>0.0012110265773018</v>
      </c>
      <c r="E23" s="1681"/>
      <c r="F23" s="1682">
        <v>16</v>
      </c>
    </row>
    <row r="24" ht="16" customHeight="1">
      <c r="A24" s="12"/>
      <c r="B24" t="s" s="1683">
        <v>1513</v>
      </c>
      <c r="C24" s="1681">
        <v>3259687000</v>
      </c>
      <c r="D24" s="1684" cm="1">
        <f t="array" ref="D24">IF(C24/$C$21=0,"-",C24/$C$21)</f>
        <v>0.178015620493212</v>
      </c>
      <c r="E24" s="1681"/>
      <c r="F24" s="1682">
        <v>2054</v>
      </c>
    </row>
    <row r="25" ht="16" customHeight="1">
      <c r="A25" s="12"/>
      <c r="B25" t="s" s="1683">
        <v>1514</v>
      </c>
      <c r="C25" s="1681">
        <v>6077500</v>
      </c>
      <c r="D25" s="1684" cm="1">
        <f t="array" ref="D25">IF(C25/$C$21=0,"-",C25/$C$21)</f>
        <v>0.000331899944242344</v>
      </c>
      <c r="E25" s="1681"/>
      <c r="F25" s="1682">
        <v>4</v>
      </c>
    </row>
    <row r="26" ht="16" customHeight="1">
      <c r="A26" s="12"/>
      <c r="B26" t="s" s="1683">
        <v>1515</v>
      </c>
      <c r="C26" s="1681">
        <v>2306379580</v>
      </c>
      <c r="D26" s="1684" cm="1">
        <f t="array" ref="D26">IF(C26/$C$21=0,"-",C26/$C$21)</f>
        <v>0.125954299301305</v>
      </c>
      <c r="E26" s="1681"/>
      <c r="F26" s="1682">
        <v>1626</v>
      </c>
    </row>
    <row r="27" ht="16" customHeight="1">
      <c r="A27" s="12"/>
      <c r="B27" t="s" s="1683">
        <v>1516</v>
      </c>
      <c r="C27" s="1681">
        <v>1889546358</v>
      </c>
      <c r="D27" s="1684" cm="1">
        <f t="array" ref="D27">IF(C27/$C$21=0,"-",C27/$C$21)</f>
        <v>0.103190511042949</v>
      </c>
      <c r="E27" s="1681"/>
      <c r="F27" s="1682">
        <v>1419</v>
      </c>
    </row>
    <row r="28" ht="16" customHeight="1">
      <c r="A28" s="12"/>
      <c r="B28" t="s" s="1683">
        <v>1517</v>
      </c>
      <c r="C28" s="1681">
        <v>7330267111</v>
      </c>
      <c r="D28" s="1684" cm="1">
        <f t="array" ref="D28">IF(C28/$C$21=0,"-",C28/$C$21)</f>
        <v>0.400315137050167</v>
      </c>
      <c r="E28" s="1681"/>
      <c r="F28" s="1682">
        <v>5216</v>
      </c>
    </row>
    <row r="29" ht="16" customHeight="1">
      <c r="A29" s="12"/>
      <c r="B29" t="s" s="1683">
        <v>1518</v>
      </c>
      <c r="C29" s="1681">
        <v>85012500</v>
      </c>
      <c r="D29" s="1684" cm="1">
        <f t="array" ref="D29">IF(C29/$C$21=0,"-",C29/$C$21)</f>
        <v>0.00464263990290453</v>
      </c>
      <c r="E29" s="1681"/>
      <c r="F29" s="1682">
        <v>60</v>
      </c>
    </row>
    <row r="30" ht="16" customHeight="1">
      <c r="A30" s="12"/>
      <c r="B30" t="s" s="1683">
        <v>1519</v>
      </c>
      <c r="C30" s="1681">
        <v>35711201</v>
      </c>
      <c r="D30" s="1684" cm="1">
        <f t="array" ref="D30">IF(C30/$C$21=0,"-",C30/$C$21)</f>
        <v>0.00195023375083951</v>
      </c>
      <c r="E30" s="1681"/>
      <c r="F30" s="1682">
        <v>25</v>
      </c>
    </row>
    <row r="31" ht="16" customHeight="1">
      <c r="A31" s="12"/>
      <c r="B31" t="s" s="1683">
        <v>1520</v>
      </c>
      <c r="C31" s="1681">
        <v>99360000</v>
      </c>
      <c r="D31" s="1684" cm="1">
        <f t="array" ref="D31">IF(C31/$C$21=0,"-",C31/$C$21)</f>
        <v>0.00542617498312123</v>
      </c>
      <c r="E31" s="1681"/>
      <c r="F31" s="1682">
        <v>72</v>
      </c>
    </row>
    <row r="32" ht="16" customHeight="1">
      <c r="A32" s="12"/>
      <c r="B32" t="s" s="1683">
        <v>1521</v>
      </c>
      <c r="C32" s="1681">
        <v>181740000</v>
      </c>
      <c r="D32" s="1684" cm="1">
        <f t="array" ref="D32">IF(C32/$C$21=0,"-",C32/$C$21)</f>
        <v>0.00992505073905448</v>
      </c>
      <c r="E32" s="1681"/>
      <c r="F32" s="1682">
        <v>138</v>
      </c>
    </row>
    <row r="33" ht="16" customHeight="1">
      <c r="A33" s="12"/>
      <c r="B33" t="s" s="1683">
        <v>1522</v>
      </c>
      <c r="C33" s="1681">
        <v>238400000</v>
      </c>
      <c r="D33" s="1684" cm="1">
        <f t="array" ref="D33">IF(C33/$C$21=0,"-",C33/$C$21)</f>
        <v>0.0130193248387289</v>
      </c>
      <c r="E33" s="1681"/>
      <c r="F33" s="1682">
        <v>177</v>
      </c>
    </row>
    <row r="34" ht="16" customHeight="1">
      <c r="A34" s="12"/>
      <c r="B34" t="s" s="1683">
        <v>1523</v>
      </c>
      <c r="C34" s="1681">
        <v>643010251</v>
      </c>
      <c r="D34" s="1684" cm="1">
        <f t="array" ref="D34">IF(C34/$C$21=0,"-",C34/$C$21)</f>
        <v>0.0351156012265168</v>
      </c>
      <c r="E34" s="1681"/>
      <c r="F34" s="1682">
        <v>451</v>
      </c>
    </row>
    <row r="35" ht="9.5" customHeight="1">
      <c r="A35" s="12"/>
      <c r="B35" s="1680"/>
      <c r="C35" s="1681"/>
      <c r="D35" s="1681"/>
      <c r="E35" s="1681"/>
      <c r="F35" s="1682"/>
    </row>
    <row r="36" ht="15" customHeight="1">
      <c r="A36" s="12"/>
      <c r="B36" t="s" s="1677">
        <v>1524</v>
      </c>
      <c r="C36" s="1678">
        <v>11454796035</v>
      </c>
      <c r="D36" s="1678"/>
      <c r="E36" s="1678"/>
      <c r="F36" s="1679">
        <v>5616</v>
      </c>
    </row>
    <row r="37" ht="16" customHeight="1">
      <c r="A37" s="12"/>
      <c r="B37" t="s" s="1683">
        <v>1525</v>
      </c>
      <c r="C37" s="1681">
        <v>2573410426</v>
      </c>
      <c r="D37" s="1684" cm="1">
        <f t="array" ref="D37">IF(C37/$C$36=0,"-",C37/$C$36)</f>
        <v>0.224657900335979</v>
      </c>
      <c r="E37" s="1681"/>
      <c r="F37" s="1682">
        <v>1154</v>
      </c>
    </row>
    <row r="38" ht="16" customHeight="1">
      <c r="A38" s="12"/>
      <c r="B38" t="s" s="1683">
        <v>1526</v>
      </c>
      <c r="C38" s="1681">
        <v>4837568907</v>
      </c>
      <c r="D38" s="1684" cm="1">
        <f t="array" ref="D38">IF(C38/$C$36=0,"-",C38/$C$36)</f>
        <v>0.422318205598673</v>
      </c>
      <c r="E38" s="1681"/>
      <c r="F38" s="1682">
        <v>2380</v>
      </c>
    </row>
    <row r="39" ht="16" customHeight="1">
      <c r="A39" s="12"/>
      <c r="B39" t="s" s="1683">
        <v>1527</v>
      </c>
      <c r="C39" s="1681">
        <v>1810135975</v>
      </c>
      <c r="D39" s="1684" cm="1">
        <f t="array" ref="D39">IF(C39/$C$36=0,"-",C39/$C$36)</f>
        <v>0.158024286898619</v>
      </c>
      <c r="E39" s="1681"/>
      <c r="F39" s="1682">
        <v>899</v>
      </c>
    </row>
    <row r="40" ht="16" customHeight="1">
      <c r="A40" s="12"/>
      <c r="B40" t="s" s="1683">
        <v>1528</v>
      </c>
      <c r="C40" s="1681">
        <v>868869424</v>
      </c>
      <c r="D40" s="1684" cm="1">
        <f t="array" ref="D40">IF(C40/$C$36=0,"-",C40/$C$36)</f>
        <v>0.0758520205287968</v>
      </c>
      <c r="E40" s="1681"/>
      <c r="F40" s="1682">
        <v>468</v>
      </c>
    </row>
    <row r="41" ht="16" customHeight="1">
      <c r="A41" s="12"/>
      <c r="B41" t="s" s="1683">
        <v>1529</v>
      </c>
      <c r="C41" s="1681">
        <v>61957997</v>
      </c>
      <c r="D41" s="1684" cm="1">
        <f t="array" ref="D41">IF(C41/$C$36=0,"-",C41/$C$36)</f>
        <v>0.00540891315835638</v>
      </c>
      <c r="E41" s="1681"/>
      <c r="F41" s="1682">
        <v>29</v>
      </c>
    </row>
    <row r="42" ht="16" customHeight="1">
      <c r="A42" s="12"/>
      <c r="B42" t="s" s="1683">
        <v>1530</v>
      </c>
      <c r="C42" s="1681">
        <v>20690106</v>
      </c>
      <c r="D42" s="1684" cm="1">
        <f t="array" ref="D42">IF(C42/$C$36=0,"-",C42/$C$36)</f>
        <v>0.00180623958181199</v>
      </c>
      <c r="E42" s="1681"/>
      <c r="F42" s="1682">
        <v>10</v>
      </c>
    </row>
    <row r="43" ht="16" customHeight="1">
      <c r="A43" s="12"/>
      <c r="B43" t="s" s="1683">
        <v>1531</v>
      </c>
      <c r="C43" s="1681">
        <v>117840000</v>
      </c>
      <c r="D43" s="1684" cm="1">
        <f t="array" ref="D43">IF(C43/$C$36=0,"-",C43/$C$36)</f>
        <v>0.0102873939998531</v>
      </c>
      <c r="E43" s="1681"/>
      <c r="F43" s="1682">
        <v>87</v>
      </c>
    </row>
    <row r="44" ht="16" customHeight="1">
      <c r="A44" s="12"/>
      <c r="B44" t="s" s="1683">
        <v>1532</v>
      </c>
      <c r="C44" s="1681">
        <v>285240000</v>
      </c>
      <c r="D44" s="1684" cm="1">
        <f t="array" ref="D44">IF(C44/$C$36=0,"-",C44/$C$36)</f>
        <v>0.0249013600179743</v>
      </c>
      <c r="E44" s="1681"/>
      <c r="F44" s="1682">
        <v>142</v>
      </c>
    </row>
    <row r="45" ht="16" customHeight="1">
      <c r="A45" s="12"/>
      <c r="B45" t="s" s="1683">
        <v>1533</v>
      </c>
      <c r="C45" s="1681">
        <v>262395000</v>
      </c>
      <c r="D45" s="1684" cm="1">
        <f t="array" ref="D45">IF(C45/$C$36=0,"-",C45/$C$36)</f>
        <v>0.0229069988848562</v>
      </c>
      <c r="E45" s="1681"/>
      <c r="F45" s="1682">
        <v>137</v>
      </c>
    </row>
    <row r="46" ht="16" customHeight="1">
      <c r="A46" s="12"/>
      <c r="B46" t="s" s="1683">
        <v>1534</v>
      </c>
      <c r="C46" s="1681">
        <v>139603200</v>
      </c>
      <c r="D46" s="1684" cm="1">
        <f t="array" ref="D46">IF(C46/$C$36=0,"-",C46/$C$36)</f>
        <v>0.0121873143418219</v>
      </c>
      <c r="E46" s="1681"/>
      <c r="F46" s="1682">
        <v>69</v>
      </c>
    </row>
    <row r="47" ht="16" customHeight="1">
      <c r="A47" s="12"/>
      <c r="B47" t="s" s="1683">
        <v>1535</v>
      </c>
      <c r="C47" s="1681">
        <v>477085000</v>
      </c>
      <c r="D47" s="1684" cm="1">
        <f t="array" ref="D47">IF(C47/$C$36=0,"-",C47/$C$36)</f>
        <v>0.0416493666532579</v>
      </c>
      <c r="E47" s="1681"/>
      <c r="F47" s="1682">
        <v>241</v>
      </c>
    </row>
    <row r="48" ht="9.5" customHeight="1">
      <c r="A48" s="12"/>
      <c r="B48" s="1680"/>
      <c r="C48" s="1681"/>
      <c r="D48" s="1681"/>
      <c r="E48" s="1681"/>
      <c r="F48" s="1682"/>
    </row>
    <row r="49" ht="15" customHeight="1">
      <c r="A49" s="12"/>
      <c r="B49" t="s" s="1677">
        <v>1536</v>
      </c>
      <c r="C49" s="1678">
        <v>4034300000</v>
      </c>
      <c r="D49" s="1678"/>
      <c r="E49" s="1678"/>
      <c r="F49" s="1679">
        <v>10265</v>
      </c>
    </row>
    <row r="50" ht="16" customHeight="1">
      <c r="A50" s="12"/>
      <c r="B50" t="s" s="1683">
        <v>1537</v>
      </c>
      <c r="C50" s="1681">
        <v>3380400000</v>
      </c>
      <c r="D50" s="1684" cm="1">
        <f t="array" ref="D50">IF(C50/$C$49=0,"-",C50/$C$49)</f>
        <v>0.8379148799048159</v>
      </c>
      <c r="E50" s="1684" cm="1">
        <f t="array" ref="E50">IF(F50/$F$49=0,"-",F50/$F$49)</f>
        <v>0.5488553336580611</v>
      </c>
      <c r="F50" s="1682">
        <v>5634</v>
      </c>
    </row>
    <row r="51" ht="16" customHeight="1">
      <c r="A51" s="12"/>
      <c r="B51" t="s" s="1683">
        <v>1538</v>
      </c>
      <c r="C51" s="1681">
        <v>44700000</v>
      </c>
      <c r="D51" s="1684" cm="1">
        <f t="array" ref="D51">IF(C51/$C$49=0,"-",C51/$C$49)</f>
        <v>0.011079989093523</v>
      </c>
      <c r="E51" s="1684" cm="1">
        <f t="array" ref="E51">IF(F51/$F$49=0,"-",F51/$F$49)</f>
        <v>0.0145153433999026</v>
      </c>
      <c r="F51" s="1682">
        <v>149</v>
      </c>
    </row>
    <row r="52" ht="16" customHeight="1">
      <c r="A52" s="12"/>
      <c r="B52" t="s" s="1683">
        <v>1539</v>
      </c>
      <c r="C52" s="1681">
        <v>0</v>
      </c>
      <c r="D52" t="str" s="1675" cm="1">
        <f t="array" ref="D52">IF(C52/$C$49=0,"-",C52/$C$49)</f>
        <v>-</v>
      </c>
      <c r="E52" s="1684" cm="1">
        <f t="array" ref="E52">IF(F52/$F$49=0,"-",F52/$F$49)</f>
        <v>0.320506575742815</v>
      </c>
      <c r="F52" s="1682">
        <v>3290</v>
      </c>
    </row>
    <row r="53" ht="16" customHeight="1">
      <c r="A53" s="12"/>
      <c r="B53" t="s" s="1683">
        <v>1540</v>
      </c>
      <c r="C53" s="1681">
        <v>101100000</v>
      </c>
      <c r="D53" s="1684" cm="1">
        <f t="array" ref="D53">IF(C53/$C$49=0,"-",C53/$C$49)</f>
        <v>0.0250601095605186</v>
      </c>
      <c r="E53" s="1684" cm="1">
        <f t="array" ref="E53">IF(F53/$F$49=0,"-",F53/$F$49)</f>
        <v>0.0328300048709206</v>
      </c>
      <c r="F53" s="1682">
        <v>337</v>
      </c>
    </row>
    <row r="54" ht="16" customHeight="1">
      <c r="A54" s="12"/>
      <c r="B54" t="s" s="1683">
        <v>1541</v>
      </c>
      <c r="C54" s="1681">
        <v>174600000</v>
      </c>
      <c r="D54" s="1684" cm="1">
        <f t="array" ref="D54">IF(C54/$C$49=0,"-",C54/$C$49)</f>
        <v>0.0432788835733585</v>
      </c>
      <c r="E54" s="1684" cm="1">
        <f t="array" ref="E54">IF(F54/$F$49=0,"-",F54/$F$49)</f>
        <v>0.0279590842669264</v>
      </c>
      <c r="F54" s="1682">
        <v>287</v>
      </c>
    </row>
    <row r="55" ht="16" customHeight="1">
      <c r="A55" s="12"/>
      <c r="B55" t="s" s="1683">
        <v>1542</v>
      </c>
      <c r="C55" s="1681">
        <v>900000</v>
      </c>
      <c r="D55" s="1684" cm="1">
        <f t="array" ref="D55">IF(C55/$C$49=0,"-",C55/$C$49)</f>
        <v>0.000223087028728652</v>
      </c>
      <c r="E55" s="1684" cm="1">
        <f t="array" ref="E55">IF(F55/$F$49=0,"-",F55/$F$49)</f>
        <v>0.000292255236239649</v>
      </c>
      <c r="F55" s="1682">
        <v>3</v>
      </c>
    </row>
    <row r="56" ht="16" customHeight="1">
      <c r="A56" s="12"/>
      <c r="B56" t="s" s="1683">
        <v>1543</v>
      </c>
      <c r="C56" s="1681">
        <v>900000</v>
      </c>
      <c r="D56" s="1684" cm="1">
        <f t="array" ref="D56">IF(C56/$C$49=0,"-",C56/$C$49)</f>
        <v>0.000223087028728652</v>
      </c>
      <c r="E56" s="1684" cm="1">
        <f t="array" ref="E56">IF(F56/$F$49=0,"-",F56/$F$49)</f>
        <v>0.000292255236239649</v>
      </c>
      <c r="F56" s="1682">
        <v>3</v>
      </c>
    </row>
    <row r="57" ht="16" customHeight="1">
      <c r="A57" s="12"/>
      <c r="B57" t="s" s="1683">
        <v>1544</v>
      </c>
      <c r="C57" s="1681">
        <v>7000000</v>
      </c>
      <c r="D57" s="1684" cm="1">
        <f t="array" ref="D57">IF(C57/$C$49=0,"-",C57/$C$49)</f>
        <v>0.00173512133455618</v>
      </c>
      <c r="E57" s="1684" cm="1">
        <f t="array" ref="E57">IF(F57/$F$49=0,"-",F57/$F$49)</f>
        <v>0.00194836824159766</v>
      </c>
      <c r="F57" s="1682">
        <v>20</v>
      </c>
    </row>
    <row r="58" ht="16" customHeight="1">
      <c r="A58" s="12"/>
      <c r="B58" t="s" s="1683">
        <v>1545</v>
      </c>
      <c r="C58" s="1681">
        <v>7000000</v>
      </c>
      <c r="D58" s="1684" cm="1">
        <f t="array" ref="D58">IF(C58/$C$49=0,"-",C58/$C$49)</f>
        <v>0.00173512133455618</v>
      </c>
      <c r="E58" s="1684" cm="1">
        <f t="array" ref="E58">IF(F58/$F$49=0,"-",F58/$F$49)</f>
        <v>0.00194836824159766</v>
      </c>
      <c r="F58" s="1682">
        <v>20</v>
      </c>
    </row>
    <row r="59" ht="16" customHeight="1">
      <c r="A59" s="12"/>
      <c r="B59" t="s" s="1683">
        <v>1546</v>
      </c>
      <c r="C59" s="1681">
        <v>280000000</v>
      </c>
      <c r="D59" s="1684" cm="1">
        <f t="array" ref="D59">IF(C59/$C$49=0,"-",C59/$C$49)</f>
        <v>0.06940485338224719</v>
      </c>
      <c r="E59" s="1684" cm="1">
        <f t="array" ref="E59">IF(F59/$F$49=0,"-",F59/$F$49)</f>
        <v>0.0389673648319532</v>
      </c>
      <c r="F59" s="1682">
        <v>400</v>
      </c>
    </row>
    <row r="60" ht="16" customHeight="1">
      <c r="A60" s="12"/>
      <c r="B60" t="s" s="1683">
        <v>1547</v>
      </c>
      <c r="C60" s="1681">
        <v>0</v>
      </c>
      <c r="D60" t="str" s="1675" cm="1">
        <f t="array" ref="D60">IF(C60/$C$49=0,"-",C60/$C$49)</f>
        <v>-</v>
      </c>
      <c r="E60" s="1684" cm="1">
        <f t="array" ref="E60">IF(F60/$F$49=0,"-",F60/$F$49)</f>
        <v>0.00467608377983439</v>
      </c>
      <c r="F60" s="1682">
        <v>48</v>
      </c>
    </row>
    <row r="61" ht="16" customHeight="1">
      <c r="A61" s="12"/>
      <c r="B61" t="s" s="1683">
        <v>1548</v>
      </c>
      <c r="C61" s="1681">
        <v>0</v>
      </c>
      <c r="D61" t="str" s="1675" cm="1">
        <f t="array" ref="D61">IF(C61/$C$49=0,"-",C61/$C$49)</f>
        <v>-</v>
      </c>
      <c r="E61" s="1684" cm="1">
        <f t="array" ref="E61">IF(F61/$F$49=0,"-",F61/$F$49)</f>
        <v>0.000779347296639065</v>
      </c>
      <c r="F61" s="1682">
        <v>8</v>
      </c>
    </row>
    <row r="62" ht="16" customHeight="1">
      <c r="A62" s="12"/>
      <c r="B62" t="s" s="1683">
        <v>1549</v>
      </c>
      <c r="C62" s="1681">
        <v>0</v>
      </c>
      <c r="D62" t="str" s="1675" cm="1">
        <f t="array" ref="D62">IF(C62/$C$49=0,"-",C62/$C$49)</f>
        <v>-</v>
      </c>
      <c r="E62" s="1684" cm="1">
        <f t="array" ref="E62">IF(F62/$F$49=0,"-",F62/$F$49)</f>
        <v>0.000779347296639065</v>
      </c>
      <c r="F62" s="1682">
        <v>8</v>
      </c>
    </row>
    <row r="63" ht="16" customHeight="1">
      <c r="A63" s="12"/>
      <c r="B63" t="s" s="1683">
        <v>1550</v>
      </c>
      <c r="C63" s="1681">
        <v>37700000</v>
      </c>
      <c r="D63" s="1684" cm="1">
        <f t="array" ref="D63">IF(C63/$C$49=0,"-",C63/$C$49)</f>
        <v>0.00934486775896686</v>
      </c>
      <c r="E63" s="1684" cm="1">
        <f t="array" ref="E63">IF(F63/$F$49=0,"-",F63/$F$49)</f>
        <v>0.00565026790063322</v>
      </c>
      <c r="F63" s="1682">
        <v>58</v>
      </c>
    </row>
    <row r="64" ht="9.5" customHeight="1">
      <c r="A64" s="12"/>
      <c r="B64" s="1680"/>
      <c r="C64" s="1681"/>
      <c r="D64" s="1681"/>
      <c r="E64" s="1681"/>
      <c r="F64" s="1682"/>
    </row>
    <row r="65" ht="15" customHeight="1">
      <c r="A65" s="12"/>
      <c r="B65" t="s" s="1677">
        <v>1551</v>
      </c>
      <c r="C65" s="1678">
        <v>678500000</v>
      </c>
      <c r="D65" s="1678"/>
      <c r="E65" s="1678"/>
      <c r="F65" s="1679">
        <v>2162</v>
      </c>
    </row>
    <row r="66" ht="16" customHeight="1">
      <c r="A66" s="12"/>
      <c r="B66" t="s" s="1683">
        <v>1552</v>
      </c>
      <c r="C66" s="1681">
        <v>0</v>
      </c>
      <c r="D66" s="1684"/>
      <c r="E66" s="1681"/>
      <c r="F66" s="1682">
        <v>1340</v>
      </c>
    </row>
    <row r="67" ht="16" customHeight="1">
      <c r="A67" s="12"/>
      <c r="B67" t="s" s="1683">
        <v>1553</v>
      </c>
      <c r="C67" s="1681">
        <v>237800000</v>
      </c>
      <c r="D67" s="1684"/>
      <c r="E67" s="1681"/>
      <c r="F67" s="1682">
        <v>292</v>
      </c>
    </row>
    <row r="68" ht="16" customHeight="1">
      <c r="A68" s="12"/>
      <c r="B68" t="s" s="1683">
        <v>1554</v>
      </c>
      <c r="C68" s="1681">
        <v>391200000</v>
      </c>
      <c r="D68" s="1684"/>
      <c r="E68" s="1681"/>
      <c r="F68" s="1682">
        <v>475</v>
      </c>
    </row>
    <row r="69" ht="16" customHeight="1">
      <c r="A69" s="12"/>
      <c r="B69" t="s" s="1683">
        <v>1555</v>
      </c>
      <c r="C69" s="1681">
        <v>29700000</v>
      </c>
      <c r="D69" s="1684"/>
      <c r="E69" s="1681"/>
      <c r="F69" s="1682">
        <v>33</v>
      </c>
    </row>
    <row r="70" ht="16" customHeight="1">
      <c r="A70" s="12"/>
      <c r="B70" t="s" s="1683">
        <v>1556</v>
      </c>
      <c r="C70" s="1681">
        <v>19800000</v>
      </c>
      <c r="D70" s="1684"/>
      <c r="E70" s="1681"/>
      <c r="F70" s="1682">
        <v>22</v>
      </c>
    </row>
    <row r="71" ht="9.5" customHeight="1">
      <c r="A71" s="12"/>
      <c r="B71" s="1680"/>
      <c r="C71" s="1681"/>
      <c r="D71" s="1681"/>
      <c r="E71" s="1681"/>
      <c r="F71" s="1682"/>
    </row>
    <row r="72" ht="15" customHeight="1">
      <c r="A72" s="12"/>
      <c r="B72" t="s" s="1677">
        <v>1557</v>
      </c>
      <c r="C72" s="1678">
        <v>481200000</v>
      </c>
      <c r="D72" s="1678"/>
      <c r="E72" s="1678"/>
      <c r="F72" s="1679">
        <v>1015</v>
      </c>
    </row>
    <row r="73" ht="16" customHeight="1">
      <c r="A73" s="12"/>
      <c r="B73" t="s" s="1683">
        <v>1558</v>
      </c>
      <c r="C73" s="1681">
        <v>5500000</v>
      </c>
      <c r="D73" s="1684"/>
      <c r="E73" s="1681"/>
      <c r="F73" s="1682">
        <v>5</v>
      </c>
    </row>
    <row r="74" ht="16" customHeight="1">
      <c r="A74" s="12"/>
      <c r="B74" t="s" s="1683">
        <v>1559</v>
      </c>
      <c r="C74" s="1681">
        <v>1100000</v>
      </c>
      <c r="D74" s="1684"/>
      <c r="E74" s="1681"/>
      <c r="F74" s="1682">
        <v>1</v>
      </c>
    </row>
    <row r="75" ht="16" customHeight="1">
      <c r="A75" s="12"/>
      <c r="B75" t="s" s="1683">
        <v>1560</v>
      </c>
      <c r="C75" s="1681">
        <v>16500000</v>
      </c>
      <c r="D75" s="1684"/>
      <c r="E75" s="1681"/>
      <c r="F75" s="1682">
        <v>15</v>
      </c>
    </row>
    <row r="76" ht="16" customHeight="1">
      <c r="A76" s="12"/>
      <c r="B76" t="s" s="1683">
        <v>1561</v>
      </c>
      <c r="C76" s="1681">
        <v>0</v>
      </c>
      <c r="D76" s="1684"/>
      <c r="E76" s="1681"/>
      <c r="F76" s="1682">
        <v>1</v>
      </c>
    </row>
    <row r="77" ht="16" customHeight="1">
      <c r="A77" s="12"/>
      <c r="B77" t="s" s="1683">
        <v>1562</v>
      </c>
      <c r="C77" s="1681">
        <v>9750000</v>
      </c>
      <c r="D77" s="1684"/>
      <c r="E77" s="1681"/>
      <c r="F77" s="1682">
        <v>13</v>
      </c>
    </row>
    <row r="78" ht="16" customHeight="1">
      <c r="A78" s="12"/>
      <c r="B78" t="s" s="1683">
        <v>1563</v>
      </c>
      <c r="C78" s="1681">
        <v>27200000</v>
      </c>
      <c r="D78" s="1684"/>
      <c r="E78" s="1681"/>
      <c r="F78" s="1682">
        <v>34</v>
      </c>
    </row>
    <row r="79" ht="16" customHeight="1">
      <c r="A79" s="12"/>
      <c r="B79" t="s" s="1683">
        <v>1564</v>
      </c>
      <c r="C79" s="1681">
        <v>800000</v>
      </c>
      <c r="D79" s="1684"/>
      <c r="E79" s="1681"/>
      <c r="F79" s="1682">
        <v>1</v>
      </c>
    </row>
    <row r="80" ht="16" customHeight="1">
      <c r="A80" s="12"/>
      <c r="B80" t="s" s="1683">
        <v>1565</v>
      </c>
      <c r="C80" s="1681">
        <v>75350000</v>
      </c>
      <c r="D80" s="1681"/>
      <c r="E80" s="1681"/>
      <c r="F80" s="1682">
        <v>137</v>
      </c>
    </row>
    <row r="81" ht="16" customHeight="1">
      <c r="A81" s="12"/>
      <c r="B81" t="s" s="1683">
        <v>1566</v>
      </c>
      <c r="C81" s="1681">
        <v>9500000</v>
      </c>
      <c r="D81" s="1684"/>
      <c r="E81" s="1681"/>
      <c r="F81" s="1682">
        <v>8</v>
      </c>
    </row>
    <row r="82" ht="16" customHeight="1">
      <c r="A82" s="12"/>
      <c r="B82" t="s" s="1683">
        <v>1567</v>
      </c>
      <c r="C82" s="1681">
        <v>2100000</v>
      </c>
      <c r="D82" s="1684"/>
      <c r="E82" s="1681"/>
      <c r="F82" s="1682">
        <v>3</v>
      </c>
    </row>
    <row r="83" ht="16" customHeight="1">
      <c r="A83" s="12"/>
      <c r="B83" t="s" s="1683">
        <v>1568</v>
      </c>
      <c r="C83" s="1681">
        <v>3500000</v>
      </c>
      <c r="D83" s="1684"/>
      <c r="E83" s="1681"/>
      <c r="F83" s="1682">
        <v>7</v>
      </c>
    </row>
    <row r="84" ht="16" customHeight="1">
      <c r="A84" s="12"/>
      <c r="B84" t="s" s="1683">
        <v>1569</v>
      </c>
      <c r="C84" s="1681">
        <v>2800000</v>
      </c>
      <c r="D84" s="1684"/>
      <c r="E84" s="1681"/>
      <c r="F84" s="1682">
        <v>7</v>
      </c>
    </row>
    <row r="85" ht="16" customHeight="1">
      <c r="A85" s="12"/>
      <c r="B85" t="s" s="1683">
        <v>1570</v>
      </c>
      <c r="C85" s="1681">
        <v>21200000</v>
      </c>
      <c r="D85" s="1684"/>
      <c r="E85" s="1681"/>
      <c r="F85" s="1682">
        <v>53</v>
      </c>
    </row>
    <row r="86" ht="16" customHeight="1">
      <c r="A86" s="12"/>
      <c r="B86" t="s" s="1683">
        <v>1571</v>
      </c>
      <c r="C86" s="1681">
        <v>56800000</v>
      </c>
      <c r="D86" s="1684"/>
      <c r="E86" s="1681"/>
      <c r="F86" s="1682">
        <v>142</v>
      </c>
    </row>
    <row r="87" ht="16" customHeight="1">
      <c r="A87" s="12"/>
      <c r="B87" t="s" s="1683">
        <v>1572</v>
      </c>
      <c r="C87" s="1681">
        <v>7900000</v>
      </c>
      <c r="D87" s="1684"/>
      <c r="E87" s="1681"/>
      <c r="F87" s="1682">
        <v>10</v>
      </c>
    </row>
    <row r="88" ht="16" customHeight="1">
      <c r="A88" s="12"/>
      <c r="B88" t="s" s="1683">
        <v>1573</v>
      </c>
      <c r="C88" s="1681">
        <v>13000000</v>
      </c>
      <c r="D88" s="1681"/>
      <c r="E88" s="1681"/>
      <c r="F88" s="1682">
        <v>26</v>
      </c>
    </row>
    <row r="89" ht="16" customHeight="1">
      <c r="A89" s="12"/>
      <c r="B89" t="s" s="1683">
        <v>1574</v>
      </c>
      <c r="C89" s="1681">
        <v>37050000</v>
      </c>
      <c r="D89" s="1684"/>
      <c r="E89" s="1681"/>
      <c r="F89" s="1682">
        <v>195</v>
      </c>
    </row>
    <row r="90" ht="16" customHeight="1">
      <c r="A90" s="12"/>
      <c r="B90" t="s" s="1683">
        <v>1575</v>
      </c>
      <c r="C90" s="1681">
        <v>31050000</v>
      </c>
      <c r="D90" s="1684"/>
      <c r="E90" s="1681"/>
      <c r="F90" s="1682">
        <v>45</v>
      </c>
    </row>
    <row r="91" ht="16" customHeight="1">
      <c r="A91" s="12"/>
      <c r="B91" t="s" s="1683">
        <v>1576</v>
      </c>
      <c r="C91" s="1681">
        <v>53460000</v>
      </c>
      <c r="D91" s="1684"/>
      <c r="E91" s="1681"/>
      <c r="F91" s="1682">
        <v>54</v>
      </c>
    </row>
    <row r="92" ht="16" customHeight="1">
      <c r="A92" s="12"/>
      <c r="B92" t="s" s="1683">
        <v>1577</v>
      </c>
      <c r="C92" s="1681">
        <v>7900000</v>
      </c>
      <c r="D92" s="1684"/>
      <c r="E92" s="1681"/>
      <c r="F92" s="1682">
        <v>10</v>
      </c>
    </row>
    <row r="93" ht="16" customHeight="1">
      <c r="A93" s="12"/>
      <c r="B93" t="s" s="1683">
        <v>1578</v>
      </c>
      <c r="C93" s="1681">
        <v>21450000</v>
      </c>
      <c r="D93" s="1684"/>
      <c r="E93" s="1681"/>
      <c r="F93" s="1682">
        <v>55</v>
      </c>
    </row>
    <row r="94" ht="16" customHeight="1">
      <c r="A94" s="12"/>
      <c r="B94" t="s" s="1683">
        <v>1579</v>
      </c>
      <c r="C94" s="1681">
        <v>16700000</v>
      </c>
      <c r="D94" s="1684"/>
      <c r="E94" s="1681"/>
      <c r="F94" s="1682">
        <v>11</v>
      </c>
    </row>
    <row r="95" ht="16" customHeight="1">
      <c r="A95" s="12"/>
      <c r="B95" t="s" s="1683">
        <v>1580</v>
      </c>
      <c r="C95" s="1681">
        <v>1200000</v>
      </c>
      <c r="D95" s="1684"/>
      <c r="E95" s="1681"/>
      <c r="F95" s="1682">
        <v>1</v>
      </c>
    </row>
    <row r="96" ht="16" customHeight="1">
      <c r="A96" s="12"/>
      <c r="B96" t="s" s="1683">
        <v>1581</v>
      </c>
      <c r="C96" s="1681">
        <v>990000</v>
      </c>
      <c r="D96" s="1681"/>
      <c r="E96" s="1681"/>
      <c r="F96" s="1682">
        <v>9</v>
      </c>
    </row>
    <row r="97" ht="16" customHeight="1">
      <c r="A97" s="12"/>
      <c r="B97" t="s" s="1683">
        <v>1582</v>
      </c>
      <c r="C97" s="1681">
        <v>110000</v>
      </c>
      <c r="D97" s="1684"/>
      <c r="E97" s="1681"/>
      <c r="F97" s="1682">
        <v>1</v>
      </c>
    </row>
    <row r="98" ht="16" customHeight="1">
      <c r="A98" s="12"/>
      <c r="B98" t="s" s="1683">
        <v>1583</v>
      </c>
      <c r="C98" s="1681">
        <v>260000</v>
      </c>
      <c r="D98" s="1684"/>
      <c r="E98" s="1681"/>
      <c r="F98" s="1682">
        <v>2</v>
      </c>
    </row>
    <row r="99" ht="16" customHeight="1">
      <c r="A99" s="12"/>
      <c r="B99" t="s" s="1683">
        <v>1584</v>
      </c>
      <c r="C99" s="1681">
        <v>390000</v>
      </c>
      <c r="D99" s="1684"/>
      <c r="E99" s="1681"/>
      <c r="F99" s="1682">
        <v>3</v>
      </c>
    </row>
    <row r="100" ht="16" customHeight="1">
      <c r="A100" s="12"/>
      <c r="B100" t="s" s="1683">
        <v>1585</v>
      </c>
      <c r="C100" s="1681">
        <v>22000000</v>
      </c>
      <c r="D100" s="1684"/>
      <c r="E100" s="1681"/>
      <c r="F100" s="1682">
        <v>100</v>
      </c>
    </row>
    <row r="101" ht="16" customHeight="1">
      <c r="A101" s="12"/>
      <c r="B101" t="s" s="1683">
        <v>1586</v>
      </c>
      <c r="C101" s="1681">
        <v>2640000</v>
      </c>
      <c r="D101" s="1684"/>
      <c r="E101" s="1681"/>
      <c r="F101" s="1682">
        <v>12</v>
      </c>
    </row>
    <row r="102" ht="16" customHeight="1">
      <c r="A102" s="12"/>
      <c r="B102" t="s" s="1683">
        <v>1587</v>
      </c>
      <c r="C102" s="1681">
        <v>4500000</v>
      </c>
      <c r="D102" s="1684"/>
      <c r="E102" s="1681"/>
      <c r="F102" s="1682">
        <v>15</v>
      </c>
    </row>
    <row r="103" ht="16" customHeight="1">
      <c r="A103" s="12"/>
      <c r="B103" t="s" s="1683">
        <v>1588</v>
      </c>
      <c r="C103" s="1681">
        <v>6600000</v>
      </c>
      <c r="D103" s="1684"/>
      <c r="E103" s="1681"/>
      <c r="F103" s="1682">
        <v>22</v>
      </c>
    </row>
    <row r="104" ht="16" customHeight="1">
      <c r="A104" s="12"/>
      <c r="B104" t="s" s="1683">
        <v>1589</v>
      </c>
      <c r="C104" s="1681">
        <v>2400000</v>
      </c>
      <c r="D104" s="1681"/>
      <c r="E104" s="1681"/>
      <c r="F104" s="1682">
        <v>4</v>
      </c>
    </row>
    <row r="105" ht="16" customHeight="1">
      <c r="A105" s="12"/>
      <c r="B105" t="s" s="1683">
        <v>1590</v>
      </c>
      <c r="C105" s="1681">
        <v>1600000</v>
      </c>
      <c r="D105" s="1684"/>
      <c r="E105" s="1681"/>
      <c r="F105" s="1682">
        <v>2</v>
      </c>
    </row>
    <row r="106" ht="16" customHeight="1">
      <c r="A106" s="12"/>
      <c r="B106" t="s" s="1683">
        <v>1591</v>
      </c>
      <c r="C106" s="1681">
        <v>1500000</v>
      </c>
      <c r="D106" s="1684"/>
      <c r="E106" s="1681"/>
      <c r="F106" s="1682">
        <v>1</v>
      </c>
    </row>
    <row r="107" ht="16" customHeight="1">
      <c r="A107" s="12"/>
      <c r="B107" t="s" s="1683">
        <v>1592</v>
      </c>
      <c r="C107" s="1681">
        <v>1300000</v>
      </c>
      <c r="D107" s="1684"/>
      <c r="E107" s="1681"/>
      <c r="F107" s="1682">
        <v>1</v>
      </c>
    </row>
    <row r="108" ht="16" customHeight="1">
      <c r="A108" s="12"/>
      <c r="B108" t="s" s="1683">
        <v>1593</v>
      </c>
      <c r="C108" s="1681">
        <v>12100000</v>
      </c>
      <c r="D108" s="1684"/>
      <c r="E108" s="1681"/>
      <c r="F108" s="1682">
        <v>7</v>
      </c>
    </row>
    <row r="109" ht="16" customHeight="1">
      <c r="A109" s="12"/>
      <c r="B109" t="s" s="1683">
        <v>1594</v>
      </c>
      <c r="C109" s="1681">
        <v>3000000</v>
      </c>
      <c r="D109" s="1684"/>
      <c r="E109" s="1681"/>
      <c r="F109" s="1682">
        <v>2</v>
      </c>
    </row>
    <row r="110" ht="9.5" customHeight="1">
      <c r="A110" s="12"/>
      <c r="B110" s="1680"/>
      <c r="C110" s="1681"/>
      <c r="D110" s="1681"/>
      <c r="E110" s="1681"/>
      <c r="F110" s="1682"/>
    </row>
    <row r="111" ht="15" customHeight="1">
      <c r="A111" s="12"/>
      <c r="B111" t="s" s="1677">
        <v>1595</v>
      </c>
      <c r="C111" s="1678">
        <v>418300000</v>
      </c>
      <c r="D111" s="1678"/>
      <c r="E111" s="1678"/>
      <c r="F111" s="1679">
        <v>1332</v>
      </c>
    </row>
    <row r="112" ht="16" customHeight="1">
      <c r="A112" s="12"/>
      <c r="B112" t="s" s="1683">
        <v>1596</v>
      </c>
      <c r="C112" s="1681">
        <v>5000000</v>
      </c>
      <c r="D112" s="1684"/>
      <c r="E112" s="1681"/>
      <c r="F112" s="1682">
        <v>10</v>
      </c>
    </row>
    <row r="113" ht="16" customHeight="1">
      <c r="A113" s="12"/>
      <c r="B113" t="s" s="1683">
        <v>1597</v>
      </c>
      <c r="C113" s="1681">
        <v>0</v>
      </c>
      <c r="D113" s="1684"/>
      <c r="E113" s="1681"/>
      <c r="F113" s="1682">
        <v>7</v>
      </c>
    </row>
    <row r="114" ht="16" customHeight="1">
      <c r="A114" s="12"/>
      <c r="B114" t="s" s="1683">
        <v>1598</v>
      </c>
      <c r="C114" s="1681">
        <v>0</v>
      </c>
      <c r="D114" s="1684"/>
      <c r="E114" s="1681"/>
      <c r="F114" s="1682">
        <v>11</v>
      </c>
    </row>
    <row r="115" ht="16" customHeight="1">
      <c r="A115" s="12"/>
      <c r="B115" t="s" s="1683">
        <v>1599</v>
      </c>
      <c r="C115" s="1681">
        <v>0</v>
      </c>
      <c r="D115" s="1684"/>
      <c r="E115" s="1681"/>
      <c r="F115" s="1682">
        <v>367</v>
      </c>
    </row>
    <row r="116" ht="16" customHeight="1">
      <c r="A116" s="12"/>
      <c r="B116" t="s" s="1683">
        <v>1600</v>
      </c>
      <c r="C116" s="1681">
        <v>0</v>
      </c>
      <c r="D116" s="1684"/>
      <c r="E116" s="1681"/>
      <c r="F116" s="1682">
        <v>160</v>
      </c>
    </row>
    <row r="117" ht="16" customHeight="1">
      <c r="A117" s="12"/>
      <c r="B117" t="s" s="1683">
        <v>1601</v>
      </c>
      <c r="C117" s="1681">
        <v>0</v>
      </c>
      <c r="D117" s="1684"/>
      <c r="E117" s="1681"/>
      <c r="F117" s="1682">
        <v>270</v>
      </c>
    </row>
    <row r="118" ht="16" customHeight="1">
      <c r="A118" s="12"/>
      <c r="B118" t="s" s="1683">
        <v>1602</v>
      </c>
      <c r="C118" s="1681">
        <v>10500000</v>
      </c>
      <c r="D118" s="1684"/>
      <c r="E118" s="1681"/>
      <c r="F118" s="1682">
        <v>7</v>
      </c>
    </row>
    <row r="119" ht="16" customHeight="1">
      <c r="A119" s="12"/>
      <c r="B119" t="s" s="1683">
        <v>1603</v>
      </c>
      <c r="C119" s="1681">
        <v>80000000</v>
      </c>
      <c r="D119" s="1681"/>
      <c r="E119" s="1681"/>
      <c r="F119" s="1682">
        <v>20</v>
      </c>
    </row>
    <row r="120" ht="16" customHeight="1">
      <c r="A120" s="12"/>
      <c r="B120" t="s" s="1683">
        <v>1604</v>
      </c>
      <c r="C120" s="1681">
        <v>63800000</v>
      </c>
      <c r="D120" s="1684"/>
      <c r="E120" s="1681"/>
      <c r="F120" s="1682">
        <v>29</v>
      </c>
    </row>
    <row r="121" ht="16" customHeight="1">
      <c r="A121" s="12"/>
      <c r="B121" t="s" s="1683">
        <v>1605</v>
      </c>
      <c r="C121" s="1681">
        <v>50000000</v>
      </c>
      <c r="D121" s="1684"/>
      <c r="E121" s="1681"/>
      <c r="F121" s="1682">
        <v>20</v>
      </c>
    </row>
    <row r="122" ht="16" customHeight="1">
      <c r="A122" s="12"/>
      <c r="B122" t="s" s="1683">
        <v>1606</v>
      </c>
      <c r="C122" s="1681">
        <v>9600000</v>
      </c>
      <c r="D122" s="1684"/>
      <c r="E122" s="1681"/>
      <c r="F122" s="1682">
        <v>32</v>
      </c>
    </row>
    <row r="123" ht="16" customHeight="1">
      <c r="A123" s="12"/>
      <c r="B123" t="s" s="1683">
        <v>1607</v>
      </c>
      <c r="C123" s="1681">
        <v>0</v>
      </c>
      <c r="D123" s="1684"/>
      <c r="E123" s="1681"/>
      <c r="F123" s="1682">
        <v>25</v>
      </c>
    </row>
    <row r="124" ht="16" customHeight="1">
      <c r="A124" s="12"/>
      <c r="B124" t="s" s="1683">
        <v>1608</v>
      </c>
      <c r="C124" s="1681">
        <v>0</v>
      </c>
      <c r="D124" s="1684"/>
      <c r="E124" s="1681"/>
      <c r="F124" s="1682">
        <v>26</v>
      </c>
    </row>
    <row r="125" ht="16" customHeight="1">
      <c r="A125" s="12"/>
      <c r="B125" t="s" s="1683">
        <v>1609</v>
      </c>
      <c r="C125" s="1681">
        <v>94900000</v>
      </c>
      <c r="D125" s="1684"/>
      <c r="E125" s="1681"/>
      <c r="F125" s="1682">
        <v>73</v>
      </c>
    </row>
    <row r="126" ht="16" customHeight="1">
      <c r="A126" s="12"/>
      <c r="B126" t="s" s="1683">
        <v>1610</v>
      </c>
      <c r="C126" s="1681">
        <v>72900000</v>
      </c>
      <c r="D126" s="1684"/>
      <c r="E126" s="1681"/>
      <c r="F126" s="1682">
        <v>243</v>
      </c>
    </row>
    <row r="127" ht="16" customHeight="1">
      <c r="A127" s="12"/>
      <c r="B127" t="s" s="1683">
        <v>1611</v>
      </c>
      <c r="C127" s="1681">
        <v>8800000</v>
      </c>
      <c r="D127" s="1681"/>
      <c r="E127" s="1681"/>
      <c r="F127" s="1682">
        <v>8</v>
      </c>
    </row>
    <row r="128" ht="16" customHeight="1">
      <c r="A128" s="12"/>
      <c r="B128" t="s" s="1683">
        <v>1612</v>
      </c>
      <c r="C128" s="1681">
        <v>20200000</v>
      </c>
      <c r="D128" s="1684"/>
      <c r="E128" s="1681"/>
      <c r="F128" s="1682">
        <v>20</v>
      </c>
    </row>
    <row r="129" ht="16" customHeight="1">
      <c r="A129" s="12"/>
      <c r="B129" t="s" s="1683">
        <v>1613</v>
      </c>
      <c r="C129" s="1681">
        <v>2000000</v>
      </c>
      <c r="D129" s="1684"/>
      <c r="E129" s="1681"/>
      <c r="F129" s="1682">
        <v>2</v>
      </c>
    </row>
    <row r="130" ht="16" customHeight="1">
      <c r="A130" s="12"/>
      <c r="B130" t="s" s="1683">
        <v>1614</v>
      </c>
      <c r="C130" s="1681">
        <v>600000</v>
      </c>
      <c r="D130" s="1684"/>
      <c r="E130" s="1681"/>
      <c r="F130" s="1682">
        <v>2</v>
      </c>
    </row>
    <row r="131" ht="9.5" customHeight="1">
      <c r="A131" s="12"/>
      <c r="B131" s="1680"/>
      <c r="C131" s="1681"/>
      <c r="D131" s="1681"/>
      <c r="E131" s="1681"/>
      <c r="F131" s="1682"/>
    </row>
    <row r="132" ht="15" customHeight="1">
      <c r="A132" s="12"/>
      <c r="B132" t="s" s="1677">
        <v>1615</v>
      </c>
      <c r="C132" s="1678">
        <v>20630000</v>
      </c>
      <c r="D132" s="1678"/>
      <c r="E132" s="1678"/>
      <c r="F132" s="1679">
        <v>9</v>
      </c>
    </row>
    <row r="133" ht="16" customHeight="1">
      <c r="A133" s="12"/>
      <c r="B133" t="s" s="1683">
        <v>1616</v>
      </c>
      <c r="C133" s="1681">
        <v>20630000</v>
      </c>
      <c r="D133" s="1684"/>
      <c r="E133" s="1681"/>
      <c r="F133" s="1682">
        <v>9</v>
      </c>
    </row>
    <row r="134" ht="15" customHeight="1">
      <c r="A134" s="12"/>
      <c r="B134" t="s" s="1677">
        <v>1617</v>
      </c>
      <c r="C134" s="1678">
        <v>24200000</v>
      </c>
      <c r="D134" s="1678"/>
      <c r="E134" s="1678"/>
      <c r="F134" s="1679">
        <v>10</v>
      </c>
    </row>
    <row r="135" ht="16" customHeight="1">
      <c r="A135" s="12"/>
      <c r="B135" t="s" s="1683">
        <v>1618</v>
      </c>
      <c r="C135" s="1681">
        <v>24200000</v>
      </c>
      <c r="D135" s="1684"/>
      <c r="E135" s="1681"/>
      <c r="F135" s="1682">
        <v>10</v>
      </c>
    </row>
    <row r="136" ht="16" customHeight="1">
      <c r="A136" s="12"/>
      <c r="B136" t="s" s="1683">
        <v>1619</v>
      </c>
      <c r="C136" s="1681">
        <v>2840000</v>
      </c>
      <c r="D136" s="1681"/>
      <c r="E136" s="1681"/>
      <c r="F136" s="1682">
        <v>1548</v>
      </c>
    </row>
    <row r="137" ht="16" customHeight="1">
      <c r="A137" s="12"/>
      <c r="B137" t="s" s="1683">
        <v>1620</v>
      </c>
      <c r="C137" s="1681">
        <v>0</v>
      </c>
      <c r="D137" s="1684"/>
      <c r="E137" s="1681"/>
      <c r="F137" s="1682">
        <v>30179</v>
      </c>
    </row>
    <row r="138" ht="16" customHeight="1">
      <c r="A138" s="12"/>
      <c r="B138" t="s" s="1683">
        <v>1621</v>
      </c>
      <c r="C138" s="1681">
        <v>0</v>
      </c>
      <c r="D138" s="1684"/>
      <c r="E138" s="1681"/>
      <c r="F138" s="1682">
        <v>1</v>
      </c>
    </row>
    <row r="139" ht="16" customHeight="1">
      <c r="A139" s="12"/>
      <c r="B139" t="s" s="1683">
        <v>1622</v>
      </c>
      <c r="C139" s="1681">
        <v>0</v>
      </c>
      <c r="D139" s="1684"/>
      <c r="E139" s="1681"/>
      <c r="F139" s="1682">
        <v>1</v>
      </c>
    </row>
    <row r="140" ht="16" customHeight="1">
      <c r="A140" s="12"/>
      <c r="B140" t="s" s="1683">
        <v>1623</v>
      </c>
      <c r="C140" s="1681">
        <v>0</v>
      </c>
      <c r="D140" s="1684"/>
      <c r="E140" s="1681"/>
      <c r="F140" s="1682">
        <v>1</v>
      </c>
    </row>
    <row r="141" ht="16" customHeight="1">
      <c r="A141" s="12"/>
      <c r="B141" t="s" s="1683">
        <v>1624</v>
      </c>
      <c r="C141" s="1681">
        <v>400000</v>
      </c>
      <c r="D141" s="1684"/>
      <c r="E141" s="1681"/>
      <c r="F141" s="1682">
        <v>3</v>
      </c>
    </row>
    <row r="142" ht="9.5" customHeight="1">
      <c r="A142" s="12"/>
      <c r="B142" s="1680"/>
      <c r="C142" s="1681"/>
      <c r="D142" s="1681"/>
      <c r="E142" s="1681"/>
      <c r="F142" s="1682"/>
    </row>
    <row r="143" ht="15" customHeight="1">
      <c r="A143" s="12"/>
      <c r="B143" t="s" s="1677">
        <v>1625</v>
      </c>
      <c r="C143" s="1678">
        <v>6500000</v>
      </c>
      <c r="D143" s="1678"/>
      <c r="E143" s="1678"/>
      <c r="F143" s="1679">
        <v>1944</v>
      </c>
    </row>
    <row r="144" ht="16" customHeight="1">
      <c r="A144" s="12"/>
      <c r="B144" t="s" s="1683">
        <v>1626</v>
      </c>
      <c r="C144" s="1681">
        <v>6500000</v>
      </c>
      <c r="D144" s="1684"/>
      <c r="E144" s="1681"/>
      <c r="F144" s="1682">
        <v>38</v>
      </c>
    </row>
    <row r="145" ht="16" customHeight="1">
      <c r="A145" s="12"/>
      <c r="B145" t="s" s="1683">
        <v>1627</v>
      </c>
      <c r="C145" s="1681">
        <v>0</v>
      </c>
      <c r="D145" s="1684"/>
      <c r="E145" s="1681"/>
      <c r="F145" s="1682">
        <v>36</v>
      </c>
    </row>
    <row r="146" ht="16" customHeight="1">
      <c r="A146" s="12"/>
      <c r="B146" t="s" s="1683">
        <v>1628</v>
      </c>
      <c r="C146" s="1681">
        <v>0</v>
      </c>
      <c r="D146" s="1684"/>
      <c r="E146" s="1681"/>
      <c r="F146" s="1682">
        <v>178</v>
      </c>
    </row>
    <row r="147" ht="16" customHeight="1">
      <c r="A147" s="12"/>
      <c r="B147" t="s" s="1683">
        <v>1629</v>
      </c>
      <c r="C147" s="1681">
        <v>0</v>
      </c>
      <c r="D147" s="1684"/>
      <c r="E147" s="1681"/>
      <c r="F147" s="1682">
        <v>157</v>
      </c>
    </row>
    <row r="148" ht="16" customHeight="1">
      <c r="A148" s="12"/>
      <c r="B148" t="s" s="1683">
        <v>1630</v>
      </c>
      <c r="C148" s="1681">
        <v>0</v>
      </c>
      <c r="D148" s="1684"/>
      <c r="E148" s="1681"/>
      <c r="F148" s="1682">
        <v>131</v>
      </c>
    </row>
    <row r="149" ht="16" customHeight="1">
      <c r="A149" s="12"/>
      <c r="B149" t="s" s="1683">
        <v>1631</v>
      </c>
      <c r="C149" s="1681">
        <v>0</v>
      </c>
      <c r="D149" s="1684"/>
      <c r="E149" s="1681"/>
      <c r="F149" s="1682">
        <v>1</v>
      </c>
    </row>
    <row r="150" ht="16" customHeight="1">
      <c r="A150" s="12"/>
      <c r="B150" t="s" s="1683">
        <v>1632</v>
      </c>
      <c r="C150" s="1681">
        <v>0</v>
      </c>
      <c r="D150" s="1684"/>
      <c r="E150" s="1681"/>
      <c r="F150" s="1682">
        <v>1</v>
      </c>
    </row>
    <row r="151" ht="16" customHeight="1">
      <c r="A151" s="12"/>
      <c r="B151" t="s" s="1683">
        <v>1633</v>
      </c>
      <c r="C151" s="1681">
        <v>0</v>
      </c>
      <c r="D151" s="1681"/>
      <c r="E151" s="1681"/>
      <c r="F151" s="1682">
        <v>121</v>
      </c>
    </row>
    <row r="152" ht="16" customHeight="1">
      <c r="A152" s="12"/>
      <c r="B152" t="s" s="1683">
        <v>1634</v>
      </c>
      <c r="C152" s="1681">
        <v>0</v>
      </c>
      <c r="D152" s="1684"/>
      <c r="E152" s="1681"/>
      <c r="F152" s="1682">
        <v>2</v>
      </c>
    </row>
    <row r="153" ht="16" customHeight="1">
      <c r="A153" s="12"/>
      <c r="B153" t="s" s="1683">
        <v>1635</v>
      </c>
      <c r="C153" s="1681">
        <v>0</v>
      </c>
      <c r="D153" s="1684"/>
      <c r="E153" s="1681"/>
      <c r="F153" s="1682">
        <v>85</v>
      </c>
    </row>
    <row r="154" ht="16" customHeight="1">
      <c r="A154" s="12"/>
      <c r="B154" t="s" s="1683">
        <v>1636</v>
      </c>
      <c r="C154" s="1681">
        <v>0</v>
      </c>
      <c r="D154" s="1684"/>
      <c r="E154" s="1681"/>
      <c r="F154" s="1682">
        <v>9</v>
      </c>
    </row>
    <row r="155" ht="16" customHeight="1">
      <c r="A155" s="12"/>
      <c r="B155" t="s" s="1683">
        <v>1637</v>
      </c>
      <c r="C155" s="1681">
        <v>0</v>
      </c>
      <c r="D155" s="1684"/>
      <c r="E155" s="1681"/>
      <c r="F155" s="1682">
        <v>18</v>
      </c>
    </row>
    <row r="156" ht="16" customHeight="1">
      <c r="A156" s="12"/>
      <c r="B156" t="s" s="1683">
        <v>1638</v>
      </c>
      <c r="C156" s="1681">
        <v>0</v>
      </c>
      <c r="D156" s="1684"/>
      <c r="E156" s="1681"/>
      <c r="F156" s="1682">
        <v>1</v>
      </c>
    </row>
    <row r="157" ht="16" customHeight="1">
      <c r="A157" s="12"/>
      <c r="B157" t="s" s="1683">
        <v>1639</v>
      </c>
      <c r="C157" s="1681">
        <v>0</v>
      </c>
      <c r="D157" s="1684"/>
      <c r="E157" s="1681"/>
      <c r="F157" s="1682">
        <v>114</v>
      </c>
    </row>
    <row r="158" ht="16" customHeight="1">
      <c r="A158" s="12"/>
      <c r="B158" t="s" s="1683">
        <v>1640</v>
      </c>
      <c r="C158" s="1681">
        <v>0</v>
      </c>
      <c r="D158" s="1684"/>
      <c r="E158" s="1681"/>
      <c r="F158" s="1682">
        <v>11</v>
      </c>
    </row>
    <row r="159" ht="16" customHeight="1">
      <c r="A159" s="12"/>
      <c r="B159" t="s" s="1683">
        <v>1641</v>
      </c>
      <c r="C159" s="1681">
        <v>0</v>
      </c>
      <c r="D159" s="1681"/>
      <c r="E159" s="1681"/>
      <c r="F159" s="1682">
        <v>2</v>
      </c>
    </row>
    <row r="160" ht="16" customHeight="1">
      <c r="A160" s="12"/>
      <c r="B160" t="s" s="1683">
        <v>1642</v>
      </c>
      <c r="C160" s="1681">
        <v>0</v>
      </c>
      <c r="D160" s="1684"/>
      <c r="E160" s="1681"/>
      <c r="F160" s="1682">
        <v>2</v>
      </c>
    </row>
    <row r="161" ht="16" customHeight="1">
      <c r="A161" s="12"/>
      <c r="B161" t="s" s="1683">
        <v>1643</v>
      </c>
      <c r="C161" s="1681">
        <v>0</v>
      </c>
      <c r="D161" s="1684"/>
      <c r="E161" s="1681"/>
      <c r="F161" s="1682">
        <v>1</v>
      </c>
    </row>
    <row r="162" ht="16" customHeight="1">
      <c r="A162" s="12"/>
      <c r="B162" t="s" s="1683">
        <v>1644</v>
      </c>
      <c r="C162" s="1681">
        <v>0</v>
      </c>
      <c r="D162" s="1684"/>
      <c r="E162" s="1681"/>
      <c r="F162" s="1682">
        <v>9</v>
      </c>
    </row>
    <row r="163" ht="16" customHeight="1">
      <c r="A163" s="12"/>
      <c r="B163" t="s" s="1683">
        <v>1645</v>
      </c>
      <c r="C163" s="1681">
        <v>0</v>
      </c>
      <c r="D163" s="1684"/>
      <c r="E163" s="1681"/>
      <c r="F163" s="1682">
        <v>92</v>
      </c>
    </row>
    <row r="164" ht="16" customHeight="1">
      <c r="A164" s="12"/>
      <c r="B164" t="s" s="1683">
        <v>1646</v>
      </c>
      <c r="C164" s="1681">
        <v>0</v>
      </c>
      <c r="D164" s="1684"/>
      <c r="E164" s="1681"/>
      <c r="F164" s="1682">
        <v>2</v>
      </c>
    </row>
    <row r="165" ht="16" customHeight="1">
      <c r="A165" s="12"/>
      <c r="B165" t="s" s="1683">
        <v>1647</v>
      </c>
      <c r="C165" s="1681">
        <v>0</v>
      </c>
      <c r="D165" s="1684"/>
      <c r="E165" s="1681"/>
      <c r="F165" s="1682">
        <v>74</v>
      </c>
    </row>
    <row r="166" ht="16" customHeight="1">
      <c r="A166" s="12"/>
      <c r="B166" t="s" s="1683">
        <v>1648</v>
      </c>
      <c r="C166" s="1681">
        <v>0</v>
      </c>
      <c r="D166" s="1684"/>
      <c r="E166" s="1681"/>
      <c r="F166" s="1682">
        <v>7</v>
      </c>
    </row>
    <row r="167" ht="16" customHeight="1">
      <c r="A167" s="12"/>
      <c r="B167" t="s" s="1683">
        <v>1649</v>
      </c>
      <c r="C167" s="1681">
        <v>0</v>
      </c>
      <c r="D167" s="1681"/>
      <c r="E167" s="1681"/>
      <c r="F167" s="1682">
        <v>6</v>
      </c>
    </row>
    <row r="168" ht="16" customHeight="1">
      <c r="A168" s="12"/>
      <c r="B168" t="s" s="1683">
        <v>1650</v>
      </c>
      <c r="C168" s="1681">
        <v>0</v>
      </c>
      <c r="D168" s="1684"/>
      <c r="E168" s="1681"/>
      <c r="F168" s="1682">
        <v>97</v>
      </c>
    </row>
    <row r="169" ht="16" customHeight="1">
      <c r="A169" s="12"/>
      <c r="B169" t="s" s="1683">
        <v>1651</v>
      </c>
      <c r="C169" s="1681">
        <v>0</v>
      </c>
      <c r="D169" s="1684"/>
      <c r="E169" s="1681"/>
      <c r="F169" s="1682">
        <v>7</v>
      </c>
    </row>
    <row r="170" ht="16" customHeight="1">
      <c r="A170" s="12"/>
      <c r="B170" t="s" s="1683">
        <v>1652</v>
      </c>
      <c r="C170" s="1681">
        <v>0</v>
      </c>
      <c r="D170" s="1684"/>
      <c r="E170" s="1681"/>
      <c r="F170" s="1682">
        <v>23</v>
      </c>
    </row>
    <row r="171" ht="16" customHeight="1">
      <c r="A171" s="12"/>
      <c r="B171" t="s" s="1683">
        <v>1653</v>
      </c>
      <c r="C171" s="1681">
        <v>0</v>
      </c>
      <c r="D171" s="1684"/>
      <c r="E171" s="1681"/>
      <c r="F171" s="1682">
        <v>65</v>
      </c>
    </row>
    <row r="172" ht="16" customHeight="1">
      <c r="A172" s="12"/>
      <c r="B172" t="s" s="1683">
        <v>1654</v>
      </c>
      <c r="C172" s="1681">
        <v>0</v>
      </c>
      <c r="D172" s="1684"/>
      <c r="E172" s="1681"/>
      <c r="F172" s="1682">
        <v>37</v>
      </c>
    </row>
    <row r="173" ht="16" customHeight="1">
      <c r="A173" s="12"/>
      <c r="B173" t="s" s="1683">
        <v>1655</v>
      </c>
      <c r="C173" s="1681">
        <v>0</v>
      </c>
      <c r="D173" s="1684"/>
      <c r="E173" s="1681"/>
      <c r="F173" s="1682">
        <v>5</v>
      </c>
    </row>
    <row r="174" ht="16" customHeight="1">
      <c r="A174" s="12"/>
      <c r="B174" t="s" s="1683">
        <v>1656</v>
      </c>
      <c r="C174" s="1681">
        <v>0</v>
      </c>
      <c r="D174" s="1684"/>
      <c r="E174" s="1681"/>
      <c r="F174" s="1682">
        <v>106</v>
      </c>
    </row>
    <row r="175" ht="16" customHeight="1">
      <c r="A175" s="12"/>
      <c r="B175" t="s" s="1683">
        <v>1657</v>
      </c>
      <c r="C175" s="1681">
        <v>0</v>
      </c>
      <c r="D175" s="1681"/>
      <c r="E175" s="1681"/>
      <c r="F175" s="1682">
        <v>1</v>
      </c>
    </row>
    <row r="176" ht="16" customHeight="1">
      <c r="A176" s="12"/>
      <c r="B176" t="s" s="1683">
        <v>1658</v>
      </c>
      <c r="C176" s="1681">
        <v>0</v>
      </c>
      <c r="D176" s="1684"/>
      <c r="E176" s="1681"/>
      <c r="F176" s="1682">
        <v>152</v>
      </c>
    </row>
    <row r="177" ht="16" customHeight="1">
      <c r="A177" s="12"/>
      <c r="B177" t="s" s="1683">
        <v>1659</v>
      </c>
      <c r="C177" s="1681">
        <v>0</v>
      </c>
      <c r="D177" s="1684"/>
      <c r="E177" s="1681"/>
      <c r="F177" s="1682">
        <v>1</v>
      </c>
    </row>
    <row r="178" ht="16" customHeight="1">
      <c r="A178" s="12"/>
      <c r="B178" t="s" s="1683">
        <v>1660</v>
      </c>
      <c r="C178" s="1681">
        <v>0</v>
      </c>
      <c r="D178" s="1684"/>
      <c r="E178" s="1681"/>
      <c r="F178" s="1682">
        <v>1</v>
      </c>
    </row>
    <row r="179" ht="16" customHeight="1">
      <c r="A179" s="12"/>
      <c r="B179" t="s" s="1683">
        <v>1661</v>
      </c>
      <c r="C179" s="1681">
        <v>0</v>
      </c>
      <c r="D179" s="1684"/>
      <c r="E179" s="1681"/>
      <c r="F179" s="1682">
        <v>37</v>
      </c>
    </row>
    <row r="180" ht="16" customHeight="1">
      <c r="A180" s="12"/>
      <c r="B180" t="s" s="1683">
        <v>1662</v>
      </c>
      <c r="C180" s="1681">
        <v>0</v>
      </c>
      <c r="D180" s="1684"/>
      <c r="E180" s="1681"/>
      <c r="F180" s="1682">
        <v>6</v>
      </c>
    </row>
    <row r="181" ht="16" customHeight="1">
      <c r="A181" s="12"/>
      <c r="B181" t="s" s="1683">
        <v>1663</v>
      </c>
      <c r="C181" s="1681">
        <v>0</v>
      </c>
      <c r="D181" s="1684"/>
      <c r="E181" s="1681"/>
      <c r="F181" s="1682">
        <v>120</v>
      </c>
    </row>
    <row r="182" ht="16" customHeight="1">
      <c r="A182" s="12"/>
      <c r="B182" t="s" s="1683">
        <v>1664</v>
      </c>
      <c r="C182" s="1681">
        <v>0</v>
      </c>
      <c r="D182" s="1684"/>
      <c r="E182" s="1681"/>
      <c r="F182" s="1682">
        <v>13</v>
      </c>
    </row>
    <row r="183" ht="16" customHeight="1">
      <c r="A183" s="12"/>
      <c r="B183" t="s" s="1683">
        <v>1665</v>
      </c>
      <c r="C183" s="1681">
        <v>0</v>
      </c>
      <c r="D183" s="1681"/>
      <c r="E183" s="1681"/>
      <c r="F183" s="1682">
        <v>113</v>
      </c>
    </row>
    <row r="184" ht="16" customHeight="1">
      <c r="A184" s="12"/>
      <c r="B184" t="s" s="1683">
        <v>1666</v>
      </c>
      <c r="C184" s="1681">
        <v>0</v>
      </c>
      <c r="D184" s="1684"/>
      <c r="E184" s="1681"/>
      <c r="F184" s="1682">
        <v>1</v>
      </c>
    </row>
    <row r="185" ht="16" customHeight="1">
      <c r="A185" s="12"/>
      <c r="B185" t="s" s="1683">
        <v>1667</v>
      </c>
      <c r="C185" s="1681">
        <v>0</v>
      </c>
      <c r="D185" s="1684"/>
      <c r="E185" s="1681"/>
      <c r="F185" s="1682">
        <v>52</v>
      </c>
    </row>
    <row r="186" ht="16" customHeight="1">
      <c r="A186" s="12"/>
      <c r="B186" t="s" s="1683">
        <v>1668</v>
      </c>
      <c r="C186" s="1681">
        <v>0</v>
      </c>
      <c r="D186" s="1684"/>
      <c r="E186" s="1681"/>
      <c r="F186" s="1682">
        <v>9</v>
      </c>
    </row>
    <row r="187" ht="9.5" customHeight="1">
      <c r="A187" s="12"/>
      <c r="B187" s="1680"/>
      <c r="C187" s="1681"/>
      <c r="D187" s="1681"/>
      <c r="E187" s="1681"/>
      <c r="F187" s="1682"/>
    </row>
    <row r="188" ht="15" customHeight="1">
      <c r="A188" s="12"/>
      <c r="B188" t="s" s="1677">
        <v>1669</v>
      </c>
      <c r="C188" s="1678">
        <v>0</v>
      </c>
      <c r="D188" s="1678"/>
      <c r="E188" s="1678"/>
      <c r="F188" s="1679">
        <v>7537</v>
      </c>
    </row>
    <row r="189" ht="16" customHeight="1">
      <c r="A189" s="12"/>
      <c r="B189" t="s" s="1683">
        <v>1670</v>
      </c>
      <c r="C189" s="1681">
        <v>0</v>
      </c>
      <c r="D189" s="1684"/>
      <c r="E189" s="1681"/>
      <c r="F189" s="1682">
        <v>1054</v>
      </c>
    </row>
    <row r="190" ht="16" customHeight="1">
      <c r="A190" s="12"/>
      <c r="B190" t="s" s="1683">
        <v>1671</v>
      </c>
      <c r="C190" s="1681">
        <v>0</v>
      </c>
      <c r="D190" s="1684"/>
      <c r="E190" s="1681"/>
      <c r="F190" s="1682">
        <v>290</v>
      </c>
    </row>
    <row r="191" ht="16" customHeight="1">
      <c r="A191" s="12"/>
      <c r="B191" t="s" s="1683">
        <v>1672</v>
      </c>
      <c r="C191" s="1681">
        <v>0</v>
      </c>
      <c r="D191" s="1684"/>
      <c r="E191" s="1681"/>
      <c r="F191" s="1682">
        <v>1</v>
      </c>
    </row>
    <row r="192" ht="16" customHeight="1">
      <c r="A192" s="12"/>
      <c r="B192" t="s" s="1683">
        <v>1673</v>
      </c>
      <c r="C192" s="1681">
        <v>0</v>
      </c>
      <c r="D192" s="1684"/>
      <c r="E192" s="1681"/>
      <c r="F192" s="1682">
        <v>345</v>
      </c>
    </row>
    <row r="193" ht="16" customHeight="1">
      <c r="A193" s="12"/>
      <c r="B193" t="s" s="1683">
        <v>1674</v>
      </c>
      <c r="C193" s="1681">
        <v>0</v>
      </c>
      <c r="D193" s="1684"/>
      <c r="E193" s="1681"/>
      <c r="F193" s="1682">
        <v>186</v>
      </c>
    </row>
    <row r="194" ht="16" customHeight="1">
      <c r="A194" s="12"/>
      <c r="B194" t="s" s="1683">
        <v>1675</v>
      </c>
      <c r="C194" s="1681">
        <v>0</v>
      </c>
      <c r="D194" s="1684"/>
      <c r="E194" s="1681"/>
      <c r="F194" s="1682">
        <v>1796</v>
      </c>
    </row>
    <row r="195" ht="16" customHeight="1">
      <c r="A195" s="12"/>
      <c r="B195" t="s" s="1683">
        <v>1676</v>
      </c>
      <c r="C195" s="1681">
        <v>0</v>
      </c>
      <c r="D195" s="1684"/>
      <c r="E195" s="1681"/>
      <c r="F195" s="1682">
        <v>1</v>
      </c>
    </row>
    <row r="196" ht="16" customHeight="1">
      <c r="A196" s="12"/>
      <c r="B196" t="s" s="1683">
        <v>1677</v>
      </c>
      <c r="C196" s="1681">
        <v>0</v>
      </c>
      <c r="D196" s="1681"/>
      <c r="E196" s="1681"/>
      <c r="F196" s="1682">
        <v>8</v>
      </c>
    </row>
    <row r="197" ht="16" customHeight="1">
      <c r="A197" s="12"/>
      <c r="B197" t="s" s="1683">
        <v>1678</v>
      </c>
      <c r="C197" s="1681">
        <v>0</v>
      </c>
      <c r="D197" s="1684"/>
      <c r="E197" s="1681"/>
      <c r="F197" s="1682">
        <v>392</v>
      </c>
    </row>
    <row r="198" ht="16" customHeight="1">
      <c r="A198" s="12"/>
      <c r="B198" t="s" s="1683">
        <v>1679</v>
      </c>
      <c r="C198" s="1681">
        <v>0</v>
      </c>
      <c r="D198" s="1684"/>
      <c r="E198" s="1681"/>
      <c r="F198" s="1682">
        <v>115</v>
      </c>
    </row>
    <row r="199" ht="16" customHeight="1">
      <c r="A199" s="12"/>
      <c r="B199" t="s" s="1683">
        <v>1680</v>
      </c>
      <c r="C199" s="1681">
        <v>0</v>
      </c>
      <c r="D199" s="1684"/>
      <c r="E199" s="1681"/>
      <c r="F199" s="1682">
        <v>784</v>
      </c>
    </row>
    <row r="200" ht="16" customHeight="1">
      <c r="A200" s="12"/>
      <c r="B200" t="s" s="1683">
        <v>1681</v>
      </c>
      <c r="C200" s="1681">
        <v>0</v>
      </c>
      <c r="D200" s="1684"/>
      <c r="E200" s="1681"/>
      <c r="F200" s="1682">
        <v>1</v>
      </c>
    </row>
    <row r="201" ht="16" customHeight="1">
      <c r="A201" s="12"/>
      <c r="B201" t="s" s="1683">
        <v>1682</v>
      </c>
      <c r="C201" s="1681">
        <v>0</v>
      </c>
      <c r="D201" s="1684"/>
      <c r="E201" s="1681"/>
      <c r="F201" s="1682">
        <v>294</v>
      </c>
    </row>
    <row r="202" ht="16" customHeight="1">
      <c r="A202" s="12"/>
      <c r="B202" t="s" s="1683">
        <v>1683</v>
      </c>
      <c r="C202" s="1681">
        <v>0</v>
      </c>
      <c r="D202" s="1684"/>
      <c r="E202" s="1681"/>
      <c r="F202" s="1682">
        <v>410</v>
      </c>
    </row>
    <row r="203" ht="16" customHeight="1">
      <c r="A203" s="12"/>
      <c r="B203" t="s" s="1683">
        <v>1684</v>
      </c>
      <c r="C203" s="1681">
        <v>0</v>
      </c>
      <c r="D203" s="1684"/>
      <c r="E203" s="1681"/>
      <c r="F203" s="1682">
        <v>3</v>
      </c>
    </row>
    <row r="204" ht="16" customHeight="1">
      <c r="A204" s="12"/>
      <c r="B204" t="s" s="1683">
        <v>1685</v>
      </c>
      <c r="C204" s="1681">
        <v>0</v>
      </c>
      <c r="D204" s="1681"/>
      <c r="E204" s="1681"/>
      <c r="F204" s="1682">
        <v>5</v>
      </c>
    </row>
    <row r="205" ht="16" customHeight="1">
      <c r="A205" s="12"/>
      <c r="B205" t="s" s="1683">
        <v>1686</v>
      </c>
      <c r="C205" s="1681">
        <v>0</v>
      </c>
      <c r="D205" s="1684"/>
      <c r="E205" s="1681"/>
      <c r="F205" s="1682">
        <v>397</v>
      </c>
    </row>
    <row r="206" ht="16" customHeight="1">
      <c r="A206" s="12"/>
      <c r="B206" t="s" s="1683">
        <v>1687</v>
      </c>
      <c r="C206" s="1681">
        <v>0</v>
      </c>
      <c r="D206" s="1684"/>
      <c r="E206" s="1681"/>
      <c r="F206" s="1682">
        <v>914</v>
      </c>
    </row>
    <row r="207" ht="16" customHeight="1">
      <c r="A207" s="12"/>
      <c r="B207" t="s" s="1683">
        <v>1688</v>
      </c>
      <c r="C207" s="1681">
        <v>0</v>
      </c>
      <c r="D207" s="1684"/>
      <c r="E207" s="1681"/>
      <c r="F207" s="1682">
        <v>449</v>
      </c>
    </row>
    <row r="208" ht="16" customHeight="1">
      <c r="A208" s="12"/>
      <c r="B208" t="s" s="1683">
        <v>1689</v>
      </c>
      <c r="C208" s="1681">
        <v>0</v>
      </c>
      <c r="D208" s="1684"/>
      <c r="E208" s="1681"/>
      <c r="F208" s="1682">
        <v>50</v>
      </c>
    </row>
    <row r="209" ht="16" customHeight="1">
      <c r="A209" s="12"/>
      <c r="B209" t="s" s="1683">
        <v>1690</v>
      </c>
      <c r="C209" s="1681">
        <v>0</v>
      </c>
      <c r="D209" s="1684"/>
      <c r="E209" s="1681"/>
      <c r="F209" s="1682">
        <v>42</v>
      </c>
    </row>
    <row r="210" ht="9.5" customHeight="1">
      <c r="A210" s="12"/>
      <c r="B210" s="1680"/>
      <c r="C210" s="1681"/>
      <c r="D210" s="1681"/>
      <c r="E210" s="1681"/>
      <c r="F210" s="1682"/>
    </row>
    <row r="211" ht="15" customHeight="1">
      <c r="A211" s="12"/>
      <c r="B211" t="s" s="1677">
        <v>1691</v>
      </c>
      <c r="C211" s="1681"/>
      <c r="D211" s="1681"/>
      <c r="E211" s="1681"/>
      <c r="F211" s="1682"/>
    </row>
    <row r="212" ht="16" customHeight="1">
      <c r="A212" s="12"/>
      <c r="B212" t="s" s="1683">
        <v>1692</v>
      </c>
      <c r="C212" s="1681">
        <v>0</v>
      </c>
      <c r="D212" s="1684"/>
      <c r="E212" s="1681"/>
      <c r="F212" s="1682">
        <v>1</v>
      </c>
    </row>
    <row r="213" ht="16" customHeight="1">
      <c r="A213" s="12"/>
      <c r="B213" t="s" s="1683">
        <v>1693</v>
      </c>
      <c r="C213" s="1681">
        <v>800000</v>
      </c>
      <c r="D213" s="1684"/>
      <c r="E213" s="1681"/>
      <c r="F213" s="1682">
        <v>4</v>
      </c>
    </row>
    <row r="214" ht="16" customHeight="1">
      <c r="A214" s="12"/>
      <c r="B214" t="s" s="1683">
        <v>1694</v>
      </c>
      <c r="C214" s="1681">
        <v>1216500</v>
      </c>
      <c r="D214" s="1684"/>
      <c r="E214" s="1681"/>
      <c r="F214" s="1682">
        <v>9</v>
      </c>
    </row>
    <row r="215" ht="16" customHeight="1">
      <c r="A215" s="12"/>
      <c r="B215" t="s" s="1683">
        <v>1695</v>
      </c>
      <c r="C215" s="1681">
        <v>2700000</v>
      </c>
      <c r="D215" s="1684"/>
      <c r="E215" s="1681"/>
      <c r="F215" s="1682">
        <v>17</v>
      </c>
    </row>
    <row r="216" ht="16" customHeight="1">
      <c r="A216" s="12"/>
      <c r="B216" t="s" s="1683">
        <v>1696</v>
      </c>
      <c r="C216" s="1681">
        <v>400000</v>
      </c>
      <c r="D216" s="1684"/>
      <c r="E216" s="1681"/>
      <c r="F216" s="1682">
        <v>34</v>
      </c>
    </row>
    <row r="217" ht="16" customHeight="1">
      <c r="A217" s="12"/>
      <c r="B217" t="s" s="1683">
        <v>1697</v>
      </c>
      <c r="C217" s="1681">
        <v>1500000</v>
      </c>
      <c r="D217" s="1681"/>
      <c r="E217" s="1681"/>
      <c r="F217" s="1682">
        <v>8</v>
      </c>
    </row>
    <row r="218" ht="16" customHeight="1">
      <c r="A218" s="12"/>
      <c r="B218" t="s" s="1683">
        <v>1698</v>
      </c>
      <c r="C218" s="1681">
        <v>0</v>
      </c>
      <c r="D218" s="1684"/>
      <c r="E218" s="1681"/>
      <c r="F218" s="1682">
        <v>1</v>
      </c>
    </row>
    <row r="219" ht="16" customHeight="1">
      <c r="A219" s="12"/>
      <c r="B219" t="s" s="1683">
        <v>1699</v>
      </c>
      <c r="C219" s="1681">
        <v>0</v>
      </c>
      <c r="D219" s="1684"/>
      <c r="E219" s="1681"/>
      <c r="F219" s="1682">
        <v>2</v>
      </c>
    </row>
    <row r="220" ht="15" customHeight="1">
      <c r="A220" s="12"/>
      <c r="B220" t="s" s="1677">
        <v>1700</v>
      </c>
      <c r="C220" s="1678">
        <v>696801000</v>
      </c>
      <c r="D220" s="1678"/>
      <c r="E220" s="1678"/>
      <c r="F220" s="1679">
        <v>26307</v>
      </c>
    </row>
    <row r="221" ht="16" customHeight="1">
      <c r="A221" s="12"/>
      <c r="B221" t="s" s="1683">
        <v>1701</v>
      </c>
      <c r="C221" s="1681">
        <v>34717500</v>
      </c>
      <c r="D221" s="1684"/>
      <c r="E221" s="1681"/>
      <c r="F221" s="1682">
        <v>1059</v>
      </c>
    </row>
    <row r="222" ht="16" customHeight="1">
      <c r="A222" s="12"/>
      <c r="B222" t="s" s="1683">
        <v>1702</v>
      </c>
      <c r="C222" s="1681">
        <v>51215000</v>
      </c>
      <c r="D222" s="1684"/>
      <c r="E222" s="1681"/>
      <c r="F222" s="1682">
        <v>1044</v>
      </c>
    </row>
    <row r="223" ht="16" customHeight="1">
      <c r="A223" s="12"/>
      <c r="B223" t="s" s="1683">
        <v>1703</v>
      </c>
      <c r="C223" s="1681">
        <v>0</v>
      </c>
      <c r="D223" s="1684"/>
      <c r="E223" s="1681"/>
      <c r="F223" s="1682">
        <v>9</v>
      </c>
    </row>
    <row r="224" ht="16" customHeight="1">
      <c r="A224" s="12"/>
      <c r="B224" t="s" s="1683">
        <v>1704</v>
      </c>
      <c r="C224" s="1681">
        <v>15400000</v>
      </c>
      <c r="D224" s="1684"/>
      <c r="E224" s="1681"/>
      <c r="F224" s="1682">
        <v>1855</v>
      </c>
    </row>
    <row r="225" ht="16" customHeight="1">
      <c r="A225" s="12"/>
      <c r="B225" t="s" s="1683">
        <v>1705</v>
      </c>
      <c r="C225" s="1681">
        <v>0</v>
      </c>
      <c r="D225" s="1684"/>
      <c r="E225" s="1681"/>
      <c r="F225" s="1682">
        <v>22</v>
      </c>
    </row>
    <row r="226" ht="16" customHeight="1">
      <c r="A226" s="12"/>
      <c r="B226" t="s" s="1683">
        <v>1706</v>
      </c>
      <c r="C226" s="1681">
        <v>0</v>
      </c>
      <c r="D226" s="1684"/>
      <c r="E226" s="1681"/>
      <c r="F226" s="1682">
        <v>0</v>
      </c>
    </row>
    <row r="227" ht="16" customHeight="1">
      <c r="A227" s="12"/>
      <c r="B227" t="s" s="1683">
        <v>1707</v>
      </c>
      <c r="C227" s="1681">
        <v>7200000</v>
      </c>
      <c r="D227" s="1684"/>
      <c r="E227" s="1681"/>
      <c r="F227" s="1682">
        <v>124</v>
      </c>
    </row>
    <row r="228" ht="16" customHeight="1">
      <c r="A228" s="12"/>
      <c r="B228" t="s" s="1683">
        <v>1708</v>
      </c>
      <c r="C228" s="1681">
        <v>8760000</v>
      </c>
      <c r="D228" s="1684"/>
      <c r="E228" s="1681"/>
      <c r="F228" s="1682">
        <v>649</v>
      </c>
    </row>
    <row r="229" ht="16" customHeight="1">
      <c r="A229" s="12"/>
      <c r="B229" t="s" s="1683">
        <v>1709</v>
      </c>
      <c r="C229" s="1681">
        <v>6900000</v>
      </c>
      <c r="D229" s="1684"/>
      <c r="E229" s="1681"/>
      <c r="F229" s="1682">
        <v>121</v>
      </c>
    </row>
    <row r="230" ht="16" customHeight="1">
      <c r="A230" s="12"/>
      <c r="B230" t="s" s="1683">
        <v>1710</v>
      </c>
      <c r="C230" s="1681">
        <v>2835000</v>
      </c>
      <c r="D230" s="1684"/>
      <c r="E230" s="1681"/>
      <c r="F230" s="1682">
        <v>68</v>
      </c>
    </row>
    <row r="231" ht="16" customHeight="1">
      <c r="A231" s="12"/>
      <c r="B231" t="s" s="1683">
        <v>1711</v>
      </c>
      <c r="C231" s="1681">
        <v>7870000</v>
      </c>
      <c r="D231" s="1684"/>
      <c r="E231" s="1681"/>
      <c r="F231" s="1682">
        <v>246</v>
      </c>
    </row>
    <row r="232" ht="16" customHeight="1">
      <c r="A232" s="12"/>
      <c r="B232" t="s" s="1683">
        <v>1712</v>
      </c>
      <c r="C232" s="1681">
        <v>6950000</v>
      </c>
      <c r="D232" s="1684"/>
      <c r="E232" s="1681"/>
      <c r="F232" s="1682">
        <v>217</v>
      </c>
    </row>
    <row r="233" ht="16" customHeight="1">
      <c r="A233" s="12"/>
      <c r="B233" t="s" s="1683">
        <v>1713</v>
      </c>
      <c r="C233" s="1681">
        <v>5720000</v>
      </c>
      <c r="D233" s="1684"/>
      <c r="E233" s="1681"/>
      <c r="F233" s="1682">
        <v>164</v>
      </c>
    </row>
    <row r="234" ht="16" customHeight="1">
      <c r="A234" s="12"/>
      <c r="B234" t="s" s="1683">
        <v>1714</v>
      </c>
      <c r="C234" s="1681">
        <v>10190000</v>
      </c>
      <c r="D234" s="1684"/>
      <c r="E234" s="1681"/>
      <c r="F234" s="1682">
        <v>320</v>
      </c>
    </row>
    <row r="235" ht="16" customHeight="1">
      <c r="A235" s="12"/>
      <c r="B235" t="s" s="1683">
        <v>1715</v>
      </c>
      <c r="C235" s="1681">
        <v>8876250</v>
      </c>
      <c r="D235" s="1684"/>
      <c r="E235" s="1681"/>
      <c r="F235" s="1682">
        <v>246</v>
      </c>
    </row>
    <row r="236" ht="16" customHeight="1">
      <c r="A236" s="12"/>
      <c r="B236" t="s" s="1683">
        <v>1716</v>
      </c>
      <c r="C236" s="1681">
        <v>5990000</v>
      </c>
      <c r="D236" s="1684"/>
      <c r="E236" s="1681"/>
      <c r="F236" s="1682">
        <v>117</v>
      </c>
    </row>
    <row r="237" ht="16" customHeight="1">
      <c r="A237" s="12"/>
      <c r="B237" t="s" s="1683">
        <v>1717</v>
      </c>
      <c r="C237" s="1681">
        <v>10000000</v>
      </c>
      <c r="D237" s="1684"/>
      <c r="E237" s="1681"/>
      <c r="F237" s="1682">
        <v>188</v>
      </c>
    </row>
    <row r="238" ht="16" customHeight="1">
      <c r="A238" s="12"/>
      <c r="B238" t="s" s="1683">
        <v>1718</v>
      </c>
      <c r="C238" s="1681">
        <v>550000</v>
      </c>
      <c r="D238" s="1684"/>
      <c r="E238" s="1681"/>
      <c r="F238" s="1682">
        <v>14</v>
      </c>
    </row>
    <row r="239" ht="16" customHeight="1">
      <c r="A239" s="12"/>
      <c r="B239" t="s" s="1683">
        <v>1719</v>
      </c>
      <c r="C239" s="1681">
        <v>1590000</v>
      </c>
      <c r="D239" s="1684"/>
      <c r="E239" s="1681"/>
      <c r="F239" s="1682">
        <v>197</v>
      </c>
    </row>
    <row r="240" ht="16" customHeight="1">
      <c r="A240" s="12"/>
      <c r="B240" t="s" s="1683">
        <v>1720</v>
      </c>
      <c r="C240" s="1681">
        <v>15801000</v>
      </c>
      <c r="D240" s="1684"/>
      <c r="E240" s="1681"/>
      <c r="F240" s="1682">
        <v>46</v>
      </c>
    </row>
    <row r="241" ht="16" customHeight="1">
      <c r="A241" s="12"/>
      <c r="B241" t="s" s="1683">
        <v>1721</v>
      </c>
      <c r="C241" s="1681">
        <v>3552000</v>
      </c>
      <c r="D241" s="1684"/>
      <c r="E241" s="1681"/>
      <c r="F241" s="1682">
        <v>24</v>
      </c>
    </row>
    <row r="242" ht="16" customHeight="1">
      <c r="A242" s="12"/>
      <c r="B242" t="s" s="1683">
        <v>1722</v>
      </c>
      <c r="C242" s="1681">
        <v>2277000</v>
      </c>
      <c r="D242" s="1684"/>
      <c r="E242" s="1681"/>
      <c r="F242" s="1682">
        <v>23</v>
      </c>
    </row>
    <row r="243" ht="16" customHeight="1">
      <c r="A243" s="12"/>
      <c r="B243" t="s" s="1683">
        <v>1723</v>
      </c>
      <c r="C243" s="1681">
        <v>2104000</v>
      </c>
      <c r="D243" s="1684"/>
      <c r="E243" s="1681"/>
      <c r="F243" s="1682">
        <v>16</v>
      </c>
    </row>
    <row r="244" ht="16" customHeight="1">
      <c r="A244" s="12"/>
      <c r="B244" t="s" s="1683">
        <v>1724</v>
      </c>
      <c r="C244" s="1681">
        <v>3352500</v>
      </c>
      <c r="D244" s="1684"/>
      <c r="E244" s="1681"/>
      <c r="F244" s="1682">
        <v>15</v>
      </c>
    </row>
    <row r="245" ht="16" customHeight="1">
      <c r="A245" s="12"/>
      <c r="B245" t="s" s="1683">
        <v>1725</v>
      </c>
      <c r="C245" s="1681">
        <v>6918500</v>
      </c>
      <c r="D245" s="1684"/>
      <c r="E245" s="1681"/>
      <c r="F245" s="1682">
        <v>34</v>
      </c>
    </row>
    <row r="246" ht="16" customHeight="1">
      <c r="A246" s="12"/>
      <c r="B246" t="s" s="1683">
        <v>1726</v>
      </c>
      <c r="C246" s="1681">
        <v>11607000</v>
      </c>
      <c r="D246" s="1684"/>
      <c r="E246" s="1681"/>
      <c r="F246" s="1682">
        <v>53</v>
      </c>
    </row>
    <row r="247" ht="16" customHeight="1">
      <c r="A247" s="12"/>
      <c r="B247" t="s" s="1683">
        <v>1727</v>
      </c>
      <c r="C247" s="1681">
        <v>1628000</v>
      </c>
      <c r="D247" s="1684"/>
      <c r="E247" s="1681"/>
      <c r="F247" s="1682">
        <v>8</v>
      </c>
    </row>
    <row r="248" ht="16" customHeight="1">
      <c r="A248" s="12"/>
      <c r="B248" t="s" s="1683">
        <v>1728</v>
      </c>
      <c r="C248" s="1681">
        <v>1017500</v>
      </c>
      <c r="D248" s="1684"/>
      <c r="E248" s="1681"/>
      <c r="F248" s="1682">
        <v>5</v>
      </c>
    </row>
    <row r="249" ht="16" customHeight="1">
      <c r="A249" s="12"/>
      <c r="B249" t="s" s="1683">
        <v>1729</v>
      </c>
      <c r="C249" s="1681">
        <v>4500000</v>
      </c>
      <c r="D249" s="1684"/>
      <c r="E249" s="1681"/>
      <c r="F249" s="1682">
        <v>18</v>
      </c>
    </row>
    <row r="250" ht="16" customHeight="1">
      <c r="A250" s="12"/>
      <c r="B250" t="s" s="1683">
        <v>1730</v>
      </c>
      <c r="C250" s="1681">
        <v>12022500</v>
      </c>
      <c r="D250" s="1684"/>
      <c r="E250" s="1681"/>
      <c r="F250" s="1682">
        <v>36</v>
      </c>
    </row>
    <row r="251" ht="16" customHeight="1">
      <c r="A251" s="12"/>
      <c r="B251" t="s" s="1683">
        <v>1731</v>
      </c>
      <c r="C251" s="1681">
        <v>0</v>
      </c>
      <c r="D251" s="1684"/>
      <c r="E251" s="1681"/>
      <c r="F251" s="1682">
        <v>351</v>
      </c>
    </row>
    <row r="252" ht="16" customHeight="1">
      <c r="A252" s="12"/>
      <c r="B252" t="s" s="1683">
        <v>1732</v>
      </c>
      <c r="C252" s="1681">
        <v>26801250</v>
      </c>
      <c r="D252" s="1684"/>
      <c r="E252" s="1681"/>
      <c r="F252" s="1682">
        <v>789</v>
      </c>
    </row>
    <row r="253" ht="16" customHeight="1">
      <c r="A253" s="12"/>
      <c r="B253" t="s" s="1683">
        <v>1733</v>
      </c>
      <c r="C253" s="1681">
        <v>35105000</v>
      </c>
      <c r="D253" s="1684"/>
      <c r="E253" s="1681"/>
      <c r="F253" s="1682">
        <v>3702</v>
      </c>
    </row>
    <row r="254" ht="16" customHeight="1">
      <c r="A254" s="12"/>
      <c r="B254" t="s" s="1683">
        <v>1734</v>
      </c>
      <c r="C254" s="1681">
        <v>5139750</v>
      </c>
      <c r="D254" s="1684"/>
      <c r="E254" s="1681"/>
      <c r="F254" s="1682">
        <v>209</v>
      </c>
    </row>
    <row r="255" ht="16" customHeight="1">
      <c r="A255" s="12"/>
      <c r="B255" t="s" s="1683">
        <v>1735</v>
      </c>
      <c r="C255" s="1681">
        <v>5915000</v>
      </c>
      <c r="D255" s="1684"/>
      <c r="E255" s="1681"/>
      <c r="F255" s="1682">
        <v>276</v>
      </c>
    </row>
    <row r="256" ht="16" customHeight="1">
      <c r="A256" s="12"/>
      <c r="B256" t="s" s="1683">
        <v>1736</v>
      </c>
      <c r="C256" s="1681">
        <v>0</v>
      </c>
      <c r="D256" s="1684"/>
      <c r="E256" s="1681"/>
      <c r="F256" s="1682">
        <v>5</v>
      </c>
    </row>
    <row r="257" ht="16" customHeight="1">
      <c r="A257" s="12"/>
      <c r="B257" t="s" s="1683">
        <v>1737</v>
      </c>
      <c r="C257" s="1681">
        <v>140000</v>
      </c>
      <c r="D257" s="1684"/>
      <c r="E257" s="1681"/>
      <c r="F257" s="1682">
        <v>13</v>
      </c>
    </row>
    <row r="258" ht="16" customHeight="1">
      <c r="A258" s="12"/>
      <c r="B258" t="s" s="1683">
        <v>1738</v>
      </c>
      <c r="C258" s="1681">
        <v>10560000</v>
      </c>
      <c r="D258" s="1684"/>
      <c r="E258" s="1681"/>
      <c r="F258" s="1682">
        <v>32</v>
      </c>
    </row>
    <row r="259" ht="16" customHeight="1">
      <c r="A259" s="12"/>
      <c r="B259" t="s" s="1683">
        <v>1739</v>
      </c>
      <c r="C259" s="1681">
        <v>7605000</v>
      </c>
      <c r="D259" s="1684"/>
      <c r="E259" s="1681"/>
      <c r="F259" s="1682">
        <v>141</v>
      </c>
    </row>
    <row r="260" ht="16" customHeight="1">
      <c r="A260" s="12"/>
      <c r="B260" t="s" s="1683">
        <v>1740</v>
      </c>
      <c r="C260" s="1681">
        <v>6345000</v>
      </c>
      <c r="D260" s="1684"/>
      <c r="E260" s="1681"/>
      <c r="F260" s="1682">
        <v>1106</v>
      </c>
    </row>
    <row r="261" ht="16" customHeight="1">
      <c r="A261" s="12"/>
      <c r="B261" t="s" s="1683">
        <v>1741</v>
      </c>
      <c r="C261" s="1681">
        <v>7920000</v>
      </c>
      <c r="D261" s="1684"/>
      <c r="E261" s="1681"/>
      <c r="F261" s="1682">
        <v>1069</v>
      </c>
    </row>
    <row r="262" ht="16" customHeight="1">
      <c r="A262" s="12"/>
      <c r="B262" t="s" s="1683">
        <v>1742</v>
      </c>
      <c r="C262" s="1681">
        <v>1300000</v>
      </c>
      <c r="D262" s="1684"/>
      <c r="E262" s="1681"/>
      <c r="F262" s="1682">
        <v>15</v>
      </c>
    </row>
    <row r="263" ht="16" customHeight="1">
      <c r="A263" s="12"/>
      <c r="B263" t="s" s="1683">
        <v>1743</v>
      </c>
      <c r="C263" s="1681">
        <v>5100000</v>
      </c>
      <c r="D263" s="1684"/>
      <c r="E263" s="1681"/>
      <c r="F263" s="1682">
        <v>42</v>
      </c>
    </row>
    <row r="264" ht="16" customHeight="1">
      <c r="A264" s="12"/>
      <c r="B264" t="s" s="1683">
        <v>1744</v>
      </c>
      <c r="C264" s="1681">
        <v>1870000</v>
      </c>
      <c r="D264" s="1684"/>
      <c r="E264" s="1681"/>
      <c r="F264" s="1682">
        <v>21</v>
      </c>
    </row>
    <row r="265" ht="16" customHeight="1">
      <c r="A265" s="12"/>
      <c r="B265" t="s" s="1683">
        <v>1745</v>
      </c>
      <c r="C265" s="1681">
        <v>5060000</v>
      </c>
      <c r="D265" s="1684"/>
      <c r="E265" s="1681"/>
      <c r="F265" s="1682">
        <v>45</v>
      </c>
    </row>
    <row r="266" ht="16" customHeight="1">
      <c r="A266" s="12"/>
      <c r="B266" t="s" s="1683">
        <v>1746</v>
      </c>
      <c r="C266" s="1681">
        <v>4290000</v>
      </c>
      <c r="D266" s="1684"/>
      <c r="E266" s="1681"/>
      <c r="F266" s="1682">
        <v>55</v>
      </c>
    </row>
    <row r="267" ht="16" customHeight="1">
      <c r="A267" s="12"/>
      <c r="B267" t="s" s="1683">
        <v>1747</v>
      </c>
      <c r="C267" s="1681">
        <v>13640000</v>
      </c>
      <c r="D267" s="1684"/>
      <c r="E267" s="1681"/>
      <c r="F267" s="1682">
        <v>151</v>
      </c>
    </row>
    <row r="268" ht="16" customHeight="1">
      <c r="A268" s="12"/>
      <c r="B268" t="s" s="1683">
        <v>1748</v>
      </c>
      <c r="C268" s="1681">
        <v>550000</v>
      </c>
      <c r="D268" s="1684"/>
      <c r="E268" s="1681"/>
      <c r="F268" s="1682">
        <v>13</v>
      </c>
    </row>
    <row r="269" ht="16" customHeight="1">
      <c r="A269" s="12"/>
      <c r="B269" t="s" s="1683">
        <v>1749</v>
      </c>
      <c r="C269" s="1681">
        <v>4200000</v>
      </c>
      <c r="D269" s="1684"/>
      <c r="E269" s="1681"/>
      <c r="F269" s="1682">
        <v>28</v>
      </c>
    </row>
    <row r="270" ht="16" customHeight="1">
      <c r="A270" s="12"/>
      <c r="B270" t="s" s="1683">
        <v>1750</v>
      </c>
      <c r="C270" s="1681">
        <v>1225000</v>
      </c>
      <c r="D270" s="1684"/>
      <c r="E270" s="1681"/>
      <c r="F270" s="1682">
        <v>22</v>
      </c>
    </row>
    <row r="271" ht="16" customHeight="1">
      <c r="A271" s="12"/>
      <c r="B271" t="s" s="1683">
        <v>1751</v>
      </c>
      <c r="C271" s="1681">
        <v>1650000</v>
      </c>
      <c r="D271" s="1684"/>
      <c r="E271" s="1681"/>
      <c r="F271" s="1682">
        <v>3</v>
      </c>
    </row>
    <row r="272" ht="16" customHeight="1">
      <c r="A272" s="12"/>
      <c r="B272" t="s" s="1683">
        <v>1752</v>
      </c>
      <c r="C272" s="1681">
        <v>290000</v>
      </c>
      <c r="D272" s="1684"/>
      <c r="E272" s="1681"/>
      <c r="F272" s="1682">
        <v>29</v>
      </c>
    </row>
    <row r="273" ht="16" customHeight="1">
      <c r="A273" s="12"/>
      <c r="B273" t="s" s="1683">
        <v>1753</v>
      </c>
      <c r="C273" s="1681">
        <v>7240000</v>
      </c>
      <c r="D273" s="1684"/>
      <c r="E273" s="1681"/>
      <c r="F273" s="1682">
        <v>609</v>
      </c>
    </row>
    <row r="274" ht="16" customHeight="1">
      <c r="A274" s="12"/>
      <c r="B274" t="s" s="1683">
        <v>1754</v>
      </c>
      <c r="C274" s="1681">
        <v>3360000</v>
      </c>
      <c r="D274" s="1684"/>
      <c r="E274" s="1681"/>
      <c r="F274" s="1682">
        <v>349</v>
      </c>
    </row>
    <row r="275" ht="16" customHeight="1">
      <c r="A275" s="12"/>
      <c r="B275" t="s" s="1683">
        <v>1755</v>
      </c>
      <c r="C275" s="1681">
        <v>520000</v>
      </c>
      <c r="D275" s="1684"/>
      <c r="E275" s="1681"/>
      <c r="F275" s="1682">
        <v>8</v>
      </c>
    </row>
    <row r="276" ht="16" customHeight="1">
      <c r="A276" s="12"/>
      <c r="B276" t="s" s="1683">
        <v>1756</v>
      </c>
      <c r="C276" s="1681">
        <v>2660000</v>
      </c>
      <c r="D276" s="1684"/>
      <c r="E276" s="1681"/>
      <c r="F276" s="1682">
        <v>19</v>
      </c>
    </row>
    <row r="277" ht="16" customHeight="1">
      <c r="A277" s="12"/>
      <c r="B277" t="s" s="1683">
        <v>1757</v>
      </c>
      <c r="C277" s="1681">
        <v>2265000</v>
      </c>
      <c r="D277" s="1684"/>
      <c r="E277" s="1681"/>
      <c r="F277" s="1682">
        <v>424</v>
      </c>
    </row>
    <row r="278" ht="16" customHeight="1">
      <c r="A278" s="12"/>
      <c r="B278" t="s" s="1683">
        <v>1758</v>
      </c>
      <c r="C278" s="1681">
        <v>4550000</v>
      </c>
      <c r="D278" s="1684"/>
      <c r="E278" s="1681"/>
      <c r="F278" s="1682">
        <v>7</v>
      </c>
    </row>
    <row r="279" ht="16" customHeight="1">
      <c r="A279" s="12"/>
      <c r="B279" t="s" s="1683">
        <v>1759</v>
      </c>
      <c r="C279" s="1681">
        <v>2480000</v>
      </c>
      <c r="D279" s="1684"/>
      <c r="E279" s="1681"/>
      <c r="F279" s="1682">
        <v>41</v>
      </c>
    </row>
    <row r="280" ht="16" customHeight="1">
      <c r="A280" s="12"/>
      <c r="B280" t="s" s="1683">
        <v>1760</v>
      </c>
      <c r="C280" s="1681">
        <v>4130000</v>
      </c>
      <c r="D280" s="1684"/>
      <c r="E280" s="1681"/>
      <c r="F280" s="1682">
        <v>113</v>
      </c>
    </row>
    <row r="281" ht="16" customHeight="1">
      <c r="A281" s="12"/>
      <c r="B281" t="s" s="1683">
        <v>1761</v>
      </c>
      <c r="C281" s="1681">
        <v>8853750</v>
      </c>
      <c r="D281" s="1684"/>
      <c r="E281" s="1681"/>
      <c r="F281" s="1682">
        <v>204</v>
      </c>
    </row>
    <row r="282" ht="16" customHeight="1">
      <c r="A282" s="12"/>
      <c r="B282" t="s" s="1683">
        <v>1762</v>
      </c>
      <c r="C282" s="1681">
        <v>1300000</v>
      </c>
      <c r="D282" s="1684"/>
      <c r="E282" s="1681"/>
      <c r="F282" s="1682">
        <v>21</v>
      </c>
    </row>
    <row r="283" ht="16" customHeight="1">
      <c r="A283" s="12"/>
      <c r="B283" t="s" s="1683">
        <v>1763</v>
      </c>
      <c r="C283" s="1681">
        <v>2270000</v>
      </c>
      <c r="D283" s="1684"/>
      <c r="E283" s="1681"/>
      <c r="F283" s="1682">
        <v>59</v>
      </c>
    </row>
    <row r="284" ht="16" customHeight="1">
      <c r="A284" s="12"/>
      <c r="B284" t="s" s="1683">
        <v>1764</v>
      </c>
      <c r="C284" s="1681">
        <v>4630000</v>
      </c>
      <c r="D284" s="1684"/>
      <c r="E284" s="1681"/>
      <c r="F284" s="1682">
        <v>120</v>
      </c>
    </row>
    <row r="285" ht="16" customHeight="1">
      <c r="A285" s="12"/>
      <c r="B285" t="s" s="1683">
        <v>1765</v>
      </c>
      <c r="C285" s="1681">
        <v>2000000</v>
      </c>
      <c r="D285" s="1684"/>
      <c r="E285" s="1681"/>
      <c r="F285" s="1682">
        <v>52</v>
      </c>
    </row>
    <row r="286" ht="16" customHeight="1">
      <c r="A286" s="12"/>
      <c r="B286" t="s" s="1683">
        <v>1766</v>
      </c>
      <c r="C286" s="1681">
        <v>2120000</v>
      </c>
      <c r="D286" s="1684"/>
      <c r="E286" s="1681"/>
      <c r="F286" s="1682">
        <v>144</v>
      </c>
    </row>
    <row r="287" ht="16" customHeight="1">
      <c r="A287" s="12"/>
      <c r="B287" t="s" s="1683">
        <v>1767</v>
      </c>
      <c r="C287" s="1681">
        <v>7200000</v>
      </c>
      <c r="D287" s="1684"/>
      <c r="E287" s="1681"/>
      <c r="F287" s="1682">
        <v>164</v>
      </c>
    </row>
    <row r="288" ht="16" customHeight="1">
      <c r="A288" s="12"/>
      <c r="B288" t="s" s="1683">
        <v>1768</v>
      </c>
      <c r="C288" s="1681">
        <v>2000000</v>
      </c>
      <c r="D288" s="1684"/>
      <c r="E288" s="1681"/>
      <c r="F288" s="1682">
        <v>4</v>
      </c>
    </row>
    <row r="289" ht="16" customHeight="1">
      <c r="A289" s="12"/>
      <c r="B289" t="s" s="1683">
        <v>1769</v>
      </c>
      <c r="C289" s="1681">
        <v>2300000</v>
      </c>
      <c r="D289" s="1684"/>
      <c r="E289" s="1681"/>
      <c r="F289" s="1682">
        <v>126</v>
      </c>
    </row>
    <row r="290" ht="16" customHeight="1">
      <c r="A290" s="12"/>
      <c r="B290" t="s" s="1683">
        <v>1770</v>
      </c>
      <c r="C290" s="1681">
        <v>3150000</v>
      </c>
      <c r="D290" s="1684"/>
      <c r="E290" s="1681"/>
      <c r="F290" s="1682">
        <v>69</v>
      </c>
    </row>
    <row r="291" ht="16" customHeight="1">
      <c r="A291" s="12"/>
      <c r="B291" t="s" s="1683">
        <v>1771</v>
      </c>
      <c r="C291" s="1681">
        <v>0</v>
      </c>
      <c r="D291" s="1684"/>
      <c r="E291" s="1681"/>
      <c r="F291" s="1682">
        <v>5</v>
      </c>
    </row>
    <row r="292" ht="16" customHeight="1">
      <c r="A292" s="12"/>
      <c r="B292" t="s" s="1683">
        <v>1772</v>
      </c>
      <c r="C292" s="1681">
        <v>0</v>
      </c>
      <c r="D292" s="1684"/>
      <c r="E292" s="1681"/>
      <c r="F292" s="1682">
        <v>7</v>
      </c>
    </row>
    <row r="293" ht="16" customHeight="1">
      <c r="A293" s="12"/>
      <c r="B293" t="s" s="1683">
        <v>1773</v>
      </c>
      <c r="C293" s="1681">
        <v>0</v>
      </c>
      <c r="D293" s="1684"/>
      <c r="E293" s="1681"/>
      <c r="F293" s="1682">
        <v>15</v>
      </c>
    </row>
    <row r="294" ht="16" customHeight="1">
      <c r="A294" s="12"/>
      <c r="B294" t="s" s="1683">
        <v>1774</v>
      </c>
      <c r="C294" s="1681">
        <v>2380000</v>
      </c>
      <c r="D294" s="1684"/>
      <c r="E294" s="1681"/>
      <c r="F294" s="1682">
        <v>17</v>
      </c>
    </row>
    <row r="295" ht="16" customHeight="1">
      <c r="A295" s="12"/>
      <c r="B295" t="s" s="1683">
        <v>1775</v>
      </c>
      <c r="C295" s="1681">
        <v>1900000</v>
      </c>
      <c r="D295" s="1684"/>
      <c r="E295" s="1681"/>
      <c r="F295" s="1682">
        <v>145</v>
      </c>
    </row>
    <row r="296" ht="16" customHeight="1">
      <c r="A296" s="12"/>
      <c r="B296" t="s" s="1683">
        <v>1776</v>
      </c>
      <c r="C296" s="1681">
        <v>3660000</v>
      </c>
      <c r="D296" s="1684"/>
      <c r="E296" s="1681"/>
      <c r="F296" s="1682">
        <v>118</v>
      </c>
    </row>
    <row r="297" ht="16" customHeight="1">
      <c r="A297" s="12"/>
      <c r="B297" t="s" s="1683">
        <v>1777</v>
      </c>
      <c r="C297" s="1681">
        <v>3900000</v>
      </c>
      <c r="D297" s="1684"/>
      <c r="E297" s="1681"/>
      <c r="F297" s="1682">
        <v>139</v>
      </c>
    </row>
    <row r="298" ht="16" customHeight="1">
      <c r="A298" s="12"/>
      <c r="B298" t="s" s="1683">
        <v>1778</v>
      </c>
      <c r="C298" s="1681">
        <v>500000</v>
      </c>
      <c r="D298" s="1684"/>
      <c r="E298" s="1681"/>
      <c r="F298" s="1682">
        <v>1</v>
      </c>
    </row>
    <row r="299" ht="16" customHeight="1">
      <c r="A299" s="12"/>
      <c r="B299" t="s" s="1683">
        <v>1779</v>
      </c>
      <c r="C299" s="1681">
        <v>500000</v>
      </c>
      <c r="D299" s="1684"/>
      <c r="E299" s="1681"/>
      <c r="F299" s="1682">
        <v>1</v>
      </c>
    </row>
    <row r="300" ht="16" customHeight="1">
      <c r="A300" s="12"/>
      <c r="B300" t="s" s="1683">
        <v>1780</v>
      </c>
      <c r="C300" s="1681">
        <v>21525000</v>
      </c>
      <c r="D300" s="1684"/>
      <c r="E300" s="1681"/>
      <c r="F300" s="1682">
        <v>2292</v>
      </c>
    </row>
    <row r="301" ht="16" customHeight="1">
      <c r="A301" s="12"/>
      <c r="B301" t="s" s="1683">
        <v>1781</v>
      </c>
      <c r="C301" s="1681">
        <v>1450000</v>
      </c>
      <c r="D301" s="1684"/>
      <c r="E301" s="1681"/>
      <c r="F301" s="1682">
        <v>1</v>
      </c>
    </row>
    <row r="302" ht="16" customHeight="1">
      <c r="A302" s="12"/>
      <c r="B302" t="s" s="1683">
        <v>1782</v>
      </c>
      <c r="C302" s="1681">
        <v>28759750</v>
      </c>
      <c r="D302" s="1684"/>
      <c r="E302" s="1681"/>
      <c r="F302" s="1682">
        <v>873</v>
      </c>
    </row>
    <row r="303" ht="16" customHeight="1">
      <c r="A303" s="12"/>
      <c r="B303" t="s" s="1683">
        <v>1783</v>
      </c>
      <c r="C303" s="1681">
        <v>6700000</v>
      </c>
      <c r="D303" s="1684"/>
      <c r="E303" s="1681"/>
      <c r="F303" s="1682">
        <v>17</v>
      </c>
    </row>
    <row r="304" ht="16" customHeight="1">
      <c r="A304" s="12"/>
      <c r="B304" t="s" s="1683">
        <v>1784</v>
      </c>
      <c r="C304" s="1681">
        <v>1080000</v>
      </c>
      <c r="D304" s="1684"/>
      <c r="E304" s="1681"/>
      <c r="F304" s="1682">
        <v>49</v>
      </c>
    </row>
    <row r="305" ht="16" customHeight="1">
      <c r="A305" s="12"/>
      <c r="B305" t="s" s="1683">
        <v>1785</v>
      </c>
      <c r="C305" s="1681">
        <v>1320000</v>
      </c>
      <c r="D305" s="1684"/>
      <c r="E305" s="1681"/>
      <c r="F305" s="1682">
        <v>83</v>
      </c>
    </row>
    <row r="306" ht="16" customHeight="1">
      <c r="A306" s="12"/>
      <c r="B306" t="s" s="1683">
        <v>1786</v>
      </c>
      <c r="C306" s="1681">
        <v>1435000</v>
      </c>
      <c r="D306" s="1684"/>
      <c r="E306" s="1681"/>
      <c r="F306" s="1682">
        <v>50</v>
      </c>
    </row>
    <row r="307" ht="16" customHeight="1">
      <c r="A307" s="12"/>
      <c r="B307" t="s" s="1683">
        <v>1787</v>
      </c>
      <c r="C307" s="1681">
        <v>8500000</v>
      </c>
      <c r="D307" s="1684"/>
      <c r="E307" s="1681"/>
      <c r="F307" s="1682">
        <v>17</v>
      </c>
    </row>
    <row r="308" ht="16" customHeight="1">
      <c r="A308" s="12"/>
      <c r="B308" t="s" s="1683">
        <v>1788</v>
      </c>
      <c r="C308" s="1681">
        <v>0</v>
      </c>
      <c r="D308" s="1684"/>
      <c r="E308" s="1681"/>
      <c r="F308" s="1682">
        <v>5</v>
      </c>
    </row>
    <row r="309" ht="16" customHeight="1">
      <c r="A309" s="12"/>
      <c r="B309" t="s" s="1683">
        <v>1789</v>
      </c>
      <c r="C309" s="1681">
        <v>0</v>
      </c>
      <c r="D309" s="1684"/>
      <c r="E309" s="1681"/>
      <c r="F309" s="1682">
        <v>36</v>
      </c>
    </row>
    <row r="310" ht="16" customHeight="1">
      <c r="A310" s="12"/>
      <c r="B310" t="s" s="1683">
        <v>1790</v>
      </c>
      <c r="C310" s="1681">
        <v>1380000</v>
      </c>
      <c r="D310" s="1684"/>
      <c r="E310" s="1681"/>
      <c r="F310" s="1682">
        <v>256</v>
      </c>
    </row>
    <row r="311" ht="16" customHeight="1">
      <c r="A311" s="12"/>
      <c r="B311" t="s" s="1683">
        <v>1791</v>
      </c>
      <c r="C311" s="1681">
        <v>1087500</v>
      </c>
      <c r="D311" s="1684"/>
      <c r="E311" s="1681"/>
      <c r="F311" s="1682">
        <v>75</v>
      </c>
    </row>
    <row r="312" ht="16" customHeight="1">
      <c r="A312" s="12"/>
      <c r="B312" t="s" s="1683">
        <v>1792</v>
      </c>
      <c r="C312" s="1681">
        <v>0</v>
      </c>
      <c r="D312" s="1684"/>
      <c r="E312" s="1681"/>
      <c r="F312" s="1682">
        <v>84</v>
      </c>
    </row>
    <row r="313" ht="16" customHeight="1">
      <c r="A313" s="12"/>
      <c r="B313" t="s" s="1683">
        <v>1793</v>
      </c>
      <c r="C313" s="1681">
        <v>5730000</v>
      </c>
      <c r="D313" s="1684"/>
      <c r="E313" s="1681"/>
      <c r="F313" s="1682">
        <v>933</v>
      </c>
    </row>
    <row r="314" ht="16" customHeight="1">
      <c r="A314" s="12"/>
      <c r="B314" t="s" s="1683">
        <v>1794</v>
      </c>
      <c r="C314" s="1681">
        <v>250000</v>
      </c>
      <c r="D314" s="1684"/>
      <c r="E314" s="1681"/>
      <c r="F314" s="1682">
        <v>13</v>
      </c>
    </row>
    <row r="315" ht="16" customHeight="1">
      <c r="A315" s="12"/>
      <c r="B315" t="s" s="1683">
        <v>1795</v>
      </c>
      <c r="C315" s="1681">
        <v>4290000</v>
      </c>
      <c r="D315" s="1684"/>
      <c r="E315" s="1681"/>
      <c r="F315" s="1682">
        <v>113</v>
      </c>
    </row>
    <row r="316" ht="16" customHeight="1">
      <c r="A316" s="12"/>
      <c r="B316" t="s" s="1683">
        <v>1796</v>
      </c>
      <c r="C316" s="1681">
        <v>250000</v>
      </c>
      <c r="D316" s="1684"/>
      <c r="E316" s="1681"/>
      <c r="F316" s="1682">
        <v>1</v>
      </c>
    </row>
    <row r="317" ht="16" customHeight="1">
      <c r="A317" s="12"/>
      <c r="B317" t="s" s="1683">
        <v>1797</v>
      </c>
      <c r="C317" s="1681">
        <v>24797500</v>
      </c>
      <c r="D317" s="1684"/>
      <c r="E317" s="1681"/>
      <c r="F317" s="1682">
        <v>126</v>
      </c>
    </row>
    <row r="318" ht="16" customHeight="1">
      <c r="A318" s="12"/>
      <c r="B318" t="s" s="1683">
        <v>1798</v>
      </c>
      <c r="C318" s="1681">
        <v>500000</v>
      </c>
      <c r="D318" s="1684"/>
      <c r="E318" s="1681"/>
      <c r="F318" s="1682">
        <v>2</v>
      </c>
    </row>
    <row r="319" ht="16" customHeight="1">
      <c r="A319" s="12"/>
      <c r="B319" t="s" s="1683">
        <v>1799</v>
      </c>
      <c r="C319" s="1681">
        <v>500000</v>
      </c>
      <c r="D319" s="1684"/>
      <c r="E319" s="1681"/>
      <c r="F319" s="1682">
        <v>2</v>
      </c>
    </row>
    <row r="320" ht="16" customHeight="1">
      <c r="A320" s="12"/>
      <c r="B320" t="s" s="1683">
        <v>1800</v>
      </c>
      <c r="C320" s="1681">
        <v>880000</v>
      </c>
      <c r="D320" s="1684"/>
      <c r="E320" s="1681"/>
      <c r="F320" s="1682">
        <v>4</v>
      </c>
    </row>
    <row r="321" ht="16" customHeight="1">
      <c r="A321" s="12"/>
      <c r="B321" t="s" s="1683">
        <v>1801</v>
      </c>
      <c r="C321" s="1681">
        <v>1950000</v>
      </c>
      <c r="D321" s="1684"/>
      <c r="E321" s="1681"/>
      <c r="F321" s="1682">
        <v>8</v>
      </c>
    </row>
    <row r="322" ht="16" customHeight="1">
      <c r="A322" s="12"/>
      <c r="B322" t="s" s="1683">
        <v>1802</v>
      </c>
      <c r="C322" s="1681">
        <v>1200000</v>
      </c>
      <c r="D322" s="1684"/>
      <c r="E322" s="1681"/>
      <c r="F322" s="1682">
        <v>5</v>
      </c>
    </row>
    <row r="323" ht="16" customHeight="1">
      <c r="A323" s="12"/>
      <c r="B323" t="s" s="1683">
        <v>1803</v>
      </c>
      <c r="C323" s="1681">
        <v>250000</v>
      </c>
      <c r="D323" s="1684"/>
      <c r="E323" s="1681"/>
      <c r="F323" s="1682">
        <v>1</v>
      </c>
    </row>
    <row r="324" ht="16" customHeight="1">
      <c r="A324" s="12"/>
      <c r="B324" t="s" s="1683">
        <v>1804</v>
      </c>
      <c r="C324" s="1681">
        <v>1750000</v>
      </c>
      <c r="D324" s="1684"/>
      <c r="E324" s="1681"/>
      <c r="F324" s="1682">
        <v>7</v>
      </c>
    </row>
    <row r="325" ht="16" customHeight="1">
      <c r="A325" s="12"/>
      <c r="B325" t="s" s="1683">
        <v>1692</v>
      </c>
      <c r="C325" s="1681">
        <v>38000000</v>
      </c>
      <c r="D325" s="1684"/>
      <c r="E325" s="1681"/>
      <c r="F325" s="1682">
        <v>81</v>
      </c>
    </row>
    <row r="326" ht="16" customHeight="1">
      <c r="A326" s="12"/>
      <c r="B326" t="s" s="1683">
        <v>1805</v>
      </c>
      <c r="C326" s="1681">
        <v>1526250</v>
      </c>
      <c r="D326" s="1684"/>
      <c r="E326" s="1681"/>
      <c r="F326" s="1682">
        <v>104</v>
      </c>
    </row>
    <row r="327" ht="16" customHeight="1">
      <c r="A327" s="12"/>
      <c r="B327" t="s" s="1683">
        <v>1806</v>
      </c>
      <c r="C327" s="1681">
        <v>500000</v>
      </c>
      <c r="D327" s="1684"/>
      <c r="E327" s="1681"/>
      <c r="F327" s="1682">
        <v>1</v>
      </c>
    </row>
    <row r="328" ht="16" customHeight="1">
      <c r="A328" s="12"/>
      <c r="B328" t="s" s="1683">
        <v>1807</v>
      </c>
      <c r="C328" s="1681">
        <v>1837500</v>
      </c>
      <c r="D328" s="1684"/>
      <c r="E328" s="1681"/>
      <c r="F328" s="1682">
        <v>53</v>
      </c>
    </row>
    <row r="329" ht="16" customHeight="1">
      <c r="A329" s="12"/>
      <c r="B329" t="s" s="1683">
        <v>1808</v>
      </c>
      <c r="C329" s="1681">
        <v>3461250</v>
      </c>
      <c r="D329" s="1684"/>
      <c r="E329" s="1681"/>
      <c r="F329" s="1682">
        <v>18</v>
      </c>
    </row>
    <row r="330" ht="16" customHeight="1">
      <c r="A330" s="12"/>
      <c r="B330" t="s" s="1683">
        <v>1809</v>
      </c>
      <c r="C330" s="1681">
        <v>1390000</v>
      </c>
      <c r="D330" s="1684"/>
      <c r="E330" s="1681"/>
      <c r="F330" s="1682">
        <v>3</v>
      </c>
    </row>
    <row r="331" ht="16" customHeight="1">
      <c r="A331" s="12"/>
      <c r="B331" t="s" s="1683">
        <v>1810</v>
      </c>
      <c r="C331" s="1681">
        <v>2300000</v>
      </c>
      <c r="D331" s="1684"/>
      <c r="E331" s="1681"/>
      <c r="F331" s="1682">
        <v>50</v>
      </c>
    </row>
    <row r="332" ht="16" customHeight="1">
      <c r="A332" s="12"/>
      <c r="B332" t="s" s="1683">
        <v>1811</v>
      </c>
      <c r="C332" s="1681">
        <v>786000</v>
      </c>
      <c r="D332" s="1684"/>
      <c r="E332" s="1681"/>
      <c r="F332" s="1682">
        <v>23</v>
      </c>
    </row>
    <row r="333" ht="16" customHeight="1">
      <c r="A333" s="12"/>
      <c r="B333" t="s" s="1683">
        <v>1812</v>
      </c>
      <c r="C333" s="1681">
        <v>341250</v>
      </c>
      <c r="D333" s="1684"/>
      <c r="E333" s="1681"/>
      <c r="F333" s="1682">
        <v>10</v>
      </c>
    </row>
    <row r="334" ht="16" customHeight="1">
      <c r="A334" s="12"/>
      <c r="B334" t="s" s="1683">
        <v>1813</v>
      </c>
      <c r="C334" s="1681">
        <v>6190500</v>
      </c>
      <c r="D334" s="1684"/>
      <c r="E334" s="1681"/>
      <c r="F334" s="1682">
        <v>47</v>
      </c>
    </row>
    <row r="335" ht="16" customHeight="1">
      <c r="A335" s="12"/>
      <c r="B335" t="s" s="1683">
        <v>1814</v>
      </c>
      <c r="C335" s="1681">
        <v>1785000</v>
      </c>
      <c r="D335" s="1684"/>
      <c r="E335" s="1681"/>
      <c r="F335" s="1682">
        <v>32</v>
      </c>
    </row>
    <row r="336" ht="16" customHeight="1">
      <c r="A336" s="12"/>
      <c r="B336" t="s" s="1683">
        <v>1815</v>
      </c>
      <c r="C336" s="1681">
        <v>950000</v>
      </c>
      <c r="D336" s="1684"/>
      <c r="E336" s="1681"/>
      <c r="F336" s="1682">
        <v>1</v>
      </c>
    </row>
    <row r="337" ht="16" customHeight="1">
      <c r="A337" s="12"/>
      <c r="B337" t="s" s="1683">
        <v>1816</v>
      </c>
      <c r="C337" s="1681">
        <v>1100000</v>
      </c>
      <c r="D337" s="1684"/>
      <c r="E337" s="1681"/>
      <c r="F337" s="1682">
        <v>1</v>
      </c>
    </row>
    <row r="338" ht="16" customHeight="1">
      <c r="A338" s="12"/>
      <c r="B338" t="s" s="1683">
        <v>1817</v>
      </c>
      <c r="C338" s="1681">
        <v>0</v>
      </c>
      <c r="D338" s="1684"/>
      <c r="E338" s="1681"/>
      <c r="F338" s="1682">
        <v>28</v>
      </c>
    </row>
    <row r="339" ht="16" customHeight="1">
      <c r="A339" s="12"/>
      <c r="B339" t="s" s="1683">
        <v>1818</v>
      </c>
      <c r="C339" s="1681">
        <v>20020000</v>
      </c>
      <c r="D339" s="1684"/>
      <c r="E339" s="1681"/>
      <c r="F339" s="1682">
        <v>2273</v>
      </c>
    </row>
    <row r="340" ht="16" customHeight="1">
      <c r="A340" s="12"/>
      <c r="B340" t="s" s="1683">
        <v>1819</v>
      </c>
      <c r="C340" s="1681">
        <v>3300000</v>
      </c>
      <c r="D340" s="1684"/>
      <c r="E340" s="1681"/>
      <c r="F340" s="1682">
        <v>22</v>
      </c>
    </row>
    <row r="341" ht="16" customHeight="1">
      <c r="A341" s="12"/>
      <c r="B341" t="s" s="1683">
        <v>1820</v>
      </c>
      <c r="C341" s="1681">
        <v>27610000</v>
      </c>
      <c r="D341" s="1684"/>
      <c r="E341" s="1681"/>
      <c r="F341" s="1682">
        <v>471</v>
      </c>
    </row>
    <row r="342" ht="15.5" customHeight="1">
      <c r="A342" s="570"/>
      <c r="B342" s="1686"/>
      <c r="C342" s="1687"/>
      <c r="D342" s="1687"/>
      <c r="E342" s="1687"/>
      <c r="F342" s="168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1:G263"/>
  <sheetViews>
    <sheetView workbookViewId="0" showGridLines="0" defaultGridColor="1"/>
  </sheetViews>
  <sheetFormatPr defaultColWidth="8.83333" defaultRowHeight="14.5" customHeight="1" outlineLevelRow="0" outlineLevelCol="0"/>
  <cols>
    <col min="1" max="1" width="3.85156" style="1689" customWidth="1"/>
    <col min="2" max="2" width="49" style="1689" customWidth="1"/>
    <col min="3" max="3" width="20.5" style="1689" customWidth="1"/>
    <col min="4" max="4" width="9.17188" style="1689" customWidth="1"/>
    <col min="5" max="5" width="2.35156" style="1689" customWidth="1"/>
    <col min="6" max="6" width="16.6719" style="1689" customWidth="1"/>
    <col min="7" max="7" width="8.85156" style="1689" customWidth="1"/>
    <col min="8" max="16384" width="8.85156" style="1689" customWidth="1"/>
  </cols>
  <sheetData>
    <row r="1" ht="15" customHeight="1">
      <c r="A1" s="7"/>
      <c r="B1" s="8"/>
      <c r="C1" s="8"/>
      <c r="D1" s="8"/>
      <c r="E1" s="8"/>
      <c r="F1" s="8"/>
      <c r="G1" s="11"/>
    </row>
    <row r="2" ht="30.5" customHeight="1">
      <c r="A2" s="12"/>
      <c r="B2" t="s" s="1668">
        <v>1506</v>
      </c>
      <c r="C2" t="s" s="1669">
        <v>1822</v>
      </c>
      <c r="D2" t="s" s="1670">
        <v>161</v>
      </c>
      <c r="E2" s="1671"/>
      <c r="F2" t="s" s="1672">
        <v>1508</v>
      </c>
      <c r="G2" s="578"/>
    </row>
    <row r="3" ht="9.65" customHeight="1">
      <c r="A3" s="12"/>
      <c r="B3" s="1673"/>
      <c r="C3" s="1674"/>
      <c r="D3" s="1675"/>
      <c r="E3" s="1674"/>
      <c r="F3" s="1676"/>
      <c r="G3" s="578"/>
    </row>
    <row r="4" ht="15" customHeight="1">
      <c r="A4" s="12"/>
      <c r="B4" t="s" s="1677">
        <v>1292</v>
      </c>
      <c r="C4" s="1678">
        <v>63529927247.26</v>
      </c>
      <c r="D4" s="1678"/>
      <c r="E4" s="1678"/>
      <c r="F4" s="1679">
        <v>72999.5</v>
      </c>
      <c r="G4" s="578"/>
    </row>
    <row r="5" ht="10.25" customHeight="1">
      <c r="A5" s="12"/>
      <c r="B5" s="1680"/>
      <c r="C5" s="1681"/>
      <c r="D5" s="1681"/>
      <c r="E5" s="1681"/>
      <c r="F5" s="1682"/>
      <c r="G5" s="578"/>
    </row>
    <row r="6" ht="15" customHeight="1">
      <c r="A6" s="12"/>
      <c r="B6" t="s" s="1677">
        <v>1823</v>
      </c>
      <c r="C6" s="1678">
        <v>35014332682.7</v>
      </c>
      <c r="D6" s="1678"/>
      <c r="E6" s="1678"/>
      <c r="F6" s="1679">
        <v>2431</v>
      </c>
      <c r="G6" s="578"/>
    </row>
    <row r="7" ht="16" customHeight="1">
      <c r="A7" s="12"/>
      <c r="B7" t="s" s="1683">
        <v>1824</v>
      </c>
      <c r="C7" s="1681">
        <v>24220538794.7</v>
      </c>
      <c r="D7" s="1684" cm="1">
        <f t="array" ref="D7">IF(C7/$C$6=0,"-",C7/$C$6)</f>
        <v>0.691732126217758</v>
      </c>
      <c r="E7" s="1681"/>
      <c r="F7" s="1682">
        <v>1488</v>
      </c>
      <c r="G7" s="578"/>
    </row>
    <row r="8" ht="16" customHeight="1">
      <c r="A8" s="12"/>
      <c r="B8" t="s" s="1683">
        <v>1825</v>
      </c>
      <c r="C8" s="1681">
        <v>7125391045</v>
      </c>
      <c r="D8" s="1684" cm="1">
        <f t="array" ref="D8">IF(C8/$C$6=0,"-",C8/$C$6)</f>
        <v>0.2034992672735</v>
      </c>
      <c r="E8" s="1681"/>
      <c r="F8" s="1682">
        <v>658</v>
      </c>
      <c r="G8" s="578"/>
    </row>
    <row r="9" ht="16" customHeight="1">
      <c r="A9" s="12"/>
      <c r="B9" t="s" s="1683">
        <v>1826</v>
      </c>
      <c r="C9" s="1681">
        <v>2078589000</v>
      </c>
      <c r="D9" s="1684" cm="1">
        <f t="array" ref="D9">IF(C9/$C$6=0,"-",C9/$C$6)</f>
        <v>0.0593639472965594</v>
      </c>
      <c r="E9" s="1681"/>
      <c r="F9" s="1682">
        <v>170</v>
      </c>
      <c r="G9" s="578"/>
    </row>
    <row r="10" ht="16" customHeight="1">
      <c r="A10" s="12"/>
      <c r="B10" t="s" s="1683">
        <v>1827</v>
      </c>
      <c r="C10" s="1681">
        <v>464368500</v>
      </c>
      <c r="D10" s="1684" cm="1">
        <f t="array" ref="D10">IF(C10/$C$6=0,"-",C10/$C$6)</f>
        <v>0.0132622404718693</v>
      </c>
      <c r="E10" s="1681"/>
      <c r="F10" s="1682">
        <v>37</v>
      </c>
      <c r="G10" s="578"/>
    </row>
    <row r="11" ht="16" customHeight="1">
      <c r="A11" s="12"/>
      <c r="B11" t="s" s="1683">
        <v>1828</v>
      </c>
      <c r="C11" s="1681">
        <v>422426000</v>
      </c>
      <c r="D11" s="1684" cm="1">
        <f t="array" ref="D11">IF(C11/$C$6=0,"-",C11/$C$6)</f>
        <v>0.0120643738616419</v>
      </c>
      <c r="E11" s="1681"/>
      <c r="F11" s="1682">
        <v>29</v>
      </c>
      <c r="G11" s="578"/>
    </row>
    <row r="12" ht="16" customHeight="1">
      <c r="A12" s="12"/>
      <c r="B12" t="s" s="1683">
        <v>1829</v>
      </c>
      <c r="C12" s="1681">
        <v>351859258</v>
      </c>
      <c r="D12" s="1684" cm="1">
        <f t="array" ref="D12">IF(C12/$C$6=0,"-",C12/$C$6)</f>
        <v>0.0100490065365103</v>
      </c>
      <c r="E12" s="1681"/>
      <c r="F12" s="1682">
        <v>28</v>
      </c>
      <c r="G12" s="578"/>
    </row>
    <row r="13" ht="16" customHeight="1">
      <c r="A13" s="12"/>
      <c r="B13" t="s" s="1683">
        <v>1830</v>
      </c>
      <c r="C13" s="1681">
        <v>156240005</v>
      </c>
      <c r="D13" s="1684" cm="1">
        <f t="array" ref="D13">IF(C13/$C$6=0,"-",C13/$C$6)</f>
        <v>0.00446217285977852</v>
      </c>
      <c r="E13" s="1681"/>
      <c r="F13" s="1682">
        <v>8</v>
      </c>
      <c r="G13" s="578"/>
    </row>
    <row r="14" ht="16" customHeight="1">
      <c r="A14" s="12"/>
      <c r="B14" t="s" s="1683">
        <v>1831</v>
      </c>
      <c r="C14" s="1681">
        <v>104560000</v>
      </c>
      <c r="D14" s="1684" cm="1">
        <f t="array" ref="D14">IF(C14/$C$6=0,"-",C14/$C$6)</f>
        <v>0.00298620570460454</v>
      </c>
      <c r="E14" s="1681"/>
      <c r="F14" s="1682">
        <v>7</v>
      </c>
      <c r="G14" s="578"/>
    </row>
    <row r="15" ht="16" customHeight="1">
      <c r="A15" s="12"/>
      <c r="B15" t="s" s="1683">
        <v>1832</v>
      </c>
      <c r="C15" s="1681">
        <v>60610080</v>
      </c>
      <c r="D15" s="1684" cm="1">
        <f t="array" ref="D15">IF(C15/$C$6=0,"-",C15/$C$6)</f>
        <v>0.00173100771473353</v>
      </c>
      <c r="E15" s="1681"/>
      <c r="F15" s="1682">
        <v>4</v>
      </c>
      <c r="G15" s="578"/>
    </row>
    <row r="16" ht="16" customHeight="1">
      <c r="A16" s="12"/>
      <c r="B16" t="s" s="1683">
        <v>1833</v>
      </c>
      <c r="C16" s="1681">
        <v>20750000</v>
      </c>
      <c r="D16" s="1684" cm="1">
        <f t="array" ref="D16">IF(C16/$C$6=0,"-",C16/$C$6)</f>
        <v>0.00059261446414063</v>
      </c>
      <c r="E16" s="1681"/>
      <c r="F16" s="1682">
        <v>1</v>
      </c>
      <c r="G16" s="578"/>
    </row>
    <row r="17" ht="16" customHeight="1">
      <c r="A17" s="12"/>
      <c r="B17" t="s" s="1683">
        <v>1834</v>
      </c>
      <c r="C17" s="1681">
        <v>9000000</v>
      </c>
      <c r="D17" s="1684" cm="1">
        <f t="array" ref="D17">IF(C17/$C$6=0,"-",C17/$C$6)</f>
        <v>0.00025703759890437</v>
      </c>
      <c r="E17" s="1681"/>
      <c r="F17" s="1682">
        <v>1</v>
      </c>
      <c r="G17" s="578"/>
    </row>
    <row r="18" ht="16" customHeight="1">
      <c r="A18" s="12"/>
      <c r="B18" s="1680"/>
      <c r="C18" s="1681"/>
      <c r="D18" s="1681"/>
      <c r="E18" s="1681"/>
      <c r="F18" s="1682"/>
      <c r="G18" s="578"/>
    </row>
    <row r="19" ht="15" customHeight="1">
      <c r="A19" s="12"/>
      <c r="B19" t="s" s="1683">
        <v>1835</v>
      </c>
      <c r="C19" s="1681">
        <v>20272958381.15</v>
      </c>
      <c r="D19" s="1685"/>
      <c r="E19" s="1681"/>
      <c r="F19" s="1682">
        <v>14561</v>
      </c>
      <c r="G19" s="578"/>
    </row>
    <row r="20" ht="16" customHeight="1">
      <c r="A20" s="12"/>
      <c r="B20" t="s" s="1683">
        <v>1836</v>
      </c>
      <c r="C20" s="1681">
        <v>10924249910.94</v>
      </c>
      <c r="D20" s="1684" cm="1">
        <f t="array" ref="D20">IF(C20/$C$19=0,"-",C20/$C$19)</f>
        <v>0.538858202416944</v>
      </c>
      <c r="E20" s="1681"/>
      <c r="F20" s="1682">
        <v>7901</v>
      </c>
      <c r="G20" s="578"/>
    </row>
    <row r="21" ht="16" customHeight="1">
      <c r="A21" s="12"/>
      <c r="B21" t="s" s="1683">
        <v>1837</v>
      </c>
      <c r="C21" s="1681">
        <v>4320956089.25</v>
      </c>
      <c r="D21" s="1684" cm="1">
        <f t="array" ref="D21">IF(C21/$C$19=0,"-",C21/$C$19)</f>
        <v>0.213138901980269</v>
      </c>
      <c r="E21" s="1681"/>
      <c r="F21" s="1682">
        <v>2910</v>
      </c>
      <c r="G21" s="578"/>
    </row>
    <row r="22" ht="16" customHeight="1">
      <c r="A22" s="12"/>
      <c r="B22" t="s" s="1683">
        <v>1838</v>
      </c>
      <c r="C22" s="1681">
        <v>3155618629</v>
      </c>
      <c r="D22" s="1684" cm="1">
        <f t="array" ref="D22">IF(C22/$C$19=0,"-",C22/$C$19)</f>
        <v>0.155656543542956</v>
      </c>
      <c r="E22" s="1681"/>
      <c r="F22" s="1682">
        <v>2250</v>
      </c>
      <c r="G22" s="578"/>
    </row>
    <row r="23" ht="16" customHeight="1">
      <c r="A23" s="12"/>
      <c r="B23" t="s" s="1683">
        <v>1839</v>
      </c>
      <c r="C23" s="1681">
        <v>840161752</v>
      </c>
      <c r="D23" s="1684" cm="1">
        <f t="array" ref="D23">IF(C23/$C$19=0,"-",C23/$C$19)</f>
        <v>0.0414424839337307</v>
      </c>
      <c r="E23" s="1681"/>
      <c r="F23" s="1682">
        <v>696</v>
      </c>
      <c r="G23" s="578"/>
    </row>
    <row r="24" ht="16" customHeight="1">
      <c r="A24" s="12"/>
      <c r="B24" t="s" s="1683">
        <v>1840</v>
      </c>
      <c r="C24" s="1681">
        <v>690915999.96</v>
      </c>
      <c r="D24" s="1684" cm="1">
        <f t="array" ref="D24">IF(C24/$C$19=0,"-",C24/$C$19)</f>
        <v>0.0340806697754789</v>
      </c>
      <c r="E24" s="1681"/>
      <c r="F24" s="1682">
        <v>550</v>
      </c>
      <c r="G24" s="578"/>
    </row>
    <row r="25" ht="16" customHeight="1">
      <c r="A25" s="12"/>
      <c r="B25" t="s" s="1683">
        <v>1841</v>
      </c>
      <c r="C25" s="1681">
        <v>174260000</v>
      </c>
      <c r="D25" s="1684" cm="1">
        <f t="array" ref="D25">IF(C25/$C$19=0,"-",C25/$C$19)</f>
        <v>0.008595686762817439</v>
      </c>
      <c r="E25" s="1681"/>
      <c r="F25" s="1682">
        <v>129</v>
      </c>
      <c r="G25" s="578"/>
    </row>
    <row r="26" ht="16" customHeight="1">
      <c r="A26" s="12"/>
      <c r="B26" t="s" s="1683">
        <v>1842</v>
      </c>
      <c r="C26" s="1681">
        <v>82060000</v>
      </c>
      <c r="D26" s="1684" cm="1">
        <f t="array" ref="D26">IF(C26/$C$19=0,"-",C26/$C$19)</f>
        <v>0.00404775654629174</v>
      </c>
      <c r="E26" s="1681"/>
      <c r="F26" s="1682">
        <v>61</v>
      </c>
      <c r="G26" s="578"/>
    </row>
    <row r="27" ht="16" customHeight="1">
      <c r="A27" s="12"/>
      <c r="B27" t="s" s="1683">
        <v>1843</v>
      </c>
      <c r="C27" s="1681">
        <v>54911000</v>
      </c>
      <c r="D27" s="1684" cm="1">
        <f t="array" ref="D27">IF(C27/$C$19=0,"-",C27/$C$19)</f>
        <v>0.00270858347201348</v>
      </c>
      <c r="E27" s="1681"/>
      <c r="F27" s="1682">
        <v>41</v>
      </c>
      <c r="G27" s="578"/>
    </row>
    <row r="28" ht="16" customHeight="1">
      <c r="A28" s="12"/>
      <c r="B28" t="s" s="1683">
        <v>1844</v>
      </c>
      <c r="C28" s="1681">
        <v>17600000</v>
      </c>
      <c r="D28" s="1684" cm="1">
        <f t="array" ref="D28">IF(C28/$C$19=0,"-",C28/$C$19)</f>
        <v>0.000868151538078658</v>
      </c>
      <c r="E28" s="1681"/>
      <c r="F28" s="1682">
        <v>13</v>
      </c>
      <c r="G28" s="578"/>
    </row>
    <row r="29" ht="16" customHeight="1">
      <c r="A29" s="12"/>
      <c r="B29" t="s" s="1683">
        <v>1845</v>
      </c>
      <c r="C29" s="1681">
        <v>5000000</v>
      </c>
      <c r="D29" s="1684" cm="1">
        <f t="array" ref="D29">IF(C29/$C$19=0,"-",C29/$C$19)</f>
        <v>0.000246633959681437</v>
      </c>
      <c r="E29" s="1681"/>
      <c r="F29" s="1682">
        <v>4</v>
      </c>
      <c r="G29" s="578"/>
    </row>
    <row r="30" ht="16" customHeight="1">
      <c r="A30" s="12"/>
      <c r="B30" t="s" s="1683">
        <v>1846</v>
      </c>
      <c r="C30" s="1681">
        <v>4624000</v>
      </c>
      <c r="D30" s="1684" cm="1">
        <f t="array" ref="D30">IF(C30/$C$19=0,"-",C30/$C$19)</f>
        <v>0.000228087085913393</v>
      </c>
      <c r="E30" s="1681"/>
      <c r="F30" s="1682">
        <v>4</v>
      </c>
      <c r="G30" s="578"/>
    </row>
    <row r="31" ht="16" customHeight="1">
      <c r="A31" s="12"/>
      <c r="B31" t="s" s="1683">
        <v>1847</v>
      </c>
      <c r="C31" s="1681">
        <v>2601000</v>
      </c>
      <c r="D31" s="1684" cm="1">
        <f t="array" ref="D31">IF(C31/$C$19=0,"-",C31/$C$19)</f>
        <v>0.000128298985826284</v>
      </c>
      <c r="E31" s="1681"/>
      <c r="F31" s="1682">
        <v>2</v>
      </c>
      <c r="G31" s="578"/>
    </row>
    <row r="32" ht="16" customHeight="1">
      <c r="A32" s="12"/>
      <c r="B32" s="1680"/>
      <c r="C32" s="1681"/>
      <c r="D32" s="1681"/>
      <c r="E32" s="1681"/>
      <c r="F32" s="1682"/>
      <c r="G32" s="578"/>
    </row>
    <row r="33" ht="15" customHeight="1">
      <c r="A33" s="12"/>
      <c r="B33" t="s" s="1677">
        <v>1848</v>
      </c>
      <c r="C33" s="1678">
        <v>3320608495.3</v>
      </c>
      <c r="D33" s="1678"/>
      <c r="E33" s="1678"/>
      <c r="F33" s="1679">
        <v>1626</v>
      </c>
      <c r="G33" s="578"/>
    </row>
    <row r="34" ht="16" customHeight="1">
      <c r="A34" s="12"/>
      <c r="B34" t="s" s="1683">
        <v>1849</v>
      </c>
      <c r="C34" s="1681">
        <v>1704453993</v>
      </c>
      <c r="D34" s="1684" cm="1">
        <f t="array" ref="D34">IF(C34/$C$33=0,"-",C34/$C$33)</f>
        <v>0.513295679214364</v>
      </c>
      <c r="E34" s="1681"/>
      <c r="F34" s="1682">
        <v>821</v>
      </c>
      <c r="G34" s="578"/>
    </row>
    <row r="35" ht="16" customHeight="1">
      <c r="A35" s="12"/>
      <c r="B35" t="s" s="1683">
        <v>1850</v>
      </c>
      <c r="C35" s="1681">
        <v>1065739851</v>
      </c>
      <c r="D35" s="1684" cm="1">
        <f t="array" ref="D35">IF(C35/$C$33=0,"-",C35/$C$33)</f>
        <v>0.320947155471189</v>
      </c>
      <c r="E35" s="1681"/>
      <c r="F35" s="1682">
        <v>529</v>
      </c>
      <c r="G35" s="578"/>
    </row>
    <row r="36" ht="16" customHeight="1">
      <c r="A36" s="12"/>
      <c r="B36" t="s" s="1683">
        <v>1851</v>
      </c>
      <c r="C36" s="1681">
        <v>408365808</v>
      </c>
      <c r="D36" s="1684" cm="1">
        <f t="array" ref="D36">IF(C36/$C$33=0,"-",C36/$C$33)</f>
        <v>0.122979209556924</v>
      </c>
      <c r="E36" s="1681"/>
      <c r="F36" s="1682">
        <v>198</v>
      </c>
      <c r="G36" s="578"/>
    </row>
    <row r="37" ht="16" customHeight="1">
      <c r="A37" s="12"/>
      <c r="B37" t="s" s="1683">
        <v>1852</v>
      </c>
      <c r="C37" s="1681">
        <v>121714350.3</v>
      </c>
      <c r="D37" s="1684" cm="1">
        <f t="array" ref="D37">IF(C37/$C$33=0,"-",C37/$C$33)</f>
        <v>0.0366542308351842</v>
      </c>
      <c r="E37" s="1681"/>
      <c r="F37" s="1682">
        <v>68</v>
      </c>
      <c r="G37" s="578"/>
    </row>
    <row r="38" ht="16" customHeight="1">
      <c r="A38" s="12"/>
      <c r="B38" t="s" s="1683">
        <v>1853</v>
      </c>
      <c r="C38" s="1681">
        <v>12679996</v>
      </c>
      <c r="D38" s="1684" cm="1">
        <f t="array" ref="D38">IF(C38/$C$33=0,"-",C38/$C$33)</f>
        <v>0.00381857602844398</v>
      </c>
      <c r="E38" s="1681"/>
      <c r="F38" s="1682">
        <v>6</v>
      </c>
      <c r="G38" s="578"/>
    </row>
    <row r="39" ht="16" customHeight="1">
      <c r="A39" s="12"/>
      <c r="B39" t="s" s="1683">
        <v>1854</v>
      </c>
      <c r="C39" s="1681">
        <v>6262497</v>
      </c>
      <c r="D39" s="1684" cm="1">
        <f t="array" ref="D39">IF(C39/$C$33=0,"-",C39/$C$33)</f>
        <v>0.00188594861720795</v>
      </c>
      <c r="E39" s="1681"/>
      <c r="F39" s="1682">
        <v>3</v>
      </c>
      <c r="G39" s="578"/>
    </row>
    <row r="40" ht="16" customHeight="1">
      <c r="A40" s="12"/>
      <c r="B40" t="s" s="1683">
        <v>1855</v>
      </c>
      <c r="C40" s="1681">
        <v>1392000</v>
      </c>
      <c r="D40" s="1684" cm="1">
        <f t="array" ref="D40">IF(C40/$C$33=0,"-",C40/$C$33)</f>
        <v>0.000419200276687312</v>
      </c>
      <c r="E40" s="1681"/>
      <c r="F40" s="1682">
        <v>1</v>
      </c>
      <c r="G40" s="578"/>
    </row>
    <row r="41" ht="16" customHeight="1">
      <c r="A41" s="12"/>
      <c r="B41" s="1680"/>
      <c r="C41" s="1681"/>
      <c r="D41" s="1681"/>
      <c r="E41" s="1681"/>
      <c r="F41" s="1682"/>
      <c r="G41" s="578"/>
    </row>
    <row r="42" ht="15" customHeight="1">
      <c r="A42" s="12"/>
      <c r="B42" t="s" s="1683">
        <v>1856</v>
      </c>
      <c r="C42" s="1681">
        <v>3124450000</v>
      </c>
      <c r="D42" s="1681"/>
      <c r="E42" s="1681"/>
      <c r="F42" s="1682">
        <v>9382</v>
      </c>
      <c r="G42" s="1690"/>
    </row>
    <row r="43" ht="16" customHeight="1">
      <c r="A43" s="12"/>
      <c r="B43" t="s" s="1683">
        <v>1857</v>
      </c>
      <c r="C43" s="1681">
        <v>2368200000</v>
      </c>
      <c r="D43" s="1684" cm="1">
        <f t="array" ref="D43">IF(C43/$C$42=0,"-",C43/$C$42)</f>
        <v>0.7579574005024881</v>
      </c>
      <c r="E43" s="1681"/>
      <c r="F43" s="1682">
        <v>4301</v>
      </c>
      <c r="G43" s="1691" cm="1">
        <f t="array" ref="G43">F43/$F$42</f>
        <v>0.458431038158175</v>
      </c>
    </row>
    <row r="44" ht="16" customHeight="1">
      <c r="A44" s="12"/>
      <c r="B44" t="s" s="1683">
        <v>1858</v>
      </c>
      <c r="C44" s="1681">
        <v>382800000</v>
      </c>
      <c r="D44" s="1684" cm="1">
        <f t="array" ref="D44">IF(C44/$C$42=0,"-",C44/$C$42)</f>
        <v>0.122517563091104</v>
      </c>
      <c r="E44" s="1681"/>
      <c r="F44" s="1682">
        <v>638</v>
      </c>
      <c r="G44" s="1691" cm="1">
        <f t="array" ref="G44">F44/$F$42</f>
        <v>0.0680025580899595</v>
      </c>
    </row>
    <row r="45" ht="16" customHeight="1">
      <c r="A45" s="12"/>
      <c r="B45" t="s" s="1683">
        <v>1859</v>
      </c>
      <c r="C45" s="1681">
        <v>244300000</v>
      </c>
      <c r="D45" s="1684" cm="1">
        <f t="array" ref="D45">IF(C45/$C$42=0,"-",C45/$C$42)</f>
        <v>0.078189761398006</v>
      </c>
      <c r="E45" s="1681"/>
      <c r="F45" s="1682">
        <v>349</v>
      </c>
      <c r="G45" s="1691" cm="1">
        <f t="array" ref="G45">F45/$F$42</f>
        <v>0.0371988914943509</v>
      </c>
    </row>
    <row r="46" ht="16" customHeight="1">
      <c r="A46" s="12"/>
      <c r="B46" t="s" s="1683">
        <v>1860</v>
      </c>
      <c r="C46" s="1681">
        <v>92850000</v>
      </c>
      <c r="D46" s="1684" cm="1">
        <f t="array" ref="D46">IF(C46/$C$42=0,"-",C46/$C$42)</f>
        <v>0.0297172302325209</v>
      </c>
      <c r="E46" s="1681"/>
      <c r="F46" s="1682">
        <v>333</v>
      </c>
      <c r="G46" s="1691" cm="1">
        <f t="array" ref="G46">F46/$F$42</f>
        <v>0.0354934981880196</v>
      </c>
    </row>
    <row r="47" ht="16" customHeight="1">
      <c r="A47" s="12"/>
      <c r="B47" t="s" s="1683">
        <v>1861</v>
      </c>
      <c r="C47" s="1681">
        <v>12250000</v>
      </c>
      <c r="D47" s="1684" cm="1">
        <f t="array" ref="D47">IF(C47/$C$42=0,"-",C47/$C$42)</f>
        <v>0.00392069004144729</v>
      </c>
      <c r="E47" s="1681"/>
      <c r="F47" s="1682">
        <v>35</v>
      </c>
      <c r="G47" s="1691" cm="1">
        <f t="array" ref="G47">F47/$F$42</f>
        <v>0.00373054785759966</v>
      </c>
    </row>
    <row r="48" ht="16" customHeight="1">
      <c r="A48" s="12"/>
      <c r="B48" t="s" s="1683">
        <v>1862</v>
      </c>
      <c r="C48" s="1681">
        <v>10300000</v>
      </c>
      <c r="D48" s="1684" cm="1">
        <f t="array" ref="D48">IF(C48/$C$42=0,"-",C48/$C$42)</f>
        <v>0.00329658019811487</v>
      </c>
      <c r="E48" s="1681"/>
      <c r="F48" s="1682">
        <v>37</v>
      </c>
      <c r="G48" s="1691" cm="1">
        <f t="array" ref="G48">F48/$F$42</f>
        <v>0.00394372202089107</v>
      </c>
    </row>
    <row r="49" ht="16" customHeight="1">
      <c r="A49" s="12"/>
      <c r="B49" t="s" s="1683">
        <v>1863</v>
      </c>
      <c r="C49" s="1681">
        <v>7500000</v>
      </c>
      <c r="D49" s="1684" cm="1">
        <f t="array" ref="D49">IF(C49/$C$42=0,"-",C49/$C$42)</f>
        <v>0.00240042247435549</v>
      </c>
      <c r="E49" s="1681"/>
      <c r="F49" s="1682">
        <v>25</v>
      </c>
      <c r="G49" s="1691" cm="1">
        <f t="array" ref="G49">F49/$F$42</f>
        <v>0.00266467704114261</v>
      </c>
    </row>
    <row r="50" ht="16" customHeight="1">
      <c r="A50" s="12"/>
      <c r="B50" t="s" s="1683">
        <v>1864</v>
      </c>
      <c r="C50" s="1681">
        <v>3900000</v>
      </c>
      <c r="D50" s="1684" cm="1">
        <f t="array" ref="D50">IF(C50/$C$42=0,"-",C50/$C$42)</f>
        <v>0.00124821968666485</v>
      </c>
      <c r="E50" s="1681"/>
      <c r="F50" s="1682">
        <v>6</v>
      </c>
      <c r="G50" s="1691" cm="1">
        <f t="array" ref="G50">F50/$F$42</f>
        <v>0.000639522489874227</v>
      </c>
    </row>
    <row r="51" ht="16" customHeight="1">
      <c r="A51" s="12"/>
      <c r="B51" t="s" s="1683">
        <v>1865</v>
      </c>
      <c r="C51" s="1681">
        <v>1750000</v>
      </c>
      <c r="D51" s="1684" cm="1">
        <f t="array" ref="D51">IF(C51/$C$42=0,"-",C51/$C$42)</f>
        <v>0.0005600985773496139</v>
      </c>
      <c r="E51" s="1681"/>
      <c r="F51" s="1682">
        <v>5</v>
      </c>
      <c r="G51" s="1691" cm="1">
        <f t="array" ref="G51">F51/$F$42</f>
        <v>0.000532935408228523</v>
      </c>
    </row>
    <row r="52" ht="16" customHeight="1">
      <c r="A52" s="12"/>
      <c r="B52" t="s" s="1683">
        <v>1866</v>
      </c>
      <c r="C52" s="1681">
        <v>600000</v>
      </c>
      <c r="D52" s="1684" cm="1">
        <f t="array" ref="D52">IF(C52/$C$42=0,"-",C52/$C$42)</f>
        <v>0.000192033797948439</v>
      </c>
      <c r="E52" s="1681"/>
      <c r="F52" s="1682">
        <v>2</v>
      </c>
      <c r="G52" s="1691" cm="1">
        <f t="array" ref="G52">F52/$F$42</f>
        <v>0.000213174163291409</v>
      </c>
    </row>
    <row r="53" ht="16" customHeight="1">
      <c r="A53" s="12"/>
      <c r="B53" t="s" s="1683">
        <v>1867</v>
      </c>
      <c r="C53" s="1681">
        <v>0</v>
      </c>
      <c r="D53" t="str" s="1675" cm="1">
        <f t="array" ref="D53">IF(C53/$C$42=0,"-",C53/$C$42)</f>
        <v>-</v>
      </c>
      <c r="E53" s="1681"/>
      <c r="F53" s="1682">
        <v>3507</v>
      </c>
      <c r="G53" s="1691" cm="1">
        <f t="array" ref="G53">F53/$F$42</f>
        <v>0.373800895331486</v>
      </c>
    </row>
    <row r="54" ht="16" customHeight="1">
      <c r="A54" s="12"/>
      <c r="B54" t="s" s="1683">
        <v>1868</v>
      </c>
      <c r="C54" s="1681">
        <v>0</v>
      </c>
      <c r="D54" t="str" s="1675" cm="1">
        <f t="array" ref="D54">IF(C54/$C$42=0,"-",C54/$C$42)</f>
        <v>-</v>
      </c>
      <c r="E54" s="1681"/>
      <c r="F54" s="1682">
        <v>19</v>
      </c>
      <c r="G54" s="1691" cm="1">
        <f t="array" ref="G54">F54/$F$42</f>
        <v>0.00202515455126839</v>
      </c>
    </row>
    <row r="55" ht="16" customHeight="1">
      <c r="A55" s="12"/>
      <c r="B55" t="s" s="1683">
        <v>1869</v>
      </c>
      <c r="C55" s="1681">
        <v>0</v>
      </c>
      <c r="D55" t="str" s="1675" cm="1">
        <f t="array" ref="D55">IF(C55/$C$42=0,"-",C55/$C$42)</f>
        <v>-</v>
      </c>
      <c r="E55" s="1681"/>
      <c r="F55" s="1682">
        <v>29</v>
      </c>
      <c r="G55" s="1691" cm="1">
        <f t="array" ref="G55">F55/$F$42</f>
        <v>0.00309102536772543</v>
      </c>
    </row>
    <row r="56" ht="16" customHeight="1">
      <c r="A56" s="12"/>
      <c r="B56" t="s" s="1683">
        <v>1870</v>
      </c>
      <c r="C56" s="1681">
        <v>0</v>
      </c>
      <c r="D56" t="str" s="1675" cm="1">
        <f t="array" ref="D56">IF(C56/$C$42=0,"-",C56/$C$42)</f>
        <v>-</v>
      </c>
      <c r="E56" s="1681"/>
      <c r="F56" s="1682">
        <v>90</v>
      </c>
      <c r="G56" s="1691" cm="1">
        <f t="array" ref="G56">F56/$F$42</f>
        <v>0.00959283734811341</v>
      </c>
    </row>
    <row r="57" ht="16" customHeight="1">
      <c r="A57" s="12"/>
      <c r="B57" t="s" s="1683">
        <v>1871</v>
      </c>
      <c r="C57" s="1681">
        <v>0</v>
      </c>
      <c r="D57" t="str" s="1675" cm="1">
        <f t="array" ref="D57">IF(C57/$C$42=0,"-",C57/$C$42)</f>
        <v>-</v>
      </c>
      <c r="E57" s="1681"/>
      <c r="F57" s="1682">
        <v>1</v>
      </c>
      <c r="G57" s="1691" cm="1">
        <f t="array" ref="G57">F57/$F$42</f>
        <v>0.000106587081645705</v>
      </c>
    </row>
    <row r="58" ht="16" customHeight="1">
      <c r="A58" s="12"/>
      <c r="B58" t="s" s="1683">
        <v>1872</v>
      </c>
      <c r="C58" s="1681">
        <v>0</v>
      </c>
      <c r="D58" t="str" s="1675" cm="1">
        <f t="array" ref="D58">IF(C58/$C$42=0,"-",C58/$C$42)</f>
        <v>-</v>
      </c>
      <c r="E58" s="1681"/>
      <c r="F58" s="1682">
        <v>5</v>
      </c>
      <c r="G58" s="1691" cm="1">
        <f t="array" ref="G58">F58/$F$42</f>
        <v>0.000532935408228523</v>
      </c>
    </row>
    <row r="59" ht="16" customHeight="1">
      <c r="A59" s="12"/>
      <c r="B59" s="1680"/>
      <c r="C59" s="1681"/>
      <c r="D59" s="1684"/>
      <c r="E59" s="1681"/>
      <c r="F59" s="1682"/>
      <c r="G59" s="1692"/>
    </row>
    <row r="60" ht="15" customHeight="1">
      <c r="A60" s="12"/>
      <c r="B60" t="s" s="1683">
        <v>1873</v>
      </c>
      <c r="C60" s="1681">
        <v>629270000</v>
      </c>
      <c r="D60" s="1681"/>
      <c r="E60" s="1681"/>
      <c r="F60" s="1682">
        <v>1664</v>
      </c>
      <c r="G60" s="578"/>
    </row>
    <row r="61" ht="16" customHeight="1">
      <c r="A61" s="12"/>
      <c r="B61" t="s" s="1683">
        <v>1874</v>
      </c>
      <c r="C61" s="1681">
        <v>286800000</v>
      </c>
      <c r="D61" s="1684" cm="1">
        <f t="array" ref="D61">IF(C61/$C$60=0,"-",C61/$C$60)</f>
        <v>0.45576620528549</v>
      </c>
      <c r="E61" s="1681"/>
      <c r="F61" s="1682">
        <v>382</v>
      </c>
      <c r="G61" s="578"/>
    </row>
    <row r="62" ht="16" customHeight="1">
      <c r="A62" s="12"/>
      <c r="B62" t="s" s="1683">
        <v>1875</v>
      </c>
      <c r="C62" s="1681">
        <v>191100000</v>
      </c>
      <c r="D62" s="1684" cm="1">
        <f t="array" ref="D62">IF(C62/$C$60=0,"-",C62/$C$60)</f>
        <v>0.303685222559474</v>
      </c>
      <c r="E62" s="1681"/>
      <c r="F62" s="1682">
        <v>255</v>
      </c>
      <c r="G62" s="578"/>
    </row>
    <row r="63" ht="16" customHeight="1">
      <c r="A63" s="12"/>
      <c r="B63" t="s" s="1683">
        <v>1876</v>
      </c>
      <c r="C63" s="1681">
        <v>112770000</v>
      </c>
      <c r="D63" s="1684" cm="1">
        <f t="array" ref="D63">IF(C63/$C$60=0,"-",C63/$C$60)</f>
        <v>0.179207653312569</v>
      </c>
      <c r="E63" s="1681"/>
      <c r="F63" s="1682">
        <v>981</v>
      </c>
      <c r="G63" s="578"/>
    </row>
    <row r="64" ht="16" customHeight="1">
      <c r="A64" s="12"/>
      <c r="B64" t="s" s="1683">
        <v>1877</v>
      </c>
      <c r="C64" s="1681">
        <v>31400000</v>
      </c>
      <c r="D64" s="1684" cm="1">
        <f t="array" ref="D64">IF(C64/$C$60=0,"-",C64/$C$60)</f>
        <v>0.0498990894210752</v>
      </c>
      <c r="E64" s="1681"/>
      <c r="F64" s="1682">
        <v>37</v>
      </c>
      <c r="G64" s="578"/>
    </row>
    <row r="65" ht="16" customHeight="1">
      <c r="A65" s="12"/>
      <c r="B65" t="s" s="1683">
        <v>1878</v>
      </c>
      <c r="C65" s="1681">
        <v>7200000</v>
      </c>
      <c r="D65" s="1684" cm="1">
        <f t="array" ref="D65">IF(C65/$C$60=0,"-",C65/$C$60)</f>
        <v>0.011441829421393</v>
      </c>
      <c r="E65" s="1681"/>
      <c r="F65" s="1682">
        <v>9</v>
      </c>
      <c r="G65" s="578"/>
    </row>
    <row r="66" ht="16" customHeight="1">
      <c r="A66" s="12"/>
      <c r="B66" s="1680"/>
      <c r="C66" s="1681"/>
      <c r="D66" s="1684"/>
      <c r="E66" s="1681"/>
      <c r="F66" s="1682"/>
      <c r="G66" s="578"/>
    </row>
    <row r="67" ht="15" customHeight="1">
      <c r="A67" s="12"/>
      <c r="B67" t="s" s="1683">
        <v>1879</v>
      </c>
      <c r="C67" s="1681">
        <v>347270000</v>
      </c>
      <c r="D67" s="1681"/>
      <c r="E67" s="1681"/>
      <c r="F67" s="1682">
        <v>646</v>
      </c>
      <c r="G67" s="578"/>
    </row>
    <row r="68" ht="16" customHeight="1">
      <c r="A68" s="12"/>
      <c r="B68" t="s" s="1683">
        <v>1880</v>
      </c>
      <c r="C68" s="1681">
        <v>60400000</v>
      </c>
      <c r="D68" s="1684" cm="1">
        <f t="array" ref="D68">IF(C68/$C$67=0,"-",C68/$C$67)</f>
        <v>0.173928067497912</v>
      </c>
      <c r="E68" s="1681"/>
      <c r="F68" s="1682">
        <v>151</v>
      </c>
      <c r="G68" s="578"/>
    </row>
    <row r="69" ht="16" customHeight="1">
      <c r="A69" s="12"/>
      <c r="B69" t="s" s="1683">
        <v>1881</v>
      </c>
      <c r="C69" s="1681">
        <v>58200000</v>
      </c>
      <c r="D69" s="1684" cm="1">
        <f t="array" ref="D69">IF(C69/$C$67=0,"-",C69/$C$67)</f>
        <v>0.167592939211564</v>
      </c>
      <c r="E69" s="1681"/>
      <c r="F69" s="1682">
        <v>87</v>
      </c>
      <c r="G69" s="578"/>
    </row>
    <row r="70" ht="16" customHeight="1">
      <c r="A70" s="12"/>
      <c r="B70" t="s" s="1683">
        <v>1882</v>
      </c>
      <c r="C70" s="1681">
        <v>43560000</v>
      </c>
      <c r="D70" s="1684" cm="1">
        <f t="array" ref="D70">IF(C70/$C$67=0,"-",C70/$C$67)</f>
        <v>0.125435540069686</v>
      </c>
      <c r="E70" s="1681"/>
      <c r="F70" s="1682">
        <v>44</v>
      </c>
      <c r="G70" s="578"/>
    </row>
    <row r="71" ht="16" customHeight="1">
      <c r="A71" s="12"/>
      <c r="B71" t="s" s="1683">
        <v>1883</v>
      </c>
      <c r="C71" s="1681">
        <v>24840000</v>
      </c>
      <c r="D71" s="1684" cm="1">
        <f t="array" ref="D71">IF(C71/$C$67=0,"-",C71/$C$67)</f>
        <v>0.0715293575603997</v>
      </c>
      <c r="E71" s="1681"/>
      <c r="F71" s="1682">
        <v>36</v>
      </c>
      <c r="G71" s="578"/>
    </row>
    <row r="72" ht="16" customHeight="1">
      <c r="A72" s="12"/>
      <c r="B72" t="s" s="1683">
        <v>1884</v>
      </c>
      <c r="C72" s="1681">
        <v>22230000</v>
      </c>
      <c r="D72" s="1684" cm="1">
        <f t="array" ref="D72">IF(C72/$C$67=0,"-",C72/$C$67)</f>
        <v>0.064013591729778</v>
      </c>
      <c r="E72" s="1681"/>
      <c r="F72" s="1682">
        <v>117</v>
      </c>
      <c r="G72" s="578"/>
    </row>
    <row r="73" ht="16" customHeight="1">
      <c r="A73" s="12"/>
      <c r="B73" t="s" s="1683">
        <v>1885</v>
      </c>
      <c r="C73" s="1681">
        <v>14550000</v>
      </c>
      <c r="D73" s="1684" cm="1">
        <f t="array" ref="D73">IF(C73/$C$67=0,"-",C73/$C$67)</f>
        <v>0.0418982348028911</v>
      </c>
      <c r="E73" s="1681"/>
      <c r="F73" s="1682">
        <v>18</v>
      </c>
      <c r="G73" s="578"/>
    </row>
    <row r="74" ht="16" customHeight="1">
      <c r="A74" s="12"/>
      <c r="B74" t="s" s="1683">
        <v>1886</v>
      </c>
      <c r="C74" s="1681">
        <v>14430000</v>
      </c>
      <c r="D74" s="1684" cm="1">
        <f t="array" ref="D74">IF(C74/$C$67=0,"-",C74/$C$67)</f>
        <v>0.0415526823509085</v>
      </c>
      <c r="E74" s="1681"/>
      <c r="F74" s="1682">
        <v>37</v>
      </c>
      <c r="G74" s="578"/>
    </row>
    <row r="75" ht="16" customHeight="1">
      <c r="A75" s="12"/>
      <c r="B75" t="s" s="1683">
        <v>1887</v>
      </c>
      <c r="C75" s="1681">
        <v>13800000</v>
      </c>
      <c r="D75" s="1684" cm="1">
        <f t="array" ref="D75">IF(C75/$C$67=0,"-",C75/$C$67)</f>
        <v>0.0397385319779998</v>
      </c>
      <c r="E75" s="1681"/>
      <c r="F75" s="1682">
        <v>24</v>
      </c>
      <c r="G75" s="578"/>
    </row>
    <row r="76" ht="16" customHeight="1">
      <c r="A76" s="12"/>
      <c r="B76" t="s" s="1683">
        <v>1888</v>
      </c>
      <c r="C76" s="1681">
        <v>12700000</v>
      </c>
      <c r="D76" s="1684" cm="1">
        <f t="array" ref="D76">IF(C76/$C$67=0,"-",C76/$C$67)</f>
        <v>0.0365709678348259</v>
      </c>
      <c r="E76" s="1681"/>
      <c r="F76" s="1682">
        <v>11</v>
      </c>
      <c r="G76" s="578"/>
    </row>
    <row r="77" ht="16" customHeight="1">
      <c r="A77" s="12"/>
      <c r="B77" t="s" s="1683">
        <v>1889</v>
      </c>
      <c r="C77" s="1681">
        <v>12000000</v>
      </c>
      <c r="D77" s="1684" cm="1">
        <f t="array" ref="D77">IF(C77/$C$67=0,"-",C77/$C$67)</f>
        <v>0.0345552451982607</v>
      </c>
      <c r="E77" s="1681"/>
      <c r="F77" s="1682">
        <v>17</v>
      </c>
      <c r="G77" s="578"/>
    </row>
    <row r="78" ht="16" customHeight="1">
      <c r="A78" s="12"/>
      <c r="B78" t="s" s="1683">
        <v>1890</v>
      </c>
      <c r="C78" s="1681">
        <v>10750000</v>
      </c>
      <c r="D78" s="1684" cm="1">
        <f t="array" ref="D78">IF(C78/$C$67=0,"-",C78/$C$67)</f>
        <v>0.0309557404901086</v>
      </c>
      <c r="E78" s="1681"/>
      <c r="F78" s="1682">
        <v>14</v>
      </c>
      <c r="G78" s="578"/>
    </row>
    <row r="79" ht="16" customHeight="1">
      <c r="A79" s="12"/>
      <c r="B79" t="s" s="1683">
        <v>1891</v>
      </c>
      <c r="C79" s="1681">
        <v>9600000</v>
      </c>
      <c r="D79" s="1684" cm="1">
        <f t="array" ref="D79">IF(C79/$C$67=0,"-",C79/$C$67)</f>
        <v>0.0276441961586086</v>
      </c>
      <c r="E79" s="1681"/>
      <c r="F79" s="1682">
        <v>24</v>
      </c>
      <c r="G79" s="578"/>
    </row>
    <row r="80" ht="16" customHeight="1">
      <c r="A80" s="12"/>
      <c r="B80" t="s" s="1683">
        <v>1892</v>
      </c>
      <c r="C80" s="1681">
        <v>7950000</v>
      </c>
      <c r="D80" s="1684" cm="1">
        <f t="array" ref="D80">IF(C80/$C$67=0,"-",C80/$C$67)</f>
        <v>0.0228928499438477</v>
      </c>
      <c r="E80" s="1681"/>
      <c r="F80" s="1682">
        <v>16</v>
      </c>
      <c r="G80" s="578"/>
    </row>
    <row r="81" ht="16" customHeight="1">
      <c r="A81" s="12"/>
      <c r="B81" t="s" s="1683">
        <v>1893</v>
      </c>
      <c r="C81" s="1681">
        <v>6000000</v>
      </c>
      <c r="D81" s="1684" cm="1">
        <f t="array" ref="D81">IF(C81/$C$67=0,"-",C81/$C$67)</f>
        <v>0.0172776225991304</v>
      </c>
      <c r="E81" s="1681"/>
      <c r="F81" s="1682">
        <v>5</v>
      </c>
      <c r="G81" s="578"/>
    </row>
    <row r="82" ht="16" customHeight="1">
      <c r="A82" s="12"/>
      <c r="B82" t="s" s="1683">
        <v>1894</v>
      </c>
      <c r="C82" s="1681">
        <v>5900000</v>
      </c>
      <c r="D82" s="1684" cm="1">
        <f t="array" ref="D82">IF(C82/$C$67=0,"-",C82/$C$67)</f>
        <v>0.0169896622224782</v>
      </c>
      <c r="E82" s="1681"/>
      <c r="F82" s="1682">
        <v>6</v>
      </c>
      <c r="G82" s="578"/>
    </row>
    <row r="83" ht="16" customHeight="1">
      <c r="A83" s="12"/>
      <c r="B83" t="s" s="1683">
        <v>1895</v>
      </c>
      <c r="C83" s="1681">
        <v>5560000</v>
      </c>
      <c r="D83" s="1684" cm="1">
        <f t="array" ref="D83">IF(C83/$C$67=0,"-",C83/$C$67)</f>
        <v>0.0160105969418608</v>
      </c>
      <c r="E83" s="1681"/>
      <c r="F83" s="1682">
        <v>5</v>
      </c>
      <c r="G83" s="578"/>
    </row>
    <row r="84" ht="16" customHeight="1">
      <c r="A84" s="12"/>
      <c r="B84" t="s" s="1683">
        <v>1896</v>
      </c>
      <c r="C84" s="1681">
        <v>4400000</v>
      </c>
      <c r="D84" s="1684" cm="1">
        <f t="array" ref="D84">IF(C84/$C$67=0,"-",C84/$C$67)</f>
        <v>0.0126702565726956</v>
      </c>
      <c r="E84" s="1681"/>
      <c r="F84" s="1682">
        <v>11</v>
      </c>
      <c r="G84" s="578"/>
    </row>
    <row r="85" ht="16" customHeight="1">
      <c r="A85" s="12"/>
      <c r="B85" t="s" s="1683">
        <v>1897</v>
      </c>
      <c r="C85" s="1681">
        <v>4300000</v>
      </c>
      <c r="D85" s="1684" cm="1">
        <f t="array" ref="D85">IF(C85/$C$67=0,"-",C85/$C$67)</f>
        <v>0.0123822961960434</v>
      </c>
      <c r="E85" s="1681"/>
      <c r="F85" s="1682">
        <v>3</v>
      </c>
      <c r="G85" s="578"/>
    </row>
    <row r="86" ht="16" customHeight="1">
      <c r="A86" s="12"/>
      <c r="B86" t="s" s="1683">
        <v>1898</v>
      </c>
      <c r="C86" s="1681">
        <v>4000000</v>
      </c>
      <c r="D86" s="1684" cm="1">
        <f t="array" ref="D86">IF(C86/$C$67=0,"-",C86/$C$67)</f>
        <v>0.0115184150660869</v>
      </c>
      <c r="E86" s="1681"/>
      <c r="F86" s="1682">
        <v>5</v>
      </c>
      <c r="G86" s="578"/>
    </row>
    <row r="87" ht="16" customHeight="1">
      <c r="A87" s="12"/>
      <c r="B87" t="s" s="1683">
        <v>1899</v>
      </c>
      <c r="C87" s="1681">
        <v>3500000</v>
      </c>
      <c r="D87" s="1684" cm="1">
        <f t="array" ref="D87">IF(C87/$C$67=0,"-",C87/$C$67)</f>
        <v>0.010078613182826</v>
      </c>
      <c r="E87" s="1681"/>
      <c r="F87" s="1682">
        <v>3</v>
      </c>
      <c r="G87" s="578"/>
    </row>
    <row r="88" ht="16" customHeight="1">
      <c r="A88" s="12"/>
      <c r="B88" t="s" s="1683">
        <v>1900</v>
      </c>
      <c r="C88" s="1681">
        <v>2700000</v>
      </c>
      <c r="D88" s="1684" cm="1">
        <f t="array" ref="D88">IF(C88/$C$67=0,"-",C88/$C$67)</f>
        <v>0.00777493016960866</v>
      </c>
      <c r="E88" s="1681"/>
      <c r="F88" s="1682">
        <v>2</v>
      </c>
      <c r="G88" s="578"/>
    </row>
    <row r="89" ht="16" customHeight="1">
      <c r="A89" s="12"/>
      <c r="B89" t="s" s="1683">
        <v>1901</v>
      </c>
      <c r="C89" s="1681">
        <v>2300000</v>
      </c>
      <c r="D89" s="1684" cm="1">
        <f t="array" ref="D89">IF(C89/$C$67=0,"-",C89/$C$67)</f>
        <v>0.00662308866299997</v>
      </c>
      <c r="E89" s="1681"/>
      <c r="F89" s="1682">
        <v>3</v>
      </c>
      <c r="G89" s="578"/>
    </row>
    <row r="90" ht="16" customHeight="1">
      <c r="A90" s="12"/>
      <c r="B90" t="s" s="1683">
        <v>1902</v>
      </c>
      <c r="C90" s="1681">
        <v>1100000</v>
      </c>
      <c r="D90" s="1684" cm="1">
        <f t="array" ref="D90">IF(C90/$C$67=0,"-",C90/$C$67)</f>
        <v>0.0031675641431739</v>
      </c>
      <c r="E90" s="1681"/>
      <c r="F90" s="1682">
        <v>1</v>
      </c>
      <c r="G90" s="578"/>
    </row>
    <row r="91" ht="16" customHeight="1">
      <c r="A91" s="12"/>
      <c r="B91" t="s" s="1683">
        <v>1903</v>
      </c>
      <c r="C91" s="1681">
        <v>1100000</v>
      </c>
      <c r="D91" s="1684" cm="1">
        <f t="array" ref="D91">IF(C91/$C$67=0,"-",C91/$C$67)</f>
        <v>0.0031675641431739</v>
      </c>
      <c r="E91" s="1681"/>
      <c r="F91" s="1682">
        <v>1</v>
      </c>
      <c r="G91" s="578"/>
    </row>
    <row r="92" ht="16" customHeight="1">
      <c r="A92" s="12"/>
      <c r="B92" t="s" s="1683">
        <v>1904</v>
      </c>
      <c r="C92" s="1681">
        <v>1000000</v>
      </c>
      <c r="D92" s="1684" cm="1">
        <f t="array" ref="D92">IF(C92/$C$67=0,"-",C92/$C$67)</f>
        <v>0.00287960376652173</v>
      </c>
      <c r="E92" s="1681"/>
      <c r="F92" s="1682">
        <v>1</v>
      </c>
      <c r="G92" s="578"/>
    </row>
    <row r="93" ht="16" customHeight="1">
      <c r="A93" s="12"/>
      <c r="B93" t="s" s="1683">
        <v>1905</v>
      </c>
      <c r="C93" s="1681">
        <v>400000</v>
      </c>
      <c r="D93" s="1684" cm="1">
        <f t="array" ref="D93">IF(C93/$C$67=0,"-",C93/$C$67)</f>
        <v>0.00115184150660869</v>
      </c>
      <c r="E93" s="1681"/>
      <c r="F93" s="1682">
        <v>1</v>
      </c>
      <c r="G93" s="578"/>
    </row>
    <row r="94" ht="16" customHeight="1">
      <c r="A94" s="12"/>
      <c r="B94" t="s" s="1683">
        <v>1906</v>
      </c>
      <c r="C94" s="1681">
        <v>0</v>
      </c>
      <c r="D94" t="str" s="1675" cm="1">
        <f t="array" ref="D94">IF(C94/$C$67=0,"-",C94/$C$67)</f>
        <v>-</v>
      </c>
      <c r="E94" s="1681"/>
      <c r="F94" s="1682">
        <v>2</v>
      </c>
      <c r="G94" s="578"/>
    </row>
    <row r="95" ht="16" customHeight="1">
      <c r="A95" s="12"/>
      <c r="B95" t="s" s="1683">
        <v>1907</v>
      </c>
      <c r="C95" s="1681">
        <v>0</v>
      </c>
      <c r="D95" t="str" s="1675" cm="1">
        <f t="array" ref="D95">IF(C95/$C$67=0,"-",C95/$C$67)</f>
        <v>-</v>
      </c>
      <c r="E95" s="1681"/>
      <c r="F95" s="1682">
        <v>1</v>
      </c>
      <c r="G95" s="578"/>
    </row>
    <row r="96" ht="16" customHeight="1">
      <c r="A96" s="12"/>
      <c r="B96" s="1680"/>
      <c r="C96" s="1681"/>
      <c r="D96" s="1684"/>
      <c r="E96" s="1681"/>
      <c r="F96" s="1682"/>
      <c r="G96" s="578"/>
    </row>
    <row r="97" ht="15" customHeight="1">
      <c r="A97" s="12"/>
      <c r="B97" t="s" s="1683">
        <v>1908</v>
      </c>
      <c r="C97" s="1681">
        <v>279900000</v>
      </c>
      <c r="D97" s="1684"/>
      <c r="E97" s="1681"/>
      <c r="F97" s="1682">
        <v>771</v>
      </c>
      <c r="G97" s="578"/>
    </row>
    <row r="98" ht="16" customHeight="1">
      <c r="A98" s="12"/>
      <c r="B98" t="s" s="1683">
        <v>1909</v>
      </c>
      <c r="C98" s="1681">
        <v>72000000</v>
      </c>
      <c r="D98" s="1684" cm="1">
        <f t="array" ref="D98">IF(C98/$C$97=0,"-",C98/$C$97)</f>
        <v>0.257234726688103</v>
      </c>
      <c r="E98" s="1681"/>
      <c r="F98" s="1682">
        <v>18</v>
      </c>
      <c r="G98" s="578"/>
    </row>
    <row r="99" ht="16" customHeight="1">
      <c r="A99" s="12"/>
      <c r="B99" t="s" s="1683">
        <v>1910</v>
      </c>
      <c r="C99" s="1681">
        <v>57200000</v>
      </c>
      <c r="D99" s="1684" cm="1">
        <f t="array" ref="D99">IF(C99/$C$97=0,"-",C99/$C$97)</f>
        <v>0.204358699535548</v>
      </c>
      <c r="E99" s="1681"/>
      <c r="F99" s="1682">
        <v>26</v>
      </c>
      <c r="G99" s="578"/>
    </row>
    <row r="100" ht="16" customHeight="1">
      <c r="A100" s="12"/>
      <c r="B100" t="s" s="1683">
        <v>1911</v>
      </c>
      <c r="C100" s="1681">
        <v>44000000</v>
      </c>
      <c r="D100" s="1684" cm="1">
        <f t="array" ref="D100">IF(C100/$C$97=0,"-",C100/$C$97)</f>
        <v>0.15719899964273</v>
      </c>
      <c r="E100" s="1681"/>
      <c r="F100" s="1682">
        <v>22</v>
      </c>
      <c r="G100" s="578"/>
    </row>
    <row r="101" ht="16" customHeight="1">
      <c r="A101" s="12"/>
      <c r="B101" t="s" s="1683">
        <v>1912</v>
      </c>
      <c r="C101" s="1681">
        <v>42500000</v>
      </c>
      <c r="D101" s="1684" cm="1">
        <f t="array" ref="D101">IF(C101/$C$97=0,"-",C101/$C$97)</f>
        <v>0.151839942836727</v>
      </c>
      <c r="E101" s="1681"/>
      <c r="F101" s="1682">
        <v>17</v>
      </c>
      <c r="G101" s="578"/>
    </row>
    <row r="102" ht="16" customHeight="1">
      <c r="A102" s="12"/>
      <c r="B102" t="s" s="1683">
        <v>1913</v>
      </c>
      <c r="C102" s="1681">
        <v>32000000</v>
      </c>
      <c r="D102" s="1684" cm="1">
        <f t="array" ref="D102">IF(C102/$C$97=0,"-",C102/$C$97)</f>
        <v>0.114326545194712</v>
      </c>
      <c r="E102" s="1681"/>
      <c r="F102" s="1682">
        <v>16</v>
      </c>
      <c r="G102" s="578"/>
    </row>
    <row r="103" ht="16" customHeight="1">
      <c r="A103" s="12"/>
      <c r="B103" t="s" s="1683">
        <v>1914</v>
      </c>
      <c r="C103" s="1681">
        <v>19500000</v>
      </c>
      <c r="D103" s="1684" cm="1">
        <f t="array" ref="D103">IF(C103/$C$97=0,"-",C103/$C$97)</f>
        <v>0.0696677384780279</v>
      </c>
      <c r="E103" s="1681"/>
      <c r="F103" s="1682">
        <v>13</v>
      </c>
      <c r="G103" s="578"/>
    </row>
    <row r="104" ht="16" customHeight="1">
      <c r="A104" s="12"/>
      <c r="B104" t="s" s="1683">
        <v>1915</v>
      </c>
      <c r="C104" s="1681">
        <v>8100000</v>
      </c>
      <c r="D104" s="1684" cm="1">
        <f t="array" ref="D104">IF(C104/$C$97=0,"-",C104/$C$97)</f>
        <v>0.0289389067524116</v>
      </c>
      <c r="E104" s="1681"/>
      <c r="F104" s="1682">
        <v>27</v>
      </c>
      <c r="G104" s="578"/>
    </row>
    <row r="105" ht="16" customHeight="1">
      <c r="A105" s="12"/>
      <c r="B105" t="s" s="1683">
        <v>1916</v>
      </c>
      <c r="C105" s="1681">
        <v>3000000</v>
      </c>
      <c r="D105" s="1684" cm="1">
        <f t="array" ref="D105">IF(C105/$C$97=0,"-",C105/$C$97)</f>
        <v>0.0107181136120043</v>
      </c>
      <c r="E105" s="1681"/>
      <c r="F105" s="1682">
        <v>6</v>
      </c>
      <c r="G105" s="578"/>
    </row>
    <row r="106" ht="16" customHeight="1">
      <c r="A106" s="12"/>
      <c r="B106" t="s" s="1683">
        <v>1917</v>
      </c>
      <c r="C106" s="1681">
        <v>1600000</v>
      </c>
      <c r="D106" s="1684" cm="1">
        <f t="array" ref="D106">IF(C106/$C$97=0,"-",C106/$C$97)</f>
        <v>0.00571632725973562</v>
      </c>
      <c r="E106" s="1681"/>
      <c r="F106" s="1682">
        <v>45</v>
      </c>
      <c r="G106" s="578"/>
    </row>
    <row r="107" ht="16" customHeight="1">
      <c r="A107" s="12"/>
      <c r="B107" t="s" s="1683">
        <v>1918</v>
      </c>
      <c r="C107" s="1681">
        <v>0</v>
      </c>
      <c r="D107" t="str" s="1675" cm="1">
        <f t="array" ref="D107">IF(C107/$C$97=0,"-",C107/$C$97)</f>
        <v>-</v>
      </c>
      <c r="E107" s="1681"/>
      <c r="F107" s="1682">
        <v>70</v>
      </c>
      <c r="G107" s="578"/>
    </row>
    <row r="108" ht="16" customHeight="1">
      <c r="A108" s="12"/>
      <c r="B108" t="s" s="1683">
        <v>1919</v>
      </c>
      <c r="C108" s="1681">
        <v>0</v>
      </c>
      <c r="D108" t="str" s="1675" cm="1">
        <f t="array" ref="D108">IF(C108/$C$97=0,"-",C108/$C$97)</f>
        <v>-</v>
      </c>
      <c r="E108" s="1681"/>
      <c r="F108" s="1682">
        <v>97</v>
      </c>
      <c r="G108" s="578"/>
    </row>
    <row r="109" ht="16" customHeight="1">
      <c r="A109" s="12"/>
      <c r="B109" t="s" s="1683">
        <v>1920</v>
      </c>
      <c r="C109" s="1681">
        <v>0</v>
      </c>
      <c r="D109" t="str" s="1675" cm="1">
        <f t="array" ref="D109">IF(C109/$C$97=0,"-",C109/$C$97)</f>
        <v>-</v>
      </c>
      <c r="E109" s="1681"/>
      <c r="F109" s="1682">
        <v>144</v>
      </c>
      <c r="G109" s="578"/>
    </row>
    <row r="110" ht="16" customHeight="1">
      <c r="A110" s="12"/>
      <c r="B110" t="s" s="1683">
        <v>1921</v>
      </c>
      <c r="C110" s="1681">
        <v>0</v>
      </c>
      <c r="D110" t="str" s="1675" cm="1">
        <f t="array" ref="D110">IF(C110/$C$97=0,"-",C110/$C$97)</f>
        <v>-</v>
      </c>
      <c r="E110" s="1681"/>
      <c r="F110" s="1682">
        <v>248</v>
      </c>
      <c r="G110" s="578"/>
    </row>
    <row r="111" ht="16" customHeight="1">
      <c r="A111" s="12"/>
      <c r="B111" t="s" s="1683">
        <v>1922</v>
      </c>
      <c r="C111" s="1681">
        <v>0</v>
      </c>
      <c r="D111" t="str" s="1675" cm="1">
        <f t="array" ref="D111">IF(C111/$C$97=0,"-",C111/$C$97)</f>
        <v>-</v>
      </c>
      <c r="E111" s="1681"/>
      <c r="F111" s="1682">
        <v>10</v>
      </c>
      <c r="G111" s="578"/>
    </row>
    <row r="112" ht="16" customHeight="1">
      <c r="A112" s="12"/>
      <c r="B112" t="s" s="1683">
        <v>1923</v>
      </c>
      <c r="C112" s="1681">
        <v>0</v>
      </c>
      <c r="D112" t="str" s="1675" cm="1">
        <f t="array" ref="D112">IF(C112/$C$97=0,"-",C112/$C$97)</f>
        <v>-</v>
      </c>
      <c r="E112" s="1681"/>
      <c r="F112" s="1682">
        <v>6</v>
      </c>
      <c r="G112" s="578"/>
    </row>
    <row r="113" ht="16" customHeight="1">
      <c r="A113" s="12"/>
      <c r="B113" t="s" s="1683">
        <v>1924</v>
      </c>
      <c r="C113" s="1681">
        <v>0</v>
      </c>
      <c r="D113" t="str" s="1675" cm="1">
        <f t="array" ref="D113">IF(C113/$C$97=0,"-",C113/$C$97)</f>
        <v>-</v>
      </c>
      <c r="E113" s="1681"/>
      <c r="F113" s="1682">
        <v>2</v>
      </c>
      <c r="G113" s="578"/>
    </row>
    <row r="114" ht="16" customHeight="1">
      <c r="A114" s="12"/>
      <c r="B114" t="s" s="1683">
        <v>1925</v>
      </c>
      <c r="C114" s="1681">
        <v>0</v>
      </c>
      <c r="D114" t="str" s="1675" cm="1">
        <f t="array" ref="D114">IF(C114/$C$97=0,"-",C114/$C$97)</f>
        <v>-</v>
      </c>
      <c r="E114" s="1681"/>
      <c r="F114" s="1682">
        <v>4</v>
      </c>
      <c r="G114" s="578"/>
    </row>
    <row r="115" ht="16" customHeight="1">
      <c r="A115" s="12"/>
      <c r="B115" s="1680"/>
      <c r="C115" s="1681"/>
      <c r="D115" s="1684"/>
      <c r="E115" s="1681"/>
      <c r="F115" s="1682"/>
      <c r="G115" s="578"/>
    </row>
    <row r="116" ht="15" customHeight="1">
      <c r="A116" s="12"/>
      <c r="B116" t="s" s="1683">
        <v>1926</v>
      </c>
      <c r="C116" s="1681">
        <v>180979500</v>
      </c>
      <c r="D116" s="1681"/>
      <c r="E116" s="1681"/>
      <c r="F116" s="1682">
        <v>120</v>
      </c>
      <c r="G116" s="578"/>
    </row>
    <row r="117" ht="16" customHeight="1">
      <c r="A117" s="12"/>
      <c r="B117" t="s" s="1683">
        <v>1927</v>
      </c>
      <c r="C117" s="1681">
        <v>110631000</v>
      </c>
      <c r="D117" s="1681"/>
      <c r="E117" s="1681"/>
      <c r="F117" s="1682">
        <v>76</v>
      </c>
      <c r="G117" s="578"/>
    </row>
    <row r="118" ht="16" customHeight="1">
      <c r="A118" s="12"/>
      <c r="B118" t="s" s="1683">
        <v>1928</v>
      </c>
      <c r="C118" s="1681">
        <v>53274500</v>
      </c>
      <c r="D118" s="1681"/>
      <c r="E118" s="1681"/>
      <c r="F118" s="1682">
        <v>20</v>
      </c>
      <c r="G118" s="578"/>
    </row>
    <row r="119" ht="16" customHeight="1">
      <c r="A119" s="12"/>
      <c r="B119" t="s" s="1683">
        <v>1929</v>
      </c>
      <c r="C119" s="1681">
        <v>17074000</v>
      </c>
      <c r="D119" s="1681"/>
      <c r="E119" s="1681"/>
      <c r="F119" s="1682">
        <v>24</v>
      </c>
      <c r="G119" s="578"/>
    </row>
    <row r="120" ht="16" customHeight="1">
      <c r="A120" s="12"/>
      <c r="B120" s="1680"/>
      <c r="C120" s="1681"/>
      <c r="D120" s="1681"/>
      <c r="E120" s="1681"/>
      <c r="F120" s="1682"/>
      <c r="G120" s="578"/>
    </row>
    <row r="121" ht="15" customHeight="1">
      <c r="A121" s="12"/>
      <c r="B121" t="s" s="1677">
        <v>1930</v>
      </c>
      <c r="C121" s="1678">
        <v>146606000</v>
      </c>
      <c r="D121" s="1678"/>
      <c r="E121" s="1678"/>
      <c r="F121" s="1679">
        <v>2046</v>
      </c>
      <c r="G121" s="578"/>
    </row>
    <row r="122" ht="16" customHeight="1">
      <c r="A122" s="12"/>
      <c r="B122" t="s" s="1683">
        <v>1931</v>
      </c>
      <c r="C122" s="1681">
        <v>63300000</v>
      </c>
      <c r="D122" s="1681"/>
      <c r="E122" s="1681"/>
      <c r="F122" s="1682">
        <v>19</v>
      </c>
      <c r="G122" s="578"/>
    </row>
    <row r="123" ht="16" customHeight="1">
      <c r="A123" s="12"/>
      <c r="B123" t="s" s="1683">
        <v>1932</v>
      </c>
      <c r="C123" s="1681">
        <v>44970000</v>
      </c>
      <c r="D123" s="1681"/>
      <c r="E123" s="1681"/>
      <c r="F123" s="1682">
        <v>31</v>
      </c>
      <c r="G123" s="578"/>
    </row>
    <row r="124" ht="16" customHeight="1">
      <c r="A124" s="12"/>
      <c r="B124" t="s" s="1683">
        <v>1933</v>
      </c>
      <c r="C124" s="1681">
        <v>12000000</v>
      </c>
      <c r="D124" s="1681"/>
      <c r="E124" s="1681"/>
      <c r="F124" s="1682">
        <v>14</v>
      </c>
      <c r="G124" s="578"/>
    </row>
    <row r="125" ht="16" customHeight="1">
      <c r="A125" s="12"/>
      <c r="B125" t="s" s="1683">
        <v>1934</v>
      </c>
      <c r="C125" s="1681">
        <v>11500000</v>
      </c>
      <c r="D125" s="1681"/>
      <c r="E125" s="1681"/>
      <c r="F125" s="1682">
        <v>12</v>
      </c>
      <c r="G125" s="578"/>
    </row>
    <row r="126" ht="16" customHeight="1">
      <c r="A126" s="12"/>
      <c r="B126" t="s" s="1683">
        <v>1935</v>
      </c>
      <c r="C126" s="1681">
        <v>5000000</v>
      </c>
      <c r="D126" s="1681"/>
      <c r="E126" s="1681"/>
      <c r="F126" s="1682">
        <v>1</v>
      </c>
      <c r="G126" s="578"/>
    </row>
    <row r="127" ht="16" customHeight="1">
      <c r="A127" s="12"/>
      <c r="B127" t="s" s="1683">
        <v>1936</v>
      </c>
      <c r="C127" s="1681">
        <v>3900000</v>
      </c>
      <c r="D127" s="1681"/>
      <c r="E127" s="1681"/>
      <c r="F127" s="1682">
        <v>9</v>
      </c>
      <c r="G127" s="578"/>
    </row>
    <row r="128" ht="16" customHeight="1">
      <c r="A128" s="12"/>
      <c r="B128" t="s" s="1683">
        <v>1937</v>
      </c>
      <c r="C128" s="1681">
        <v>1800000</v>
      </c>
      <c r="D128" s="1681"/>
      <c r="E128" s="1681"/>
      <c r="F128" s="1682">
        <v>167</v>
      </c>
      <c r="G128" s="578"/>
    </row>
    <row r="129" ht="16" customHeight="1">
      <c r="A129" s="12"/>
      <c r="B129" t="s" s="1683">
        <v>1938</v>
      </c>
      <c r="C129" s="1681">
        <v>1600000</v>
      </c>
      <c r="D129" s="1681"/>
      <c r="E129" s="1681"/>
      <c r="F129" s="1682">
        <v>6</v>
      </c>
      <c r="G129" s="578"/>
    </row>
    <row r="130" ht="16" customHeight="1">
      <c r="A130" s="12"/>
      <c r="B130" t="s" s="1683">
        <v>1939</v>
      </c>
      <c r="C130" s="1681">
        <v>1600000</v>
      </c>
      <c r="D130" s="1681"/>
      <c r="E130" s="1681"/>
      <c r="F130" s="1682">
        <v>195</v>
      </c>
      <c r="G130" s="578"/>
    </row>
    <row r="131" ht="16" customHeight="1">
      <c r="A131" s="12"/>
      <c r="B131" t="s" s="1683">
        <v>1940</v>
      </c>
      <c r="C131" s="1681">
        <v>936000</v>
      </c>
      <c r="D131" s="1681"/>
      <c r="E131" s="1681"/>
      <c r="F131" s="1682">
        <v>170</v>
      </c>
      <c r="G131" s="578"/>
    </row>
    <row r="132" ht="16" customHeight="1">
      <c r="A132" s="12"/>
      <c r="B132" t="s" s="1683">
        <v>1941</v>
      </c>
      <c r="C132" s="1681">
        <v>0</v>
      </c>
      <c r="D132" s="1681"/>
      <c r="E132" s="1681"/>
      <c r="F132" s="1682">
        <v>85</v>
      </c>
      <c r="G132" s="578"/>
    </row>
    <row r="133" ht="16" customHeight="1">
      <c r="A133" s="12"/>
      <c r="B133" t="s" s="1683">
        <v>1942</v>
      </c>
      <c r="C133" s="1681">
        <v>0</v>
      </c>
      <c r="D133" s="1681"/>
      <c r="E133" s="1681"/>
      <c r="F133" s="1682">
        <v>137</v>
      </c>
      <c r="G133" s="578"/>
    </row>
    <row r="134" ht="16" customHeight="1">
      <c r="A134" s="12"/>
      <c r="B134" t="s" s="1683">
        <v>1943</v>
      </c>
      <c r="C134" s="1681">
        <v>0</v>
      </c>
      <c r="D134" s="1681"/>
      <c r="E134" s="1681"/>
      <c r="F134" s="1682">
        <v>4</v>
      </c>
      <c r="G134" s="578"/>
    </row>
    <row r="135" ht="16" customHeight="1">
      <c r="A135" s="12"/>
      <c r="B135" t="s" s="1683">
        <v>1944</v>
      </c>
      <c r="C135" s="1681">
        <v>0</v>
      </c>
      <c r="D135" s="1681"/>
      <c r="E135" s="1681"/>
      <c r="F135" s="1682">
        <v>173</v>
      </c>
      <c r="G135" s="578"/>
    </row>
    <row r="136" ht="16" customHeight="1">
      <c r="A136" s="12"/>
      <c r="B136" t="s" s="1683">
        <v>1945</v>
      </c>
      <c r="C136" s="1681">
        <v>0</v>
      </c>
      <c r="D136" s="1681"/>
      <c r="E136" s="1681"/>
      <c r="F136" s="1682">
        <v>1</v>
      </c>
      <c r="G136" s="578"/>
    </row>
    <row r="137" ht="16" customHeight="1">
      <c r="A137" s="12"/>
      <c r="B137" t="s" s="1683">
        <v>1946</v>
      </c>
      <c r="C137" s="1681">
        <v>0</v>
      </c>
      <c r="D137" s="1681"/>
      <c r="E137" s="1681"/>
      <c r="F137" s="1682">
        <v>8</v>
      </c>
      <c r="G137" s="578"/>
    </row>
    <row r="138" ht="16" customHeight="1">
      <c r="A138" s="12"/>
      <c r="B138" t="s" s="1683">
        <v>1947</v>
      </c>
      <c r="C138" s="1681">
        <v>0</v>
      </c>
      <c r="D138" s="1681"/>
      <c r="E138" s="1681"/>
      <c r="F138" s="1682">
        <v>12</v>
      </c>
      <c r="G138" s="578"/>
    </row>
    <row r="139" ht="16" customHeight="1">
      <c r="A139" s="12"/>
      <c r="B139" t="s" s="1683">
        <v>1948</v>
      </c>
      <c r="C139" s="1681">
        <v>0</v>
      </c>
      <c r="D139" s="1681"/>
      <c r="E139" s="1681"/>
      <c r="F139" s="1682">
        <v>4</v>
      </c>
      <c r="G139" s="578"/>
    </row>
    <row r="140" ht="16" customHeight="1">
      <c r="A140" s="12"/>
      <c r="B140" t="s" s="1683">
        <v>1949</v>
      </c>
      <c r="C140" s="1681">
        <v>0</v>
      </c>
      <c r="D140" s="1681"/>
      <c r="E140" s="1681"/>
      <c r="F140" s="1682">
        <v>6</v>
      </c>
      <c r="G140" s="578"/>
    </row>
    <row r="141" ht="16" customHeight="1">
      <c r="A141" s="12"/>
      <c r="B141" t="s" s="1683">
        <v>1950</v>
      </c>
      <c r="C141" s="1681">
        <v>0</v>
      </c>
      <c r="D141" s="1681"/>
      <c r="E141" s="1681"/>
      <c r="F141" s="1682">
        <v>9</v>
      </c>
      <c r="G141" s="578"/>
    </row>
    <row r="142" ht="16" customHeight="1">
      <c r="A142" s="12"/>
      <c r="B142" t="s" s="1683">
        <v>1951</v>
      </c>
      <c r="C142" s="1681">
        <v>0</v>
      </c>
      <c r="D142" s="1681"/>
      <c r="E142" s="1681"/>
      <c r="F142" s="1682">
        <v>153</v>
      </c>
      <c r="G142" s="578"/>
    </row>
    <row r="143" ht="16" customHeight="1">
      <c r="A143" s="12"/>
      <c r="B143" t="s" s="1683">
        <v>1952</v>
      </c>
      <c r="C143" s="1681">
        <v>0</v>
      </c>
      <c r="D143" s="1681"/>
      <c r="E143" s="1681"/>
      <c r="F143" s="1682">
        <v>6</v>
      </c>
      <c r="G143" s="578"/>
    </row>
    <row r="144" ht="16" customHeight="1">
      <c r="A144" s="12"/>
      <c r="B144" t="s" s="1683">
        <v>1953</v>
      </c>
      <c r="C144" s="1681">
        <v>0</v>
      </c>
      <c r="D144" s="1681"/>
      <c r="E144" s="1681"/>
      <c r="F144" s="1682">
        <v>113</v>
      </c>
      <c r="G144" s="578"/>
    </row>
    <row r="145" ht="16" customHeight="1">
      <c r="A145" s="12"/>
      <c r="B145" t="s" s="1683">
        <v>1954</v>
      </c>
      <c r="C145" s="1681">
        <v>0</v>
      </c>
      <c r="D145" s="1681"/>
      <c r="E145" s="1681"/>
      <c r="F145" s="1682">
        <v>9</v>
      </c>
      <c r="G145" s="578"/>
    </row>
    <row r="146" ht="16" customHeight="1">
      <c r="A146" s="12"/>
      <c r="B146" t="s" s="1683">
        <v>1955</v>
      </c>
      <c r="C146" s="1681">
        <v>0</v>
      </c>
      <c r="D146" s="1681"/>
      <c r="E146" s="1681"/>
      <c r="F146" s="1682">
        <v>3</v>
      </c>
      <c r="G146" s="578"/>
    </row>
    <row r="147" ht="16" customHeight="1">
      <c r="A147" s="12"/>
      <c r="B147" t="s" s="1683">
        <v>1956</v>
      </c>
      <c r="C147" s="1681">
        <v>0</v>
      </c>
      <c r="D147" s="1681"/>
      <c r="E147" s="1681"/>
      <c r="F147" s="1682">
        <v>9</v>
      </c>
      <c r="G147" s="578"/>
    </row>
    <row r="148" ht="16" customHeight="1">
      <c r="A148" s="12"/>
      <c r="B148" t="s" s="1683">
        <v>1957</v>
      </c>
      <c r="C148" s="1681">
        <v>0</v>
      </c>
      <c r="D148" s="1681"/>
      <c r="E148" s="1681"/>
      <c r="F148" s="1682">
        <v>5</v>
      </c>
      <c r="G148" s="578"/>
    </row>
    <row r="149" ht="16" customHeight="1">
      <c r="A149" s="12"/>
      <c r="B149" t="s" s="1683">
        <v>1958</v>
      </c>
      <c r="C149" s="1681">
        <v>0</v>
      </c>
      <c r="D149" s="1681"/>
      <c r="E149" s="1681"/>
      <c r="F149" s="1682">
        <v>183</v>
      </c>
      <c r="G149" s="578"/>
    </row>
    <row r="150" ht="16" customHeight="1">
      <c r="A150" s="12"/>
      <c r="B150" t="s" s="1683">
        <v>1959</v>
      </c>
      <c r="C150" s="1681">
        <v>0</v>
      </c>
      <c r="D150" s="1681"/>
      <c r="E150" s="1681"/>
      <c r="F150" s="1682">
        <v>58</v>
      </c>
      <c r="G150" s="578"/>
    </row>
    <row r="151" ht="16" customHeight="1">
      <c r="A151" s="12"/>
      <c r="B151" t="s" s="1683">
        <v>1960</v>
      </c>
      <c r="C151" s="1681">
        <v>0</v>
      </c>
      <c r="D151" s="1681"/>
      <c r="E151" s="1681"/>
      <c r="F151" s="1682">
        <v>151</v>
      </c>
      <c r="G151" s="578"/>
    </row>
    <row r="152" ht="16" customHeight="1">
      <c r="A152" s="12"/>
      <c r="B152" t="s" s="1683">
        <v>1961</v>
      </c>
      <c r="C152" s="1681">
        <v>0</v>
      </c>
      <c r="D152" s="1681"/>
      <c r="E152" s="1681"/>
      <c r="F152" s="1682">
        <v>6</v>
      </c>
      <c r="G152" s="578"/>
    </row>
    <row r="153" ht="16" customHeight="1">
      <c r="A153" s="12"/>
      <c r="B153" t="s" s="1683">
        <v>1962</v>
      </c>
      <c r="C153" s="1681">
        <v>0</v>
      </c>
      <c r="D153" s="1681"/>
      <c r="E153" s="1681"/>
      <c r="F153" s="1682">
        <v>1</v>
      </c>
      <c r="G153" s="578"/>
    </row>
    <row r="154" ht="16" customHeight="1">
      <c r="A154" s="12"/>
      <c r="B154" t="s" s="1683">
        <v>1963</v>
      </c>
      <c r="C154" s="1681">
        <v>0</v>
      </c>
      <c r="D154" s="1681"/>
      <c r="E154" s="1681"/>
      <c r="F154" s="1682">
        <v>6</v>
      </c>
      <c r="G154" s="578"/>
    </row>
    <row r="155" ht="16" customHeight="1">
      <c r="A155" s="12"/>
      <c r="B155" t="s" s="1683">
        <v>1964</v>
      </c>
      <c r="C155" s="1681">
        <v>0</v>
      </c>
      <c r="D155" s="1681"/>
      <c r="E155" s="1681"/>
      <c r="F155" s="1682">
        <v>69</v>
      </c>
      <c r="G155" s="578"/>
    </row>
    <row r="156" ht="16" customHeight="1">
      <c r="A156" s="12"/>
      <c r="B156" t="s" s="1683">
        <v>1965</v>
      </c>
      <c r="C156" s="1681">
        <v>0</v>
      </c>
      <c r="D156" s="1681"/>
      <c r="E156" s="1681"/>
      <c r="F156" s="1682">
        <v>25</v>
      </c>
      <c r="G156" s="578"/>
    </row>
    <row r="157" ht="16" customHeight="1">
      <c r="A157" s="12"/>
      <c r="B157" t="s" s="1683">
        <v>1966</v>
      </c>
      <c r="C157" s="1681">
        <v>0</v>
      </c>
      <c r="D157" s="1681"/>
      <c r="E157" s="1681"/>
      <c r="F157" s="1682">
        <v>32</v>
      </c>
      <c r="G157" s="578"/>
    </row>
    <row r="158" ht="16" customHeight="1">
      <c r="A158" s="12"/>
      <c r="B158" t="s" s="1683">
        <v>1967</v>
      </c>
      <c r="C158" s="1681">
        <v>0</v>
      </c>
      <c r="D158" s="1681"/>
      <c r="E158" s="1681"/>
      <c r="F158" s="1682">
        <v>18</v>
      </c>
      <c r="G158" s="578"/>
    </row>
    <row r="159" ht="16" customHeight="1">
      <c r="A159" s="12"/>
      <c r="B159" t="s" s="1683">
        <v>1968</v>
      </c>
      <c r="C159" s="1681">
        <v>0</v>
      </c>
      <c r="D159" s="1681"/>
      <c r="E159" s="1681"/>
      <c r="F159" s="1682">
        <v>2</v>
      </c>
      <c r="G159" s="578"/>
    </row>
    <row r="160" ht="16" customHeight="1">
      <c r="A160" s="12"/>
      <c r="B160" t="s" s="1683">
        <v>1969</v>
      </c>
      <c r="C160" s="1681">
        <v>0</v>
      </c>
      <c r="D160" s="1681"/>
      <c r="E160" s="1681"/>
      <c r="F160" s="1682">
        <v>45</v>
      </c>
      <c r="G160" s="578"/>
    </row>
    <row r="161" ht="16" customHeight="1">
      <c r="A161" s="12"/>
      <c r="B161" t="s" s="1683">
        <v>1970</v>
      </c>
      <c r="C161" s="1681">
        <v>0</v>
      </c>
      <c r="D161" s="1681"/>
      <c r="E161" s="1681"/>
      <c r="F161" s="1682">
        <v>2</v>
      </c>
      <c r="G161" s="578"/>
    </row>
    <row r="162" ht="16" customHeight="1">
      <c r="A162" s="12"/>
      <c r="B162" t="s" s="1683">
        <v>1971</v>
      </c>
      <c r="C162" s="1681">
        <v>0</v>
      </c>
      <c r="D162" s="1681"/>
      <c r="E162" s="1681"/>
      <c r="F162" s="1682">
        <v>81</v>
      </c>
      <c r="G162" s="578"/>
    </row>
    <row r="163" ht="16" customHeight="1">
      <c r="A163" s="12"/>
      <c r="B163" t="s" s="1683">
        <v>1972</v>
      </c>
      <c r="C163" s="1681">
        <v>0</v>
      </c>
      <c r="D163" s="1681"/>
      <c r="E163" s="1681"/>
      <c r="F163" s="1682">
        <v>5</v>
      </c>
      <c r="G163" s="578"/>
    </row>
    <row r="164" ht="16" customHeight="1">
      <c r="A164" s="12"/>
      <c r="B164" t="s" s="1683">
        <v>1973</v>
      </c>
      <c r="C164" s="1681">
        <v>0</v>
      </c>
      <c r="D164" s="1681"/>
      <c r="E164" s="1681"/>
      <c r="F164" s="1682">
        <v>1</v>
      </c>
      <c r="G164" s="578"/>
    </row>
    <row r="165" ht="16" customHeight="1">
      <c r="A165" s="12"/>
      <c r="B165" s="1680"/>
      <c r="C165" s="1681"/>
      <c r="D165" s="1681"/>
      <c r="E165" s="1681"/>
      <c r="F165" s="1682"/>
      <c r="G165" s="578"/>
    </row>
    <row r="166" ht="15" customHeight="1">
      <c r="A166" s="12"/>
      <c r="B166" t="s" s="1677">
        <v>1974</v>
      </c>
      <c r="C166" s="1678">
        <v>29350000</v>
      </c>
      <c r="D166" s="1678"/>
      <c r="E166" s="1678"/>
      <c r="F166" s="1679">
        <v>4</v>
      </c>
      <c r="G166" s="578"/>
    </row>
    <row r="167" ht="16" customHeight="1">
      <c r="A167" s="12"/>
      <c r="B167" s="1680"/>
      <c r="C167" s="1681"/>
      <c r="D167" s="1681"/>
      <c r="E167" s="1681"/>
      <c r="F167" s="1682"/>
      <c r="G167" s="578"/>
    </row>
    <row r="168" ht="15" customHeight="1">
      <c r="A168" s="12"/>
      <c r="B168" t="s" s="1677">
        <v>1975</v>
      </c>
      <c r="C168" s="1678">
        <v>28100440</v>
      </c>
      <c r="D168" s="1678"/>
      <c r="E168" s="1678"/>
      <c r="F168" s="1679">
        <v>6029</v>
      </c>
      <c r="G168" s="578"/>
    </row>
    <row r="169" ht="16" customHeight="1">
      <c r="A169" s="12"/>
      <c r="B169" t="s" s="1683">
        <v>1976</v>
      </c>
      <c r="C169" s="1681">
        <v>11773440</v>
      </c>
      <c r="D169" s="1681"/>
      <c r="E169" s="1681"/>
      <c r="F169" s="1682">
        <v>285</v>
      </c>
      <c r="G169" s="578"/>
    </row>
    <row r="170" ht="16" customHeight="1">
      <c r="A170" s="12"/>
      <c r="B170" t="s" s="1683">
        <v>1977</v>
      </c>
      <c r="C170" s="1681">
        <v>7000000</v>
      </c>
      <c r="D170" s="1681"/>
      <c r="E170" s="1681"/>
      <c r="F170" s="1682">
        <v>658</v>
      </c>
      <c r="G170" s="578"/>
    </row>
    <row r="171" ht="16" customHeight="1">
      <c r="A171" s="12"/>
      <c r="B171" t="s" s="1683">
        <v>1978</v>
      </c>
      <c r="C171" s="1681">
        <v>4935000</v>
      </c>
      <c r="D171" s="1681"/>
      <c r="E171" s="1681"/>
      <c r="F171" s="1682">
        <v>584</v>
      </c>
      <c r="G171" s="578"/>
    </row>
    <row r="172" ht="16" customHeight="1">
      <c r="A172" s="12"/>
      <c r="B172" t="s" s="1683">
        <v>1979</v>
      </c>
      <c r="C172" s="1681">
        <v>4392000</v>
      </c>
      <c r="D172" s="1681"/>
      <c r="E172" s="1681"/>
      <c r="F172" s="1682">
        <v>547</v>
      </c>
      <c r="G172" s="578"/>
    </row>
    <row r="173" ht="16" customHeight="1">
      <c r="A173" s="12"/>
      <c r="B173" t="s" s="1683">
        <v>1980</v>
      </c>
      <c r="C173" s="1681">
        <v>0</v>
      </c>
      <c r="D173" s="1681"/>
      <c r="E173" s="1681"/>
      <c r="F173" s="1682">
        <v>767</v>
      </c>
      <c r="G173" s="578"/>
    </row>
    <row r="174" ht="16" customHeight="1">
      <c r="A174" s="12"/>
      <c r="B174" t="s" s="1683">
        <v>1981</v>
      </c>
      <c r="C174" s="1681">
        <v>0</v>
      </c>
      <c r="D174" s="1681"/>
      <c r="E174" s="1681"/>
      <c r="F174" s="1682">
        <v>34</v>
      </c>
      <c r="G174" s="578"/>
    </row>
    <row r="175" ht="16" customHeight="1">
      <c r="A175" s="12"/>
      <c r="B175" t="s" s="1683">
        <v>1982</v>
      </c>
      <c r="C175" s="1681">
        <v>0</v>
      </c>
      <c r="D175" s="1681"/>
      <c r="E175" s="1681"/>
      <c r="F175" s="1682">
        <v>1577</v>
      </c>
      <c r="G175" s="578"/>
    </row>
    <row r="176" ht="16" customHeight="1">
      <c r="A176" s="12"/>
      <c r="B176" t="s" s="1683">
        <v>1983</v>
      </c>
      <c r="C176" s="1681">
        <v>0</v>
      </c>
      <c r="D176" s="1681"/>
      <c r="E176" s="1681"/>
      <c r="F176" s="1682">
        <v>1</v>
      </c>
      <c r="G176" s="578"/>
    </row>
    <row r="177" ht="16" customHeight="1">
      <c r="A177" s="12"/>
      <c r="B177" t="s" s="1683">
        <v>1984</v>
      </c>
      <c r="C177" s="1681">
        <v>0</v>
      </c>
      <c r="D177" s="1681"/>
      <c r="E177" s="1681"/>
      <c r="F177" s="1682">
        <v>5</v>
      </c>
      <c r="G177" s="578"/>
    </row>
    <row r="178" ht="16" customHeight="1">
      <c r="A178" s="12"/>
      <c r="B178" t="s" s="1683">
        <v>1985</v>
      </c>
      <c r="C178" s="1681">
        <v>0</v>
      </c>
      <c r="D178" s="1681"/>
      <c r="E178" s="1681"/>
      <c r="F178" s="1682">
        <v>204</v>
      </c>
      <c r="G178" s="578"/>
    </row>
    <row r="179" ht="16" customHeight="1">
      <c r="A179" s="12"/>
      <c r="B179" t="s" s="1683">
        <v>1986</v>
      </c>
      <c r="C179" s="1681">
        <v>0</v>
      </c>
      <c r="D179" s="1681"/>
      <c r="E179" s="1681"/>
      <c r="F179" s="1682">
        <v>2</v>
      </c>
      <c r="G179" s="578"/>
    </row>
    <row r="180" ht="16" customHeight="1">
      <c r="A180" s="12"/>
      <c r="B180" t="s" s="1683">
        <v>1987</v>
      </c>
      <c r="C180" s="1681">
        <v>0</v>
      </c>
      <c r="D180" s="1681"/>
      <c r="E180" s="1681"/>
      <c r="F180" s="1682">
        <v>264</v>
      </c>
      <c r="G180" s="578"/>
    </row>
    <row r="181" ht="16" customHeight="1">
      <c r="A181" s="12"/>
      <c r="B181" t="s" s="1683">
        <v>1988</v>
      </c>
      <c r="C181" s="1681">
        <v>0</v>
      </c>
      <c r="D181" s="1681"/>
      <c r="E181" s="1681"/>
      <c r="F181" s="1682">
        <v>138</v>
      </c>
      <c r="G181" s="578"/>
    </row>
    <row r="182" ht="16" customHeight="1">
      <c r="A182" s="12"/>
      <c r="B182" t="s" s="1683">
        <v>1989</v>
      </c>
      <c r="C182" s="1681">
        <v>0</v>
      </c>
      <c r="D182" s="1681"/>
      <c r="E182" s="1681"/>
      <c r="F182" s="1682">
        <v>157</v>
      </c>
      <c r="G182" s="578"/>
    </row>
    <row r="183" ht="16" customHeight="1">
      <c r="A183" s="12"/>
      <c r="B183" t="s" s="1683">
        <v>1990</v>
      </c>
      <c r="C183" s="1681">
        <v>0</v>
      </c>
      <c r="D183" s="1681"/>
      <c r="E183" s="1681"/>
      <c r="F183" s="1682">
        <v>469</v>
      </c>
      <c r="G183" s="578"/>
    </row>
    <row r="184" ht="16" customHeight="1">
      <c r="A184" s="12"/>
      <c r="B184" t="s" s="1683">
        <v>1991</v>
      </c>
      <c r="C184" s="1681">
        <v>0</v>
      </c>
      <c r="D184" s="1681"/>
      <c r="E184" s="1681"/>
      <c r="F184" s="1682">
        <v>4</v>
      </c>
      <c r="G184" s="578"/>
    </row>
    <row r="185" ht="16" customHeight="1">
      <c r="A185" s="12"/>
      <c r="B185" t="s" s="1683">
        <v>1992</v>
      </c>
      <c r="C185" s="1681">
        <v>0</v>
      </c>
      <c r="D185" s="1681"/>
      <c r="E185" s="1681"/>
      <c r="F185" s="1682">
        <v>313</v>
      </c>
      <c r="G185" s="578"/>
    </row>
    <row r="186" ht="16" customHeight="1">
      <c r="A186" s="12"/>
      <c r="B186" t="s" s="1683">
        <v>1993</v>
      </c>
      <c r="C186" s="1681">
        <v>0</v>
      </c>
      <c r="D186" s="1681"/>
      <c r="E186" s="1681"/>
      <c r="F186" s="1682">
        <v>4</v>
      </c>
      <c r="G186" s="578"/>
    </row>
    <row r="187" ht="16" customHeight="1">
      <c r="A187" s="12"/>
      <c r="B187" t="s" s="1683">
        <v>1994</v>
      </c>
      <c r="C187" s="1681">
        <v>0</v>
      </c>
      <c r="D187" s="1681"/>
      <c r="E187" s="1681"/>
      <c r="F187" s="1682">
        <v>4</v>
      </c>
      <c r="G187" s="578"/>
    </row>
    <row r="188" ht="16" customHeight="1">
      <c r="A188" s="12"/>
      <c r="B188" t="s" s="1683">
        <v>1995</v>
      </c>
      <c r="C188" s="1681">
        <v>0</v>
      </c>
      <c r="D188" s="1681"/>
      <c r="E188" s="1681"/>
      <c r="F188" s="1682">
        <v>12</v>
      </c>
      <c r="G188" s="578"/>
    </row>
    <row r="189" ht="16" customHeight="1">
      <c r="A189" s="12"/>
      <c r="B189" t="s" s="1683">
        <v>1996</v>
      </c>
      <c r="C189" s="1681">
        <v>26190000</v>
      </c>
      <c r="D189" s="1681"/>
      <c r="E189" s="1681"/>
      <c r="F189" s="1682">
        <v>116</v>
      </c>
      <c r="G189" s="578"/>
    </row>
    <row r="190" ht="16" customHeight="1">
      <c r="A190" s="12"/>
      <c r="B190" s="1680"/>
      <c r="C190" s="1681"/>
      <c r="D190" s="1681"/>
      <c r="E190" s="1681"/>
      <c r="F190" s="1682"/>
      <c r="G190" s="578"/>
    </row>
    <row r="191" ht="15" customHeight="1">
      <c r="A191" s="12"/>
      <c r="B191" t="s" s="1677">
        <v>1997</v>
      </c>
      <c r="C191" s="1681"/>
      <c r="D191" s="1681"/>
      <c r="E191" s="1681"/>
      <c r="F191" s="1682"/>
      <c r="G191" s="578"/>
    </row>
    <row r="192" ht="16" customHeight="1">
      <c r="A192" s="12"/>
      <c r="B192" t="s" s="1683">
        <v>1998</v>
      </c>
      <c r="C192" s="1681">
        <v>23460850</v>
      </c>
      <c r="D192" s="1681"/>
      <c r="E192" s="1681"/>
      <c r="F192" s="1682">
        <v>696</v>
      </c>
      <c r="G192" s="578"/>
    </row>
    <row r="193" ht="16" customHeight="1">
      <c r="A193" s="12"/>
      <c r="B193" t="s" s="1683">
        <v>1999</v>
      </c>
      <c r="C193" s="1681">
        <v>19180000</v>
      </c>
      <c r="D193" s="1681"/>
      <c r="E193" s="1681"/>
      <c r="F193" s="1682">
        <v>590</v>
      </c>
      <c r="G193" s="578"/>
    </row>
    <row r="194" ht="16" customHeight="1">
      <c r="A194" s="12"/>
      <c r="B194" s="1680"/>
      <c r="C194" s="1681"/>
      <c r="D194" s="1681"/>
      <c r="E194" s="1681"/>
      <c r="F194" s="1682"/>
      <c r="G194" s="578"/>
    </row>
    <row r="195" ht="15" customHeight="1">
      <c r="A195" s="12"/>
      <c r="B195" t="s" s="1677">
        <v>1691</v>
      </c>
      <c r="C195" s="1681"/>
      <c r="D195" s="1681"/>
      <c r="E195" s="1681"/>
      <c r="F195" s="1682"/>
      <c r="G195" s="578"/>
    </row>
    <row r="196" ht="16" customHeight="1">
      <c r="A196" s="12"/>
      <c r="B196" t="s" s="1683">
        <v>2000</v>
      </c>
      <c r="C196" s="1681">
        <v>13480000</v>
      </c>
      <c r="D196" s="1681"/>
      <c r="E196" s="1681"/>
      <c r="F196" s="1682">
        <v>1867</v>
      </c>
      <c r="G196" s="578"/>
    </row>
    <row r="197" ht="16" customHeight="1">
      <c r="A197" s="12"/>
      <c r="B197" t="s" s="1683">
        <v>2001</v>
      </c>
      <c r="C197" s="1681">
        <v>10720000</v>
      </c>
      <c r="D197" s="1681"/>
      <c r="E197" s="1681"/>
      <c r="F197" s="1682">
        <v>2</v>
      </c>
      <c r="G197" s="578"/>
    </row>
    <row r="198" ht="16" customHeight="1">
      <c r="A198" s="12"/>
      <c r="B198" t="s" s="1683">
        <v>2002</v>
      </c>
      <c r="C198" s="1681">
        <v>5919999</v>
      </c>
      <c r="D198" s="1681"/>
      <c r="E198" s="1681"/>
      <c r="F198" s="1682">
        <v>1</v>
      </c>
      <c r="G198" s="578"/>
    </row>
    <row r="199" ht="16" customHeight="1">
      <c r="A199" s="12"/>
      <c r="B199" t="s" s="1683">
        <v>2003</v>
      </c>
      <c r="C199" s="1681">
        <v>5919999</v>
      </c>
      <c r="D199" s="1681"/>
      <c r="E199" s="1681"/>
      <c r="F199" s="1682">
        <v>1</v>
      </c>
      <c r="G199" s="578"/>
    </row>
    <row r="200" ht="16" customHeight="1">
      <c r="A200" s="12"/>
      <c r="B200" t="s" s="1683">
        <v>2004</v>
      </c>
      <c r="C200" s="1681">
        <v>5300000</v>
      </c>
      <c r="D200" s="1681"/>
      <c r="E200" s="1681"/>
      <c r="F200" s="1682">
        <v>22</v>
      </c>
      <c r="G200" s="578"/>
    </row>
    <row r="201" ht="16" customHeight="1">
      <c r="A201" s="12"/>
      <c r="B201" t="s" s="1683">
        <v>2005</v>
      </c>
      <c r="C201" s="1681">
        <v>5000000</v>
      </c>
      <c r="D201" s="1681"/>
      <c r="E201" s="1681"/>
      <c r="F201" s="1682">
        <v>12</v>
      </c>
      <c r="G201" s="578"/>
    </row>
    <row r="202" ht="16" customHeight="1">
      <c r="A202" s="12"/>
      <c r="B202" t="s" s="1683">
        <v>2006</v>
      </c>
      <c r="C202" s="1681">
        <v>4900000</v>
      </c>
      <c r="D202" s="1681"/>
      <c r="E202" s="1681"/>
      <c r="F202" s="1682">
        <v>6</v>
      </c>
      <c r="G202" s="578"/>
    </row>
    <row r="203" ht="16" customHeight="1">
      <c r="A203" s="12"/>
      <c r="B203" t="s" s="1683">
        <v>2007</v>
      </c>
      <c r="C203" s="1681">
        <v>4872000</v>
      </c>
      <c r="D203" s="1681"/>
      <c r="E203" s="1681"/>
      <c r="F203" s="1682">
        <v>28639</v>
      </c>
      <c r="G203" s="578"/>
    </row>
    <row r="204" ht="16" customHeight="1">
      <c r="A204" s="12"/>
      <c r="B204" t="s" s="1683">
        <v>2008</v>
      </c>
      <c r="C204" s="1681">
        <v>4240000</v>
      </c>
      <c r="D204" s="1681"/>
      <c r="E204" s="1681"/>
      <c r="F204" s="1682">
        <v>2</v>
      </c>
      <c r="G204" s="578"/>
    </row>
    <row r="205" ht="16" customHeight="1">
      <c r="A205" s="12"/>
      <c r="B205" t="s" s="1683">
        <v>2009</v>
      </c>
      <c r="C205" s="1681">
        <v>3570000</v>
      </c>
      <c r="D205" s="1681"/>
      <c r="E205" s="1681"/>
      <c r="F205" s="1682">
        <v>102</v>
      </c>
      <c r="G205" t="s" s="1693">
        <v>2010</v>
      </c>
    </row>
    <row r="206" ht="16" customHeight="1">
      <c r="A206" s="12"/>
      <c r="B206" t="s" s="1683">
        <v>2011</v>
      </c>
      <c r="C206" s="1681">
        <v>2300000</v>
      </c>
      <c r="D206" s="1681"/>
      <c r="E206" s="1681"/>
      <c r="F206" s="1682">
        <v>5.5</v>
      </c>
      <c r="G206" s="578"/>
    </row>
    <row r="207" ht="16" customHeight="1">
      <c r="A207" s="12"/>
      <c r="B207" t="s" s="1683">
        <v>2012</v>
      </c>
      <c r="C207" s="1681">
        <v>1800000</v>
      </c>
      <c r="D207" s="1681"/>
      <c r="E207" s="1681"/>
      <c r="F207" s="1682">
        <v>7</v>
      </c>
      <c r="G207" s="578"/>
    </row>
    <row r="208" ht="16" customHeight="1">
      <c r="A208" s="12"/>
      <c r="B208" t="s" s="1683">
        <v>2013</v>
      </c>
      <c r="C208" s="1681">
        <v>1710000</v>
      </c>
      <c r="D208" s="1681"/>
      <c r="E208" s="1681"/>
      <c r="F208" s="1682">
        <v>58</v>
      </c>
      <c r="G208" t="s" s="1693">
        <v>2010</v>
      </c>
    </row>
    <row r="209" ht="16" customHeight="1">
      <c r="A209" s="12"/>
      <c r="B209" t="s" s="1683">
        <v>2014</v>
      </c>
      <c r="C209" s="1681">
        <v>1500000</v>
      </c>
      <c r="D209" s="1681"/>
      <c r="E209" s="1681"/>
      <c r="F209" s="1682">
        <v>3</v>
      </c>
      <c r="G209" s="578"/>
    </row>
    <row r="210" ht="16" customHeight="1">
      <c r="A210" s="12"/>
      <c r="B210" t="s" s="1683">
        <v>2015</v>
      </c>
      <c r="C210" s="1681">
        <v>1230000</v>
      </c>
      <c r="D210" s="1681"/>
      <c r="E210" s="1681"/>
      <c r="F210" s="1682">
        <v>42</v>
      </c>
      <c r="G210" t="s" s="1693">
        <v>2010</v>
      </c>
    </row>
    <row r="211" ht="16" customHeight="1">
      <c r="A211" s="12"/>
      <c r="B211" t="s" s="1683">
        <v>2016</v>
      </c>
      <c r="C211" s="1681">
        <v>1213899</v>
      </c>
      <c r="D211" s="1681"/>
      <c r="E211" s="1681"/>
      <c r="F211" s="1682">
        <v>7</v>
      </c>
      <c r="G211" s="578"/>
    </row>
    <row r="212" ht="16" customHeight="1">
      <c r="A212" s="12"/>
      <c r="B212" t="s" s="1683">
        <v>2017</v>
      </c>
      <c r="C212" s="1681">
        <v>1200000</v>
      </c>
      <c r="D212" s="1681"/>
      <c r="E212" s="1681"/>
      <c r="F212" s="1682">
        <v>2</v>
      </c>
      <c r="G212" s="578"/>
    </row>
    <row r="213" ht="16" customHeight="1">
      <c r="A213" s="12"/>
      <c r="B213" t="s" s="1683">
        <v>2018</v>
      </c>
      <c r="C213" s="1681">
        <v>980000</v>
      </c>
      <c r="D213" s="1681"/>
      <c r="E213" s="1681"/>
      <c r="F213" s="1682">
        <v>78</v>
      </c>
      <c r="G213" t="s" s="1693">
        <v>2010</v>
      </c>
    </row>
    <row r="214" ht="16" customHeight="1">
      <c r="A214" s="12"/>
      <c r="B214" t="s" s="1683">
        <v>2019</v>
      </c>
      <c r="C214" s="1681">
        <v>950000</v>
      </c>
      <c r="D214" s="1681"/>
      <c r="E214" s="1681"/>
      <c r="F214" s="1682">
        <v>19</v>
      </c>
      <c r="G214" t="s" s="1693">
        <v>2010</v>
      </c>
    </row>
    <row r="215" ht="16" customHeight="1">
      <c r="A215" s="12"/>
      <c r="B215" t="s" s="1683">
        <v>2020</v>
      </c>
      <c r="C215" s="1681">
        <v>945000</v>
      </c>
      <c r="D215" s="1681"/>
      <c r="E215" s="1681"/>
      <c r="F215" s="1682">
        <v>27</v>
      </c>
      <c r="G215" t="s" s="1693">
        <v>2010</v>
      </c>
    </row>
    <row r="216" ht="16" customHeight="1">
      <c r="A216" s="12"/>
      <c r="B216" t="s" s="1683">
        <v>2021</v>
      </c>
      <c r="C216" s="1681">
        <v>930000</v>
      </c>
      <c r="D216" s="1681"/>
      <c r="E216" s="1681"/>
      <c r="F216" s="1682">
        <v>74</v>
      </c>
      <c r="G216" t="s" s="1693">
        <v>2010</v>
      </c>
    </row>
    <row r="217" ht="16" customHeight="1">
      <c r="A217" s="12"/>
      <c r="B217" t="s" s="1683">
        <v>2022</v>
      </c>
      <c r="C217" s="1681">
        <v>855000</v>
      </c>
      <c r="D217" s="1681"/>
      <c r="E217" s="1681"/>
      <c r="F217" s="1682">
        <v>19</v>
      </c>
      <c r="G217" t="s" s="1693">
        <v>2010</v>
      </c>
    </row>
    <row r="218" ht="16" customHeight="1">
      <c r="A218" s="12"/>
      <c r="B218" t="s" s="1683">
        <v>2023</v>
      </c>
      <c r="C218" s="1681">
        <v>810000</v>
      </c>
      <c r="D218" s="1681"/>
      <c r="E218" s="1681"/>
      <c r="F218" s="1682">
        <v>18</v>
      </c>
      <c r="G218" t="s" s="1693">
        <v>2010</v>
      </c>
    </row>
    <row r="219" ht="16" customHeight="1">
      <c r="A219" s="12"/>
      <c r="B219" t="s" s="1683">
        <v>2024</v>
      </c>
      <c r="C219" s="1681">
        <v>795000</v>
      </c>
      <c r="D219" s="1681"/>
      <c r="E219" s="1681"/>
      <c r="F219" s="1682">
        <v>16</v>
      </c>
      <c r="G219" t="s" s="1693">
        <v>2010</v>
      </c>
    </row>
    <row r="220" ht="16" customHeight="1">
      <c r="A220" s="12"/>
      <c r="B220" t="s" s="1683">
        <v>2025</v>
      </c>
      <c r="C220" s="1681">
        <v>700000</v>
      </c>
      <c r="D220" s="1681"/>
      <c r="E220" s="1681"/>
      <c r="F220" s="1682">
        <v>14</v>
      </c>
      <c r="G220" t="s" s="1693">
        <v>2010</v>
      </c>
    </row>
    <row r="221" ht="16" customHeight="1">
      <c r="A221" s="12"/>
      <c r="B221" t="s" s="1683">
        <v>2026</v>
      </c>
      <c r="C221" s="1681">
        <v>660000</v>
      </c>
      <c r="D221" s="1681"/>
      <c r="E221" s="1681"/>
      <c r="F221" s="1682">
        <v>3</v>
      </c>
      <c r="G221" s="578"/>
    </row>
    <row r="222" ht="16" customHeight="1">
      <c r="A222" s="12"/>
      <c r="B222" t="s" s="1683">
        <v>2027</v>
      </c>
      <c r="C222" s="1681">
        <v>660000</v>
      </c>
      <c r="D222" s="1681"/>
      <c r="E222" s="1681"/>
      <c r="F222" s="1682">
        <v>1</v>
      </c>
      <c r="G222" s="578"/>
    </row>
    <row r="223" ht="16" customHeight="1">
      <c r="A223" s="12"/>
      <c r="B223" t="s" s="1683">
        <v>2028</v>
      </c>
      <c r="C223" s="1681">
        <v>650000</v>
      </c>
      <c r="D223" s="1681"/>
      <c r="E223" s="1681"/>
      <c r="F223" s="1682">
        <v>1</v>
      </c>
      <c r="G223" s="578"/>
    </row>
    <row r="224" ht="16" customHeight="1">
      <c r="A224" s="12"/>
      <c r="B224" t="s" s="1683">
        <v>2029</v>
      </c>
      <c r="C224" s="1681">
        <v>600000</v>
      </c>
      <c r="D224" s="1681"/>
      <c r="E224" s="1681"/>
      <c r="F224" s="1682">
        <v>12</v>
      </c>
      <c r="G224" t="s" s="1693">
        <v>2010</v>
      </c>
    </row>
    <row r="225" ht="16" customHeight="1">
      <c r="A225" s="12"/>
      <c r="B225" t="s" s="1683">
        <v>2030</v>
      </c>
      <c r="C225" s="1681">
        <v>550000</v>
      </c>
      <c r="D225" s="1681"/>
      <c r="E225" s="1681"/>
      <c r="F225" s="1682">
        <v>11</v>
      </c>
      <c r="G225" t="s" s="1693">
        <v>2010</v>
      </c>
    </row>
    <row r="226" ht="16" customHeight="1">
      <c r="A226" s="12"/>
      <c r="B226" t="s" s="1683">
        <v>2031</v>
      </c>
      <c r="C226" s="1681">
        <v>435000</v>
      </c>
      <c r="D226" s="1681"/>
      <c r="E226" s="1681"/>
      <c r="F226" s="1682">
        <v>37</v>
      </c>
      <c r="G226" t="s" s="1693">
        <v>2010</v>
      </c>
    </row>
    <row r="227" ht="16" customHeight="1">
      <c r="A227" s="12"/>
      <c r="B227" t="s" s="1683">
        <v>2032</v>
      </c>
      <c r="C227" s="1681">
        <v>360000</v>
      </c>
      <c r="D227" s="1681"/>
      <c r="E227" s="1681"/>
      <c r="F227" s="1682">
        <v>35</v>
      </c>
      <c r="G227" t="s" s="1693">
        <v>2010</v>
      </c>
    </row>
    <row r="228" ht="16" customHeight="1">
      <c r="A228" s="12"/>
      <c r="B228" t="s" s="1683">
        <v>2033</v>
      </c>
      <c r="C228" s="1681">
        <v>360000</v>
      </c>
      <c r="D228" s="1681"/>
      <c r="E228" s="1681"/>
      <c r="F228" s="1682">
        <v>6</v>
      </c>
      <c r="G228" t="s" s="1693">
        <v>2010</v>
      </c>
    </row>
    <row r="229" ht="16" customHeight="1">
      <c r="A229" s="12"/>
      <c r="B229" t="s" s="1683">
        <v>2034</v>
      </c>
      <c r="C229" s="1681">
        <v>350000</v>
      </c>
      <c r="D229" s="1681"/>
      <c r="E229" s="1681"/>
      <c r="F229" s="1682">
        <v>10</v>
      </c>
      <c r="G229" t="s" s="1693">
        <v>2010</v>
      </c>
    </row>
    <row r="230" ht="16" customHeight="1">
      <c r="A230" s="12"/>
      <c r="B230" t="s" s="1683">
        <v>2035</v>
      </c>
      <c r="C230" s="1681">
        <v>300000</v>
      </c>
      <c r="D230" s="1681"/>
      <c r="E230" s="1681"/>
      <c r="F230" s="1682">
        <v>15</v>
      </c>
      <c r="G230" s="578"/>
    </row>
    <row r="231" ht="16" customHeight="1">
      <c r="A231" s="12"/>
      <c r="B231" t="s" s="1683">
        <v>2036</v>
      </c>
      <c r="C231" s="1681">
        <v>255000</v>
      </c>
      <c r="D231" s="1681"/>
      <c r="E231" s="1681"/>
      <c r="F231" s="1682">
        <v>17</v>
      </c>
      <c r="G231" t="s" s="1693">
        <v>2010</v>
      </c>
    </row>
    <row r="232" ht="16" customHeight="1">
      <c r="A232" s="12"/>
      <c r="B232" t="s" s="1683">
        <v>2037</v>
      </c>
      <c r="C232" s="1681">
        <v>120000</v>
      </c>
      <c r="D232" s="1681"/>
      <c r="E232" s="1681"/>
      <c r="F232" s="1682">
        <v>6</v>
      </c>
      <c r="G232" t="s" s="1693">
        <v>2010</v>
      </c>
    </row>
    <row r="233" ht="16" customHeight="1">
      <c r="A233" s="12"/>
      <c r="B233" t="s" s="1683">
        <v>2038</v>
      </c>
      <c r="C233" s="1681">
        <v>70000</v>
      </c>
      <c r="D233" s="1681"/>
      <c r="E233" s="1681"/>
      <c r="F233" s="1682">
        <v>7</v>
      </c>
      <c r="G233" t="s" s="1693">
        <v>2010</v>
      </c>
    </row>
    <row r="234" ht="16" customHeight="1">
      <c r="A234" s="12"/>
      <c r="B234" t="s" s="1683">
        <v>2039</v>
      </c>
      <c r="C234" s="1681">
        <v>60000</v>
      </c>
      <c r="D234" s="1681"/>
      <c r="E234" s="1681"/>
      <c r="F234" s="1682">
        <v>4</v>
      </c>
      <c r="G234" t="s" s="1693">
        <v>2010</v>
      </c>
    </row>
    <row r="235" ht="16" customHeight="1">
      <c r="A235" s="12"/>
      <c r="B235" t="s" s="1683">
        <v>2040</v>
      </c>
      <c r="C235" s="1681">
        <v>1.11</v>
      </c>
      <c r="D235" s="1681"/>
      <c r="E235" s="1681"/>
      <c r="F235" s="1682">
        <v>3</v>
      </c>
      <c r="G235" s="578"/>
    </row>
    <row r="236" ht="9" customHeight="1" hidden="1">
      <c r="A236" s="12"/>
      <c r="B236" t="s" s="1683">
        <v>2041</v>
      </c>
      <c r="C236" s="1681">
        <v>0</v>
      </c>
      <c r="D236" s="1681"/>
      <c r="E236" s="1681"/>
      <c r="F236" s="1682">
        <v>1</v>
      </c>
      <c r="G236" s="578"/>
    </row>
    <row r="237" ht="9" customHeight="1" hidden="1">
      <c r="A237" s="12"/>
      <c r="B237" t="s" s="1683">
        <v>2042</v>
      </c>
      <c r="C237" s="1681">
        <v>0</v>
      </c>
      <c r="D237" s="1681"/>
      <c r="E237" s="1681"/>
      <c r="F237" s="1682">
        <v>459</v>
      </c>
      <c r="G237" s="578"/>
    </row>
    <row r="238" ht="9" customHeight="1" hidden="1">
      <c r="A238" s="12"/>
      <c r="B238" t="s" s="1683">
        <v>2043</v>
      </c>
      <c r="C238" s="1681">
        <v>0</v>
      </c>
      <c r="D238" s="1681"/>
      <c r="E238" s="1681"/>
      <c r="F238" s="1682">
        <v>5</v>
      </c>
      <c r="G238" s="578"/>
    </row>
    <row r="239" ht="9" customHeight="1" hidden="1">
      <c r="A239" s="12"/>
      <c r="B239" t="s" s="1683">
        <v>2044</v>
      </c>
      <c r="C239" s="1681">
        <v>0</v>
      </c>
      <c r="D239" s="1681"/>
      <c r="E239" s="1681"/>
      <c r="F239" s="1682">
        <v>2</v>
      </c>
      <c r="G239" s="578"/>
    </row>
    <row r="240" ht="9" customHeight="1" hidden="1">
      <c r="A240" s="12"/>
      <c r="B240" t="s" s="1683">
        <v>2045</v>
      </c>
      <c r="C240" s="1681">
        <v>0</v>
      </c>
      <c r="D240" s="1681"/>
      <c r="E240" s="1681"/>
      <c r="F240" s="1682">
        <v>9</v>
      </c>
      <c r="G240" s="578"/>
    </row>
    <row r="241" ht="9" customHeight="1" hidden="1">
      <c r="A241" s="12"/>
      <c r="B241" t="s" s="1683">
        <v>2046</v>
      </c>
      <c r="C241" s="1681">
        <v>0</v>
      </c>
      <c r="D241" s="1681"/>
      <c r="E241" s="1681"/>
      <c r="F241" s="1682">
        <v>59</v>
      </c>
      <c r="G241" s="578"/>
    </row>
    <row r="242" ht="9" customHeight="1" hidden="1">
      <c r="A242" s="12"/>
      <c r="B242" t="s" s="1683">
        <v>2047</v>
      </c>
      <c r="C242" s="1681">
        <v>0</v>
      </c>
      <c r="D242" s="1681"/>
      <c r="E242" s="1681"/>
      <c r="F242" s="1682">
        <v>6</v>
      </c>
      <c r="G242" s="578"/>
    </row>
    <row r="243" ht="9" customHeight="1" hidden="1">
      <c r="A243" s="12"/>
      <c r="B243" t="s" s="1683">
        <v>2048</v>
      </c>
      <c r="C243" s="1681">
        <v>0</v>
      </c>
      <c r="D243" s="1681"/>
      <c r="E243" s="1681"/>
      <c r="F243" s="1682">
        <v>17</v>
      </c>
      <c r="G243" s="578"/>
    </row>
    <row r="244" ht="9" customHeight="1" hidden="1">
      <c r="A244" s="12"/>
      <c r="B244" t="s" s="1683">
        <v>2049</v>
      </c>
      <c r="C244" s="1681">
        <v>0</v>
      </c>
      <c r="D244" s="1681"/>
      <c r="E244" s="1681"/>
      <c r="F244" s="1682">
        <v>4</v>
      </c>
      <c r="G244" s="578"/>
    </row>
    <row r="245" ht="9" customHeight="1" hidden="1">
      <c r="A245" s="12"/>
      <c r="B245" t="s" s="1683">
        <v>2050</v>
      </c>
      <c r="C245" s="1681">
        <v>0</v>
      </c>
      <c r="D245" s="1681"/>
      <c r="E245" s="1681"/>
      <c r="F245" s="1682">
        <v>8</v>
      </c>
      <c r="G245" s="578"/>
    </row>
    <row r="246" ht="9" customHeight="1" hidden="1">
      <c r="A246" s="12"/>
      <c r="B246" t="s" s="1683">
        <v>2051</v>
      </c>
      <c r="C246" s="1681">
        <v>0</v>
      </c>
      <c r="D246" s="1681"/>
      <c r="E246" s="1681"/>
      <c r="F246" s="1682">
        <v>129</v>
      </c>
      <c r="G246" s="578"/>
    </row>
    <row r="247" ht="9" customHeight="1" hidden="1">
      <c r="A247" s="12"/>
      <c r="B247" t="s" s="1683">
        <v>2052</v>
      </c>
      <c r="C247" s="1681">
        <v>0</v>
      </c>
      <c r="D247" s="1681"/>
      <c r="E247" s="1681"/>
      <c r="F247" s="1682">
        <v>17</v>
      </c>
      <c r="G247" s="578"/>
    </row>
    <row r="248" ht="9" customHeight="1" hidden="1">
      <c r="A248" s="12"/>
      <c r="B248" t="s" s="1683">
        <v>2053</v>
      </c>
      <c r="C248" s="1681">
        <v>0</v>
      </c>
      <c r="D248" s="1681"/>
      <c r="E248" s="1681"/>
      <c r="F248" s="1682">
        <v>148</v>
      </c>
      <c r="G248" s="578"/>
    </row>
    <row r="249" ht="9" customHeight="1" hidden="1">
      <c r="A249" s="12"/>
      <c r="B249" t="s" s="1683">
        <v>2054</v>
      </c>
      <c r="C249" s="1681">
        <v>0</v>
      </c>
      <c r="D249" s="1681"/>
      <c r="E249" s="1681"/>
      <c r="F249" s="1682">
        <v>1</v>
      </c>
      <c r="G249" s="578"/>
    </row>
    <row r="250" ht="9" customHeight="1" hidden="1">
      <c r="A250" s="12"/>
      <c r="B250" t="s" s="1683">
        <v>2055</v>
      </c>
      <c r="C250" s="1681">
        <v>0</v>
      </c>
      <c r="D250" s="1681"/>
      <c r="E250" s="1681"/>
      <c r="F250" s="1682">
        <v>14</v>
      </c>
      <c r="G250" s="578"/>
    </row>
    <row r="251" ht="9" customHeight="1" hidden="1">
      <c r="A251" s="12"/>
      <c r="B251" t="s" s="1683">
        <v>2056</v>
      </c>
      <c r="C251" s="1681">
        <v>0</v>
      </c>
      <c r="D251" s="1681"/>
      <c r="E251" s="1681"/>
      <c r="F251" s="1682">
        <v>34</v>
      </c>
      <c r="G251" s="578"/>
    </row>
    <row r="252" ht="9" customHeight="1" hidden="1">
      <c r="A252" s="12"/>
      <c r="B252" t="s" s="1683">
        <v>2057</v>
      </c>
      <c r="C252" s="1681">
        <v>0</v>
      </c>
      <c r="D252" s="1681"/>
      <c r="E252" s="1681"/>
      <c r="F252" s="1682">
        <v>180</v>
      </c>
      <c r="G252" s="578"/>
    </row>
    <row r="253" ht="9" customHeight="1" hidden="1">
      <c r="A253" s="12"/>
      <c r="B253" t="s" s="1683">
        <v>2058</v>
      </c>
      <c r="C253" s="1681">
        <v>0</v>
      </c>
      <c r="D253" s="1681"/>
      <c r="E253" s="1681"/>
      <c r="F253" s="1682">
        <v>3</v>
      </c>
      <c r="G253" s="578"/>
    </row>
    <row r="254" ht="9" customHeight="1" hidden="1">
      <c r="A254" s="12"/>
      <c r="B254" t="s" s="1683">
        <v>2059</v>
      </c>
      <c r="C254" s="1681">
        <v>0</v>
      </c>
      <c r="D254" s="1681"/>
      <c r="E254" s="1681"/>
      <c r="F254" s="1682">
        <v>3</v>
      </c>
      <c r="G254" s="578"/>
    </row>
    <row r="255" ht="9" customHeight="1" hidden="1">
      <c r="A255" s="12"/>
      <c r="B255" t="s" s="1683">
        <v>2060</v>
      </c>
      <c r="C255" s="1681">
        <v>0</v>
      </c>
      <c r="D255" s="1681"/>
      <c r="E255" s="1681"/>
      <c r="F255" s="1682">
        <v>1</v>
      </c>
      <c r="G255" s="578"/>
    </row>
    <row r="256" ht="9" customHeight="1" hidden="1">
      <c r="A256" s="12"/>
      <c r="B256" t="s" s="1683">
        <v>2061</v>
      </c>
      <c r="C256" s="1681">
        <v>0</v>
      </c>
      <c r="D256" s="1681"/>
      <c r="E256" s="1681"/>
      <c r="F256" s="1682">
        <v>1</v>
      </c>
      <c r="G256" s="578"/>
    </row>
    <row r="257" ht="9" customHeight="1" hidden="1">
      <c r="A257" s="12"/>
      <c r="B257" t="s" s="1683">
        <v>2062</v>
      </c>
      <c r="C257" s="1681">
        <v>0</v>
      </c>
      <c r="D257" s="1681"/>
      <c r="E257" s="1681"/>
      <c r="F257" s="1682">
        <v>1</v>
      </c>
      <c r="G257" s="578"/>
    </row>
    <row r="258" ht="9" customHeight="1" hidden="1">
      <c r="A258" s="12"/>
      <c r="B258" t="s" s="1683">
        <v>2063</v>
      </c>
      <c r="C258" s="1681">
        <v>0</v>
      </c>
      <c r="D258" s="1681"/>
      <c r="E258" s="1681"/>
      <c r="F258" s="1682">
        <v>2</v>
      </c>
      <c r="G258" s="578"/>
    </row>
    <row r="259" ht="9" customHeight="1" hidden="1">
      <c r="A259" s="12"/>
      <c r="B259" t="s" s="1683">
        <v>2064</v>
      </c>
      <c r="C259" s="1681">
        <v>0</v>
      </c>
      <c r="D259" s="1681"/>
      <c r="E259" s="1681"/>
      <c r="F259" s="1682">
        <v>1</v>
      </c>
      <c r="G259" s="578"/>
    </row>
    <row r="260" ht="9" customHeight="1" hidden="1">
      <c r="A260" s="12"/>
      <c r="B260" t="s" s="1683">
        <v>2065</v>
      </c>
      <c r="C260" s="1681">
        <v>0</v>
      </c>
      <c r="D260" s="1681"/>
      <c r="E260" s="1681"/>
      <c r="F260" s="1682">
        <v>1</v>
      </c>
      <c r="G260" s="578"/>
    </row>
    <row r="261" ht="16" customHeight="1">
      <c r="A261" s="12"/>
      <c r="B261" s="1680"/>
      <c r="C261" s="1681"/>
      <c r="D261" s="1681"/>
      <c r="E261" s="1681"/>
      <c r="F261" s="1682"/>
      <c r="G261" s="578"/>
    </row>
    <row r="262" ht="15" customHeight="1">
      <c r="A262" s="12"/>
      <c r="B262" t="s" s="1677">
        <v>2066</v>
      </c>
      <c r="C262" s="1678" cm="1">
        <f t="array" ref="C262">SUMIF(G196:G260,"PoS",C196:C260)</f>
        <v>16635000</v>
      </c>
      <c r="D262" s="1678"/>
      <c r="E262" s="1678"/>
      <c r="F262" s="1682" cm="1">
        <f t="array" ref="F262">SUMIF(G196:G260,"PoS",F196:F260)</f>
        <v>612</v>
      </c>
      <c r="G262" s="578"/>
    </row>
    <row r="263" ht="15.5" customHeight="1">
      <c r="A263" s="570"/>
      <c r="B263" s="1686"/>
      <c r="C263" s="1687"/>
      <c r="D263" s="1687"/>
      <c r="E263" s="1687"/>
      <c r="F263" s="1688"/>
      <c r="G263" s="105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dimension ref="A1:I145"/>
  <sheetViews>
    <sheetView workbookViewId="0" showGridLines="0" defaultGridColor="1"/>
  </sheetViews>
  <sheetFormatPr defaultColWidth="8.83333" defaultRowHeight="14.5" customHeight="1" outlineLevelRow="0" outlineLevelCol="0"/>
  <cols>
    <col min="1" max="1" width="4" style="1694" customWidth="1"/>
    <col min="2" max="2" width="51.8516" style="1694" customWidth="1"/>
    <col min="3" max="3" width="19.8516" style="1694" customWidth="1"/>
    <col min="4" max="4" width="10.5" style="1694" customWidth="1"/>
    <col min="5" max="5" width="2.17188" style="1694" customWidth="1"/>
    <col min="6" max="6" width="14.5" style="1694" customWidth="1"/>
    <col min="7" max="7" width="8.5" style="1694" customWidth="1"/>
    <col min="8" max="8" width="14.5" style="1694" customWidth="1"/>
    <col min="9" max="9" width="8.85156" style="1694" customWidth="1"/>
    <col min="10" max="16384" width="8.85156" style="1694" customWidth="1"/>
  </cols>
  <sheetData>
    <row r="1" ht="15" customHeight="1">
      <c r="A1" s="7"/>
      <c r="B1" s="8"/>
      <c r="C1" s="8"/>
      <c r="D1" s="8"/>
      <c r="E1" s="8"/>
      <c r="F1" s="8"/>
      <c r="G1" s="9"/>
      <c r="H1" s="9"/>
      <c r="I1" s="11"/>
    </row>
    <row r="2" ht="30.5" customHeight="1">
      <c r="A2" s="12"/>
      <c r="B2" t="s" s="1668">
        <v>1506</v>
      </c>
      <c r="C2" t="s" s="1669">
        <v>2068</v>
      </c>
      <c r="D2" t="s" s="1670">
        <v>161</v>
      </c>
      <c r="E2" s="1671"/>
      <c r="F2" t="s" s="1672">
        <v>1508</v>
      </c>
      <c r="G2" s="16"/>
      <c r="H2" s="17"/>
      <c r="I2" s="18"/>
    </row>
    <row r="3" ht="15" customHeight="1" hidden="1">
      <c r="A3" s="12"/>
      <c r="B3" t="s" s="1677">
        <v>1467</v>
      </c>
      <c r="C3" s="1695" cm="1">
        <f t="array" ref="C3">SUM(C16,C27,C36,C41,C81,C83,C107,C115,C128,C131:C145)</f>
        <v>10411600198</v>
      </c>
      <c r="D3" s="1685" cm="1">
        <f t="array" ref="D3">IF(C3/$C$3=0,"-",C3/$C$3)</f>
        <v>1</v>
      </c>
      <c r="E3" s="1695"/>
      <c r="F3" s="1696"/>
      <c r="G3" s="16"/>
      <c r="H3" s="17"/>
      <c r="I3" s="18"/>
    </row>
    <row r="4" ht="15" customHeight="1">
      <c r="A4" s="12"/>
      <c r="B4" s="1673"/>
      <c r="C4" s="1674"/>
      <c r="D4" s="1697"/>
      <c r="E4" s="1674"/>
      <c r="F4" s="1676"/>
      <c r="G4" s="16"/>
      <c r="H4" s="17"/>
      <c r="I4" s="18"/>
    </row>
    <row r="5" ht="16" customHeight="1">
      <c r="A5" s="12"/>
      <c r="B5" t="s" s="1698">
        <v>2069</v>
      </c>
      <c r="C5" s="1699">
        <v>63760000</v>
      </c>
      <c r="D5" s="1685" cm="1">
        <f t="array" ref="D5">IF(C5/$C$3=0,"-",C5/$C$3)</f>
        <v>0.00612393856731532</v>
      </c>
      <c r="E5" s="1699"/>
      <c r="F5" s="1700">
        <v>4</v>
      </c>
      <c r="G5" s="16"/>
      <c r="H5" s="17"/>
      <c r="I5" s="18"/>
    </row>
    <row r="6" ht="16" customHeight="1">
      <c r="A6" s="12"/>
      <c r="B6" t="s" s="1698">
        <v>2070</v>
      </c>
      <c r="C6" s="1699">
        <v>2315739000</v>
      </c>
      <c r="D6" s="1685" cm="1">
        <f t="array" ref="D6">IF(C6/$C$3=0,"-",C6/$C$3)</f>
        <v>0.222419124434382</v>
      </c>
      <c r="E6" s="1699"/>
      <c r="F6" s="1700">
        <v>180</v>
      </c>
      <c r="G6" s="16"/>
      <c r="H6" s="17"/>
      <c r="I6" s="18"/>
    </row>
    <row r="7" ht="16" customHeight="1">
      <c r="A7" s="12"/>
      <c r="B7" t="s" s="1698">
        <v>2071</v>
      </c>
      <c r="C7" s="1699">
        <v>9000000</v>
      </c>
      <c r="D7" s="1685" cm="1">
        <f t="array" ref="D7">IF(C7/$C$3=0,"-",C7/$C$3)</f>
        <v>0.000864420437669979</v>
      </c>
      <c r="E7" s="1699"/>
      <c r="F7" s="1700">
        <v>1</v>
      </c>
      <c r="G7" s="16"/>
      <c r="H7" s="17"/>
      <c r="I7" s="18"/>
    </row>
    <row r="8" ht="16" customHeight="1">
      <c r="A8" s="12"/>
      <c r="B8" t="s" s="1698">
        <v>2072</v>
      </c>
      <c r="C8" s="1699">
        <v>18676980</v>
      </c>
      <c r="D8" s="1685" cm="1">
        <f t="array" ref="D8">IF(C8/$C$3=0,"-",C8/$C$3)</f>
        <v>0.00179386258066149</v>
      </c>
      <c r="E8" s="1699"/>
      <c r="F8" s="1700">
        <v>1</v>
      </c>
      <c r="G8" s="16"/>
      <c r="H8" s="17"/>
      <c r="I8" s="18"/>
    </row>
    <row r="9" ht="16" customHeight="1">
      <c r="A9" s="12"/>
      <c r="B9" t="s" s="1698">
        <v>2073</v>
      </c>
      <c r="C9" s="1699">
        <v>505184500</v>
      </c>
      <c r="D9" s="1685" cm="1">
        <f t="array" ref="D9">IF(C9/$C$3=0,"-",C9/$C$3)</f>
        <v>0.0485213118437877</v>
      </c>
      <c r="E9" s="1699"/>
      <c r="F9" s="1700">
        <v>33</v>
      </c>
      <c r="G9" s="16"/>
      <c r="H9" s="17"/>
      <c r="I9" s="18"/>
    </row>
    <row r="10" ht="16" customHeight="1">
      <c r="A10" s="12"/>
      <c r="B10" t="s" s="1698">
        <v>2074</v>
      </c>
      <c r="C10" s="1699">
        <v>1991484428</v>
      </c>
      <c r="D10" s="1685" cm="1">
        <f t="array" ref="D10">IF(C10/$C$3=0,"-",C10/$C$3)</f>
        <v>0.191275537873856</v>
      </c>
      <c r="E10" s="1699"/>
      <c r="F10" s="1700">
        <v>151</v>
      </c>
      <c r="G10" s="16"/>
      <c r="H10" s="17"/>
      <c r="I10" s="18"/>
    </row>
    <row r="11" ht="16" customHeight="1">
      <c r="A11" s="12"/>
      <c r="B11" t="s" s="1698">
        <v>2075</v>
      </c>
      <c r="C11" s="1699">
        <v>72800000</v>
      </c>
      <c r="D11" s="1685" cm="1">
        <f t="array" ref="D11">IF(C11/$C$3=0,"-",C11/$C$3)</f>
        <v>0.00699220087359716</v>
      </c>
      <c r="E11" s="1699"/>
      <c r="F11" s="1700">
        <v>7</v>
      </c>
      <c r="G11" s="16"/>
      <c r="H11" s="17"/>
      <c r="I11" s="18"/>
    </row>
    <row r="12" ht="16" customHeight="1">
      <c r="A12" s="12"/>
      <c r="B12" t="s" s="1698">
        <v>2076</v>
      </c>
      <c r="C12" s="1699">
        <v>1108038917</v>
      </c>
      <c r="D12" s="1685" cm="1">
        <f t="array" ref="D12">IF(C12/$C$3=0,"-",C12/$C$3)</f>
        <v>0.106423498398723</v>
      </c>
      <c r="E12" s="1699"/>
      <c r="F12" s="1700">
        <v>102</v>
      </c>
      <c r="G12" s="16"/>
      <c r="H12" s="17"/>
      <c r="I12" s="18"/>
    </row>
    <row r="13" ht="16" customHeight="1">
      <c r="A13" s="12"/>
      <c r="B13" t="s" s="1698">
        <v>2077</v>
      </c>
      <c r="C13" s="1699">
        <v>35330000</v>
      </c>
      <c r="D13" s="1685" cm="1">
        <f t="array" ref="D13">IF(C13/$C$3=0,"-",C13/$C$3)</f>
        <v>0.00339333045143115</v>
      </c>
      <c r="E13" s="1699"/>
      <c r="F13" s="1700">
        <v>2</v>
      </c>
      <c r="G13" s="16"/>
      <c r="H13" s="17"/>
      <c r="I13" s="18"/>
    </row>
    <row r="14" ht="16" customHeight="1">
      <c r="A14" s="12"/>
      <c r="B14" t="s" s="1698">
        <v>2078</v>
      </c>
      <c r="C14" s="1699">
        <v>517483500</v>
      </c>
      <c r="D14" s="1685" cm="1">
        <f t="array" ref="D14">IF(C14/$C$3=0,"-",C14/$C$3)</f>
        <v>0.0497025903952214</v>
      </c>
      <c r="E14" s="1699"/>
      <c r="F14" s="1700">
        <v>40</v>
      </c>
      <c r="G14" s="16"/>
      <c r="H14" s="17"/>
      <c r="I14" s="18"/>
    </row>
    <row r="15" ht="16" customHeight="1">
      <c r="A15" s="12"/>
      <c r="B15" t="s" s="1698">
        <v>2079</v>
      </c>
      <c r="C15" s="1699">
        <v>45732825</v>
      </c>
      <c r="D15" s="1685" cm="1">
        <f t="array" ref="D15">IF(C15/$C$3=0,"-",C15/$C$3)</f>
        <v>0.00439248762248717</v>
      </c>
      <c r="E15" s="1699"/>
      <c r="F15" s="1700">
        <v>2</v>
      </c>
      <c r="G15" s="16"/>
      <c r="H15" s="17"/>
      <c r="I15" s="18"/>
    </row>
    <row r="16" ht="15" customHeight="1">
      <c r="A16" s="12"/>
      <c r="B16" t="s" s="1677">
        <v>2080</v>
      </c>
      <c r="C16" s="1695" cm="1">
        <f t="array" ref="C16">SUM(C5:C15)</f>
        <v>6683230150</v>
      </c>
      <c r="D16" s="1701" cm="1">
        <f t="array" ref="D16">IF(C16/$C$3=0,"-",C16/$C$3)</f>
        <v>0.641902303479133</v>
      </c>
      <c r="E16" s="1695"/>
      <c r="F16" s="1702" cm="1">
        <f t="array" ref="F16">SUM(F5:F15)</f>
        <v>523</v>
      </c>
      <c r="G16" s="16"/>
      <c r="H16" s="17"/>
      <c r="I16" s="18"/>
    </row>
    <row r="17" ht="9" customHeight="1">
      <c r="A17" s="12"/>
      <c r="B17" s="1673"/>
      <c r="C17" s="1695"/>
      <c r="D17" s="1697"/>
      <c r="E17" s="1695"/>
      <c r="F17" s="1702"/>
      <c r="G17" s="16"/>
      <c r="H17" s="17"/>
      <c r="I17" s="18"/>
    </row>
    <row r="18" ht="16" customHeight="1">
      <c r="A18" s="12"/>
      <c r="B18" t="s" s="1698">
        <v>2081</v>
      </c>
      <c r="C18" s="1699">
        <v>169530000</v>
      </c>
      <c r="D18" s="1685" cm="1">
        <f t="array" ref="D18">IF(C18/$C$3=0,"-",C18/$C$3)</f>
        <v>0.0162827996442435</v>
      </c>
      <c r="E18" s="1699"/>
      <c r="F18" s="1700">
        <v>140</v>
      </c>
      <c r="G18" s="16"/>
      <c r="H18" s="17"/>
      <c r="I18" s="18"/>
    </row>
    <row r="19" ht="16" customHeight="1">
      <c r="A19" s="12"/>
      <c r="B19" t="s" s="1698">
        <v>2082</v>
      </c>
      <c r="C19" s="1699">
        <v>180980000</v>
      </c>
      <c r="D19" s="1685" cm="1">
        <f t="array" ref="D19">IF(C19/$C$3=0,"-",C19/$C$3)</f>
        <v>0.0173825345343903</v>
      </c>
      <c r="E19" s="1699"/>
      <c r="F19" s="1700">
        <v>131</v>
      </c>
      <c r="G19" s="16"/>
      <c r="H19" s="17"/>
      <c r="I19" s="18"/>
    </row>
    <row r="20" ht="16" customHeight="1">
      <c r="A20" s="12"/>
      <c r="B20" t="s" s="1698">
        <v>2083</v>
      </c>
      <c r="C20" s="1699">
        <v>65946644</v>
      </c>
      <c r="D20" s="1685" cm="1">
        <f t="array" ref="D20">IF(C20/$C$3=0,"-",C20/$C$3)</f>
        <v>0.00633395854103848</v>
      </c>
      <c r="E20" s="1699"/>
      <c r="F20" s="1700">
        <v>49</v>
      </c>
      <c r="G20" s="16"/>
      <c r="H20" s="17"/>
      <c r="I20" s="18"/>
    </row>
    <row r="21" ht="16" customHeight="1">
      <c r="A21" s="12"/>
      <c r="B21" t="s" s="1698">
        <v>2084</v>
      </c>
      <c r="C21" s="1699">
        <v>4624000</v>
      </c>
      <c r="D21" s="1685" cm="1">
        <f t="array" ref="D21">IF(C21/$C$3=0,"-",C21/$C$3)</f>
        <v>0.000444120011531776</v>
      </c>
      <c r="E21" s="1699"/>
      <c r="F21" s="1700">
        <v>4</v>
      </c>
      <c r="G21" s="16"/>
      <c r="H21" s="17"/>
      <c r="I21" s="18"/>
    </row>
    <row r="22" ht="16" customHeight="1">
      <c r="A22" s="12"/>
      <c r="B22" t="s" s="1698">
        <v>2085</v>
      </c>
      <c r="C22" s="1699">
        <v>232500000</v>
      </c>
      <c r="D22" s="1685" cm="1">
        <f t="array" ref="D22">IF(C22/$C$3=0,"-",C22/$C$3)</f>
        <v>0.0223308613064745</v>
      </c>
      <c r="E22" s="1699"/>
      <c r="F22" s="1700">
        <v>164</v>
      </c>
      <c r="G22" s="16"/>
      <c r="H22" s="17"/>
      <c r="I22" s="18"/>
    </row>
    <row r="23" ht="16" customHeight="1">
      <c r="A23" s="12"/>
      <c r="B23" t="s" s="1698">
        <v>2086</v>
      </c>
      <c r="C23" s="1699">
        <v>2520000</v>
      </c>
      <c r="D23" s="1685" cm="1">
        <f t="array" ref="D23">IF(C23/$C$3=0,"-",C23/$C$3)</f>
        <v>0.000242037722547594</v>
      </c>
      <c r="E23" s="1699"/>
      <c r="F23" s="1700">
        <v>2</v>
      </c>
      <c r="G23" s="16"/>
      <c r="H23" s="17"/>
      <c r="I23" s="18"/>
    </row>
    <row r="24" ht="16" customHeight="1">
      <c r="A24" s="12"/>
      <c r="B24" t="s" s="1698">
        <v>2087</v>
      </c>
      <c r="C24" s="1699">
        <v>52391000</v>
      </c>
      <c r="D24" s="1685" cm="1">
        <f t="array" ref="D24">IF(C24/$C$3=0,"-",C24/$C$3)</f>
        <v>0.00503198346110754</v>
      </c>
      <c r="E24" s="1699"/>
      <c r="F24" s="1700">
        <v>39</v>
      </c>
      <c r="G24" s="16"/>
      <c r="H24" s="17"/>
      <c r="I24" s="18"/>
    </row>
    <row r="25" ht="16" customHeight="1">
      <c r="A25" s="12"/>
      <c r="B25" t="s" s="1698">
        <v>2088</v>
      </c>
      <c r="C25" s="1699">
        <v>198800000</v>
      </c>
      <c r="D25" s="1685" cm="1">
        <f t="array" ref="D25">IF(C25/$C$3=0,"-",C25/$C$3)</f>
        <v>0.0190940870009769</v>
      </c>
      <c r="E25" s="1699"/>
      <c r="F25" s="1700">
        <v>161</v>
      </c>
      <c r="G25" s="16"/>
      <c r="H25" s="17"/>
      <c r="I25" s="18"/>
    </row>
    <row r="26" ht="16" customHeight="1">
      <c r="A26" s="12"/>
      <c r="B26" t="s" s="1698">
        <v>2089</v>
      </c>
      <c r="C26" s="1699">
        <v>1671251900</v>
      </c>
      <c r="D26" s="1685" cm="1">
        <f t="array" ref="D26">IF(C26/$C$3=0,"-",C26/$C$3)</f>
        <v>0.160518255428309</v>
      </c>
      <c r="E26" s="1699"/>
      <c r="F26" s="1700">
        <v>1433</v>
      </c>
      <c r="G26" s="16"/>
      <c r="H26" s="17"/>
      <c r="I26" s="18"/>
    </row>
    <row r="27" ht="15" customHeight="1">
      <c r="A27" s="12"/>
      <c r="B27" t="s" s="1677">
        <v>241</v>
      </c>
      <c r="C27" s="1695" cm="1">
        <f t="array" ref="C27">SUM(C18:C26)</f>
        <v>2578543544</v>
      </c>
      <c r="D27" s="1701" cm="1">
        <f t="array" ref="D27">IF(C27/$C$3=0,"-",C27/$C$3)</f>
        <v>0.24766063765062</v>
      </c>
      <c r="E27" s="1695"/>
      <c r="F27" s="1702" cm="1">
        <f t="array" ref="F27">SUM(F18:F26)</f>
        <v>2123</v>
      </c>
      <c r="G27" s="16"/>
      <c r="H27" s="214"/>
      <c r="I27" s="1703"/>
    </row>
    <row r="28" ht="9.65" customHeight="1">
      <c r="A28" s="12"/>
      <c r="B28" s="1673"/>
      <c r="C28" s="1695"/>
      <c r="D28" s="1697"/>
      <c r="E28" s="1695"/>
      <c r="F28" s="1702"/>
      <c r="G28" s="1704"/>
      <c r="H28" s="17"/>
      <c r="I28" s="18"/>
    </row>
    <row r="29" ht="16" customHeight="1">
      <c r="A29" s="12"/>
      <c r="B29" t="s" s="1698">
        <v>242</v>
      </c>
      <c r="C29" s="1699">
        <v>381850000</v>
      </c>
      <c r="D29" s="1685" cm="1">
        <f t="array" ref="D29">IF(C29/$C$3=0,"-",C29/$C$3)</f>
        <v>0.0366754382360313</v>
      </c>
      <c r="E29" s="1699"/>
      <c r="F29" s="1700">
        <v>772</v>
      </c>
      <c r="G29" s="1691" cm="1">
        <f t="array" ref="G29">F29/$F$36</f>
        <v>0.686222222222222</v>
      </c>
      <c r="H29" s="1705"/>
      <c r="I29" s="18"/>
    </row>
    <row r="30" ht="16" customHeight="1">
      <c r="A30" s="12"/>
      <c r="B30" t="s" s="1698">
        <v>243</v>
      </c>
      <c r="C30" s="1699">
        <v>14500000</v>
      </c>
      <c r="D30" s="1685" cm="1">
        <f t="array" ref="D30">IF(C30/$C$3=0,"-",C30/$C$3)</f>
        <v>0.00139267737180163</v>
      </c>
      <c r="E30" s="1699"/>
      <c r="F30" s="1700">
        <v>58</v>
      </c>
      <c r="G30" s="1691" cm="1">
        <f t="array" ref="G30">F30/$F$36</f>
        <v>0.0515555555555556</v>
      </c>
      <c r="H30" s="1705"/>
      <c r="I30" s="18"/>
    </row>
    <row r="31" ht="16" customHeight="1">
      <c r="A31" s="12"/>
      <c r="B31" t="s" s="1698">
        <v>244</v>
      </c>
      <c r="C31" s="1699">
        <v>0</v>
      </c>
      <c r="D31" t="str" s="1706" cm="1">
        <f t="array" ref="D31">IF(C31/$C$3=0,"-",C31/$C$3)</f>
        <v>-</v>
      </c>
      <c r="E31" s="1699"/>
      <c r="F31" s="1700">
        <v>224</v>
      </c>
      <c r="G31" s="1691" cm="1">
        <f t="array" ref="G31">F31/$F$36</f>
        <v>0.199111111111111</v>
      </c>
      <c r="H31" s="1705"/>
      <c r="I31" s="18"/>
    </row>
    <row r="32" ht="16" customHeight="1">
      <c r="A32" s="12"/>
      <c r="B32" t="s" s="1698">
        <v>245</v>
      </c>
      <c r="C32" s="1699">
        <v>1000000</v>
      </c>
      <c r="D32" s="1685" cm="1">
        <f t="array" ref="D32">IF(C32/$C$3=0,"-",C32/$C$3)</f>
        <v>9.60467152966643e-05</v>
      </c>
      <c r="E32" s="1699"/>
      <c r="F32" s="1700">
        <v>4</v>
      </c>
      <c r="G32" s="1691" cm="1">
        <f t="array" ref="G32">F32/$F$36</f>
        <v>0.00355555555555556</v>
      </c>
      <c r="H32" s="1705"/>
      <c r="I32" s="18"/>
    </row>
    <row r="33" ht="16" customHeight="1">
      <c r="A33" s="12"/>
      <c r="B33" t="s" s="1698">
        <v>246</v>
      </c>
      <c r="C33" s="1699">
        <v>36600000</v>
      </c>
      <c r="D33" s="1685" cm="1">
        <f t="array" ref="D33">IF(C33/$C$3=0,"-",C33/$C$3)</f>
        <v>0.00351530977985791</v>
      </c>
      <c r="E33" s="1699"/>
      <c r="F33" s="1700">
        <v>61</v>
      </c>
      <c r="G33" s="1691" cm="1">
        <f t="array" ref="G33">F33/$F$36</f>
        <v>0.0542222222222222</v>
      </c>
      <c r="H33" s="1705"/>
      <c r="I33" s="18"/>
    </row>
    <row r="34" ht="16" customHeight="1">
      <c r="A34" s="12"/>
      <c r="B34" t="s" s="1698">
        <v>247</v>
      </c>
      <c r="C34" s="1699">
        <v>1500000</v>
      </c>
      <c r="D34" s="1685" cm="1">
        <f t="array" ref="D34">IF(C34/$C$3=0,"-",C34/$C$3)</f>
        <v>0.000144070072944996</v>
      </c>
      <c r="E34" s="1699"/>
      <c r="F34" s="1700">
        <v>5</v>
      </c>
      <c r="G34" s="1691" cm="1">
        <f t="array" ref="G34">F34/$F$36</f>
        <v>0.00444444444444444</v>
      </c>
      <c r="H34" s="1705"/>
      <c r="I34" s="18"/>
    </row>
    <row r="35" ht="16" customHeight="1">
      <c r="A35" s="12"/>
      <c r="B35" t="s" s="1698">
        <v>248</v>
      </c>
      <c r="C35" s="1699">
        <v>300000</v>
      </c>
      <c r="D35" s="1685" cm="1">
        <f t="array" ref="D35">IF(C35/$C$3=0,"-",C35/$C$3)</f>
        <v>2.88140145889993e-05</v>
      </c>
      <c r="E35" s="1699"/>
      <c r="F35" s="1700">
        <v>1</v>
      </c>
      <c r="G35" s="1691" cm="1">
        <f t="array" ref="G35">F35/$F$36</f>
        <v>0.000888888888888889</v>
      </c>
      <c r="H35" s="1705"/>
      <c r="I35" s="18"/>
    </row>
    <row r="36" ht="15" customHeight="1">
      <c r="A36" s="12"/>
      <c r="B36" t="s" s="1677">
        <v>249</v>
      </c>
      <c r="C36" s="1695" cm="1">
        <f t="array" ref="C36">SUM(C29:C35)</f>
        <v>435750000</v>
      </c>
      <c r="D36" s="1701" cm="1">
        <f t="array" ref="D36">IF(C36/$C$3=0,"-",C36/$C$3)</f>
        <v>0.0418523561905215</v>
      </c>
      <c r="E36" s="1695"/>
      <c r="F36" s="1702" cm="1">
        <f t="array" ref="F36">SUM(F29:F35)</f>
        <v>1125</v>
      </c>
      <c r="G36" s="1707" cm="1">
        <f t="array" ref="G36">F36/$F$36</f>
        <v>1</v>
      </c>
      <c r="H36" s="1705"/>
      <c r="I36" s="18"/>
    </row>
    <row r="37" ht="10.75" customHeight="1">
      <c r="A37" s="12"/>
      <c r="B37" s="1673"/>
      <c r="C37" s="1695"/>
      <c r="D37" s="1697"/>
      <c r="E37" s="1695"/>
      <c r="F37" s="1702"/>
      <c r="G37" s="1708"/>
      <c r="H37" s="17"/>
      <c r="I37" s="18"/>
    </row>
    <row r="38" ht="16" customHeight="1">
      <c r="A38" s="12"/>
      <c r="B38" t="s" s="1698">
        <v>2090</v>
      </c>
      <c r="C38" s="1699">
        <v>112906000</v>
      </c>
      <c r="D38" s="1685" cm="1">
        <f t="array" ref="D38">IF(C38/$C$3=0,"-",C38/$C$3)</f>
        <v>0.0108442504372852</v>
      </c>
      <c r="E38" s="1699"/>
      <c r="F38" s="1700">
        <v>77</v>
      </c>
      <c r="G38" s="16"/>
      <c r="H38" s="17"/>
      <c r="I38" s="18"/>
    </row>
    <row r="39" ht="16" customHeight="1">
      <c r="A39" s="12"/>
      <c r="B39" t="s" s="1698">
        <v>2091</v>
      </c>
      <c r="C39" s="1699">
        <v>62274500</v>
      </c>
      <c r="D39" s="1685" cm="1">
        <f t="array" ref="D39">IF(C39/$C$3=0,"-",C39/$C$3)</f>
        <v>0.00598126117174212</v>
      </c>
      <c r="E39" s="1699"/>
      <c r="F39" s="1700">
        <v>23</v>
      </c>
      <c r="G39" s="16"/>
      <c r="H39" s="17"/>
      <c r="I39" s="18"/>
    </row>
    <row r="40" ht="16" customHeight="1">
      <c r="A40" s="12"/>
      <c r="B40" t="s" s="1698">
        <v>2092</v>
      </c>
      <c r="C40" s="1699">
        <v>17074000</v>
      </c>
      <c r="D40" s="1685" cm="1">
        <f t="array" ref="D40">IF(C40/$C$3=0,"-",C40/$C$3)</f>
        <v>0.00163990161697525</v>
      </c>
      <c r="E40" s="1699"/>
      <c r="F40" s="1700">
        <v>24</v>
      </c>
      <c r="G40" s="16"/>
      <c r="H40" s="17"/>
      <c r="I40" s="18"/>
    </row>
    <row r="41" ht="15" customHeight="1">
      <c r="A41" s="12"/>
      <c r="B41" t="s" s="1677">
        <v>2093</v>
      </c>
      <c r="C41" s="1695" cm="1">
        <f t="array" ref="C41">SUM(C38:C40)</f>
        <v>192254500</v>
      </c>
      <c r="D41" s="1701" cm="1">
        <f t="array" ref="D41">IF(C41/$C$3=0,"-",C41/$C$3)</f>
        <v>0.0184654132260026</v>
      </c>
      <c r="E41" s="1695"/>
      <c r="F41" s="1702" cm="1">
        <f t="array" ref="F41">SUM(F38:F40)</f>
        <v>124</v>
      </c>
      <c r="G41" s="16"/>
      <c r="H41" s="17"/>
      <c r="I41" s="18"/>
    </row>
    <row r="42" ht="15" customHeight="1">
      <c r="A42" s="12"/>
      <c r="B42" s="1673"/>
      <c r="C42" s="1695"/>
      <c r="D42" s="1697"/>
      <c r="E42" s="1695"/>
      <c r="F42" s="1702"/>
      <c r="G42" s="16"/>
      <c r="H42" s="17"/>
      <c r="I42" s="18"/>
    </row>
    <row r="43" ht="16" customHeight="1">
      <c r="A43" s="12"/>
      <c r="B43" t="s" s="1698">
        <v>2006</v>
      </c>
      <c r="C43" s="1699">
        <v>4900000</v>
      </c>
      <c r="D43" s="1709" cm="1">
        <f t="array" ref="D43">IF(C43/$C$3=0,"-",C43/$C$3)</f>
        <v>0.000470628904953655</v>
      </c>
      <c r="E43" s="1699"/>
      <c r="F43" s="1700">
        <v>7</v>
      </c>
      <c r="G43" s="16"/>
      <c r="H43" s="17"/>
      <c r="I43" s="18"/>
    </row>
    <row r="44" ht="16" customHeight="1">
      <c r="A44" s="12"/>
      <c r="B44" t="s" s="1698">
        <v>2042</v>
      </c>
      <c r="C44" s="1699">
        <v>0</v>
      </c>
      <c r="D44" t="str" s="1706" cm="1">
        <f t="array" ref="D44">IF(C44/$C$3=0,"-",C44/$C$3)</f>
        <v>-</v>
      </c>
      <c r="E44" s="1699"/>
      <c r="F44" s="1700">
        <v>359</v>
      </c>
      <c r="G44" s="16"/>
      <c r="H44" s="17"/>
      <c r="I44" s="18"/>
    </row>
    <row r="45" ht="16" customHeight="1">
      <c r="A45" s="12"/>
      <c r="B45" t="s" s="1698">
        <v>2043</v>
      </c>
      <c r="C45" s="1699">
        <v>0</v>
      </c>
      <c r="D45" t="str" s="1706" cm="1">
        <f t="array" ref="D45">IF(C45/$C$3=0,"-",C45/$C$3)</f>
        <v>-</v>
      </c>
      <c r="E45" s="1699"/>
      <c r="F45" s="1700">
        <v>15</v>
      </c>
      <c r="G45" s="16"/>
      <c r="H45" s="17"/>
      <c r="I45" s="18"/>
    </row>
    <row r="46" ht="16" customHeight="1">
      <c r="A46" s="12"/>
      <c r="B46" t="s" s="1698">
        <v>2044</v>
      </c>
      <c r="C46" s="1699">
        <v>0</v>
      </c>
      <c r="D46" t="str" s="1706" cm="1">
        <f t="array" ref="D46">IF(C46/$C$3=0,"-",C46/$C$3)</f>
        <v>-</v>
      </c>
      <c r="E46" s="1699"/>
      <c r="F46" s="1700">
        <v>2</v>
      </c>
      <c r="G46" s="16"/>
      <c r="H46" s="17"/>
      <c r="I46" s="18"/>
    </row>
    <row r="47" ht="16" customHeight="1">
      <c r="A47" s="12"/>
      <c r="B47" t="s" s="1698">
        <v>1996</v>
      </c>
      <c r="C47" s="1699">
        <v>36900000</v>
      </c>
      <c r="D47" s="1709" cm="1">
        <f t="array" ref="D47">IF(C47/$C$3=0,"-",C47/$C$3)</f>
        <v>0.00354412379444691</v>
      </c>
      <c r="E47" s="1699"/>
      <c r="F47" s="1700">
        <v>113</v>
      </c>
      <c r="G47" s="16"/>
      <c r="H47" s="17"/>
      <c r="I47" s="18"/>
    </row>
    <row r="48" ht="16" customHeight="1">
      <c r="A48" s="12"/>
      <c r="B48" t="s" s="1698">
        <v>2045</v>
      </c>
      <c r="C48" s="1699">
        <v>0</v>
      </c>
      <c r="D48" t="str" s="1706" cm="1">
        <f t="array" ref="D48">IF(C48/$C$3=0,"-",C48/$C$3)</f>
        <v>-</v>
      </c>
      <c r="E48" s="1699"/>
      <c r="F48" s="1700">
        <v>8</v>
      </c>
      <c r="G48" s="16"/>
      <c r="H48" s="17"/>
      <c r="I48" s="18"/>
    </row>
    <row r="49" ht="16" customHeight="1">
      <c r="A49" s="12"/>
      <c r="B49" t="s" s="1698">
        <v>2046</v>
      </c>
      <c r="C49" s="1699">
        <v>0</v>
      </c>
      <c r="D49" t="str" s="1706" cm="1">
        <f t="array" ref="D49">IF(C49/$C$3=0,"-",C49/$C$3)</f>
        <v>-</v>
      </c>
      <c r="E49" s="1699"/>
      <c r="F49" s="1700">
        <v>72</v>
      </c>
      <c r="G49" s="16"/>
      <c r="H49" s="17"/>
      <c r="I49" s="18"/>
    </row>
    <row r="50" ht="16" customHeight="1">
      <c r="A50" s="12"/>
      <c r="B50" t="s" s="1698">
        <v>2047</v>
      </c>
      <c r="C50" s="1699">
        <v>0</v>
      </c>
      <c r="D50" t="str" s="1706" cm="1">
        <f t="array" ref="D50">IF(C50/$C$3=0,"-",C50/$C$3)</f>
        <v>-</v>
      </c>
      <c r="E50" s="1699"/>
      <c r="F50" s="1700">
        <v>6</v>
      </c>
      <c r="G50" s="16"/>
      <c r="H50" s="17"/>
      <c r="I50" s="18"/>
    </row>
    <row r="51" ht="16" customHeight="1">
      <c r="A51" s="12"/>
      <c r="B51" t="s" s="1698">
        <v>2048</v>
      </c>
      <c r="C51" s="1699">
        <v>0</v>
      </c>
      <c r="D51" t="str" s="1706" cm="1">
        <f t="array" ref="D51">IF(C51/$C$3=0,"-",C51/$C$3)</f>
        <v>-</v>
      </c>
      <c r="E51" s="1699"/>
      <c r="F51" s="1700">
        <v>12</v>
      </c>
      <c r="G51" s="16"/>
      <c r="H51" s="17"/>
      <c r="I51" s="18"/>
    </row>
    <row r="52" ht="16" customHeight="1">
      <c r="A52" s="12"/>
      <c r="B52" t="s" s="1698">
        <v>2049</v>
      </c>
      <c r="C52" s="1699">
        <v>0</v>
      </c>
      <c r="D52" t="str" s="1706" cm="1">
        <f t="array" ref="D52">IF(C52/$C$3=0,"-",C52/$C$3)</f>
        <v>-</v>
      </c>
      <c r="E52" s="1699"/>
      <c r="F52" s="1700">
        <v>3</v>
      </c>
      <c r="G52" s="16"/>
      <c r="H52" s="17"/>
      <c r="I52" s="18"/>
    </row>
    <row r="53" ht="16" customHeight="1">
      <c r="A53" s="12"/>
      <c r="B53" t="s" s="1698">
        <v>2050</v>
      </c>
      <c r="C53" s="1699">
        <v>0</v>
      </c>
      <c r="D53" t="str" s="1706" cm="1">
        <f t="array" ref="D53">IF(C53/$C$3=0,"-",C53/$C$3)</f>
        <v>-</v>
      </c>
      <c r="E53" s="1699"/>
      <c r="F53" s="1700">
        <v>8</v>
      </c>
      <c r="G53" s="16"/>
      <c r="H53" s="17"/>
      <c r="I53" s="18"/>
    </row>
    <row r="54" ht="16" customHeight="1">
      <c r="A54" s="12"/>
      <c r="B54" t="s" s="1698">
        <v>2051</v>
      </c>
      <c r="C54" s="1699">
        <v>43650000</v>
      </c>
      <c r="D54" s="1709" cm="1">
        <f t="array" ref="D54">IF(C54/$C$3=0,"-",C54/$C$3)</f>
        <v>0.0041924391226994</v>
      </c>
      <c r="E54" s="1699"/>
      <c r="F54" s="1700">
        <v>126</v>
      </c>
      <c r="G54" s="16"/>
      <c r="H54" s="17"/>
      <c r="I54" s="18"/>
    </row>
    <row r="55" ht="16" customHeight="1">
      <c r="A55" s="12"/>
      <c r="B55" t="s" s="1698">
        <v>2052</v>
      </c>
      <c r="C55" s="1699">
        <v>10935000</v>
      </c>
      <c r="D55" s="1709" cm="1">
        <f t="array" ref="D55">IF(C55/$C$3=0,"-",C55/$C$3)</f>
        <v>0.00105027083176902</v>
      </c>
      <c r="E55" s="1699"/>
      <c r="F55" s="1700">
        <v>18</v>
      </c>
      <c r="G55" s="16"/>
      <c r="H55" s="17"/>
      <c r="I55" s="18"/>
    </row>
    <row r="56" ht="16" customHeight="1">
      <c r="A56" s="12"/>
      <c r="B56" t="s" s="1698">
        <v>2053</v>
      </c>
      <c r="C56" s="1699">
        <v>0</v>
      </c>
      <c r="D56" t="str" s="1706" cm="1">
        <f t="array" ref="D56">IF(C56/$C$3=0,"-",C56/$C$3)</f>
        <v>-</v>
      </c>
      <c r="E56" s="1699"/>
      <c r="F56" s="1700">
        <v>114</v>
      </c>
      <c r="G56" s="16"/>
      <c r="H56" s="17"/>
      <c r="I56" s="18"/>
    </row>
    <row r="57" ht="16" customHeight="1">
      <c r="A57" s="12"/>
      <c r="B57" t="s" s="1698">
        <v>2054</v>
      </c>
      <c r="C57" s="1699">
        <v>0</v>
      </c>
      <c r="D57" t="str" s="1706" cm="1">
        <f t="array" ref="D57">IF(C57/$C$3=0,"-",C57/$C$3)</f>
        <v>-</v>
      </c>
      <c r="E57" s="1699"/>
      <c r="F57" s="1700">
        <v>1</v>
      </c>
      <c r="G57" s="16"/>
      <c r="H57" s="17"/>
      <c r="I57" s="18"/>
    </row>
    <row r="58" ht="16" customHeight="1">
      <c r="A58" s="12"/>
      <c r="B58" t="s" s="1698">
        <v>2055</v>
      </c>
      <c r="C58" s="1699">
        <v>55160000</v>
      </c>
      <c r="D58" s="1709" cm="1">
        <f t="array" ref="D58">IF(C58/$C$3=0,"-",C58/$C$3)</f>
        <v>0.005297936815764</v>
      </c>
      <c r="E58" s="1699"/>
      <c r="F58" s="1700">
        <v>23</v>
      </c>
      <c r="G58" s="16"/>
      <c r="H58" s="17"/>
      <c r="I58" s="18"/>
    </row>
    <row r="59" ht="16" customHeight="1">
      <c r="A59" s="12"/>
      <c r="B59" t="s" s="1698">
        <v>2056</v>
      </c>
      <c r="C59" s="1699">
        <v>0</v>
      </c>
      <c r="D59" t="str" s="1706" cm="1">
        <f t="array" ref="D59">IF(C59/$C$3=0,"-",C59/$C$3)</f>
        <v>-</v>
      </c>
      <c r="E59" s="1699"/>
      <c r="F59" s="1700">
        <v>31</v>
      </c>
      <c r="G59" s="16"/>
      <c r="H59" s="17"/>
      <c r="I59" s="18"/>
    </row>
    <row r="60" ht="16" customHeight="1">
      <c r="A60" s="12"/>
      <c r="B60" t="s" s="1698">
        <v>2057</v>
      </c>
      <c r="C60" s="1699">
        <v>0</v>
      </c>
      <c r="D60" t="str" s="1706" cm="1">
        <f t="array" ref="D60">IF(C60/$C$3=0,"-",C60/$C$3)</f>
        <v>-</v>
      </c>
      <c r="E60" s="1699"/>
      <c r="F60" s="1700">
        <v>203</v>
      </c>
      <c r="G60" s="16"/>
      <c r="H60" s="17"/>
      <c r="I60" s="18"/>
    </row>
    <row r="61" ht="16" customHeight="1">
      <c r="A61" s="12"/>
      <c r="B61" t="s" s="1698">
        <v>2058</v>
      </c>
      <c r="C61" s="1699">
        <v>0</v>
      </c>
      <c r="D61" t="str" s="1706" cm="1">
        <f t="array" ref="D61">IF(C61/$C$3=0,"-",C61/$C$3)</f>
        <v>-</v>
      </c>
      <c r="E61" s="1699"/>
      <c r="F61" s="1700">
        <v>3</v>
      </c>
      <c r="G61" s="16"/>
      <c r="H61" s="17"/>
      <c r="I61" s="18"/>
    </row>
    <row r="62" ht="16" customHeight="1">
      <c r="A62" s="12"/>
      <c r="B62" t="s" s="1698">
        <v>2094</v>
      </c>
      <c r="C62" s="1699">
        <v>5000000</v>
      </c>
      <c r="D62" s="1709" cm="1">
        <f t="array" ref="D62">IF(C62/$C$3=0,"-",C62/$C$3)</f>
        <v>0.000480233576483322</v>
      </c>
      <c r="E62" s="1699"/>
      <c r="F62" s="1700">
        <v>9</v>
      </c>
      <c r="G62" s="16"/>
      <c r="H62" s="17"/>
      <c r="I62" s="18"/>
    </row>
    <row r="63" ht="16" customHeight="1">
      <c r="A63" s="12"/>
      <c r="B63" t="s" s="1698">
        <v>2095</v>
      </c>
      <c r="C63" s="1699">
        <v>0</v>
      </c>
      <c r="D63" t="str" s="1706" cm="1">
        <f t="array" ref="D63">IF(C63/$C$3=0,"-",C63/$C$3)</f>
        <v>-</v>
      </c>
      <c r="E63" s="1699"/>
      <c r="F63" s="1700">
        <v>4</v>
      </c>
      <c r="G63" s="16"/>
      <c r="H63" s="17"/>
      <c r="I63" s="18"/>
    </row>
    <row r="64" ht="16" customHeight="1">
      <c r="A64" s="12"/>
      <c r="B64" t="s" s="1698">
        <v>2096</v>
      </c>
      <c r="C64" s="1699">
        <v>0</v>
      </c>
      <c r="D64" t="str" s="1706" cm="1">
        <f t="array" ref="D64">IF(C64/$C$3=0,"-",C64/$C$3)</f>
        <v>-</v>
      </c>
      <c r="E64" s="1699"/>
      <c r="F64" s="1700">
        <v>2</v>
      </c>
      <c r="G64" s="16"/>
      <c r="H64" s="17"/>
      <c r="I64" s="18"/>
    </row>
    <row r="65" ht="16" customHeight="1">
      <c r="A65" s="12"/>
      <c r="B65" t="s" s="1698">
        <v>2097</v>
      </c>
      <c r="C65" s="1699">
        <v>936000</v>
      </c>
      <c r="D65" s="1709" cm="1">
        <f t="array" ref="D65">IF(C65/$C$3=0,"-",C65/$C$3)</f>
        <v>8.98997255176778e-05</v>
      </c>
      <c r="E65" s="1699"/>
      <c r="F65" s="1700">
        <v>13</v>
      </c>
      <c r="G65" s="16"/>
      <c r="H65" s="17"/>
      <c r="I65" s="18"/>
    </row>
    <row r="66" ht="16" customHeight="1">
      <c r="A66" s="12"/>
      <c r="B66" t="s" s="1698">
        <v>2098</v>
      </c>
      <c r="C66" s="1699">
        <v>0</v>
      </c>
      <c r="D66" t="str" s="1706" cm="1">
        <f t="array" ref="D66">IF(C66/$C$3=0,"-",C66/$C$3)</f>
        <v>-</v>
      </c>
      <c r="E66" s="1699"/>
      <c r="F66" s="1700">
        <v>10</v>
      </c>
      <c r="G66" s="16"/>
      <c r="H66" s="17"/>
      <c r="I66" s="18"/>
    </row>
    <row r="67" ht="16" customHeight="1">
      <c r="A67" s="12"/>
      <c r="B67" t="s" s="1698">
        <v>2099</v>
      </c>
      <c r="C67" s="1699">
        <v>0</v>
      </c>
      <c r="D67" t="str" s="1706" cm="1">
        <f t="array" ref="D67">IF(C67/$C$3=0,"-",C67/$C$3)</f>
        <v>-</v>
      </c>
      <c r="E67" s="1699"/>
      <c r="F67" s="1700">
        <v>1</v>
      </c>
      <c r="G67" s="16"/>
      <c r="H67" s="17"/>
      <c r="I67" s="18"/>
    </row>
    <row r="68" ht="16" customHeight="1">
      <c r="A68" s="12"/>
      <c r="B68" t="s" s="1698">
        <v>2100</v>
      </c>
      <c r="C68" s="1699">
        <v>0</v>
      </c>
      <c r="D68" t="str" s="1706" cm="1">
        <f t="array" ref="D68">IF(C68/$C$3=0,"-",C68/$C$3)</f>
        <v>-</v>
      </c>
      <c r="E68" s="1699"/>
      <c r="F68" s="1700">
        <v>1</v>
      </c>
      <c r="G68" s="16"/>
      <c r="H68" s="17"/>
      <c r="I68" s="18"/>
    </row>
    <row r="69" ht="16" customHeight="1">
      <c r="A69" s="12"/>
      <c r="B69" t="s" s="1698">
        <v>2101</v>
      </c>
      <c r="C69" s="1699">
        <v>0</v>
      </c>
      <c r="D69" t="str" s="1706" cm="1">
        <f t="array" ref="D69">IF(C69/$C$3=0,"-",C69/$C$3)</f>
        <v>-</v>
      </c>
      <c r="E69" s="1699"/>
      <c r="F69" s="1700">
        <v>2</v>
      </c>
      <c r="G69" s="16"/>
      <c r="H69" s="17"/>
      <c r="I69" s="18"/>
    </row>
    <row r="70" ht="16" customHeight="1">
      <c r="A70" s="12"/>
      <c r="B70" t="s" s="1698">
        <v>2102</v>
      </c>
      <c r="C70" s="1699">
        <v>1600000</v>
      </c>
      <c r="D70" s="1709" cm="1">
        <f t="array" ref="D70">IF(C70/$C$3=0,"-",C70/$C$3)</f>
        <v>0.000153674744474663</v>
      </c>
      <c r="E70" s="1699"/>
      <c r="F70" s="1700">
        <v>9</v>
      </c>
      <c r="G70" s="16"/>
      <c r="H70" s="17"/>
      <c r="I70" s="18"/>
    </row>
    <row r="71" ht="16" customHeight="1">
      <c r="A71" s="12"/>
      <c r="B71" t="s" s="1698">
        <v>2103</v>
      </c>
      <c r="C71" s="1699">
        <v>8000000</v>
      </c>
      <c r="D71" s="1709" cm="1">
        <f t="array" ref="D71">IF(C71/$C$3=0,"-",C71/$C$3)</f>
        <v>0.000768373722373315</v>
      </c>
      <c r="E71" s="1699"/>
      <c r="F71" s="1700">
        <v>2</v>
      </c>
      <c r="G71" s="16"/>
      <c r="H71" s="17"/>
      <c r="I71" s="18"/>
    </row>
    <row r="72" ht="16" customHeight="1">
      <c r="A72" s="12"/>
      <c r="B72" t="s" s="1698">
        <v>2104</v>
      </c>
      <c r="C72" s="1699">
        <v>1800000</v>
      </c>
      <c r="D72" s="1709" cm="1">
        <f t="array" ref="D72">IF(C72/$C$3=0,"-",C72/$C$3)</f>
        <v>0.000172884087533996</v>
      </c>
      <c r="E72" s="1699"/>
      <c r="F72" s="1700">
        <v>10</v>
      </c>
      <c r="G72" s="16"/>
      <c r="H72" s="17"/>
      <c r="I72" s="18"/>
    </row>
    <row r="73" ht="16" customHeight="1">
      <c r="A73" s="12"/>
      <c r="B73" t="s" s="1698">
        <v>2105</v>
      </c>
      <c r="C73" s="1699">
        <v>0</v>
      </c>
      <c r="D73" t="str" s="1706" cm="1">
        <f t="array" ref="D73">IF(C73/$C$3=0,"-",C73/$C$3)</f>
        <v>-</v>
      </c>
      <c r="E73" s="1699"/>
      <c r="F73" s="1700">
        <v>12</v>
      </c>
      <c r="G73" s="16"/>
      <c r="H73" s="17"/>
      <c r="I73" s="18"/>
    </row>
    <row r="74" ht="16" customHeight="1">
      <c r="A74" s="12"/>
      <c r="B74" t="s" s="1698">
        <v>2106</v>
      </c>
      <c r="C74" s="1699">
        <v>0</v>
      </c>
      <c r="D74" t="str" s="1706" cm="1">
        <f t="array" ref="D74">IF(C74/$C$3=0,"-",C74/$C$3)</f>
        <v>-</v>
      </c>
      <c r="E74" s="1699"/>
      <c r="F74" s="1700">
        <v>1</v>
      </c>
      <c r="G74" s="16"/>
      <c r="H74" s="17"/>
      <c r="I74" s="18"/>
    </row>
    <row r="75" ht="16" customHeight="1">
      <c r="A75" s="12"/>
      <c r="B75" t="s" s="1698">
        <v>2107</v>
      </c>
      <c r="C75" s="1699">
        <v>0</v>
      </c>
      <c r="D75" t="str" s="1706" cm="1">
        <f t="array" ref="D75">IF(C75/$C$3=0,"-",C75/$C$3)</f>
        <v>-</v>
      </c>
      <c r="E75" s="1699"/>
      <c r="F75" s="1700">
        <v>2</v>
      </c>
      <c r="G75" s="16"/>
      <c r="H75" s="17"/>
      <c r="I75" s="18"/>
    </row>
    <row r="76" ht="16" customHeight="1">
      <c r="A76" s="12"/>
      <c r="B76" t="s" s="1698">
        <v>2108</v>
      </c>
      <c r="C76" s="1699">
        <v>5000000</v>
      </c>
      <c r="D76" s="1709" cm="1">
        <f t="array" ref="D76">IF(C76/$C$3=0,"-",C76/$C$3)</f>
        <v>0.000480233576483322</v>
      </c>
      <c r="E76" s="1699"/>
      <c r="F76" s="1700">
        <v>1</v>
      </c>
      <c r="G76" s="16"/>
      <c r="H76" s="17"/>
      <c r="I76" s="18"/>
    </row>
    <row r="77" ht="16" customHeight="1">
      <c r="A77" s="12"/>
      <c r="B77" t="s" s="1698">
        <v>2109</v>
      </c>
      <c r="C77" s="1699">
        <v>0</v>
      </c>
      <c r="D77" t="str" s="1706" cm="1">
        <f t="array" ref="D77">IF(C77/$C$3=0,"-",C77/$C$3)</f>
        <v>-</v>
      </c>
      <c r="E77" s="1699"/>
      <c r="F77" s="1700">
        <v>1</v>
      </c>
      <c r="G77" s="16"/>
      <c r="H77" s="17"/>
      <c r="I77" s="18"/>
    </row>
    <row r="78" ht="16" customHeight="1">
      <c r="A78" s="12"/>
      <c r="B78" t="s" s="1698">
        <v>2110</v>
      </c>
      <c r="C78" s="1699">
        <v>0</v>
      </c>
      <c r="D78" t="str" s="1706" cm="1">
        <f t="array" ref="D78">IF(C78/$C$3=0,"-",C78/$C$3)</f>
        <v>-</v>
      </c>
      <c r="E78" s="1699"/>
      <c r="F78" s="1700">
        <v>1</v>
      </c>
      <c r="G78" s="16"/>
      <c r="H78" s="17"/>
      <c r="I78" s="18"/>
    </row>
    <row r="79" ht="16" customHeight="1">
      <c r="A79" s="12"/>
      <c r="B79" t="s" s="1698">
        <v>2111</v>
      </c>
      <c r="C79" s="1699">
        <v>0</v>
      </c>
      <c r="D79" t="str" s="1706" cm="1">
        <f t="array" ref="D79">IF(C79/$C$3=0,"-",C79/$C$3)</f>
        <v>-</v>
      </c>
      <c r="E79" s="1699"/>
      <c r="F79" s="1700">
        <v>12</v>
      </c>
      <c r="G79" s="16"/>
      <c r="H79" s="17"/>
      <c r="I79" s="18"/>
    </row>
    <row r="80" ht="16" customHeight="1">
      <c r="A80" s="12"/>
      <c r="B80" t="s" s="1698">
        <v>2112</v>
      </c>
      <c r="C80" s="1699">
        <v>0</v>
      </c>
      <c r="D80" t="str" s="1706" cm="1">
        <f t="array" ref="D80">IF(C80/$C$3=0,"-",C80/$C$3)</f>
        <v>-</v>
      </c>
      <c r="E80" s="1699"/>
      <c r="F80" s="1700">
        <v>3</v>
      </c>
      <c r="G80" s="16"/>
      <c r="H80" s="17"/>
      <c r="I80" s="18"/>
    </row>
    <row r="81" ht="15" customHeight="1">
      <c r="A81" s="12"/>
      <c r="B81" t="s" s="1677">
        <v>215</v>
      </c>
      <c r="C81" s="1695" cm="1">
        <f t="array" ref="C81">SUM(C43:C80)</f>
        <v>173881000</v>
      </c>
      <c r="D81" s="1710" cm="1">
        <f t="array" ref="D81">IF(C81/$C$3=0,"-",C81/$C$3)</f>
        <v>0.0167006989024993</v>
      </c>
      <c r="E81" s="1695"/>
      <c r="F81" s="1702" cm="1">
        <f t="array" ref="F81">SUM(F43:F80)</f>
        <v>1220</v>
      </c>
      <c r="G81" s="16"/>
      <c r="H81" s="17"/>
      <c r="I81" s="18"/>
    </row>
    <row r="82" ht="15" customHeight="1">
      <c r="A82" s="12"/>
      <c r="B82" s="1673"/>
      <c r="C82" s="1695"/>
      <c r="D82" s="1697"/>
      <c r="E82" s="1695"/>
      <c r="F82" s="1702"/>
      <c r="G82" s="16"/>
      <c r="H82" s="17"/>
      <c r="I82" s="18"/>
    </row>
    <row r="83" ht="15" customHeight="1">
      <c r="A83" s="12"/>
      <c r="B83" t="s" s="1677">
        <v>250</v>
      </c>
      <c r="C83" s="1678">
        <v>142590000</v>
      </c>
      <c r="D83" s="1710" cm="1">
        <f t="array" ref="D83">IF(C83/$C$3=0,"-",C83/$C$3)</f>
        <v>0.0136953011341514</v>
      </c>
      <c r="E83" s="1678"/>
      <c r="F83" s="1679">
        <v>269</v>
      </c>
      <c r="G83" s="16"/>
      <c r="H83" s="17"/>
      <c r="I83" s="18"/>
    </row>
    <row r="84" ht="15" customHeight="1">
      <c r="A84" s="12"/>
      <c r="B84" s="1673"/>
      <c r="C84" s="1695"/>
      <c r="D84" s="1697"/>
      <c r="E84" s="1695"/>
      <c r="F84" s="1702"/>
      <c r="G84" s="16"/>
      <c r="H84" s="17"/>
      <c r="I84" s="18"/>
    </row>
    <row r="85" ht="16" customHeight="1">
      <c r="A85" s="12"/>
      <c r="B85" t="s" s="1698">
        <v>2113</v>
      </c>
      <c r="C85" s="1699">
        <v>400000</v>
      </c>
      <c r="D85" s="1709" cm="1">
        <f t="array" ref="D85">IF(C85/$C$3=0,"-",C85/$C$3)</f>
        <v>3.84186861186657e-05</v>
      </c>
      <c r="E85" s="1699"/>
      <c r="F85" s="1700">
        <v>1</v>
      </c>
      <c r="G85" s="16"/>
      <c r="H85" s="17"/>
      <c r="I85" s="18"/>
    </row>
    <row r="86" ht="16" customHeight="1">
      <c r="A86" s="12"/>
      <c r="B86" t="s" s="1698">
        <v>2114</v>
      </c>
      <c r="C86" s="1699">
        <v>4</v>
      </c>
      <c r="D86" s="1709" cm="1">
        <f t="array" ref="D86">IF(C86/$C$3=0,"-",C86/$C$3)</f>
        <v>3.84186861186657e-10</v>
      </c>
      <c r="E86" s="1699"/>
      <c r="F86" s="1700">
        <v>1</v>
      </c>
      <c r="G86" s="16"/>
      <c r="H86" s="17"/>
      <c r="I86" s="18"/>
    </row>
    <row r="87" ht="16" customHeight="1">
      <c r="A87" s="12"/>
      <c r="B87" t="s" s="1698">
        <v>2115</v>
      </c>
      <c r="C87" s="1699">
        <v>10200000</v>
      </c>
      <c r="D87" s="1709" cm="1">
        <f t="array" ref="D87">IF(C87/$C$3=0,"-",C87/$C$3)</f>
        <v>0.000979676496025976</v>
      </c>
      <c r="E87" s="1699"/>
      <c r="F87" s="1700">
        <v>9</v>
      </c>
      <c r="G87" s="16"/>
      <c r="H87" s="17"/>
      <c r="I87" s="18"/>
    </row>
    <row r="88" ht="16" customHeight="1">
      <c r="A88" s="12"/>
      <c r="B88" t="s" s="1698">
        <v>2116</v>
      </c>
      <c r="C88" s="1699">
        <v>6000000</v>
      </c>
      <c r="D88" s="1709" cm="1">
        <f t="array" ref="D88">IF(C88/$C$3=0,"-",C88/$C$3)</f>
        <v>0.000576280291779986</v>
      </c>
      <c r="E88" s="1699"/>
      <c r="F88" s="1700">
        <v>8</v>
      </c>
      <c r="G88" s="16"/>
      <c r="H88" s="17"/>
      <c r="I88" s="18"/>
    </row>
    <row r="89" ht="16" customHeight="1">
      <c r="A89" s="12"/>
      <c r="B89" t="s" s="1698">
        <v>2117</v>
      </c>
      <c r="C89" s="1699">
        <v>0</v>
      </c>
      <c r="D89" t="str" s="1706" cm="1">
        <f t="array" ref="D89">IF(C89/$C$3=0,"-",C89/$C$3)</f>
        <v>-</v>
      </c>
      <c r="E89" s="1699"/>
      <c r="F89" s="1700">
        <v>1</v>
      </c>
      <c r="G89" s="16"/>
      <c r="H89" s="17"/>
      <c r="I89" s="18"/>
    </row>
    <row r="90" ht="16" customHeight="1">
      <c r="A90" s="12"/>
      <c r="B90" t="s" s="1698">
        <v>2118</v>
      </c>
      <c r="C90" s="1699">
        <v>0</v>
      </c>
      <c r="D90" t="str" s="1706" cm="1">
        <f t="array" ref="D90">IF(C90/$C$3=0,"-",C90/$C$3)</f>
        <v>-</v>
      </c>
      <c r="E90" s="1699"/>
      <c r="F90" s="1700">
        <v>1</v>
      </c>
      <c r="G90" s="16"/>
      <c r="H90" s="17"/>
      <c r="I90" s="18"/>
    </row>
    <row r="91" ht="16" customHeight="1">
      <c r="A91" s="12"/>
      <c r="B91" t="s" s="1698">
        <v>2119</v>
      </c>
      <c r="C91" s="1699">
        <v>12000000</v>
      </c>
      <c r="D91" s="1709" cm="1">
        <f t="array" ref="D91">IF(C91/$C$3=0,"-",C91/$C$3)</f>
        <v>0.00115256058355997</v>
      </c>
      <c r="E91" s="1699"/>
      <c r="F91" s="1700">
        <v>18</v>
      </c>
      <c r="G91" s="16"/>
      <c r="H91" s="17"/>
      <c r="I91" s="18"/>
    </row>
    <row r="92" ht="16" customHeight="1">
      <c r="A92" s="12"/>
      <c r="B92" t="s" s="1698">
        <v>2120</v>
      </c>
      <c r="C92" s="1699">
        <v>1200000</v>
      </c>
      <c r="D92" s="1709" cm="1">
        <f t="array" ref="D92">IF(C92/$C$3=0,"-",C92/$C$3)</f>
        <v>0.000115256058355997</v>
      </c>
      <c r="E92" s="1699"/>
      <c r="F92" s="1700">
        <v>1</v>
      </c>
      <c r="G92" s="16"/>
      <c r="H92" s="17"/>
      <c r="I92" s="18"/>
    </row>
    <row r="93" ht="16" customHeight="1">
      <c r="A93" s="12"/>
      <c r="B93" t="s" s="1698">
        <v>2121</v>
      </c>
      <c r="C93" s="1699">
        <v>800000</v>
      </c>
      <c r="D93" s="1709" cm="1">
        <f t="array" ref="D93">IF(C93/$C$3=0,"-",C93/$C$3)</f>
        <v>7.68373722373315e-05</v>
      </c>
      <c r="E93" s="1699"/>
      <c r="F93" s="1700">
        <v>1</v>
      </c>
      <c r="G93" s="16"/>
      <c r="H93" s="17"/>
      <c r="I93" s="18"/>
    </row>
    <row r="94" ht="16" customHeight="1">
      <c r="A94" s="12"/>
      <c r="B94" t="s" s="1698">
        <v>2122</v>
      </c>
      <c r="C94" s="1699">
        <v>2450000</v>
      </c>
      <c r="D94" s="1709" cm="1">
        <f t="array" ref="D94">IF(C94/$C$3=0,"-",C94/$C$3)</f>
        <v>0.000235314452476828</v>
      </c>
      <c r="E94" s="1699"/>
      <c r="F94" s="1700">
        <v>5</v>
      </c>
      <c r="G94" s="16"/>
      <c r="H94" s="17"/>
      <c r="I94" s="18"/>
    </row>
    <row r="95" ht="16" customHeight="1">
      <c r="A95" s="12"/>
      <c r="B95" t="s" s="1698">
        <v>2123</v>
      </c>
      <c r="C95" s="1699">
        <v>1200000</v>
      </c>
      <c r="D95" s="1709" cm="1">
        <f t="array" ref="D95">IF(C95/$C$3=0,"-",C95/$C$3)</f>
        <v>0.000115256058355997</v>
      </c>
      <c r="E95" s="1699"/>
      <c r="F95" s="1700">
        <v>3</v>
      </c>
      <c r="G95" s="16"/>
      <c r="H95" s="17"/>
      <c r="I95" s="18"/>
    </row>
    <row r="96" ht="16" customHeight="1">
      <c r="A96" s="12"/>
      <c r="B96" t="s" s="1698">
        <v>2124</v>
      </c>
      <c r="C96" s="1699">
        <v>3200000</v>
      </c>
      <c r="D96" s="1709" cm="1">
        <f t="array" ref="D96">IF(C96/$C$3=0,"-",C96/$C$3)</f>
        <v>0.000307349488949326</v>
      </c>
      <c r="E96" s="1699"/>
      <c r="F96" s="1700">
        <v>8</v>
      </c>
      <c r="G96" s="16"/>
      <c r="H96" s="17"/>
      <c r="I96" s="18"/>
    </row>
    <row r="97" ht="16" customHeight="1">
      <c r="A97" s="12"/>
      <c r="B97" t="s" s="1698">
        <v>2125</v>
      </c>
      <c r="C97" s="1699">
        <v>14000000</v>
      </c>
      <c r="D97" s="1709" cm="1">
        <f t="array" ref="D97">IF(C97/$C$3=0,"-",C97/$C$3)</f>
        <v>0.0013446540141533</v>
      </c>
      <c r="E97" s="1699"/>
      <c r="F97" s="1700">
        <v>35</v>
      </c>
      <c r="G97" s="16"/>
      <c r="H97" s="17"/>
      <c r="I97" s="18"/>
    </row>
    <row r="98" ht="16" customHeight="1">
      <c r="A98" s="12"/>
      <c r="B98" t="s" s="1698">
        <v>2126</v>
      </c>
      <c r="C98" s="1699">
        <v>4300000</v>
      </c>
      <c r="D98" s="1709" cm="1">
        <f t="array" ref="D98">IF(C98/$C$3=0,"-",C98/$C$3)</f>
        <v>0.000413000875775657</v>
      </c>
      <c r="E98" s="1699"/>
      <c r="F98" s="1700">
        <v>4</v>
      </c>
      <c r="G98" s="16"/>
      <c r="H98" s="17"/>
      <c r="I98" s="18"/>
    </row>
    <row r="99" ht="16" customHeight="1">
      <c r="A99" s="12"/>
      <c r="B99" t="s" s="1698">
        <v>2127</v>
      </c>
      <c r="C99" s="1699">
        <v>11400000</v>
      </c>
      <c r="D99" s="1709" cm="1">
        <f t="array" ref="D99">IF(C99/$C$3=0,"-",C99/$C$3)</f>
        <v>0.00109493255438197</v>
      </c>
      <c r="E99" s="1699"/>
      <c r="F99" s="1700">
        <v>19</v>
      </c>
      <c r="G99" s="16"/>
      <c r="H99" s="17"/>
      <c r="I99" s="18"/>
    </row>
    <row r="100" ht="16" customHeight="1">
      <c r="A100" s="12"/>
      <c r="B100" t="s" s="1698">
        <v>2128</v>
      </c>
      <c r="C100" s="1699">
        <v>1000000</v>
      </c>
      <c r="D100" s="1709" cm="1">
        <f t="array" ref="D100">IF(C100/$C$3=0,"-",C100/$C$3)</f>
        <v>9.60467152966643e-05</v>
      </c>
      <c r="E100" s="1699"/>
      <c r="F100" s="1700">
        <v>1</v>
      </c>
      <c r="G100" s="16"/>
      <c r="H100" s="17"/>
      <c r="I100" s="18"/>
    </row>
    <row r="101" ht="16" customHeight="1">
      <c r="A101" s="12"/>
      <c r="B101" t="s" s="1698">
        <v>2129</v>
      </c>
      <c r="C101" s="1699">
        <v>4300000</v>
      </c>
      <c r="D101" s="1709" cm="1">
        <f t="array" ref="D101">IF(C101/$C$3=0,"-",C101/$C$3)</f>
        <v>0.000413000875775657</v>
      </c>
      <c r="E101" s="1699"/>
      <c r="F101" s="1700">
        <v>3</v>
      </c>
      <c r="G101" s="16"/>
      <c r="H101" s="17"/>
      <c r="I101" s="18"/>
    </row>
    <row r="102" ht="16" customHeight="1">
      <c r="A102" s="12"/>
      <c r="B102" t="s" s="1698">
        <v>2130</v>
      </c>
      <c r="C102" s="1699">
        <v>1100000</v>
      </c>
      <c r="D102" s="1709" cm="1">
        <f t="array" ref="D102">IF(C102/$C$3=0,"-",C102/$C$3)</f>
        <v>0.000105651386826331</v>
      </c>
      <c r="E102" s="1699"/>
      <c r="F102" s="1700">
        <v>1</v>
      </c>
      <c r="G102" s="16"/>
      <c r="H102" s="17"/>
      <c r="I102" s="18"/>
    </row>
    <row r="103" ht="16" customHeight="1">
      <c r="A103" s="12"/>
      <c r="B103" t="s" s="1698">
        <v>2131</v>
      </c>
      <c r="C103" s="1699">
        <v>9360000</v>
      </c>
      <c r="D103" s="1709" cm="1">
        <f t="array" ref="D103">IF(C103/$C$3=0,"-",C103/$C$3)</f>
        <v>0.000898997255176778</v>
      </c>
      <c r="E103" s="1699"/>
      <c r="F103" s="1700">
        <v>10</v>
      </c>
      <c r="G103" s="16"/>
      <c r="H103" s="17"/>
      <c r="I103" s="18"/>
    </row>
    <row r="104" ht="16" customHeight="1">
      <c r="A104" s="12"/>
      <c r="B104" t="s" s="1698">
        <v>2132</v>
      </c>
      <c r="C104" s="1699">
        <v>570000</v>
      </c>
      <c r="D104" s="1709" cm="1">
        <f t="array" ref="D104">IF(C104/$C$3=0,"-",C104/$C$3)</f>
        <v>5.47466277190987e-05</v>
      </c>
      <c r="E104" s="1699"/>
      <c r="F104" s="1700">
        <v>3</v>
      </c>
      <c r="G104" s="16"/>
      <c r="H104" s="17"/>
      <c r="I104" s="18"/>
    </row>
    <row r="105" ht="16" customHeight="1">
      <c r="A105" s="12"/>
      <c r="B105" t="s" s="1698">
        <v>2133</v>
      </c>
      <c r="C105" s="1699">
        <v>7070000</v>
      </c>
      <c r="D105" s="1709" cm="1">
        <f t="array" ref="D105">IF(C105/$C$3=0,"-",C105/$C$3)</f>
        <v>0.000679050277147417</v>
      </c>
      <c r="E105" s="1699"/>
      <c r="F105" s="1700">
        <v>8</v>
      </c>
      <c r="G105" s="16"/>
      <c r="H105" s="17"/>
      <c r="I105" s="18"/>
    </row>
    <row r="106" ht="13.75" customHeight="1">
      <c r="A106" s="12"/>
      <c r="B106" t="s" s="1698">
        <v>2134</v>
      </c>
      <c r="C106" s="1699">
        <v>2400000</v>
      </c>
      <c r="D106" s="1709" cm="1">
        <f t="array" ref="D106">IF(C106/$C$3=0,"-",C106/$C$3)</f>
        <v>0.000230512116711994</v>
      </c>
      <c r="E106" s="1699"/>
      <c r="F106" s="1700">
        <v>2</v>
      </c>
      <c r="G106" s="16"/>
      <c r="H106" s="17"/>
      <c r="I106" s="18"/>
    </row>
    <row r="107" ht="15.65" customHeight="1">
      <c r="A107" s="12"/>
      <c r="B107" t="s" s="1677">
        <v>2135</v>
      </c>
      <c r="C107" s="1695" cm="1">
        <f t="array" ref="C107">SUM(C85:C106)</f>
        <v>92950004</v>
      </c>
      <c r="D107" s="1710" cm="1">
        <f t="array" ref="D107">IF(C107/$C$3=0,"-",C107/$C$3)</f>
        <v>0.008927542571011809</v>
      </c>
      <c r="E107" s="1695"/>
      <c r="F107" s="1702" cm="1">
        <f t="array" ref="F107">SUM(F85:F106)</f>
        <v>143</v>
      </c>
      <c r="G107" s="16"/>
      <c r="H107" s="17"/>
      <c r="I107" s="18"/>
    </row>
    <row r="108" ht="15" customHeight="1">
      <c r="A108" s="12"/>
      <c r="B108" s="1673"/>
      <c r="C108" s="1695"/>
      <c r="D108" s="1697"/>
      <c r="E108" s="1695"/>
      <c r="F108" s="1702"/>
      <c r="G108" s="1704"/>
      <c r="H108" s="17"/>
      <c r="I108" s="18"/>
    </row>
    <row r="109" ht="16" customHeight="1">
      <c r="A109" s="12"/>
      <c r="B109" t="s" s="1698">
        <v>2136</v>
      </c>
      <c r="C109" s="1699">
        <v>48000000</v>
      </c>
      <c r="D109" s="1709" cm="1">
        <f t="array" ref="D109">IF(C109/$C$3=0,"-",C109/$C$3)</f>
        <v>0.00461024233423989</v>
      </c>
      <c r="E109" s="1699"/>
      <c r="F109" s="1700">
        <v>24</v>
      </c>
      <c r="G109" s="1691" cm="1">
        <f t="array" ref="G109">F109/$F$115</f>
        <v>0.436363636363636</v>
      </c>
      <c r="H109" s="1705"/>
      <c r="I109" s="18"/>
    </row>
    <row r="110" ht="16" customHeight="1">
      <c r="A110" s="12"/>
      <c r="B110" t="s" s="1698">
        <v>2137</v>
      </c>
      <c r="C110" s="1699">
        <v>40000000</v>
      </c>
      <c r="D110" s="1709" cm="1">
        <f t="array" ref="D110">IF(C110/$C$3=0,"-",C110/$C$3)</f>
        <v>0.00384186861186657</v>
      </c>
      <c r="E110" s="1699"/>
      <c r="F110" s="1700">
        <v>20</v>
      </c>
      <c r="G110" s="1691" cm="1">
        <f t="array" ref="G110">F110/$F$115</f>
        <v>0.363636363636364</v>
      </c>
      <c r="H110" s="1705"/>
      <c r="I110" s="18"/>
    </row>
    <row r="111" ht="16" customHeight="1">
      <c r="A111" s="12"/>
      <c r="B111" t="s" s="1698">
        <v>2138</v>
      </c>
      <c r="C111" s="1699">
        <v>2000000</v>
      </c>
      <c r="D111" s="1709" cm="1">
        <f t="array" ref="D111">IF(C111/$C$3=0,"-",C111/$C$3)</f>
        <v>0.000192093430593329</v>
      </c>
      <c r="E111" s="1699"/>
      <c r="F111" s="1700">
        <v>4</v>
      </c>
      <c r="G111" s="1691" cm="1">
        <f t="array" ref="G111">F111/$F$115</f>
        <v>0.0727272727272727</v>
      </c>
      <c r="H111" s="1705"/>
      <c r="I111" s="18"/>
    </row>
    <row r="112" ht="16" customHeight="1">
      <c r="A112" s="12"/>
      <c r="B112" t="s" s="1698">
        <v>2139</v>
      </c>
      <c r="C112" s="1699">
        <v>5000</v>
      </c>
      <c r="D112" s="1709" cm="1">
        <f t="array" ref="D112">IF(C112/$C$3=0,"-",C112/$C$3)</f>
        <v>4.80233576483322e-07</v>
      </c>
      <c r="E112" s="1699"/>
      <c r="F112" s="1700">
        <v>1</v>
      </c>
      <c r="G112" s="1691" cm="1">
        <f t="array" ref="G112">F112/$F$115</f>
        <v>0.0181818181818182</v>
      </c>
      <c r="H112" s="1705"/>
      <c r="I112" s="18"/>
    </row>
    <row r="113" ht="16" customHeight="1">
      <c r="A113" s="12"/>
      <c r="B113" t="s" s="1698">
        <v>2140</v>
      </c>
      <c r="C113" s="1699">
        <v>0</v>
      </c>
      <c r="D113" t="str" s="1706" cm="1">
        <f t="array" ref="D113">IF(C113/$C$3=0,"-",C113/$C$3)</f>
        <v>-</v>
      </c>
      <c r="E113" s="1699"/>
      <c r="F113" s="1700">
        <v>1</v>
      </c>
      <c r="G113" s="1691" cm="1">
        <f t="array" ref="G113">F113/$F$115</f>
        <v>0.0181818181818182</v>
      </c>
      <c r="H113" s="1705"/>
      <c r="I113" s="18"/>
    </row>
    <row r="114" ht="16" customHeight="1">
      <c r="A114" s="12"/>
      <c r="B114" t="s" s="1698">
        <v>2141</v>
      </c>
      <c r="C114" s="1699">
        <v>800000</v>
      </c>
      <c r="D114" s="1709" cm="1">
        <f t="array" ref="D114">IF(C114/$C$3=0,"-",C114/$C$3)</f>
        <v>7.68373722373315e-05</v>
      </c>
      <c r="E114" s="1699"/>
      <c r="F114" s="1700">
        <v>5</v>
      </c>
      <c r="G114" s="1691" cm="1">
        <f t="array" ref="G114">F114/$F$115</f>
        <v>0.0909090909090909</v>
      </c>
      <c r="H114" s="1705"/>
      <c r="I114" s="18"/>
    </row>
    <row r="115" ht="15" customHeight="1">
      <c r="A115" s="12"/>
      <c r="B115" t="s" s="1677">
        <v>274</v>
      </c>
      <c r="C115" s="1695" cm="1">
        <f t="array" ref="C115">SUM(C109:C114)</f>
        <v>90805000</v>
      </c>
      <c r="D115" s="1710" cm="1">
        <f t="array" ref="D115">IF(C115/$C$3=0,"-",C115/$C$3)</f>
        <v>0.008721521982513599</v>
      </c>
      <c r="E115" s="1695"/>
      <c r="F115" s="1702" cm="1">
        <f t="array" ref="F115">SUM(F109:F114)</f>
        <v>55</v>
      </c>
      <c r="G115" s="1707" cm="1">
        <f t="array" ref="G115">F115/$F$115</f>
        <v>1</v>
      </c>
      <c r="H115" s="1705"/>
      <c r="I115" s="18"/>
    </row>
    <row r="116" ht="15" customHeight="1">
      <c r="A116" s="12"/>
      <c r="B116" s="1673"/>
      <c r="C116" s="1695"/>
      <c r="D116" s="1697"/>
      <c r="E116" s="1695"/>
      <c r="F116" s="1702"/>
      <c r="G116" s="1711"/>
      <c r="H116" s="17"/>
      <c r="I116" s="18"/>
    </row>
    <row r="117" ht="16" customHeight="1">
      <c r="A117" s="12"/>
      <c r="B117" t="s" s="1698">
        <v>216</v>
      </c>
      <c r="C117" s="1699">
        <v>0</v>
      </c>
      <c r="D117" t="str" s="1706" cm="1">
        <f t="array" ref="D117">IF(C117/$C$3=0,"-",C117/$C$3)</f>
        <v>-</v>
      </c>
      <c r="E117" s="1699"/>
      <c r="F117" s="1700">
        <v>62</v>
      </c>
      <c r="G117" s="1691" cm="1">
        <f t="array" ref="G117">F117/$F$16</f>
        <v>0.118546845124283</v>
      </c>
      <c r="H117" s="1705"/>
      <c r="I117" s="18"/>
    </row>
    <row r="118" ht="16" customHeight="1">
      <c r="A118" s="12"/>
      <c r="B118" t="s" s="1698">
        <v>217</v>
      </c>
      <c r="C118" s="1699">
        <v>0</v>
      </c>
      <c r="D118" t="str" s="1706" cm="1">
        <f t="array" ref="D118">IF(C118/$C$3=0,"-",C118/$C$3)</f>
        <v>-</v>
      </c>
      <c r="E118" s="1699"/>
      <c r="F118" s="1700">
        <v>4</v>
      </c>
      <c r="G118" s="1691" cm="1">
        <f t="array" ref="G118">F118/$F$16</f>
        <v>0.00764818355640535</v>
      </c>
      <c r="H118" s="1705"/>
      <c r="I118" s="18"/>
    </row>
    <row r="119" ht="16" customHeight="1">
      <c r="A119" s="12"/>
      <c r="B119" t="s" s="1698">
        <v>218</v>
      </c>
      <c r="C119" s="1699">
        <v>1300000</v>
      </c>
      <c r="D119" s="1709" cm="1">
        <f t="array" ref="D119">IF(C119/$C$3=0,"-",C119/$C$3)</f>
        <v>0.000124860729885664</v>
      </c>
      <c r="E119" s="1699"/>
      <c r="F119" s="1700">
        <v>9</v>
      </c>
      <c r="G119" s="1691" cm="1">
        <f t="array" ref="G119">F119/$F$16</f>
        <v>0.017208413001912</v>
      </c>
      <c r="H119" s="1705"/>
      <c r="I119" s="1712"/>
    </row>
    <row r="120" ht="16" customHeight="1">
      <c r="A120" s="12"/>
      <c r="B120" t="s" s="1698">
        <v>219</v>
      </c>
      <c r="C120" s="1699">
        <v>1950000</v>
      </c>
      <c r="D120" s="1709" cm="1">
        <f t="array" ref="D120">IF(C120/$C$3=0,"-",C120/$C$3)</f>
        <v>0.000187291094828495</v>
      </c>
      <c r="E120" s="1699"/>
      <c r="F120" s="1700">
        <v>4</v>
      </c>
      <c r="G120" s="1691" cm="1">
        <f t="array" ref="G120">F120/$F$16</f>
        <v>0.00764818355640535</v>
      </c>
      <c r="H120" s="1705"/>
      <c r="I120" s="1712"/>
    </row>
    <row r="121" ht="16" customHeight="1">
      <c r="A121" s="12"/>
      <c r="B121" t="s" s="1698">
        <v>220</v>
      </c>
      <c r="C121" s="1699">
        <v>2340000</v>
      </c>
      <c r="D121" s="1709" cm="1">
        <f t="array" ref="D121">IF(C121/$C$3=0,"-",C121/$C$3)</f>
        <v>0.000224749313794195</v>
      </c>
      <c r="E121" s="1699"/>
      <c r="F121" s="1700">
        <v>7</v>
      </c>
      <c r="G121" s="1691" cm="1">
        <f t="array" ref="G121">F121/$F$16</f>
        <v>0.0133843212237094</v>
      </c>
      <c r="H121" s="1705"/>
      <c r="I121" s="1712"/>
    </row>
    <row r="122" ht="16" customHeight="1">
      <c r="A122" s="12"/>
      <c r="B122" t="s" s="1698">
        <v>221</v>
      </c>
      <c r="C122" s="1699">
        <v>3250000</v>
      </c>
      <c r="D122" s="1709" cm="1">
        <f t="array" ref="D122">IF(C122/$C$3=0,"-",C122/$C$3)</f>
        <v>0.000312151824714159</v>
      </c>
      <c r="E122" s="1699"/>
      <c r="F122" s="1700">
        <v>4</v>
      </c>
      <c r="G122" s="1691" cm="1">
        <f t="array" ref="G122">F122/$F$16</f>
        <v>0.00764818355640535</v>
      </c>
      <c r="H122" s="1705"/>
      <c r="I122" s="1712"/>
    </row>
    <row r="123" ht="16" customHeight="1">
      <c r="A123" s="12"/>
      <c r="B123" t="s" s="1698">
        <v>222</v>
      </c>
      <c r="C123" s="1699">
        <v>3900000</v>
      </c>
      <c r="D123" s="1709" cm="1">
        <f t="array" ref="D123">IF(C123/$C$3=0,"-",C123/$C$3)</f>
        <v>0.000374582189656991</v>
      </c>
      <c r="E123" s="1699"/>
      <c r="F123" s="1700">
        <v>3</v>
      </c>
      <c r="G123" s="1691" cm="1">
        <f t="array" ref="G123">F123/$F$16</f>
        <v>0.00573613766730402</v>
      </c>
      <c r="H123" s="1705"/>
      <c r="I123" s="1712"/>
    </row>
    <row r="124" ht="16" customHeight="1">
      <c r="A124" s="12"/>
      <c r="B124" t="s" s="1698">
        <v>223</v>
      </c>
      <c r="C124" s="1699">
        <v>0</v>
      </c>
      <c r="D124" t="str" s="1706" cm="1">
        <f t="array" ref="D124">IF(C124/$C$3=0,"-",C124/$C$3)</f>
        <v>-</v>
      </c>
      <c r="E124" s="1699"/>
      <c r="F124" s="1700">
        <v>3</v>
      </c>
      <c r="G124" s="1691" cm="1">
        <f t="array" ref="G124">F124/$F$16</f>
        <v>0.00573613766730402</v>
      </c>
      <c r="H124" s="1705"/>
      <c r="I124" s="18"/>
    </row>
    <row r="125" ht="16" customHeight="1">
      <c r="A125" s="12"/>
      <c r="B125" t="s" s="1698">
        <v>224</v>
      </c>
      <c r="C125" s="1699">
        <v>0</v>
      </c>
      <c r="D125" t="str" s="1706" cm="1">
        <f t="array" ref="D125">IF(C125/$C$3=0,"-",C125/$C$3)</f>
        <v>-</v>
      </c>
      <c r="E125" s="1699"/>
      <c r="F125" s="1700">
        <v>3</v>
      </c>
      <c r="G125" s="1691" cm="1">
        <f t="array" ref="G125">F125/$F$16</f>
        <v>0.00573613766730402</v>
      </c>
      <c r="H125" s="1705"/>
      <c r="I125" s="18"/>
    </row>
    <row r="126" ht="16" customHeight="1">
      <c r="A126" s="12"/>
      <c r="B126" t="s" s="1698">
        <v>225</v>
      </c>
      <c r="C126" s="1699">
        <v>0</v>
      </c>
      <c r="D126" t="str" s="1706" cm="1">
        <f t="array" ref="D126">IF(C126/$C$3=0,"-",C126/$C$3)</f>
        <v>-</v>
      </c>
      <c r="E126" s="1699"/>
      <c r="F126" s="1700">
        <v>1</v>
      </c>
      <c r="G126" s="1691" cm="1">
        <f t="array" ref="G126">F126/$F$16</f>
        <v>0.00191204588910134</v>
      </c>
      <c r="H126" s="1705"/>
      <c r="I126" s="18"/>
    </row>
    <row r="127" ht="16" customHeight="1">
      <c r="A127" s="12"/>
      <c r="B127" t="s" s="1698">
        <v>226</v>
      </c>
      <c r="C127" s="1699">
        <v>0</v>
      </c>
      <c r="D127" t="str" s="1706" cm="1">
        <f t="array" ref="D127">IF(C127/$C$3=0,"-",C127/$C$3)</f>
        <v>-</v>
      </c>
      <c r="E127" s="1699"/>
      <c r="F127" s="1700">
        <v>1</v>
      </c>
      <c r="G127" s="1691" cm="1">
        <f t="array" ref="G127">F127/$F$16</f>
        <v>0.00191204588910134</v>
      </c>
      <c r="H127" s="1705"/>
      <c r="I127" s="18"/>
    </row>
    <row r="128" ht="15" customHeight="1">
      <c r="A128" s="12"/>
      <c r="B128" t="s" s="1677">
        <v>2142</v>
      </c>
      <c r="C128" s="1695" cm="1">
        <f t="array" ref="C128">SUM(C117:C127)</f>
        <v>12740000</v>
      </c>
      <c r="D128" s="1710" cm="1">
        <f t="array" ref="D128">IF(C128/$C$3=0,"-",C128/$C$3)</f>
        <v>0.0012236351528795</v>
      </c>
      <c r="E128" s="1695"/>
      <c r="F128" s="1702" cm="1">
        <f t="array" ref="F128">SUM(F117:F127)</f>
        <v>101</v>
      </c>
      <c r="G128" s="1691" cm="1">
        <f t="array" ref="G128">F128/$F$16</f>
        <v>0.193116634799235</v>
      </c>
      <c r="H128" s="1705"/>
      <c r="I128" s="18"/>
    </row>
    <row r="129" ht="15" customHeight="1">
      <c r="A129" s="12"/>
      <c r="B129" s="1673"/>
      <c r="C129" s="1695"/>
      <c r="D129" s="1697"/>
      <c r="E129" s="1695"/>
      <c r="F129" s="1702"/>
      <c r="G129" s="1708"/>
      <c r="H129" s="17"/>
      <c r="I129" s="18"/>
    </row>
    <row r="130" ht="15" customHeight="1">
      <c r="A130" s="12"/>
      <c r="B130" t="s" s="1677">
        <v>2143</v>
      </c>
      <c r="C130" s="1695"/>
      <c r="D130" s="1697"/>
      <c r="E130" s="1695"/>
      <c r="F130" s="1702"/>
      <c r="G130" s="16"/>
      <c r="H130" s="17"/>
      <c r="I130" s="18"/>
    </row>
    <row r="131" ht="16" customHeight="1">
      <c r="A131" s="12"/>
      <c r="B131" t="s" s="1698">
        <v>2144</v>
      </c>
      <c r="C131" s="1699">
        <v>0</v>
      </c>
      <c r="D131" t="str" s="1706" cm="1">
        <f t="array" ref="D131">IF(C131/$C$3=0,"-",C131/$C$3)</f>
        <v>-</v>
      </c>
      <c r="E131" s="1699"/>
      <c r="F131" s="1700">
        <v>3484</v>
      </c>
      <c r="G131" s="16"/>
      <c r="H131" s="17"/>
      <c r="I131" s="18"/>
    </row>
    <row r="132" ht="16" customHeight="1">
      <c r="A132" s="12"/>
      <c r="B132" t="s" s="1698">
        <v>2145</v>
      </c>
      <c r="C132" s="1699">
        <v>0</v>
      </c>
      <c r="D132" t="str" s="1706" cm="1">
        <f t="array" ref="D132">IF(C132/$C$3=0,"-",C132/$C$3)</f>
        <v>-</v>
      </c>
      <c r="E132" s="1699"/>
      <c r="F132" s="1700">
        <v>5</v>
      </c>
      <c r="G132" s="16"/>
      <c r="H132" s="17"/>
      <c r="I132" s="18"/>
    </row>
    <row r="133" ht="16" customHeight="1">
      <c r="A133" s="12"/>
      <c r="B133" t="s" s="1698">
        <v>2146</v>
      </c>
      <c r="C133" s="1699">
        <v>0</v>
      </c>
      <c r="D133" t="str" s="1706" cm="1">
        <f t="array" ref="D133">IF(C133/$C$3=0,"-",C133/$C$3)</f>
        <v>-</v>
      </c>
      <c r="E133" s="1699"/>
      <c r="F133" s="1700">
        <v>45</v>
      </c>
      <c r="G133" s="16"/>
      <c r="H133" s="17"/>
      <c r="I133" s="18"/>
    </row>
    <row r="134" ht="16" customHeight="1">
      <c r="A134" s="12"/>
      <c r="B134" t="s" s="1698">
        <v>2147</v>
      </c>
      <c r="C134" s="1699">
        <v>8856000</v>
      </c>
      <c r="D134" s="1709" cm="1">
        <f t="array" ref="D134">IF(C134/$C$3=0,"-",C134/$C$3)</f>
        <v>0.000850589710667259</v>
      </c>
      <c r="E134" s="1699"/>
      <c r="F134" s="1700">
        <v>1199</v>
      </c>
      <c r="G134" s="16"/>
      <c r="H134" s="17"/>
      <c r="I134" s="18"/>
    </row>
    <row r="135" ht="16" customHeight="1">
      <c r="A135" s="12"/>
      <c r="B135" t="s" s="1698">
        <v>2148</v>
      </c>
      <c r="C135" s="1699">
        <v>0</v>
      </c>
      <c r="D135" t="str" s="1706" cm="1">
        <f t="array" ref="D135">IF(C135/$C$3=0,"-",C135/$C$3)</f>
        <v>-</v>
      </c>
      <c r="E135" s="1699"/>
      <c r="F135" s="1700">
        <v>10</v>
      </c>
      <c r="G135" s="16"/>
      <c r="H135" s="17"/>
      <c r="I135" s="18"/>
    </row>
    <row r="136" ht="16" customHeight="1">
      <c r="A136" s="12"/>
      <c r="B136" t="s" s="1698">
        <v>2062</v>
      </c>
      <c r="C136" s="1699">
        <v>0</v>
      </c>
      <c r="D136" t="str" s="1706" cm="1">
        <f t="array" ref="D136">IF(C136/$C$3=0,"-",C136/$C$3)</f>
        <v>-</v>
      </c>
      <c r="E136" s="1699"/>
      <c r="F136" s="1700">
        <v>1</v>
      </c>
      <c r="G136" s="16"/>
      <c r="H136" s="17"/>
      <c r="I136" s="18"/>
    </row>
    <row r="137" ht="16" customHeight="1">
      <c r="A137" s="12"/>
      <c r="B137" t="s" s="1698">
        <v>2149</v>
      </c>
      <c r="C137" s="1699">
        <v>0</v>
      </c>
      <c r="D137" t="str" s="1706" cm="1">
        <f t="array" ref="D137">IF(C137/$C$3=0,"-",C137/$C$3)</f>
        <v>-</v>
      </c>
      <c r="E137" s="1699"/>
      <c r="F137" s="1700">
        <v>30</v>
      </c>
      <c r="G137" s="16"/>
      <c r="H137" s="17"/>
      <c r="I137" s="18"/>
    </row>
    <row r="138" ht="16" customHeight="1">
      <c r="A138" s="12"/>
      <c r="B138" t="s" s="1698">
        <v>2150</v>
      </c>
      <c r="C138" s="1699">
        <v>0</v>
      </c>
      <c r="D138" t="str" s="1706" cm="1">
        <f t="array" ref="D138">IF(C138/$C$3=0,"-",C138/$C$3)</f>
        <v>-</v>
      </c>
      <c r="E138" s="1699"/>
      <c r="F138" s="1700">
        <v>1</v>
      </c>
      <c r="G138" s="16"/>
      <c r="H138" s="17"/>
      <c r="I138" s="18"/>
    </row>
    <row r="139" ht="16" customHeight="1">
      <c r="A139" s="12"/>
      <c r="B139" t="s" s="1698">
        <v>2151</v>
      </c>
      <c r="C139" s="1699">
        <v>0</v>
      </c>
      <c r="D139" t="str" s="1706" cm="1">
        <f t="array" ref="D139">IF(C139/$C$3=0,"-",C139/$C$3)</f>
        <v>-</v>
      </c>
      <c r="E139" s="1699"/>
      <c r="F139" s="1700">
        <v>165</v>
      </c>
      <c r="G139" s="16"/>
      <c r="H139" s="17"/>
      <c r="I139" s="18"/>
    </row>
    <row r="140" ht="16" customHeight="1">
      <c r="A140" s="12"/>
      <c r="B140" t="s" s="1698">
        <v>2152</v>
      </c>
      <c r="C140" s="1699">
        <v>0</v>
      </c>
      <c r="D140" t="str" s="1706" cm="1">
        <f t="array" ref="D140">IF(C140/$C$3=0,"-",C140/$C$3)</f>
        <v>-</v>
      </c>
      <c r="E140" s="1699"/>
      <c r="F140" s="1700">
        <v>25</v>
      </c>
      <c r="G140" s="16"/>
      <c r="H140" s="17"/>
      <c r="I140" s="18"/>
    </row>
    <row r="141" ht="16" customHeight="1">
      <c r="A141" s="12"/>
      <c r="B141" t="s" s="1698">
        <v>2153</v>
      </c>
      <c r="C141" s="1699">
        <v>0</v>
      </c>
      <c r="D141" t="str" s="1706" cm="1">
        <f t="array" ref="D141">IF(C141/$C$3=0,"-",C141/$C$3)</f>
        <v>-</v>
      </c>
      <c r="E141" s="1699"/>
      <c r="F141" s="1700">
        <v>22</v>
      </c>
      <c r="G141" s="16"/>
      <c r="H141" s="17"/>
      <c r="I141" s="18"/>
    </row>
    <row r="142" ht="16" customHeight="1">
      <c r="A142" s="12"/>
      <c r="B142" t="s" s="1698">
        <v>2154</v>
      </c>
      <c r="C142" s="1699">
        <v>0</v>
      </c>
      <c r="D142" t="str" s="1706" cm="1">
        <f t="array" ref="D142">IF(C142/$C$3=0,"-",C142/$C$3)</f>
        <v>-</v>
      </c>
      <c r="E142" s="1699"/>
      <c r="F142" s="1700">
        <v>27</v>
      </c>
      <c r="G142" s="16"/>
      <c r="H142" s="17"/>
      <c r="I142" s="18"/>
    </row>
    <row r="143" ht="16" customHeight="1">
      <c r="A143" s="12"/>
      <c r="B143" t="s" s="1698">
        <v>2155</v>
      </c>
      <c r="C143" s="1699">
        <v>0</v>
      </c>
      <c r="D143" t="str" s="1706" cm="1">
        <f t="array" ref="D143">IF(C143/$C$3=0,"-",C143/$C$3)</f>
        <v>-</v>
      </c>
      <c r="E143" s="1699"/>
      <c r="F143" s="1700">
        <v>1</v>
      </c>
      <c r="G143" s="16"/>
      <c r="H143" s="17"/>
      <c r="I143" s="18"/>
    </row>
    <row r="144" ht="16" customHeight="1">
      <c r="A144" s="12"/>
      <c r="B144" t="s" s="1698">
        <v>2156</v>
      </c>
      <c r="C144" s="1699">
        <v>0</v>
      </c>
      <c r="D144" t="str" s="1706" cm="1">
        <f t="array" ref="D144">IF(C144/$C$3=0,"-",C144/$C$3)</f>
        <v>-</v>
      </c>
      <c r="E144" s="1699"/>
      <c r="F144" s="1700">
        <v>1</v>
      </c>
      <c r="G144" s="16"/>
      <c r="H144" s="17"/>
      <c r="I144" s="18"/>
    </row>
    <row r="145" ht="15" customHeight="1">
      <c r="A145" s="570"/>
      <c r="B145" s="1713"/>
      <c r="C145" s="1714"/>
      <c r="D145" s="1715"/>
      <c r="E145" s="1714"/>
      <c r="F145" s="1716"/>
      <c r="G145" s="860"/>
      <c r="H145" s="193"/>
      <c r="I145" s="19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dimension ref="A1:Y73"/>
  <sheetViews>
    <sheetView workbookViewId="0" showGridLines="0" defaultGridColor="1"/>
  </sheetViews>
  <sheetFormatPr defaultColWidth="8.83333" defaultRowHeight="15" customHeight="1" outlineLevelRow="0" outlineLevelCol="0"/>
  <cols>
    <col min="1" max="1" width="2" style="1717" customWidth="1"/>
    <col min="2" max="2" width="22" style="1717" customWidth="1"/>
    <col min="3" max="3" width="1.5" style="1717" customWidth="1"/>
    <col min="4" max="4" width="17.8516" style="1717" customWidth="1"/>
    <col min="5" max="5" width="1.85156" style="1717" customWidth="1"/>
    <col min="6" max="9" width="15.1719" style="1717" customWidth="1"/>
    <col min="10" max="10" width="15.8516" style="1717" customWidth="1"/>
    <col min="11" max="20" width="15.1719" style="1717" customWidth="1"/>
    <col min="21" max="21" width="17.1719" style="1717" customWidth="1"/>
    <col min="22" max="22" width="1.85156" style="1717" customWidth="1"/>
    <col min="23" max="24" width="7.67188" style="1717" customWidth="1"/>
    <col min="25" max="25" width="13.1719" style="1717" customWidth="1"/>
    <col min="26" max="16384" width="8.85156" style="1717" customWidth="1"/>
  </cols>
  <sheetData>
    <row r="1" ht="11.4" customHeight="1">
      <c r="A1" s="7"/>
      <c r="B1" s="8"/>
      <c r="C1" s="8"/>
      <c r="D1" s="8"/>
      <c r="E1" s="8"/>
      <c r="F1" s="8"/>
      <c r="G1" s="8"/>
      <c r="H1" s="8"/>
      <c r="I1" s="8"/>
      <c r="J1" s="8"/>
      <c r="K1" s="8"/>
      <c r="L1" s="8"/>
      <c r="M1" s="8"/>
      <c r="N1" s="8"/>
      <c r="O1" s="8"/>
      <c r="P1" s="8"/>
      <c r="Q1" s="8"/>
      <c r="R1" s="8"/>
      <c r="S1" s="8"/>
      <c r="T1" s="8"/>
      <c r="U1" s="8"/>
      <c r="V1" s="8"/>
      <c r="W1" s="9"/>
      <c r="X1" s="9"/>
      <c r="Y1" s="11"/>
    </row>
    <row r="2" ht="15.5" customHeight="1">
      <c r="A2" s="12"/>
      <c r="B2" s="1718"/>
      <c r="C2" s="1719"/>
      <c r="D2" s="1719"/>
      <c r="E2" s="1720"/>
      <c r="F2" t="s" s="1721">
        <v>2158</v>
      </c>
      <c r="G2" t="s" s="1721">
        <v>2159</v>
      </c>
      <c r="H2" t="s" s="1721">
        <v>2160</v>
      </c>
      <c r="I2" t="s" s="1721">
        <v>2161</v>
      </c>
      <c r="J2" t="s" s="1721">
        <v>2162</v>
      </c>
      <c r="K2" t="s" s="1721">
        <v>2163</v>
      </c>
      <c r="L2" t="s" s="1721">
        <v>2164</v>
      </c>
      <c r="M2" t="s" s="1721">
        <v>2165</v>
      </c>
      <c r="N2" t="s" s="1721">
        <v>2166</v>
      </c>
      <c r="O2" t="s" s="1721">
        <v>2167</v>
      </c>
      <c r="P2" t="s" s="1721">
        <v>2168</v>
      </c>
      <c r="Q2" t="s" s="1721">
        <v>2169</v>
      </c>
      <c r="R2" t="s" s="1721">
        <v>2170</v>
      </c>
      <c r="S2" t="s" s="1721">
        <v>2171</v>
      </c>
      <c r="T2" t="s" s="1721">
        <v>2172</v>
      </c>
      <c r="U2" t="s" s="1722">
        <v>2173</v>
      </c>
      <c r="V2" s="1723"/>
      <c r="W2" s="16"/>
      <c r="X2" s="17"/>
      <c r="Y2" s="18"/>
    </row>
    <row r="3" ht="16" customHeight="1">
      <c r="A3" s="12"/>
      <c r="B3" t="s" s="1724">
        <v>390</v>
      </c>
      <c r="C3" s="1725"/>
      <c r="D3" s="1726"/>
      <c r="E3" s="1727"/>
      <c r="F3" t="s" s="1728">
        <v>2174</v>
      </c>
      <c r="G3" t="s" s="1728">
        <v>2175</v>
      </c>
      <c r="H3" t="s" s="1728">
        <v>682</v>
      </c>
      <c r="I3" t="s" s="1728">
        <v>2176</v>
      </c>
      <c r="J3" t="s" s="1728">
        <v>2177</v>
      </c>
      <c r="K3" t="s" s="1728">
        <v>2178</v>
      </c>
      <c r="L3" t="s" s="1728">
        <v>1206</v>
      </c>
      <c r="M3" t="s" s="1728">
        <v>2179</v>
      </c>
      <c r="N3" t="s" s="1728">
        <v>2180</v>
      </c>
      <c r="O3" t="s" s="1728">
        <v>2180</v>
      </c>
      <c r="P3" t="s" s="1728">
        <v>2181</v>
      </c>
      <c r="Q3" t="s" s="1728">
        <v>2182</v>
      </c>
      <c r="R3" t="s" s="1728">
        <v>2183</v>
      </c>
      <c r="S3" t="s" s="1728">
        <v>2184</v>
      </c>
      <c r="T3" t="s" s="1728">
        <v>2185</v>
      </c>
      <c r="U3" t="s" s="1729">
        <v>2186</v>
      </c>
      <c r="V3" s="1730"/>
      <c r="W3" s="16"/>
      <c r="X3" s="17"/>
      <c r="Y3" s="18"/>
    </row>
    <row r="4" ht="16" customHeight="1">
      <c r="A4" s="12"/>
      <c r="B4" t="s" s="1731">
        <v>391</v>
      </c>
      <c r="C4" s="1732"/>
      <c r="D4" s="1733"/>
      <c r="E4" s="1734"/>
      <c r="F4" s="1735"/>
      <c r="G4" s="1735"/>
      <c r="H4" s="1735"/>
      <c r="I4" s="1735"/>
      <c r="J4" s="1735"/>
      <c r="K4" s="1735"/>
      <c r="L4" s="1735"/>
      <c r="M4" s="1735"/>
      <c r="N4" s="1735"/>
      <c r="O4" s="1735"/>
      <c r="P4" s="1735"/>
      <c r="Q4" s="1735"/>
      <c r="R4" s="1735"/>
      <c r="S4" s="1735"/>
      <c r="T4" s="1735"/>
      <c r="U4" s="1736"/>
      <c r="V4" s="1737"/>
      <c r="W4" s="16"/>
      <c r="X4" s="17"/>
      <c r="Y4" s="18"/>
    </row>
    <row r="5" ht="16" customHeight="1">
      <c r="A5" s="12"/>
      <c r="B5" t="s" s="1738">
        <v>392</v>
      </c>
      <c r="C5" s="1739"/>
      <c r="D5" s="1740"/>
      <c r="E5" s="1741"/>
      <c r="F5" s="1742"/>
      <c r="G5" s="1742"/>
      <c r="H5" s="1742"/>
      <c r="I5" s="1742"/>
      <c r="J5" s="1742"/>
      <c r="K5" s="1743"/>
      <c r="L5" s="1742"/>
      <c r="M5" s="1742"/>
      <c r="N5" s="1742"/>
      <c r="O5" s="1742"/>
      <c r="P5" s="1742"/>
      <c r="Q5" s="1742"/>
      <c r="R5" s="1742"/>
      <c r="S5" s="1742"/>
      <c r="T5" s="1742"/>
      <c r="U5" s="1744"/>
      <c r="V5" s="1745"/>
      <c r="W5" s="16"/>
      <c r="X5" s="17"/>
      <c r="Y5" s="18"/>
    </row>
    <row r="6" ht="16" customHeight="1">
      <c r="A6" s="12"/>
      <c r="B6" s="1746"/>
      <c r="C6" s="1747"/>
      <c r="D6" t="s" s="1748">
        <v>2187</v>
      </c>
      <c r="E6" s="1749"/>
      <c r="F6" s="1750" cm="1">
        <f t="array" ref="F6">'PnL 6M 2025'!C9/1000</f>
        <v>32576012.4476</v>
      </c>
      <c r="G6" s="1751">
        <v>0</v>
      </c>
      <c r="H6" s="1751">
        <v>0</v>
      </c>
      <c r="I6" s="1751">
        <v>0</v>
      </c>
      <c r="J6" s="1751">
        <v>0</v>
      </c>
      <c r="K6" s="1751">
        <v>0</v>
      </c>
      <c r="L6" s="1751">
        <v>0</v>
      </c>
      <c r="M6" s="1751">
        <v>0</v>
      </c>
      <c r="N6" s="1751">
        <v>0</v>
      </c>
      <c r="O6" s="1751">
        <v>0</v>
      </c>
      <c r="P6" s="1751">
        <v>0</v>
      </c>
      <c r="Q6" s="1751">
        <v>0</v>
      </c>
      <c r="R6" s="1751">
        <v>0</v>
      </c>
      <c r="S6" s="1751">
        <v>0</v>
      </c>
      <c r="T6" s="1751">
        <v>0</v>
      </c>
      <c r="U6" s="1752" cm="1">
        <f t="array" ref="U6">SUM(F6:T6)</f>
        <v>32576012.4476</v>
      </c>
      <c r="V6" s="1753"/>
      <c r="W6" s="16"/>
      <c r="X6" s="17"/>
      <c r="Y6" s="18"/>
    </row>
    <row r="7" ht="16" customHeight="1">
      <c r="A7" s="12"/>
      <c r="B7" t="s" s="1738">
        <v>2188</v>
      </c>
      <c r="C7" s="1747"/>
      <c r="D7" s="1754"/>
      <c r="E7" s="1749"/>
      <c r="F7" s="1752"/>
      <c r="G7" s="1752"/>
      <c r="H7" s="1752"/>
      <c r="I7" s="1752"/>
      <c r="J7" s="1752"/>
      <c r="K7" s="1752"/>
      <c r="L7" s="1752"/>
      <c r="M7" s="1752"/>
      <c r="N7" s="1752"/>
      <c r="O7" s="1752"/>
      <c r="P7" s="1752"/>
      <c r="Q7" s="1752"/>
      <c r="R7" s="1752"/>
      <c r="S7" s="1752"/>
      <c r="T7" s="1752"/>
      <c r="U7" s="1752"/>
      <c r="V7" s="1753"/>
      <c r="W7" s="16"/>
      <c r="X7" s="17"/>
      <c r="Y7" s="18"/>
    </row>
    <row r="8" ht="16" customHeight="1">
      <c r="A8" s="12"/>
      <c r="B8" s="1755"/>
      <c r="C8" s="1747"/>
      <c r="D8" t="s" s="1748">
        <v>2189</v>
      </c>
      <c r="E8" s="1749"/>
      <c r="F8" s="1751" cm="1">
        <f t="array" ref="F8">-'PnL 6M 2025'!C27/1000</f>
        <v>-20285508.50562</v>
      </c>
      <c r="G8" s="1751">
        <v>0</v>
      </c>
      <c r="H8" s="1751">
        <v>0</v>
      </c>
      <c r="I8" s="1751">
        <v>0</v>
      </c>
      <c r="J8" s="1751">
        <v>0</v>
      </c>
      <c r="K8" s="1751">
        <v>0</v>
      </c>
      <c r="L8" s="1751">
        <v>0</v>
      </c>
      <c r="M8" s="1751">
        <v>0</v>
      </c>
      <c r="N8" s="1751">
        <v>0</v>
      </c>
      <c r="O8" s="1751">
        <v>0</v>
      </c>
      <c r="P8" s="1751">
        <v>0</v>
      </c>
      <c r="Q8" s="1751">
        <v>0</v>
      </c>
      <c r="R8" s="1751">
        <v>0</v>
      </c>
      <c r="S8" s="1751">
        <v>0</v>
      </c>
      <c r="T8" s="1751">
        <v>0</v>
      </c>
      <c r="U8" s="1751" cm="1">
        <f t="array" ref="U8">SUM(F8:T8)</f>
        <v>-20285508.50562</v>
      </c>
      <c r="V8" s="1756"/>
      <c r="W8" s="16"/>
      <c r="X8" s="17"/>
      <c r="Y8" s="18"/>
    </row>
    <row r="9" ht="16" customHeight="1">
      <c r="A9" s="12"/>
      <c r="B9" s="1746"/>
      <c r="C9" s="1747"/>
      <c r="D9" t="s" s="1748">
        <v>2190</v>
      </c>
      <c r="E9" s="1749"/>
      <c r="F9" s="1751" cm="1">
        <f t="array" ref="F9">-('PnL 6M 2025'!C81-'PnL 6M 2025'!C76)/1000</f>
        <v>-8724702.88532</v>
      </c>
      <c r="G9" s="1751">
        <v>0</v>
      </c>
      <c r="H9" s="1751">
        <v>0</v>
      </c>
      <c r="I9" s="1751">
        <v>0</v>
      </c>
      <c r="J9" s="1751">
        <v>0</v>
      </c>
      <c r="K9" s="1751">
        <v>0</v>
      </c>
      <c r="L9" s="1751">
        <v>0</v>
      </c>
      <c r="M9" s="1751">
        <v>0</v>
      </c>
      <c r="N9" s="1751">
        <v>0</v>
      </c>
      <c r="O9" s="1751">
        <v>0</v>
      </c>
      <c r="P9" s="1751">
        <v>0</v>
      </c>
      <c r="Q9" s="1751">
        <v>0</v>
      </c>
      <c r="R9" s="1751">
        <v>0</v>
      </c>
      <c r="S9" s="1751">
        <v>0</v>
      </c>
      <c r="T9" s="1751">
        <v>0</v>
      </c>
      <c r="U9" s="1751" cm="1">
        <f t="array" ref="U9">SUM(F9:T9)</f>
        <v>-8724702.88532</v>
      </c>
      <c r="V9" s="1756"/>
      <c r="W9" s="16"/>
      <c r="X9" s="17"/>
      <c r="Y9" s="18"/>
    </row>
    <row r="10" ht="16" customHeight="1">
      <c r="A10" s="12"/>
      <c r="B10" s="1746"/>
      <c r="C10" s="1747"/>
      <c r="D10" t="s" s="1748">
        <v>2191</v>
      </c>
      <c r="E10" s="1749"/>
      <c r="F10" s="1751">
        <v>0</v>
      </c>
      <c r="G10" s="1751">
        <v>0</v>
      </c>
      <c r="H10" s="1751">
        <v>0</v>
      </c>
      <c r="I10" s="1751">
        <v>0</v>
      </c>
      <c r="J10" s="1751">
        <v>0</v>
      </c>
      <c r="K10" s="1751">
        <v>0</v>
      </c>
      <c r="L10" s="1751">
        <v>0</v>
      </c>
      <c r="M10" s="1751">
        <v>0</v>
      </c>
      <c r="N10" s="1751">
        <v>0</v>
      </c>
      <c r="O10" s="1751">
        <v>1546766</v>
      </c>
      <c r="P10" s="1751">
        <v>0</v>
      </c>
      <c r="Q10" s="1751">
        <v>0</v>
      </c>
      <c r="R10" s="1751">
        <v>0</v>
      </c>
      <c r="S10" s="1751">
        <v>0</v>
      </c>
      <c r="T10" s="1751">
        <v>0</v>
      </c>
      <c r="U10" s="1751" cm="1">
        <f t="array" ref="U10">SUM(F10:T10)</f>
        <v>1546766</v>
      </c>
      <c r="V10" s="1756"/>
      <c r="W10" s="16"/>
      <c r="X10" s="17"/>
      <c r="Y10" s="18"/>
    </row>
    <row r="11" ht="16" customHeight="1">
      <c r="A11" s="12"/>
      <c r="B11" s="1746"/>
      <c r="C11" s="1747"/>
      <c r="D11" t="s" s="1748">
        <v>2192</v>
      </c>
      <c r="E11" s="1749"/>
      <c r="F11" s="1751" cm="1">
        <f t="array" ref="F11">-'PnL 6M 2025'!C131/1000</f>
        <v>-719963.41211</v>
      </c>
      <c r="G11" s="1751">
        <v>0</v>
      </c>
      <c r="H11" s="1751" cm="1">
        <f t="array" ref="H11">-F11</f>
        <v>719963.41211</v>
      </c>
      <c r="I11" s="1751">
        <v>0</v>
      </c>
      <c r="J11" s="1751">
        <v>0</v>
      </c>
      <c r="K11" s="1751">
        <v>0</v>
      </c>
      <c r="L11" s="1751">
        <v>0</v>
      </c>
      <c r="M11" s="1751">
        <v>0</v>
      </c>
      <c r="N11" s="1751">
        <v>0</v>
      </c>
      <c r="O11" s="1751">
        <v>0</v>
      </c>
      <c r="P11" s="1751">
        <v>0</v>
      </c>
      <c r="Q11" s="1751">
        <v>0</v>
      </c>
      <c r="R11" s="1751">
        <v>0</v>
      </c>
      <c r="S11" s="1751">
        <v>0</v>
      </c>
      <c r="T11" s="1751">
        <v>0</v>
      </c>
      <c r="U11" s="1751" cm="1">
        <f t="array" ref="U11">SUM(F11:T11)</f>
        <v>0</v>
      </c>
      <c r="V11" s="1756"/>
      <c r="W11" s="16"/>
      <c r="X11" s="17"/>
      <c r="Y11" s="18"/>
    </row>
    <row r="12" ht="16" customHeight="1">
      <c r="A12" s="12"/>
      <c r="B12" s="1746"/>
      <c r="C12" s="1747"/>
      <c r="D12" s="1757"/>
      <c r="E12" s="1749"/>
      <c r="F12" s="1758"/>
      <c r="G12" s="1758"/>
      <c r="H12" s="1758"/>
      <c r="I12" s="1758"/>
      <c r="J12" s="1758"/>
      <c r="K12" s="1758"/>
      <c r="L12" s="1758"/>
      <c r="M12" s="1758"/>
      <c r="N12" s="1758"/>
      <c r="O12" s="1758"/>
      <c r="P12" s="1758"/>
      <c r="Q12" s="1758"/>
      <c r="R12" s="1758"/>
      <c r="S12" s="1758"/>
      <c r="T12" s="1758"/>
      <c r="U12" t="s" s="1759">
        <v>2193</v>
      </c>
      <c r="V12" s="1756"/>
      <c r="W12" s="16"/>
      <c r="X12" s="17"/>
      <c r="Y12" s="18"/>
    </row>
    <row r="13" ht="16" customHeight="1">
      <c r="A13" s="12"/>
      <c r="B13" s="1746"/>
      <c r="C13" s="1747"/>
      <c r="D13" t="s" s="1748">
        <v>386</v>
      </c>
      <c r="E13" s="1749"/>
      <c r="F13" s="1760" cm="1">
        <f t="array" ref="F13">SUM(F6:F12)</f>
        <v>2845837.64455</v>
      </c>
      <c r="G13" s="1760" cm="1">
        <f t="array" ref="G13">SUM(G6:G12)</f>
        <v>0</v>
      </c>
      <c r="H13" s="1760" cm="1">
        <f t="array" ref="H13">SUM(H6:H12)</f>
        <v>719963.41211</v>
      </c>
      <c r="I13" s="1760" cm="1">
        <f t="array" ref="I13">SUM(I6:I12)</f>
        <v>0</v>
      </c>
      <c r="J13" s="1760" cm="1">
        <f t="array" ref="J13">SUM(J6:J12)</f>
        <v>0</v>
      </c>
      <c r="K13" s="1760" cm="1">
        <f t="array" ref="K13">SUM(K6:K12)</f>
        <v>0</v>
      </c>
      <c r="L13" s="1760" cm="1">
        <f t="array" ref="L13">SUM(L6:L12)</f>
        <v>0</v>
      </c>
      <c r="M13" s="1760" cm="1">
        <f t="array" ref="M13">SUM(M6:M12)</f>
        <v>0</v>
      </c>
      <c r="N13" s="1760" cm="1">
        <f t="array" ref="N13">SUM(N6:N12)</f>
        <v>0</v>
      </c>
      <c r="O13" s="1760" cm="1">
        <f t="array" ref="O13">SUM(O6:O12)</f>
        <v>1546766</v>
      </c>
      <c r="P13" s="1760" cm="1">
        <f t="array" ref="P13">SUM(P6:P12)</f>
        <v>0</v>
      </c>
      <c r="Q13" s="1760" cm="1">
        <f t="array" ref="Q13">SUM(Q6:Q12)</f>
        <v>0</v>
      </c>
      <c r="R13" s="1760" cm="1">
        <f t="array" ref="R13">SUM(R6:R12)</f>
        <v>0</v>
      </c>
      <c r="S13" s="1760" cm="1">
        <f t="array" ref="S13">SUM(S6:S12)</f>
        <v>0</v>
      </c>
      <c r="T13" s="1760" cm="1">
        <f t="array" ref="T13">SUM(T6:T12)</f>
        <v>0</v>
      </c>
      <c r="U13" s="1760" cm="1">
        <f t="array" ref="U13">SUM(F13:T13)</f>
        <v>5112567.05666</v>
      </c>
      <c r="V13" s="1756"/>
      <c r="W13" s="16"/>
      <c r="X13" s="17"/>
      <c r="Y13" s="18"/>
    </row>
    <row r="14" ht="15.5" customHeight="1">
      <c r="A14" s="12"/>
      <c r="B14" s="1761"/>
      <c r="C14" s="1762"/>
      <c r="D14" s="1763"/>
      <c r="E14" s="1764"/>
      <c r="F14" s="1765"/>
      <c r="G14" s="1765"/>
      <c r="H14" s="1765"/>
      <c r="I14" s="1765"/>
      <c r="J14" s="1765"/>
      <c r="K14" s="1765"/>
      <c r="L14" s="1765"/>
      <c r="M14" s="1765"/>
      <c r="N14" s="1765"/>
      <c r="O14" s="1765"/>
      <c r="P14" s="1765"/>
      <c r="Q14" s="1765"/>
      <c r="R14" s="1765"/>
      <c r="S14" s="1765"/>
      <c r="T14" s="1765"/>
      <c r="U14" s="1765"/>
      <c r="V14" s="1766"/>
      <c r="W14" s="16"/>
      <c r="X14" s="17"/>
      <c r="Y14" s="18"/>
    </row>
    <row r="15" ht="16.5" customHeight="1">
      <c r="A15" s="12"/>
      <c r="B15" t="s" s="1767">
        <v>403</v>
      </c>
      <c r="C15" s="1768"/>
      <c r="D15" s="1769"/>
      <c r="E15" s="1770"/>
      <c r="F15" s="1771"/>
      <c r="G15" s="1771"/>
      <c r="H15" s="1771"/>
      <c r="I15" s="1771"/>
      <c r="J15" s="1771"/>
      <c r="K15" s="1771"/>
      <c r="L15" s="1771"/>
      <c r="M15" s="1771"/>
      <c r="N15" s="1771"/>
      <c r="O15" s="1771"/>
      <c r="P15" s="1771"/>
      <c r="Q15" s="1771"/>
      <c r="R15" s="1771"/>
      <c r="S15" s="1771"/>
      <c r="T15" s="1771"/>
      <c r="U15" s="1771"/>
      <c r="V15" s="1772"/>
      <c r="W15" s="16"/>
      <c r="X15" s="17"/>
      <c r="Y15" s="18"/>
    </row>
    <row r="16" ht="16" customHeight="1">
      <c r="A16" s="12"/>
      <c r="B16" t="s" s="1738">
        <v>2194</v>
      </c>
      <c r="C16" s="1747"/>
      <c r="D16" s="1773"/>
      <c r="E16" s="1749"/>
      <c r="F16" s="1752"/>
      <c r="G16" s="1752"/>
      <c r="H16" s="1752"/>
      <c r="I16" s="1752"/>
      <c r="J16" s="1752"/>
      <c r="K16" s="1752"/>
      <c r="L16" s="1752"/>
      <c r="M16" s="1752"/>
      <c r="N16" s="1752"/>
      <c r="O16" s="1752"/>
      <c r="P16" s="1752"/>
      <c r="Q16" s="1752"/>
      <c r="R16" s="1752"/>
      <c r="S16" s="1752"/>
      <c r="T16" s="1752"/>
      <c r="U16" s="1752"/>
      <c r="V16" s="1753"/>
      <c r="W16" s="16"/>
      <c r="X16" s="1074"/>
      <c r="Y16" t="s" s="1774">
        <v>2195</v>
      </c>
    </row>
    <row r="17" ht="16" customHeight="1">
      <c r="A17" s="12"/>
      <c r="B17" s="1746"/>
      <c r="C17" s="1747"/>
      <c r="D17" t="s" s="1748">
        <v>2196</v>
      </c>
      <c r="E17" s="1749"/>
      <c r="F17" s="1751" cm="1">
        <f t="array" ref="F17">-'BS 6M 2025'!H102/1000</f>
        <v>-27152346.1068</v>
      </c>
      <c r="G17" s="1751" cm="1">
        <f t="array" ref="G17">'BS 6M 2025'!L7/1000</f>
        <v>27809500.08451</v>
      </c>
      <c r="H17" s="1751">
        <v>0</v>
      </c>
      <c r="I17" s="1751">
        <v>0</v>
      </c>
      <c r="J17" s="1751">
        <v>0</v>
      </c>
      <c r="K17" s="1751" cm="1">
        <f t="array" ref="K17">-SUM(K49:K55)</f>
        <v>725170</v>
      </c>
      <c r="L17" s="1751">
        <v>0</v>
      </c>
      <c r="M17" s="1751">
        <v>0</v>
      </c>
      <c r="N17" s="1751">
        <v>0</v>
      </c>
      <c r="O17" s="1751">
        <v>0</v>
      </c>
      <c r="P17" s="1751" cm="1">
        <f t="array" ref="P17">-P46</f>
        <v>2483557.138</v>
      </c>
      <c r="Q17" s="1751" cm="1">
        <f t="array" ref="Q17">Q67</f>
        <v>935815.77356</v>
      </c>
      <c r="R17" s="1751" cm="1">
        <f t="array" ref="R17">-R57</f>
        <v>-2700000</v>
      </c>
      <c r="S17" s="1751" cm="1">
        <f t="array" ref="S17">-SUM(S61:S62)</f>
        <v>-1581520</v>
      </c>
      <c r="T17" s="1751" cm="1">
        <f t="array" ref="T17">-T18-T45</f>
        <v>-410229.1295</v>
      </c>
      <c r="U17" s="1751" cm="1">
        <f t="array" ref="U17">SUM(F17:T17)</f>
        <v>109947.75977</v>
      </c>
      <c r="V17" s="1756"/>
      <c r="W17" s="16"/>
      <c r="X17" t="s" s="1100">
        <v>2197</v>
      </c>
      <c r="Y17" s="1775">
        <v>2133288.714</v>
      </c>
    </row>
    <row r="18" ht="16" customHeight="1">
      <c r="A18" s="12"/>
      <c r="B18" s="1746"/>
      <c r="C18" s="1747"/>
      <c r="D18" t="s" s="1748">
        <v>2198</v>
      </c>
      <c r="E18" s="1749"/>
      <c r="F18" s="1751" cm="1">
        <f t="array" ref="F18">-SUM('BS 6M 2025'!H393:H397)/1000</f>
        <v>-214869.2615</v>
      </c>
      <c r="G18" s="1751">
        <v>0</v>
      </c>
      <c r="H18" s="1751">
        <v>0</v>
      </c>
      <c r="I18" s="1751">
        <v>0</v>
      </c>
      <c r="J18" s="1751">
        <v>0</v>
      </c>
      <c r="K18" s="1751">
        <v>0</v>
      </c>
      <c r="L18" s="1751">
        <v>0</v>
      </c>
      <c r="M18" s="1751">
        <v>0</v>
      </c>
      <c r="N18" s="1751"/>
      <c r="O18" s="1751">
        <v>0</v>
      </c>
      <c r="P18" s="1751">
        <v>0</v>
      </c>
      <c r="Q18" s="1751">
        <v>0</v>
      </c>
      <c r="R18" s="1751">
        <v>0</v>
      </c>
      <c r="S18" s="1751">
        <v>0</v>
      </c>
      <c r="T18" s="1751" cm="1">
        <f t="array" ref="T18">-SUM(F18:P18)</f>
        <v>214869.2615</v>
      </c>
      <c r="U18" s="1751" cm="1">
        <f t="array" ref="U18">SUM(F18:T18)</f>
        <v>0</v>
      </c>
      <c r="V18" s="1756"/>
      <c r="W18" s="16"/>
      <c r="X18" t="s" s="1100">
        <v>2199</v>
      </c>
      <c r="Y18" s="1775">
        <v>1094657</v>
      </c>
    </row>
    <row r="19" ht="16" customHeight="1">
      <c r="A19" s="12"/>
      <c r="B19" s="1746"/>
      <c r="C19" s="1747"/>
      <c r="D19" t="s" s="1748">
        <v>2200</v>
      </c>
      <c r="E19" s="1749"/>
      <c r="F19" s="1751" cm="1">
        <f t="array" ref="F19">-SUM('BS 6M 2025'!H398:H406)/1000</f>
        <v>-103726.37174</v>
      </c>
      <c r="G19" s="1751">
        <v>0</v>
      </c>
      <c r="H19" s="1751">
        <v>0</v>
      </c>
      <c r="I19" s="1751" cm="1">
        <f t="array" ref="I19">-I45</f>
        <v>-1556483.6217</v>
      </c>
      <c r="J19" s="1751">
        <v>0</v>
      </c>
      <c r="K19" s="1751">
        <v>0</v>
      </c>
      <c r="L19" s="1751">
        <v>0</v>
      </c>
      <c r="M19" s="1751">
        <v>0</v>
      </c>
      <c r="N19" s="1751" cm="1">
        <f t="array" ref="N19">-N40</f>
        <v>723288.59899</v>
      </c>
      <c r="O19" s="1751">
        <v>0</v>
      </c>
      <c r="P19" s="1751">
        <v>0</v>
      </c>
      <c r="Q19" s="1751">
        <v>0</v>
      </c>
      <c r="R19" s="1751">
        <v>0</v>
      </c>
      <c r="S19" s="1751">
        <v>0</v>
      </c>
      <c r="T19" s="1751">
        <v>0</v>
      </c>
      <c r="U19" s="1751" cm="1">
        <f t="array" ref="U19">SUM(F19:T19)</f>
        <v>-936921.39445</v>
      </c>
      <c r="V19" s="1756"/>
      <c r="W19" s="16"/>
      <c r="X19" t="s" s="1100">
        <v>2201</v>
      </c>
      <c r="Y19" s="1775" cm="1">
        <f t="array" ref="Y19">Y17-Y18</f>
        <v>1038631.714</v>
      </c>
    </row>
    <row r="20" ht="16" customHeight="1">
      <c r="A20" s="12"/>
      <c r="B20" s="1746"/>
      <c r="C20" s="1747"/>
      <c r="D20" t="s" s="1748">
        <v>2202</v>
      </c>
      <c r="E20" s="1749"/>
      <c r="F20" s="1751">
        <v>0</v>
      </c>
      <c r="G20" s="1751">
        <v>0</v>
      </c>
      <c r="H20" s="1751">
        <v>0</v>
      </c>
      <c r="I20" s="1751">
        <v>0</v>
      </c>
      <c r="J20" s="1751">
        <v>0</v>
      </c>
      <c r="K20" s="1751">
        <v>0</v>
      </c>
      <c r="L20" s="1751">
        <v>0</v>
      </c>
      <c r="M20" s="1751">
        <v>0</v>
      </c>
      <c r="N20" s="1751">
        <v>0</v>
      </c>
      <c r="O20" s="1751">
        <v>0</v>
      </c>
      <c r="P20" s="1751">
        <v>0</v>
      </c>
      <c r="Q20" s="1751">
        <v>0</v>
      </c>
      <c r="R20" s="1751">
        <v>0</v>
      </c>
      <c r="S20" s="1751">
        <v>0</v>
      </c>
      <c r="T20" s="1751">
        <v>0</v>
      </c>
      <c r="U20" s="1751" cm="1">
        <f t="array" ref="U20">SUM(F20:T20)</f>
        <v>0</v>
      </c>
      <c r="V20" s="1756"/>
      <c r="W20" s="16"/>
      <c r="X20" s="17"/>
      <c r="Y20" s="18"/>
    </row>
    <row r="21" ht="16" customHeight="1">
      <c r="A21" s="12"/>
      <c r="B21" s="1746"/>
      <c r="C21" s="1747"/>
      <c r="D21" t="s" s="1748">
        <v>2203</v>
      </c>
      <c r="E21" s="1749"/>
      <c r="F21" s="1751" cm="1">
        <f t="array" ref="F21">-'BS 6M 2025'!H409/1000</f>
        <v>0</v>
      </c>
      <c r="G21" s="1751">
        <v>0</v>
      </c>
      <c r="H21" s="1751">
        <v>0</v>
      </c>
      <c r="I21" s="1751">
        <v>0</v>
      </c>
      <c r="J21" s="1751">
        <v>0</v>
      </c>
      <c r="K21" s="1751">
        <v>0</v>
      </c>
      <c r="L21" s="1751">
        <v>0</v>
      </c>
      <c r="M21" s="1751">
        <v>0</v>
      </c>
      <c r="N21" s="1751">
        <v>0</v>
      </c>
      <c r="O21" s="1751">
        <v>0</v>
      </c>
      <c r="P21" s="1751">
        <v>0</v>
      </c>
      <c r="Q21" s="1751">
        <v>0</v>
      </c>
      <c r="R21" s="1751">
        <v>0</v>
      </c>
      <c r="S21" s="1751">
        <v>0</v>
      </c>
      <c r="T21" s="1751">
        <v>0</v>
      </c>
      <c r="U21" s="1751" cm="1">
        <f t="array" ref="U21">SUM(F21:T21)</f>
        <v>0</v>
      </c>
      <c r="V21" s="1756"/>
      <c r="W21" s="16"/>
      <c r="X21" s="17"/>
      <c r="Y21" s="18"/>
    </row>
    <row r="22" ht="16" customHeight="1">
      <c r="A22" s="12"/>
      <c r="B22" s="1746"/>
      <c r="C22" s="1747"/>
      <c r="D22" s="1757"/>
      <c r="E22" s="1749"/>
      <c r="F22" s="1751"/>
      <c r="G22" s="1751"/>
      <c r="H22" s="1751"/>
      <c r="I22" s="1751"/>
      <c r="J22" s="1751"/>
      <c r="K22" s="1751"/>
      <c r="L22" s="1751"/>
      <c r="M22" s="1751"/>
      <c r="N22" s="1751"/>
      <c r="O22" s="1751"/>
      <c r="P22" s="1751"/>
      <c r="Q22" s="1751"/>
      <c r="R22" s="1751"/>
      <c r="S22" s="1751"/>
      <c r="T22" s="1751"/>
      <c r="U22" s="1751"/>
      <c r="V22" s="1756"/>
      <c r="W22" s="16"/>
      <c r="X22" s="17"/>
      <c r="Y22" s="18"/>
    </row>
    <row r="23" ht="16" customHeight="1">
      <c r="A23" s="12"/>
      <c r="B23" t="s" s="1738">
        <v>2204</v>
      </c>
      <c r="C23" s="1747"/>
      <c r="D23" s="1757"/>
      <c r="E23" s="1749"/>
      <c r="F23" s="1751"/>
      <c r="G23" s="1751"/>
      <c r="H23" s="1751"/>
      <c r="I23" s="1751"/>
      <c r="J23" s="1751"/>
      <c r="K23" s="1751"/>
      <c r="L23" s="1751"/>
      <c r="M23" s="1751"/>
      <c r="N23" s="1751"/>
      <c r="O23" s="1751"/>
      <c r="P23" s="1751"/>
      <c r="Q23" s="1751"/>
      <c r="R23" s="1751"/>
      <c r="S23" s="1751"/>
      <c r="T23" s="1751"/>
      <c r="U23" s="1751"/>
      <c r="V23" s="1756"/>
      <c r="W23" s="16"/>
      <c r="X23" s="17"/>
      <c r="Y23" s="18"/>
    </row>
    <row r="24" ht="16" customHeight="1">
      <c r="A24" s="12"/>
      <c r="B24" s="1746"/>
      <c r="C24" s="1747"/>
      <c r="D24" t="s" s="1748">
        <v>2205</v>
      </c>
      <c r="E24" s="1749"/>
      <c r="F24" s="1751" cm="1">
        <f t="array" ref="F24">-('BS 6M 2025'!H407+'BS 6M 2025'!H413+'BS 6M 2025'!H456+'BS 6M 2025'!H457)/1000</f>
        <v>-831078.41888</v>
      </c>
      <c r="G24" s="1751">
        <v>0</v>
      </c>
      <c r="H24" s="1751" cm="1">
        <f t="array" ref="H24">-H11</f>
        <v>-719963.41211</v>
      </c>
      <c r="I24" s="1751">
        <v>0</v>
      </c>
      <c r="J24" s="1751">
        <v>0</v>
      </c>
      <c r="K24" s="1751">
        <v>0</v>
      </c>
      <c r="L24" s="1751" cm="1">
        <f t="array" ref="L24">-SUM(L27:L28)</f>
        <v>350503.883</v>
      </c>
      <c r="M24" s="1751" cm="1">
        <f t="array" ref="M24">-SUM(M29:M37)</f>
        <v>545546.64431</v>
      </c>
      <c r="N24" s="1751" cm="1">
        <f t="array" ref="N24">-SUM(N41:N42)</f>
        <v>615884.917</v>
      </c>
      <c r="O24" s="1751">
        <v>0</v>
      </c>
      <c r="P24" s="1751">
        <v>0</v>
      </c>
      <c r="Q24" s="1751">
        <v>0</v>
      </c>
      <c r="R24" s="1751">
        <v>0</v>
      </c>
      <c r="S24" s="1751">
        <v>0</v>
      </c>
      <c r="T24" s="1751">
        <v>0</v>
      </c>
      <c r="U24" s="1751" cm="1">
        <f t="array" ref="U24">SUM(F24:T24)</f>
        <v>-39106.38668</v>
      </c>
      <c r="V24" s="1756"/>
      <c r="W24" s="16"/>
      <c r="X24" s="17"/>
      <c r="Y24" s="18"/>
    </row>
    <row r="25" ht="16" customHeight="1">
      <c r="A25" s="12"/>
      <c r="B25" s="1746"/>
      <c r="C25" s="1747"/>
      <c r="D25" s="1757"/>
      <c r="E25" s="1749"/>
      <c r="F25" s="1751"/>
      <c r="G25" s="1751"/>
      <c r="H25" s="1751"/>
      <c r="I25" s="1751"/>
      <c r="J25" s="1751"/>
      <c r="K25" s="1751"/>
      <c r="L25" s="1751"/>
      <c r="M25" s="1751"/>
      <c r="N25" s="1751"/>
      <c r="O25" s="1751"/>
      <c r="P25" s="1751"/>
      <c r="Q25" s="1751"/>
      <c r="R25" s="1751"/>
      <c r="S25" s="1751"/>
      <c r="T25" s="1751"/>
      <c r="U25" s="1751"/>
      <c r="V25" s="1756"/>
      <c r="W25" s="16"/>
      <c r="X25" s="17"/>
      <c r="Y25" s="18"/>
    </row>
    <row r="26" ht="16" customHeight="1">
      <c r="A26" s="12"/>
      <c r="B26" t="s" s="1738">
        <v>2206</v>
      </c>
      <c r="C26" s="1747"/>
      <c r="D26" s="1757"/>
      <c r="E26" s="1749"/>
      <c r="F26" s="1751"/>
      <c r="G26" s="1751"/>
      <c r="H26" s="1751"/>
      <c r="I26" s="1751"/>
      <c r="J26" s="1751"/>
      <c r="K26" s="1751"/>
      <c r="L26" s="1751"/>
      <c r="M26" s="1751"/>
      <c r="N26" s="1751"/>
      <c r="O26" s="1751"/>
      <c r="P26" s="1751"/>
      <c r="Q26" s="1751"/>
      <c r="R26" s="1751"/>
      <c r="S26" s="1751"/>
      <c r="T26" s="1751"/>
      <c r="U26" s="1751" cm="1">
        <f t="array" ref="U26">SUM(F26:T26)</f>
        <v>0</v>
      </c>
      <c r="V26" s="1756"/>
      <c r="W26" s="16"/>
      <c r="X26" s="17"/>
      <c r="Y26" s="18"/>
    </row>
    <row r="27" ht="16" customHeight="1">
      <c r="A27" s="12"/>
      <c r="B27" s="1746"/>
      <c r="C27" s="1747"/>
      <c r="D27" t="s" s="1748">
        <v>2207</v>
      </c>
      <c r="E27" s="1749"/>
      <c r="F27" s="1751">
        <v>0</v>
      </c>
      <c r="G27" s="1751">
        <v>0</v>
      </c>
      <c r="H27" s="1751">
        <v>0</v>
      </c>
      <c r="I27" s="1751">
        <v>0</v>
      </c>
      <c r="J27" s="1751">
        <v>0</v>
      </c>
      <c r="K27" s="1751">
        <v>0</v>
      </c>
      <c r="L27" s="1751" cm="1">
        <f t="array" ref="L27">-'BS 6M 2025'!H430/1000</f>
        <v>-98326.8</v>
      </c>
      <c r="M27" s="1751">
        <v>0</v>
      </c>
      <c r="N27" s="1751">
        <v>0</v>
      </c>
      <c r="O27" s="1751">
        <v>0</v>
      </c>
      <c r="P27" s="1751">
        <v>0</v>
      </c>
      <c r="Q27" s="1751">
        <v>0</v>
      </c>
      <c r="R27" s="1751">
        <v>0</v>
      </c>
      <c r="S27" s="1751">
        <v>0</v>
      </c>
      <c r="T27" s="1751">
        <v>0</v>
      </c>
      <c r="U27" s="1751" cm="1">
        <f t="array" ref="U27">SUM(F27:T27)</f>
        <v>-98326.8</v>
      </c>
      <c r="V27" s="1756"/>
      <c r="W27" s="16"/>
      <c r="X27" s="17"/>
      <c r="Y27" s="18"/>
    </row>
    <row r="28" ht="16" customHeight="1">
      <c r="A28" s="12"/>
      <c r="B28" s="1746"/>
      <c r="C28" s="1747"/>
      <c r="D28" t="s" s="1748">
        <v>2208</v>
      </c>
      <c r="E28" s="1749"/>
      <c r="F28" s="1751">
        <v>0</v>
      </c>
      <c r="G28" s="1751">
        <v>0</v>
      </c>
      <c r="H28" s="1751">
        <v>0</v>
      </c>
      <c r="I28" s="1751">
        <v>0</v>
      </c>
      <c r="J28" s="1751">
        <v>0</v>
      </c>
      <c r="K28" s="1751">
        <v>0</v>
      </c>
      <c r="L28" s="1751" cm="1">
        <f t="array" ref="L28">-'BS 6M 2025'!H431/1000</f>
        <v>-252177.083</v>
      </c>
      <c r="M28" s="1751">
        <v>0</v>
      </c>
      <c r="N28" s="1751">
        <v>0</v>
      </c>
      <c r="O28" s="1751">
        <v>0</v>
      </c>
      <c r="P28" s="1751">
        <v>0</v>
      </c>
      <c r="Q28" s="1751">
        <v>0</v>
      </c>
      <c r="R28" s="1751">
        <v>0</v>
      </c>
      <c r="S28" s="1751">
        <v>0</v>
      </c>
      <c r="T28" s="1751">
        <v>0</v>
      </c>
      <c r="U28" s="1751" cm="1">
        <f t="array" ref="U28">SUM(F28:T28)</f>
        <v>-252177.083</v>
      </c>
      <c r="V28" s="1756"/>
      <c r="W28" s="16"/>
      <c r="X28" s="17"/>
      <c r="Y28" s="18"/>
    </row>
    <row r="29" ht="16" customHeight="1">
      <c r="A29" s="12"/>
      <c r="B29" s="1746"/>
      <c r="C29" s="1747"/>
      <c r="D29" t="s" s="1748">
        <v>1126</v>
      </c>
      <c r="E29" s="1749"/>
      <c r="F29" s="1751">
        <v>0</v>
      </c>
      <c r="G29" s="1751">
        <v>0</v>
      </c>
      <c r="H29" s="1751">
        <v>0</v>
      </c>
      <c r="I29" s="1751">
        <v>0</v>
      </c>
      <c r="J29" s="1751">
        <v>0</v>
      </c>
      <c r="K29" s="1751">
        <v>0</v>
      </c>
      <c r="L29" s="1751">
        <v>0</v>
      </c>
      <c r="M29" s="1751" cm="1">
        <f t="array" ref="M29">-SUM('BS 6M 2025'!H415)/1000</f>
        <v>0</v>
      </c>
      <c r="N29" s="1751">
        <v>0</v>
      </c>
      <c r="O29" s="1751">
        <v>0</v>
      </c>
      <c r="P29" s="1751">
        <v>0</v>
      </c>
      <c r="Q29" s="1751">
        <v>0</v>
      </c>
      <c r="R29" s="1751">
        <v>0</v>
      </c>
      <c r="S29" s="1751">
        <v>0</v>
      </c>
      <c r="T29" s="1751">
        <v>0</v>
      </c>
      <c r="U29" s="1751" cm="1">
        <f t="array" ref="U29">SUM(F29:T29)</f>
        <v>0</v>
      </c>
      <c r="V29" s="1756"/>
      <c r="W29" s="16"/>
      <c r="X29" s="17"/>
      <c r="Y29" s="18"/>
    </row>
    <row r="30" ht="16" customHeight="1">
      <c r="A30" s="12"/>
      <c r="B30" s="1746"/>
      <c r="C30" s="1747"/>
      <c r="D30" t="s" s="1748">
        <v>2209</v>
      </c>
      <c r="E30" s="1749"/>
      <c r="F30" s="1751">
        <v>0</v>
      </c>
      <c r="G30" s="1751">
        <v>0</v>
      </c>
      <c r="H30" s="1751">
        <v>0</v>
      </c>
      <c r="I30" s="1751">
        <v>0</v>
      </c>
      <c r="J30" s="1751">
        <v>0</v>
      </c>
      <c r="K30" s="1751">
        <v>0</v>
      </c>
      <c r="L30" s="1751">
        <v>0</v>
      </c>
      <c r="M30" s="1751" cm="1">
        <f t="array" ref="M30">-('BS 6M 2025'!H416-'BS 6M 2025'!N420)/1000</f>
        <v>-265711.776</v>
      </c>
      <c r="N30" s="1751">
        <v>0</v>
      </c>
      <c r="O30" s="1751">
        <v>0</v>
      </c>
      <c r="P30" s="1751">
        <v>0</v>
      </c>
      <c r="Q30" s="1751">
        <v>0</v>
      </c>
      <c r="R30" s="1751">
        <v>0</v>
      </c>
      <c r="S30" s="1751">
        <v>0</v>
      </c>
      <c r="T30" s="1751">
        <v>0</v>
      </c>
      <c r="U30" s="1751" cm="1">
        <f t="array" ref="U30">SUM(F30:T30)</f>
        <v>-265711.776</v>
      </c>
      <c r="V30" s="1756"/>
      <c r="W30" s="16"/>
      <c r="X30" s="17"/>
      <c r="Y30" s="18"/>
    </row>
    <row r="31" ht="16" customHeight="1">
      <c r="A31" s="12"/>
      <c r="B31" s="1746"/>
      <c r="C31" s="1747"/>
      <c r="D31" t="s" s="1748">
        <v>2210</v>
      </c>
      <c r="E31" s="1749"/>
      <c r="F31" s="1751">
        <v>0</v>
      </c>
      <c r="G31" s="1751">
        <v>0</v>
      </c>
      <c r="H31" s="1751">
        <v>0</v>
      </c>
      <c r="I31" s="1751">
        <v>0</v>
      </c>
      <c r="J31" s="1751">
        <v>0</v>
      </c>
      <c r="K31" s="1751">
        <v>0</v>
      </c>
      <c r="L31" s="1751">
        <v>0</v>
      </c>
      <c r="M31" s="1751" cm="1">
        <f t="array" ref="M31">-('BS 6M 2025'!H417-'BS 6M 2025'!N421)/1000</f>
        <v>0</v>
      </c>
      <c r="N31" s="1751">
        <v>0</v>
      </c>
      <c r="O31" s="1751">
        <v>0</v>
      </c>
      <c r="P31" s="1751">
        <v>0</v>
      </c>
      <c r="Q31" s="1751">
        <v>0</v>
      </c>
      <c r="R31" s="1751">
        <v>0</v>
      </c>
      <c r="S31" s="1751">
        <v>0</v>
      </c>
      <c r="T31" s="1751">
        <v>0</v>
      </c>
      <c r="U31" s="1751" cm="1">
        <f t="array" ref="U31">SUM(F31:T31)</f>
        <v>0</v>
      </c>
      <c r="V31" s="1756"/>
      <c r="W31" s="16"/>
      <c r="X31" s="17"/>
      <c r="Y31" s="18"/>
    </row>
    <row r="32" ht="16" customHeight="1">
      <c r="A32" s="12"/>
      <c r="B32" s="1746"/>
      <c r="C32" s="1747"/>
      <c r="D32" t="s" s="1748">
        <v>2211</v>
      </c>
      <c r="E32" s="1749"/>
      <c r="F32" s="1751">
        <v>0</v>
      </c>
      <c r="G32" s="1751">
        <v>0</v>
      </c>
      <c r="H32" s="1751">
        <v>0</v>
      </c>
      <c r="I32" s="1751">
        <v>0</v>
      </c>
      <c r="J32" s="1751">
        <v>0</v>
      </c>
      <c r="K32" s="1751">
        <v>0</v>
      </c>
      <c r="L32" s="1751">
        <v>0</v>
      </c>
      <c r="M32" s="1751" cm="1">
        <f t="array" ref="M32">-('BS 6M 2025'!H418-'BS 6M 2025'!N422)/1000</f>
        <v>-88020.16</v>
      </c>
      <c r="N32" s="1751">
        <v>0</v>
      </c>
      <c r="O32" s="1751">
        <v>0</v>
      </c>
      <c r="P32" s="1751">
        <v>0</v>
      </c>
      <c r="Q32" s="1751">
        <v>0</v>
      </c>
      <c r="R32" s="1751">
        <v>0</v>
      </c>
      <c r="S32" s="1751">
        <v>0</v>
      </c>
      <c r="T32" s="1751">
        <v>0</v>
      </c>
      <c r="U32" s="1751" cm="1">
        <f t="array" ref="U32">SUM(F32:T32)</f>
        <v>-88020.16</v>
      </c>
      <c r="V32" s="1756"/>
      <c r="W32" s="16"/>
      <c r="X32" s="17"/>
      <c r="Y32" s="18"/>
    </row>
    <row r="33" ht="16" customHeight="1">
      <c r="A33" s="12"/>
      <c r="B33" s="1746"/>
      <c r="C33" s="1747"/>
      <c r="D33" t="s" s="1748">
        <v>2212</v>
      </c>
      <c r="E33" s="1749"/>
      <c r="F33" s="1751">
        <v>0</v>
      </c>
      <c r="G33" s="1751">
        <v>0</v>
      </c>
      <c r="H33" s="1751">
        <v>0</v>
      </c>
      <c r="I33" s="1751">
        <v>0</v>
      </c>
      <c r="J33" s="1751">
        <v>0</v>
      </c>
      <c r="K33" s="1751">
        <v>0</v>
      </c>
      <c r="L33" s="1751">
        <v>0</v>
      </c>
      <c r="M33" s="1751" cm="1">
        <f t="array" ref="M33">-'BS 6M 2025'!H420/1000</f>
        <v>0</v>
      </c>
      <c r="N33" s="1751">
        <v>0</v>
      </c>
      <c r="O33" s="1751">
        <v>0</v>
      </c>
      <c r="P33" s="1751">
        <v>0</v>
      </c>
      <c r="Q33" s="1751">
        <v>0</v>
      </c>
      <c r="R33" s="1751">
        <v>0</v>
      </c>
      <c r="S33" s="1751">
        <v>0</v>
      </c>
      <c r="T33" s="1751">
        <v>0</v>
      </c>
      <c r="U33" s="1751" cm="1">
        <f t="array" ref="U33">SUM(F33:T33)</f>
        <v>0</v>
      </c>
      <c r="V33" s="1756"/>
      <c r="W33" s="16"/>
      <c r="X33" s="17"/>
      <c r="Y33" s="18"/>
    </row>
    <row r="34" ht="16" customHeight="1">
      <c r="A34" s="12"/>
      <c r="B34" s="1746"/>
      <c r="C34" s="1747"/>
      <c r="D34" t="s" s="1748">
        <v>2213</v>
      </c>
      <c r="E34" s="1749"/>
      <c r="F34" s="1751">
        <v>0</v>
      </c>
      <c r="G34" s="1751">
        <v>0</v>
      </c>
      <c r="H34" s="1751">
        <v>0</v>
      </c>
      <c r="I34" s="1751">
        <v>0</v>
      </c>
      <c r="J34" s="1751">
        <v>0</v>
      </c>
      <c r="K34" s="1751">
        <v>0</v>
      </c>
      <c r="L34" s="1751">
        <v>0</v>
      </c>
      <c r="M34" s="1751" cm="1">
        <f t="array" ref="M34">-'BS 6M 2025'!H422/1000</f>
        <v>-44472</v>
      </c>
      <c r="N34" s="1751">
        <v>0</v>
      </c>
      <c r="O34" s="1751">
        <v>0</v>
      </c>
      <c r="P34" s="1751">
        <v>0</v>
      </c>
      <c r="Q34" s="1751">
        <v>0</v>
      </c>
      <c r="R34" s="1751">
        <v>0</v>
      </c>
      <c r="S34" s="1751">
        <v>0</v>
      </c>
      <c r="T34" s="1751">
        <v>0</v>
      </c>
      <c r="U34" s="1751" cm="1">
        <f t="array" ref="U34">SUM(F34:T34)</f>
        <v>-44472</v>
      </c>
      <c r="V34" s="1756"/>
      <c r="W34" s="16"/>
      <c r="X34" s="17"/>
      <c r="Y34" s="18"/>
    </row>
    <row r="35" ht="16" customHeight="1">
      <c r="A35" s="12"/>
      <c r="B35" s="1746"/>
      <c r="C35" s="1747"/>
      <c r="D35" t="s" s="1748">
        <v>2214</v>
      </c>
      <c r="E35" s="1749"/>
      <c r="F35" s="1751">
        <v>0</v>
      </c>
      <c r="G35" s="1751">
        <v>0</v>
      </c>
      <c r="H35" s="1751">
        <v>0</v>
      </c>
      <c r="I35" s="1751">
        <v>0</v>
      </c>
      <c r="J35" s="1751">
        <v>0</v>
      </c>
      <c r="K35" s="1751">
        <v>0</v>
      </c>
      <c r="L35" s="1751">
        <v>0</v>
      </c>
      <c r="M35" s="1751" cm="1">
        <f t="array" ref="M35">-'BS 6M 2025'!H423/1000</f>
        <v>-10000</v>
      </c>
      <c r="N35" s="1751">
        <v>0</v>
      </c>
      <c r="O35" s="1751">
        <v>0</v>
      </c>
      <c r="P35" s="1751">
        <v>0</v>
      </c>
      <c r="Q35" s="1751">
        <v>0</v>
      </c>
      <c r="R35" s="1751">
        <v>0</v>
      </c>
      <c r="S35" s="1751">
        <v>0</v>
      </c>
      <c r="T35" s="1751">
        <v>0</v>
      </c>
      <c r="U35" s="1751" cm="1">
        <f t="array" ref="U35">SUM(F35:T35)</f>
        <v>-10000</v>
      </c>
      <c r="V35" s="1756"/>
      <c r="W35" s="16"/>
      <c r="X35" s="17"/>
      <c r="Y35" s="18"/>
    </row>
    <row r="36" ht="16" customHeight="1">
      <c r="A36" s="12"/>
      <c r="B36" s="1746"/>
      <c r="C36" s="1747"/>
      <c r="D36" t="s" s="1748">
        <v>2215</v>
      </c>
      <c r="E36" s="1749"/>
      <c r="F36" s="1751">
        <v>0</v>
      </c>
      <c r="G36" s="1751">
        <v>0</v>
      </c>
      <c r="H36" s="1751">
        <v>0</v>
      </c>
      <c r="I36" s="1751">
        <v>0</v>
      </c>
      <c r="J36" s="1751">
        <v>0</v>
      </c>
      <c r="K36" s="1751">
        <v>0</v>
      </c>
      <c r="L36" s="1751">
        <v>0</v>
      </c>
      <c r="M36" s="1751" cm="1">
        <f t="array" ref="M36">-'BS 6M 2025'!H427/1000</f>
        <v>-88629.039</v>
      </c>
      <c r="N36" s="1751">
        <v>0</v>
      </c>
      <c r="O36" s="1751">
        <v>0</v>
      </c>
      <c r="P36" s="1751">
        <v>0</v>
      </c>
      <c r="Q36" s="1751">
        <v>0</v>
      </c>
      <c r="R36" s="1751">
        <v>0</v>
      </c>
      <c r="S36" s="1751">
        <v>0</v>
      </c>
      <c r="T36" s="1751">
        <v>0</v>
      </c>
      <c r="U36" s="1751" cm="1">
        <f t="array" ref="U36">SUM(F36:T36)</f>
        <v>-88629.039</v>
      </c>
      <c r="V36" s="1756"/>
      <c r="W36" s="16"/>
      <c r="X36" s="17"/>
      <c r="Y36" s="18"/>
    </row>
    <row r="37" ht="16" customHeight="1">
      <c r="A37" s="12"/>
      <c r="B37" s="1746"/>
      <c r="C37" s="1747"/>
      <c r="D37" t="s" s="1748">
        <v>2216</v>
      </c>
      <c r="E37" s="1749"/>
      <c r="F37" s="1751">
        <v>0</v>
      </c>
      <c r="G37" s="1751">
        <v>0</v>
      </c>
      <c r="H37" s="1751">
        <v>0</v>
      </c>
      <c r="I37" s="1751">
        <v>0</v>
      </c>
      <c r="J37" s="1751">
        <v>0</v>
      </c>
      <c r="K37" s="1751">
        <v>0</v>
      </c>
      <c r="L37" s="1751">
        <v>0</v>
      </c>
      <c r="M37" s="1751" cm="1">
        <f t="array" ref="M37">-'BS 6M 2025'!H407/1000</f>
        <v>-48713.66931</v>
      </c>
      <c r="N37" s="1751">
        <v>0</v>
      </c>
      <c r="O37" s="1751">
        <v>0</v>
      </c>
      <c r="P37" s="1751">
        <v>0</v>
      </c>
      <c r="Q37" s="1751">
        <v>0</v>
      </c>
      <c r="R37" s="1751">
        <v>0</v>
      </c>
      <c r="S37" s="1751">
        <v>0</v>
      </c>
      <c r="T37" s="1751">
        <v>0</v>
      </c>
      <c r="U37" s="1751" cm="1">
        <f t="array" ref="U37">SUM(F37:T37)</f>
        <v>-48713.66931</v>
      </c>
      <c r="V37" s="1756"/>
      <c r="W37" s="16"/>
      <c r="X37" s="17"/>
      <c r="Y37" s="18"/>
    </row>
    <row r="38" ht="16" customHeight="1">
      <c r="A38" s="12"/>
      <c r="B38" s="1746"/>
      <c r="C38" s="1747"/>
      <c r="D38" s="1757"/>
      <c r="E38" s="1749"/>
      <c r="F38" s="1751"/>
      <c r="G38" s="1751"/>
      <c r="H38" s="1751"/>
      <c r="I38" s="1751"/>
      <c r="J38" s="1751"/>
      <c r="K38" s="1751"/>
      <c r="L38" s="1751"/>
      <c r="M38" s="1751"/>
      <c r="N38" s="1751"/>
      <c r="O38" s="1751"/>
      <c r="P38" s="1751"/>
      <c r="Q38" s="1751"/>
      <c r="R38" s="1751"/>
      <c r="S38" s="1751"/>
      <c r="T38" s="1751"/>
      <c r="U38" s="1751"/>
      <c r="V38" s="1756"/>
      <c r="W38" s="16"/>
      <c r="X38" s="17"/>
      <c r="Y38" s="18"/>
    </row>
    <row r="39" ht="16" customHeight="1">
      <c r="A39" s="12"/>
      <c r="B39" t="s" s="1738">
        <v>2217</v>
      </c>
      <c r="C39" s="1747"/>
      <c r="D39" s="1757"/>
      <c r="E39" s="1749"/>
      <c r="F39" s="1751"/>
      <c r="G39" s="1751"/>
      <c r="H39" s="1751"/>
      <c r="I39" s="1751"/>
      <c r="J39" s="1751"/>
      <c r="K39" s="1751"/>
      <c r="L39" s="1751"/>
      <c r="M39" s="1751"/>
      <c r="N39" s="1751"/>
      <c r="O39" s="1751"/>
      <c r="P39" s="1751"/>
      <c r="Q39" s="1751"/>
      <c r="R39" s="1751"/>
      <c r="S39" s="1751"/>
      <c r="T39" s="1751"/>
      <c r="U39" s="1751"/>
      <c r="V39" s="1756"/>
      <c r="W39" s="16"/>
      <c r="X39" s="17"/>
      <c r="Y39" s="18"/>
    </row>
    <row r="40" ht="16" customHeight="1">
      <c r="A40" s="12"/>
      <c r="B40" s="1746"/>
      <c r="C40" s="1747"/>
      <c r="D40" t="s" s="1748">
        <v>2218</v>
      </c>
      <c r="E40" s="1749"/>
      <c r="F40" s="1751">
        <v>0</v>
      </c>
      <c r="G40" s="1751">
        <v>0</v>
      </c>
      <c r="H40" s="1751">
        <v>0</v>
      </c>
      <c r="I40" s="1751">
        <v>0</v>
      </c>
      <c r="J40" s="1751">
        <v>0</v>
      </c>
      <c r="K40" s="1751">
        <v>0</v>
      </c>
      <c r="L40" s="1751">
        <v>0</v>
      </c>
      <c r="M40" s="1751">
        <v>0</v>
      </c>
      <c r="N40" s="1751" cm="1">
        <f t="array" ref="N40">-SUM('BS 6M 2025'!H404:H405)/1000</f>
        <v>-723288.59899</v>
      </c>
      <c r="O40" s="1751">
        <v>0</v>
      </c>
      <c r="P40" s="1751">
        <v>0</v>
      </c>
      <c r="Q40" s="1751">
        <v>0</v>
      </c>
      <c r="R40" s="1751">
        <v>0</v>
      </c>
      <c r="S40" s="1751">
        <v>0</v>
      </c>
      <c r="T40" s="1751">
        <v>0</v>
      </c>
      <c r="U40" s="1751" cm="1">
        <f t="array" ref="U40">SUM(F40:T40)</f>
        <v>-723288.59899</v>
      </c>
      <c r="V40" s="1756"/>
      <c r="W40" s="16"/>
      <c r="X40" s="17"/>
      <c r="Y40" s="18"/>
    </row>
    <row r="41" ht="16" customHeight="1">
      <c r="A41" s="12"/>
      <c r="B41" s="1746"/>
      <c r="C41" s="1747"/>
      <c r="D41" t="s" s="1748">
        <v>2219</v>
      </c>
      <c r="E41" s="1749"/>
      <c r="F41" s="1751">
        <v>0</v>
      </c>
      <c r="G41" s="1751">
        <v>0</v>
      </c>
      <c r="H41" s="1751">
        <v>0</v>
      </c>
      <c r="I41" s="1751">
        <v>0</v>
      </c>
      <c r="J41" s="1751">
        <v>0</v>
      </c>
      <c r="K41" s="1751">
        <v>0</v>
      </c>
      <c r="L41" s="1751">
        <v>0</v>
      </c>
      <c r="M41" s="1751">
        <v>0</v>
      </c>
      <c r="N41" s="1751" cm="1">
        <f t="array" ref="N41">-SUM('BS 6M 2025'!N423)/1000</f>
        <v>-521417.037</v>
      </c>
      <c r="O41" s="1751">
        <v>0</v>
      </c>
      <c r="P41" s="1751">
        <v>0</v>
      </c>
      <c r="Q41" s="1751">
        <v>0</v>
      </c>
      <c r="R41" s="1751">
        <v>0</v>
      </c>
      <c r="S41" s="1751">
        <v>0</v>
      </c>
      <c r="T41" s="1751">
        <v>0</v>
      </c>
      <c r="U41" s="1751" cm="1">
        <f t="array" ref="U41">SUM(F41:T41)</f>
        <v>-521417.037</v>
      </c>
      <c r="V41" s="1756"/>
      <c r="W41" s="16"/>
      <c r="X41" s="17"/>
      <c r="Y41" s="18"/>
    </row>
    <row r="42" ht="16" customHeight="1">
      <c r="A42" s="12"/>
      <c r="B42" s="1746"/>
      <c r="C42" s="1747"/>
      <c r="D42" t="s" s="1748">
        <v>2220</v>
      </c>
      <c r="E42" s="1749"/>
      <c r="F42" s="1751">
        <v>0</v>
      </c>
      <c r="G42" s="1751">
        <v>0</v>
      </c>
      <c r="H42" s="1751">
        <v>0</v>
      </c>
      <c r="I42" s="1751">
        <v>0</v>
      </c>
      <c r="J42" s="1751">
        <v>0</v>
      </c>
      <c r="K42" s="1751">
        <v>0</v>
      </c>
      <c r="L42" s="1751">
        <v>0</v>
      </c>
      <c r="M42" s="1751">
        <v>0</v>
      </c>
      <c r="N42" s="1751" cm="1">
        <f t="array" ref="N42">-SUM('BS 6M 2025'!N420:N421,'BS 6M 2025'!N424)/1000</f>
        <v>-94467.88</v>
      </c>
      <c r="O42" s="1751">
        <v>0</v>
      </c>
      <c r="P42" s="1751">
        <v>0</v>
      </c>
      <c r="Q42" s="1751">
        <v>0</v>
      </c>
      <c r="R42" s="1751">
        <v>0</v>
      </c>
      <c r="S42" s="1751">
        <v>0</v>
      </c>
      <c r="T42" s="1751">
        <v>0</v>
      </c>
      <c r="U42" s="1751" cm="1">
        <f t="array" ref="U42">SUM(F42:T42)</f>
        <v>-94467.88</v>
      </c>
      <c r="V42" s="1756"/>
      <c r="W42" s="16"/>
      <c r="X42" s="17"/>
      <c r="Y42" s="18"/>
    </row>
    <row r="43" ht="16" customHeight="1">
      <c r="A43" s="12"/>
      <c r="B43" s="1746"/>
      <c r="C43" s="1747"/>
      <c r="D43" s="1757"/>
      <c r="E43" s="1749"/>
      <c r="F43" s="1758"/>
      <c r="G43" s="1758"/>
      <c r="H43" s="1758"/>
      <c r="I43" s="1758"/>
      <c r="J43" s="1758"/>
      <c r="K43" s="1758"/>
      <c r="L43" s="1758"/>
      <c r="M43" s="1758"/>
      <c r="N43" s="1758"/>
      <c r="O43" s="1758"/>
      <c r="P43" s="1758"/>
      <c r="Q43" s="1758"/>
      <c r="R43" s="1758"/>
      <c r="S43" s="1758"/>
      <c r="T43" s="1758"/>
      <c r="U43" s="1758"/>
      <c r="V43" s="1756"/>
      <c r="W43" s="16"/>
      <c r="X43" s="17"/>
      <c r="Y43" s="18"/>
    </row>
    <row r="44" ht="16" customHeight="1">
      <c r="A44" s="12"/>
      <c r="B44" t="s" s="1738">
        <v>2221</v>
      </c>
      <c r="C44" s="1747"/>
      <c r="D44" s="1757"/>
      <c r="E44" s="1749"/>
      <c r="F44" s="1760"/>
      <c r="G44" s="1760"/>
      <c r="H44" s="1760"/>
      <c r="I44" s="1760"/>
      <c r="J44" s="1760"/>
      <c r="K44" s="1760"/>
      <c r="L44" s="1760"/>
      <c r="M44" s="1760"/>
      <c r="N44" s="1760"/>
      <c r="O44" s="1760"/>
      <c r="P44" s="1760"/>
      <c r="Q44" s="1760"/>
      <c r="R44" s="1760"/>
      <c r="S44" s="1760"/>
      <c r="T44" s="1760"/>
      <c r="U44" s="1760"/>
      <c r="V44" s="1756"/>
      <c r="W44" s="16"/>
      <c r="X44" s="17"/>
      <c r="Y44" s="18"/>
    </row>
    <row r="45" ht="16" customHeight="1">
      <c r="A45" s="12"/>
      <c r="B45" s="1746"/>
      <c r="C45" s="1747"/>
      <c r="D45" t="s" s="1748">
        <v>2222</v>
      </c>
      <c r="E45" s="1749"/>
      <c r="F45" s="1751" cm="1">
        <f t="array" ref="F45">SUM('BS 6M 2025'!H463)/1000</f>
        <v>-1751843.4897</v>
      </c>
      <c r="G45" s="1751">
        <v>0</v>
      </c>
      <c r="H45" s="1751">
        <v>0</v>
      </c>
      <c r="I45" s="1751" cm="1">
        <f t="array" ref="I45">-'BS 6M 2025'!H472/1000</f>
        <v>1556483.6217</v>
      </c>
      <c r="J45" s="1751">
        <v>0</v>
      </c>
      <c r="K45" s="1751">
        <v>0</v>
      </c>
      <c r="L45" s="1751">
        <v>0</v>
      </c>
      <c r="M45" s="1751">
        <v>0</v>
      </c>
      <c r="N45" s="1751">
        <v>0</v>
      </c>
      <c r="O45" s="1751">
        <v>0</v>
      </c>
      <c r="P45" s="1751">
        <v>0</v>
      </c>
      <c r="Q45" s="1751">
        <v>0</v>
      </c>
      <c r="R45" s="1751">
        <v>0</v>
      </c>
      <c r="S45" s="1751">
        <v>0</v>
      </c>
      <c r="T45" s="1751" cm="1">
        <f t="array" ref="T45">-SUM(F45:P45)</f>
        <v>195359.868</v>
      </c>
      <c r="U45" s="1751" cm="1">
        <f t="array" ref="U45">SUM(F45:T45)</f>
        <v>0</v>
      </c>
      <c r="V45" s="1756"/>
      <c r="W45" s="16"/>
      <c r="X45" s="17"/>
      <c r="Y45" s="18"/>
    </row>
    <row r="46" ht="16" customHeight="1">
      <c r="A46" s="12"/>
      <c r="B46" s="1746"/>
      <c r="C46" s="1747"/>
      <c r="D46" t="s" s="1748">
        <v>2223</v>
      </c>
      <c r="E46" s="1749"/>
      <c r="F46" s="1751" cm="1">
        <f t="array" ref="F46">'BS 6M 2025'!H474/1000</f>
        <v>30293057.22251</v>
      </c>
      <c r="G46" s="1751" cm="1">
        <f t="array" ref="G46">-G17</f>
        <v>-27809500.08451</v>
      </c>
      <c r="H46" s="1751">
        <v>0</v>
      </c>
      <c r="I46" s="1751">
        <v>0</v>
      </c>
      <c r="J46" s="1751">
        <v>0</v>
      </c>
      <c r="K46" s="1751">
        <v>0</v>
      </c>
      <c r="L46" s="1751">
        <v>0</v>
      </c>
      <c r="M46" s="1751">
        <v>0</v>
      </c>
      <c r="N46" s="1751">
        <v>0</v>
      </c>
      <c r="O46" s="1751">
        <v>0</v>
      </c>
      <c r="P46" s="1751" cm="1">
        <f t="array" ref="P46">-SUM(F46:O46)</f>
        <v>-2483557.138</v>
      </c>
      <c r="Q46" s="1751">
        <v>0</v>
      </c>
      <c r="R46" s="1751">
        <v>0</v>
      </c>
      <c r="S46" s="1751">
        <v>0</v>
      </c>
      <c r="T46" s="1751">
        <v>0</v>
      </c>
      <c r="U46" s="1751" cm="1">
        <f t="array" ref="U46">SUM(F46:T46)</f>
        <v>0</v>
      </c>
      <c r="V46" s="1756"/>
      <c r="W46" s="16"/>
      <c r="X46" s="17"/>
      <c r="Y46" s="18"/>
    </row>
    <row r="47" ht="15.5" customHeight="1">
      <c r="A47" s="12"/>
      <c r="B47" s="1761"/>
      <c r="C47" s="1747"/>
      <c r="D47" s="1757"/>
      <c r="E47" s="1749"/>
      <c r="F47" s="1752"/>
      <c r="G47" s="1752"/>
      <c r="H47" s="1752"/>
      <c r="I47" s="1752"/>
      <c r="J47" s="1752"/>
      <c r="K47" s="1752"/>
      <c r="L47" s="1752"/>
      <c r="M47" s="1752"/>
      <c r="N47" s="1752"/>
      <c r="O47" s="1752"/>
      <c r="P47" s="1752"/>
      <c r="Q47" s="1752"/>
      <c r="R47" s="1752"/>
      <c r="S47" s="1752"/>
      <c r="T47" s="1752"/>
      <c r="U47" s="1752"/>
      <c r="V47" s="1753"/>
      <c r="W47" s="16"/>
      <c r="X47" s="17"/>
      <c r="Y47" s="18"/>
    </row>
    <row r="48" ht="16.5" customHeight="1">
      <c r="A48" s="12"/>
      <c r="B48" t="s" s="1767">
        <v>450</v>
      </c>
      <c r="C48" s="1747"/>
      <c r="D48" s="1757"/>
      <c r="E48" s="1749"/>
      <c r="F48" s="1751"/>
      <c r="G48" s="1751"/>
      <c r="H48" s="1751"/>
      <c r="I48" s="1751"/>
      <c r="J48" s="1751"/>
      <c r="K48" s="1751"/>
      <c r="L48" s="1751"/>
      <c r="M48" s="1751"/>
      <c r="N48" s="1751"/>
      <c r="O48" s="1751"/>
      <c r="P48" s="1751"/>
      <c r="Q48" s="1751"/>
      <c r="R48" s="1751"/>
      <c r="S48" s="1751"/>
      <c r="T48" s="1751"/>
      <c r="U48" s="1751"/>
      <c r="V48" s="1756"/>
      <c r="W48" s="16"/>
      <c r="X48" s="17"/>
      <c r="Y48" s="18"/>
    </row>
    <row r="49" ht="16" customHeight="1">
      <c r="A49" s="12"/>
      <c r="B49" s="1746"/>
      <c r="C49" s="1747"/>
      <c r="D49" t="s" s="1748">
        <v>2224</v>
      </c>
      <c r="E49" s="1749"/>
      <c r="F49" s="1751">
        <v>0</v>
      </c>
      <c r="G49" s="1751">
        <v>0</v>
      </c>
      <c r="H49" s="1751">
        <v>0</v>
      </c>
      <c r="I49" s="1751">
        <v>0</v>
      </c>
      <c r="J49" s="1751">
        <v>0</v>
      </c>
      <c r="K49" s="1751" cm="1">
        <f t="array" ref="K49">-'BS 6M 2025'!H116/1000</f>
        <v>-24000</v>
      </c>
      <c r="L49" s="1751">
        <v>0</v>
      </c>
      <c r="M49" s="1751">
        <v>0</v>
      </c>
      <c r="N49" s="1751">
        <v>0</v>
      </c>
      <c r="O49" s="1751">
        <v>0</v>
      </c>
      <c r="P49" s="1751">
        <v>0</v>
      </c>
      <c r="Q49" s="1751">
        <v>0</v>
      </c>
      <c r="R49" s="1751">
        <v>0</v>
      </c>
      <c r="S49" s="1751">
        <v>0</v>
      </c>
      <c r="T49" s="1751">
        <v>0</v>
      </c>
      <c r="U49" s="1751" cm="1">
        <f t="array" ref="U49">SUM(F49:T49)</f>
        <v>-24000</v>
      </c>
      <c r="V49" s="1756"/>
      <c r="W49" s="16"/>
      <c r="X49" s="17"/>
      <c r="Y49" s="18"/>
    </row>
    <row r="50" ht="16" customHeight="1">
      <c r="A50" s="12"/>
      <c r="B50" s="1746"/>
      <c r="C50" s="1747"/>
      <c r="D50" t="s" s="1748">
        <v>2225</v>
      </c>
      <c r="E50" s="1749"/>
      <c r="F50" s="1751">
        <v>0</v>
      </c>
      <c r="G50" s="1751">
        <v>0</v>
      </c>
      <c r="H50" s="1751">
        <v>0</v>
      </c>
      <c r="I50" s="1751">
        <v>0</v>
      </c>
      <c r="J50" s="1751">
        <v>0</v>
      </c>
      <c r="K50" s="1751" cm="1">
        <f t="array" ref="K50">-SUM('BS 6M 2025'!H121,'BS 6M 2025'!H285)/1000</f>
        <v>-50000</v>
      </c>
      <c r="L50" s="1751">
        <v>0</v>
      </c>
      <c r="M50" s="1751">
        <v>0</v>
      </c>
      <c r="N50" s="1751">
        <v>0</v>
      </c>
      <c r="O50" s="1751">
        <v>0</v>
      </c>
      <c r="P50" s="1751">
        <v>0</v>
      </c>
      <c r="Q50" s="1751">
        <v>0</v>
      </c>
      <c r="R50" s="1751">
        <v>0</v>
      </c>
      <c r="S50" s="1751">
        <v>0</v>
      </c>
      <c r="T50" s="1751">
        <v>0</v>
      </c>
      <c r="U50" s="1751" cm="1">
        <f t="array" ref="U50">SUM(F50:T50)</f>
        <v>-50000</v>
      </c>
      <c r="V50" s="1756"/>
      <c r="W50" s="16"/>
      <c r="X50" s="17"/>
      <c r="Y50" s="18"/>
    </row>
    <row r="51" ht="16" customHeight="1">
      <c r="A51" s="12"/>
      <c r="B51" s="1746"/>
      <c r="C51" s="1747"/>
      <c r="D51" t="s" s="1748">
        <v>2226</v>
      </c>
      <c r="E51" s="1749"/>
      <c r="F51" s="1751">
        <v>0</v>
      </c>
      <c r="G51" s="1751">
        <v>0</v>
      </c>
      <c r="H51" s="1751">
        <v>0</v>
      </c>
      <c r="I51" s="1751">
        <v>0</v>
      </c>
      <c r="J51" s="1751">
        <v>0</v>
      </c>
      <c r="K51" s="1751" cm="1">
        <f t="array" ref="K51">-SUM('BS 6M 2025'!H128)/1000</f>
        <v>-22000</v>
      </c>
      <c r="L51" s="1751">
        <v>0</v>
      </c>
      <c r="M51" s="1751">
        <v>0</v>
      </c>
      <c r="N51" s="1751">
        <v>0</v>
      </c>
      <c r="O51" s="1751">
        <v>0</v>
      </c>
      <c r="P51" s="1751">
        <v>0</v>
      </c>
      <c r="Q51" s="1751">
        <v>0</v>
      </c>
      <c r="R51" s="1751">
        <v>0</v>
      </c>
      <c r="S51" s="1751">
        <v>0</v>
      </c>
      <c r="T51" s="1751">
        <v>0</v>
      </c>
      <c r="U51" s="1751" cm="1">
        <f t="array" ref="U51">SUM(F51:T51)</f>
        <v>-22000</v>
      </c>
      <c r="V51" s="1756"/>
      <c r="W51" s="16"/>
      <c r="X51" s="17"/>
      <c r="Y51" s="18"/>
    </row>
    <row r="52" ht="16" customHeight="1">
      <c r="A52" s="12"/>
      <c r="B52" s="1746"/>
      <c r="C52" s="1747"/>
      <c r="D52" t="s" s="1748">
        <v>2227</v>
      </c>
      <c r="E52" s="1749"/>
      <c r="F52" s="1751">
        <v>0</v>
      </c>
      <c r="G52" s="1751">
        <v>0</v>
      </c>
      <c r="H52" s="1751">
        <v>0</v>
      </c>
      <c r="I52" s="1751">
        <v>0</v>
      </c>
      <c r="J52" s="1751">
        <v>0</v>
      </c>
      <c r="K52" s="1751" cm="1">
        <f t="array" ref="K52">-('BS 6M 2025'!H129)/1000</f>
        <v>5500</v>
      </c>
      <c r="L52" s="1751">
        <v>0</v>
      </c>
      <c r="M52" s="1751">
        <v>0</v>
      </c>
      <c r="N52" s="1751">
        <v>0</v>
      </c>
      <c r="O52" s="1751">
        <v>0</v>
      </c>
      <c r="P52" s="1751">
        <v>0</v>
      </c>
      <c r="Q52" s="1751">
        <v>0</v>
      </c>
      <c r="R52" s="1751">
        <v>0</v>
      </c>
      <c r="S52" s="1751">
        <v>0</v>
      </c>
      <c r="T52" s="1751">
        <v>0</v>
      </c>
      <c r="U52" s="1751" cm="1">
        <f t="array" ref="U52">SUM(F52:T52)</f>
        <v>5500</v>
      </c>
      <c r="V52" s="1756"/>
      <c r="W52" s="16"/>
      <c r="X52" s="17"/>
      <c r="Y52" s="18"/>
    </row>
    <row r="53" ht="16" customHeight="1">
      <c r="A53" s="12"/>
      <c r="B53" s="1746"/>
      <c r="C53" s="1747"/>
      <c r="D53" t="s" s="1748">
        <v>2228</v>
      </c>
      <c r="E53" s="1749"/>
      <c r="F53" s="1751">
        <v>0</v>
      </c>
      <c r="G53" s="1751">
        <v>0</v>
      </c>
      <c r="H53" s="1751">
        <v>0</v>
      </c>
      <c r="I53" s="1751">
        <v>0</v>
      </c>
      <c r="J53" s="1751">
        <v>0</v>
      </c>
      <c r="K53" s="1751" cm="1">
        <f t="array" ref="K53">-'BS 6M 2025'!H132/1000</f>
        <v>-655000</v>
      </c>
      <c r="L53" s="1751">
        <v>0</v>
      </c>
      <c r="M53" s="1751">
        <v>0</v>
      </c>
      <c r="N53" s="1751">
        <v>0</v>
      </c>
      <c r="O53" s="1751">
        <v>0</v>
      </c>
      <c r="P53" s="1751">
        <v>0</v>
      </c>
      <c r="Q53" s="1751">
        <v>0</v>
      </c>
      <c r="R53" s="1751">
        <v>0</v>
      </c>
      <c r="S53" s="1751">
        <v>0</v>
      </c>
      <c r="T53" s="1751">
        <v>0</v>
      </c>
      <c r="U53" s="1751" cm="1">
        <f t="array" ref="U53">SUM(F53:T53)</f>
        <v>-655000</v>
      </c>
      <c r="V53" s="1756"/>
      <c r="W53" s="16"/>
      <c r="X53" s="17"/>
      <c r="Y53" s="18"/>
    </row>
    <row r="54" ht="16" customHeight="1">
      <c r="A54" s="12"/>
      <c r="B54" s="1746"/>
      <c r="C54" s="1747"/>
      <c r="D54" t="s" s="1748">
        <v>2229</v>
      </c>
      <c r="E54" s="1749"/>
      <c r="F54" s="1751">
        <v>0</v>
      </c>
      <c r="G54" s="1751">
        <v>0</v>
      </c>
      <c r="H54" s="1751">
        <v>0</v>
      </c>
      <c r="I54" s="1751">
        <v>0</v>
      </c>
      <c r="J54" s="1751">
        <v>0</v>
      </c>
      <c r="K54" s="1751" cm="1">
        <f t="array" ref="K54">-'BS 6M 2025'!H282/1000</f>
        <v>8000</v>
      </c>
      <c r="L54" s="1751">
        <v>0</v>
      </c>
      <c r="M54" s="1751">
        <v>0</v>
      </c>
      <c r="N54" s="1751">
        <v>0</v>
      </c>
      <c r="O54" s="1751">
        <v>0</v>
      </c>
      <c r="P54" s="1751">
        <v>0</v>
      </c>
      <c r="Q54" s="1751">
        <v>0</v>
      </c>
      <c r="R54" s="1751">
        <v>0</v>
      </c>
      <c r="S54" s="1751">
        <v>0</v>
      </c>
      <c r="T54" s="1751">
        <v>0</v>
      </c>
      <c r="U54" s="1751" cm="1">
        <f t="array" ref="U54">SUM(F54:T54)</f>
        <v>8000</v>
      </c>
      <c r="V54" s="1756"/>
      <c r="W54" s="16"/>
      <c r="X54" s="17"/>
      <c r="Y54" s="18"/>
    </row>
    <row r="55" ht="16" customHeight="1">
      <c r="A55" s="12"/>
      <c r="B55" s="1746"/>
      <c r="C55" s="1747"/>
      <c r="D55" t="s" s="1748">
        <v>2230</v>
      </c>
      <c r="E55" s="1749"/>
      <c r="F55" s="1751">
        <v>0</v>
      </c>
      <c r="G55" s="1751">
        <v>0</v>
      </c>
      <c r="H55" s="1751">
        <v>0</v>
      </c>
      <c r="I55" s="1751">
        <v>0</v>
      </c>
      <c r="J55" s="1751">
        <v>0</v>
      </c>
      <c r="K55" s="1751" cm="1">
        <f t="array" ref="K55">-'BS 6M 2025'!H281/1000</f>
        <v>12330</v>
      </c>
      <c r="L55" s="1751">
        <v>0</v>
      </c>
      <c r="M55" s="1751">
        <v>0</v>
      </c>
      <c r="N55" s="1751">
        <v>0</v>
      </c>
      <c r="O55" s="1751">
        <v>0</v>
      </c>
      <c r="P55" s="1751">
        <v>0</v>
      </c>
      <c r="Q55" s="1751">
        <v>0</v>
      </c>
      <c r="R55" s="1751">
        <v>0</v>
      </c>
      <c r="S55" s="1751">
        <v>0</v>
      </c>
      <c r="T55" s="1751">
        <v>0</v>
      </c>
      <c r="U55" s="1751" cm="1">
        <f t="array" ref="U55">SUM(F55:T55)</f>
        <v>12330</v>
      </c>
      <c r="V55" s="1756"/>
      <c r="W55" s="16"/>
      <c r="X55" s="17"/>
      <c r="Y55" s="18"/>
    </row>
    <row r="56" ht="16" customHeight="1">
      <c r="A56" s="12"/>
      <c r="B56" s="1746"/>
      <c r="C56" s="1747"/>
      <c r="D56" s="1757"/>
      <c r="E56" s="1749"/>
      <c r="F56" s="1751"/>
      <c r="G56" s="1751"/>
      <c r="H56" s="1751"/>
      <c r="I56" s="1751"/>
      <c r="J56" s="1751"/>
      <c r="K56" s="1751"/>
      <c r="L56" s="1751"/>
      <c r="M56" s="1751"/>
      <c r="N56" s="1751"/>
      <c r="O56" s="1751"/>
      <c r="P56" s="1751"/>
      <c r="Q56" s="1751"/>
      <c r="R56" s="1751"/>
      <c r="S56" s="1751"/>
      <c r="T56" s="1751"/>
      <c r="U56" s="1751"/>
      <c r="V56" s="1756"/>
      <c r="W56" s="16"/>
      <c r="X56" s="17"/>
      <c r="Y56" s="18"/>
    </row>
    <row r="57" ht="16" customHeight="1">
      <c r="A57" s="12"/>
      <c r="B57" s="1746"/>
      <c r="C57" s="1747"/>
      <c r="D57" t="s" s="1748">
        <v>2231</v>
      </c>
      <c r="E57" s="1749"/>
      <c r="F57" s="1751">
        <v>0</v>
      </c>
      <c r="G57" s="1751">
        <v>0</v>
      </c>
      <c r="H57" s="1751">
        <v>0</v>
      </c>
      <c r="I57" s="1751">
        <v>0</v>
      </c>
      <c r="J57" s="1751">
        <v>0</v>
      </c>
      <c r="K57" s="1751">
        <v>0</v>
      </c>
      <c r="L57" s="1751">
        <v>0</v>
      </c>
      <c r="M57" s="1751">
        <v>0</v>
      </c>
      <c r="N57" s="1751">
        <v>0</v>
      </c>
      <c r="O57" s="1751">
        <v>0</v>
      </c>
      <c r="P57" s="1751">
        <v>0</v>
      </c>
      <c r="Q57" s="1751">
        <v>0</v>
      </c>
      <c r="R57" s="1751">
        <v>2700000</v>
      </c>
      <c r="S57" s="1751">
        <v>0</v>
      </c>
      <c r="T57" s="1751">
        <v>0</v>
      </c>
      <c r="U57" s="1751" cm="1">
        <f t="array" ref="U57">SUM(F57:T57)</f>
        <v>2700000</v>
      </c>
      <c r="V57" s="1756"/>
      <c r="W57" s="16"/>
      <c r="X57" s="17"/>
      <c r="Y57" s="18"/>
    </row>
    <row r="58" ht="16" customHeight="1">
      <c r="A58" s="12"/>
      <c r="B58" s="1746"/>
      <c r="C58" s="1747"/>
      <c r="D58" s="1757"/>
      <c r="E58" s="1749"/>
      <c r="F58" s="1751"/>
      <c r="G58" s="1751"/>
      <c r="H58" s="1751"/>
      <c r="I58" s="1751"/>
      <c r="J58" s="1751"/>
      <c r="K58" s="1751"/>
      <c r="L58" s="1751"/>
      <c r="M58" s="1751"/>
      <c r="N58" s="1751"/>
      <c r="O58" s="1751"/>
      <c r="P58" s="1751"/>
      <c r="Q58" s="1751"/>
      <c r="R58" s="1751"/>
      <c r="S58" s="1751"/>
      <c r="T58" s="1751"/>
      <c r="U58" s="1751"/>
      <c r="V58" s="1756"/>
      <c r="W58" s="16"/>
      <c r="X58" s="17"/>
      <c r="Y58" s="18"/>
    </row>
    <row r="59" ht="16" customHeight="1">
      <c r="A59" s="12"/>
      <c r="B59" s="1746"/>
      <c r="C59" s="1747"/>
      <c r="D59" t="s" s="1748">
        <v>2232</v>
      </c>
      <c r="E59" s="1749"/>
      <c r="F59" s="1751">
        <v>0</v>
      </c>
      <c r="G59" s="1751">
        <v>0</v>
      </c>
      <c r="H59" s="1751">
        <v>0</v>
      </c>
      <c r="I59" s="1751">
        <v>0</v>
      </c>
      <c r="J59" s="1751">
        <v>0</v>
      </c>
      <c r="K59" s="1751">
        <v>0</v>
      </c>
      <c r="L59" s="1751">
        <v>0</v>
      </c>
      <c r="M59" s="1751">
        <v>0</v>
      </c>
      <c r="N59" s="1751">
        <v>0</v>
      </c>
      <c r="O59" s="1751" cm="1">
        <f t="array" ref="O59">-O13</f>
        <v>-1546766</v>
      </c>
      <c r="P59" s="1751">
        <v>0</v>
      </c>
      <c r="Q59" s="1751">
        <v>0</v>
      </c>
      <c r="R59" s="1751">
        <v>0</v>
      </c>
      <c r="S59" s="1751">
        <v>0</v>
      </c>
      <c r="T59" s="1751">
        <v>0</v>
      </c>
      <c r="U59" s="1751" cm="1">
        <f t="array" ref="U59">SUM(F59:T59)</f>
        <v>-1546766</v>
      </c>
      <c r="V59" s="1756"/>
      <c r="W59" s="16"/>
      <c r="X59" s="17"/>
      <c r="Y59" s="18"/>
    </row>
    <row r="60" ht="16" customHeight="1">
      <c r="A60" s="12"/>
      <c r="B60" s="1746"/>
      <c r="C60" s="1747"/>
      <c r="D60" s="1757"/>
      <c r="E60" s="1749"/>
      <c r="F60" s="1751"/>
      <c r="G60" s="1751"/>
      <c r="H60" s="1751"/>
      <c r="I60" s="1751"/>
      <c r="J60" s="1751"/>
      <c r="K60" s="1751"/>
      <c r="L60" s="1751"/>
      <c r="M60" s="1751"/>
      <c r="N60" s="1751"/>
      <c r="O60" s="1751"/>
      <c r="P60" s="1751"/>
      <c r="Q60" s="1751"/>
      <c r="R60" s="1751"/>
      <c r="S60" s="1751"/>
      <c r="T60" s="1751"/>
      <c r="U60" s="1751"/>
      <c r="V60" s="1756"/>
      <c r="W60" s="16"/>
      <c r="X60" s="17"/>
      <c r="Y60" s="18"/>
    </row>
    <row r="61" ht="16" customHeight="1">
      <c r="A61" s="12"/>
      <c r="B61" s="1746"/>
      <c r="C61" s="1747"/>
      <c r="D61" t="s" s="1748">
        <v>2233</v>
      </c>
      <c r="E61" s="1749"/>
      <c r="F61" s="1751">
        <v>0</v>
      </c>
      <c r="G61" s="1751">
        <v>0</v>
      </c>
      <c r="H61" s="1751">
        <v>0</v>
      </c>
      <c r="I61" s="1751">
        <v>0</v>
      </c>
      <c r="J61" s="1751">
        <v>0</v>
      </c>
      <c r="K61" s="1751">
        <v>0</v>
      </c>
      <c r="L61" s="1751">
        <v>0</v>
      </c>
      <c r="M61" s="1751">
        <v>0</v>
      </c>
      <c r="N61" s="1751">
        <v>0</v>
      </c>
      <c r="O61" s="1751">
        <v>0</v>
      </c>
      <c r="P61" s="1751">
        <v>0</v>
      </c>
      <c r="Q61" s="1751">
        <v>0</v>
      </c>
      <c r="R61" s="1751">
        <v>0</v>
      </c>
      <c r="S61" s="1751" cm="1">
        <f t="array" ref="S61">'BS 6M 2025'!H653/1000</f>
        <v>1100000</v>
      </c>
      <c r="T61" s="1751">
        <v>0</v>
      </c>
      <c r="U61" s="1751" cm="1">
        <f t="array" ref="U61">SUM(F61:T61)</f>
        <v>1100000</v>
      </c>
      <c r="V61" s="1756"/>
      <c r="W61" s="16"/>
      <c r="X61" s="17"/>
      <c r="Y61" s="18"/>
    </row>
    <row r="62" ht="16" customHeight="1">
      <c r="A62" s="12"/>
      <c r="B62" s="1746"/>
      <c r="C62" s="1747"/>
      <c r="D62" t="s" s="1748">
        <v>2234</v>
      </c>
      <c r="E62" s="1749"/>
      <c r="F62" s="1751">
        <v>0</v>
      </c>
      <c r="G62" s="1751">
        <v>0</v>
      </c>
      <c r="H62" s="1751">
        <v>0</v>
      </c>
      <c r="I62" s="1751">
        <v>0</v>
      </c>
      <c r="J62" s="1751">
        <v>0</v>
      </c>
      <c r="K62" s="1751">
        <v>0</v>
      </c>
      <c r="L62" s="1751">
        <v>0</v>
      </c>
      <c r="M62" s="1751">
        <v>0</v>
      </c>
      <c r="N62" s="1751">
        <v>0</v>
      </c>
      <c r="O62" s="1751">
        <v>0</v>
      </c>
      <c r="P62" s="1751">
        <v>0</v>
      </c>
      <c r="Q62" s="1751">
        <v>0</v>
      </c>
      <c r="R62" s="1751">
        <v>0</v>
      </c>
      <c r="S62" s="1751" cm="1">
        <f t="array" ref="S62">'BS 6M 2025'!H654/1000</f>
        <v>481520</v>
      </c>
      <c r="T62" s="1751">
        <v>0</v>
      </c>
      <c r="U62" s="1751" cm="1">
        <f t="array" ref="U62">SUM(F62:T62)</f>
        <v>481520</v>
      </c>
      <c r="V62" s="1756"/>
      <c r="W62" s="16"/>
      <c r="X62" s="17"/>
      <c r="Y62" s="18"/>
    </row>
    <row r="63" ht="15.5" customHeight="1">
      <c r="A63" s="12"/>
      <c r="B63" s="1761"/>
      <c r="C63" s="1747"/>
      <c r="D63" s="1757"/>
      <c r="E63" s="1749"/>
      <c r="F63" s="1752"/>
      <c r="G63" s="1752"/>
      <c r="H63" s="1752"/>
      <c r="I63" s="1752"/>
      <c r="J63" s="1752"/>
      <c r="K63" s="1752"/>
      <c r="L63" s="1752"/>
      <c r="M63" s="1752"/>
      <c r="N63" s="1752"/>
      <c r="O63" s="1752"/>
      <c r="P63" s="1752"/>
      <c r="Q63" s="1752"/>
      <c r="R63" s="1752"/>
      <c r="S63" s="1752"/>
      <c r="T63" s="1752"/>
      <c r="U63" s="1752"/>
      <c r="V63" s="1753"/>
      <c r="W63" s="16"/>
      <c r="X63" s="17"/>
      <c r="Y63" s="18"/>
    </row>
    <row r="64" ht="16.5" customHeight="1">
      <c r="A64" s="12"/>
      <c r="B64" t="s" s="1767">
        <v>457</v>
      </c>
      <c r="C64" s="1747"/>
      <c r="D64" s="1757"/>
      <c r="E64" s="1749"/>
      <c r="F64" s="1751"/>
      <c r="G64" s="1751"/>
      <c r="H64" s="1751"/>
      <c r="I64" s="1751"/>
      <c r="J64" s="1751"/>
      <c r="K64" s="1751"/>
      <c r="L64" s="1751"/>
      <c r="M64" s="1751"/>
      <c r="N64" s="1751"/>
      <c r="O64" s="1751"/>
      <c r="P64" s="1751"/>
      <c r="Q64" s="1751"/>
      <c r="R64" s="1751"/>
      <c r="S64" s="1751"/>
      <c r="T64" s="1751"/>
      <c r="U64" s="1751"/>
      <c r="V64" s="1756"/>
      <c r="W64" s="16"/>
      <c r="X64" s="17"/>
      <c r="Y64" s="18"/>
    </row>
    <row r="65" ht="16" customHeight="1">
      <c r="A65" s="12"/>
      <c r="B65" s="1746"/>
      <c r="C65" s="1747"/>
      <c r="D65" t="s" s="1748">
        <v>458</v>
      </c>
      <c r="E65" s="1749"/>
      <c r="F65" s="1751" cm="1">
        <f t="array" ref="F65">'BS 6M 2025'!D7/1000</f>
        <v>5272789.90746</v>
      </c>
      <c r="G65" s="1751"/>
      <c r="H65" s="1751"/>
      <c r="I65" s="1751"/>
      <c r="J65" s="1751">
        <v>-3665949.90746</v>
      </c>
      <c r="K65" s="1751"/>
      <c r="L65" s="1751"/>
      <c r="M65" s="1751"/>
      <c r="N65" s="1751"/>
      <c r="O65" s="1751"/>
      <c r="P65" s="1751"/>
      <c r="Q65" s="1751"/>
      <c r="R65" s="1751"/>
      <c r="S65" s="1751"/>
      <c r="T65" s="1751"/>
      <c r="U65" s="1751" cm="1">
        <f t="array" ref="U65">SUM(F65:T65)</f>
        <v>1606840</v>
      </c>
      <c r="V65" s="1756"/>
      <c r="W65" s="16"/>
      <c r="X65" s="17"/>
      <c r="Y65" s="18"/>
    </row>
    <row r="66" ht="16" customHeight="1">
      <c r="A66" s="12"/>
      <c r="B66" s="1746"/>
      <c r="C66" s="1747"/>
      <c r="D66" t="s" s="1748">
        <v>459</v>
      </c>
      <c r="E66" s="1749"/>
      <c r="F66" s="1751" cm="1">
        <f t="array" ref="F66">SUM(F13:F59)</f>
        <v>3085031.21844</v>
      </c>
      <c r="G66" s="1751" cm="1">
        <f t="array" ref="G66">SUM(G13:G59)</f>
        <v>0</v>
      </c>
      <c r="H66" s="1751" cm="1">
        <f t="array" ref="H66">SUM(H13:H59)</f>
        <v>0</v>
      </c>
      <c r="I66" s="1751" cm="1">
        <f t="array" ref="I66">SUM(I13:I59)</f>
        <v>0</v>
      </c>
      <c r="J66" s="1751" cm="1">
        <f t="array" ref="J66">SUM(J13:J59)</f>
        <v>0</v>
      </c>
      <c r="K66" s="1751" cm="1">
        <f t="array" ref="K66">SUM(K13:K59)</f>
        <v>0</v>
      </c>
      <c r="L66" s="1751" cm="1">
        <f t="array" ref="L66">SUM(L13:L59)</f>
        <v>0</v>
      </c>
      <c r="M66" s="1751" cm="1">
        <f t="array" ref="M66">SUM(M13:M59)</f>
        <v>0</v>
      </c>
      <c r="N66" s="1751" cm="1">
        <f t="array" ref="N66">SUM(N13:N59)</f>
        <v>0</v>
      </c>
      <c r="O66" s="1751" cm="1">
        <f t="array" ref="O66">SUM(O13:O62)</f>
        <v>0</v>
      </c>
      <c r="P66" s="1751" cm="1">
        <f t="array" ref="P66">SUM(P13:P62)</f>
        <v>0</v>
      </c>
      <c r="Q66" s="1751" cm="1">
        <f t="array" ref="Q66">SUM(Q13:Q62)</f>
        <v>935815.77356</v>
      </c>
      <c r="R66" s="1751" cm="1">
        <f t="array" ref="R66">SUM(R13:R62)</f>
        <v>0</v>
      </c>
      <c r="S66" s="1751" cm="1">
        <f t="array" ref="S66">SUM(S13:S62)</f>
        <v>0</v>
      </c>
      <c r="T66" s="1751" cm="1">
        <f t="array" ref="T66">SUM(T13:T62)</f>
        <v>0</v>
      </c>
      <c r="U66" s="1751" cm="1">
        <f t="array" ref="U66">SUM(U13:U63)</f>
        <v>4020846.992</v>
      </c>
      <c r="V66" s="1756"/>
      <c r="W66" s="16"/>
      <c r="X66" s="17"/>
      <c r="Y66" s="18"/>
    </row>
    <row r="67" ht="16" customHeight="1">
      <c r="A67" s="12"/>
      <c r="B67" s="1746"/>
      <c r="C67" s="1747"/>
      <c r="D67" t="s" s="1748">
        <v>460</v>
      </c>
      <c r="E67" s="1749"/>
      <c r="F67" s="1751" cm="1">
        <f t="array" ref="F67">'BS 6M 2025'!C7/1000</f>
        <v>8357821.1259</v>
      </c>
      <c r="G67" s="1751"/>
      <c r="H67" s="1751"/>
      <c r="I67" s="1751"/>
      <c r="J67" s="1751" cm="1">
        <f t="array" ref="J67">J65</f>
        <v>-3665949.90746</v>
      </c>
      <c r="K67" s="1751"/>
      <c r="L67" s="1751" cm="1">
        <f t="array" ref="L67">L18</f>
        <v>0</v>
      </c>
      <c r="M67" s="1751" cm="1">
        <f t="array" ref="M67">M46</f>
        <v>0</v>
      </c>
      <c r="N67" s="1751"/>
      <c r="O67" s="1751"/>
      <c r="P67" s="1751"/>
      <c r="Q67" s="1751">
        <v>935815.77356</v>
      </c>
      <c r="R67" s="1751"/>
      <c r="S67" s="1751"/>
      <c r="T67" s="1751"/>
      <c r="U67" s="1751" cm="1">
        <f t="array" ref="U67">SUM(F67:T67)</f>
        <v>5627686.992</v>
      </c>
      <c r="V67" s="1756"/>
      <c r="W67" s="16"/>
      <c r="X67" s="17"/>
      <c r="Y67" s="18"/>
    </row>
    <row r="68" ht="14.5" customHeight="1">
      <c r="A68" s="12"/>
      <c r="B68" s="1776"/>
      <c r="C68" s="1777"/>
      <c r="D68" t="s" s="1778">
        <v>2235</v>
      </c>
      <c r="E68" s="1749"/>
      <c r="F68" s="1779" cm="1">
        <f t="array" ref="F68">SUM(F65:F66)-F67</f>
        <v>0</v>
      </c>
      <c r="G68" s="1779" cm="1">
        <f t="array" ref="G68">SUM(G65:G66)-G67</f>
        <v>0</v>
      </c>
      <c r="H68" s="1779" cm="1">
        <f t="array" ref="H68">SUM(H65:H66)-H67</f>
        <v>0</v>
      </c>
      <c r="I68" s="1779" cm="1">
        <f t="array" ref="I68">SUM(I65:I66)-I67</f>
        <v>0</v>
      </c>
      <c r="J68" s="1779" cm="1">
        <f t="array" ref="J68">SUM(J65:J66)-J67</f>
        <v>0</v>
      </c>
      <c r="K68" s="1779" cm="1">
        <f t="array" ref="K68">SUM(K65:K66)-K67</f>
        <v>0</v>
      </c>
      <c r="L68" s="1779" cm="1">
        <f t="array" ref="L68">SUM(L65:L66)-L67</f>
        <v>0</v>
      </c>
      <c r="M68" s="1779" cm="1">
        <f t="array" ref="M68">SUM(M65:M66)-M67</f>
        <v>0</v>
      </c>
      <c r="N68" s="1779" cm="1">
        <f t="array" ref="N68">SUM(N65:N66)-N67</f>
        <v>0</v>
      </c>
      <c r="O68" s="1779" cm="1">
        <f t="array" ref="O68">SUM(O65:O66)-O67</f>
        <v>0</v>
      </c>
      <c r="P68" s="1779" cm="1">
        <f t="array" ref="P68">SUM(P65:P66)-P67</f>
        <v>0</v>
      </c>
      <c r="Q68" s="1779" cm="1">
        <f t="array" ref="Q68">SUM(Q65:Q66)-Q67</f>
        <v>0</v>
      </c>
      <c r="R68" s="1779" cm="1">
        <f t="array" ref="R68">SUM(R65:R66)-R67</f>
        <v>0</v>
      </c>
      <c r="S68" s="1779" cm="1">
        <f t="array" ref="S68">SUM(S65:S66)-S67</f>
        <v>0</v>
      </c>
      <c r="T68" s="1779" cm="1">
        <f t="array" ref="T68">SUM(T65:T66)-T67</f>
        <v>0</v>
      </c>
      <c r="U68" s="1779" cm="1">
        <f t="array" ref="U68">SUM(U65:U66)-U67</f>
        <v>0</v>
      </c>
      <c r="V68" s="1756"/>
      <c r="W68" s="16"/>
      <c r="X68" s="17"/>
      <c r="Y68" s="1780"/>
    </row>
    <row r="69" ht="15.5" customHeight="1">
      <c r="A69" s="12"/>
      <c r="B69" s="1746"/>
      <c r="C69" s="1747"/>
      <c r="D69" s="1757"/>
      <c r="E69" s="1749"/>
      <c r="F69" s="1752"/>
      <c r="G69" s="1752"/>
      <c r="H69" s="1752"/>
      <c r="I69" s="1752"/>
      <c r="J69" s="1752"/>
      <c r="K69" s="1752"/>
      <c r="L69" s="1752"/>
      <c r="M69" s="1752"/>
      <c r="N69" s="1752"/>
      <c r="O69" s="1752"/>
      <c r="P69" s="1752"/>
      <c r="Q69" s="1752"/>
      <c r="R69" s="1752"/>
      <c r="S69" s="1752"/>
      <c r="T69" s="1752"/>
      <c r="U69" s="1752"/>
      <c r="V69" s="1753"/>
      <c r="W69" s="16"/>
      <c r="X69" s="17"/>
      <c r="Y69" s="18"/>
    </row>
    <row r="70" ht="15.5" customHeight="1">
      <c r="A70" s="12"/>
      <c r="B70" s="1781"/>
      <c r="C70" s="1782"/>
      <c r="D70" s="1783"/>
      <c r="E70" s="1784"/>
      <c r="F70" s="1785"/>
      <c r="G70" s="1785"/>
      <c r="H70" s="1785"/>
      <c r="I70" s="1785"/>
      <c r="J70" s="1785"/>
      <c r="K70" s="1785"/>
      <c r="L70" s="1785"/>
      <c r="M70" s="1785"/>
      <c r="N70" s="1785"/>
      <c r="O70" s="1785"/>
      <c r="P70" s="1785"/>
      <c r="Q70" s="1785"/>
      <c r="R70" s="1785"/>
      <c r="S70" s="1785"/>
      <c r="T70" s="1785"/>
      <c r="U70" s="1785"/>
      <c r="V70" s="1786"/>
      <c r="W70" s="16"/>
      <c r="X70" s="17"/>
      <c r="Y70" s="18"/>
    </row>
    <row r="71" ht="15.5" customHeight="1">
      <c r="A71" s="32"/>
      <c r="B71" s="124"/>
      <c r="C71" s="124"/>
      <c r="D71" s="124"/>
      <c r="E71" s="124"/>
      <c r="F71" s="124"/>
      <c r="G71" s="124"/>
      <c r="H71" s="124"/>
      <c r="I71" s="124"/>
      <c r="J71" s="124"/>
      <c r="K71" s="124"/>
      <c r="L71" s="124"/>
      <c r="M71" s="124"/>
      <c r="N71" s="124"/>
      <c r="O71" s="124"/>
      <c r="P71" s="124"/>
      <c r="Q71" s="124"/>
      <c r="R71" s="124"/>
      <c r="S71" s="124"/>
      <c r="T71" s="124"/>
      <c r="U71" s="124"/>
      <c r="V71" s="124"/>
      <c r="W71" s="17"/>
      <c r="X71" s="17"/>
      <c r="Y71" s="18"/>
    </row>
    <row r="72" ht="13.55" customHeight="1">
      <c r="A72" s="32"/>
      <c r="B72" s="17"/>
      <c r="C72" s="17"/>
      <c r="D72" s="17"/>
      <c r="E72" s="17"/>
      <c r="F72" s="17"/>
      <c r="G72" s="17"/>
      <c r="H72" s="17"/>
      <c r="I72" s="17"/>
      <c r="J72" s="17"/>
      <c r="K72" s="17"/>
      <c r="L72" s="17"/>
      <c r="M72" s="17"/>
      <c r="N72" s="17"/>
      <c r="O72" s="17"/>
      <c r="P72" s="17"/>
      <c r="Q72" s="17"/>
      <c r="R72" s="17"/>
      <c r="S72" s="17"/>
      <c r="T72" s="17"/>
      <c r="U72" s="17"/>
      <c r="V72" s="17"/>
      <c r="W72" s="17"/>
      <c r="X72" s="17"/>
      <c r="Y72" s="18"/>
    </row>
    <row r="73" ht="16" customHeight="1">
      <c r="A73" s="192"/>
      <c r="B73" s="193"/>
      <c r="C73" s="193"/>
      <c r="D73" s="193"/>
      <c r="E73" s="193"/>
      <c r="F73" s="393"/>
      <c r="G73" s="193"/>
      <c r="H73" s="193"/>
      <c r="I73" s="193"/>
      <c r="J73" s="193"/>
      <c r="K73" s="193"/>
      <c r="L73" s="193"/>
      <c r="M73" s="193"/>
      <c r="N73" s="193"/>
      <c r="O73" s="193"/>
      <c r="P73" s="193"/>
      <c r="Q73" s="193"/>
      <c r="R73" s="193"/>
      <c r="S73" s="193"/>
      <c r="T73" s="193"/>
      <c r="U73" s="193"/>
      <c r="V73" s="193"/>
      <c r="W73" s="193"/>
      <c r="X73" s="193"/>
      <c r="Y73" s="19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dimension ref="A1:V83"/>
  <sheetViews>
    <sheetView workbookViewId="0" showGridLines="0" defaultGridColor="1"/>
  </sheetViews>
  <sheetFormatPr defaultColWidth="8.83333" defaultRowHeight="15" customHeight="1" outlineLevelRow="0" outlineLevelCol="0"/>
  <cols>
    <col min="1" max="1" width="2" style="1787" customWidth="1"/>
    <col min="2" max="2" width="22" style="1787" customWidth="1"/>
    <col min="3" max="3" width="1.5" style="1787" customWidth="1"/>
    <col min="4" max="4" width="17.8516" style="1787" customWidth="1"/>
    <col min="5" max="5" width="1.85156" style="1787" customWidth="1"/>
    <col min="6" max="20" width="15.1719" style="1787" customWidth="1"/>
    <col min="21" max="21" width="17.1719" style="1787" customWidth="1"/>
    <col min="22" max="22" width="1.85156" style="1787" customWidth="1"/>
    <col min="23" max="16384" width="8.85156" style="1787" customWidth="1"/>
  </cols>
  <sheetData>
    <row r="1" ht="11.4" customHeight="1">
      <c r="A1" s="7"/>
      <c r="B1" s="8"/>
      <c r="C1" s="8"/>
      <c r="D1" s="8"/>
      <c r="E1" s="8"/>
      <c r="F1" s="8"/>
      <c r="G1" s="8"/>
      <c r="H1" s="8"/>
      <c r="I1" s="8"/>
      <c r="J1" s="8"/>
      <c r="K1" s="8"/>
      <c r="L1" s="8"/>
      <c r="M1" s="8"/>
      <c r="N1" s="8"/>
      <c r="O1" s="8"/>
      <c r="P1" s="8"/>
      <c r="Q1" s="8"/>
      <c r="R1" s="8"/>
      <c r="S1" s="8"/>
      <c r="T1" s="8"/>
      <c r="U1" s="8"/>
      <c r="V1" s="246"/>
    </row>
    <row r="2" ht="15.5" customHeight="1">
      <c r="A2" s="12"/>
      <c r="B2" s="1718"/>
      <c r="C2" s="1719"/>
      <c r="D2" s="1719"/>
      <c r="E2" s="1720"/>
      <c r="F2" t="s" s="1721">
        <v>2158</v>
      </c>
      <c r="G2" t="s" s="1721">
        <v>2159</v>
      </c>
      <c r="H2" t="s" s="1721">
        <v>2160</v>
      </c>
      <c r="I2" t="s" s="1721">
        <v>2161</v>
      </c>
      <c r="J2" t="s" s="1721">
        <v>2162</v>
      </c>
      <c r="K2" t="s" s="1721">
        <v>2163</v>
      </c>
      <c r="L2" t="s" s="1721">
        <v>2164</v>
      </c>
      <c r="M2" t="s" s="1721">
        <v>2165</v>
      </c>
      <c r="N2" t="s" s="1721">
        <v>2166</v>
      </c>
      <c r="O2" t="s" s="1721">
        <v>2167</v>
      </c>
      <c r="P2" t="s" s="1721">
        <v>2168</v>
      </c>
      <c r="Q2" t="s" s="1721">
        <v>2169</v>
      </c>
      <c r="R2" t="s" s="1721">
        <v>2170</v>
      </c>
      <c r="S2" t="s" s="1721">
        <v>2171</v>
      </c>
      <c r="T2" t="s" s="1721">
        <v>2172</v>
      </c>
      <c r="U2" t="s" s="1722">
        <v>2173</v>
      </c>
      <c r="V2" s="1723"/>
    </row>
    <row r="3" ht="16" customHeight="1">
      <c r="A3" s="12"/>
      <c r="B3" t="s" s="1724">
        <v>390</v>
      </c>
      <c r="C3" s="1725"/>
      <c r="D3" s="1726"/>
      <c r="E3" s="1727"/>
      <c r="F3" t="s" s="1728">
        <v>2174</v>
      </c>
      <c r="G3" t="s" s="1728">
        <v>2175</v>
      </c>
      <c r="H3" t="s" s="1728">
        <v>682</v>
      </c>
      <c r="I3" t="s" s="1728">
        <v>2237</v>
      </c>
      <c r="J3" t="s" s="1728">
        <v>2178</v>
      </c>
      <c r="K3" t="s" s="1728">
        <v>1206</v>
      </c>
      <c r="L3" t="s" s="1728">
        <v>2179</v>
      </c>
      <c r="M3" t="s" s="1728">
        <v>2238</v>
      </c>
      <c r="N3" t="s" s="1728">
        <v>2239</v>
      </c>
      <c r="O3" t="s" s="1728">
        <v>2180</v>
      </c>
      <c r="P3" t="s" s="1728">
        <v>2180</v>
      </c>
      <c r="Q3" t="s" s="1728">
        <v>2181</v>
      </c>
      <c r="R3" t="s" s="1728">
        <v>2240</v>
      </c>
      <c r="S3" t="s" s="1728">
        <v>2183</v>
      </c>
      <c r="T3" t="s" s="1728">
        <v>2185</v>
      </c>
      <c r="U3" t="s" s="1729">
        <v>2186</v>
      </c>
      <c r="V3" s="1730"/>
    </row>
    <row r="4" ht="16" customHeight="1">
      <c r="A4" s="12"/>
      <c r="B4" t="s" s="1731">
        <v>391</v>
      </c>
      <c r="C4" s="1732"/>
      <c r="D4" s="1733"/>
      <c r="E4" s="1734"/>
      <c r="F4" s="1735"/>
      <c r="G4" s="1735"/>
      <c r="H4" s="1735"/>
      <c r="I4" s="1735"/>
      <c r="J4" s="1735"/>
      <c r="K4" s="1735"/>
      <c r="L4" s="1735"/>
      <c r="M4" s="1735"/>
      <c r="N4" s="1735"/>
      <c r="O4" s="1735"/>
      <c r="P4" s="1735"/>
      <c r="Q4" s="1735"/>
      <c r="R4" s="1735"/>
      <c r="S4" s="1735"/>
      <c r="T4" s="1735"/>
      <c r="U4" s="1736"/>
      <c r="V4" s="1737"/>
    </row>
    <row r="5" ht="16" customHeight="1">
      <c r="A5" s="12"/>
      <c r="B5" t="s" s="1738">
        <v>392</v>
      </c>
      <c r="C5" s="1739"/>
      <c r="D5" s="1740"/>
      <c r="E5" s="1741"/>
      <c r="F5" s="1742"/>
      <c r="G5" s="1742"/>
      <c r="H5" s="1742"/>
      <c r="I5" s="1742"/>
      <c r="J5" s="1743"/>
      <c r="K5" s="1742"/>
      <c r="L5" s="1742"/>
      <c r="M5" s="1742"/>
      <c r="N5" s="1742"/>
      <c r="O5" s="1742"/>
      <c r="P5" s="1742"/>
      <c r="Q5" s="1742"/>
      <c r="R5" s="1742"/>
      <c r="S5" s="1742"/>
      <c r="T5" s="1742"/>
      <c r="U5" s="1744"/>
      <c r="V5" s="1745"/>
    </row>
    <row r="6" ht="16" customHeight="1">
      <c r="A6" s="12"/>
      <c r="B6" s="1746"/>
      <c r="C6" s="1747"/>
      <c r="D6" t="s" s="1748">
        <v>2187</v>
      </c>
      <c r="E6" s="1749"/>
      <c r="F6" s="1750" cm="1">
        <f t="array" ref="F6">'PnL 2024'!P9/1000</f>
        <v>69084623.03133</v>
      </c>
      <c r="G6" s="1751">
        <v>0</v>
      </c>
      <c r="H6" s="1751">
        <v>0</v>
      </c>
      <c r="I6" s="1751">
        <v>0</v>
      </c>
      <c r="J6" s="1751">
        <v>0</v>
      </c>
      <c r="K6" s="1751">
        <v>0</v>
      </c>
      <c r="L6" s="1751">
        <v>0</v>
      </c>
      <c r="M6" s="1751">
        <v>0</v>
      </c>
      <c r="N6" s="1751">
        <v>0</v>
      </c>
      <c r="O6" s="1751">
        <v>0</v>
      </c>
      <c r="P6" s="1751">
        <v>0</v>
      </c>
      <c r="Q6" s="1751">
        <v>0</v>
      </c>
      <c r="R6" s="1751">
        <v>0</v>
      </c>
      <c r="S6" s="1751">
        <v>0</v>
      </c>
      <c r="T6" s="1751">
        <v>0</v>
      </c>
      <c r="U6" s="1752" cm="1">
        <f t="array" ref="U6">SUM(F6:T6)</f>
        <v>69084623.03133</v>
      </c>
      <c r="V6" s="1753"/>
    </row>
    <row r="7" ht="16" customHeight="1">
      <c r="A7" s="12"/>
      <c r="B7" t="s" s="1738">
        <v>2188</v>
      </c>
      <c r="C7" s="1747"/>
      <c r="D7" s="1754"/>
      <c r="E7" s="1749"/>
      <c r="F7" s="1752"/>
      <c r="G7" s="1752"/>
      <c r="H7" s="1752"/>
      <c r="I7" s="1752"/>
      <c r="J7" s="1752"/>
      <c r="K7" s="1752"/>
      <c r="L7" s="1752"/>
      <c r="M7" s="1752"/>
      <c r="N7" s="1752"/>
      <c r="O7" s="1752"/>
      <c r="P7" s="1752"/>
      <c r="Q7" s="1752"/>
      <c r="R7" s="1752"/>
      <c r="S7" s="1752"/>
      <c r="T7" s="1752"/>
      <c r="U7" s="1752"/>
      <c r="V7" s="1753"/>
    </row>
    <row r="8" ht="16" customHeight="1">
      <c r="A8" s="12"/>
      <c r="B8" s="1755"/>
      <c r="C8" s="1747"/>
      <c r="D8" t="s" s="1748">
        <v>2189</v>
      </c>
      <c r="E8" s="1749"/>
      <c r="F8" s="1751" cm="1">
        <f t="array" ref="F8">-'PnL 2024'!P28/1000</f>
        <v>-43440307.41804</v>
      </c>
      <c r="G8" s="1751">
        <v>0</v>
      </c>
      <c r="H8" s="1751">
        <v>0</v>
      </c>
      <c r="I8" s="1751">
        <v>0</v>
      </c>
      <c r="J8" s="1751">
        <v>0</v>
      </c>
      <c r="K8" s="1751">
        <v>0</v>
      </c>
      <c r="L8" s="1751">
        <v>0</v>
      </c>
      <c r="M8" s="1751">
        <v>0</v>
      </c>
      <c r="N8" s="1751">
        <v>0</v>
      </c>
      <c r="O8" s="1751">
        <v>0</v>
      </c>
      <c r="P8" s="1751">
        <v>0</v>
      </c>
      <c r="Q8" s="1751">
        <v>0</v>
      </c>
      <c r="R8" s="1751">
        <v>0</v>
      </c>
      <c r="S8" s="1751">
        <v>0</v>
      </c>
      <c r="T8" s="1751">
        <v>0</v>
      </c>
      <c r="U8" s="1751" cm="1">
        <f t="array" ref="U8">SUM(F8:T8)</f>
        <v>-43440307.41804</v>
      </c>
      <c r="V8" s="1756"/>
    </row>
    <row r="9" ht="16" customHeight="1">
      <c r="A9" s="12"/>
      <c r="B9" s="1746"/>
      <c r="C9" s="1747"/>
      <c r="D9" t="s" s="1748">
        <v>2190</v>
      </c>
      <c r="E9" s="1749"/>
      <c r="F9" s="1751" cm="1">
        <f t="array" ref="F9">('PnL 2024'!P92-'PnL 2024'!P100)/1000</f>
        <v>-14114447.65831</v>
      </c>
      <c r="G9" s="1751">
        <v>0</v>
      </c>
      <c r="H9" s="1751">
        <v>0</v>
      </c>
      <c r="I9" s="1751">
        <v>0</v>
      </c>
      <c r="J9" s="1751">
        <v>0</v>
      </c>
      <c r="K9" s="1751">
        <v>0</v>
      </c>
      <c r="L9" s="1751">
        <v>0</v>
      </c>
      <c r="M9" s="1751">
        <v>0</v>
      </c>
      <c r="N9" s="1751">
        <v>0</v>
      </c>
      <c r="O9" s="1751">
        <v>0</v>
      </c>
      <c r="P9" s="1751">
        <v>0</v>
      </c>
      <c r="Q9" s="1751">
        <v>0</v>
      </c>
      <c r="R9" s="1751">
        <v>0</v>
      </c>
      <c r="S9" s="1751">
        <v>0</v>
      </c>
      <c r="T9" s="1751">
        <v>0</v>
      </c>
      <c r="U9" s="1751" cm="1">
        <f t="array" ref="U9">SUM(F9:T9)</f>
        <v>-14114447.65831</v>
      </c>
      <c r="V9" s="1756"/>
    </row>
    <row r="10" ht="16" customHeight="1">
      <c r="A10" s="12"/>
      <c r="B10" s="1746"/>
      <c r="C10" s="1747"/>
      <c r="D10" t="s" s="1748">
        <v>2191</v>
      </c>
      <c r="E10" s="1749"/>
      <c r="F10" s="1751">
        <v>0</v>
      </c>
      <c r="G10" s="1751">
        <v>0</v>
      </c>
      <c r="H10" s="1751">
        <v>0</v>
      </c>
      <c r="I10" s="1751">
        <v>0</v>
      </c>
      <c r="J10" s="1751">
        <v>0</v>
      </c>
      <c r="K10" s="1751">
        <v>0</v>
      </c>
      <c r="L10" s="1751">
        <v>0</v>
      </c>
      <c r="M10" s="1751">
        <v>0</v>
      </c>
      <c r="N10" s="1751">
        <v>0</v>
      </c>
      <c r="O10" s="1751">
        <v>0</v>
      </c>
      <c r="P10" s="1751">
        <v>837666.7851</v>
      </c>
      <c r="Q10" s="1751">
        <v>0</v>
      </c>
      <c r="R10" s="1751">
        <v>0</v>
      </c>
      <c r="S10" s="1751">
        <v>0</v>
      </c>
      <c r="T10" s="1751">
        <v>0</v>
      </c>
      <c r="U10" s="1751" cm="1">
        <f t="array" ref="U10">SUM(F10:T10)</f>
        <v>837666.7851</v>
      </c>
      <c r="V10" s="1756"/>
    </row>
    <row r="11" ht="16" customHeight="1">
      <c r="A11" s="12"/>
      <c r="B11" s="1746"/>
      <c r="C11" s="1747"/>
      <c r="D11" t="s" s="1748">
        <v>2192</v>
      </c>
      <c r="E11" s="1749"/>
      <c r="F11" s="1751" cm="1">
        <f t="array" ref="F11">-'PnL 2024'!P163/1000</f>
        <v>-325901.65296</v>
      </c>
      <c r="G11" s="1751">
        <v>0</v>
      </c>
      <c r="H11" s="1751" cm="1">
        <f t="array" ref="H11">-F11</f>
        <v>325901.65296</v>
      </c>
      <c r="I11" s="1751">
        <v>0</v>
      </c>
      <c r="J11" s="1751">
        <v>0</v>
      </c>
      <c r="K11" s="1751">
        <v>0</v>
      </c>
      <c r="L11" s="1751">
        <v>0</v>
      </c>
      <c r="M11" s="1751">
        <v>0</v>
      </c>
      <c r="N11" s="1751">
        <v>0</v>
      </c>
      <c r="O11" s="1751">
        <v>0</v>
      </c>
      <c r="P11" s="1751">
        <v>0</v>
      </c>
      <c r="Q11" s="1751">
        <v>0</v>
      </c>
      <c r="R11" s="1751">
        <v>0</v>
      </c>
      <c r="S11" s="1751">
        <v>0</v>
      </c>
      <c r="T11" s="1751">
        <v>0</v>
      </c>
      <c r="U11" s="1751" cm="1">
        <f t="array" ref="U11">SUM(F11:T11)</f>
        <v>0</v>
      </c>
      <c r="V11" s="1756"/>
    </row>
    <row r="12" ht="16" customHeight="1">
      <c r="A12" s="12"/>
      <c r="B12" s="1746"/>
      <c r="C12" s="1747"/>
      <c r="D12" s="1757"/>
      <c r="E12" s="1749"/>
      <c r="F12" s="1758"/>
      <c r="G12" s="1758"/>
      <c r="H12" s="1758"/>
      <c r="I12" s="1758"/>
      <c r="J12" s="1758"/>
      <c r="K12" s="1758"/>
      <c r="L12" s="1758"/>
      <c r="M12" s="1758"/>
      <c r="N12" s="1758"/>
      <c r="O12" s="1758"/>
      <c r="P12" s="1758"/>
      <c r="Q12" s="1758"/>
      <c r="R12" s="1758"/>
      <c r="S12" s="1758"/>
      <c r="T12" s="1758"/>
      <c r="U12" t="s" s="1759">
        <v>2193</v>
      </c>
      <c r="V12" s="1756"/>
    </row>
    <row r="13" ht="16" customHeight="1">
      <c r="A13" s="12"/>
      <c r="B13" s="1746"/>
      <c r="C13" s="1747"/>
      <c r="D13" t="s" s="1748">
        <v>386</v>
      </c>
      <c r="E13" s="1749"/>
      <c r="F13" s="1760" cm="1">
        <f t="array" ref="F13">SUM(F6:F12)</f>
        <v>11203966.30202</v>
      </c>
      <c r="G13" s="1760" cm="1">
        <f t="array" ref="G13">SUM(G6:G12)</f>
        <v>0</v>
      </c>
      <c r="H13" s="1760" cm="1">
        <f t="array" ref="H13">SUM(H6:H12)</f>
        <v>325901.65296</v>
      </c>
      <c r="I13" s="1760" cm="1">
        <f t="array" ref="I13">SUM(I6:I12)</f>
        <v>0</v>
      </c>
      <c r="J13" s="1760" cm="1">
        <f t="array" ref="J13">SUM(J6:J12)</f>
        <v>0</v>
      </c>
      <c r="K13" s="1760" cm="1">
        <f t="array" ref="K13">SUM(K6:K12)</f>
        <v>0</v>
      </c>
      <c r="L13" s="1760" cm="1">
        <f t="array" ref="L13">SUM(L6:L12)</f>
        <v>0</v>
      </c>
      <c r="M13" s="1760" cm="1">
        <f t="array" ref="M13">SUM(M6:M12)</f>
        <v>0</v>
      </c>
      <c r="N13" s="1760" cm="1">
        <f t="array" ref="N13">SUM(N6:N12)</f>
        <v>0</v>
      </c>
      <c r="O13" s="1760" cm="1">
        <f t="array" ref="O13">SUM(O6:O12)</f>
        <v>0</v>
      </c>
      <c r="P13" s="1760" cm="1">
        <f t="array" ref="P13">SUM(P6:P12)</f>
        <v>837666.7851</v>
      </c>
      <c r="Q13" s="1760" cm="1">
        <f t="array" ref="Q13">SUM(Q6:Q12)</f>
        <v>0</v>
      </c>
      <c r="R13" s="1760" cm="1">
        <f t="array" ref="R13">SUM(R6:R12)</f>
        <v>0</v>
      </c>
      <c r="S13" s="1760" cm="1">
        <f t="array" ref="S13">SUM(S6:S12)</f>
        <v>0</v>
      </c>
      <c r="T13" s="1760" cm="1">
        <f t="array" ref="T13">SUM(T6:T12)</f>
        <v>0</v>
      </c>
      <c r="U13" s="1760" cm="1">
        <f t="array" ref="U13">SUM(F13:T13)</f>
        <v>12367534.74008</v>
      </c>
      <c r="V13" s="1756"/>
    </row>
    <row r="14" ht="15.5" customHeight="1">
      <c r="A14" s="12"/>
      <c r="B14" s="1761"/>
      <c r="C14" s="1762"/>
      <c r="D14" s="1763"/>
      <c r="E14" s="1764"/>
      <c r="F14" s="1765"/>
      <c r="G14" s="1765"/>
      <c r="H14" s="1765"/>
      <c r="I14" s="1765"/>
      <c r="J14" s="1765"/>
      <c r="K14" s="1765"/>
      <c r="L14" s="1765"/>
      <c r="M14" s="1765"/>
      <c r="N14" s="1765"/>
      <c r="O14" s="1765"/>
      <c r="P14" s="1765"/>
      <c r="Q14" s="1765"/>
      <c r="R14" s="1765"/>
      <c r="S14" s="1765"/>
      <c r="T14" s="1765"/>
      <c r="U14" s="1765"/>
      <c r="V14" s="1766"/>
    </row>
    <row r="15" ht="16.5" customHeight="1">
      <c r="A15" s="12"/>
      <c r="B15" t="s" s="1767">
        <v>403</v>
      </c>
      <c r="C15" s="1768"/>
      <c r="D15" s="1769"/>
      <c r="E15" s="1770"/>
      <c r="F15" s="1771"/>
      <c r="G15" s="1771"/>
      <c r="H15" s="1771"/>
      <c r="I15" s="1771"/>
      <c r="J15" s="1771"/>
      <c r="K15" s="1771"/>
      <c r="L15" s="1771"/>
      <c r="M15" s="1771"/>
      <c r="N15" s="1771"/>
      <c r="O15" s="1771"/>
      <c r="P15" s="1771"/>
      <c r="Q15" s="1771"/>
      <c r="R15" s="1771"/>
      <c r="S15" s="1771"/>
      <c r="T15" s="1771"/>
      <c r="U15" s="1771"/>
      <c r="V15" s="1772"/>
    </row>
    <row r="16" ht="16" customHeight="1">
      <c r="A16" s="12"/>
      <c r="B16" t="s" s="1738">
        <v>2194</v>
      </c>
      <c r="C16" s="1747"/>
      <c r="D16" s="1773"/>
      <c r="E16" s="1749"/>
      <c r="F16" s="1752"/>
      <c r="G16" s="1752"/>
      <c r="H16" s="1752"/>
      <c r="I16" s="1752"/>
      <c r="J16" s="1752"/>
      <c r="K16" s="1752"/>
      <c r="L16" s="1752"/>
      <c r="M16" s="1752"/>
      <c r="N16" s="1752"/>
      <c r="O16" s="1752"/>
      <c r="P16" s="1752"/>
      <c r="Q16" s="1752"/>
      <c r="R16" s="1752"/>
      <c r="S16" s="1752"/>
      <c r="T16" s="1752"/>
      <c r="U16" s="1752"/>
      <c r="V16" s="1753"/>
    </row>
    <row r="17" ht="16" customHeight="1">
      <c r="A17" s="12"/>
      <c r="B17" s="1746"/>
      <c r="C17" s="1747"/>
      <c r="D17" t="s" s="1748">
        <v>2196</v>
      </c>
      <c r="E17" s="1749"/>
      <c r="F17" s="1751" cm="1">
        <f t="array" ref="F17">-'BS 2024'!F88/1000</f>
        <v>-36693932.54569</v>
      </c>
      <c r="G17" s="1751" cm="1">
        <f t="array" ref="G17">-'BS 2024'!I274/1000</f>
        <v>22392963.1637</v>
      </c>
      <c r="H17" s="1751">
        <v>0</v>
      </c>
      <c r="I17" s="1751">
        <v>0</v>
      </c>
      <c r="J17" s="1751" cm="1">
        <f t="array" ref="J17">-SUM(J55:J73)</f>
        <v>2015314.7</v>
      </c>
      <c r="K17" s="1751">
        <v>0</v>
      </c>
      <c r="L17" s="1751">
        <v>0</v>
      </c>
      <c r="M17" s="1751">
        <v>0</v>
      </c>
      <c r="N17" s="1751">
        <v>0</v>
      </c>
      <c r="O17" s="1751">
        <v>0</v>
      </c>
      <c r="P17" s="1751">
        <v>0</v>
      </c>
      <c r="Q17" s="1751" cm="1">
        <f t="array" ref="Q17">-Q51</f>
        <v>7125549.08392</v>
      </c>
      <c r="R17" s="1751" cm="1">
        <f t="array" ref="R17">1055035+124203+12528+14460+8700+4200</f>
        <v>1219126</v>
      </c>
      <c r="S17" s="1751" cm="1">
        <f t="array" ref="S17">1500000-SUM('BS 2024'!I286:I289)/1000</f>
        <v>529011.344</v>
      </c>
      <c r="T17" s="1751" cm="1">
        <f t="array" ref="T17">-T18-T50</f>
        <v>3259694.77618</v>
      </c>
      <c r="U17" s="1751" cm="1">
        <f t="array" ref="U17">SUM(F17:T17)</f>
        <v>-152273.47789</v>
      </c>
      <c r="V17" s="1756"/>
    </row>
    <row r="18" ht="16" customHeight="1">
      <c r="A18" s="12"/>
      <c r="B18" s="1746"/>
      <c r="C18" s="1747"/>
      <c r="D18" t="s" s="1748">
        <v>2198</v>
      </c>
      <c r="E18" s="1749"/>
      <c r="F18" s="1751" cm="1">
        <f t="array" ref="F18">-SUM('BS 2024'!F277:F282)/1000</f>
        <v>1729560.35</v>
      </c>
      <c r="G18" s="1751">
        <v>0</v>
      </c>
      <c r="H18" s="1751">
        <v>0</v>
      </c>
      <c r="I18" s="1751">
        <v>0</v>
      </c>
      <c r="J18" s="1751">
        <v>0</v>
      </c>
      <c r="K18" s="1751">
        <v>0</v>
      </c>
      <c r="L18" s="1751">
        <v>0</v>
      </c>
      <c r="M18" s="1751">
        <v>0</v>
      </c>
      <c r="N18" s="1751">
        <v>0</v>
      </c>
      <c r="O18" s="1751"/>
      <c r="P18" s="1751">
        <v>0</v>
      </c>
      <c r="Q18" s="1751">
        <v>0</v>
      </c>
      <c r="R18" s="1751">
        <v>0</v>
      </c>
      <c r="S18" s="1751">
        <v>0</v>
      </c>
      <c r="T18" s="1751" cm="1">
        <f t="array" ref="T18">-SUM(F18:Q18)</f>
        <v>-1729560.35</v>
      </c>
      <c r="U18" s="1751" cm="1">
        <f t="array" ref="U18">SUM(F18:T18)</f>
        <v>0</v>
      </c>
      <c r="V18" s="1756"/>
    </row>
    <row r="19" ht="16" customHeight="1">
      <c r="A19" s="12"/>
      <c r="B19" s="1746"/>
      <c r="C19" s="1747"/>
      <c r="D19" t="s" s="1748">
        <v>2200</v>
      </c>
      <c r="E19" s="1749"/>
      <c r="F19" s="1751" cm="1">
        <f t="array" ref="F19">-SUM('BS 2024'!F283:F289)/1000</f>
        <v>-964262.87877</v>
      </c>
      <c r="G19" s="1751">
        <v>0</v>
      </c>
      <c r="H19" s="1751">
        <v>0</v>
      </c>
      <c r="I19" s="1751">
        <v>0</v>
      </c>
      <c r="J19" s="1751">
        <v>0</v>
      </c>
      <c r="K19" s="1751">
        <v>0</v>
      </c>
      <c r="L19" s="1751">
        <v>0</v>
      </c>
      <c r="M19" s="1751">
        <v>0</v>
      </c>
      <c r="N19" s="1751">
        <v>0</v>
      </c>
      <c r="O19" s="1751" cm="1">
        <f t="array" ref="O19">-O20</f>
        <v>210258.688</v>
      </c>
      <c r="P19" s="1751">
        <v>0</v>
      </c>
      <c r="Q19" s="1751">
        <v>0</v>
      </c>
      <c r="R19" s="1751">
        <v>0</v>
      </c>
      <c r="S19" s="1751">
        <v>0</v>
      </c>
      <c r="T19" s="1751">
        <v>0</v>
      </c>
      <c r="U19" s="1751" cm="1">
        <f t="array" ref="U19">SUM(F19:T19)</f>
        <v>-754004.19077</v>
      </c>
      <c r="V19" s="1756"/>
    </row>
    <row r="20" ht="16" customHeight="1">
      <c r="A20" s="12"/>
      <c r="B20" s="1746"/>
      <c r="C20" s="1747"/>
      <c r="D20" t="s" s="1748">
        <v>2202</v>
      </c>
      <c r="E20" s="1749"/>
      <c r="F20" s="1751">
        <v>0</v>
      </c>
      <c r="G20" s="1751">
        <v>0</v>
      </c>
      <c r="H20" s="1751">
        <v>0</v>
      </c>
      <c r="I20" s="1751">
        <v>0</v>
      </c>
      <c r="J20" s="1751">
        <v>0</v>
      </c>
      <c r="K20" s="1751">
        <v>0</v>
      </c>
      <c r="L20" s="1751">
        <v>0</v>
      </c>
      <c r="M20" s="1751">
        <v>0</v>
      </c>
      <c r="N20" s="1751">
        <v>0</v>
      </c>
      <c r="O20" s="1751">
        <v>-210258.688</v>
      </c>
      <c r="P20" s="1751">
        <v>0</v>
      </c>
      <c r="Q20" s="1751">
        <v>0</v>
      </c>
      <c r="R20" s="1751">
        <v>0</v>
      </c>
      <c r="S20" s="1751">
        <v>0</v>
      </c>
      <c r="T20" s="1751">
        <v>0</v>
      </c>
      <c r="U20" s="1751" cm="1">
        <f t="array" ref="U20">SUM(F20:T20)</f>
        <v>-210258.688</v>
      </c>
      <c r="V20" s="1756"/>
    </row>
    <row r="21" ht="16" customHeight="1">
      <c r="A21" s="12"/>
      <c r="B21" s="1746"/>
      <c r="C21" s="1747"/>
      <c r="D21" t="s" s="1748">
        <v>2241</v>
      </c>
      <c r="E21" s="1749"/>
      <c r="F21" s="1751" cm="1">
        <f t="array" ref="F21">-SUM('BS 2024'!F290)/1000</f>
        <v>-835911.78728</v>
      </c>
      <c r="G21" s="1751">
        <v>0</v>
      </c>
      <c r="H21" s="1751">
        <v>0</v>
      </c>
      <c r="I21" s="1751" cm="1">
        <f t="array" ref="I21">'BS 2024'!F290/1000</f>
        <v>835911.78728</v>
      </c>
      <c r="J21" s="1751">
        <v>0</v>
      </c>
      <c r="K21" s="1751">
        <v>0</v>
      </c>
      <c r="L21" s="1751">
        <v>0</v>
      </c>
      <c r="M21" s="1751">
        <v>0</v>
      </c>
      <c r="N21" s="1751">
        <v>0</v>
      </c>
      <c r="O21" s="1751">
        <v>0</v>
      </c>
      <c r="P21" s="1751">
        <v>0</v>
      </c>
      <c r="Q21" s="1751">
        <v>0</v>
      </c>
      <c r="R21" s="1751">
        <v>0</v>
      </c>
      <c r="S21" s="1751">
        <v>0</v>
      </c>
      <c r="T21" s="1751">
        <v>0</v>
      </c>
      <c r="U21" s="1751" cm="1">
        <f t="array" ref="U21">SUM(F21:T21)</f>
        <v>0</v>
      </c>
      <c r="V21" s="1756"/>
    </row>
    <row r="22" ht="16" customHeight="1">
      <c r="A22" s="12"/>
      <c r="B22" s="1746"/>
      <c r="C22" s="1747"/>
      <c r="D22" t="s" s="1748">
        <v>2203</v>
      </c>
      <c r="E22" s="1749"/>
      <c r="F22" s="1751" cm="1">
        <f t="array" ref="F22">-'BS 2024'!F292/1000</f>
        <v>-2510.133</v>
      </c>
      <c r="G22" s="1751">
        <v>0</v>
      </c>
      <c r="H22" s="1751">
        <v>0</v>
      </c>
      <c r="I22" s="1751"/>
      <c r="J22" s="1751">
        <v>0</v>
      </c>
      <c r="K22" s="1751">
        <v>0</v>
      </c>
      <c r="L22" s="1751">
        <v>0</v>
      </c>
      <c r="M22" s="1751">
        <v>0</v>
      </c>
      <c r="N22" s="1751">
        <v>0</v>
      </c>
      <c r="O22" s="1751">
        <v>0</v>
      </c>
      <c r="P22" s="1751">
        <v>0</v>
      </c>
      <c r="Q22" s="1751">
        <v>0</v>
      </c>
      <c r="R22" s="1751">
        <v>0</v>
      </c>
      <c r="S22" s="1751">
        <v>0</v>
      </c>
      <c r="T22" s="1751">
        <v>0</v>
      </c>
      <c r="U22" s="1751" cm="1">
        <f t="array" ref="U22">SUM(F22:T22)</f>
        <v>-2510.133</v>
      </c>
      <c r="V22" s="1756"/>
    </row>
    <row r="23" ht="16" customHeight="1">
      <c r="A23" s="12"/>
      <c r="B23" s="1746"/>
      <c r="C23" s="1747"/>
      <c r="D23" t="s" s="1748">
        <v>2231</v>
      </c>
      <c r="E23" s="1749"/>
      <c r="F23" s="1751">
        <v>0</v>
      </c>
      <c r="G23" s="1751">
        <v>0</v>
      </c>
      <c r="H23" s="1751">
        <v>0</v>
      </c>
      <c r="I23" s="1751"/>
      <c r="J23" s="1751">
        <v>0</v>
      </c>
      <c r="K23" s="1751">
        <v>0</v>
      </c>
      <c r="L23" s="1751">
        <v>0</v>
      </c>
      <c r="M23" s="1751">
        <v>0</v>
      </c>
      <c r="N23" s="1751">
        <v>0</v>
      </c>
      <c r="O23" s="1751">
        <v>0</v>
      </c>
      <c r="P23" s="1751">
        <v>0</v>
      </c>
      <c r="Q23" s="1751">
        <v>0</v>
      </c>
      <c r="R23" s="1751">
        <v>0</v>
      </c>
      <c r="S23" s="1751" cm="1">
        <f t="array" ref="S23">-S17</f>
        <v>-529011.344</v>
      </c>
      <c r="T23" s="1751">
        <v>0</v>
      </c>
      <c r="U23" s="1751" cm="1">
        <f t="array" ref="U23">SUM(F23:T23)</f>
        <v>-529011.344</v>
      </c>
      <c r="V23" s="1756"/>
    </row>
    <row r="24" ht="16" customHeight="1">
      <c r="A24" s="12"/>
      <c r="B24" s="1746"/>
      <c r="C24" s="1747"/>
      <c r="D24" s="1757"/>
      <c r="E24" s="1749"/>
      <c r="F24" s="1751"/>
      <c r="G24" s="1751"/>
      <c r="H24" s="1751"/>
      <c r="I24" s="1751"/>
      <c r="J24" s="1751"/>
      <c r="K24" s="1751"/>
      <c r="L24" s="1751"/>
      <c r="M24" s="1751"/>
      <c r="N24" s="1751"/>
      <c r="O24" s="1751"/>
      <c r="P24" s="1751"/>
      <c r="Q24" s="1751"/>
      <c r="R24" s="1751"/>
      <c r="S24" s="1751"/>
      <c r="T24" s="1751"/>
      <c r="U24" s="1751"/>
      <c r="V24" s="1756"/>
    </row>
    <row r="25" ht="16" customHeight="1">
      <c r="A25" s="12"/>
      <c r="B25" t="s" s="1738">
        <v>2204</v>
      </c>
      <c r="C25" s="1747"/>
      <c r="D25" s="1757"/>
      <c r="E25" s="1749"/>
      <c r="F25" s="1751"/>
      <c r="G25" s="1751"/>
      <c r="H25" s="1751"/>
      <c r="I25" s="1751"/>
      <c r="J25" s="1751"/>
      <c r="K25" s="1751"/>
      <c r="L25" s="1751"/>
      <c r="M25" s="1751"/>
      <c r="N25" s="1751"/>
      <c r="O25" s="1751"/>
      <c r="P25" s="1751"/>
      <c r="Q25" s="1751"/>
      <c r="R25" s="1751"/>
      <c r="S25" s="1751"/>
      <c r="T25" s="1751"/>
      <c r="U25" s="1751"/>
      <c r="V25" s="1756"/>
    </row>
    <row r="26" ht="16" customHeight="1">
      <c r="A26" s="12"/>
      <c r="B26" s="1746"/>
      <c r="C26" s="1747"/>
      <c r="D26" t="s" s="1748">
        <v>2205</v>
      </c>
      <c r="E26" s="1749"/>
      <c r="F26" s="1751" cm="1">
        <f t="array" ref="F26">-'BS 2024'!F297/1000</f>
        <v>-5114952.27816</v>
      </c>
      <c r="G26" s="1751">
        <v>0</v>
      </c>
      <c r="H26" s="1751" cm="1">
        <f t="array" ref="H26">-H11</f>
        <v>-325901.65296</v>
      </c>
      <c r="I26" s="1751">
        <v>0</v>
      </c>
      <c r="J26" s="1751">
        <v>0</v>
      </c>
      <c r="K26" s="1751" cm="1">
        <f t="array" ref="K26">-SUM(K29:K31)</f>
        <v>3821590.939</v>
      </c>
      <c r="L26" s="1751" cm="1">
        <f t="array" ref="L26">-SUM(L32:L39)</f>
        <v>2012857.141</v>
      </c>
      <c r="M26" s="1751">
        <v>0</v>
      </c>
      <c r="N26" s="1751" cm="1">
        <f t="array" ref="N26">-SUM(N40:N42)</f>
        <v>-949832.32719</v>
      </c>
      <c r="O26" s="1751" cm="1">
        <f t="array" ref="O26">-SUM(O45:O47)</f>
        <v>699894.894</v>
      </c>
      <c r="P26" s="1751">
        <v>0</v>
      </c>
      <c r="Q26" s="1751">
        <v>0</v>
      </c>
      <c r="R26" s="1751">
        <v>0</v>
      </c>
      <c r="S26" s="1751">
        <v>0</v>
      </c>
      <c r="T26" s="1751">
        <v>0</v>
      </c>
      <c r="U26" s="1751" cm="1">
        <f t="array" ref="U26">SUM(F26:T26)</f>
        <v>143656.71569</v>
      </c>
      <c r="V26" s="1756"/>
    </row>
    <row r="27" ht="16" customHeight="1">
      <c r="A27" s="12"/>
      <c r="B27" s="1746"/>
      <c r="C27" s="1747"/>
      <c r="D27" s="1757"/>
      <c r="E27" s="1749"/>
      <c r="F27" s="1751"/>
      <c r="G27" s="1751"/>
      <c r="H27" s="1751"/>
      <c r="I27" s="1751"/>
      <c r="J27" s="1751"/>
      <c r="K27" s="1751"/>
      <c r="L27" s="1751"/>
      <c r="M27" s="1751"/>
      <c r="N27" s="1751"/>
      <c r="O27" s="1751"/>
      <c r="P27" s="1751"/>
      <c r="Q27" s="1751"/>
      <c r="R27" s="1751"/>
      <c r="S27" s="1751"/>
      <c r="T27" s="1751"/>
      <c r="U27" s="1751"/>
      <c r="V27" s="1756"/>
    </row>
    <row r="28" ht="16" customHeight="1">
      <c r="A28" s="12"/>
      <c r="B28" t="s" s="1738">
        <v>2206</v>
      </c>
      <c r="C28" s="1747"/>
      <c r="D28" s="1757"/>
      <c r="E28" s="1749"/>
      <c r="F28" s="1751"/>
      <c r="G28" s="1751"/>
      <c r="H28" s="1751"/>
      <c r="I28" s="1751"/>
      <c r="J28" s="1751"/>
      <c r="K28" s="1751"/>
      <c r="L28" s="1751"/>
      <c r="M28" s="1751"/>
      <c r="N28" s="1751"/>
      <c r="O28" s="1751"/>
      <c r="P28" s="1751"/>
      <c r="Q28" s="1751"/>
      <c r="R28" s="1751"/>
      <c r="S28" s="1751"/>
      <c r="T28" s="1751"/>
      <c r="U28" s="1751" cm="1">
        <f t="array" ref="U28">SUM(F28:T28)</f>
        <v>0</v>
      </c>
      <c r="V28" s="1756"/>
    </row>
    <row r="29" ht="16" customHeight="1">
      <c r="A29" s="12"/>
      <c r="B29" s="1746"/>
      <c r="C29" s="1747"/>
      <c r="D29" t="s" s="1748">
        <v>957</v>
      </c>
      <c r="E29" s="1749"/>
      <c r="F29" s="1751">
        <v>0</v>
      </c>
      <c r="G29" s="1751">
        <v>0</v>
      </c>
      <c r="H29" s="1751">
        <v>0</v>
      </c>
      <c r="I29" s="1751">
        <v>0</v>
      </c>
      <c r="J29" s="1751">
        <v>0</v>
      </c>
      <c r="K29" s="1751" cm="1">
        <f t="array" ref="K29">-'BS 2024'!F312/1000</f>
        <v>-1395750.939</v>
      </c>
      <c r="L29" s="1751">
        <v>0</v>
      </c>
      <c r="M29" s="1751">
        <v>0</v>
      </c>
      <c r="N29" s="1751">
        <v>0</v>
      </c>
      <c r="O29" s="1751">
        <v>0</v>
      </c>
      <c r="P29" s="1751">
        <v>0</v>
      </c>
      <c r="Q29" s="1751">
        <v>0</v>
      </c>
      <c r="R29" s="1751">
        <v>0</v>
      </c>
      <c r="S29" s="1751">
        <v>0</v>
      </c>
      <c r="T29" s="1751">
        <v>0</v>
      </c>
      <c r="U29" s="1751" cm="1">
        <f t="array" ref="U29">SUM(F29:T29)</f>
        <v>-1395750.939</v>
      </c>
      <c r="V29" s="1756"/>
    </row>
    <row r="30" ht="16" customHeight="1">
      <c r="A30" s="12"/>
      <c r="B30" s="1746"/>
      <c r="C30" s="1747"/>
      <c r="D30" t="s" s="1748">
        <v>2242</v>
      </c>
      <c r="E30" s="1749"/>
      <c r="F30" s="1751">
        <v>0</v>
      </c>
      <c r="G30" s="1751">
        <v>0</v>
      </c>
      <c r="H30" s="1751">
        <v>0</v>
      </c>
      <c r="I30" s="1751">
        <v>0</v>
      </c>
      <c r="J30" s="1751">
        <v>0</v>
      </c>
      <c r="K30" s="1751" cm="1">
        <f t="array" ref="K30">-'BS 2024'!F313/1000</f>
        <v>-1279670</v>
      </c>
      <c r="L30" s="1751">
        <v>0</v>
      </c>
      <c r="M30" s="1751">
        <v>0</v>
      </c>
      <c r="N30" s="1751">
        <v>0</v>
      </c>
      <c r="O30" s="1751">
        <v>0</v>
      </c>
      <c r="P30" s="1751">
        <v>0</v>
      </c>
      <c r="Q30" s="1751">
        <v>0</v>
      </c>
      <c r="R30" s="1751">
        <v>0</v>
      </c>
      <c r="S30" s="1751">
        <v>0</v>
      </c>
      <c r="T30" s="1751">
        <v>0</v>
      </c>
      <c r="U30" s="1751" cm="1">
        <f t="array" ref="U30">SUM(F30:T30)</f>
        <v>-1279670</v>
      </c>
      <c r="V30" s="1756"/>
    </row>
    <row r="31" ht="16" customHeight="1">
      <c r="A31" s="12"/>
      <c r="B31" s="1746"/>
      <c r="C31" s="1747"/>
      <c r="D31" t="s" s="1748">
        <v>2243</v>
      </c>
      <c r="E31" s="1749"/>
      <c r="F31" s="1751">
        <v>0</v>
      </c>
      <c r="G31" s="1751">
        <v>0</v>
      </c>
      <c r="H31" s="1751">
        <v>0</v>
      </c>
      <c r="I31" s="1751">
        <v>0</v>
      </c>
      <c r="J31" s="1751">
        <v>0</v>
      </c>
      <c r="K31" s="1751" cm="1">
        <f t="array" ref="K31">-'BS 2024'!F314/1000</f>
        <v>-1146170</v>
      </c>
      <c r="L31" s="1751">
        <v>0</v>
      </c>
      <c r="M31" s="1751">
        <v>0</v>
      </c>
      <c r="N31" s="1751">
        <v>0</v>
      </c>
      <c r="O31" s="1751">
        <v>0</v>
      </c>
      <c r="P31" s="1751">
        <v>0</v>
      </c>
      <c r="Q31" s="1751">
        <v>0</v>
      </c>
      <c r="R31" s="1751">
        <v>0</v>
      </c>
      <c r="S31" s="1751">
        <v>0</v>
      </c>
      <c r="T31" s="1751">
        <v>0</v>
      </c>
      <c r="U31" s="1751" cm="1">
        <f t="array" ref="U31">SUM(F31:T31)</f>
        <v>-1146170</v>
      </c>
      <c r="V31" s="1756"/>
    </row>
    <row r="32" ht="16" customHeight="1">
      <c r="A32" s="12"/>
      <c r="B32" s="1746"/>
      <c r="C32" s="1747"/>
      <c r="D32" t="s" s="1748">
        <v>1126</v>
      </c>
      <c r="E32" s="1749"/>
      <c r="F32" s="1751">
        <v>0</v>
      </c>
      <c r="G32" s="1751">
        <v>0</v>
      </c>
      <c r="H32" s="1751">
        <v>0</v>
      </c>
      <c r="I32" s="1751">
        <v>0</v>
      </c>
      <c r="J32" s="1751">
        <v>0</v>
      </c>
      <c r="K32" s="1751">
        <v>0</v>
      </c>
      <c r="L32" s="1751" cm="1">
        <f t="array" ref="L32">-'BS 2024'!F299/1000</f>
        <v>-37875.5</v>
      </c>
      <c r="M32" s="1751">
        <v>0</v>
      </c>
      <c r="N32" s="1751">
        <v>0</v>
      </c>
      <c r="O32" s="1751">
        <v>0</v>
      </c>
      <c r="P32" s="1751">
        <v>0</v>
      </c>
      <c r="Q32" s="1751">
        <v>0</v>
      </c>
      <c r="R32" s="1751">
        <v>0</v>
      </c>
      <c r="S32" s="1751">
        <v>0</v>
      </c>
      <c r="T32" s="1751">
        <v>0</v>
      </c>
      <c r="U32" s="1751" cm="1">
        <f t="array" ref="U32">SUM(F32:T32)</f>
        <v>-37875.5</v>
      </c>
      <c r="V32" s="1756"/>
    </row>
    <row r="33" ht="16" customHeight="1">
      <c r="A33" s="12"/>
      <c r="B33" s="1746"/>
      <c r="C33" s="1747"/>
      <c r="D33" t="s" s="1748">
        <v>2209</v>
      </c>
      <c r="E33" s="1749"/>
      <c r="F33" s="1751">
        <v>0</v>
      </c>
      <c r="G33" s="1751">
        <v>0</v>
      </c>
      <c r="H33" s="1751">
        <v>0</v>
      </c>
      <c r="I33" s="1751">
        <v>0</v>
      </c>
      <c r="J33" s="1751">
        <v>0</v>
      </c>
      <c r="K33" s="1751">
        <v>0</v>
      </c>
      <c r="L33" s="1751" cm="1">
        <f t="array" ref="L33">-'BS 2024'!F300/1000</f>
        <v>-293428.558</v>
      </c>
      <c r="M33" s="1751">
        <v>0</v>
      </c>
      <c r="N33" s="1751">
        <v>0</v>
      </c>
      <c r="O33" s="1751">
        <v>0</v>
      </c>
      <c r="P33" s="1751">
        <v>0</v>
      </c>
      <c r="Q33" s="1751">
        <v>0</v>
      </c>
      <c r="R33" s="1751">
        <v>0</v>
      </c>
      <c r="S33" s="1751">
        <v>0</v>
      </c>
      <c r="T33" s="1751">
        <v>0</v>
      </c>
      <c r="U33" s="1751" cm="1">
        <f t="array" ref="U33">SUM(F33:T33)</f>
        <v>-293428.558</v>
      </c>
      <c r="V33" s="1756"/>
    </row>
    <row r="34" ht="16" customHeight="1">
      <c r="A34" s="12"/>
      <c r="B34" s="1746"/>
      <c r="C34" s="1747"/>
      <c r="D34" t="s" s="1748">
        <v>2210</v>
      </c>
      <c r="E34" s="1749"/>
      <c r="F34" s="1751">
        <v>0</v>
      </c>
      <c r="G34" s="1751">
        <v>0</v>
      </c>
      <c r="H34" s="1751">
        <v>0</v>
      </c>
      <c r="I34" s="1751">
        <v>0</v>
      </c>
      <c r="J34" s="1751">
        <v>0</v>
      </c>
      <c r="K34" s="1751">
        <v>0</v>
      </c>
      <c r="L34" s="1751" cm="1">
        <f t="array" ref="L34">-'BS 2024'!F301/1000</f>
        <v>-21500</v>
      </c>
      <c r="M34" s="1751">
        <v>0</v>
      </c>
      <c r="N34" s="1751">
        <v>0</v>
      </c>
      <c r="O34" s="1751">
        <v>0</v>
      </c>
      <c r="P34" s="1751">
        <v>0</v>
      </c>
      <c r="Q34" s="1751">
        <v>0</v>
      </c>
      <c r="R34" s="1751">
        <v>0</v>
      </c>
      <c r="S34" s="1751">
        <v>0</v>
      </c>
      <c r="T34" s="1751">
        <v>0</v>
      </c>
      <c r="U34" s="1751" cm="1">
        <f t="array" ref="U34">SUM(F34:T34)</f>
        <v>-21500</v>
      </c>
      <c r="V34" s="1756"/>
    </row>
    <row r="35" ht="16" customHeight="1">
      <c r="A35" s="12"/>
      <c r="B35" s="1746"/>
      <c r="C35" s="1747"/>
      <c r="D35" t="s" s="1748">
        <v>2211</v>
      </c>
      <c r="E35" s="1749"/>
      <c r="F35" s="1751">
        <v>0</v>
      </c>
      <c r="G35" s="1751">
        <v>0</v>
      </c>
      <c r="H35" s="1751">
        <v>0</v>
      </c>
      <c r="I35" s="1751">
        <v>0</v>
      </c>
      <c r="J35" s="1751">
        <v>0</v>
      </c>
      <c r="K35" s="1751">
        <v>0</v>
      </c>
      <c r="L35" s="1751" cm="1">
        <f t="array" ref="L35">-'BS 2024'!F302/1000</f>
        <v>-205857.467</v>
      </c>
      <c r="M35" s="1751">
        <v>0</v>
      </c>
      <c r="N35" s="1751">
        <v>0</v>
      </c>
      <c r="O35" s="1751">
        <v>0</v>
      </c>
      <c r="P35" s="1751">
        <v>0</v>
      </c>
      <c r="Q35" s="1751">
        <v>0</v>
      </c>
      <c r="R35" s="1751">
        <v>0</v>
      </c>
      <c r="S35" s="1751">
        <v>0</v>
      </c>
      <c r="T35" s="1751">
        <v>0</v>
      </c>
      <c r="U35" s="1751" cm="1">
        <f t="array" ref="U35">SUM(F35:T35)</f>
        <v>-205857.467</v>
      </c>
      <c r="V35" s="1756"/>
    </row>
    <row r="36" ht="16" customHeight="1">
      <c r="A36" s="12"/>
      <c r="B36" s="1746"/>
      <c r="C36" s="1747"/>
      <c r="D36" t="s" s="1748">
        <v>2212</v>
      </c>
      <c r="E36" s="1749"/>
      <c r="F36" s="1751">
        <v>0</v>
      </c>
      <c r="G36" s="1751">
        <v>0</v>
      </c>
      <c r="H36" s="1751">
        <v>0</v>
      </c>
      <c r="I36" s="1751">
        <v>0</v>
      </c>
      <c r="J36" s="1751">
        <v>0</v>
      </c>
      <c r="K36" s="1751">
        <v>0</v>
      </c>
      <c r="L36" s="1751" cm="1">
        <f t="array" ref="L36">-'BS 2024'!F304/1000</f>
        <v>-75507.825</v>
      </c>
      <c r="M36" s="1751">
        <v>0</v>
      </c>
      <c r="N36" s="1751">
        <v>0</v>
      </c>
      <c r="O36" s="1751">
        <v>0</v>
      </c>
      <c r="P36" s="1751">
        <v>0</v>
      </c>
      <c r="Q36" s="1751">
        <v>0</v>
      </c>
      <c r="R36" s="1751">
        <v>0</v>
      </c>
      <c r="S36" s="1751">
        <v>0</v>
      </c>
      <c r="T36" s="1751">
        <v>0</v>
      </c>
      <c r="U36" s="1751" cm="1">
        <f t="array" ref="U36">SUM(F36:T36)</f>
        <v>-75507.825</v>
      </c>
      <c r="V36" s="1756"/>
    </row>
    <row r="37" ht="16" customHeight="1">
      <c r="A37" s="12"/>
      <c r="B37" s="1746"/>
      <c r="C37" s="1747"/>
      <c r="D37" t="s" s="1748">
        <v>2213</v>
      </c>
      <c r="E37" s="1749"/>
      <c r="F37" s="1751">
        <v>0</v>
      </c>
      <c r="G37" s="1751">
        <v>0</v>
      </c>
      <c r="H37" s="1751">
        <v>0</v>
      </c>
      <c r="I37" s="1751">
        <v>0</v>
      </c>
      <c r="J37" s="1751">
        <v>0</v>
      </c>
      <c r="K37" s="1751">
        <v>0</v>
      </c>
      <c r="L37" s="1751" cm="1">
        <f t="array" ref="L37">-'BS 2024'!F306/1000</f>
        <v>-22644</v>
      </c>
      <c r="M37" s="1751">
        <v>0</v>
      </c>
      <c r="N37" s="1751">
        <v>0</v>
      </c>
      <c r="O37" s="1751">
        <v>0</v>
      </c>
      <c r="P37" s="1751">
        <v>0</v>
      </c>
      <c r="Q37" s="1751">
        <v>0</v>
      </c>
      <c r="R37" s="1751">
        <v>0</v>
      </c>
      <c r="S37" s="1751">
        <v>0</v>
      </c>
      <c r="T37" s="1751">
        <v>0</v>
      </c>
      <c r="U37" s="1751" cm="1">
        <f t="array" ref="U37">SUM(F37:T37)</f>
        <v>-22644</v>
      </c>
      <c r="V37" s="1756"/>
    </row>
    <row r="38" ht="16" customHeight="1">
      <c r="A38" s="12"/>
      <c r="B38" s="1746"/>
      <c r="C38" s="1747"/>
      <c r="D38" t="s" s="1748">
        <v>2214</v>
      </c>
      <c r="E38" s="1749"/>
      <c r="F38" s="1751">
        <v>0</v>
      </c>
      <c r="G38" s="1751">
        <v>0</v>
      </c>
      <c r="H38" s="1751">
        <v>0</v>
      </c>
      <c r="I38" s="1751">
        <v>0</v>
      </c>
      <c r="J38" s="1751">
        <v>0</v>
      </c>
      <c r="K38" s="1751">
        <v>0</v>
      </c>
      <c r="L38" s="1751" cm="1">
        <f t="array" ref="L38">-'BS 2024'!F307/1000</f>
        <v>-435000</v>
      </c>
      <c r="M38" s="1751">
        <v>0</v>
      </c>
      <c r="N38" s="1751">
        <v>0</v>
      </c>
      <c r="O38" s="1751">
        <v>0</v>
      </c>
      <c r="P38" s="1751">
        <v>0</v>
      </c>
      <c r="Q38" s="1751">
        <v>0</v>
      </c>
      <c r="R38" s="1751">
        <v>0</v>
      </c>
      <c r="S38" s="1751">
        <v>0</v>
      </c>
      <c r="T38" s="1751">
        <v>0</v>
      </c>
      <c r="U38" s="1751" cm="1">
        <f t="array" ref="U38">SUM(F38:T38)</f>
        <v>-435000</v>
      </c>
      <c r="V38" s="1756"/>
    </row>
    <row r="39" ht="16" customHeight="1">
      <c r="A39" s="12"/>
      <c r="B39" s="1746"/>
      <c r="C39" s="1747"/>
      <c r="D39" t="s" s="1748">
        <v>2215</v>
      </c>
      <c r="E39" s="1749"/>
      <c r="F39" s="1751">
        <v>0</v>
      </c>
      <c r="G39" s="1751">
        <v>0</v>
      </c>
      <c r="H39" s="1751">
        <v>0</v>
      </c>
      <c r="I39" s="1751">
        <v>0</v>
      </c>
      <c r="J39" s="1751">
        <v>0</v>
      </c>
      <c r="K39" s="1751">
        <v>0</v>
      </c>
      <c r="L39" s="1751" cm="1">
        <f t="array" ref="L39">-'BS 2024'!F311/1000</f>
        <v>-921043.791</v>
      </c>
      <c r="M39" s="1751">
        <v>0</v>
      </c>
      <c r="N39" s="1751">
        <v>0</v>
      </c>
      <c r="O39" s="1751">
        <v>0</v>
      </c>
      <c r="P39" s="1751">
        <v>0</v>
      </c>
      <c r="Q39" s="1751">
        <v>0</v>
      </c>
      <c r="R39" s="1751">
        <v>0</v>
      </c>
      <c r="S39" s="1751">
        <v>0</v>
      </c>
      <c r="T39" s="1751">
        <v>0</v>
      </c>
      <c r="U39" s="1751" cm="1">
        <f t="array" ref="U39">SUM(F39:T39)</f>
        <v>-921043.791</v>
      </c>
      <c r="V39" s="1756"/>
    </row>
    <row r="40" ht="16" customHeight="1">
      <c r="A40" s="12"/>
      <c r="B40" s="1746"/>
      <c r="C40" s="1747"/>
      <c r="D40" t="s" s="1748">
        <v>2239</v>
      </c>
      <c r="E40" s="1749"/>
      <c r="F40" s="1751">
        <v>0</v>
      </c>
      <c r="G40" s="1751">
        <v>0</v>
      </c>
      <c r="H40" s="1751">
        <v>0</v>
      </c>
      <c r="I40" s="1751">
        <v>0</v>
      </c>
      <c r="J40" s="1751">
        <v>0</v>
      </c>
      <c r="K40" s="1751">
        <v>0</v>
      </c>
      <c r="L40" s="1751">
        <v>0</v>
      </c>
      <c r="M40" s="1751">
        <v>0</v>
      </c>
      <c r="N40" s="1751" cm="1">
        <f t="array" ref="N40">-'BS 2024'!F308/1000</f>
        <v>807937.5</v>
      </c>
      <c r="O40" s="1751">
        <v>0</v>
      </c>
      <c r="P40" s="1751">
        <v>0</v>
      </c>
      <c r="Q40" s="1751">
        <v>0</v>
      </c>
      <c r="R40" s="1751">
        <v>0</v>
      </c>
      <c r="S40" s="1751">
        <v>0</v>
      </c>
      <c r="T40" s="1751">
        <v>0</v>
      </c>
      <c r="U40" s="1751" cm="1">
        <f t="array" ref="U40">SUM(F40:T40)</f>
        <v>807937.5</v>
      </c>
      <c r="V40" s="1756"/>
    </row>
    <row r="41" ht="16" customHeight="1">
      <c r="A41" s="12"/>
      <c r="B41" s="1746"/>
      <c r="C41" s="1747"/>
      <c r="D41" t="s" s="1748">
        <v>2244</v>
      </c>
      <c r="E41" s="1749"/>
      <c r="F41" s="1751">
        <v>0</v>
      </c>
      <c r="G41" s="1751">
        <v>0</v>
      </c>
      <c r="H41" s="1751">
        <v>0</v>
      </c>
      <c r="I41" s="1751">
        <v>0</v>
      </c>
      <c r="J41" s="1751">
        <v>0</v>
      </c>
      <c r="K41" s="1751">
        <v>0</v>
      </c>
      <c r="L41" s="1751">
        <v>0</v>
      </c>
      <c r="M41" s="1751">
        <v>0</v>
      </c>
      <c r="N41" s="1751" cm="1">
        <f t="array" ref="N41">-'BS 2024'!F309/1000</f>
        <v>50015.13969</v>
      </c>
      <c r="O41" s="1751">
        <v>0</v>
      </c>
      <c r="P41" s="1751">
        <v>0</v>
      </c>
      <c r="Q41" s="1751">
        <v>0</v>
      </c>
      <c r="R41" s="1751">
        <v>0</v>
      </c>
      <c r="S41" s="1751">
        <v>0</v>
      </c>
      <c r="T41" s="1751">
        <v>0</v>
      </c>
      <c r="U41" s="1751" cm="1">
        <f t="array" ref="U41">SUM(F41:T41)</f>
        <v>50015.13969</v>
      </c>
      <c r="V41" s="1756"/>
    </row>
    <row r="42" ht="16" customHeight="1">
      <c r="A42" s="12"/>
      <c r="B42" s="1746"/>
      <c r="C42" s="1747"/>
      <c r="D42" t="s" s="1748">
        <v>2245</v>
      </c>
      <c r="E42" s="1749"/>
      <c r="F42" s="1751">
        <v>0</v>
      </c>
      <c r="G42" s="1751">
        <v>0</v>
      </c>
      <c r="H42" s="1751">
        <v>0</v>
      </c>
      <c r="I42" s="1751">
        <v>0</v>
      </c>
      <c r="J42" s="1751">
        <v>0</v>
      </c>
      <c r="K42" s="1751">
        <v>0</v>
      </c>
      <c r="L42" s="1751">
        <v>0</v>
      </c>
      <c r="M42" s="1751">
        <v>0</v>
      </c>
      <c r="N42" s="1751" cm="1">
        <f t="array" ref="N42">-'BS 2024'!F310/1000</f>
        <v>91879.6875</v>
      </c>
      <c r="O42" s="1751">
        <v>0</v>
      </c>
      <c r="P42" s="1751">
        <v>0</v>
      </c>
      <c r="Q42" s="1751">
        <v>0</v>
      </c>
      <c r="R42" s="1751">
        <v>0</v>
      </c>
      <c r="S42" s="1751">
        <v>0</v>
      </c>
      <c r="T42" s="1751">
        <v>0</v>
      </c>
      <c r="U42" s="1751" cm="1">
        <f t="array" ref="U42">SUM(F42:T42)</f>
        <v>91879.6875</v>
      </c>
      <c r="V42" s="1756"/>
    </row>
    <row r="43" ht="16" customHeight="1">
      <c r="A43" s="12"/>
      <c r="B43" s="1746"/>
      <c r="C43" s="1747"/>
      <c r="D43" s="1757"/>
      <c r="E43" s="1749"/>
      <c r="F43" s="1751"/>
      <c r="G43" s="1751"/>
      <c r="H43" s="1751"/>
      <c r="I43" s="1751"/>
      <c r="J43" s="1751"/>
      <c r="K43" s="1751"/>
      <c r="L43" s="1751"/>
      <c r="M43" s="1751"/>
      <c r="N43" s="1751"/>
      <c r="O43" s="1751"/>
      <c r="P43" s="1751"/>
      <c r="Q43" s="1751"/>
      <c r="R43" s="1751"/>
      <c r="S43" s="1751"/>
      <c r="T43" s="1751"/>
      <c r="U43" s="1751"/>
      <c r="V43" s="1756"/>
    </row>
    <row r="44" ht="16" customHeight="1">
      <c r="A44" s="12"/>
      <c r="B44" t="s" s="1738">
        <v>2217</v>
      </c>
      <c r="C44" s="1747"/>
      <c r="D44" s="1757"/>
      <c r="E44" s="1749"/>
      <c r="F44" s="1751"/>
      <c r="G44" s="1751"/>
      <c r="H44" s="1751"/>
      <c r="I44" s="1751"/>
      <c r="J44" s="1751"/>
      <c r="K44" s="1751"/>
      <c r="L44" s="1751"/>
      <c r="M44" s="1751"/>
      <c r="N44" s="1751"/>
      <c r="O44" s="1751"/>
      <c r="P44" s="1751"/>
      <c r="Q44" s="1751"/>
      <c r="R44" s="1751"/>
      <c r="S44" s="1751"/>
      <c r="T44" s="1751"/>
      <c r="U44" s="1751"/>
      <c r="V44" s="1756"/>
    </row>
    <row r="45" ht="16" customHeight="1">
      <c r="A45" s="12"/>
      <c r="B45" s="1746"/>
      <c r="C45" s="1747"/>
      <c r="D45" t="s" s="1748">
        <v>2246</v>
      </c>
      <c r="E45" s="1749"/>
      <c r="F45" s="1751">
        <v>0</v>
      </c>
      <c r="G45" s="1751">
        <v>0</v>
      </c>
      <c r="H45" s="1751">
        <v>0</v>
      </c>
      <c r="I45" s="1751">
        <v>0</v>
      </c>
      <c r="J45" s="1751">
        <v>0</v>
      </c>
      <c r="K45" s="1751">
        <v>0</v>
      </c>
      <c r="L45" s="1751">
        <v>0</v>
      </c>
      <c r="M45" s="1751">
        <v>0</v>
      </c>
      <c r="N45" s="1751">
        <v>0</v>
      </c>
      <c r="O45" s="1751" cm="1">
        <f t="array" ref="O45">-'BS 2024'!F315/1000</f>
        <v>-72000</v>
      </c>
      <c r="P45" s="1751">
        <v>0</v>
      </c>
      <c r="Q45" s="1751">
        <v>0</v>
      </c>
      <c r="R45" s="1751">
        <v>0</v>
      </c>
      <c r="S45" s="1751">
        <v>0</v>
      </c>
      <c r="T45" s="1751">
        <v>0</v>
      </c>
      <c r="U45" s="1751" cm="1">
        <f t="array" ref="U45">SUM(F45:T45)</f>
        <v>-72000</v>
      </c>
      <c r="V45" s="1756"/>
    </row>
    <row r="46" ht="16" customHeight="1">
      <c r="A46" s="12"/>
      <c r="B46" s="1746"/>
      <c r="C46" s="1747"/>
      <c r="D46" t="s" s="1748">
        <v>2247</v>
      </c>
      <c r="E46" s="1749"/>
      <c r="F46" s="1751">
        <v>0</v>
      </c>
      <c r="G46" s="1751">
        <v>0</v>
      </c>
      <c r="H46" s="1751">
        <v>0</v>
      </c>
      <c r="I46" s="1751">
        <v>0</v>
      </c>
      <c r="J46" s="1751">
        <v>0</v>
      </c>
      <c r="K46" s="1751">
        <v>0</v>
      </c>
      <c r="L46" s="1751">
        <v>0</v>
      </c>
      <c r="M46" s="1751">
        <v>0</v>
      </c>
      <c r="N46" s="1751">
        <v>0</v>
      </c>
      <c r="O46" s="1751" cm="1">
        <f t="array" ref="O46">-'BS 2024'!F316/1000</f>
        <v>-525000</v>
      </c>
      <c r="P46" s="1751">
        <v>0</v>
      </c>
      <c r="Q46" s="1751">
        <v>0</v>
      </c>
      <c r="R46" s="1751">
        <v>0</v>
      </c>
      <c r="S46" s="1751">
        <v>0</v>
      </c>
      <c r="T46" s="1751">
        <v>0</v>
      </c>
      <c r="U46" s="1751" cm="1">
        <f t="array" ref="U46">SUM(F46:T46)</f>
        <v>-525000</v>
      </c>
      <c r="V46" s="1756"/>
    </row>
    <row r="47" ht="16" customHeight="1">
      <c r="A47" s="12"/>
      <c r="B47" s="1746"/>
      <c r="C47" s="1747"/>
      <c r="D47" t="s" s="1748">
        <v>2248</v>
      </c>
      <c r="E47" s="1749"/>
      <c r="F47" s="1751">
        <v>0</v>
      </c>
      <c r="G47" s="1751">
        <v>0</v>
      </c>
      <c r="H47" s="1751">
        <v>0</v>
      </c>
      <c r="I47" s="1751">
        <v>0</v>
      </c>
      <c r="J47" s="1751">
        <v>0</v>
      </c>
      <c r="K47" s="1751">
        <v>0</v>
      </c>
      <c r="L47" s="1751">
        <v>0</v>
      </c>
      <c r="M47" s="1751">
        <v>0</v>
      </c>
      <c r="N47" s="1751">
        <v>0</v>
      </c>
      <c r="O47" s="1751">
        <v>-102894.894</v>
      </c>
      <c r="P47" s="1751">
        <v>0</v>
      </c>
      <c r="Q47" s="1751">
        <v>0</v>
      </c>
      <c r="R47" s="1751">
        <v>0</v>
      </c>
      <c r="S47" s="1751">
        <v>0</v>
      </c>
      <c r="T47" s="1751">
        <v>0</v>
      </c>
      <c r="U47" s="1751" cm="1">
        <f t="array" ref="U47">SUM(F47:T47)</f>
        <v>-102894.894</v>
      </c>
      <c r="V47" s="1756"/>
    </row>
    <row r="48" ht="16" customHeight="1">
      <c r="A48" s="12"/>
      <c r="B48" s="1746"/>
      <c r="C48" s="1747"/>
      <c r="D48" s="1757"/>
      <c r="E48" s="1749"/>
      <c r="F48" s="1758"/>
      <c r="G48" s="1758"/>
      <c r="H48" s="1758"/>
      <c r="I48" s="1758"/>
      <c r="J48" s="1758"/>
      <c r="K48" s="1758"/>
      <c r="L48" s="1758"/>
      <c r="M48" s="1758"/>
      <c r="N48" s="1758"/>
      <c r="O48" s="1758"/>
      <c r="P48" s="1758"/>
      <c r="Q48" s="1758"/>
      <c r="R48" s="1758"/>
      <c r="S48" s="1758"/>
      <c r="T48" s="1758"/>
      <c r="U48" s="1758"/>
      <c r="V48" s="1756"/>
    </row>
    <row r="49" ht="16" customHeight="1">
      <c r="A49" s="12"/>
      <c r="B49" t="s" s="1738">
        <v>2221</v>
      </c>
      <c r="C49" s="1747"/>
      <c r="D49" s="1757"/>
      <c r="E49" s="1749"/>
      <c r="F49" s="1760"/>
      <c r="G49" s="1760"/>
      <c r="H49" s="1760"/>
      <c r="I49" s="1760"/>
      <c r="J49" s="1760"/>
      <c r="K49" s="1760"/>
      <c r="L49" s="1760"/>
      <c r="M49" s="1760"/>
      <c r="N49" s="1760"/>
      <c r="O49" s="1760"/>
      <c r="P49" s="1760"/>
      <c r="Q49" s="1760"/>
      <c r="R49" s="1760"/>
      <c r="S49" s="1760"/>
      <c r="T49" s="1760"/>
      <c r="U49" s="1760"/>
      <c r="V49" s="1756"/>
    </row>
    <row r="50" ht="16" customHeight="1">
      <c r="A50" s="12"/>
      <c r="B50" s="1746"/>
      <c r="C50" s="1747"/>
      <c r="D50" t="s" s="1748">
        <v>2222</v>
      </c>
      <c r="E50" s="1749"/>
      <c r="F50" s="1751" cm="1">
        <f t="array" ref="F50">SUM('BS 2024'!F341)/1000</f>
        <v>1530134.42618</v>
      </c>
      <c r="G50" s="1751">
        <v>0</v>
      </c>
      <c r="H50" s="1751">
        <v>0</v>
      </c>
      <c r="I50" s="1751">
        <v>0</v>
      </c>
      <c r="J50" s="1751">
        <v>0</v>
      </c>
      <c r="K50" s="1751">
        <v>0</v>
      </c>
      <c r="L50" s="1751">
        <v>0</v>
      </c>
      <c r="M50" s="1751">
        <v>0</v>
      </c>
      <c r="N50" s="1751">
        <v>0</v>
      </c>
      <c r="O50" s="1751">
        <v>0</v>
      </c>
      <c r="P50" s="1751">
        <v>0</v>
      </c>
      <c r="Q50" s="1751">
        <v>0</v>
      </c>
      <c r="R50" s="1751">
        <v>0</v>
      </c>
      <c r="S50" s="1751">
        <v>0</v>
      </c>
      <c r="T50" s="1751" cm="1">
        <f t="array" ref="T50">-SUM(F50:Q50)</f>
        <v>-1530134.42618</v>
      </c>
      <c r="U50" s="1751" cm="1">
        <f t="array" ref="U50">SUM(F50:T50)</f>
        <v>0</v>
      </c>
      <c r="V50" s="1756"/>
    </row>
    <row r="51" ht="16" customHeight="1">
      <c r="A51" s="12"/>
      <c r="B51" s="1746"/>
      <c r="C51" s="1747"/>
      <c r="D51" t="s" s="1748">
        <v>2223</v>
      </c>
      <c r="E51" s="1749"/>
      <c r="F51" s="1751" cm="1">
        <f t="array" ref="F51">'BS 2024'!F355/1000</f>
        <v>29854424.0349</v>
      </c>
      <c r="G51" s="1751" cm="1">
        <f t="array" ref="G51">-G17</f>
        <v>-22392963.1637</v>
      </c>
      <c r="H51" s="1751">
        <v>0</v>
      </c>
      <c r="I51" s="1751" cm="1">
        <f t="array" ref="I51">-I21</f>
        <v>-835911.78728</v>
      </c>
      <c r="J51" s="1751">
        <v>0</v>
      </c>
      <c r="K51" s="1751">
        <v>0</v>
      </c>
      <c r="L51" s="1751">
        <v>0</v>
      </c>
      <c r="M51" s="1751" cm="1">
        <f t="array" ref="M51">-M61</f>
        <v>500000</v>
      </c>
      <c r="N51" s="1751">
        <v>0</v>
      </c>
      <c r="O51" s="1751">
        <v>0</v>
      </c>
      <c r="P51" s="1751">
        <v>0</v>
      </c>
      <c r="Q51" s="1751" cm="1">
        <f t="array" ref="Q51">-SUM(F51:P51)</f>
        <v>-7125549.08392</v>
      </c>
      <c r="R51" s="1751">
        <v>0</v>
      </c>
      <c r="S51" s="1751">
        <v>0</v>
      </c>
      <c r="T51" s="1751">
        <v>0</v>
      </c>
      <c r="U51" s="1751" cm="1">
        <f t="array" ref="U51">SUM(F51:T51)</f>
        <v>0</v>
      </c>
      <c r="V51" s="1756"/>
    </row>
    <row r="52" ht="15.5" customHeight="1">
      <c r="A52" s="12"/>
      <c r="B52" s="1761"/>
      <c r="C52" s="1747"/>
      <c r="D52" s="1757"/>
      <c r="E52" s="1749"/>
      <c r="F52" s="1752"/>
      <c r="G52" s="1752"/>
      <c r="H52" s="1752"/>
      <c r="I52" s="1752"/>
      <c r="J52" s="1752"/>
      <c r="K52" s="1752"/>
      <c r="L52" s="1752"/>
      <c r="M52" s="1752"/>
      <c r="N52" s="1752"/>
      <c r="O52" s="1752"/>
      <c r="P52" s="1752"/>
      <c r="Q52" s="1752"/>
      <c r="R52" s="1752"/>
      <c r="S52" s="1752"/>
      <c r="T52" s="1752"/>
      <c r="U52" s="1752"/>
      <c r="V52" s="1753"/>
    </row>
    <row r="53" ht="16.5" customHeight="1">
      <c r="A53" s="12"/>
      <c r="B53" t="s" s="1767">
        <v>450</v>
      </c>
      <c r="C53" s="1747"/>
      <c r="D53" s="1757"/>
      <c r="E53" s="1749"/>
      <c r="F53" s="1751"/>
      <c r="G53" s="1751"/>
      <c r="H53" s="1751"/>
      <c r="I53" s="1751"/>
      <c r="J53" s="1751"/>
      <c r="K53" s="1751"/>
      <c r="L53" s="1751"/>
      <c r="M53" s="1751"/>
      <c r="N53" s="1751"/>
      <c r="O53" s="1751"/>
      <c r="P53" s="1751"/>
      <c r="Q53" s="1751"/>
      <c r="R53" s="1751"/>
      <c r="S53" s="1751"/>
      <c r="T53" s="1751"/>
      <c r="U53" s="1751"/>
      <c r="V53" s="1756"/>
    </row>
    <row r="54" ht="16" customHeight="1">
      <c r="A54" s="12"/>
      <c r="B54" s="1746"/>
      <c r="C54" s="1747"/>
      <c r="D54" t="s" s="1748">
        <v>2249</v>
      </c>
      <c r="E54" s="1749"/>
      <c r="F54" s="1751" cm="1">
        <f t="array" ref="F54">SUM('BS 2024'!F527)/1000</f>
        <v>99188.240000000005</v>
      </c>
      <c r="G54" s="1751">
        <v>0</v>
      </c>
      <c r="H54" s="1751">
        <v>0</v>
      </c>
      <c r="I54" s="1751">
        <v>0</v>
      </c>
      <c r="J54" s="1751">
        <v>0</v>
      </c>
      <c r="K54" s="1751">
        <v>0</v>
      </c>
      <c r="L54" s="1751">
        <v>0</v>
      </c>
      <c r="M54" s="1751">
        <v>0</v>
      </c>
      <c r="N54" s="1751">
        <v>0</v>
      </c>
      <c r="O54" s="1751">
        <v>0</v>
      </c>
      <c r="P54" s="1751">
        <v>0</v>
      </c>
      <c r="Q54" s="1751">
        <v>0</v>
      </c>
      <c r="R54" s="1751">
        <v>0</v>
      </c>
      <c r="S54" s="1751">
        <v>0</v>
      </c>
      <c r="T54" s="1751">
        <v>0</v>
      </c>
      <c r="U54" s="1751" cm="1">
        <f t="array" ref="U54">SUM(F54:T54)</f>
        <v>99188.240000000005</v>
      </c>
      <c r="V54" s="1756"/>
    </row>
    <row r="55" ht="16" customHeight="1">
      <c r="A55" s="12"/>
      <c r="B55" s="1746"/>
      <c r="C55" s="1747"/>
      <c r="D55" t="s" s="1748">
        <v>2250</v>
      </c>
      <c r="E55" s="1749"/>
      <c r="F55" s="1751">
        <v>0</v>
      </c>
      <c r="G55" s="1751">
        <v>0</v>
      </c>
      <c r="H55" s="1751">
        <v>0</v>
      </c>
      <c r="I55" s="1751">
        <v>0</v>
      </c>
      <c r="J55" s="1751" cm="1">
        <f t="array" ref="J55">-'BS 2024'!F101/1000</f>
        <v>0</v>
      </c>
      <c r="K55" s="1751">
        <v>0</v>
      </c>
      <c r="L55" s="1751">
        <v>0</v>
      </c>
      <c r="M55" s="1751">
        <v>0</v>
      </c>
      <c r="N55" s="1751">
        <v>0</v>
      </c>
      <c r="O55" s="1751">
        <v>0</v>
      </c>
      <c r="P55" s="1751">
        <v>0</v>
      </c>
      <c r="Q55" s="1751">
        <v>0</v>
      </c>
      <c r="R55" s="1751">
        <v>0</v>
      </c>
      <c r="S55" s="1751">
        <v>0</v>
      </c>
      <c r="T55" s="1751">
        <v>0</v>
      </c>
      <c r="U55" s="1751" cm="1">
        <f t="array" ref="U55">SUM(F55:T55)</f>
        <v>0</v>
      </c>
      <c r="V55" s="1756"/>
    </row>
    <row r="56" ht="16" customHeight="1">
      <c r="A56" s="12"/>
      <c r="B56" s="1746"/>
      <c r="C56" s="1747"/>
      <c r="D56" t="s" s="1748">
        <v>2225</v>
      </c>
      <c r="E56" s="1749"/>
      <c r="F56" s="1751">
        <v>0</v>
      </c>
      <c r="G56" s="1751">
        <v>0</v>
      </c>
      <c r="H56" s="1751">
        <v>0</v>
      </c>
      <c r="I56" s="1751">
        <v>0</v>
      </c>
      <c r="J56" s="1751" cm="1">
        <f t="array" ref="J56">-'BS 2024'!F102/1000</f>
        <v>-386840</v>
      </c>
      <c r="K56" s="1751">
        <v>0</v>
      </c>
      <c r="L56" s="1751">
        <v>0</v>
      </c>
      <c r="M56" s="1751">
        <v>0</v>
      </c>
      <c r="N56" s="1751">
        <v>0</v>
      </c>
      <c r="O56" s="1751">
        <v>0</v>
      </c>
      <c r="P56" s="1751">
        <v>0</v>
      </c>
      <c r="Q56" s="1751">
        <v>0</v>
      </c>
      <c r="R56" s="1751">
        <v>0</v>
      </c>
      <c r="S56" s="1751">
        <v>0</v>
      </c>
      <c r="T56" s="1751">
        <v>0</v>
      </c>
      <c r="U56" s="1751" cm="1">
        <f t="array" ref="U56">SUM(F56:T56)</f>
        <v>-386840</v>
      </c>
      <c r="V56" s="1756"/>
    </row>
    <row r="57" ht="16" customHeight="1">
      <c r="A57" s="12"/>
      <c r="B57" s="1746"/>
      <c r="C57" s="1747"/>
      <c r="D57" t="s" s="1748">
        <v>2251</v>
      </c>
      <c r="E57" s="1749"/>
      <c r="F57" s="1751">
        <v>0</v>
      </c>
      <c r="G57" s="1751">
        <v>0</v>
      </c>
      <c r="H57" s="1751">
        <v>0</v>
      </c>
      <c r="I57" s="1751">
        <v>0</v>
      </c>
      <c r="J57" s="1751" cm="1">
        <f t="array" ref="J57">-'BS 2024'!F103/1000</f>
        <v>-15000</v>
      </c>
      <c r="K57" s="1751">
        <v>0</v>
      </c>
      <c r="L57" s="1751">
        <v>0</v>
      </c>
      <c r="M57" s="1751">
        <v>0</v>
      </c>
      <c r="N57" s="1751">
        <v>0</v>
      </c>
      <c r="O57" s="1751">
        <v>0</v>
      </c>
      <c r="P57" s="1751">
        <v>0</v>
      </c>
      <c r="Q57" s="1751">
        <v>0</v>
      </c>
      <c r="R57" s="1751">
        <v>0</v>
      </c>
      <c r="S57" s="1751">
        <v>0</v>
      </c>
      <c r="T57" s="1751">
        <v>0</v>
      </c>
      <c r="U57" s="1751" cm="1">
        <f t="array" ref="U57">SUM(F57:T57)</f>
        <v>-15000</v>
      </c>
      <c r="V57" s="1756"/>
    </row>
    <row r="58" ht="16" customHeight="1">
      <c r="A58" s="12"/>
      <c r="B58" s="1746"/>
      <c r="C58" s="1747"/>
      <c r="D58" t="s" s="1748">
        <v>2252</v>
      </c>
      <c r="E58" s="1749"/>
      <c r="F58" s="1751">
        <v>0</v>
      </c>
      <c r="G58" s="1751">
        <v>0</v>
      </c>
      <c r="H58" s="1751">
        <v>0</v>
      </c>
      <c r="I58" s="1751">
        <v>0</v>
      </c>
      <c r="J58" s="1751" cm="1">
        <f t="array" ref="J58">-'BS 2024'!F104/1000</f>
        <v>0</v>
      </c>
      <c r="K58" s="1751">
        <v>0</v>
      </c>
      <c r="L58" s="1751">
        <v>0</v>
      </c>
      <c r="M58" s="1751">
        <v>0</v>
      </c>
      <c r="N58" s="1751">
        <v>0</v>
      </c>
      <c r="O58" s="1751">
        <v>0</v>
      </c>
      <c r="P58" s="1751">
        <v>0</v>
      </c>
      <c r="Q58" s="1751">
        <v>0</v>
      </c>
      <c r="R58" s="1751">
        <v>0</v>
      </c>
      <c r="S58" s="1751">
        <v>0</v>
      </c>
      <c r="T58" s="1751">
        <v>0</v>
      </c>
      <c r="U58" s="1751" cm="1">
        <f t="array" ref="U58">SUM(F58:T58)</f>
        <v>0</v>
      </c>
      <c r="V58" s="1756"/>
    </row>
    <row r="59" ht="16" customHeight="1">
      <c r="A59" s="12"/>
      <c r="B59" s="1746"/>
      <c r="C59" s="1747"/>
      <c r="D59" t="s" s="1748">
        <v>2226</v>
      </c>
      <c r="E59" s="1749"/>
      <c r="F59" s="1751">
        <v>0</v>
      </c>
      <c r="G59" s="1751">
        <v>0</v>
      </c>
      <c r="H59" s="1751">
        <v>0</v>
      </c>
      <c r="I59" s="1751">
        <v>0</v>
      </c>
      <c r="J59" s="1751" cm="1">
        <f t="array" ref="J59">-'BS 2024'!F109/1000</f>
        <v>-17000</v>
      </c>
      <c r="K59" s="1751">
        <v>0</v>
      </c>
      <c r="L59" s="1751">
        <v>0</v>
      </c>
      <c r="M59" s="1751">
        <v>0</v>
      </c>
      <c r="N59" s="1751">
        <v>0</v>
      </c>
      <c r="O59" s="1751">
        <v>0</v>
      </c>
      <c r="P59" s="1751">
        <v>0</v>
      </c>
      <c r="Q59" s="1751">
        <v>0</v>
      </c>
      <c r="R59" s="1751">
        <v>0</v>
      </c>
      <c r="S59" s="1751">
        <v>0</v>
      </c>
      <c r="T59" s="1751">
        <v>0</v>
      </c>
      <c r="U59" s="1751" cm="1">
        <f t="array" ref="U59">SUM(F59:T59)</f>
        <v>-17000</v>
      </c>
      <c r="V59" s="1756"/>
    </row>
    <row r="60" ht="16" customHeight="1">
      <c r="A60" s="12"/>
      <c r="B60" s="1746"/>
      <c r="C60" s="1747"/>
      <c r="D60" t="s" s="1748">
        <v>2227</v>
      </c>
      <c r="E60" s="1749"/>
      <c r="F60" s="1751">
        <v>0</v>
      </c>
      <c r="G60" s="1751">
        <v>0</v>
      </c>
      <c r="H60" s="1751">
        <v>0</v>
      </c>
      <c r="I60" s="1751">
        <v>0</v>
      </c>
      <c r="J60" s="1751" cm="1">
        <f t="array" ref="J60">-'BS 2024'!F110/1000</f>
        <v>3000</v>
      </c>
      <c r="K60" s="1751">
        <v>0</v>
      </c>
      <c r="L60" s="1751">
        <v>0</v>
      </c>
      <c r="M60" s="1751">
        <v>0</v>
      </c>
      <c r="N60" s="1751">
        <v>0</v>
      </c>
      <c r="O60" s="1751">
        <v>0</v>
      </c>
      <c r="P60" s="1751">
        <v>0</v>
      </c>
      <c r="Q60" s="1751">
        <v>0</v>
      </c>
      <c r="R60" s="1751">
        <v>0</v>
      </c>
      <c r="S60" s="1751">
        <v>0</v>
      </c>
      <c r="T60" s="1751">
        <v>0</v>
      </c>
      <c r="U60" s="1751" cm="1">
        <f t="array" ref="U60">SUM(F60:T60)</f>
        <v>3000</v>
      </c>
      <c r="V60" s="1756"/>
    </row>
    <row r="61" ht="16" customHeight="1">
      <c r="A61" s="12"/>
      <c r="B61" s="1746"/>
      <c r="C61" s="1747"/>
      <c r="D61" t="s" s="1748">
        <v>2228</v>
      </c>
      <c r="E61" s="1749"/>
      <c r="F61" s="1751">
        <v>0</v>
      </c>
      <c r="G61" s="1751">
        <v>0</v>
      </c>
      <c r="H61" s="1751">
        <v>0</v>
      </c>
      <c r="I61" s="1751">
        <v>0</v>
      </c>
      <c r="J61" s="1751" cm="1">
        <f t="array" ref="J61">-'BS 2024'!F113/1000</f>
        <v>-915100</v>
      </c>
      <c r="K61" s="1751">
        <v>0</v>
      </c>
      <c r="L61" s="1751">
        <v>0</v>
      </c>
      <c r="M61" s="1751">
        <v>-500000</v>
      </c>
      <c r="N61" s="1751">
        <v>0</v>
      </c>
      <c r="O61" s="1751">
        <v>0</v>
      </c>
      <c r="P61" s="1751">
        <v>0</v>
      </c>
      <c r="Q61" s="1751">
        <v>0</v>
      </c>
      <c r="R61" s="1751">
        <v>0</v>
      </c>
      <c r="S61" s="1751">
        <v>0</v>
      </c>
      <c r="T61" s="1751">
        <v>0</v>
      </c>
      <c r="U61" s="1751" cm="1">
        <f t="array" ref="U61">SUM(F61:T61)</f>
        <v>-1415100</v>
      </c>
      <c r="V61" s="1756"/>
    </row>
    <row r="62" ht="16" customHeight="1">
      <c r="A62" s="12"/>
      <c r="B62" s="1746"/>
      <c r="C62" s="1747"/>
      <c r="D62" t="s" s="1748">
        <v>2253</v>
      </c>
      <c r="E62" s="1749"/>
      <c r="F62" s="1751">
        <v>0</v>
      </c>
      <c r="G62" s="1751">
        <v>0</v>
      </c>
      <c r="H62" s="1751">
        <v>0</v>
      </c>
      <c r="I62" s="1751">
        <v>0</v>
      </c>
      <c r="J62" s="1751" cm="1">
        <f t="array" ref="J62">-'BS 2024'!F114/1000</f>
        <v>-103000</v>
      </c>
      <c r="K62" s="1751">
        <v>0</v>
      </c>
      <c r="L62" s="1751">
        <v>0</v>
      </c>
      <c r="M62" s="1751">
        <v>0</v>
      </c>
      <c r="N62" s="1751">
        <v>0</v>
      </c>
      <c r="O62" s="1751">
        <v>0</v>
      </c>
      <c r="P62" s="1751">
        <v>0</v>
      </c>
      <c r="Q62" s="1751">
        <v>0</v>
      </c>
      <c r="R62" s="1751">
        <v>0</v>
      </c>
      <c r="S62" s="1751">
        <v>0</v>
      </c>
      <c r="T62" s="1751">
        <v>0</v>
      </c>
      <c r="U62" s="1751" cm="1">
        <f t="array" ref="U62">SUM(F62:T62)</f>
        <v>-103000</v>
      </c>
      <c r="V62" s="1756"/>
    </row>
    <row r="63" ht="16" customHeight="1">
      <c r="A63" s="12"/>
      <c r="B63" s="1746"/>
      <c r="C63" s="1747"/>
      <c r="D63" t="s" s="1748">
        <v>2254</v>
      </c>
      <c r="E63" s="1749"/>
      <c r="F63" s="1751">
        <v>0</v>
      </c>
      <c r="G63" s="1751">
        <v>0</v>
      </c>
      <c r="H63" s="1751">
        <v>0</v>
      </c>
      <c r="I63" s="1751">
        <v>0</v>
      </c>
      <c r="J63" s="1751" cm="1">
        <f t="array" ref="J63">-'BS 2024'!F115/1000</f>
        <v>-4000</v>
      </c>
      <c r="K63" s="1751">
        <v>0</v>
      </c>
      <c r="L63" s="1751">
        <v>0</v>
      </c>
      <c r="M63" s="1751">
        <v>0</v>
      </c>
      <c r="N63" s="1751">
        <v>0</v>
      </c>
      <c r="O63" s="1751">
        <v>0</v>
      </c>
      <c r="P63" s="1751">
        <v>0</v>
      </c>
      <c r="Q63" s="1751">
        <v>0</v>
      </c>
      <c r="R63" s="1751">
        <v>0</v>
      </c>
      <c r="S63" s="1751">
        <v>0</v>
      </c>
      <c r="T63" s="1751">
        <v>0</v>
      </c>
      <c r="U63" s="1751" cm="1">
        <f t="array" ref="U63">SUM(F63:T63)</f>
        <v>-4000</v>
      </c>
      <c r="V63" s="1756"/>
    </row>
    <row r="64" ht="16" customHeight="1">
      <c r="A64" s="12"/>
      <c r="B64" s="1746"/>
      <c r="C64" s="1747"/>
      <c r="D64" t="s" s="1748">
        <v>2224</v>
      </c>
      <c r="E64" s="1749"/>
      <c r="F64" s="1751">
        <v>0</v>
      </c>
      <c r="G64" s="1751">
        <v>0</v>
      </c>
      <c r="H64" s="1751">
        <v>0</v>
      </c>
      <c r="I64" s="1751">
        <v>0</v>
      </c>
      <c r="J64" s="1751" cm="1">
        <f t="array" ref="J64">-'BS 2024'!F117/1000</f>
        <v>-26850</v>
      </c>
      <c r="K64" s="1751">
        <v>0</v>
      </c>
      <c r="L64" s="1751">
        <v>0</v>
      </c>
      <c r="M64" s="1751">
        <v>0</v>
      </c>
      <c r="N64" s="1751">
        <v>0</v>
      </c>
      <c r="O64" s="1751">
        <v>0</v>
      </c>
      <c r="P64" s="1751">
        <v>0</v>
      </c>
      <c r="Q64" s="1751">
        <v>0</v>
      </c>
      <c r="R64" s="1751">
        <v>0</v>
      </c>
      <c r="S64" s="1751">
        <v>0</v>
      </c>
      <c r="T64" s="1751">
        <v>0</v>
      </c>
      <c r="U64" s="1751" cm="1">
        <f t="array" ref="U64">SUM(F64:T64)</f>
        <v>-26850</v>
      </c>
      <c r="V64" s="1756"/>
    </row>
    <row r="65" ht="16" customHeight="1">
      <c r="A65" s="12"/>
      <c r="B65" s="1746"/>
      <c r="C65" s="1747"/>
      <c r="D65" t="s" s="1748">
        <v>2255</v>
      </c>
      <c r="E65" s="1749"/>
      <c r="F65" s="1751">
        <v>0</v>
      </c>
      <c r="G65" s="1751">
        <v>0</v>
      </c>
      <c r="H65" s="1751">
        <v>0</v>
      </c>
      <c r="I65" s="1751">
        <v>0</v>
      </c>
      <c r="J65" s="1751" cm="1">
        <f t="array" ref="J65">-'BS 2024'!F118/1000</f>
        <v>0</v>
      </c>
      <c r="K65" s="1751">
        <v>0</v>
      </c>
      <c r="L65" s="1751">
        <v>0</v>
      </c>
      <c r="M65" s="1751">
        <v>0</v>
      </c>
      <c r="N65" s="1751">
        <v>0</v>
      </c>
      <c r="O65" s="1751">
        <v>0</v>
      </c>
      <c r="P65" s="1751">
        <v>0</v>
      </c>
      <c r="Q65" s="1751">
        <v>0</v>
      </c>
      <c r="R65" s="1751">
        <v>0</v>
      </c>
      <c r="S65" s="1751">
        <v>0</v>
      </c>
      <c r="T65" s="1751">
        <v>0</v>
      </c>
      <c r="U65" s="1751" cm="1">
        <f t="array" ref="U65">SUM(F65:T65)</f>
        <v>0</v>
      </c>
      <c r="V65" s="1756"/>
    </row>
    <row r="66" ht="16" customHeight="1">
      <c r="A66" s="12"/>
      <c r="B66" s="1746"/>
      <c r="C66" s="1747"/>
      <c r="D66" t="s" s="1748">
        <v>2224</v>
      </c>
      <c r="E66" s="1749"/>
      <c r="F66" s="1751">
        <v>0</v>
      </c>
      <c r="G66" s="1751">
        <v>0</v>
      </c>
      <c r="H66" s="1751">
        <v>0</v>
      </c>
      <c r="I66" s="1751">
        <v>0</v>
      </c>
      <c r="J66" s="1751" cm="1">
        <f t="array" ref="J66">-'BS 2024'!F155/1000</f>
        <v>-20000</v>
      </c>
      <c r="K66" s="1751">
        <v>0</v>
      </c>
      <c r="L66" s="1751">
        <v>0</v>
      </c>
      <c r="M66" s="1751">
        <v>0</v>
      </c>
      <c r="N66" s="1751">
        <v>0</v>
      </c>
      <c r="O66" s="1751">
        <v>0</v>
      </c>
      <c r="P66" s="1751">
        <v>0</v>
      </c>
      <c r="Q66" s="1751">
        <v>0</v>
      </c>
      <c r="R66" s="1751">
        <v>0</v>
      </c>
      <c r="S66" s="1751">
        <v>0</v>
      </c>
      <c r="T66" s="1751">
        <v>0</v>
      </c>
      <c r="U66" s="1751" cm="1">
        <f t="array" ref="U66">SUM(F66:T66)</f>
        <v>-20000</v>
      </c>
      <c r="V66" s="1756"/>
    </row>
    <row r="67" ht="16" customHeight="1">
      <c r="A67" s="12"/>
      <c r="B67" s="1746"/>
      <c r="C67" s="1747"/>
      <c r="D67" t="s" s="1748">
        <v>2256</v>
      </c>
      <c r="E67" s="1749"/>
      <c r="F67" s="1751">
        <v>0</v>
      </c>
      <c r="G67" s="1751">
        <v>0</v>
      </c>
      <c r="H67" s="1751">
        <v>0</v>
      </c>
      <c r="I67" s="1751">
        <v>0</v>
      </c>
      <c r="J67" s="1751" cm="1">
        <f t="array" ref="J67">-'BS 2024'!F160/1000</f>
        <v>-20000</v>
      </c>
      <c r="K67" s="1751">
        <v>0</v>
      </c>
      <c r="L67" s="1751">
        <v>0</v>
      </c>
      <c r="M67" s="1751">
        <v>0</v>
      </c>
      <c r="N67" s="1751">
        <v>0</v>
      </c>
      <c r="O67" s="1751">
        <v>0</v>
      </c>
      <c r="P67" s="1751">
        <v>0</v>
      </c>
      <c r="Q67" s="1751">
        <v>0</v>
      </c>
      <c r="R67" s="1751">
        <v>0</v>
      </c>
      <c r="S67" s="1751">
        <v>0</v>
      </c>
      <c r="T67" s="1751">
        <v>0</v>
      </c>
      <c r="U67" s="1751" cm="1">
        <f t="array" ref="U67">SUM(F67:T67)</f>
        <v>-20000</v>
      </c>
      <c r="V67" s="1756"/>
    </row>
    <row r="68" ht="16" customHeight="1">
      <c r="A68" s="12"/>
      <c r="B68" s="1746"/>
      <c r="C68" s="1747"/>
      <c r="D68" t="s" s="1748">
        <v>2257</v>
      </c>
      <c r="E68" s="1749"/>
      <c r="F68" s="1751">
        <v>0</v>
      </c>
      <c r="G68" s="1751">
        <v>0</v>
      </c>
      <c r="H68" s="1751">
        <v>0</v>
      </c>
      <c r="I68" s="1751">
        <v>0</v>
      </c>
      <c r="J68" s="1751" cm="1">
        <f t="array" ref="J68">-'BS 2024'!F196/1000</f>
        <v>-50000</v>
      </c>
      <c r="K68" s="1751">
        <v>0</v>
      </c>
      <c r="L68" s="1751">
        <v>0</v>
      </c>
      <c r="M68" s="1751">
        <v>0</v>
      </c>
      <c r="N68" s="1751">
        <v>0</v>
      </c>
      <c r="O68" s="1751">
        <v>0</v>
      </c>
      <c r="P68" s="1751">
        <v>0</v>
      </c>
      <c r="Q68" s="1751">
        <v>0</v>
      </c>
      <c r="R68" s="1751">
        <v>0</v>
      </c>
      <c r="S68" s="1751">
        <v>0</v>
      </c>
      <c r="T68" s="1751">
        <v>0</v>
      </c>
      <c r="U68" s="1751" cm="1">
        <f t="array" ref="U68">SUM(F68:T68)</f>
        <v>-50000</v>
      </c>
      <c r="V68" s="1756"/>
    </row>
    <row r="69" ht="16" customHeight="1">
      <c r="A69" s="12"/>
      <c r="B69" s="1746"/>
      <c r="C69" s="1747"/>
      <c r="D69" t="s" s="1748">
        <v>2258</v>
      </c>
      <c r="E69" s="1749"/>
      <c r="F69" s="1751">
        <v>0</v>
      </c>
      <c r="G69" s="1751">
        <v>0</v>
      </c>
      <c r="H69" s="1751">
        <v>0</v>
      </c>
      <c r="I69" s="1751">
        <v>0</v>
      </c>
      <c r="J69" s="1751" cm="1">
        <f t="array" ref="J69">-'BS 2024'!F213/1000</f>
        <v>-350000</v>
      </c>
      <c r="K69" s="1751">
        <v>0</v>
      </c>
      <c r="L69" s="1751">
        <v>0</v>
      </c>
      <c r="M69" s="1751">
        <v>0</v>
      </c>
      <c r="N69" s="1751">
        <v>0</v>
      </c>
      <c r="O69" s="1751">
        <v>0</v>
      </c>
      <c r="P69" s="1751">
        <v>0</v>
      </c>
      <c r="Q69" s="1751">
        <v>0</v>
      </c>
      <c r="R69" s="1751">
        <v>0</v>
      </c>
      <c r="S69" s="1751">
        <v>0</v>
      </c>
      <c r="T69" s="1751">
        <v>0</v>
      </c>
      <c r="U69" s="1751" cm="1">
        <f t="array" ref="U69">SUM(F69:T69)</f>
        <v>-350000</v>
      </c>
      <c r="V69" s="1756"/>
    </row>
    <row r="70" ht="16" customHeight="1">
      <c r="A70" s="12"/>
      <c r="B70" s="1746"/>
      <c r="C70" s="1747"/>
      <c r="D70" t="s" s="1748">
        <v>2259</v>
      </c>
      <c r="E70" s="1749"/>
      <c r="F70" s="1751">
        <v>0</v>
      </c>
      <c r="G70" s="1751">
        <v>0</v>
      </c>
      <c r="H70" s="1751">
        <v>0</v>
      </c>
      <c r="I70" s="1751">
        <v>0</v>
      </c>
      <c r="J70" s="1751" cm="1">
        <f t="array" ref="J70">-'BS 2024'!F224/1000</f>
        <v>-21729.7</v>
      </c>
      <c r="K70" s="1751">
        <v>0</v>
      </c>
      <c r="L70" s="1751">
        <v>0</v>
      </c>
      <c r="M70" s="1751">
        <v>0</v>
      </c>
      <c r="N70" s="1751">
        <v>0</v>
      </c>
      <c r="O70" s="1751">
        <v>0</v>
      </c>
      <c r="P70" s="1751">
        <v>0</v>
      </c>
      <c r="Q70" s="1751">
        <v>0</v>
      </c>
      <c r="R70" s="1751">
        <v>0</v>
      </c>
      <c r="S70" s="1751">
        <v>0</v>
      </c>
      <c r="T70" s="1751">
        <v>0</v>
      </c>
      <c r="U70" s="1751" cm="1">
        <f t="array" ref="U70">SUM(F70:T70)</f>
        <v>-21729.7</v>
      </c>
      <c r="V70" s="1756"/>
    </row>
    <row r="71" ht="16" customHeight="1">
      <c r="A71" s="12"/>
      <c r="B71" s="1746"/>
      <c r="C71" s="1747"/>
      <c r="D71" t="s" s="1748">
        <v>2230</v>
      </c>
      <c r="E71" s="1749"/>
      <c r="F71" s="1751">
        <v>0</v>
      </c>
      <c r="G71" s="1751">
        <v>0</v>
      </c>
      <c r="H71" s="1751">
        <v>0</v>
      </c>
      <c r="I71" s="1751">
        <v>0</v>
      </c>
      <c r="J71" s="1751" cm="1">
        <f t="array" ref="J71">-'BS 2024'!F247/1000</f>
        <v>-30795</v>
      </c>
      <c r="K71" s="1751">
        <v>0</v>
      </c>
      <c r="L71" s="1751">
        <v>0</v>
      </c>
      <c r="M71" s="1751">
        <v>0</v>
      </c>
      <c r="N71" s="1751">
        <v>0</v>
      </c>
      <c r="O71" s="1751">
        <v>0</v>
      </c>
      <c r="P71" s="1751">
        <v>0</v>
      </c>
      <c r="Q71" s="1751">
        <v>0</v>
      </c>
      <c r="R71" s="1751">
        <v>0</v>
      </c>
      <c r="S71" s="1751">
        <v>0</v>
      </c>
      <c r="T71" s="1751">
        <v>0</v>
      </c>
      <c r="U71" s="1751" cm="1">
        <f t="array" ref="U71">SUM(F71:T71)</f>
        <v>-30795</v>
      </c>
      <c r="V71" s="1756"/>
    </row>
    <row r="72" ht="16" customHeight="1">
      <c r="A72" s="12"/>
      <c r="B72" s="1746"/>
      <c r="C72" s="1747"/>
      <c r="D72" t="s" s="1748">
        <v>2229</v>
      </c>
      <c r="E72" s="1749"/>
      <c r="F72" s="1751">
        <v>0</v>
      </c>
      <c r="G72" s="1751">
        <v>0</v>
      </c>
      <c r="H72" s="1751">
        <v>0</v>
      </c>
      <c r="I72" s="1751">
        <v>0</v>
      </c>
      <c r="J72" s="1751" cm="1">
        <f t="array" ref="J72">-'BS 2024'!F248/1000</f>
        <v>-8000</v>
      </c>
      <c r="K72" s="1751">
        <v>0</v>
      </c>
      <c r="L72" s="1751">
        <v>0</v>
      </c>
      <c r="M72" s="1751">
        <v>0</v>
      </c>
      <c r="N72" s="1751">
        <v>0</v>
      </c>
      <c r="O72" s="1751">
        <v>0</v>
      </c>
      <c r="P72" s="1751">
        <v>0</v>
      </c>
      <c r="Q72" s="1751">
        <v>0</v>
      </c>
      <c r="R72" s="1751">
        <v>0</v>
      </c>
      <c r="S72" s="1751">
        <v>0</v>
      </c>
      <c r="T72" s="1751">
        <v>0</v>
      </c>
      <c r="U72" s="1751" cm="1">
        <f t="array" ref="U72">SUM(F72:T72)</f>
        <v>-8000</v>
      </c>
      <c r="V72" s="1756"/>
    </row>
    <row r="73" ht="16" customHeight="1">
      <c r="A73" s="12"/>
      <c r="B73" s="1746"/>
      <c r="C73" s="1747"/>
      <c r="D73" t="s" s="1748">
        <v>2260</v>
      </c>
      <c r="E73" s="1749"/>
      <c r="F73" s="1751">
        <v>0</v>
      </c>
      <c r="G73" s="1751">
        <v>0</v>
      </c>
      <c r="H73" s="1751">
        <v>0</v>
      </c>
      <c r="I73" s="1751">
        <v>0</v>
      </c>
      <c r="J73" s="1751" cm="1">
        <f t="array" ref="J73">-'BS 2024'!F251/1000</f>
        <v>-50000</v>
      </c>
      <c r="K73" s="1751">
        <v>0</v>
      </c>
      <c r="L73" s="1751">
        <v>0</v>
      </c>
      <c r="M73" s="1751">
        <v>0</v>
      </c>
      <c r="N73" s="1751">
        <v>0</v>
      </c>
      <c r="O73" s="1751">
        <v>0</v>
      </c>
      <c r="P73" s="1751">
        <v>0</v>
      </c>
      <c r="Q73" s="1751">
        <v>0</v>
      </c>
      <c r="R73" s="1751">
        <v>0</v>
      </c>
      <c r="S73" s="1751">
        <v>0</v>
      </c>
      <c r="T73" s="1751">
        <v>0</v>
      </c>
      <c r="U73" s="1751" cm="1">
        <f t="array" ref="U73">SUM(F73:T73)</f>
        <v>-50000</v>
      </c>
      <c r="V73" s="1756"/>
    </row>
    <row r="74" ht="16" customHeight="1">
      <c r="A74" s="12"/>
      <c r="B74" s="1746"/>
      <c r="C74" s="1747"/>
      <c r="D74" s="1757"/>
      <c r="E74" s="1749"/>
      <c r="F74" s="1751"/>
      <c r="G74" s="1751"/>
      <c r="H74" s="1751"/>
      <c r="I74" s="1751"/>
      <c r="J74" s="1751"/>
      <c r="K74" s="1751"/>
      <c r="L74" s="1751"/>
      <c r="M74" s="1751"/>
      <c r="N74" s="1751"/>
      <c r="O74" s="1751"/>
      <c r="P74" s="1751"/>
      <c r="Q74" s="1751"/>
      <c r="R74" s="1751"/>
      <c r="S74" s="1751"/>
      <c r="T74" s="1751"/>
      <c r="U74" s="1751"/>
      <c r="V74" s="1756"/>
    </row>
    <row r="75" ht="16" customHeight="1">
      <c r="A75" s="12"/>
      <c r="B75" s="1746"/>
      <c r="C75" s="1747"/>
      <c r="D75" t="s" s="1748">
        <v>2261</v>
      </c>
      <c r="E75" s="1749"/>
      <c r="F75" s="1751">
        <v>0</v>
      </c>
      <c r="G75" s="1751">
        <v>0</v>
      </c>
      <c r="H75" s="1751">
        <v>0</v>
      </c>
      <c r="I75" s="1751">
        <v>0</v>
      </c>
      <c r="J75" s="1751">
        <v>0</v>
      </c>
      <c r="K75" s="1751">
        <v>0</v>
      </c>
      <c r="L75" s="1751">
        <v>0</v>
      </c>
      <c r="M75" s="1751">
        <v>0</v>
      </c>
      <c r="N75" s="1751">
        <v>0</v>
      </c>
      <c r="O75" s="1751">
        <v>0</v>
      </c>
      <c r="P75" s="1751" cm="1">
        <f t="array" ref="P75">-P13</f>
        <v>-837666.7851</v>
      </c>
      <c r="Q75" s="1751">
        <v>0</v>
      </c>
      <c r="R75" s="1751">
        <v>0</v>
      </c>
      <c r="S75" s="1751">
        <v>0</v>
      </c>
      <c r="T75" s="1751">
        <v>0</v>
      </c>
      <c r="U75" s="1751" cm="1">
        <f t="array" ref="U75">SUM(F75:T75)</f>
        <v>-837666.7851</v>
      </c>
      <c r="V75" s="1756"/>
    </row>
    <row r="76" ht="15.5" customHeight="1">
      <c r="A76" s="12"/>
      <c r="B76" s="1761"/>
      <c r="C76" s="1747"/>
      <c r="D76" s="1757"/>
      <c r="E76" s="1749"/>
      <c r="F76" s="1752"/>
      <c r="G76" s="1752"/>
      <c r="H76" s="1752"/>
      <c r="I76" s="1752"/>
      <c r="J76" s="1752"/>
      <c r="K76" s="1752"/>
      <c r="L76" s="1752"/>
      <c r="M76" s="1752"/>
      <c r="N76" s="1752"/>
      <c r="O76" s="1752"/>
      <c r="P76" s="1752"/>
      <c r="Q76" s="1752"/>
      <c r="R76" s="1752"/>
      <c r="S76" s="1752"/>
      <c r="T76" s="1752"/>
      <c r="U76" s="1752"/>
      <c r="V76" s="1753"/>
    </row>
    <row r="77" ht="16.5" customHeight="1">
      <c r="A77" s="12"/>
      <c r="B77" t="s" s="1767">
        <v>457</v>
      </c>
      <c r="C77" s="1747"/>
      <c r="D77" s="1757"/>
      <c r="E77" s="1749"/>
      <c r="F77" s="1751"/>
      <c r="G77" s="1751"/>
      <c r="H77" s="1751"/>
      <c r="I77" s="1751"/>
      <c r="J77" s="1751"/>
      <c r="K77" s="1751"/>
      <c r="L77" s="1751"/>
      <c r="M77" s="1751"/>
      <c r="N77" s="1751"/>
      <c r="O77" s="1751"/>
      <c r="P77" s="1751"/>
      <c r="Q77" s="1751"/>
      <c r="R77" s="1751"/>
      <c r="S77" s="1751"/>
      <c r="T77" s="1751"/>
      <c r="U77" s="1751"/>
      <c r="V77" s="1756"/>
    </row>
    <row r="78" ht="16" customHeight="1">
      <c r="A78" s="12"/>
      <c r="B78" s="1746"/>
      <c r="C78" s="1747"/>
      <c r="D78" t="s" s="1748">
        <v>458</v>
      </c>
      <c r="E78" s="1749"/>
      <c r="F78" s="1751" cm="1">
        <f t="array" ref="F78">'BS 2024'!D7/1000</f>
        <v>2249799.24259</v>
      </c>
      <c r="G78" s="1751"/>
      <c r="H78" s="1751"/>
      <c r="I78" s="1751"/>
      <c r="J78" s="1751"/>
      <c r="K78" s="1751"/>
      <c r="L78" s="1751"/>
      <c r="M78" s="1751"/>
      <c r="N78" s="1751"/>
      <c r="O78" s="1751"/>
      <c r="P78" s="1751"/>
      <c r="Q78" s="1751"/>
      <c r="R78" s="1751"/>
      <c r="S78" s="1751"/>
      <c r="T78" s="1751"/>
      <c r="U78" s="1751" cm="1">
        <f t="array" ref="U78">SUM(F78:T78)</f>
        <v>2249799.24259</v>
      </c>
      <c r="V78" s="1756"/>
    </row>
    <row r="79" ht="16" customHeight="1">
      <c r="A79" s="12"/>
      <c r="B79" s="1746"/>
      <c r="C79" s="1747"/>
      <c r="D79" t="s" s="1748">
        <v>459</v>
      </c>
      <c r="E79" s="1749"/>
      <c r="F79" s="1751" cm="1">
        <f t="array" ref="F79">SUM(F13:F75)</f>
        <v>805703.7302</v>
      </c>
      <c r="G79" s="1751" cm="1">
        <f t="array" ref="G79">SUM(G13:G75)</f>
        <v>0</v>
      </c>
      <c r="H79" s="1751" cm="1">
        <f t="array" ref="H79">SUM(H13:H75)</f>
        <v>0</v>
      </c>
      <c r="I79" s="1751" cm="1">
        <f t="array" ref="I79">SUM(I13:I75)</f>
        <v>0</v>
      </c>
      <c r="J79" s="1751" cm="1">
        <f t="array" ref="J79">SUM(J13:J75)</f>
        <v>0</v>
      </c>
      <c r="K79" s="1751" cm="1">
        <f t="array" ref="K79">SUM(K13:K75)</f>
        <v>0</v>
      </c>
      <c r="L79" s="1751" cm="1">
        <f t="array" ref="L79">SUM(L13:L75)</f>
        <v>0</v>
      </c>
      <c r="M79" s="1751" cm="1">
        <f t="array" ref="M79">SUM(M13:M75)</f>
        <v>0</v>
      </c>
      <c r="N79" s="1751" cm="1">
        <f t="array" ref="N79">SUM(N13:N75)</f>
        <v>0</v>
      </c>
      <c r="O79" s="1751" cm="1">
        <f t="array" ref="O79">SUM(O13:O75)</f>
        <v>0</v>
      </c>
      <c r="P79" s="1751" cm="1">
        <f t="array" ref="P79">SUM(P13:P75)</f>
        <v>0</v>
      </c>
      <c r="Q79" s="1751" cm="1">
        <f t="array" ref="Q79">SUM(Q13:Q75)</f>
        <v>0</v>
      </c>
      <c r="R79" s="1751" cm="1">
        <f t="array" ref="R79">SUM(R13:R75)</f>
        <v>1219126</v>
      </c>
      <c r="S79" s="1751" cm="1">
        <f t="array" ref="S79">SUM(S13:S75)</f>
        <v>0</v>
      </c>
      <c r="T79" s="1751" cm="1">
        <f t="array" ref="T79">SUM(T13:T75)</f>
        <v>0</v>
      </c>
      <c r="U79" s="1751" cm="1">
        <f t="array" ref="U79">SUM(U13:U76)</f>
        <v>2024829.7302</v>
      </c>
      <c r="V79" s="1756"/>
    </row>
    <row r="80" ht="16" customHeight="1">
      <c r="A80" s="12"/>
      <c r="B80" s="1746"/>
      <c r="C80" s="1747"/>
      <c r="D80" t="s" s="1748">
        <v>460</v>
      </c>
      <c r="E80" s="1749"/>
      <c r="F80" s="1751" cm="1">
        <f t="array" ref="F80">'BS 2024'!C7/1000</f>
        <v>3055502.97279</v>
      </c>
      <c r="G80" s="1751"/>
      <c r="H80" s="1751"/>
      <c r="I80" s="1751"/>
      <c r="J80" s="1751"/>
      <c r="K80" s="1751" cm="1">
        <f t="array" ref="K80">K18</f>
        <v>0</v>
      </c>
      <c r="L80" s="1751" cm="1">
        <f t="array" ref="L80">L51</f>
        <v>0</v>
      </c>
      <c r="M80" s="1751"/>
      <c r="N80" s="1751"/>
      <c r="O80" s="1751"/>
      <c r="P80" s="1751"/>
      <c r="Q80" s="1751"/>
      <c r="R80" s="1751" cm="1">
        <f t="array" ref="R80">R17</f>
        <v>1219126</v>
      </c>
      <c r="S80" s="1751"/>
      <c r="T80" s="1751"/>
      <c r="U80" s="1751" cm="1">
        <f t="array" ref="U80">SUM(F80:T80)</f>
        <v>4274628.97279</v>
      </c>
      <c r="V80" s="1756"/>
    </row>
    <row r="81" ht="14.5" customHeight="1">
      <c r="A81" s="12"/>
      <c r="B81" s="1776"/>
      <c r="C81" s="1777"/>
      <c r="D81" t="s" s="1778">
        <v>2235</v>
      </c>
      <c r="E81" s="1749"/>
      <c r="F81" s="1779" cm="1">
        <f t="array" ref="F81">SUM(F78:F79)-F80</f>
        <v>0</v>
      </c>
      <c r="G81" s="1779" cm="1">
        <f t="array" ref="G81">SUM(G78:G79)-G80</f>
        <v>0</v>
      </c>
      <c r="H81" s="1779" cm="1">
        <f t="array" ref="H81">SUM(H78:H79)-H80</f>
        <v>0</v>
      </c>
      <c r="I81" s="1779" cm="1">
        <f t="array" ref="I81">SUM(I78:I79)-I80</f>
        <v>0</v>
      </c>
      <c r="J81" s="1779" cm="1">
        <f t="array" ref="J81">SUM(J78:J79)-J80</f>
        <v>0</v>
      </c>
      <c r="K81" s="1779" cm="1">
        <f t="array" ref="K81">SUM(K78:K79)-K80</f>
        <v>0</v>
      </c>
      <c r="L81" s="1779" cm="1">
        <f t="array" ref="L81">SUM(L78:L79)-L80</f>
        <v>0</v>
      </c>
      <c r="M81" s="1779" cm="1">
        <f t="array" ref="M81">SUM(M78:M79)-M80</f>
        <v>0</v>
      </c>
      <c r="N81" s="1779" cm="1">
        <f t="array" ref="N81">SUM(N78:N79)-N80</f>
        <v>0</v>
      </c>
      <c r="O81" s="1779" cm="1">
        <f t="array" ref="O81">SUM(O78:O79)-O80</f>
        <v>0</v>
      </c>
      <c r="P81" s="1779" cm="1">
        <f t="array" ref="P81">SUM(P78:P79)-P80</f>
        <v>0</v>
      </c>
      <c r="Q81" s="1779" cm="1">
        <f t="array" ref="Q81">SUM(Q78:Q79)-Q80</f>
        <v>0</v>
      </c>
      <c r="R81" s="1779" cm="1">
        <f t="array" ref="R81">SUM(R78:R79)-R80</f>
        <v>0</v>
      </c>
      <c r="S81" s="1779" cm="1">
        <f t="array" ref="S81">SUM(S78:S79)-S80</f>
        <v>0</v>
      </c>
      <c r="T81" s="1779" cm="1">
        <f t="array" ref="T81">SUM(T78:T79)-T80</f>
        <v>0</v>
      </c>
      <c r="U81" s="1779" cm="1">
        <f t="array" ref="U81">SUM(U78:U79)-U80</f>
        <v>0</v>
      </c>
      <c r="V81" s="1756"/>
    </row>
    <row r="82" ht="15.5" customHeight="1">
      <c r="A82" s="12"/>
      <c r="B82" s="1746"/>
      <c r="C82" s="1747"/>
      <c r="D82" s="1757"/>
      <c r="E82" s="1749"/>
      <c r="F82" s="1752"/>
      <c r="G82" s="1752"/>
      <c r="H82" s="1752"/>
      <c r="I82" s="1752"/>
      <c r="J82" s="1752"/>
      <c r="K82" s="1752"/>
      <c r="L82" s="1752"/>
      <c r="M82" s="1752"/>
      <c r="N82" s="1752"/>
      <c r="O82" s="1752"/>
      <c r="P82" s="1752"/>
      <c r="Q82" s="1752"/>
      <c r="R82" s="1752"/>
      <c r="S82" s="1752"/>
      <c r="T82" s="1752"/>
      <c r="U82" s="1752"/>
      <c r="V82" s="1753"/>
    </row>
    <row r="83" ht="15.5" customHeight="1">
      <c r="A83" s="570"/>
      <c r="B83" s="1781"/>
      <c r="C83" s="1782"/>
      <c r="D83" s="1783"/>
      <c r="E83" s="1784"/>
      <c r="F83" s="1785"/>
      <c r="G83" s="1785"/>
      <c r="H83" s="1785"/>
      <c r="I83" s="1785"/>
      <c r="J83" s="1785"/>
      <c r="K83" s="1785"/>
      <c r="L83" s="1785"/>
      <c r="M83" s="1785"/>
      <c r="N83" s="1785"/>
      <c r="O83" s="1785"/>
      <c r="P83" s="1785"/>
      <c r="Q83" s="1785"/>
      <c r="R83" s="1785"/>
      <c r="S83" s="1785"/>
      <c r="T83" s="1785"/>
      <c r="U83" s="1785"/>
      <c r="V83" s="178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dimension ref="A1:N741"/>
  <sheetViews>
    <sheetView workbookViewId="0" showGridLines="0" defaultGridColor="1"/>
  </sheetViews>
  <sheetFormatPr defaultColWidth="8.83333" defaultRowHeight="13" customHeight="1" outlineLevelRow="0" outlineLevelCol="0"/>
  <cols>
    <col min="1" max="1" width="11.8516" style="1788" customWidth="1"/>
    <col min="2" max="2" width="50.8516" style="1788" customWidth="1"/>
    <col min="3" max="4" width="22.1719" style="1788" customWidth="1"/>
    <col min="5" max="6" width="12" style="1788" customWidth="1"/>
    <col min="7" max="7" width="4.35156" style="1788" customWidth="1"/>
    <col min="8" max="8" width="17.3516" style="1788" customWidth="1"/>
    <col min="9" max="9" width="4" style="1788" customWidth="1"/>
    <col min="10" max="10" width="8.85156" style="1788" customWidth="1"/>
    <col min="11" max="11" width="29.1719" style="1788" customWidth="1"/>
    <col min="12" max="12" width="21.5" style="1788" customWidth="1"/>
    <col min="13" max="13" width="16.8516" style="1788" customWidth="1"/>
    <col min="14" max="14" width="18.3516" style="1788" customWidth="1"/>
    <col min="15" max="16384" width="8.85156" style="1788" customWidth="1"/>
  </cols>
  <sheetData>
    <row r="1" ht="14" customHeight="1">
      <c r="A1" s="1789"/>
      <c r="B1" s="1789"/>
      <c r="C1" t="s" s="1790">
        <v>2263</v>
      </c>
      <c r="D1" t="s" s="1790">
        <v>2264</v>
      </c>
      <c r="E1" s="1791"/>
      <c r="F1" s="1791"/>
      <c r="G1" s="1789"/>
      <c r="H1" s="1792"/>
      <c r="I1" s="1789"/>
      <c r="J1" s="1789"/>
      <c r="K1" s="1789"/>
      <c r="L1" s="1789"/>
      <c r="M1" s="1789"/>
      <c r="N1" s="1789"/>
    </row>
    <row r="2" ht="14.05" customHeight="1">
      <c r="A2" s="1789"/>
      <c r="B2" s="1789"/>
      <c r="C2" s="1793"/>
      <c r="D2" s="1793"/>
      <c r="E2" s="1793"/>
      <c r="F2" s="1793"/>
      <c r="G2" s="1789"/>
      <c r="H2" s="1793"/>
      <c r="I2" s="1789"/>
      <c r="J2" s="1789"/>
      <c r="K2" s="1789"/>
      <c r="L2" s="1789"/>
      <c r="M2" s="1789"/>
      <c r="N2" s="1789"/>
    </row>
    <row r="3" ht="14" customHeight="1">
      <c r="A3" t="s" s="1790">
        <v>2265</v>
      </c>
      <c r="B3" t="s" s="1790">
        <v>2266</v>
      </c>
      <c r="C3" t="s" s="1790">
        <v>1079</v>
      </c>
      <c r="D3" t="s" s="1790">
        <v>1079</v>
      </c>
      <c r="E3" s="1791"/>
      <c r="F3" s="1791"/>
      <c r="G3" s="1789"/>
      <c r="H3" t="s" s="1790">
        <v>2201</v>
      </c>
      <c r="I3" s="1789"/>
      <c r="J3" s="1789"/>
      <c r="K3" s="1789"/>
      <c r="L3" s="1789"/>
      <c r="M3" s="1789"/>
      <c r="N3" s="1789"/>
    </row>
    <row r="4" ht="14.05" customHeight="1">
      <c r="A4" s="1793"/>
      <c r="B4" s="1793"/>
      <c r="C4" s="1793"/>
      <c r="D4" s="1793"/>
      <c r="E4" s="1793"/>
      <c r="F4" s="1793"/>
      <c r="G4" s="1789"/>
      <c r="H4" s="1793"/>
      <c r="I4" s="1789"/>
      <c r="J4" s="1789"/>
      <c r="K4" s="1789"/>
      <c r="L4" s="1789"/>
      <c r="M4" s="1789"/>
      <c r="N4" s="1789"/>
    </row>
    <row r="5" ht="14" customHeight="1">
      <c r="A5" s="1789"/>
      <c r="B5" t="s" s="1794">
        <v>2267</v>
      </c>
      <c r="C5" s="1795">
        <v>85410333392.66</v>
      </c>
      <c r="D5" s="1795">
        <v>54023282015.3</v>
      </c>
      <c r="E5" t="s" s="1796">
        <v>2268</v>
      </c>
      <c r="F5" t="s" s="1796">
        <v>2269</v>
      </c>
      <c r="G5" s="1789"/>
      <c r="H5" s="1795" cm="1">
        <f t="array" ref="H5">C5-D5</f>
        <v>31387051377.36</v>
      </c>
      <c r="I5" s="1789"/>
      <c r="J5" s="1789"/>
      <c r="K5" s="1789"/>
      <c r="L5" s="1789"/>
      <c r="M5" s="1789"/>
      <c r="N5" s="1789"/>
    </row>
    <row r="6" ht="13.5" customHeight="1">
      <c r="A6" s="1789"/>
      <c r="B6" t="s" s="1797">
        <v>2270</v>
      </c>
      <c r="C6" s="1798">
        <v>76259949995.50999</v>
      </c>
      <c r="D6" s="1798">
        <v>45655263367.72</v>
      </c>
      <c r="E6" s="1798"/>
      <c r="F6" s="1798"/>
      <c r="G6" s="1789"/>
      <c r="H6" s="1798" cm="1">
        <f t="array" ref="H6">C6-D6</f>
        <v>30604686627.79</v>
      </c>
      <c r="I6" s="1789"/>
      <c r="J6" s="1789"/>
      <c r="K6" t="s" s="1799">
        <v>2271</v>
      </c>
      <c r="L6" t="s" s="1799">
        <v>2272</v>
      </c>
      <c r="M6" s="1789"/>
      <c r="N6" s="1789"/>
    </row>
    <row r="7" ht="15" customHeight="1">
      <c r="A7" s="1789"/>
      <c r="B7" t="s" s="1800">
        <v>2273</v>
      </c>
      <c r="C7" s="1801">
        <v>8357821125.9</v>
      </c>
      <c r="D7" s="1801">
        <v>5272789907.46</v>
      </c>
      <c r="E7" s="1801"/>
      <c r="F7" s="1801"/>
      <c r="G7" s="1789"/>
      <c r="H7" s="1801" cm="1">
        <f t="array" ref="H7">C7-D7</f>
        <v>3085031218.44</v>
      </c>
      <c r="I7" s="1789"/>
      <c r="J7" s="1789"/>
      <c r="K7" s="1802" cm="1">
        <f t="array" ref="K7">-SUMIF(F102:F389,"IG",H102:H389)</f>
        <v>-21013458173.2</v>
      </c>
      <c r="L7" s="1802" cm="1">
        <f t="array" ref="L7">SUMIF(F474:F718,"IG",H474:H718)</f>
        <v>27809500084.51</v>
      </c>
      <c r="M7" s="1789"/>
      <c r="N7" s="1789"/>
    </row>
    <row r="8" ht="15" customHeight="1">
      <c r="A8" t="s" s="1799">
        <v>2274</v>
      </c>
      <c r="B8" t="s" s="1800">
        <v>2275</v>
      </c>
      <c r="C8" s="1801">
        <v>11479785</v>
      </c>
      <c r="D8" s="1801">
        <v>8339785</v>
      </c>
      <c r="E8" t="s" s="1799">
        <v>2275</v>
      </c>
      <c r="F8" s="1801"/>
      <c r="G8" s="1789"/>
      <c r="H8" s="1801" cm="1">
        <f t="array" ref="H8">C8-D8</f>
        <v>3140000</v>
      </c>
      <c r="I8" s="1789"/>
      <c r="J8" s="1789"/>
      <c r="K8" s="1789"/>
      <c r="L8" s="1789"/>
      <c r="M8" s="1789"/>
      <c r="N8" s="1789"/>
    </row>
    <row r="9" ht="15" customHeight="1">
      <c r="A9" t="s" s="1799">
        <v>2276</v>
      </c>
      <c r="B9" t="s" s="1800">
        <v>2277</v>
      </c>
      <c r="C9" s="1801">
        <v>63297587</v>
      </c>
      <c r="D9" s="1801">
        <v>63297587</v>
      </c>
      <c r="E9" t="s" s="1799">
        <v>2278</v>
      </c>
      <c r="F9" s="1801"/>
      <c r="G9" s="1789"/>
      <c r="H9" s="1801" cm="1">
        <f t="array" ref="H9">C9-D9</f>
        <v>0</v>
      </c>
      <c r="I9" s="1789"/>
      <c r="J9" s="1789"/>
      <c r="K9" t="s" s="1799">
        <v>2279</v>
      </c>
      <c r="L9" t="s" s="1799">
        <v>2280</v>
      </c>
      <c r="M9" s="1789"/>
      <c r="N9" s="1789"/>
    </row>
    <row r="10" ht="15" customHeight="1">
      <c r="A10" t="s" s="1799">
        <v>2281</v>
      </c>
      <c r="B10" t="s" s="1800">
        <v>2282</v>
      </c>
      <c r="C10" s="1801">
        <v>19359743</v>
      </c>
      <c r="D10" s="1801">
        <v>19359743</v>
      </c>
      <c r="E10" t="s" s="1799">
        <v>2278</v>
      </c>
      <c r="F10" s="1801"/>
      <c r="G10" s="1789"/>
      <c r="H10" s="1801" cm="1">
        <f t="array" ref="H10">C10-D10</f>
        <v>0</v>
      </c>
      <c r="I10" s="1789"/>
      <c r="J10" s="1789"/>
      <c r="K10" s="1802" cm="1">
        <f t="array" ref="K10">-SUM(H239:H242,H321,H393:H394)</f>
        <v>382218066.5</v>
      </c>
      <c r="L10" s="1802">
        <v>0</v>
      </c>
      <c r="M10" s="1789"/>
      <c r="N10" s="1789"/>
    </row>
    <row r="11" ht="15" customHeight="1">
      <c r="A11" t="s" s="1799">
        <v>2283</v>
      </c>
      <c r="B11" t="s" s="1800">
        <v>2284</v>
      </c>
      <c r="C11" s="1801">
        <v>13419990</v>
      </c>
      <c r="D11" s="1801">
        <v>429540</v>
      </c>
      <c r="E11" t="s" s="1799">
        <v>2278</v>
      </c>
      <c r="F11" s="1801"/>
      <c r="G11" s="1789"/>
      <c r="H11" s="1801" cm="1">
        <f t="array" ref="H11">C11-D11</f>
        <v>12990450</v>
      </c>
      <c r="I11" s="1789"/>
      <c r="J11" s="1789"/>
      <c r="K11" s="1789"/>
      <c r="L11" s="1789"/>
      <c r="M11" s="1789"/>
      <c r="N11" s="1789"/>
    </row>
    <row r="12" ht="15" customHeight="1">
      <c r="A12" t="s" s="1799">
        <v>2285</v>
      </c>
      <c r="B12" t="s" s="1800">
        <v>2286</v>
      </c>
      <c r="C12" s="1801">
        <v>0</v>
      </c>
      <c r="D12" s="1801">
        <v>0</v>
      </c>
      <c r="E12" t="s" s="1799">
        <v>2278</v>
      </c>
      <c r="F12" s="1801"/>
      <c r="G12" s="1789"/>
      <c r="H12" s="1801" cm="1">
        <f t="array" ref="H12">C12-D12</f>
        <v>0</v>
      </c>
      <c r="I12" s="1789"/>
      <c r="J12" s="1789"/>
      <c r="K12" s="1789"/>
      <c r="L12" s="1789"/>
      <c r="M12" s="1789"/>
      <c r="N12" s="1789"/>
    </row>
    <row r="13" ht="15" customHeight="1">
      <c r="A13" t="s" s="1799">
        <v>2285</v>
      </c>
      <c r="B13" t="s" s="1800">
        <v>2287</v>
      </c>
      <c r="C13" s="1801">
        <v>0</v>
      </c>
      <c r="D13" s="1801">
        <v>0</v>
      </c>
      <c r="E13" t="s" s="1799">
        <v>2278</v>
      </c>
      <c r="F13" s="1801"/>
      <c r="G13" s="1789"/>
      <c r="H13" s="1801" cm="1">
        <f t="array" ref="H13">C13-D13</f>
        <v>0</v>
      </c>
      <c r="I13" s="1789"/>
      <c r="J13" s="1789"/>
      <c r="K13" s="1789"/>
      <c r="L13" s="1789"/>
      <c r="M13" s="1789"/>
      <c r="N13" s="1789"/>
    </row>
    <row r="14" ht="15" customHeight="1">
      <c r="A14" t="s" s="1799">
        <v>2288</v>
      </c>
      <c r="B14" t="s" s="1800">
        <v>2289</v>
      </c>
      <c r="C14" s="1801">
        <v>0</v>
      </c>
      <c r="D14" s="1801">
        <v>0</v>
      </c>
      <c r="E14" t="s" s="1799">
        <v>2278</v>
      </c>
      <c r="F14" s="1801"/>
      <c r="G14" s="1789"/>
      <c r="H14" s="1801" cm="1">
        <f t="array" ref="H14">C14-D14</f>
        <v>0</v>
      </c>
      <c r="I14" s="1789"/>
      <c r="J14" s="1789"/>
      <c r="K14" s="1789"/>
      <c r="L14" s="1789"/>
      <c r="M14" s="1789"/>
      <c r="N14" s="1789"/>
    </row>
    <row r="15" ht="15" customHeight="1">
      <c r="A15" t="s" s="1799">
        <v>2290</v>
      </c>
      <c r="B15" t="s" s="1800">
        <v>2291</v>
      </c>
      <c r="C15" s="1801">
        <v>5845535.73</v>
      </c>
      <c r="D15" s="1801">
        <v>6333538.73</v>
      </c>
      <c r="E15" t="s" s="1799">
        <v>2275</v>
      </c>
      <c r="F15" s="1801"/>
      <c r="G15" s="1789"/>
      <c r="H15" s="1801" cm="1">
        <f t="array" ref="H15">C15-D15</f>
        <v>-488003</v>
      </c>
      <c r="I15" s="1789"/>
      <c r="J15" s="1789"/>
      <c r="K15" s="1789"/>
      <c r="L15" s="1789"/>
      <c r="M15" s="1789"/>
      <c r="N15" s="1789"/>
    </row>
    <row r="16" ht="15" customHeight="1">
      <c r="A16" t="s" s="1799">
        <v>2292</v>
      </c>
      <c r="B16" t="s" s="1800">
        <v>2293</v>
      </c>
      <c r="C16" s="1801">
        <v>0</v>
      </c>
      <c r="D16" s="1801">
        <v>0</v>
      </c>
      <c r="E16" t="s" s="1799">
        <v>2278</v>
      </c>
      <c r="F16" s="1801"/>
      <c r="G16" s="1789"/>
      <c r="H16" s="1801" cm="1">
        <f t="array" ref="H16">C16-D16</f>
        <v>0</v>
      </c>
      <c r="I16" s="1789"/>
      <c r="J16" s="1789"/>
      <c r="K16" s="1789"/>
      <c r="L16" s="1789"/>
      <c r="M16" s="1789"/>
      <c r="N16" s="1789"/>
    </row>
    <row r="17" ht="15" customHeight="1">
      <c r="A17" t="s" s="1799">
        <v>2292</v>
      </c>
      <c r="B17" t="s" s="1800">
        <v>2294</v>
      </c>
      <c r="C17" s="1801">
        <v>623582000</v>
      </c>
      <c r="D17" s="1801">
        <v>623582000</v>
      </c>
      <c r="E17" t="s" s="1799">
        <v>2278</v>
      </c>
      <c r="F17" s="1801"/>
      <c r="G17" s="1789"/>
      <c r="H17" s="1801" cm="1">
        <f t="array" ref="H17">C17-D17</f>
        <v>0</v>
      </c>
      <c r="I17" s="1789"/>
      <c r="J17" s="1789"/>
      <c r="K17" s="1789"/>
      <c r="L17" s="1789"/>
      <c r="M17" s="1789"/>
      <c r="N17" s="1789"/>
    </row>
    <row r="18" ht="15" customHeight="1">
      <c r="A18" t="s" s="1799">
        <v>2292</v>
      </c>
      <c r="B18" t="s" s="1800">
        <v>2295</v>
      </c>
      <c r="C18" s="1801">
        <v>0</v>
      </c>
      <c r="D18" s="1801">
        <v>0</v>
      </c>
      <c r="E18" t="s" s="1799">
        <v>2278</v>
      </c>
      <c r="F18" s="1801"/>
      <c r="G18" s="1789"/>
      <c r="H18" s="1801" cm="1">
        <f t="array" ref="H18">C18-D18</f>
        <v>0</v>
      </c>
      <c r="I18" s="1789"/>
      <c r="J18" s="1789"/>
      <c r="K18" s="1789"/>
      <c r="L18" s="1789"/>
      <c r="M18" s="1789"/>
      <c r="N18" s="1789"/>
    </row>
    <row r="19" ht="15" customHeight="1">
      <c r="A19" t="s" s="1799">
        <v>2292</v>
      </c>
      <c r="B19" t="s" s="1800">
        <v>2296</v>
      </c>
      <c r="C19" s="1801">
        <v>0</v>
      </c>
      <c r="D19" s="1801">
        <v>0</v>
      </c>
      <c r="E19" t="s" s="1799">
        <v>2275</v>
      </c>
      <c r="F19" s="1801"/>
      <c r="G19" s="1789"/>
      <c r="H19" s="1801" cm="1">
        <f t="array" ref="H19">C19-D19</f>
        <v>0</v>
      </c>
      <c r="I19" s="1789"/>
      <c r="J19" s="1789"/>
      <c r="K19" s="1789"/>
      <c r="L19" s="1789"/>
      <c r="M19" s="1789"/>
      <c r="N19" s="1789"/>
    </row>
    <row r="20" ht="15" customHeight="1">
      <c r="A20" t="s" s="1799">
        <v>2297</v>
      </c>
      <c r="B20" t="s" s="1800">
        <v>2298</v>
      </c>
      <c r="C20" s="1801">
        <v>244496700</v>
      </c>
      <c r="D20" s="1801">
        <v>244496700</v>
      </c>
      <c r="E20" t="s" s="1799">
        <v>2278</v>
      </c>
      <c r="F20" s="1801"/>
      <c r="G20" s="1789"/>
      <c r="H20" s="1801" cm="1">
        <f t="array" ref="H20">C20-D20</f>
        <v>0</v>
      </c>
      <c r="I20" s="1789"/>
      <c r="J20" s="1789"/>
      <c r="K20" s="1789"/>
      <c r="L20" s="1789"/>
      <c r="M20" s="1789"/>
      <c r="N20" s="1789"/>
    </row>
    <row r="21" ht="15" customHeight="1">
      <c r="A21" t="s" s="1799">
        <v>2299</v>
      </c>
      <c r="B21" t="s" s="1800">
        <v>2300</v>
      </c>
      <c r="C21" s="1801">
        <v>1277245</v>
      </c>
      <c r="D21" s="1801">
        <v>12677245</v>
      </c>
      <c r="E21" t="s" s="1799">
        <v>2278</v>
      </c>
      <c r="F21" s="1801"/>
      <c r="G21" s="1789"/>
      <c r="H21" s="1801" cm="1">
        <f t="array" ref="H21">C21-D21</f>
        <v>-11400000</v>
      </c>
      <c r="I21" s="1789"/>
      <c r="J21" s="1789"/>
      <c r="K21" s="1789"/>
      <c r="L21" s="1789"/>
      <c r="M21" s="1789"/>
      <c r="N21" s="1789"/>
    </row>
    <row r="22" ht="15" customHeight="1">
      <c r="A22" t="s" s="1799">
        <v>2299</v>
      </c>
      <c r="B22" t="s" s="1800">
        <v>2301</v>
      </c>
      <c r="C22" s="1801">
        <v>168906.95</v>
      </c>
      <c r="D22" s="1801">
        <v>168906.95</v>
      </c>
      <c r="E22" s="1801"/>
      <c r="F22" s="1801"/>
      <c r="G22" s="1789"/>
      <c r="H22" s="1801" cm="1">
        <f t="array" ref="H22">C22-D22</f>
        <v>0</v>
      </c>
      <c r="I22" s="1789"/>
      <c r="J22" s="1789"/>
      <c r="K22" s="1789"/>
      <c r="L22" s="1789"/>
      <c r="M22" s="1789"/>
      <c r="N22" s="1789"/>
    </row>
    <row r="23" ht="15" customHeight="1">
      <c r="A23" t="s" s="1799">
        <v>2299</v>
      </c>
      <c r="B23" t="s" s="1800">
        <v>2300</v>
      </c>
      <c r="C23" s="1801">
        <v>0</v>
      </c>
      <c r="D23" s="1801">
        <v>406149.5</v>
      </c>
      <c r="E23" t="s" s="1799">
        <v>2278</v>
      </c>
      <c r="F23" s="1801"/>
      <c r="G23" s="1789"/>
      <c r="H23" s="1801" cm="1">
        <f t="array" ref="H23">C23-D23</f>
        <v>-406149.5</v>
      </c>
      <c r="I23" s="1789"/>
      <c r="J23" s="1789"/>
      <c r="K23" s="1789"/>
      <c r="L23" s="1789"/>
      <c r="M23" s="1789"/>
      <c r="N23" s="1789"/>
    </row>
    <row r="24" ht="15" customHeight="1">
      <c r="A24" t="s" s="1799">
        <v>2299</v>
      </c>
      <c r="B24" t="s" s="1800">
        <v>2302</v>
      </c>
      <c r="C24" s="1801">
        <v>20233500</v>
      </c>
      <c r="D24" s="1801">
        <v>-16916500</v>
      </c>
      <c r="E24" t="s" s="1799">
        <v>2278</v>
      </c>
      <c r="F24" s="1801"/>
      <c r="G24" s="1789"/>
      <c r="H24" s="1801" cm="1">
        <f t="array" ref="H24">C24-D24</f>
        <v>37150000</v>
      </c>
      <c r="I24" s="1789"/>
      <c r="J24" s="1789"/>
      <c r="K24" s="1789"/>
      <c r="L24" s="1789"/>
      <c r="M24" s="1789"/>
      <c r="N24" s="1789"/>
    </row>
    <row r="25" ht="15" customHeight="1">
      <c r="A25" t="s" s="1799">
        <v>2303</v>
      </c>
      <c r="B25" t="s" s="1800">
        <v>2304</v>
      </c>
      <c r="C25" s="1801">
        <v>174026485.56</v>
      </c>
      <c r="D25" s="1801">
        <v>174026485.56</v>
      </c>
      <c r="E25" t="s" s="1799">
        <v>2278</v>
      </c>
      <c r="F25" s="1801"/>
      <c r="G25" s="1789"/>
      <c r="H25" s="1801" cm="1">
        <f t="array" ref="H25">C25-D25</f>
        <v>0</v>
      </c>
      <c r="I25" s="1789"/>
      <c r="J25" s="1789"/>
      <c r="K25" s="1789"/>
      <c r="L25" s="1789"/>
      <c r="M25" s="1789"/>
      <c r="N25" s="1789"/>
    </row>
    <row r="26" ht="13.5" customHeight="1">
      <c r="A26" t="s" s="1799">
        <v>2305</v>
      </c>
      <c r="B26" t="s" s="1800">
        <v>2306</v>
      </c>
      <c r="C26" s="1801">
        <v>1127847.5</v>
      </c>
      <c r="D26" s="1801">
        <v>25351445.5</v>
      </c>
      <c r="E26" t="s" s="1799">
        <v>2275</v>
      </c>
      <c r="F26" s="1801"/>
      <c r="G26" s="1789"/>
      <c r="H26" s="1801" cm="1">
        <f t="array" ref="H26">C26-D26</f>
        <v>-24223598</v>
      </c>
      <c r="I26" s="1789"/>
      <c r="J26" s="1789"/>
      <c r="K26" s="1803"/>
      <c r="L26" s="1803"/>
      <c r="M26" s="1803"/>
      <c r="N26" s="1789"/>
    </row>
    <row r="27" ht="15" customHeight="1">
      <c r="A27" t="s" s="1799">
        <v>2307</v>
      </c>
      <c r="B27" t="s" s="1800">
        <v>2308</v>
      </c>
      <c r="C27" s="1801">
        <v>645695000</v>
      </c>
      <c r="D27" s="1801">
        <v>645695000</v>
      </c>
      <c r="E27" t="s" s="1799">
        <v>2278</v>
      </c>
      <c r="F27" s="1801"/>
      <c r="G27" s="1789"/>
      <c r="H27" s="1801" cm="1">
        <f t="array" ref="H27">C27-D27</f>
        <v>0</v>
      </c>
      <c r="I27" s="1789"/>
      <c r="J27" s="1804"/>
      <c r="K27" s="1805"/>
      <c r="L27" s="365"/>
      <c r="M27" s="366"/>
      <c r="N27" s="1806"/>
    </row>
    <row r="28" ht="15" customHeight="1">
      <c r="A28" t="s" s="1799">
        <v>2309</v>
      </c>
      <c r="B28" t="s" s="1800">
        <v>2310</v>
      </c>
      <c r="C28" s="1801">
        <v>5775000.64</v>
      </c>
      <c r="D28" s="1801">
        <v>8649141.640000001</v>
      </c>
      <c r="E28" t="s" s="1799">
        <v>2275</v>
      </c>
      <c r="F28" s="1801"/>
      <c r="G28" s="1789"/>
      <c r="H28" s="1801" cm="1">
        <f t="array" ref="H28">C28-D28</f>
        <v>-2874141</v>
      </c>
      <c r="I28" s="1789"/>
      <c r="J28" s="1804"/>
      <c r="K28" s="1807"/>
      <c r="L28" t="s" s="369">
        <v>2311</v>
      </c>
      <c r="M28" s="370"/>
      <c r="N28" s="1806"/>
    </row>
    <row r="29" ht="14.5" customHeight="1">
      <c r="A29" t="s" s="1799">
        <v>2312</v>
      </c>
      <c r="B29" t="s" s="1800">
        <v>2313</v>
      </c>
      <c r="C29" s="1801">
        <v>463130900</v>
      </c>
      <c r="D29" s="1801">
        <v>463130900</v>
      </c>
      <c r="E29" t="s" s="1799">
        <v>2278</v>
      </c>
      <c r="F29" s="1801"/>
      <c r="G29" s="1789"/>
      <c r="H29" s="1801" cm="1">
        <f t="array" ref="H29">C29-D29</f>
        <v>0</v>
      </c>
      <c r="I29" s="1789"/>
      <c r="J29" s="1804"/>
      <c r="K29" s="371">
        <v>2024</v>
      </c>
      <c r="L29" s="1808">
        <v>174911250</v>
      </c>
      <c r="M29" s="1809"/>
      <c r="N29" s="1806"/>
    </row>
    <row r="30" ht="14.5" customHeight="1">
      <c r="A30" t="s" s="1799">
        <v>2314</v>
      </c>
      <c r="B30" t="s" s="1800">
        <v>2315</v>
      </c>
      <c r="C30" s="1801">
        <v>0</v>
      </c>
      <c r="D30" s="1801">
        <v>0</v>
      </c>
      <c r="E30" t="s" s="1799">
        <v>2275</v>
      </c>
      <c r="F30" s="1801"/>
      <c r="G30" s="1789"/>
      <c r="H30" s="1801" cm="1">
        <f t="array" ref="H30">C30-D30</f>
        <v>0</v>
      </c>
      <c r="I30" s="1789"/>
      <c r="J30" s="1804"/>
      <c r="K30" s="375"/>
      <c r="L30" s="1810">
        <v>322375000</v>
      </c>
      <c r="M30" s="1809"/>
      <c r="N30" s="1806"/>
    </row>
    <row r="31" ht="14.5" customHeight="1">
      <c r="A31" t="s" s="1799">
        <v>2314</v>
      </c>
      <c r="B31" t="s" s="1800">
        <v>2300</v>
      </c>
      <c r="C31" s="1801">
        <v>23306922</v>
      </c>
      <c r="D31" s="1801">
        <v>35120172</v>
      </c>
      <c r="E31" t="s" s="1799">
        <v>2278</v>
      </c>
      <c r="F31" s="1801"/>
      <c r="G31" s="1789"/>
      <c r="H31" s="1801" cm="1">
        <f t="array" ref="H31">C31-D31</f>
        <v>-11813250</v>
      </c>
      <c r="I31" s="1789"/>
      <c r="J31" s="1804"/>
      <c r="K31" s="375"/>
      <c r="L31" s="1810">
        <v>261219628</v>
      </c>
      <c r="M31" s="1809"/>
      <c r="N31" t="s" s="1811">
        <v>2316</v>
      </c>
    </row>
    <row r="32" ht="14.5" customHeight="1">
      <c r="A32" t="s" s="1799">
        <v>2317</v>
      </c>
      <c r="B32" t="s" s="1800">
        <v>2318</v>
      </c>
      <c r="C32" s="1801">
        <v>0</v>
      </c>
      <c r="D32" s="1801">
        <v>0</v>
      </c>
      <c r="E32" t="s" s="1799">
        <v>2275</v>
      </c>
      <c r="F32" s="1801"/>
      <c r="G32" s="1789"/>
      <c r="H32" s="1801" cm="1">
        <f t="array" ref="H32">C32-D32</f>
        <v>0</v>
      </c>
      <c r="I32" s="1789"/>
      <c r="J32" s="1804"/>
      <c r="K32" s="378"/>
      <c r="L32" s="1812">
        <v>212482778</v>
      </c>
      <c r="M32" s="1809"/>
      <c r="N32" s="1813" cm="1">
        <f t="array" ref="N32">1500000000-SUM(L29:L32)</f>
        <v>529011344</v>
      </c>
    </row>
    <row r="33" ht="14.5" customHeight="1">
      <c r="A33" t="s" s="1799">
        <v>2319</v>
      </c>
      <c r="B33" t="s" s="1800">
        <v>2320</v>
      </c>
      <c r="C33" s="1801">
        <v>0</v>
      </c>
      <c r="D33" s="1801">
        <v>0</v>
      </c>
      <c r="E33" t="s" s="1799">
        <v>2275</v>
      </c>
      <c r="F33" s="1801"/>
      <c r="G33" s="1789"/>
      <c r="H33" s="1801" cm="1">
        <f t="array" ref="H33">C33-D33</f>
        <v>0</v>
      </c>
      <c r="I33" s="1789"/>
      <c r="J33" s="1804"/>
      <c r="K33" s="371">
        <v>2025</v>
      </c>
      <c r="L33" s="1808">
        <v>197766300</v>
      </c>
      <c r="M33" s="1809"/>
      <c r="N33" s="1806"/>
    </row>
    <row r="34" ht="14.5" customHeight="1">
      <c r="A34" t="s" s="1799">
        <v>2321</v>
      </c>
      <c r="B34" t="s" s="1800">
        <v>2322</v>
      </c>
      <c r="C34" s="1801">
        <v>0</v>
      </c>
      <c r="D34" s="1801">
        <v>0</v>
      </c>
      <c r="E34" t="s" s="1799">
        <v>2275</v>
      </c>
      <c r="F34" s="1801"/>
      <c r="G34" s="1789"/>
      <c r="H34" s="1801" cm="1">
        <f t="array" ref="H34">C34-D34</f>
        <v>0</v>
      </c>
      <c r="I34" s="1789"/>
      <c r="J34" s="1804"/>
      <c r="K34" s="375"/>
      <c r="L34" s="1810">
        <v>130456600</v>
      </c>
      <c r="M34" s="1809"/>
      <c r="N34" s="1806"/>
    </row>
    <row r="35" ht="14.5" customHeight="1">
      <c r="A35" t="s" s="1799">
        <v>2323</v>
      </c>
      <c r="B35" t="s" s="1800">
        <v>2324</v>
      </c>
      <c r="C35" s="1801">
        <v>8407869.41</v>
      </c>
      <c r="D35" s="1801">
        <v>11391606.52</v>
      </c>
      <c r="E35" t="s" s="1799">
        <v>2275</v>
      </c>
      <c r="F35" s="1801"/>
      <c r="G35" s="1789"/>
      <c r="H35" s="1801" cm="1">
        <f t="array" ref="H35">C35-D35</f>
        <v>-2983737.11</v>
      </c>
      <c r="I35" s="1789"/>
      <c r="J35" s="1804"/>
      <c r="K35" s="375"/>
      <c r="L35" s="1810">
        <v>195641996</v>
      </c>
      <c r="M35" s="1809"/>
      <c r="N35" s="1806"/>
    </row>
    <row r="36" ht="14.5" customHeight="1">
      <c r="A36" t="s" s="1799">
        <v>2325</v>
      </c>
      <c r="B36" t="s" s="1800">
        <v>2326</v>
      </c>
      <c r="C36" s="1801">
        <v>127506800</v>
      </c>
      <c r="D36" s="1801">
        <v>127506800</v>
      </c>
      <c r="E36" t="s" s="1799">
        <v>2278</v>
      </c>
      <c r="F36" s="1801"/>
      <c r="G36" s="1789"/>
      <c r="H36" s="1801" cm="1">
        <f t="array" ref="H36">C36-D36</f>
        <v>0</v>
      </c>
      <c r="I36" s="1789"/>
      <c r="J36" s="1804"/>
      <c r="K36" s="375"/>
      <c r="L36" s="1810">
        <v>355833498</v>
      </c>
      <c r="M36" s="1809"/>
      <c r="N36" s="1806"/>
    </row>
    <row r="37" ht="14.5" customHeight="1">
      <c r="A37" t="s" s="1799">
        <v>2327</v>
      </c>
      <c r="B37" t="s" s="1800">
        <v>2300</v>
      </c>
      <c r="C37" s="1801">
        <v>-2476278</v>
      </c>
      <c r="D37" s="1801">
        <v>26535</v>
      </c>
      <c r="E37" t="s" s="1799">
        <v>2278</v>
      </c>
      <c r="F37" s="1801"/>
      <c r="G37" s="1789"/>
      <c r="H37" s="1801" cm="1">
        <f t="array" ref="H37">C37-D37</f>
        <v>-2502813</v>
      </c>
      <c r="I37" s="1789"/>
      <c r="J37" s="1804"/>
      <c r="K37" s="375"/>
      <c r="L37" s="1810">
        <v>503548000</v>
      </c>
      <c r="M37" s="1809"/>
      <c r="N37" t="s" s="1811">
        <v>2316</v>
      </c>
    </row>
    <row r="38" ht="14.5" customHeight="1">
      <c r="A38" t="s" s="1799">
        <v>2327</v>
      </c>
      <c r="B38" t="s" s="1800">
        <v>2328</v>
      </c>
      <c r="C38" s="1801">
        <v>1290377.12</v>
      </c>
      <c r="D38" s="1801">
        <v>25163875.12</v>
      </c>
      <c r="E38" t="s" s="1799">
        <v>2275</v>
      </c>
      <c r="F38" s="1801"/>
      <c r="G38" s="1789"/>
      <c r="H38" s="1801" cm="1">
        <f t="array" ref="H38">C38-D38</f>
        <v>-23873498</v>
      </c>
      <c r="I38" s="1789"/>
      <c r="J38" s="1804"/>
      <c r="K38" s="375"/>
      <c r="L38" s="1810">
        <v>492701400</v>
      </c>
      <c r="M38" s="1809"/>
      <c r="N38" s="1813" cm="1">
        <f t="array" ref="N38">L41-SUM(L29:L38)</f>
        <v>1353063550</v>
      </c>
    </row>
    <row r="39" ht="14.5" customHeight="1">
      <c r="A39" t="s" s="1799">
        <v>2329</v>
      </c>
      <c r="B39" t="s" s="1800">
        <v>2330</v>
      </c>
      <c r="C39" s="1801">
        <v>48088217.5</v>
      </c>
      <c r="D39" s="1801">
        <v>6204456.5</v>
      </c>
      <c r="E39" t="s" s="1799">
        <v>2275</v>
      </c>
      <c r="F39" s="1801"/>
      <c r="G39" s="1789"/>
      <c r="H39" s="1801" cm="1">
        <f t="array" ref="H39">C39-D39</f>
        <v>41883761</v>
      </c>
      <c r="I39" s="1789"/>
      <c r="J39" s="1804"/>
      <c r="K39" s="378"/>
      <c r="L39" s="1812">
        <v>143608000</v>
      </c>
      <c r="M39" s="1809"/>
      <c r="N39" s="1806"/>
    </row>
    <row r="40" ht="15" customHeight="1">
      <c r="A40" t="s" s="1799">
        <v>2329</v>
      </c>
      <c r="B40" t="s" s="1800">
        <v>2300</v>
      </c>
      <c r="C40" s="1801">
        <v>228535.5</v>
      </c>
      <c r="D40" s="1801">
        <v>79624475</v>
      </c>
      <c r="E40" t="s" s="1799">
        <v>2278</v>
      </c>
      <c r="F40" s="1801"/>
      <c r="G40" s="1789"/>
      <c r="H40" s="1801" cm="1">
        <f t="array" ref="H40">C40-D40</f>
        <v>-79395939.5</v>
      </c>
      <c r="I40" s="1789"/>
      <c r="J40" s="1804"/>
      <c r="K40" t="s" s="380">
        <v>502</v>
      </c>
      <c r="L40" s="382" cm="1">
        <f t="array" ref="L40">SUM(L29:L39)</f>
        <v>2990544450</v>
      </c>
      <c r="M40" s="383"/>
      <c r="N40" s="1806"/>
    </row>
    <row r="41" ht="15" customHeight="1">
      <c r="A41" t="s" s="1799">
        <v>2331</v>
      </c>
      <c r="B41" t="s" s="1800">
        <v>2332</v>
      </c>
      <c r="C41" s="1801">
        <v>0</v>
      </c>
      <c r="D41" s="1801">
        <v>1225772</v>
      </c>
      <c r="E41" t="s" s="1799">
        <v>2275</v>
      </c>
      <c r="F41" s="1801"/>
      <c r="G41" s="1789"/>
      <c r="H41" s="1801" cm="1">
        <f t="array" ref="H41">C41-D41</f>
        <v>-1225772</v>
      </c>
      <c r="I41" s="1789"/>
      <c r="J41" s="1804"/>
      <c r="K41" t="s" s="384">
        <v>503</v>
      </c>
      <c r="L41" s="386" cm="1">
        <f t="array" ref="L41">1500000000+1200000000+1500000000</f>
        <v>4200000000</v>
      </c>
      <c r="M41" s="383"/>
      <c r="N41" s="1806"/>
    </row>
    <row r="42" ht="15.5" customHeight="1">
      <c r="A42" t="s" s="1799">
        <v>2333</v>
      </c>
      <c r="B42" t="s" s="1800">
        <v>2334</v>
      </c>
      <c r="C42" s="1801">
        <v>29728836.5</v>
      </c>
      <c r="D42" s="1801">
        <v>30158342.5</v>
      </c>
      <c r="E42" t="s" s="1799">
        <v>2275</v>
      </c>
      <c r="F42" s="1801"/>
      <c r="G42" s="1789"/>
      <c r="H42" s="1801" cm="1">
        <f t="array" ref="H42">C42-D42</f>
        <v>-429506</v>
      </c>
      <c r="I42" s="1789"/>
      <c r="J42" s="1804"/>
      <c r="K42" t="s" s="387">
        <v>504</v>
      </c>
      <c r="L42" s="389" cm="1">
        <f t="array" ref="L42">L41-L40</f>
        <v>1209455550</v>
      </c>
      <c r="M42" s="390"/>
      <c r="N42" s="1806"/>
    </row>
    <row r="43" ht="15.5" customHeight="1">
      <c r="A43" t="s" s="1799">
        <v>2333</v>
      </c>
      <c r="B43" t="s" s="1800">
        <v>2300</v>
      </c>
      <c r="C43" s="1801">
        <v>0</v>
      </c>
      <c r="D43" s="1801">
        <v>0</v>
      </c>
      <c r="E43" t="s" s="1799">
        <v>2278</v>
      </c>
      <c r="F43" s="1801"/>
      <c r="G43" s="1789"/>
      <c r="H43" s="1801" cm="1">
        <f t="array" ref="H43">C43-D43</f>
        <v>0</v>
      </c>
      <c r="I43" s="1789"/>
      <c r="J43" s="1789"/>
      <c r="K43" s="1793"/>
      <c r="L43" s="1793"/>
      <c r="M43" s="1793"/>
      <c r="N43" s="1789"/>
    </row>
    <row r="44" ht="15" customHeight="1">
      <c r="A44" t="s" s="1799">
        <v>2335</v>
      </c>
      <c r="B44" t="s" s="1800">
        <v>2300</v>
      </c>
      <c r="C44" s="1801">
        <v>48515867</v>
      </c>
      <c r="D44" s="1801">
        <v>22149010</v>
      </c>
      <c r="E44" t="s" s="1799">
        <v>2278</v>
      </c>
      <c r="F44" s="1801"/>
      <c r="G44" s="1789"/>
      <c r="H44" s="1801" cm="1">
        <f t="array" ref="H44">C44-D44</f>
        <v>26366857</v>
      </c>
      <c r="I44" s="1789"/>
      <c r="J44" s="1789"/>
      <c r="K44" s="1789"/>
      <c r="L44" s="1801"/>
      <c r="M44" s="1789"/>
      <c r="N44" s="1789"/>
    </row>
    <row r="45" ht="15" customHeight="1">
      <c r="A45" t="s" s="1799">
        <v>2335</v>
      </c>
      <c r="B45" t="s" s="1800">
        <v>2336</v>
      </c>
      <c r="C45" s="1801">
        <v>17074260.5</v>
      </c>
      <c r="D45" s="1801">
        <v>46084418.5</v>
      </c>
      <c r="E45" t="s" s="1799">
        <v>2275</v>
      </c>
      <c r="F45" s="1801"/>
      <c r="G45" s="1789"/>
      <c r="H45" s="1801" cm="1">
        <f t="array" ref="H45">C45-D45</f>
        <v>-29010158</v>
      </c>
      <c r="I45" s="1789"/>
      <c r="J45" s="1789"/>
      <c r="K45" s="1789"/>
      <c r="L45" s="1789"/>
      <c r="M45" s="1789"/>
      <c r="N45" s="1789"/>
    </row>
    <row r="46" ht="15" customHeight="1">
      <c r="A46" t="s" s="1799">
        <v>2337</v>
      </c>
      <c r="B46" t="s" s="1800">
        <v>2300</v>
      </c>
      <c r="C46" s="1801">
        <v>21256781</v>
      </c>
      <c r="D46" s="1801">
        <v>4600881</v>
      </c>
      <c r="E46" t="s" s="1799">
        <v>2278</v>
      </c>
      <c r="F46" s="1801"/>
      <c r="G46" s="1789"/>
      <c r="H46" s="1801" cm="1">
        <f t="array" ref="H46">C46-D46</f>
        <v>16655900</v>
      </c>
      <c r="I46" s="1789"/>
      <c r="J46" s="1789"/>
      <c r="K46" s="1789"/>
      <c r="L46" s="1789"/>
      <c r="M46" s="1789"/>
      <c r="N46" s="1789"/>
    </row>
    <row r="47" ht="15" customHeight="1">
      <c r="A47" t="s" s="1799">
        <v>2338</v>
      </c>
      <c r="B47" t="s" s="1800">
        <v>2300</v>
      </c>
      <c r="C47" s="1801">
        <v>24293591</v>
      </c>
      <c r="D47" s="1801">
        <v>24914441</v>
      </c>
      <c r="E47" t="s" s="1799">
        <v>2278</v>
      </c>
      <c r="F47" s="1801"/>
      <c r="G47" s="1789"/>
      <c r="H47" s="1801" cm="1">
        <f t="array" ref="H47">C47-D47</f>
        <v>-620850</v>
      </c>
      <c r="I47" s="1789"/>
      <c r="J47" s="1789"/>
      <c r="K47" s="1789"/>
      <c r="L47" s="1789"/>
      <c r="M47" s="1789"/>
      <c r="N47" s="1789"/>
    </row>
    <row r="48" ht="15" customHeight="1">
      <c r="A48" t="s" s="1799">
        <v>2338</v>
      </c>
      <c r="B48" t="s" s="1800">
        <v>2300</v>
      </c>
      <c r="C48" s="1801">
        <v>81440167</v>
      </c>
      <c r="D48" s="1801">
        <v>49730967</v>
      </c>
      <c r="E48" t="s" s="1799">
        <v>2278</v>
      </c>
      <c r="F48" s="1801"/>
      <c r="G48" s="1789"/>
      <c r="H48" s="1801" cm="1">
        <f t="array" ref="H48">C48-D48</f>
        <v>31709200</v>
      </c>
      <c r="I48" s="1789"/>
      <c r="J48" s="1789"/>
      <c r="K48" s="1789"/>
      <c r="L48" s="1789"/>
      <c r="M48" s="1789"/>
      <c r="N48" s="1789"/>
    </row>
    <row r="49" ht="15" customHeight="1">
      <c r="A49" t="s" s="1799">
        <v>2339</v>
      </c>
      <c r="B49" t="s" s="1800">
        <v>2340</v>
      </c>
      <c r="C49" s="1801">
        <v>0</v>
      </c>
      <c r="D49" s="1801">
        <v>0</v>
      </c>
      <c r="E49" t="s" s="1799">
        <v>2278</v>
      </c>
      <c r="F49" s="1801"/>
      <c r="G49" s="1789"/>
      <c r="H49" s="1801" cm="1">
        <f t="array" ref="H49">C49-D49</f>
        <v>0</v>
      </c>
      <c r="I49" s="1789"/>
      <c r="J49" s="1789"/>
      <c r="K49" s="1789"/>
      <c r="L49" s="1789"/>
      <c r="M49" s="1789"/>
      <c r="N49" s="1789"/>
    </row>
    <row r="50" ht="15" customHeight="1">
      <c r="A50" t="s" s="1799">
        <v>2341</v>
      </c>
      <c r="B50" t="s" s="1800">
        <v>2342</v>
      </c>
      <c r="C50" s="1801">
        <v>0</v>
      </c>
      <c r="D50" s="1801">
        <v>0</v>
      </c>
      <c r="E50" t="s" s="1799">
        <v>2278</v>
      </c>
      <c r="F50" s="1801"/>
      <c r="G50" s="1789"/>
      <c r="H50" s="1801" cm="1">
        <f t="array" ref="H50">C50-D50</f>
        <v>0</v>
      </c>
      <c r="I50" s="1789"/>
      <c r="J50" s="1789"/>
      <c r="K50" s="1789"/>
      <c r="L50" s="1789"/>
      <c r="M50" s="1789"/>
      <c r="N50" s="1789"/>
    </row>
    <row r="51" ht="15" customHeight="1">
      <c r="A51" t="s" s="1799">
        <v>2343</v>
      </c>
      <c r="B51" t="s" s="1800">
        <v>2300</v>
      </c>
      <c r="C51" s="1801">
        <v>143499000</v>
      </c>
      <c r="D51" s="1801">
        <v>118131062</v>
      </c>
      <c r="E51" t="s" s="1799">
        <v>2278</v>
      </c>
      <c r="F51" s="1801"/>
      <c r="G51" s="1789"/>
      <c r="H51" s="1801" cm="1">
        <f t="array" ref="H51">C51-D51</f>
        <v>25367938</v>
      </c>
      <c r="I51" s="1789"/>
      <c r="J51" s="1789"/>
      <c r="K51" s="1789"/>
      <c r="L51" s="1789"/>
      <c r="M51" s="1789"/>
      <c r="N51" s="1789"/>
    </row>
    <row r="52" ht="15" customHeight="1">
      <c r="A52" t="s" s="1799">
        <v>2344</v>
      </c>
      <c r="B52" t="s" s="1800">
        <v>2345</v>
      </c>
      <c r="C52" s="1801">
        <v>729903099</v>
      </c>
      <c r="D52" s="1801">
        <v>618199906</v>
      </c>
      <c r="E52" t="s" s="1799">
        <v>2278</v>
      </c>
      <c r="F52" s="1801"/>
      <c r="G52" s="1789"/>
      <c r="H52" s="1801" cm="1">
        <f t="array" ref="H52">C52-D52</f>
        <v>111703193</v>
      </c>
      <c r="I52" s="1789"/>
      <c r="J52" s="1789"/>
      <c r="K52" s="1789"/>
      <c r="L52" s="1789"/>
      <c r="M52" s="1789"/>
      <c r="N52" s="1789"/>
    </row>
    <row r="53" ht="15" customHeight="1">
      <c r="A53" t="s" s="1799">
        <v>2346</v>
      </c>
      <c r="B53" t="s" s="1800">
        <v>2347</v>
      </c>
      <c r="C53" s="1801">
        <v>11715707.2</v>
      </c>
      <c r="D53" s="1801">
        <v>5590941.2</v>
      </c>
      <c r="E53" t="s" s="1799">
        <v>2275</v>
      </c>
      <c r="F53" s="1801"/>
      <c r="G53" s="1789"/>
      <c r="H53" s="1801" cm="1">
        <f t="array" ref="H53">C53-D53</f>
        <v>6124766</v>
      </c>
      <c r="I53" s="1789"/>
      <c r="J53" s="1789"/>
      <c r="K53" s="1789"/>
      <c r="L53" s="1789"/>
      <c r="M53" s="1789"/>
      <c r="N53" s="1789"/>
    </row>
    <row r="54" ht="15" customHeight="1">
      <c r="A54" t="s" s="1799">
        <v>2348</v>
      </c>
      <c r="B54" t="s" s="1800">
        <v>2349</v>
      </c>
      <c r="C54" s="1801">
        <v>0</v>
      </c>
      <c r="D54" s="1801">
        <v>0</v>
      </c>
      <c r="E54" t="s" s="1799">
        <v>2278</v>
      </c>
      <c r="F54" s="1801"/>
      <c r="G54" s="1789"/>
      <c r="H54" s="1801" cm="1">
        <f t="array" ref="H54">C54-D54</f>
        <v>0</v>
      </c>
      <c r="I54" s="1789"/>
      <c r="J54" s="1789"/>
      <c r="K54" s="1789"/>
      <c r="L54" s="1789"/>
      <c r="M54" s="1789"/>
      <c r="N54" s="1789"/>
    </row>
    <row r="55" ht="15" customHeight="1">
      <c r="A55" t="s" s="1799">
        <v>2350</v>
      </c>
      <c r="B55" t="s" s="1800">
        <v>2300</v>
      </c>
      <c r="C55" s="1801">
        <v>3949000</v>
      </c>
      <c r="D55" s="1801">
        <v>1749000</v>
      </c>
      <c r="E55" t="s" s="1799">
        <v>2278</v>
      </c>
      <c r="F55" s="1801"/>
      <c r="G55" s="1789"/>
      <c r="H55" s="1801" cm="1">
        <f t="array" ref="H55">C55-D55</f>
        <v>2200000</v>
      </c>
      <c r="I55" s="1789"/>
      <c r="J55" s="1789"/>
      <c r="K55" s="1789"/>
      <c r="L55" s="1789"/>
      <c r="M55" s="1789"/>
      <c r="N55" s="1789"/>
    </row>
    <row r="56" ht="15" customHeight="1">
      <c r="A56" t="s" s="1799">
        <v>2351</v>
      </c>
      <c r="B56" t="s" s="1800">
        <v>2352</v>
      </c>
      <c r="C56" s="1801">
        <v>1455175.5</v>
      </c>
      <c r="D56" s="1801">
        <v>5116290.5</v>
      </c>
      <c r="E56" t="s" s="1799">
        <v>2275</v>
      </c>
      <c r="F56" s="1801"/>
      <c r="G56" s="1789"/>
      <c r="H56" s="1801" cm="1">
        <f t="array" ref="H56">C56-D56</f>
        <v>-3661115</v>
      </c>
      <c r="I56" s="1789"/>
      <c r="J56" s="1789"/>
      <c r="K56" s="1789"/>
      <c r="L56" s="1789"/>
      <c r="M56" s="1789"/>
      <c r="N56" s="1789"/>
    </row>
    <row r="57" ht="15" customHeight="1">
      <c r="A57" t="s" s="1799">
        <v>2353</v>
      </c>
      <c r="B57" t="s" s="1800">
        <v>2354</v>
      </c>
      <c r="C57" s="1801">
        <v>2496448.26</v>
      </c>
      <c r="D57" s="1801">
        <v>12314871.56</v>
      </c>
      <c r="E57" t="s" s="1799">
        <v>2275</v>
      </c>
      <c r="F57" s="1801"/>
      <c r="G57" s="1789"/>
      <c r="H57" s="1801" cm="1">
        <f t="array" ref="H57">C57-D57</f>
        <v>-9818423.300000001</v>
      </c>
      <c r="I57" s="1789"/>
      <c r="J57" s="1789"/>
      <c r="K57" s="1789"/>
      <c r="L57" s="1789"/>
      <c r="M57" s="1789"/>
      <c r="N57" s="1789"/>
    </row>
    <row r="58" ht="15" customHeight="1">
      <c r="A58" t="s" s="1799">
        <v>2355</v>
      </c>
      <c r="B58" t="s" s="1800">
        <v>2356</v>
      </c>
      <c r="C58" s="1801">
        <v>894794</v>
      </c>
      <c r="D58" s="1801">
        <v>13945786</v>
      </c>
      <c r="E58" t="s" s="1799">
        <v>2275</v>
      </c>
      <c r="F58" s="1801"/>
      <c r="G58" s="1789"/>
      <c r="H58" s="1801" cm="1">
        <f t="array" ref="H58">C58-D58</f>
        <v>-13050992</v>
      </c>
      <c r="I58" s="1789"/>
      <c r="J58" s="1789"/>
      <c r="K58" s="1789"/>
      <c r="L58" s="1789"/>
      <c r="M58" s="1789"/>
      <c r="N58" s="1789"/>
    </row>
    <row r="59" ht="15" customHeight="1">
      <c r="A59" t="s" s="1799">
        <v>2357</v>
      </c>
      <c r="B59" t="s" s="1800">
        <v>2358</v>
      </c>
      <c r="C59" s="1801">
        <v>13942142.5</v>
      </c>
      <c r="D59" s="1801">
        <v>2548184.5</v>
      </c>
      <c r="E59" t="s" s="1799">
        <v>2275</v>
      </c>
      <c r="F59" s="1801"/>
      <c r="G59" s="1789"/>
      <c r="H59" s="1801" cm="1">
        <f t="array" ref="H59">C59-D59</f>
        <v>11393958</v>
      </c>
      <c r="I59" s="1789"/>
      <c r="J59" s="1789"/>
      <c r="K59" s="1789"/>
      <c r="L59" s="1789"/>
      <c r="M59" s="1789"/>
      <c r="N59" s="1789"/>
    </row>
    <row r="60" ht="15" customHeight="1">
      <c r="A60" t="s" s="1799">
        <v>2359</v>
      </c>
      <c r="B60" t="s" s="1800">
        <v>2360</v>
      </c>
      <c r="C60" s="1801">
        <v>5845318.88</v>
      </c>
      <c r="D60" s="1801">
        <v>12040370.68</v>
      </c>
      <c r="E60" t="s" s="1799">
        <v>2275</v>
      </c>
      <c r="F60" s="1801"/>
      <c r="G60" s="1789"/>
      <c r="H60" s="1801" cm="1">
        <f t="array" ref="H60">C60-D60</f>
        <v>-6195051.8</v>
      </c>
      <c r="I60" s="1789"/>
      <c r="J60" s="1789"/>
      <c r="K60" s="1789"/>
      <c r="L60" s="1789"/>
      <c r="M60" s="1789"/>
      <c r="N60" s="1789"/>
    </row>
    <row r="61" ht="15" customHeight="1">
      <c r="A61" t="s" s="1799">
        <v>2359</v>
      </c>
      <c r="B61" t="s" s="1800">
        <v>2361</v>
      </c>
      <c r="C61" s="1801">
        <v>0</v>
      </c>
      <c r="D61" s="1801">
        <v>0</v>
      </c>
      <c r="E61" t="s" s="1799">
        <v>2278</v>
      </c>
      <c r="F61" s="1801"/>
      <c r="G61" s="1789"/>
      <c r="H61" s="1801" cm="1">
        <f t="array" ref="H61">C61-D61</f>
        <v>0</v>
      </c>
      <c r="I61" s="1789"/>
      <c r="J61" s="1789"/>
      <c r="K61" s="1789"/>
      <c r="L61" s="1789"/>
      <c r="M61" s="1789"/>
      <c r="N61" s="1789"/>
    </row>
    <row r="62" ht="15" customHeight="1">
      <c r="A62" t="s" s="1799">
        <v>2362</v>
      </c>
      <c r="B62" t="s" s="1800">
        <v>2363</v>
      </c>
      <c r="C62" s="1801">
        <v>0</v>
      </c>
      <c r="D62" s="1801">
        <v>0</v>
      </c>
      <c r="E62" t="s" s="1799">
        <v>2278</v>
      </c>
      <c r="F62" s="1801"/>
      <c r="G62" s="1789"/>
      <c r="H62" s="1801" cm="1">
        <f t="array" ref="H62">C62-D62</f>
        <v>0</v>
      </c>
      <c r="I62" s="1789"/>
      <c r="J62" s="1789"/>
      <c r="K62" s="1789"/>
      <c r="L62" s="1789"/>
      <c r="M62" s="1789"/>
      <c r="N62" s="1789"/>
    </row>
    <row r="63" ht="15" customHeight="1">
      <c r="A63" t="s" s="1799">
        <v>2364</v>
      </c>
      <c r="B63" t="s" s="1800">
        <v>2365</v>
      </c>
      <c r="C63" s="1801">
        <v>233687718</v>
      </c>
      <c r="D63" s="1801">
        <v>11364044</v>
      </c>
      <c r="E63" t="s" s="1799">
        <v>2275</v>
      </c>
      <c r="F63" s="1801"/>
      <c r="G63" s="1789"/>
      <c r="H63" s="1801" cm="1">
        <f t="array" ref="H63">C63-D63</f>
        <v>222323674</v>
      </c>
      <c r="I63" s="1789"/>
      <c r="J63" s="1789"/>
      <c r="K63" s="1789"/>
      <c r="L63" s="1789"/>
      <c r="M63" s="1789"/>
      <c r="N63" s="1789"/>
    </row>
    <row r="64" ht="15" customHeight="1">
      <c r="A64" t="s" s="1799">
        <v>2366</v>
      </c>
      <c r="B64" t="s" s="1800">
        <v>2367</v>
      </c>
      <c r="C64" s="1801">
        <v>2637150</v>
      </c>
      <c r="D64" s="1801">
        <v>24745398</v>
      </c>
      <c r="E64" t="s" s="1799">
        <v>2275</v>
      </c>
      <c r="F64" s="1801"/>
      <c r="G64" s="1789"/>
      <c r="H64" s="1801" cm="1">
        <f t="array" ref="H64">C64-D64</f>
        <v>-22108248</v>
      </c>
      <c r="I64" s="1789"/>
      <c r="J64" s="1789"/>
      <c r="K64" s="1789"/>
      <c r="L64" s="1789"/>
      <c r="M64" s="1789"/>
      <c r="N64" s="1789"/>
    </row>
    <row r="65" ht="15" customHeight="1">
      <c r="A65" t="s" s="1799">
        <v>2368</v>
      </c>
      <c r="B65" t="s" s="1800">
        <v>2369</v>
      </c>
      <c r="C65" s="1801">
        <v>0</v>
      </c>
      <c r="D65" s="1801">
        <v>0</v>
      </c>
      <c r="E65" t="s" s="1799">
        <v>2278</v>
      </c>
      <c r="F65" s="1801"/>
      <c r="G65" s="1789"/>
      <c r="H65" s="1801" cm="1">
        <f t="array" ref="H65">C65-D65</f>
        <v>0</v>
      </c>
      <c r="I65" s="1789"/>
      <c r="J65" s="1789"/>
      <c r="K65" s="1789"/>
      <c r="L65" s="1789"/>
      <c r="M65" s="1789"/>
      <c r="N65" s="1789"/>
    </row>
    <row r="66" ht="15" customHeight="1">
      <c r="A66" t="s" s="1799">
        <v>2370</v>
      </c>
      <c r="B66" t="s" s="1800">
        <v>2371</v>
      </c>
      <c r="C66" s="1801">
        <v>615540489.9</v>
      </c>
      <c r="D66" s="1801">
        <v>2000000</v>
      </c>
      <c r="E66" t="s" s="1799">
        <v>2275</v>
      </c>
      <c r="F66" s="1801"/>
      <c r="G66" s="1789"/>
      <c r="H66" s="1801" cm="1">
        <f t="array" ref="H66">C66-D66</f>
        <v>613540489.9</v>
      </c>
      <c r="I66" s="1789"/>
      <c r="J66" s="1789"/>
      <c r="K66" s="1789"/>
      <c r="L66" s="1789"/>
      <c r="M66" s="1789"/>
      <c r="N66" s="1789"/>
    </row>
    <row r="67" ht="15" customHeight="1">
      <c r="A67" t="s" s="1799">
        <v>2372</v>
      </c>
      <c r="B67" t="s" s="1800">
        <v>2373</v>
      </c>
      <c r="C67" s="1801">
        <v>0</v>
      </c>
      <c r="D67" s="1801">
        <v>1233900</v>
      </c>
      <c r="E67" t="s" s="1799">
        <v>2278</v>
      </c>
      <c r="F67" s="1801"/>
      <c r="G67" s="1789"/>
      <c r="H67" s="1801" cm="1">
        <f t="array" ref="H67">C67-D67</f>
        <v>-1233900</v>
      </c>
      <c r="I67" s="1789"/>
      <c r="J67" s="1789"/>
      <c r="K67" s="1789"/>
      <c r="L67" s="1789"/>
      <c r="M67" s="1789"/>
      <c r="N67" s="1789"/>
    </row>
    <row r="68" ht="15" customHeight="1">
      <c r="A68" t="s" s="1799">
        <v>2374</v>
      </c>
      <c r="B68" t="s" s="1800">
        <v>2300</v>
      </c>
      <c r="C68" s="1801">
        <v>32209250</v>
      </c>
      <c r="D68" s="1801">
        <v>6425500</v>
      </c>
      <c r="E68" t="s" s="1799">
        <v>2278</v>
      </c>
      <c r="F68" s="1801"/>
      <c r="G68" s="1789"/>
      <c r="H68" s="1801" cm="1">
        <f t="array" ref="H68">C68-D68</f>
        <v>25783750</v>
      </c>
      <c r="I68" s="1789"/>
      <c r="J68" s="1789"/>
      <c r="K68" s="1789"/>
      <c r="L68" s="1789"/>
      <c r="M68" s="1789"/>
      <c r="N68" s="1789"/>
    </row>
    <row r="69" ht="15" customHeight="1">
      <c r="A69" t="s" s="1799">
        <v>2375</v>
      </c>
      <c r="B69" t="s" s="1800">
        <v>2376</v>
      </c>
      <c r="C69" s="1801">
        <v>5000000</v>
      </c>
      <c r="D69" s="1801">
        <v>5000000</v>
      </c>
      <c r="E69" t="s" s="1799">
        <v>2278</v>
      </c>
      <c r="F69" s="1801"/>
      <c r="G69" s="1789"/>
      <c r="H69" s="1801" cm="1">
        <f t="array" ref="H69">C69-D69</f>
        <v>0</v>
      </c>
      <c r="I69" s="1789"/>
      <c r="J69" s="1789"/>
      <c r="K69" s="1789"/>
      <c r="L69" s="1789"/>
      <c r="M69" s="1789"/>
      <c r="N69" s="1789"/>
    </row>
    <row r="70" ht="15" customHeight="1">
      <c r="A70" t="s" s="1799">
        <v>2377</v>
      </c>
      <c r="B70" t="s" s="1800">
        <v>2378</v>
      </c>
      <c r="C70" s="1801">
        <v>0</v>
      </c>
      <c r="D70" s="1801">
        <v>0</v>
      </c>
      <c r="E70" s="1801"/>
      <c r="F70" s="1801"/>
      <c r="G70" s="1789"/>
      <c r="H70" s="1801" cm="1">
        <f t="array" ref="H70">C70-D70</f>
        <v>0</v>
      </c>
      <c r="I70" s="1789"/>
      <c r="J70" s="1789"/>
      <c r="K70" s="1789"/>
      <c r="L70" s="1789"/>
      <c r="M70" s="1789"/>
      <c r="N70" s="1789"/>
    </row>
    <row r="71" ht="15" customHeight="1">
      <c r="A71" t="s" s="1799">
        <v>2379</v>
      </c>
      <c r="B71" t="s" s="1800">
        <v>2380</v>
      </c>
      <c r="C71" s="1801">
        <v>0</v>
      </c>
      <c r="D71" s="1801">
        <v>0</v>
      </c>
      <c r="E71" s="1801"/>
      <c r="F71" s="1801"/>
      <c r="G71" s="1789"/>
      <c r="H71" s="1801" cm="1">
        <f t="array" ref="H71">C71-D71</f>
        <v>0</v>
      </c>
      <c r="I71" s="1789"/>
      <c r="J71" s="1789"/>
      <c r="K71" s="1789"/>
      <c r="L71" s="1789"/>
      <c r="M71" s="1789"/>
      <c r="N71" s="1789"/>
    </row>
    <row r="72" ht="15" customHeight="1">
      <c r="A72" t="s" s="1799">
        <v>2381</v>
      </c>
      <c r="B72" t="s" s="1800">
        <v>2382</v>
      </c>
      <c r="C72" s="1801">
        <v>6197413</v>
      </c>
      <c r="D72" s="1801">
        <v>0</v>
      </c>
      <c r="E72" t="s" s="1799">
        <v>2278</v>
      </c>
      <c r="F72" s="1801"/>
      <c r="G72" s="1789"/>
      <c r="H72" s="1801" cm="1">
        <f t="array" ref="H72">C72-D72</f>
        <v>6197413</v>
      </c>
      <c r="I72" s="1789"/>
      <c r="J72" s="1789"/>
      <c r="K72" s="1789"/>
      <c r="L72" s="1789"/>
      <c r="M72" s="1789"/>
      <c r="N72" s="1789"/>
    </row>
    <row r="73" ht="15" customHeight="1">
      <c r="A73" t="s" s="1799">
        <v>2383</v>
      </c>
      <c r="B73" t="s" s="1800">
        <v>2384</v>
      </c>
      <c r="C73" s="1801">
        <v>0</v>
      </c>
      <c r="D73" s="1801">
        <v>0</v>
      </c>
      <c r="E73" s="1801"/>
      <c r="F73" s="1801"/>
      <c r="G73" s="1789"/>
      <c r="H73" s="1801" cm="1">
        <f t="array" ref="H73">C73-D73</f>
        <v>0</v>
      </c>
      <c r="I73" s="1789"/>
      <c r="J73" s="1789"/>
      <c r="K73" s="1789"/>
      <c r="L73" s="1789"/>
      <c r="M73" s="1789"/>
      <c r="N73" s="1789"/>
    </row>
    <row r="74" ht="15" customHeight="1">
      <c r="A74" t="s" s="1799">
        <v>2385</v>
      </c>
      <c r="B74" t="s" s="1800">
        <v>2386</v>
      </c>
      <c r="C74" s="1801">
        <v>0</v>
      </c>
      <c r="D74" s="1801">
        <v>0</v>
      </c>
      <c r="E74" s="1801"/>
      <c r="F74" s="1801"/>
      <c r="G74" s="1789"/>
      <c r="H74" s="1801" cm="1">
        <f t="array" ref="H74">C74-D74</f>
        <v>0</v>
      </c>
      <c r="I74" s="1789"/>
      <c r="J74" s="1789"/>
      <c r="K74" s="1789"/>
      <c r="L74" s="1789"/>
      <c r="M74" s="1789"/>
      <c r="N74" s="1789"/>
    </row>
    <row r="75" ht="15" customHeight="1">
      <c r="A75" t="s" s="1799">
        <v>2387</v>
      </c>
      <c r="B75" t="s" s="1800">
        <v>2388</v>
      </c>
      <c r="C75" s="1801">
        <v>408291238</v>
      </c>
      <c r="D75" s="1801">
        <v>408291238</v>
      </c>
      <c r="E75" t="s" s="1799">
        <v>2278</v>
      </c>
      <c r="F75" s="1801"/>
      <c r="G75" s="1789"/>
      <c r="H75" s="1801" cm="1">
        <f t="array" ref="H75">C75-D75</f>
        <v>0</v>
      </c>
      <c r="I75" s="1789"/>
      <c r="J75" s="1789"/>
      <c r="K75" s="1789"/>
      <c r="L75" s="1789"/>
      <c r="M75" s="1789"/>
      <c r="N75" s="1789"/>
    </row>
    <row r="76" ht="15" customHeight="1">
      <c r="A76" t="s" s="1799">
        <v>2389</v>
      </c>
      <c r="B76" t="s" s="1800">
        <v>2390</v>
      </c>
      <c r="C76" s="1801">
        <v>0</v>
      </c>
      <c r="D76" s="1801">
        <v>0</v>
      </c>
      <c r="E76" s="1801"/>
      <c r="F76" s="1801"/>
      <c r="G76" s="1789"/>
      <c r="H76" s="1801" cm="1">
        <f t="array" ref="H76">C76-D76</f>
        <v>0</v>
      </c>
      <c r="I76" s="1789"/>
      <c r="J76" s="1789"/>
      <c r="K76" s="1789"/>
      <c r="L76" s="1789"/>
      <c r="M76" s="1789"/>
      <c r="N76" s="1789"/>
    </row>
    <row r="77" ht="15" customHeight="1">
      <c r="A77" t="s" s="1799">
        <v>2391</v>
      </c>
      <c r="B77" t="s" s="1800">
        <v>2392</v>
      </c>
      <c r="C77" s="1801">
        <v>0</v>
      </c>
      <c r="D77" s="1801">
        <v>0</v>
      </c>
      <c r="E77" s="1801"/>
      <c r="F77" s="1801"/>
      <c r="G77" s="1789"/>
      <c r="H77" s="1801" cm="1">
        <f t="array" ref="H77">C77-D77</f>
        <v>0</v>
      </c>
      <c r="I77" s="1789"/>
      <c r="J77" s="1789"/>
      <c r="K77" s="1789"/>
      <c r="L77" s="1789"/>
      <c r="M77" s="1789"/>
      <c r="N77" s="1789"/>
    </row>
    <row r="78" ht="15" customHeight="1">
      <c r="A78" t="s" s="1799">
        <v>2393</v>
      </c>
      <c r="B78" t="s" s="1800">
        <v>2394</v>
      </c>
      <c r="C78" s="1801">
        <v>0</v>
      </c>
      <c r="D78" s="1801">
        <v>0</v>
      </c>
      <c r="E78" s="1801"/>
      <c r="F78" s="1801"/>
      <c r="G78" s="1789"/>
      <c r="H78" s="1801" cm="1">
        <f t="array" ref="H78">C78-D78</f>
        <v>0</v>
      </c>
      <c r="I78" s="1789"/>
      <c r="J78" s="1789"/>
      <c r="K78" s="1789"/>
      <c r="L78" s="1789"/>
      <c r="M78" s="1789"/>
      <c r="N78" s="1789"/>
    </row>
    <row r="79" ht="15" customHeight="1">
      <c r="A79" t="s" s="1799">
        <v>2395</v>
      </c>
      <c r="B79" t="s" s="1800">
        <v>2396</v>
      </c>
      <c r="C79" s="1801">
        <v>-1000000</v>
      </c>
      <c r="D79" s="1801">
        <v>0</v>
      </c>
      <c r="E79" t="s" s="1799">
        <v>2278</v>
      </c>
      <c r="F79" s="1801"/>
      <c r="G79" s="1789"/>
      <c r="H79" s="1801" cm="1">
        <f t="array" ref="H79">C79-D79</f>
        <v>-1000000</v>
      </c>
      <c r="I79" s="1789"/>
      <c r="J79" s="1789"/>
      <c r="K79" s="1789"/>
      <c r="L79" s="1789"/>
      <c r="M79" s="1789"/>
      <c r="N79" s="1789"/>
    </row>
    <row r="80" ht="15" customHeight="1">
      <c r="A80" t="s" s="1799">
        <v>2397</v>
      </c>
      <c r="B80" t="s" s="1800">
        <v>2398</v>
      </c>
      <c r="C80" s="1801">
        <v>-1280000</v>
      </c>
      <c r="D80" s="1801">
        <v>-1280000</v>
      </c>
      <c r="E80" t="s" s="1799">
        <v>2278</v>
      </c>
      <c r="F80" s="1801"/>
      <c r="G80" s="1789"/>
      <c r="H80" s="1801" cm="1">
        <f t="array" ref="H80">C80-D80</f>
        <v>0</v>
      </c>
      <c r="I80" s="1789"/>
      <c r="J80" s="1789"/>
      <c r="K80" s="1789"/>
      <c r="L80" s="1789"/>
      <c r="M80" s="1789"/>
      <c r="N80" s="1789"/>
    </row>
    <row r="81" ht="15" customHeight="1">
      <c r="A81" t="s" s="1799">
        <v>2399</v>
      </c>
      <c r="B81" t="s" s="1800">
        <v>2400</v>
      </c>
      <c r="C81" s="1801">
        <v>0</v>
      </c>
      <c r="D81" s="1801">
        <v>0</v>
      </c>
      <c r="E81" s="1801"/>
      <c r="F81" s="1801"/>
      <c r="G81" s="1789"/>
      <c r="H81" s="1801" cm="1">
        <f t="array" ref="H81">C81-D81</f>
        <v>0</v>
      </c>
      <c r="I81" s="1789"/>
      <c r="J81" s="1789"/>
      <c r="K81" s="1789"/>
      <c r="L81" s="1789"/>
      <c r="M81" s="1789"/>
      <c r="N81" s="1789"/>
    </row>
    <row r="82" ht="15" customHeight="1">
      <c r="A82" t="s" s="1799">
        <v>2401</v>
      </c>
      <c r="B82" t="s" s="1800">
        <v>2402</v>
      </c>
      <c r="C82" s="1801">
        <v>0</v>
      </c>
      <c r="D82" s="1801">
        <v>0</v>
      </c>
      <c r="E82" s="1801"/>
      <c r="F82" s="1801"/>
      <c r="G82" s="1789"/>
      <c r="H82" s="1801" cm="1">
        <f t="array" ref="H82">C82-D82</f>
        <v>0</v>
      </c>
      <c r="I82" s="1789"/>
      <c r="J82" s="1789"/>
      <c r="K82" s="1789"/>
      <c r="L82" s="1789"/>
      <c r="M82" s="1789"/>
      <c r="N82" s="1789"/>
    </row>
    <row r="83" ht="15" customHeight="1">
      <c r="A83" t="s" s="1799">
        <v>2403</v>
      </c>
      <c r="B83" t="s" s="1800">
        <v>2404</v>
      </c>
      <c r="C83" s="1801">
        <v>3267455583</v>
      </c>
      <c r="D83" s="1801">
        <v>1282143995</v>
      </c>
      <c r="E83" t="s" s="1799">
        <v>2275</v>
      </c>
      <c r="F83" s="1801"/>
      <c r="G83" s="1789"/>
      <c r="H83" s="1801" cm="1">
        <f t="array" ref="H83">C83-D83</f>
        <v>1985311588</v>
      </c>
      <c r="I83" s="1789"/>
      <c r="J83" s="1789"/>
      <c r="K83" s="1789"/>
      <c r="L83" s="1789"/>
      <c r="M83" s="1789"/>
      <c r="N83" s="1789"/>
    </row>
    <row r="84" ht="15" customHeight="1">
      <c r="A84" t="s" s="1799">
        <v>2405</v>
      </c>
      <c r="B84" t="s" s="1800">
        <v>2406</v>
      </c>
      <c r="C84" s="1801">
        <v>1050000</v>
      </c>
      <c r="D84" s="1801">
        <v>0</v>
      </c>
      <c r="E84" t="s" s="1799">
        <v>2275</v>
      </c>
      <c r="F84" s="1801"/>
      <c r="G84" s="1789"/>
      <c r="H84" s="1801" cm="1">
        <f t="array" ref="H84">C84-D84</f>
        <v>1050000</v>
      </c>
      <c r="I84" s="1789"/>
      <c r="J84" s="1789"/>
      <c r="K84" s="1789"/>
      <c r="L84" s="1789"/>
      <c r="M84" s="1789"/>
      <c r="N84" s="1789"/>
    </row>
    <row r="85" ht="15" customHeight="1">
      <c r="A85" t="s" s="1799">
        <v>2407</v>
      </c>
      <c r="B85" t="s" s="1800">
        <v>2408</v>
      </c>
      <c r="C85" s="1801">
        <v>-203476</v>
      </c>
      <c r="D85" s="1801">
        <v>0</v>
      </c>
      <c r="E85" t="s" s="1799">
        <v>2278</v>
      </c>
      <c r="F85" s="1801"/>
      <c r="G85" s="1789"/>
      <c r="H85" s="1801" cm="1">
        <f t="array" ref="H85">C85-D85</f>
        <v>-203476</v>
      </c>
      <c r="I85" s="1789"/>
      <c r="J85" s="1789"/>
      <c r="K85" s="1789"/>
      <c r="L85" s="1789"/>
      <c r="M85" s="1789"/>
      <c r="N85" s="1789"/>
    </row>
    <row r="86" ht="15" customHeight="1">
      <c r="A86" t="s" s="1799">
        <v>2409</v>
      </c>
      <c r="B86" t="s" s="1800">
        <v>2410</v>
      </c>
      <c r="C86" s="1801">
        <v>0</v>
      </c>
      <c r="D86" s="1801">
        <v>0</v>
      </c>
      <c r="E86" s="1801"/>
      <c r="F86" s="1801"/>
      <c r="G86" s="1789"/>
      <c r="H86" s="1801" cm="1">
        <f t="array" ref="H86">C86-D86</f>
        <v>0</v>
      </c>
      <c r="I86" s="1789"/>
      <c r="J86" s="1789"/>
      <c r="K86" s="1789"/>
      <c r="L86" s="1789"/>
      <c r="M86" s="1789"/>
      <c r="N86" s="1789"/>
    </row>
    <row r="87" ht="15" customHeight="1">
      <c r="A87" t="s" s="1799">
        <v>2411</v>
      </c>
      <c r="B87" t="s" s="1800">
        <v>2412</v>
      </c>
      <c r="C87" s="1801">
        <v>0</v>
      </c>
      <c r="D87" s="1801">
        <v>0</v>
      </c>
      <c r="E87" s="1801"/>
      <c r="F87" s="1801"/>
      <c r="G87" s="1789"/>
      <c r="H87" s="1801" cm="1">
        <f t="array" ref="H87">C87-D87</f>
        <v>0</v>
      </c>
      <c r="I87" s="1789"/>
      <c r="J87" s="1789"/>
      <c r="K87" s="1789"/>
      <c r="L87" s="1789"/>
      <c r="M87" s="1789"/>
      <c r="N87" s="1789"/>
    </row>
    <row r="88" ht="15" customHeight="1">
      <c r="A88" t="s" s="1799">
        <v>2413</v>
      </c>
      <c r="B88" t="s" s="1800">
        <v>2414</v>
      </c>
      <c r="C88" s="1801">
        <v>9071197.01</v>
      </c>
      <c r="D88" s="1801">
        <v>0</v>
      </c>
      <c r="E88" t="s" s="1799">
        <v>2275</v>
      </c>
      <c r="F88" s="1801"/>
      <c r="G88" s="1789"/>
      <c r="H88" s="1801" cm="1">
        <f t="array" ref="H88">C88-D88</f>
        <v>9071197.01</v>
      </c>
      <c r="I88" s="1789"/>
      <c r="J88" s="1789"/>
      <c r="K88" s="1789"/>
      <c r="L88" s="1789"/>
      <c r="M88" s="1789"/>
      <c r="N88" s="1789"/>
    </row>
    <row r="89" ht="15" customHeight="1">
      <c r="A89" t="s" s="1799">
        <v>2415</v>
      </c>
      <c r="B89" t="s" s="1800">
        <v>2416</v>
      </c>
      <c r="C89" s="1801">
        <v>11387275</v>
      </c>
      <c r="D89" s="1801">
        <v>0</v>
      </c>
      <c r="E89" t="s" s="1799">
        <v>2278</v>
      </c>
      <c r="F89" s="1801"/>
      <c r="G89" s="1789"/>
      <c r="H89" s="1801" cm="1">
        <f t="array" ref="H89">C89-D89</f>
        <v>11387275</v>
      </c>
      <c r="I89" s="1789"/>
      <c r="J89" s="1789"/>
      <c r="K89" s="1789"/>
      <c r="L89" s="1789"/>
      <c r="M89" s="1789"/>
      <c r="N89" s="1789"/>
    </row>
    <row r="90" ht="15" customHeight="1">
      <c r="A90" t="s" s="1799">
        <v>2415</v>
      </c>
      <c r="B90" t="s" s="1800">
        <v>2417</v>
      </c>
      <c r="C90" s="1801">
        <v>-600000</v>
      </c>
      <c r="D90" s="1801">
        <v>300000</v>
      </c>
      <c r="E90" t="s" s="1799">
        <v>2278</v>
      </c>
      <c r="F90" s="1801"/>
      <c r="G90" s="1789"/>
      <c r="H90" s="1801" cm="1">
        <f t="array" ref="H90">C90-D90</f>
        <v>-900000</v>
      </c>
      <c r="I90" s="1789"/>
      <c r="J90" s="1789"/>
      <c r="K90" s="1789"/>
      <c r="L90" s="1789"/>
      <c r="M90" s="1789"/>
      <c r="N90" s="1789"/>
    </row>
    <row r="91" ht="15" customHeight="1">
      <c r="A91" t="s" s="1799">
        <v>2418</v>
      </c>
      <c r="B91" t="s" s="1800">
        <v>2419</v>
      </c>
      <c r="C91" s="1801">
        <v>0</v>
      </c>
      <c r="D91" s="1801">
        <v>0</v>
      </c>
      <c r="E91" s="1801"/>
      <c r="F91" s="1801"/>
      <c r="G91" s="1789"/>
      <c r="H91" s="1801" cm="1">
        <f t="array" ref="H91">C91-D91</f>
        <v>0</v>
      </c>
      <c r="I91" s="1789"/>
      <c r="J91" s="1789"/>
      <c r="K91" s="1789"/>
      <c r="L91" s="1789"/>
      <c r="M91" s="1789"/>
      <c r="N91" s="1789"/>
    </row>
    <row r="92" ht="15" customHeight="1">
      <c r="A92" t="s" s="1799">
        <v>2420</v>
      </c>
      <c r="B92" t="s" s="1800">
        <v>2421</v>
      </c>
      <c r="C92" s="1801">
        <v>0</v>
      </c>
      <c r="D92" s="1801">
        <v>0</v>
      </c>
      <c r="E92" s="1801"/>
      <c r="F92" s="1801"/>
      <c r="G92" s="1789"/>
      <c r="H92" s="1801" cm="1">
        <f t="array" ref="H92">C92-D92</f>
        <v>0</v>
      </c>
      <c r="I92" s="1789"/>
      <c r="J92" s="1789"/>
      <c r="K92" s="1789"/>
      <c r="L92" s="1789"/>
      <c r="M92" s="1789"/>
      <c r="N92" s="1789"/>
    </row>
    <row r="93" ht="15" customHeight="1">
      <c r="A93" t="s" s="1799">
        <v>2422</v>
      </c>
      <c r="B93" t="s" s="1800">
        <v>2423</v>
      </c>
      <c r="C93" s="1801">
        <v>1770379.74</v>
      </c>
      <c r="D93" s="1801">
        <v>0</v>
      </c>
      <c r="E93" t="s" s="1799">
        <v>2275</v>
      </c>
      <c r="F93" s="1801"/>
      <c r="G93" s="1789"/>
      <c r="H93" s="1801" cm="1">
        <f t="array" ref="H93">C93-D93</f>
        <v>1770379.74</v>
      </c>
      <c r="I93" s="1789"/>
      <c r="J93" s="1789"/>
      <c r="K93" s="1789"/>
      <c r="L93" s="1789"/>
      <c r="M93" s="1789"/>
      <c r="N93" s="1789"/>
    </row>
    <row r="94" ht="15" customHeight="1">
      <c r="A94" t="s" s="1799">
        <v>2424</v>
      </c>
      <c r="B94" t="s" s="1800">
        <v>2425</v>
      </c>
      <c r="C94" s="1801">
        <v>32787325</v>
      </c>
      <c r="D94" s="1801">
        <v>0</v>
      </c>
      <c r="E94" t="s" s="1799">
        <v>2278</v>
      </c>
      <c r="F94" s="1801"/>
      <c r="G94" s="1789"/>
      <c r="H94" s="1801" cm="1">
        <f t="array" ref="H94">C94-D94</f>
        <v>32787325</v>
      </c>
      <c r="I94" s="1789"/>
      <c r="J94" s="1789"/>
      <c r="K94" s="1789"/>
      <c r="L94" s="1789"/>
      <c r="M94" s="1789"/>
      <c r="N94" s="1789"/>
    </row>
    <row r="95" ht="15" customHeight="1">
      <c r="A95" t="s" s="1799">
        <v>2426</v>
      </c>
      <c r="B95" t="s" s="1800">
        <v>2427</v>
      </c>
      <c r="C95" s="1801">
        <v>2831272</v>
      </c>
      <c r="D95" s="1801">
        <v>0</v>
      </c>
      <c r="E95" t="s" s="1799">
        <v>2275</v>
      </c>
      <c r="F95" s="1801"/>
      <c r="G95" s="1789"/>
      <c r="H95" s="1801" cm="1">
        <f t="array" ref="H95">C95-D95</f>
        <v>2831272</v>
      </c>
      <c r="I95" s="1789"/>
      <c r="J95" s="1789"/>
      <c r="K95" s="1789"/>
      <c r="L95" s="1789"/>
      <c r="M95" s="1789"/>
      <c r="N95" s="1789"/>
    </row>
    <row r="96" ht="15" customHeight="1">
      <c r="A96" t="s" s="1799">
        <v>2428</v>
      </c>
      <c r="B96" t="s" s="1800">
        <v>2429</v>
      </c>
      <c r="C96" s="1801">
        <v>92950250</v>
      </c>
      <c r="D96" s="1801">
        <v>0</v>
      </c>
      <c r="E96" t="s" s="1799">
        <v>2278</v>
      </c>
      <c r="F96" s="1801"/>
      <c r="G96" s="1789"/>
      <c r="H96" s="1801" cm="1">
        <f t="array" ref="H96">C96-D96</f>
        <v>92950250</v>
      </c>
      <c r="I96" s="1789"/>
      <c r="J96" s="1789"/>
      <c r="K96" s="1789"/>
      <c r="L96" s="1789"/>
      <c r="M96" s="1789"/>
      <c r="N96" s="1789"/>
    </row>
    <row r="97" ht="15" customHeight="1">
      <c r="A97" t="s" s="1799">
        <v>2430</v>
      </c>
      <c r="B97" t="s" s="1800">
        <v>2431</v>
      </c>
      <c r="C97" s="1801">
        <v>1001024</v>
      </c>
      <c r="D97" s="1801">
        <v>0</v>
      </c>
      <c r="E97" t="s" s="1799">
        <v>2275</v>
      </c>
      <c r="F97" s="1801"/>
      <c r="G97" s="1789"/>
      <c r="H97" s="1801" cm="1">
        <f t="array" ref="H97">C97-D97</f>
        <v>1001024</v>
      </c>
      <c r="I97" s="1789"/>
      <c r="J97" s="1789"/>
      <c r="K97" s="1789"/>
      <c r="L97" s="1789"/>
      <c r="M97" s="1789"/>
      <c r="N97" s="1789"/>
    </row>
    <row r="98" ht="15" customHeight="1">
      <c r="A98" t="s" s="1799">
        <v>2432</v>
      </c>
      <c r="B98" t="s" s="1800">
        <v>2433</v>
      </c>
      <c r="C98" s="1801">
        <v>1758179</v>
      </c>
      <c r="D98" s="1801">
        <v>0</v>
      </c>
      <c r="E98" t="s" s="1799">
        <v>2275</v>
      </c>
      <c r="F98" s="1801"/>
      <c r="G98" s="1789"/>
      <c r="H98" s="1801" cm="1">
        <f t="array" ref="H98">C98-D98</f>
        <v>1758179</v>
      </c>
      <c r="I98" s="1789"/>
      <c r="J98" s="1789"/>
      <c r="K98" s="1789"/>
      <c r="L98" s="1789"/>
      <c r="M98" s="1789"/>
      <c r="N98" s="1789"/>
    </row>
    <row r="99" ht="15" customHeight="1">
      <c r="A99" t="s" s="1799">
        <v>2434</v>
      </c>
      <c r="B99" t="s" s="1800">
        <v>2435</v>
      </c>
      <c r="C99" s="1801">
        <v>0</v>
      </c>
      <c r="D99" s="1801">
        <v>0</v>
      </c>
      <c r="E99" s="1801"/>
      <c r="F99" s="1801"/>
      <c r="G99" s="1789"/>
      <c r="H99" s="1801" cm="1">
        <f t="array" ref="H99">C99-D99</f>
        <v>0</v>
      </c>
      <c r="I99" s="1789"/>
      <c r="J99" s="1789"/>
      <c r="K99" s="1789"/>
      <c r="L99" s="1789"/>
      <c r="M99" s="1789"/>
      <c r="N99" s="1789"/>
    </row>
    <row r="100" ht="15" customHeight="1">
      <c r="A100" t="s" s="1799">
        <v>2436</v>
      </c>
      <c r="B100" t="s" s="1800">
        <v>2437</v>
      </c>
      <c r="C100" s="1801">
        <v>0</v>
      </c>
      <c r="D100" s="1801">
        <v>0</v>
      </c>
      <c r="E100" s="1801"/>
      <c r="F100" s="1801"/>
      <c r="G100" s="1789"/>
      <c r="H100" s="1801" cm="1">
        <f t="array" ref="H100">C100-D100</f>
        <v>0</v>
      </c>
      <c r="I100" s="1789"/>
      <c r="J100" s="1789"/>
      <c r="K100" s="1789"/>
      <c r="L100" s="1789"/>
      <c r="M100" s="1789"/>
      <c r="N100" s="1789"/>
    </row>
    <row r="101" ht="13.5" customHeight="1">
      <c r="A101" s="1789"/>
      <c r="B101" t="s" s="1814">
        <v>2438</v>
      </c>
      <c r="C101" s="1801">
        <v>8357821125.9</v>
      </c>
      <c r="D101" s="1801">
        <v>5272789907.46</v>
      </c>
      <c r="E101" s="1801"/>
      <c r="F101" s="1801"/>
      <c r="G101" s="1801"/>
      <c r="H101" s="1801" cm="1">
        <f t="array" ref="H101">C101-D101</f>
        <v>3085031218.44</v>
      </c>
      <c r="I101" s="1789"/>
      <c r="J101" s="1789"/>
      <c r="K101" s="1789"/>
      <c r="L101" s="1789"/>
      <c r="M101" s="1789"/>
      <c r="N101" s="1789"/>
    </row>
    <row r="102" ht="15" customHeight="1">
      <c r="A102" s="1789"/>
      <c r="B102" t="s" s="1800">
        <v>2439</v>
      </c>
      <c r="C102" s="1801">
        <v>64824022658.58</v>
      </c>
      <c r="D102" s="1801">
        <v>37671676551.78</v>
      </c>
      <c r="E102" s="1801"/>
      <c r="F102" s="1801"/>
      <c r="G102" s="1789"/>
      <c r="H102" s="1801" cm="1">
        <f t="array" ref="H102">C102-D102</f>
        <v>27152346106.8</v>
      </c>
      <c r="I102" s="1789"/>
      <c r="J102" s="1789"/>
      <c r="K102" s="1789"/>
      <c r="L102" s="1789"/>
      <c r="M102" s="1789"/>
      <c r="N102" s="1789"/>
    </row>
    <row r="103" ht="15" customHeight="1">
      <c r="A103" t="s" s="1799">
        <v>2440</v>
      </c>
      <c r="B103" t="s" s="1800">
        <v>2441</v>
      </c>
      <c r="C103" s="1801">
        <v>4000000</v>
      </c>
      <c r="D103" s="1801">
        <v>4000000</v>
      </c>
      <c r="E103" s="1801"/>
      <c r="F103" s="1801"/>
      <c r="G103" s="1789"/>
      <c r="H103" s="1801" cm="1">
        <f t="array" ref="H103">C103-D103</f>
        <v>0</v>
      </c>
      <c r="I103" s="1789"/>
      <c r="J103" s="1789"/>
      <c r="K103" s="1789"/>
      <c r="L103" s="1789"/>
      <c r="M103" s="1789"/>
      <c r="N103" s="1789"/>
    </row>
    <row r="104" ht="15" customHeight="1">
      <c r="A104" t="s" s="1799">
        <v>2442</v>
      </c>
      <c r="B104" t="s" s="1800">
        <v>2443</v>
      </c>
      <c r="C104" s="1801">
        <v>10000000</v>
      </c>
      <c r="D104" s="1801">
        <v>0</v>
      </c>
      <c r="E104" s="1801"/>
      <c r="F104" s="1801"/>
      <c r="G104" s="1789"/>
      <c r="H104" s="1801" cm="1">
        <f t="array" ref="H104">C104-D104</f>
        <v>10000000</v>
      </c>
      <c r="I104" s="1789"/>
      <c r="J104" s="1789"/>
      <c r="K104" s="1789"/>
      <c r="L104" s="1789"/>
      <c r="M104" s="1789"/>
      <c r="N104" s="1789"/>
    </row>
    <row r="105" ht="15" customHeight="1">
      <c r="A105" t="s" s="1799">
        <v>2444</v>
      </c>
      <c r="B105" t="s" s="1800">
        <v>2445</v>
      </c>
      <c r="C105" s="1801">
        <v>-66512500</v>
      </c>
      <c r="D105" s="1801">
        <v>8775000</v>
      </c>
      <c r="E105" s="1801"/>
      <c r="F105" s="1801"/>
      <c r="G105" s="1789"/>
      <c r="H105" s="1801" cm="1">
        <f t="array" ref="H105">C105-D105</f>
        <v>-75287500</v>
      </c>
      <c r="I105" s="1789"/>
      <c r="J105" s="1789"/>
      <c r="K105" s="1789"/>
      <c r="L105" s="1789"/>
      <c r="M105" s="1789"/>
      <c r="N105" s="1789"/>
    </row>
    <row r="106" ht="15" customHeight="1">
      <c r="A106" t="s" s="1799">
        <v>2446</v>
      </c>
      <c r="B106" t="s" s="1800">
        <v>2447</v>
      </c>
      <c r="C106" s="1801">
        <v>20000000</v>
      </c>
      <c r="D106" s="1801">
        <v>10000000</v>
      </c>
      <c r="E106" s="1801"/>
      <c r="F106" s="1801"/>
      <c r="G106" s="1789"/>
      <c r="H106" s="1801" cm="1">
        <f t="array" ref="H106">C106-D106</f>
        <v>10000000</v>
      </c>
      <c r="I106" s="1789"/>
      <c r="J106" s="1789"/>
      <c r="K106" s="1789"/>
      <c r="L106" s="1789"/>
      <c r="M106" s="1789"/>
      <c r="N106" s="1789"/>
    </row>
    <row r="107" ht="15" customHeight="1">
      <c r="A107" t="s" s="1799">
        <v>2448</v>
      </c>
      <c r="B107" t="s" s="1800">
        <v>2449</v>
      </c>
      <c r="C107" s="1801">
        <v>7157604843.92</v>
      </c>
      <c r="D107" s="1801">
        <v>6529983064.32</v>
      </c>
      <c r="E107" s="1801"/>
      <c r="F107" s="1801"/>
      <c r="G107" s="1789"/>
      <c r="H107" s="1801" cm="1">
        <f t="array" ref="H107">C107-D107</f>
        <v>627621779.6</v>
      </c>
      <c r="I107" s="1789"/>
      <c r="J107" s="1789"/>
      <c r="K107" s="1789"/>
      <c r="L107" s="1789"/>
      <c r="M107" s="1789"/>
      <c r="N107" s="1789"/>
    </row>
    <row r="108" ht="15" customHeight="1">
      <c r="A108" t="s" s="1799">
        <v>2450</v>
      </c>
      <c r="B108" t="s" s="1800">
        <v>2451</v>
      </c>
      <c r="C108" s="1801">
        <v>3862456180.54</v>
      </c>
      <c r="D108" s="1801">
        <v>1883417341.54</v>
      </c>
      <c r="E108" s="1801"/>
      <c r="F108" t="s" s="1799">
        <v>2452</v>
      </c>
      <c r="G108" s="1789"/>
      <c r="H108" s="1801" cm="1">
        <f t="array" ref="H108">C108-D108</f>
        <v>1979038839</v>
      </c>
      <c r="I108" s="1789"/>
      <c r="J108" s="1789"/>
      <c r="K108" s="1789"/>
      <c r="L108" s="1789"/>
      <c r="M108" s="1789"/>
      <c r="N108" s="1789"/>
    </row>
    <row r="109" ht="15" customHeight="1">
      <c r="A109" t="s" s="1799">
        <v>2453</v>
      </c>
      <c r="B109" t="s" s="1800">
        <v>2454</v>
      </c>
      <c r="C109" s="1801">
        <v>1538491082</v>
      </c>
      <c r="D109" s="1801">
        <v>0</v>
      </c>
      <c r="E109" s="1801"/>
      <c r="F109" t="s" s="1799">
        <v>2452</v>
      </c>
      <c r="G109" s="1789"/>
      <c r="H109" s="1801" cm="1">
        <f t="array" ref="H109">C109-D109</f>
        <v>1538491082</v>
      </c>
      <c r="I109" s="1789"/>
      <c r="J109" s="1789"/>
      <c r="K109" s="1789"/>
      <c r="L109" s="1789"/>
      <c r="M109" s="1789"/>
      <c r="N109" s="1789"/>
    </row>
    <row r="110" ht="15" customHeight="1">
      <c r="A110" t="s" s="1799">
        <v>2455</v>
      </c>
      <c r="B110" t="s" s="1800">
        <v>2456</v>
      </c>
      <c r="C110" s="1801">
        <v>118920000</v>
      </c>
      <c r="D110" s="1801">
        <v>0</v>
      </c>
      <c r="E110" s="1801"/>
      <c r="F110" t="s" s="1799">
        <v>2452</v>
      </c>
      <c r="G110" s="1789"/>
      <c r="H110" s="1801" cm="1">
        <f t="array" ref="H110">C110-D110</f>
        <v>118920000</v>
      </c>
      <c r="I110" s="1789"/>
      <c r="J110" s="1789"/>
      <c r="K110" s="1789"/>
      <c r="L110" s="1789"/>
      <c r="M110" s="1789"/>
      <c r="N110" s="1789"/>
    </row>
    <row r="111" ht="15" customHeight="1">
      <c r="A111" t="s" s="1799">
        <v>2457</v>
      </c>
      <c r="B111" t="s" s="1800">
        <v>2458</v>
      </c>
      <c r="C111" s="1801">
        <v>281877094</v>
      </c>
      <c r="D111" s="1801">
        <v>0</v>
      </c>
      <c r="E111" s="1801"/>
      <c r="F111" t="s" s="1799">
        <v>2452</v>
      </c>
      <c r="G111" s="1789"/>
      <c r="H111" s="1801" cm="1">
        <f t="array" ref="H111">C111-D111</f>
        <v>281877094</v>
      </c>
      <c r="I111" s="1789"/>
      <c r="J111" s="1789"/>
      <c r="K111" s="1789"/>
      <c r="L111" s="1789"/>
      <c r="M111" s="1789"/>
      <c r="N111" s="1789"/>
    </row>
    <row r="112" ht="15" customHeight="1">
      <c r="A112" t="s" s="1799">
        <v>2459</v>
      </c>
      <c r="B112" t="s" s="1800">
        <v>2460</v>
      </c>
      <c r="C112" s="1801">
        <v>253782789</v>
      </c>
      <c r="D112" s="1801">
        <v>69046188</v>
      </c>
      <c r="E112" s="1801"/>
      <c r="F112" t="s" s="1799">
        <v>2452</v>
      </c>
      <c r="G112" s="1789"/>
      <c r="H112" s="1801" cm="1">
        <f t="array" ref="H112">C112-D112</f>
        <v>184736601</v>
      </c>
      <c r="I112" s="1789"/>
      <c r="J112" s="1789"/>
      <c r="K112" s="1789"/>
      <c r="L112" s="1789"/>
      <c r="M112" s="1789"/>
      <c r="N112" s="1789"/>
    </row>
    <row r="113" ht="15" customHeight="1">
      <c r="A113" t="s" s="1799">
        <v>2461</v>
      </c>
      <c r="B113" t="s" s="1800">
        <v>2462</v>
      </c>
      <c r="C113" s="1801">
        <v>191589186</v>
      </c>
      <c r="D113" s="1801">
        <v>49194414</v>
      </c>
      <c r="E113" s="1801"/>
      <c r="F113" t="s" s="1799">
        <v>2452</v>
      </c>
      <c r="G113" s="1789"/>
      <c r="H113" s="1801" cm="1">
        <f t="array" ref="H113">C113-D113</f>
        <v>142394772</v>
      </c>
      <c r="I113" s="1789"/>
      <c r="J113" s="1789"/>
      <c r="K113" s="1789"/>
      <c r="L113" s="1789"/>
      <c r="M113" s="1789"/>
      <c r="N113" s="1789"/>
    </row>
    <row r="114" ht="15" customHeight="1">
      <c r="A114" t="s" s="1799">
        <v>2463</v>
      </c>
      <c r="B114" t="s" s="1800">
        <v>2464</v>
      </c>
      <c r="C114" s="1801">
        <v>150422998</v>
      </c>
      <c r="D114" s="1801">
        <v>0</v>
      </c>
      <c r="E114" s="1801"/>
      <c r="F114" t="s" s="1799">
        <v>2452</v>
      </c>
      <c r="G114" s="1789"/>
      <c r="H114" s="1801" cm="1">
        <f t="array" ref="H114">C114-D114</f>
        <v>150422998</v>
      </c>
      <c r="I114" s="1789"/>
      <c r="J114" s="1789"/>
      <c r="K114" s="1789"/>
      <c r="L114" s="1789"/>
      <c r="M114" s="1789"/>
      <c r="N114" s="1789"/>
    </row>
    <row r="115" ht="15" customHeight="1">
      <c r="A115" t="s" s="1799">
        <v>2465</v>
      </c>
      <c r="B115" t="s" s="1800">
        <v>2466</v>
      </c>
      <c r="C115" s="1801">
        <v>145548535</v>
      </c>
      <c r="D115" s="1801">
        <v>15000000</v>
      </c>
      <c r="E115" s="1801"/>
      <c r="F115" t="s" s="1799">
        <v>2452</v>
      </c>
      <c r="G115" s="1789"/>
      <c r="H115" s="1801" cm="1">
        <f t="array" ref="H115">C115-D115</f>
        <v>130548535</v>
      </c>
      <c r="I115" s="1789"/>
      <c r="J115" s="1789"/>
      <c r="K115" s="1789"/>
      <c r="L115" s="1789"/>
      <c r="M115" s="1789"/>
      <c r="N115" s="1789"/>
    </row>
    <row r="116" ht="15" customHeight="1">
      <c r="A116" t="s" s="1799">
        <v>2467</v>
      </c>
      <c r="B116" t="s" s="1800">
        <v>2224</v>
      </c>
      <c r="C116" s="1801">
        <v>35000000</v>
      </c>
      <c r="D116" s="1801">
        <v>11000000</v>
      </c>
      <c r="E116" t="s" s="1799">
        <v>2468</v>
      </c>
      <c r="F116" s="1801"/>
      <c r="G116" s="1789"/>
      <c r="H116" s="1801" cm="1">
        <f t="array" ref="H116">C116-D116</f>
        <v>24000000</v>
      </c>
      <c r="I116" s="1789"/>
      <c r="J116" s="1789"/>
      <c r="K116" s="1789"/>
      <c r="L116" s="1789"/>
      <c r="M116" s="1789"/>
      <c r="N116" s="1789"/>
    </row>
    <row r="117" ht="15" customHeight="1">
      <c r="A117" t="s" s="1799">
        <v>2469</v>
      </c>
      <c r="B117" t="s" s="1800">
        <v>2470</v>
      </c>
      <c r="C117" s="1801">
        <v>30078620</v>
      </c>
      <c r="D117" s="1801">
        <v>0</v>
      </c>
      <c r="E117" s="1801"/>
      <c r="F117" t="s" s="1799">
        <v>2452</v>
      </c>
      <c r="G117" s="1789"/>
      <c r="H117" s="1801" cm="1">
        <f t="array" ref="H117">C117-D117</f>
        <v>30078620</v>
      </c>
      <c r="I117" s="1789"/>
      <c r="J117" s="1789"/>
      <c r="K117" s="1789"/>
      <c r="L117" s="1789"/>
      <c r="M117" s="1789"/>
      <c r="N117" s="1789"/>
    </row>
    <row r="118" ht="15" customHeight="1">
      <c r="A118" t="s" s="1799">
        <v>2471</v>
      </c>
      <c r="B118" t="s" s="1800">
        <v>2472</v>
      </c>
      <c r="C118" s="1801">
        <v>216699751</v>
      </c>
      <c r="D118" s="1801">
        <v>0</v>
      </c>
      <c r="E118" s="1801"/>
      <c r="F118" t="s" s="1799">
        <v>2452</v>
      </c>
      <c r="G118" s="1789"/>
      <c r="H118" s="1801" cm="1">
        <f t="array" ref="H118">C118-D118</f>
        <v>216699751</v>
      </c>
      <c r="I118" s="1789"/>
      <c r="J118" s="1789"/>
      <c r="K118" s="1789"/>
      <c r="L118" s="1789"/>
      <c r="M118" s="1789"/>
      <c r="N118" s="1789"/>
    </row>
    <row r="119" ht="15" customHeight="1">
      <c r="A119" t="s" s="1799">
        <v>2473</v>
      </c>
      <c r="B119" t="s" s="1800">
        <v>2474</v>
      </c>
      <c r="C119" s="1801">
        <v>63163962</v>
      </c>
      <c r="D119" s="1801">
        <v>53635480</v>
      </c>
      <c r="E119" s="1801"/>
      <c r="F119" s="1801"/>
      <c r="G119" s="1789"/>
      <c r="H119" s="1801" cm="1">
        <f t="array" ref="H119">C119-D119</f>
        <v>9528482</v>
      </c>
      <c r="I119" s="1789"/>
      <c r="J119" s="1789"/>
      <c r="K119" s="1789"/>
      <c r="L119" s="1789"/>
      <c r="M119" s="1789"/>
      <c r="N119" s="1789"/>
    </row>
    <row r="120" ht="15" customHeight="1">
      <c r="A120" t="s" s="1799">
        <v>2475</v>
      </c>
      <c r="B120" t="s" s="1800">
        <v>2250</v>
      </c>
      <c r="C120" s="1801">
        <v>1500000</v>
      </c>
      <c r="D120" s="1801">
        <v>1500000</v>
      </c>
      <c r="E120" t="s" s="1799">
        <v>2468</v>
      </c>
      <c r="F120" s="1801"/>
      <c r="G120" s="1789"/>
      <c r="H120" s="1801" cm="1">
        <f t="array" ref="H120">C120-D120</f>
        <v>0</v>
      </c>
      <c r="I120" s="1789"/>
      <c r="J120" s="1789"/>
      <c r="K120" s="1789"/>
      <c r="L120" s="1789"/>
      <c r="M120" s="1789"/>
      <c r="N120" s="1789"/>
    </row>
    <row r="121" ht="15" customHeight="1">
      <c r="A121" t="s" s="1799">
        <v>2476</v>
      </c>
      <c r="B121" t="s" s="1800">
        <v>2225</v>
      </c>
      <c r="C121" s="1801">
        <v>373840000</v>
      </c>
      <c r="D121" s="1801">
        <v>338840000</v>
      </c>
      <c r="E121" t="s" s="1799">
        <v>2468</v>
      </c>
      <c r="F121" s="1801"/>
      <c r="G121" s="1789"/>
      <c r="H121" s="1801" cm="1">
        <f t="array" ref="H121">C121-D121</f>
        <v>35000000</v>
      </c>
      <c r="I121" s="1789"/>
      <c r="J121" s="1789"/>
      <c r="K121" s="1789"/>
      <c r="L121" s="1789"/>
      <c r="M121" s="1789"/>
      <c r="N121" s="1789"/>
    </row>
    <row r="122" ht="15" customHeight="1">
      <c r="A122" t="s" s="1799">
        <v>2477</v>
      </c>
      <c r="B122" t="s" s="1800">
        <v>2251</v>
      </c>
      <c r="C122" s="1801">
        <v>25000000</v>
      </c>
      <c r="D122" s="1801">
        <v>25000000</v>
      </c>
      <c r="E122" t="s" s="1799">
        <v>2468</v>
      </c>
      <c r="F122" s="1801"/>
      <c r="G122" s="1789"/>
      <c r="H122" s="1801" cm="1">
        <f t="array" ref="H122">C122-D122</f>
        <v>0</v>
      </c>
      <c r="I122" s="1789"/>
      <c r="J122" s="1789"/>
      <c r="K122" s="1789"/>
      <c r="L122" s="1789"/>
      <c r="M122" s="1789"/>
      <c r="N122" s="1789"/>
    </row>
    <row r="123" ht="15" customHeight="1">
      <c r="A123" t="s" s="1799">
        <v>2478</v>
      </c>
      <c r="B123" t="s" s="1800">
        <v>2252</v>
      </c>
      <c r="C123" s="1801">
        <v>10000000</v>
      </c>
      <c r="D123" s="1801">
        <v>10000000</v>
      </c>
      <c r="E123" t="s" s="1799">
        <v>2468</v>
      </c>
      <c r="F123" s="1801"/>
      <c r="G123" s="1789"/>
      <c r="H123" s="1801" cm="1">
        <f t="array" ref="H123">C123-D123</f>
        <v>0</v>
      </c>
      <c r="I123" s="1789"/>
      <c r="J123" s="1789"/>
      <c r="K123" s="1789"/>
      <c r="L123" s="1789"/>
      <c r="M123" s="1789"/>
      <c r="N123" s="1789"/>
    </row>
    <row r="124" ht="15" customHeight="1">
      <c r="A124" t="s" s="1799">
        <v>2479</v>
      </c>
      <c r="B124" t="s" s="1800">
        <v>2480</v>
      </c>
      <c r="C124" s="1801">
        <v>297485835</v>
      </c>
      <c r="D124" s="1801">
        <v>261097450</v>
      </c>
      <c r="E124" s="1801"/>
      <c r="F124" t="s" s="1799">
        <v>2452</v>
      </c>
      <c r="G124" s="1789"/>
      <c r="H124" s="1801" cm="1">
        <f t="array" ref="H124">C124-D124</f>
        <v>36388385</v>
      </c>
      <c r="I124" s="1789"/>
      <c r="J124" s="1789"/>
      <c r="K124" s="1789"/>
      <c r="L124" s="1789"/>
      <c r="M124" s="1789"/>
      <c r="N124" s="1789"/>
    </row>
    <row r="125" ht="15" customHeight="1">
      <c r="A125" t="s" s="1799">
        <v>2481</v>
      </c>
      <c r="B125" t="s" s="1800">
        <v>2482</v>
      </c>
      <c r="C125" s="1801">
        <v>399229068</v>
      </c>
      <c r="D125" s="1801">
        <v>0</v>
      </c>
      <c r="E125" s="1801"/>
      <c r="F125" t="s" s="1799">
        <v>2452</v>
      </c>
      <c r="G125" s="1789"/>
      <c r="H125" s="1801" cm="1">
        <f t="array" ref="H125">C125-D125</f>
        <v>399229068</v>
      </c>
      <c r="I125" s="1789"/>
      <c r="J125" s="1789"/>
      <c r="K125" s="1789"/>
      <c r="L125" s="1789"/>
      <c r="M125" s="1789"/>
      <c r="N125" s="1789"/>
    </row>
    <row r="126" ht="15" customHeight="1">
      <c r="A126" t="s" s="1799">
        <v>2483</v>
      </c>
      <c r="B126" t="s" s="1800">
        <v>2484</v>
      </c>
      <c r="C126" s="1801">
        <v>5890000</v>
      </c>
      <c r="D126" s="1801">
        <v>0</v>
      </c>
      <c r="E126" s="1801"/>
      <c r="F126" t="s" s="1799">
        <v>2452</v>
      </c>
      <c r="G126" s="1789"/>
      <c r="H126" s="1801" cm="1">
        <f t="array" ref="H126">C126-D126</f>
        <v>5890000</v>
      </c>
      <c r="I126" s="1789"/>
      <c r="J126" s="1789"/>
      <c r="K126" s="1789"/>
      <c r="L126" s="1789"/>
      <c r="M126" s="1789"/>
      <c r="N126" s="1789"/>
    </row>
    <row r="127" ht="15" customHeight="1">
      <c r="A127" t="s" s="1799">
        <v>2485</v>
      </c>
      <c r="B127" t="s" s="1800">
        <v>2486</v>
      </c>
      <c r="C127" s="1801">
        <v>181696558</v>
      </c>
      <c r="D127" s="1801">
        <v>0</v>
      </c>
      <c r="E127" s="1801"/>
      <c r="F127" t="s" s="1799">
        <v>2452</v>
      </c>
      <c r="G127" s="1789"/>
      <c r="H127" s="1801" cm="1">
        <f t="array" ref="H127">C127-D127</f>
        <v>181696558</v>
      </c>
      <c r="I127" s="1789"/>
      <c r="J127" s="1789"/>
      <c r="K127" s="1789"/>
      <c r="L127" s="1789"/>
      <c r="M127" s="1789"/>
      <c r="N127" s="1789"/>
    </row>
    <row r="128" ht="15" customHeight="1">
      <c r="A128" t="s" s="1799">
        <v>2487</v>
      </c>
      <c r="B128" t="s" s="1800">
        <v>2226</v>
      </c>
      <c r="C128" s="1801">
        <v>30000000</v>
      </c>
      <c r="D128" s="1801">
        <v>8000000</v>
      </c>
      <c r="E128" t="s" s="1799">
        <v>2468</v>
      </c>
      <c r="F128" s="1801"/>
      <c r="G128" s="1789"/>
      <c r="H128" s="1801" cm="1">
        <f t="array" ref="H128">C128-D128</f>
        <v>22000000</v>
      </c>
      <c r="I128" s="1789"/>
      <c r="J128" s="1789"/>
      <c r="K128" s="1789"/>
      <c r="L128" s="1789"/>
      <c r="M128" s="1789"/>
      <c r="N128" s="1789"/>
    </row>
    <row r="129" ht="15" customHeight="1">
      <c r="A129" t="s" s="1799">
        <v>2488</v>
      </c>
      <c r="B129" t="s" s="1800">
        <v>2227</v>
      </c>
      <c r="C129" s="1801">
        <v>-5500000</v>
      </c>
      <c r="D129" s="1801">
        <v>0</v>
      </c>
      <c r="E129" t="s" s="1799">
        <v>2468</v>
      </c>
      <c r="F129" s="1801"/>
      <c r="G129" s="1789"/>
      <c r="H129" s="1801" cm="1">
        <f t="array" ref="H129">C129-D129</f>
        <v>-5500000</v>
      </c>
      <c r="I129" s="1789"/>
      <c r="J129" s="1789"/>
      <c r="K129" s="1789"/>
      <c r="L129" s="1789"/>
      <c r="M129" s="1789"/>
      <c r="N129" s="1789"/>
    </row>
    <row r="130" ht="15" customHeight="1">
      <c r="A130" t="s" s="1799">
        <v>2489</v>
      </c>
      <c r="B130" t="s" s="1800">
        <v>2490</v>
      </c>
      <c r="C130" s="1801">
        <v>166500000</v>
      </c>
      <c r="D130" s="1801">
        <v>0</v>
      </c>
      <c r="E130" s="1801"/>
      <c r="F130" t="s" s="1799">
        <v>2452</v>
      </c>
      <c r="G130" s="1789"/>
      <c r="H130" s="1801" cm="1">
        <f t="array" ref="H130">C130-D130</f>
        <v>166500000</v>
      </c>
      <c r="I130" s="1789"/>
      <c r="J130" s="1789"/>
      <c r="K130" s="1789"/>
      <c r="L130" s="1789"/>
      <c r="M130" s="1789"/>
      <c r="N130" s="1789"/>
    </row>
    <row r="131" ht="15" customHeight="1">
      <c r="A131" t="s" s="1799">
        <v>2491</v>
      </c>
      <c r="B131" t="s" s="1800">
        <v>2492</v>
      </c>
      <c r="C131" s="1801">
        <v>37000000</v>
      </c>
      <c r="D131" s="1801">
        <v>0</v>
      </c>
      <c r="E131" s="1801"/>
      <c r="F131" t="s" s="1799">
        <v>2452</v>
      </c>
      <c r="G131" s="1789"/>
      <c r="H131" s="1801" cm="1">
        <f t="array" ref="H131">C131-D131</f>
        <v>37000000</v>
      </c>
      <c r="I131" s="1789"/>
      <c r="J131" s="1789"/>
      <c r="K131" s="1789"/>
      <c r="L131" s="1789"/>
      <c r="M131" s="1789"/>
      <c r="N131" s="1789"/>
    </row>
    <row r="132" ht="15" customHeight="1">
      <c r="A132" t="s" s="1799">
        <v>2493</v>
      </c>
      <c r="B132" t="s" s="1800">
        <v>2228</v>
      </c>
      <c r="C132" s="1801">
        <v>1605100000</v>
      </c>
      <c r="D132" s="1801">
        <v>950100000</v>
      </c>
      <c r="E132" t="s" s="1799">
        <v>2468</v>
      </c>
      <c r="F132" s="1801"/>
      <c r="G132" s="1789"/>
      <c r="H132" s="1801" cm="1">
        <f t="array" ref="H132">C132-D132</f>
        <v>655000000</v>
      </c>
      <c r="I132" s="1789"/>
      <c r="J132" s="1789"/>
      <c r="K132" s="1789"/>
      <c r="L132" s="1789"/>
      <c r="M132" s="1789"/>
      <c r="N132" s="1789"/>
    </row>
    <row r="133" ht="15" customHeight="1">
      <c r="A133" t="s" s="1799">
        <v>2494</v>
      </c>
      <c r="B133" t="s" s="1800">
        <v>2253</v>
      </c>
      <c r="C133" s="1801">
        <v>178000000</v>
      </c>
      <c r="D133" s="1801">
        <v>206000000</v>
      </c>
      <c r="E133" t="s" s="1799">
        <v>2468</v>
      </c>
      <c r="F133" s="1801"/>
      <c r="G133" s="1789"/>
      <c r="H133" s="1801" cm="1">
        <f t="array" ref="H133">C133-D133</f>
        <v>-28000000</v>
      </c>
      <c r="I133" s="1789"/>
      <c r="J133" s="1789"/>
      <c r="K133" s="1789"/>
      <c r="L133" s="1789"/>
      <c r="M133" s="1789"/>
      <c r="N133" s="1789"/>
    </row>
    <row r="134" ht="15" customHeight="1">
      <c r="A134" t="s" s="1799">
        <v>2495</v>
      </c>
      <c r="B134" t="s" s="1800">
        <v>2496</v>
      </c>
      <c r="C134" s="1801">
        <v>1861927115.3</v>
      </c>
      <c r="D134" s="1801">
        <v>455315941</v>
      </c>
      <c r="E134" s="1801"/>
      <c r="F134" t="s" s="1799">
        <v>2452</v>
      </c>
      <c r="G134" s="1789"/>
      <c r="H134" s="1801" cm="1">
        <f t="array" ref="H134">C134-D134</f>
        <v>1406611174.3</v>
      </c>
      <c r="I134" s="1789"/>
      <c r="J134" s="1789"/>
      <c r="K134" s="1789"/>
      <c r="L134" s="1789"/>
      <c r="M134" s="1789"/>
      <c r="N134" s="1789"/>
    </row>
    <row r="135" ht="15" customHeight="1">
      <c r="A135" t="s" s="1799">
        <v>2497</v>
      </c>
      <c r="B135" t="s" s="1800">
        <v>2255</v>
      </c>
      <c r="C135" s="1801">
        <v>20000000</v>
      </c>
      <c r="D135" s="1801">
        <v>20000000</v>
      </c>
      <c r="E135" s="1801"/>
      <c r="F135" s="1801"/>
      <c r="G135" s="1789"/>
      <c r="H135" s="1801" cm="1">
        <f t="array" ref="H135">C135-D135</f>
        <v>0</v>
      </c>
      <c r="I135" s="1789"/>
      <c r="J135" s="1789"/>
      <c r="K135" s="1789"/>
      <c r="L135" s="1789"/>
      <c r="M135" s="1789"/>
      <c r="N135" s="1789"/>
    </row>
    <row r="136" ht="15" customHeight="1">
      <c r="A136" t="s" s="1799">
        <v>2498</v>
      </c>
      <c r="B136" t="s" s="1800">
        <v>2499</v>
      </c>
      <c r="C136" s="1801">
        <v>98093250</v>
      </c>
      <c r="D136" s="1801">
        <v>98093250</v>
      </c>
      <c r="E136" s="1801"/>
      <c r="F136" t="s" s="1799">
        <v>2452</v>
      </c>
      <c r="G136" s="1789"/>
      <c r="H136" s="1801" cm="1">
        <f t="array" ref="H136">C136-D136</f>
        <v>0</v>
      </c>
      <c r="I136" s="1789"/>
      <c r="J136" s="1789"/>
      <c r="K136" s="1789"/>
      <c r="L136" s="1789"/>
      <c r="M136" s="1789"/>
      <c r="N136" s="1789"/>
    </row>
    <row r="137" ht="15" customHeight="1">
      <c r="A137" t="s" s="1799">
        <v>2500</v>
      </c>
      <c r="B137" t="s" s="1800">
        <v>2501</v>
      </c>
      <c r="C137" s="1801">
        <v>237546468</v>
      </c>
      <c r="D137" s="1801">
        <v>237546468</v>
      </c>
      <c r="E137" s="1801"/>
      <c r="F137" t="s" s="1799">
        <v>2452</v>
      </c>
      <c r="G137" s="1789"/>
      <c r="H137" s="1801" cm="1">
        <f t="array" ref="H137">C137-D137</f>
        <v>0</v>
      </c>
      <c r="I137" s="1789"/>
      <c r="J137" s="1789"/>
      <c r="K137" s="1789"/>
      <c r="L137" s="1789"/>
      <c r="M137" s="1789"/>
      <c r="N137" s="1789"/>
    </row>
    <row r="138" ht="15" customHeight="1">
      <c r="A138" t="s" s="1799">
        <v>2502</v>
      </c>
      <c r="B138" t="s" s="1800">
        <v>2503</v>
      </c>
      <c r="C138" s="1801">
        <v>386462500</v>
      </c>
      <c r="D138" s="1801">
        <v>386462500</v>
      </c>
      <c r="E138" s="1801"/>
      <c r="F138" t="s" s="1799">
        <v>2452</v>
      </c>
      <c r="G138" s="1789"/>
      <c r="H138" s="1801" cm="1">
        <f t="array" ref="H138">C138-D138</f>
        <v>0</v>
      </c>
      <c r="I138" s="1789"/>
      <c r="J138" s="1789"/>
      <c r="K138" s="1789"/>
      <c r="L138" s="1789"/>
      <c r="M138" s="1789"/>
      <c r="N138" s="1789"/>
    </row>
    <row r="139" ht="15" customHeight="1">
      <c r="A139" t="s" s="1799">
        <v>2504</v>
      </c>
      <c r="B139" t="s" s="1800">
        <v>2505</v>
      </c>
      <c r="C139" s="1801">
        <v>400000</v>
      </c>
      <c r="D139" s="1801">
        <v>400000</v>
      </c>
      <c r="E139" s="1801"/>
      <c r="F139" s="1801"/>
      <c r="G139" s="1789"/>
      <c r="H139" s="1801" cm="1">
        <f t="array" ref="H139">C139-D139</f>
        <v>0</v>
      </c>
      <c r="I139" s="1789"/>
      <c r="J139" s="1789"/>
      <c r="K139" s="1789"/>
      <c r="L139" s="1789"/>
      <c r="M139" s="1789"/>
      <c r="N139" s="1789"/>
    </row>
    <row r="140" ht="15" customHeight="1">
      <c r="A140" t="s" s="1799">
        <v>2506</v>
      </c>
      <c r="B140" t="s" s="1800">
        <v>2507</v>
      </c>
      <c r="C140" s="1801">
        <v>109911325</v>
      </c>
      <c r="D140" s="1801">
        <v>39911325</v>
      </c>
      <c r="E140" s="1801"/>
      <c r="F140" t="s" s="1799">
        <v>2452</v>
      </c>
      <c r="G140" s="1789"/>
      <c r="H140" s="1801" cm="1">
        <f t="array" ref="H140">C140-D140</f>
        <v>70000000</v>
      </c>
      <c r="I140" s="1789"/>
      <c r="J140" s="1789"/>
      <c r="K140" s="1789"/>
      <c r="L140" s="1789"/>
      <c r="M140" s="1789"/>
      <c r="N140" s="1789"/>
    </row>
    <row r="141" ht="15" customHeight="1">
      <c r="A141" t="s" s="1799">
        <v>2508</v>
      </c>
      <c r="B141" t="s" s="1800">
        <v>2509</v>
      </c>
      <c r="C141" s="1801">
        <v>646680000</v>
      </c>
      <c r="D141" s="1801">
        <v>347000000</v>
      </c>
      <c r="E141" s="1801"/>
      <c r="F141" t="s" s="1799">
        <v>2452</v>
      </c>
      <c r="G141" s="1789"/>
      <c r="H141" s="1801" cm="1">
        <f t="array" ref="H141">C141-D141</f>
        <v>299680000</v>
      </c>
      <c r="I141" s="1789"/>
      <c r="J141" s="1789"/>
      <c r="K141" s="1789"/>
      <c r="L141" s="1789"/>
      <c r="M141" s="1789"/>
      <c r="N141" s="1789"/>
    </row>
    <row r="142" ht="15" customHeight="1">
      <c r="A142" t="s" s="1799">
        <v>2510</v>
      </c>
      <c r="B142" t="s" s="1800">
        <v>2511</v>
      </c>
      <c r="C142" s="1801">
        <v>95205177</v>
      </c>
      <c r="D142" s="1801">
        <v>21205177</v>
      </c>
      <c r="E142" s="1801"/>
      <c r="F142" t="s" s="1799">
        <v>2452</v>
      </c>
      <c r="G142" s="1789"/>
      <c r="H142" s="1801" cm="1">
        <f t="array" ref="H142">C142-D142</f>
        <v>74000000</v>
      </c>
      <c r="I142" s="1789"/>
      <c r="J142" s="1789"/>
      <c r="K142" s="1789"/>
      <c r="L142" s="1789"/>
      <c r="M142" s="1789"/>
      <c r="N142" s="1789"/>
    </row>
    <row r="143" ht="15" customHeight="1">
      <c r="A143" t="s" s="1799">
        <v>2512</v>
      </c>
      <c r="B143" t="s" s="1800">
        <v>2513</v>
      </c>
      <c r="C143" s="1801">
        <v>294640000</v>
      </c>
      <c r="D143" s="1801">
        <v>0</v>
      </c>
      <c r="E143" s="1801"/>
      <c r="F143" t="s" s="1799">
        <v>2452</v>
      </c>
      <c r="G143" s="1789"/>
      <c r="H143" s="1801" cm="1">
        <f t="array" ref="H143">C143-D143</f>
        <v>294640000</v>
      </c>
      <c r="I143" s="1789"/>
      <c r="J143" s="1789"/>
      <c r="K143" s="1789"/>
      <c r="L143" s="1789"/>
      <c r="M143" s="1789"/>
      <c r="N143" s="1789"/>
    </row>
    <row r="144" ht="15" customHeight="1">
      <c r="A144" t="s" s="1799">
        <v>2514</v>
      </c>
      <c r="B144" t="s" s="1800">
        <v>2515</v>
      </c>
      <c r="C144" s="1801">
        <v>55480000</v>
      </c>
      <c r="D144" s="1801">
        <v>0</v>
      </c>
      <c r="E144" s="1801"/>
      <c r="F144" t="s" s="1799">
        <v>2452</v>
      </c>
      <c r="G144" s="1789"/>
      <c r="H144" s="1801" cm="1">
        <f t="array" ref="H144">C144-D144</f>
        <v>55480000</v>
      </c>
      <c r="I144" s="1789"/>
      <c r="J144" s="1789"/>
      <c r="K144" s="1789"/>
      <c r="L144" s="1789"/>
      <c r="M144" s="1789"/>
      <c r="N144" s="1789"/>
    </row>
    <row r="145" ht="15" customHeight="1">
      <c r="A145" t="s" s="1799">
        <v>2516</v>
      </c>
      <c r="B145" t="s" s="1800">
        <v>2517</v>
      </c>
      <c r="C145" s="1801">
        <v>156213611.5</v>
      </c>
      <c r="D145" s="1801">
        <v>69083611.5</v>
      </c>
      <c r="E145" s="1801"/>
      <c r="F145" t="s" s="1799">
        <v>2452</v>
      </c>
      <c r="G145" s="1789"/>
      <c r="H145" s="1801" cm="1">
        <f t="array" ref="H145">C145-D145</f>
        <v>87130000</v>
      </c>
      <c r="I145" s="1789"/>
      <c r="J145" s="1789"/>
      <c r="K145" s="1789"/>
      <c r="L145" s="1789"/>
      <c r="M145" s="1789"/>
      <c r="N145" s="1789"/>
    </row>
    <row r="146" ht="15" customHeight="1">
      <c r="A146" t="s" s="1799">
        <v>2518</v>
      </c>
      <c r="B146" t="s" s="1800">
        <v>2519</v>
      </c>
      <c r="C146" s="1801">
        <v>97550000</v>
      </c>
      <c r="D146" s="1801">
        <v>0</v>
      </c>
      <c r="E146" s="1801"/>
      <c r="F146" t="s" s="1799">
        <v>2452</v>
      </c>
      <c r="G146" s="1789"/>
      <c r="H146" s="1801" cm="1">
        <f t="array" ref="H146">C146-D146</f>
        <v>97550000</v>
      </c>
      <c r="I146" s="1789"/>
      <c r="J146" s="1789"/>
      <c r="K146" s="1789"/>
      <c r="L146" s="1789"/>
      <c r="M146" s="1789"/>
      <c r="N146" s="1789"/>
    </row>
    <row r="147" ht="15" customHeight="1">
      <c r="A147" t="s" s="1799">
        <v>2520</v>
      </c>
      <c r="B147" t="s" s="1800">
        <v>2521</v>
      </c>
      <c r="C147" s="1801">
        <v>701498726.5</v>
      </c>
      <c r="D147" s="1801">
        <v>201344461.5</v>
      </c>
      <c r="E147" s="1801"/>
      <c r="F147" t="s" s="1799">
        <v>2452</v>
      </c>
      <c r="G147" s="1789"/>
      <c r="H147" s="1801" cm="1">
        <f t="array" ref="H147">C147-D147</f>
        <v>500154265</v>
      </c>
      <c r="I147" s="1789"/>
      <c r="J147" s="1789"/>
      <c r="K147" s="1789"/>
      <c r="L147" s="1789"/>
      <c r="M147" s="1789"/>
      <c r="N147" s="1789"/>
    </row>
    <row r="148" ht="15" customHeight="1">
      <c r="A148" t="s" s="1799">
        <v>2522</v>
      </c>
      <c r="B148" t="s" s="1800">
        <v>2523</v>
      </c>
      <c r="C148" s="1801">
        <v>4089107126.04</v>
      </c>
      <c r="D148" s="1801">
        <v>3532766336.94</v>
      </c>
      <c r="E148" s="1801"/>
      <c r="F148" t="s" s="1799">
        <v>2452</v>
      </c>
      <c r="G148" s="1789"/>
      <c r="H148" s="1801" cm="1">
        <f t="array" ref="H148">C148-D148</f>
        <v>556340789.1</v>
      </c>
      <c r="I148" s="1789"/>
      <c r="J148" s="1789"/>
      <c r="K148" s="1789"/>
      <c r="L148" s="1789"/>
      <c r="M148" s="1789"/>
      <c r="N148" s="1789"/>
    </row>
    <row r="149" ht="15" customHeight="1">
      <c r="A149" t="s" s="1799">
        <v>2524</v>
      </c>
      <c r="B149" t="s" s="1800">
        <v>2525</v>
      </c>
      <c r="C149" s="1801">
        <v>118000000</v>
      </c>
      <c r="D149" s="1801">
        <v>0</v>
      </c>
      <c r="E149" s="1801"/>
      <c r="F149" t="s" s="1799">
        <v>2452</v>
      </c>
      <c r="G149" s="1789"/>
      <c r="H149" s="1801" cm="1">
        <f t="array" ref="H149">C149-D149</f>
        <v>118000000</v>
      </c>
      <c r="I149" s="1789"/>
      <c r="J149" s="1789"/>
      <c r="K149" s="1789"/>
      <c r="L149" s="1789"/>
      <c r="M149" s="1789"/>
      <c r="N149" s="1789"/>
    </row>
    <row r="150" ht="15" customHeight="1">
      <c r="A150" t="s" s="1799">
        <v>2526</v>
      </c>
      <c r="B150" t="s" s="1800">
        <v>2527</v>
      </c>
      <c r="C150" s="1801">
        <v>26350000</v>
      </c>
      <c r="D150" s="1801">
        <v>26350000</v>
      </c>
      <c r="E150" s="1801"/>
      <c r="F150" s="1801"/>
      <c r="G150" s="1789"/>
      <c r="H150" s="1801" cm="1">
        <f t="array" ref="H150">C150-D150</f>
        <v>0</v>
      </c>
      <c r="I150" s="1789"/>
      <c r="J150" s="1789"/>
      <c r="K150" s="1789"/>
      <c r="L150" s="1789"/>
      <c r="M150" s="1789"/>
      <c r="N150" s="1789"/>
    </row>
    <row r="151" ht="15" customHeight="1">
      <c r="A151" t="s" s="1799">
        <v>2528</v>
      </c>
      <c r="B151" t="s" s="1800">
        <v>2529</v>
      </c>
      <c r="C151" s="1801">
        <v>-68906811</v>
      </c>
      <c r="D151" s="1801">
        <v>-99000000</v>
      </c>
      <c r="E151" s="1801"/>
      <c r="F151" t="s" s="1799">
        <v>2452</v>
      </c>
      <c r="G151" s="1789"/>
      <c r="H151" s="1801" cm="1">
        <f t="array" ref="H151">C151-D151</f>
        <v>30093189</v>
      </c>
      <c r="I151" s="1789"/>
      <c r="J151" s="1789"/>
      <c r="K151" s="1789"/>
      <c r="L151" s="1789"/>
      <c r="M151" s="1789"/>
      <c r="N151" s="1789"/>
    </row>
    <row r="152" ht="15" customHeight="1">
      <c r="A152" t="s" s="1799">
        <v>2530</v>
      </c>
      <c r="B152" t="s" s="1800">
        <v>2531</v>
      </c>
      <c r="C152" s="1801">
        <v>51757409</v>
      </c>
      <c r="D152" s="1801">
        <v>51757409</v>
      </c>
      <c r="E152" s="1801"/>
      <c r="F152" t="s" s="1799">
        <v>2452</v>
      </c>
      <c r="G152" s="1789"/>
      <c r="H152" s="1801" cm="1">
        <f t="array" ref="H152">C152-D152</f>
        <v>0</v>
      </c>
      <c r="I152" s="1789"/>
      <c r="J152" s="1789"/>
      <c r="K152" s="1789"/>
      <c r="L152" s="1789"/>
      <c r="M152" s="1789"/>
      <c r="N152" s="1789"/>
    </row>
    <row r="153" ht="15" customHeight="1">
      <c r="A153" t="s" s="1799">
        <v>2532</v>
      </c>
      <c r="B153" t="s" s="1800">
        <v>2533</v>
      </c>
      <c r="C153" s="1801">
        <v>45000000</v>
      </c>
      <c r="D153" s="1801">
        <v>45000000</v>
      </c>
      <c r="E153" s="1801"/>
      <c r="F153" t="s" s="1799">
        <v>2452</v>
      </c>
      <c r="G153" s="1789"/>
      <c r="H153" s="1801" cm="1">
        <f t="array" ref="H153">C153-D153</f>
        <v>0</v>
      </c>
      <c r="I153" s="1789"/>
      <c r="J153" s="1789"/>
      <c r="K153" s="1789"/>
      <c r="L153" s="1789"/>
      <c r="M153" s="1789"/>
      <c r="N153" s="1789"/>
    </row>
    <row r="154" ht="15" customHeight="1">
      <c r="A154" t="s" s="1799">
        <v>2534</v>
      </c>
      <c r="B154" t="s" s="1800">
        <v>2535</v>
      </c>
      <c r="C154" s="1801">
        <v>30000000</v>
      </c>
      <c r="D154" s="1801">
        <v>30000000</v>
      </c>
      <c r="E154" s="1801"/>
      <c r="F154" t="s" s="1799">
        <v>2452</v>
      </c>
      <c r="G154" s="1789"/>
      <c r="H154" s="1801" cm="1">
        <f t="array" ref="H154">C154-D154</f>
        <v>0</v>
      </c>
      <c r="I154" s="1789"/>
      <c r="J154" s="1789"/>
      <c r="K154" s="1789"/>
      <c r="L154" s="1789"/>
      <c r="M154" s="1789"/>
      <c r="N154" s="1789"/>
    </row>
    <row r="155" ht="15" customHeight="1">
      <c r="A155" t="s" s="1799">
        <v>2536</v>
      </c>
      <c r="B155" t="s" s="1800">
        <v>2537</v>
      </c>
      <c r="C155" s="1801">
        <v>3000000</v>
      </c>
      <c r="D155" s="1801">
        <v>3000000</v>
      </c>
      <c r="E155" s="1801"/>
      <c r="F155" t="s" s="1799">
        <v>2452</v>
      </c>
      <c r="G155" s="1789"/>
      <c r="H155" s="1801" cm="1">
        <f t="array" ref="H155">C155-D155</f>
        <v>0</v>
      </c>
      <c r="I155" s="1789"/>
      <c r="J155" s="1789"/>
      <c r="K155" s="1789"/>
      <c r="L155" s="1789"/>
      <c r="M155" s="1789"/>
      <c r="N155" s="1789"/>
    </row>
    <row r="156" ht="15" customHeight="1">
      <c r="A156" t="s" s="1799">
        <v>2538</v>
      </c>
      <c r="B156" t="s" s="1800">
        <v>2539</v>
      </c>
      <c r="C156" s="1801">
        <v>0</v>
      </c>
      <c r="D156" s="1801">
        <v>0</v>
      </c>
      <c r="E156" s="1801"/>
      <c r="F156" t="s" s="1799">
        <v>2452</v>
      </c>
      <c r="G156" s="1789"/>
      <c r="H156" s="1801" cm="1">
        <f t="array" ref="H156">C156-D156</f>
        <v>0</v>
      </c>
      <c r="I156" s="1789"/>
      <c r="J156" s="1789"/>
      <c r="K156" s="1789"/>
      <c r="L156" s="1789"/>
      <c r="M156" s="1789"/>
      <c r="N156" s="1789"/>
    </row>
    <row r="157" ht="15" customHeight="1">
      <c r="A157" t="s" s="1799">
        <v>2540</v>
      </c>
      <c r="B157" t="s" s="1800">
        <v>2541</v>
      </c>
      <c r="C157" s="1801">
        <v>76800772</v>
      </c>
      <c r="D157" s="1801">
        <v>76800772</v>
      </c>
      <c r="E157" s="1801"/>
      <c r="F157" t="s" s="1799">
        <v>2452</v>
      </c>
      <c r="G157" s="1789"/>
      <c r="H157" s="1801" cm="1">
        <f t="array" ref="H157">C157-D157</f>
        <v>0</v>
      </c>
      <c r="I157" s="1789"/>
      <c r="J157" s="1789"/>
      <c r="K157" s="1789"/>
      <c r="L157" s="1789"/>
      <c r="M157" s="1789"/>
      <c r="N157" s="1789"/>
    </row>
    <row r="158" ht="15" customHeight="1">
      <c r="A158" t="s" s="1799">
        <v>2542</v>
      </c>
      <c r="B158" t="s" s="1800">
        <v>2543</v>
      </c>
      <c r="C158" s="1801">
        <v>52505176</v>
      </c>
      <c r="D158" s="1801">
        <v>45931040</v>
      </c>
      <c r="E158" s="1801"/>
      <c r="F158" t="s" s="1799">
        <v>2452</v>
      </c>
      <c r="G158" s="1789"/>
      <c r="H158" s="1801" cm="1">
        <f t="array" ref="H158">C158-D158</f>
        <v>6574136</v>
      </c>
      <c r="I158" s="1789"/>
      <c r="J158" s="1789"/>
      <c r="K158" s="1789"/>
      <c r="L158" s="1789"/>
      <c r="M158" s="1789"/>
      <c r="N158" s="1789"/>
    </row>
    <row r="159" ht="15" customHeight="1">
      <c r="A159" t="s" s="1799">
        <v>2544</v>
      </c>
      <c r="B159" t="s" s="1800">
        <v>2545</v>
      </c>
      <c r="C159" s="1801">
        <v>4031404</v>
      </c>
      <c r="D159" s="1801">
        <v>846477</v>
      </c>
      <c r="E159" s="1801"/>
      <c r="F159" t="s" s="1799">
        <v>2452</v>
      </c>
      <c r="G159" s="1789"/>
      <c r="H159" s="1801" cm="1">
        <f t="array" ref="H159">C159-D159</f>
        <v>3184927</v>
      </c>
      <c r="I159" s="1789"/>
      <c r="J159" s="1789"/>
      <c r="K159" s="1789"/>
      <c r="L159" s="1789"/>
      <c r="M159" s="1789"/>
      <c r="N159" s="1789"/>
    </row>
    <row r="160" ht="15" customHeight="1">
      <c r="A160" t="s" s="1799">
        <v>2546</v>
      </c>
      <c r="B160" t="s" s="1800">
        <v>2547</v>
      </c>
      <c r="C160" s="1801">
        <v>99675299</v>
      </c>
      <c r="D160" s="1801">
        <v>43738299</v>
      </c>
      <c r="E160" s="1801"/>
      <c r="F160" t="s" s="1799">
        <v>2452</v>
      </c>
      <c r="G160" s="1789"/>
      <c r="H160" s="1801" cm="1">
        <f t="array" ref="H160">C160-D160</f>
        <v>55937000</v>
      </c>
      <c r="I160" s="1789"/>
      <c r="J160" s="1789"/>
      <c r="K160" s="1789"/>
      <c r="L160" s="1789"/>
      <c r="M160" s="1789"/>
      <c r="N160" s="1789"/>
    </row>
    <row r="161" ht="15" customHeight="1">
      <c r="A161" t="s" s="1799">
        <v>2548</v>
      </c>
      <c r="B161" t="s" s="1800">
        <v>2549</v>
      </c>
      <c r="C161" s="1801">
        <v>64444058</v>
      </c>
      <c r="D161" s="1801">
        <v>51444058</v>
      </c>
      <c r="E161" s="1801"/>
      <c r="F161" t="s" s="1799">
        <v>2452</v>
      </c>
      <c r="G161" s="1789"/>
      <c r="H161" s="1801" cm="1">
        <f t="array" ref="H161">C161-D161</f>
        <v>13000000</v>
      </c>
      <c r="I161" s="1789"/>
      <c r="J161" s="1789"/>
      <c r="K161" s="1789"/>
      <c r="L161" s="1789"/>
      <c r="M161" s="1789"/>
      <c r="N161" s="1789"/>
    </row>
    <row r="162" ht="15" customHeight="1">
      <c r="A162" t="s" s="1799">
        <v>2550</v>
      </c>
      <c r="B162" t="s" s="1800">
        <v>2551</v>
      </c>
      <c r="C162" s="1801">
        <v>17000000</v>
      </c>
      <c r="D162" s="1801">
        <v>0</v>
      </c>
      <c r="E162" s="1801"/>
      <c r="F162" t="s" s="1799">
        <v>2452</v>
      </c>
      <c r="G162" s="1789"/>
      <c r="H162" s="1801" cm="1">
        <f t="array" ref="H162">C162-D162</f>
        <v>17000000</v>
      </c>
      <c r="I162" s="1789"/>
      <c r="J162" s="1789"/>
      <c r="K162" s="1789"/>
      <c r="L162" s="1789"/>
      <c r="M162" s="1789"/>
      <c r="N162" s="1789"/>
    </row>
    <row r="163" ht="15" customHeight="1">
      <c r="A163" t="s" s="1799">
        <v>2552</v>
      </c>
      <c r="B163" t="s" s="1800">
        <v>2553</v>
      </c>
      <c r="C163" s="1801">
        <v>1764567508</v>
      </c>
      <c r="D163" s="1801">
        <v>1738721508</v>
      </c>
      <c r="E163" s="1801"/>
      <c r="F163" t="s" s="1799">
        <v>2452</v>
      </c>
      <c r="G163" s="1789"/>
      <c r="H163" s="1801" cm="1">
        <f t="array" ref="H163">C163-D163</f>
        <v>25846000</v>
      </c>
      <c r="I163" s="1789"/>
      <c r="J163" s="1789"/>
      <c r="K163" s="1789"/>
      <c r="L163" s="1789"/>
      <c r="M163" s="1789"/>
      <c r="N163" s="1789"/>
    </row>
    <row r="164" ht="15" customHeight="1">
      <c r="A164" t="s" s="1799">
        <v>2554</v>
      </c>
      <c r="B164" t="s" s="1800">
        <v>2555</v>
      </c>
      <c r="C164" s="1801">
        <v>1001839366</v>
      </c>
      <c r="D164" s="1801">
        <v>694206883</v>
      </c>
      <c r="E164" s="1801"/>
      <c r="F164" t="s" s="1799">
        <v>2452</v>
      </c>
      <c r="G164" s="1789"/>
      <c r="H164" s="1801" cm="1">
        <f t="array" ref="H164">C164-D164</f>
        <v>307632483</v>
      </c>
      <c r="I164" s="1789"/>
      <c r="J164" s="1789"/>
      <c r="K164" s="1789"/>
      <c r="L164" s="1789"/>
      <c r="M164" s="1789"/>
      <c r="N164" s="1789"/>
    </row>
    <row r="165" ht="15" customHeight="1">
      <c r="A165" t="s" s="1799">
        <v>2556</v>
      </c>
      <c r="B165" t="s" s="1800">
        <v>2557</v>
      </c>
      <c r="C165" s="1801">
        <v>114318811</v>
      </c>
      <c r="D165" s="1801">
        <v>114318811</v>
      </c>
      <c r="E165" s="1801"/>
      <c r="F165" t="s" s="1799">
        <v>2452</v>
      </c>
      <c r="G165" s="1789"/>
      <c r="H165" s="1801" cm="1">
        <f t="array" ref="H165">C165-D165</f>
        <v>0</v>
      </c>
      <c r="I165" s="1789"/>
      <c r="J165" s="1789"/>
      <c r="K165" s="1789"/>
      <c r="L165" s="1789"/>
      <c r="M165" s="1789"/>
      <c r="N165" s="1789"/>
    </row>
    <row r="166" ht="15" customHeight="1">
      <c r="A166" t="s" s="1799">
        <v>2558</v>
      </c>
      <c r="B166" t="s" s="1800">
        <v>2559</v>
      </c>
      <c r="C166" s="1801">
        <v>45213273</v>
      </c>
      <c r="D166" s="1801">
        <v>28213273</v>
      </c>
      <c r="E166" s="1801"/>
      <c r="F166" t="s" s="1799">
        <v>2452</v>
      </c>
      <c r="G166" s="1789"/>
      <c r="H166" s="1801" cm="1">
        <f t="array" ref="H166">C166-D166</f>
        <v>17000000</v>
      </c>
      <c r="I166" s="1789"/>
      <c r="J166" s="1789"/>
      <c r="K166" s="1789"/>
      <c r="L166" s="1789"/>
      <c r="M166" s="1789"/>
      <c r="N166" s="1789"/>
    </row>
    <row r="167" ht="15" customHeight="1">
      <c r="A167" t="s" s="1799">
        <v>2560</v>
      </c>
      <c r="B167" t="s" s="1800">
        <v>2561</v>
      </c>
      <c r="C167" s="1801">
        <v>30319658</v>
      </c>
      <c r="D167" s="1801">
        <v>7244858</v>
      </c>
      <c r="E167" s="1801"/>
      <c r="F167" t="s" s="1799">
        <v>2452</v>
      </c>
      <c r="G167" s="1789"/>
      <c r="H167" s="1801" cm="1">
        <f t="array" ref="H167">C167-D167</f>
        <v>23074800</v>
      </c>
      <c r="I167" s="1789"/>
      <c r="J167" s="1789"/>
      <c r="K167" s="1789"/>
      <c r="L167" s="1789"/>
      <c r="M167" s="1789"/>
      <c r="N167" s="1789"/>
    </row>
    <row r="168" ht="15" customHeight="1">
      <c r="A168" t="s" s="1799">
        <v>2562</v>
      </c>
      <c r="B168" t="s" s="1800">
        <v>2563</v>
      </c>
      <c r="C168" s="1801">
        <v>11500000</v>
      </c>
      <c r="D168" s="1801">
        <v>11500000</v>
      </c>
      <c r="E168" s="1801"/>
      <c r="F168" t="s" s="1799">
        <v>2452</v>
      </c>
      <c r="G168" s="1789"/>
      <c r="H168" s="1801" cm="1">
        <f t="array" ref="H168">C168-D168</f>
        <v>0</v>
      </c>
      <c r="I168" s="1789"/>
      <c r="J168" s="1789"/>
      <c r="K168" s="1789"/>
      <c r="L168" s="1789"/>
      <c r="M168" s="1789"/>
      <c r="N168" s="1789"/>
    </row>
    <row r="169" ht="15" customHeight="1">
      <c r="A169" t="s" s="1799">
        <v>2564</v>
      </c>
      <c r="B169" t="s" s="1800">
        <v>2565</v>
      </c>
      <c r="C169" s="1801">
        <v>45823181</v>
      </c>
      <c r="D169" s="1801">
        <v>16823181</v>
      </c>
      <c r="E169" s="1801"/>
      <c r="F169" t="s" s="1799">
        <v>2452</v>
      </c>
      <c r="G169" s="1789"/>
      <c r="H169" s="1801" cm="1">
        <f t="array" ref="H169">C169-D169</f>
        <v>29000000</v>
      </c>
      <c r="I169" s="1789"/>
      <c r="J169" s="1789"/>
      <c r="K169" s="1789"/>
      <c r="L169" s="1789"/>
      <c r="M169" s="1789"/>
      <c r="N169" s="1789"/>
    </row>
    <row r="170" ht="15" customHeight="1">
      <c r="A170" t="s" s="1799">
        <v>2566</v>
      </c>
      <c r="B170" t="s" s="1800">
        <v>2567</v>
      </c>
      <c r="C170" s="1801">
        <v>40749203</v>
      </c>
      <c r="D170" s="1801">
        <v>37749203</v>
      </c>
      <c r="E170" s="1801"/>
      <c r="F170" t="s" s="1799">
        <v>2452</v>
      </c>
      <c r="G170" s="1789"/>
      <c r="H170" s="1801" cm="1">
        <f t="array" ref="H170">C170-D170</f>
        <v>3000000</v>
      </c>
      <c r="I170" s="1789"/>
      <c r="J170" s="1789"/>
      <c r="K170" s="1789"/>
      <c r="L170" s="1789"/>
      <c r="M170" s="1789"/>
      <c r="N170" s="1789"/>
    </row>
    <row r="171" ht="15" customHeight="1">
      <c r="A171" t="s" s="1799">
        <v>2568</v>
      </c>
      <c r="B171" t="s" s="1800">
        <v>2569</v>
      </c>
      <c r="C171" s="1801">
        <v>41805500</v>
      </c>
      <c r="D171" s="1801">
        <v>30505500</v>
      </c>
      <c r="E171" s="1801"/>
      <c r="F171" t="s" s="1799">
        <v>2452</v>
      </c>
      <c r="G171" s="1789"/>
      <c r="H171" s="1801" cm="1">
        <f t="array" ref="H171">C171-D171</f>
        <v>11300000</v>
      </c>
      <c r="I171" s="1789"/>
      <c r="J171" s="1789"/>
      <c r="K171" s="1789"/>
      <c r="L171" s="1789"/>
      <c r="M171" s="1789"/>
      <c r="N171" s="1789"/>
    </row>
    <row r="172" ht="15" customHeight="1">
      <c r="A172" t="s" s="1799">
        <v>2570</v>
      </c>
      <c r="B172" t="s" s="1800">
        <v>2571</v>
      </c>
      <c r="C172" s="1801">
        <v>0</v>
      </c>
      <c r="D172" s="1801">
        <v>0</v>
      </c>
      <c r="E172" t="s" s="1799">
        <v>2468</v>
      </c>
      <c r="F172" s="1801"/>
      <c r="G172" s="1789"/>
      <c r="H172" s="1801" cm="1">
        <f t="array" ref="H172">C172-D172</f>
        <v>0</v>
      </c>
      <c r="I172" s="1789"/>
      <c r="J172" s="1789"/>
      <c r="K172" s="1789"/>
      <c r="L172" s="1789"/>
      <c r="M172" s="1789"/>
      <c r="N172" s="1789"/>
    </row>
    <row r="173" ht="15" customHeight="1">
      <c r="A173" t="s" s="1799">
        <v>2572</v>
      </c>
      <c r="B173" t="s" s="1800">
        <v>2573</v>
      </c>
      <c r="C173" s="1801">
        <v>235977228</v>
      </c>
      <c r="D173" s="1801">
        <v>219977228</v>
      </c>
      <c r="E173" s="1801"/>
      <c r="F173" t="s" s="1799">
        <v>2452</v>
      </c>
      <c r="G173" s="1789"/>
      <c r="H173" s="1801" cm="1">
        <f t="array" ref="H173">C173-D173</f>
        <v>16000000</v>
      </c>
      <c r="I173" s="1789"/>
      <c r="J173" s="1789"/>
      <c r="K173" s="1789"/>
      <c r="L173" s="1789"/>
      <c r="M173" s="1789"/>
      <c r="N173" s="1789"/>
    </row>
    <row r="174" ht="15" customHeight="1">
      <c r="A174" t="s" s="1799">
        <v>2574</v>
      </c>
      <c r="B174" t="s" s="1800">
        <v>2575</v>
      </c>
      <c r="C174" s="1801">
        <v>0</v>
      </c>
      <c r="D174" s="1801">
        <v>0</v>
      </c>
      <c r="E174" s="1801"/>
      <c r="F174" t="s" s="1799">
        <v>2452</v>
      </c>
      <c r="G174" s="1789"/>
      <c r="H174" s="1801" cm="1">
        <f t="array" ref="H174">C174-D174</f>
        <v>0</v>
      </c>
      <c r="I174" s="1789"/>
      <c r="J174" s="1789"/>
      <c r="K174" s="1789"/>
      <c r="L174" s="1789"/>
      <c r="M174" s="1789"/>
      <c r="N174" s="1789"/>
    </row>
    <row r="175" ht="15" customHeight="1">
      <c r="A175" t="s" s="1799">
        <v>2576</v>
      </c>
      <c r="B175" t="s" s="1800">
        <v>2577</v>
      </c>
      <c r="C175" s="1801">
        <v>51988136</v>
      </c>
      <c r="D175" s="1801">
        <v>0</v>
      </c>
      <c r="E175" s="1801"/>
      <c r="F175" t="s" s="1799">
        <v>2452</v>
      </c>
      <c r="G175" s="1789"/>
      <c r="H175" s="1801" cm="1">
        <f t="array" ref="H175">C175-D175</f>
        <v>51988136</v>
      </c>
      <c r="I175" s="1789"/>
      <c r="J175" s="1789"/>
      <c r="K175" s="1789"/>
      <c r="L175" s="1789"/>
      <c r="M175" s="1789"/>
      <c r="N175" s="1789"/>
    </row>
    <row r="176" ht="15" customHeight="1">
      <c r="A176" t="s" s="1799">
        <v>2578</v>
      </c>
      <c r="B176" t="s" s="1800">
        <v>2256</v>
      </c>
      <c r="C176" s="1801">
        <v>20000000</v>
      </c>
      <c r="D176" s="1801">
        <v>20000000</v>
      </c>
      <c r="E176" s="1801"/>
      <c r="F176" s="1801"/>
      <c r="G176" s="1789"/>
      <c r="H176" s="1801" cm="1">
        <f t="array" ref="H176">C176-D176</f>
        <v>0</v>
      </c>
      <c r="I176" s="1789"/>
      <c r="J176" s="1789"/>
      <c r="K176" s="1789"/>
      <c r="L176" s="1789"/>
      <c r="M176" s="1789"/>
      <c r="N176" s="1789"/>
    </row>
    <row r="177" ht="15" customHeight="1">
      <c r="A177" t="s" s="1799">
        <v>2579</v>
      </c>
      <c r="B177" t="s" s="1800">
        <v>2580</v>
      </c>
      <c r="C177" s="1801">
        <v>169696660</v>
      </c>
      <c r="D177" s="1801">
        <v>107696660</v>
      </c>
      <c r="E177" s="1801"/>
      <c r="F177" t="s" s="1799">
        <v>2452</v>
      </c>
      <c r="G177" s="1789"/>
      <c r="H177" s="1801" cm="1">
        <f t="array" ref="H177">C177-D177</f>
        <v>62000000</v>
      </c>
      <c r="I177" s="1789"/>
      <c r="J177" s="1789"/>
      <c r="K177" s="1789"/>
      <c r="L177" s="1789"/>
      <c r="M177" s="1789"/>
      <c r="N177" s="1789"/>
    </row>
    <row r="178" ht="15" customHeight="1">
      <c r="A178" t="s" s="1799">
        <v>2581</v>
      </c>
      <c r="B178" t="s" s="1800">
        <v>2582</v>
      </c>
      <c r="C178" s="1801">
        <v>336944545</v>
      </c>
      <c r="D178" s="1801">
        <v>63944545</v>
      </c>
      <c r="E178" s="1801"/>
      <c r="F178" t="s" s="1799">
        <v>2452</v>
      </c>
      <c r="G178" s="1789"/>
      <c r="H178" s="1801" cm="1">
        <f t="array" ref="H178">C178-D178</f>
        <v>273000000</v>
      </c>
      <c r="I178" s="1789"/>
      <c r="J178" s="1789"/>
      <c r="K178" s="1789"/>
      <c r="L178" s="1789"/>
      <c r="M178" s="1789"/>
      <c r="N178" s="1789"/>
    </row>
    <row r="179" ht="15" customHeight="1">
      <c r="A179" t="s" s="1799">
        <v>2583</v>
      </c>
      <c r="B179" t="s" s="1800">
        <v>2584</v>
      </c>
      <c r="C179" s="1801">
        <v>14987948</v>
      </c>
      <c r="D179" s="1801">
        <v>14987948</v>
      </c>
      <c r="E179" s="1801"/>
      <c r="F179" t="s" s="1799">
        <v>2452</v>
      </c>
      <c r="G179" s="1789"/>
      <c r="H179" s="1801" cm="1">
        <f t="array" ref="H179">C179-D179</f>
        <v>0</v>
      </c>
      <c r="I179" s="1789"/>
      <c r="J179" s="1789"/>
      <c r="K179" s="1789"/>
      <c r="L179" s="1789"/>
      <c r="M179" s="1789"/>
      <c r="N179" s="1789"/>
    </row>
    <row r="180" ht="15" customHeight="1">
      <c r="A180" t="s" s="1799">
        <v>2585</v>
      </c>
      <c r="B180" t="s" s="1800">
        <v>2586</v>
      </c>
      <c r="C180" s="1801">
        <v>92689844</v>
      </c>
      <c r="D180" s="1801">
        <v>50689844</v>
      </c>
      <c r="E180" s="1801"/>
      <c r="F180" t="s" s="1799">
        <v>2452</v>
      </c>
      <c r="G180" s="1789"/>
      <c r="H180" s="1801" cm="1">
        <f t="array" ref="H180">C180-D180</f>
        <v>42000000</v>
      </c>
      <c r="I180" s="1789"/>
      <c r="J180" s="1789"/>
      <c r="K180" s="1789"/>
      <c r="L180" s="1789"/>
      <c r="M180" s="1789"/>
      <c r="N180" s="1789"/>
    </row>
    <row r="181" ht="15" customHeight="1">
      <c r="A181" t="s" s="1799">
        <v>2587</v>
      </c>
      <c r="B181" t="s" s="1800">
        <v>2588</v>
      </c>
      <c r="C181" s="1801">
        <v>54000000</v>
      </c>
      <c r="D181" s="1801">
        <v>0</v>
      </c>
      <c r="E181" s="1801"/>
      <c r="F181" t="s" s="1799">
        <v>2452</v>
      </c>
      <c r="G181" s="1789"/>
      <c r="H181" s="1801" cm="1">
        <f t="array" ref="H181">C181-D181</f>
        <v>54000000</v>
      </c>
      <c r="I181" s="1789"/>
      <c r="J181" s="1789"/>
      <c r="K181" s="1789"/>
      <c r="L181" s="1789"/>
      <c r="M181" s="1789"/>
      <c r="N181" s="1789"/>
    </row>
    <row r="182" ht="15" customHeight="1">
      <c r="A182" t="s" s="1799">
        <v>2589</v>
      </c>
      <c r="B182" t="s" s="1800">
        <v>2590</v>
      </c>
      <c r="C182" s="1801">
        <v>246016785</v>
      </c>
      <c r="D182" s="1801">
        <v>165016785</v>
      </c>
      <c r="E182" s="1801"/>
      <c r="F182" t="s" s="1799">
        <v>2452</v>
      </c>
      <c r="G182" s="1789"/>
      <c r="H182" s="1801" cm="1">
        <f t="array" ref="H182">C182-D182</f>
        <v>81000000</v>
      </c>
      <c r="I182" s="1789"/>
      <c r="J182" s="1789"/>
      <c r="K182" s="1789"/>
      <c r="L182" s="1789"/>
      <c r="M182" s="1789"/>
      <c r="N182" s="1789"/>
    </row>
    <row r="183" ht="15" customHeight="1">
      <c r="A183" t="s" s="1799">
        <v>2591</v>
      </c>
      <c r="B183" t="s" s="1800">
        <v>2592</v>
      </c>
      <c r="C183" s="1801">
        <v>0</v>
      </c>
      <c r="D183" s="1801">
        <v>0</v>
      </c>
      <c r="E183" s="1801"/>
      <c r="F183" t="s" s="1799">
        <v>2452</v>
      </c>
      <c r="G183" s="1789"/>
      <c r="H183" s="1801" cm="1">
        <f t="array" ref="H183">C183-D183</f>
        <v>0</v>
      </c>
      <c r="I183" s="1789"/>
      <c r="J183" s="1789"/>
      <c r="K183" s="1789"/>
      <c r="L183" s="1789"/>
      <c r="M183" s="1789"/>
      <c r="N183" s="1789"/>
    </row>
    <row r="184" ht="15" customHeight="1">
      <c r="A184" t="s" s="1799">
        <v>2593</v>
      </c>
      <c r="B184" t="s" s="1800">
        <v>2594</v>
      </c>
      <c r="C184" s="1801">
        <v>96522930</v>
      </c>
      <c r="D184" s="1801">
        <v>96522930</v>
      </c>
      <c r="E184" s="1801"/>
      <c r="F184" t="s" s="1799">
        <v>2452</v>
      </c>
      <c r="G184" s="1789"/>
      <c r="H184" s="1801" cm="1">
        <f t="array" ref="H184">C184-D184</f>
        <v>0</v>
      </c>
      <c r="I184" s="1789"/>
      <c r="J184" s="1789"/>
      <c r="K184" s="1789"/>
      <c r="L184" s="1789"/>
      <c r="M184" s="1789"/>
      <c r="N184" s="1789"/>
    </row>
    <row r="185" ht="15" customHeight="1">
      <c r="A185" t="s" s="1799">
        <v>2593</v>
      </c>
      <c r="B185" t="s" s="1800">
        <v>2595</v>
      </c>
      <c r="C185" s="1801">
        <v>60050000</v>
      </c>
      <c r="D185" s="1801">
        <v>60000000</v>
      </c>
      <c r="E185" s="1801"/>
      <c r="F185" t="s" s="1799">
        <v>2452</v>
      </c>
      <c r="G185" s="1789"/>
      <c r="H185" s="1801" cm="1">
        <f t="array" ref="H185">C185-D185</f>
        <v>50000</v>
      </c>
      <c r="I185" s="1789"/>
      <c r="J185" s="1789"/>
      <c r="K185" s="1789"/>
      <c r="L185" s="1789"/>
      <c r="M185" s="1789"/>
      <c r="N185" s="1789"/>
    </row>
    <row r="186" ht="15" customHeight="1">
      <c r="A186" t="s" s="1799">
        <v>2596</v>
      </c>
      <c r="B186" t="s" s="1800">
        <v>2597</v>
      </c>
      <c r="C186" s="1801">
        <v>90620000</v>
      </c>
      <c r="D186" s="1801">
        <v>90620000</v>
      </c>
      <c r="E186" s="1801"/>
      <c r="F186" t="s" s="1799">
        <v>2452</v>
      </c>
      <c r="G186" s="1789"/>
      <c r="H186" s="1801" cm="1">
        <f t="array" ref="H186">C186-D186</f>
        <v>0</v>
      </c>
      <c r="I186" s="1789"/>
      <c r="J186" s="1789"/>
      <c r="K186" s="1789"/>
      <c r="L186" s="1789"/>
      <c r="M186" s="1789"/>
      <c r="N186" s="1789"/>
    </row>
    <row r="187" ht="15" customHeight="1">
      <c r="A187" t="s" s="1799">
        <v>2596</v>
      </c>
      <c r="B187" t="s" s="1800">
        <v>2598</v>
      </c>
      <c r="C187" s="1801">
        <v>1007089500</v>
      </c>
      <c r="D187" s="1801">
        <v>808889500</v>
      </c>
      <c r="E187" s="1801"/>
      <c r="F187" t="s" s="1799">
        <v>2452</v>
      </c>
      <c r="G187" s="1789"/>
      <c r="H187" s="1801" cm="1">
        <f t="array" ref="H187">C187-D187</f>
        <v>198200000</v>
      </c>
      <c r="I187" s="1789"/>
      <c r="J187" s="1789"/>
      <c r="K187" s="1789"/>
      <c r="L187" s="1789"/>
      <c r="M187" s="1789"/>
      <c r="N187" s="1789"/>
    </row>
    <row r="188" ht="15" customHeight="1">
      <c r="A188" t="s" s="1799">
        <v>2599</v>
      </c>
      <c r="B188" t="s" s="1800">
        <v>2600</v>
      </c>
      <c r="C188" s="1801">
        <v>11000000</v>
      </c>
      <c r="D188" s="1801">
        <v>11000000</v>
      </c>
      <c r="E188" s="1801"/>
      <c r="F188" t="s" s="1799">
        <v>2452</v>
      </c>
      <c r="G188" s="1789"/>
      <c r="H188" s="1801" cm="1">
        <f t="array" ref="H188">C188-D188</f>
        <v>0</v>
      </c>
      <c r="I188" s="1789"/>
      <c r="J188" s="1789"/>
      <c r="K188" s="1789"/>
      <c r="L188" s="1789"/>
      <c r="M188" s="1789"/>
      <c r="N188" s="1789"/>
    </row>
    <row r="189" ht="15" customHeight="1">
      <c r="A189" t="s" s="1799">
        <v>2601</v>
      </c>
      <c r="B189" t="s" s="1800">
        <v>2602</v>
      </c>
      <c r="C189" s="1801">
        <v>19000000</v>
      </c>
      <c r="D189" s="1801">
        <v>19000000</v>
      </c>
      <c r="E189" s="1801"/>
      <c r="F189" t="s" s="1799">
        <v>2452</v>
      </c>
      <c r="G189" s="1789"/>
      <c r="H189" s="1801" cm="1">
        <f t="array" ref="H189">C189-D189</f>
        <v>0</v>
      </c>
      <c r="I189" s="1789"/>
      <c r="J189" s="1789"/>
      <c r="K189" s="1789"/>
      <c r="L189" s="1789"/>
      <c r="M189" s="1789"/>
      <c r="N189" s="1789"/>
    </row>
    <row r="190" ht="15" customHeight="1">
      <c r="A190" t="s" s="1799">
        <v>2603</v>
      </c>
      <c r="B190" t="s" s="1800">
        <v>2604</v>
      </c>
      <c r="C190" s="1801">
        <v>42000000</v>
      </c>
      <c r="D190" s="1801">
        <v>42000000</v>
      </c>
      <c r="E190" s="1801"/>
      <c r="F190" t="s" s="1799">
        <v>2452</v>
      </c>
      <c r="G190" s="1789"/>
      <c r="H190" s="1801" cm="1">
        <f t="array" ref="H190">C190-D190</f>
        <v>0</v>
      </c>
      <c r="I190" s="1789"/>
      <c r="J190" s="1789"/>
      <c r="K190" s="1789"/>
      <c r="L190" s="1789"/>
      <c r="M190" s="1789"/>
      <c r="N190" s="1789"/>
    </row>
    <row r="191" ht="15" customHeight="1">
      <c r="A191" t="s" s="1799">
        <v>2605</v>
      </c>
      <c r="B191" t="s" s="1800">
        <v>2606</v>
      </c>
      <c r="C191" s="1801">
        <v>48577002</v>
      </c>
      <c r="D191" s="1801">
        <v>50000000</v>
      </c>
      <c r="E191" s="1801"/>
      <c r="F191" t="s" s="1799">
        <v>2452</v>
      </c>
      <c r="G191" s="1789"/>
      <c r="H191" s="1801" cm="1">
        <f t="array" ref="H191">C191-D191</f>
        <v>-1422998</v>
      </c>
      <c r="I191" s="1789"/>
      <c r="J191" s="1789"/>
      <c r="K191" s="1789"/>
      <c r="L191" s="1789"/>
      <c r="M191" s="1789"/>
      <c r="N191" s="1789"/>
    </row>
    <row r="192" ht="15" customHeight="1">
      <c r="A192" t="s" s="1799">
        <v>2607</v>
      </c>
      <c r="B192" t="s" s="1800">
        <v>2608</v>
      </c>
      <c r="C192" s="1801">
        <v>259079620</v>
      </c>
      <c r="D192" s="1801">
        <v>241079620</v>
      </c>
      <c r="E192" s="1801"/>
      <c r="F192" t="s" s="1799">
        <v>2452</v>
      </c>
      <c r="G192" s="1789"/>
      <c r="H192" s="1801" cm="1">
        <f t="array" ref="H192">C192-D192</f>
        <v>18000000</v>
      </c>
      <c r="I192" s="1789"/>
      <c r="J192" s="1789"/>
      <c r="K192" s="1789"/>
      <c r="L192" s="1789"/>
      <c r="M192" s="1789"/>
      <c r="N192" s="1789"/>
    </row>
    <row r="193" ht="15" customHeight="1">
      <c r="A193" t="s" s="1799">
        <v>2609</v>
      </c>
      <c r="B193" t="s" s="1800">
        <v>2610</v>
      </c>
      <c r="C193" s="1801">
        <v>187000000</v>
      </c>
      <c r="D193" s="1801">
        <v>130000000</v>
      </c>
      <c r="E193" s="1801"/>
      <c r="F193" t="s" s="1799">
        <v>2452</v>
      </c>
      <c r="G193" s="1789"/>
      <c r="H193" s="1801" cm="1">
        <f t="array" ref="H193">C193-D193</f>
        <v>57000000</v>
      </c>
      <c r="I193" s="1789"/>
      <c r="J193" s="1789"/>
      <c r="K193" s="1789"/>
      <c r="L193" s="1789"/>
      <c r="M193" s="1789"/>
      <c r="N193" s="1789"/>
    </row>
    <row r="194" ht="15" customHeight="1">
      <c r="A194" t="s" s="1799">
        <v>2611</v>
      </c>
      <c r="B194" t="s" s="1800">
        <v>2612</v>
      </c>
      <c r="C194" s="1801">
        <v>142080000</v>
      </c>
      <c r="D194" s="1801">
        <v>136080000</v>
      </c>
      <c r="E194" s="1801"/>
      <c r="F194" t="s" s="1799">
        <v>2452</v>
      </c>
      <c r="G194" s="1789"/>
      <c r="H194" s="1801" cm="1">
        <f t="array" ref="H194">C194-D194</f>
        <v>6000000</v>
      </c>
      <c r="I194" s="1789"/>
      <c r="J194" s="1789"/>
      <c r="K194" s="1789"/>
      <c r="L194" s="1789"/>
      <c r="M194" s="1789"/>
      <c r="N194" s="1789"/>
    </row>
    <row r="195" ht="15" customHeight="1">
      <c r="A195" t="s" s="1799">
        <v>2613</v>
      </c>
      <c r="B195" t="s" s="1800">
        <v>2612</v>
      </c>
      <c r="C195" s="1801">
        <v>10000000</v>
      </c>
      <c r="D195" s="1801">
        <v>0</v>
      </c>
      <c r="E195" s="1801"/>
      <c r="F195" t="s" s="1799">
        <v>2452</v>
      </c>
      <c r="G195" s="1789"/>
      <c r="H195" s="1801" cm="1">
        <f t="array" ref="H195">C195-D195</f>
        <v>10000000</v>
      </c>
      <c r="I195" s="1789"/>
      <c r="J195" s="1789"/>
      <c r="K195" s="1789"/>
      <c r="L195" s="1789"/>
      <c r="M195" s="1789"/>
      <c r="N195" s="1789"/>
    </row>
    <row r="196" ht="15" customHeight="1">
      <c r="A196" t="s" s="1799">
        <v>2614</v>
      </c>
      <c r="B196" t="s" s="1800">
        <v>2615</v>
      </c>
      <c r="C196" s="1801">
        <v>423000000</v>
      </c>
      <c r="D196" s="1801">
        <v>50000000</v>
      </c>
      <c r="E196" s="1801"/>
      <c r="F196" t="s" s="1799">
        <v>2452</v>
      </c>
      <c r="G196" s="1789"/>
      <c r="H196" s="1801" cm="1">
        <f t="array" ref="H196">C196-D196</f>
        <v>373000000</v>
      </c>
      <c r="I196" s="1789"/>
      <c r="J196" s="1789"/>
      <c r="K196" s="1789"/>
      <c r="L196" s="1789"/>
      <c r="M196" s="1789"/>
      <c r="N196" s="1789"/>
    </row>
    <row r="197" ht="15" customHeight="1">
      <c r="A197" t="s" s="1799">
        <v>2616</v>
      </c>
      <c r="B197" t="s" s="1800">
        <v>2617</v>
      </c>
      <c r="C197" s="1801">
        <v>193291739</v>
      </c>
      <c r="D197" s="1801">
        <v>153291739</v>
      </c>
      <c r="E197" s="1801"/>
      <c r="F197" t="s" s="1799">
        <v>2452</v>
      </c>
      <c r="G197" s="1789"/>
      <c r="H197" s="1801" cm="1">
        <f t="array" ref="H197">C197-D197</f>
        <v>40000000</v>
      </c>
      <c r="I197" s="1789"/>
      <c r="J197" s="1789"/>
      <c r="K197" s="1789"/>
      <c r="L197" s="1789"/>
      <c r="M197" s="1789"/>
      <c r="N197" s="1789"/>
    </row>
    <row r="198" ht="15" customHeight="1">
      <c r="A198" t="s" s="1799">
        <v>2616</v>
      </c>
      <c r="B198" t="s" s="1800">
        <v>2618</v>
      </c>
      <c r="C198" s="1801">
        <v>239291000</v>
      </c>
      <c r="D198" s="1801">
        <v>239291000</v>
      </c>
      <c r="E198" s="1801"/>
      <c r="F198" t="s" s="1799">
        <v>2452</v>
      </c>
      <c r="G198" s="1789"/>
      <c r="H198" s="1801" cm="1">
        <f t="array" ref="H198">C198-D198</f>
        <v>0</v>
      </c>
      <c r="I198" s="1789"/>
      <c r="J198" s="1789"/>
      <c r="K198" s="1789"/>
      <c r="L198" s="1789"/>
      <c r="M198" s="1789"/>
      <c r="N198" s="1789"/>
    </row>
    <row r="199" ht="15" customHeight="1">
      <c r="A199" t="s" s="1799">
        <v>2619</v>
      </c>
      <c r="B199" t="s" s="1800">
        <v>2620</v>
      </c>
      <c r="C199" s="1801">
        <v>162759546</v>
      </c>
      <c r="D199" s="1801">
        <v>45455000</v>
      </c>
      <c r="E199" s="1801"/>
      <c r="F199" t="s" s="1799">
        <v>2452</v>
      </c>
      <c r="G199" s="1789"/>
      <c r="H199" s="1801" cm="1">
        <f t="array" ref="H199">C199-D199</f>
        <v>117304546</v>
      </c>
      <c r="I199" s="1789"/>
      <c r="J199" s="1789"/>
      <c r="K199" s="1789"/>
      <c r="L199" s="1789"/>
      <c r="M199" s="1789"/>
      <c r="N199" s="1789"/>
    </row>
    <row r="200" ht="15" customHeight="1">
      <c r="A200" t="s" s="1799">
        <v>2619</v>
      </c>
      <c r="B200" t="s" s="1800">
        <v>2621</v>
      </c>
      <c r="C200" s="1801">
        <v>93000000</v>
      </c>
      <c r="D200" s="1801">
        <v>85000000</v>
      </c>
      <c r="E200" s="1801"/>
      <c r="F200" t="s" s="1799">
        <v>2452</v>
      </c>
      <c r="G200" s="1789"/>
      <c r="H200" s="1801" cm="1">
        <f t="array" ref="H200">C200-D200</f>
        <v>8000000</v>
      </c>
      <c r="I200" s="1789"/>
      <c r="J200" s="1789"/>
      <c r="K200" s="1789"/>
      <c r="L200" s="1789"/>
      <c r="M200" s="1789"/>
      <c r="N200" s="1789"/>
    </row>
    <row r="201" ht="15" customHeight="1">
      <c r="A201" t="s" s="1799">
        <v>2622</v>
      </c>
      <c r="B201" t="s" s="1800">
        <v>2623</v>
      </c>
      <c r="C201" s="1801">
        <v>180433392</v>
      </c>
      <c r="D201" s="1801">
        <v>180433392</v>
      </c>
      <c r="E201" s="1801"/>
      <c r="F201" t="s" s="1799">
        <v>2452</v>
      </c>
      <c r="G201" s="1789"/>
      <c r="H201" s="1801" cm="1">
        <f t="array" ref="H201">C201-D201</f>
        <v>0</v>
      </c>
      <c r="I201" s="1789"/>
      <c r="J201" s="1789"/>
      <c r="K201" s="1789"/>
      <c r="L201" s="1789"/>
      <c r="M201" s="1789"/>
      <c r="N201" s="1789"/>
    </row>
    <row r="202" ht="15" customHeight="1">
      <c r="A202" t="s" s="1799">
        <v>2622</v>
      </c>
      <c r="B202" t="s" s="1800">
        <v>2624</v>
      </c>
      <c r="C202" s="1801">
        <v>15000000</v>
      </c>
      <c r="D202" s="1801">
        <v>15000000</v>
      </c>
      <c r="E202" s="1801"/>
      <c r="F202" t="s" s="1799">
        <v>2452</v>
      </c>
      <c r="G202" s="1789"/>
      <c r="H202" s="1801" cm="1">
        <f t="array" ref="H202">C202-D202</f>
        <v>0</v>
      </c>
      <c r="I202" s="1789"/>
      <c r="J202" s="1789"/>
      <c r="K202" s="1789"/>
      <c r="L202" s="1789"/>
      <c r="M202" s="1789"/>
      <c r="N202" s="1789"/>
    </row>
    <row r="203" ht="15" customHeight="1">
      <c r="A203" t="s" s="1799">
        <v>2625</v>
      </c>
      <c r="B203" t="s" s="1800">
        <v>2626</v>
      </c>
      <c r="C203" s="1801">
        <v>137102607</v>
      </c>
      <c r="D203" s="1801">
        <v>62102607</v>
      </c>
      <c r="E203" s="1801"/>
      <c r="F203" t="s" s="1799">
        <v>2452</v>
      </c>
      <c r="G203" s="1789"/>
      <c r="H203" s="1801" cm="1">
        <f t="array" ref="H203">C203-D203</f>
        <v>75000000</v>
      </c>
      <c r="I203" s="1789"/>
      <c r="J203" s="1789"/>
      <c r="K203" s="1789"/>
      <c r="L203" s="1789"/>
      <c r="M203" s="1789"/>
      <c r="N203" s="1789"/>
    </row>
    <row r="204" ht="15" customHeight="1">
      <c r="A204" t="s" s="1799">
        <v>2625</v>
      </c>
      <c r="B204" t="s" s="1800">
        <v>2627</v>
      </c>
      <c r="C204" s="1801">
        <v>30085000</v>
      </c>
      <c r="D204" s="1801">
        <v>29085000</v>
      </c>
      <c r="E204" s="1801"/>
      <c r="F204" t="s" s="1799">
        <v>2452</v>
      </c>
      <c r="G204" s="1789"/>
      <c r="H204" s="1801" cm="1">
        <f t="array" ref="H204">C204-D204</f>
        <v>1000000</v>
      </c>
      <c r="I204" s="1789"/>
      <c r="J204" s="1789"/>
      <c r="K204" s="1789"/>
      <c r="L204" s="1789"/>
      <c r="M204" s="1789"/>
      <c r="N204" s="1789"/>
    </row>
    <row r="205" ht="15" customHeight="1">
      <c r="A205" t="s" s="1799">
        <v>2628</v>
      </c>
      <c r="B205" t="s" s="1800">
        <v>2629</v>
      </c>
      <c r="C205" s="1801">
        <v>389725629</v>
      </c>
      <c r="D205" s="1801">
        <v>0</v>
      </c>
      <c r="E205" s="1801"/>
      <c r="F205" t="s" s="1799">
        <v>2452</v>
      </c>
      <c r="G205" s="1789"/>
      <c r="H205" s="1801" cm="1">
        <f t="array" ref="H205">C205-D205</f>
        <v>389725629</v>
      </c>
      <c r="I205" s="1789"/>
      <c r="J205" s="1789"/>
      <c r="K205" s="1789"/>
      <c r="L205" s="1789"/>
      <c r="M205" s="1789"/>
      <c r="N205" s="1789"/>
    </row>
    <row r="206" ht="15" customHeight="1">
      <c r="A206" t="s" s="1799">
        <v>2628</v>
      </c>
      <c r="B206" t="s" s="1800">
        <v>2630</v>
      </c>
      <c r="C206" s="1801">
        <v>50000000</v>
      </c>
      <c r="D206" s="1801">
        <v>50000000</v>
      </c>
      <c r="E206" s="1801"/>
      <c r="F206" t="s" s="1799">
        <v>2452</v>
      </c>
      <c r="G206" s="1789"/>
      <c r="H206" s="1801" cm="1">
        <f t="array" ref="H206">C206-D206</f>
        <v>0</v>
      </c>
      <c r="I206" s="1789"/>
      <c r="J206" s="1789"/>
      <c r="K206" s="1789"/>
      <c r="L206" s="1789"/>
      <c r="M206" s="1789"/>
      <c r="N206" s="1789"/>
    </row>
    <row r="207" ht="15" customHeight="1">
      <c r="A207" t="s" s="1799">
        <v>2631</v>
      </c>
      <c r="B207" t="s" s="1800">
        <v>2632</v>
      </c>
      <c r="C207" s="1801">
        <v>100326942</v>
      </c>
      <c r="D207" s="1801">
        <v>76407942</v>
      </c>
      <c r="E207" s="1801"/>
      <c r="F207" t="s" s="1799">
        <v>2452</v>
      </c>
      <c r="G207" s="1789"/>
      <c r="H207" s="1801" cm="1">
        <f t="array" ref="H207">C207-D207</f>
        <v>23919000</v>
      </c>
      <c r="I207" s="1789"/>
      <c r="J207" s="1789"/>
      <c r="K207" s="1789"/>
      <c r="L207" s="1789"/>
      <c r="M207" s="1789"/>
      <c r="N207" s="1789"/>
    </row>
    <row r="208" ht="15" customHeight="1">
      <c r="A208" t="s" s="1799">
        <v>2631</v>
      </c>
      <c r="B208" t="s" s="1800">
        <v>2633</v>
      </c>
      <c r="C208" s="1801">
        <v>61000000</v>
      </c>
      <c r="D208" s="1801">
        <v>19000000</v>
      </c>
      <c r="E208" s="1801"/>
      <c r="F208" t="s" s="1799">
        <v>2452</v>
      </c>
      <c r="G208" s="1789"/>
      <c r="H208" s="1801" cm="1">
        <f t="array" ref="H208">C208-D208</f>
        <v>42000000</v>
      </c>
      <c r="I208" s="1789"/>
      <c r="J208" s="1789"/>
      <c r="K208" s="1789"/>
      <c r="L208" s="1789"/>
      <c r="M208" s="1789"/>
      <c r="N208" s="1789"/>
    </row>
    <row r="209" ht="15" customHeight="1">
      <c r="A209" t="s" s="1799">
        <v>2634</v>
      </c>
      <c r="B209" t="s" s="1800">
        <v>2257</v>
      </c>
      <c r="C209" s="1801">
        <v>40000000</v>
      </c>
      <c r="D209" s="1801">
        <v>40000000</v>
      </c>
      <c r="E209" s="1801"/>
      <c r="F209" s="1801"/>
      <c r="G209" s="1789"/>
      <c r="H209" s="1801" cm="1">
        <f t="array" ref="H209">C209-D209</f>
        <v>0</v>
      </c>
      <c r="I209" s="1789"/>
      <c r="J209" s="1789"/>
      <c r="K209" s="1789"/>
      <c r="L209" s="1789"/>
      <c r="M209" s="1789"/>
      <c r="N209" s="1789"/>
    </row>
    <row r="210" ht="15" customHeight="1">
      <c r="A210" t="s" s="1799">
        <v>2635</v>
      </c>
      <c r="B210" t="s" s="1800">
        <v>2636</v>
      </c>
      <c r="C210" s="1801">
        <v>25705233</v>
      </c>
      <c r="D210" s="1801">
        <v>25705233</v>
      </c>
      <c r="E210" s="1801"/>
      <c r="F210" t="s" s="1799">
        <v>2452</v>
      </c>
      <c r="G210" s="1789"/>
      <c r="H210" s="1801" cm="1">
        <f t="array" ref="H210">C210-D210</f>
        <v>0</v>
      </c>
      <c r="I210" s="1789"/>
      <c r="J210" s="1789"/>
      <c r="K210" s="1789"/>
      <c r="L210" s="1789"/>
      <c r="M210" s="1789"/>
      <c r="N210" s="1789"/>
    </row>
    <row r="211" ht="15" customHeight="1">
      <c r="A211" t="s" s="1799">
        <v>2637</v>
      </c>
      <c r="B211" t="s" s="1800">
        <v>2638</v>
      </c>
      <c r="C211" s="1801">
        <v>329000000</v>
      </c>
      <c r="D211" s="1801">
        <v>329000000</v>
      </c>
      <c r="E211" s="1801"/>
      <c r="F211" t="s" s="1799">
        <v>2452</v>
      </c>
      <c r="G211" s="1789"/>
      <c r="H211" s="1801" cm="1">
        <f t="array" ref="H211">C211-D211</f>
        <v>0</v>
      </c>
      <c r="I211" s="1789"/>
      <c r="J211" s="1789"/>
      <c r="K211" s="1789"/>
      <c r="L211" s="1789"/>
      <c r="M211" s="1789"/>
      <c r="N211" s="1789"/>
    </row>
    <row r="212" ht="15" customHeight="1">
      <c r="A212" t="s" s="1799">
        <v>2639</v>
      </c>
      <c r="B212" t="s" s="1800">
        <v>2640</v>
      </c>
      <c r="C212" s="1801">
        <v>0</v>
      </c>
      <c r="D212" s="1801">
        <v>0</v>
      </c>
      <c r="E212" s="1801"/>
      <c r="F212" t="s" s="1799">
        <v>2452</v>
      </c>
      <c r="G212" s="1789"/>
      <c r="H212" s="1801" cm="1">
        <f t="array" ref="H212">C212-D212</f>
        <v>0</v>
      </c>
      <c r="I212" s="1789"/>
      <c r="J212" s="1789"/>
      <c r="K212" s="1789"/>
      <c r="L212" s="1789"/>
      <c r="M212" s="1789"/>
      <c r="N212" s="1789"/>
    </row>
    <row r="213" ht="15" customHeight="1">
      <c r="A213" t="s" s="1799">
        <v>2641</v>
      </c>
      <c r="B213" t="s" s="1800">
        <v>2642</v>
      </c>
      <c r="C213" s="1801">
        <v>44000000</v>
      </c>
      <c r="D213" s="1801">
        <v>0</v>
      </c>
      <c r="E213" s="1801"/>
      <c r="F213" t="s" s="1799">
        <v>2452</v>
      </c>
      <c r="G213" s="1789"/>
      <c r="H213" s="1801" cm="1">
        <f t="array" ref="H213">C213-D213</f>
        <v>44000000</v>
      </c>
      <c r="I213" s="1789"/>
      <c r="J213" s="1789"/>
      <c r="K213" s="1789"/>
      <c r="L213" s="1789"/>
      <c r="M213" s="1789"/>
      <c r="N213" s="1789"/>
    </row>
    <row r="214" ht="15" customHeight="1">
      <c r="A214" t="s" s="1799">
        <v>2643</v>
      </c>
      <c r="B214" t="s" s="1800">
        <v>2644</v>
      </c>
      <c r="C214" s="1801">
        <v>0</v>
      </c>
      <c r="D214" s="1801">
        <v>0</v>
      </c>
      <c r="E214" s="1801"/>
      <c r="F214" t="s" s="1799">
        <v>2452</v>
      </c>
      <c r="G214" s="1789"/>
      <c r="H214" s="1801" cm="1">
        <f t="array" ref="H214">C214-D214</f>
        <v>0</v>
      </c>
      <c r="I214" s="1789"/>
      <c r="J214" s="1789"/>
      <c r="K214" s="1789"/>
      <c r="L214" s="1789"/>
      <c r="M214" s="1789"/>
      <c r="N214" s="1789"/>
    </row>
    <row r="215" ht="15" customHeight="1">
      <c r="A215" t="s" s="1799">
        <v>2645</v>
      </c>
      <c r="B215" t="s" s="1800">
        <v>2646</v>
      </c>
      <c r="C215" s="1801">
        <v>7500000</v>
      </c>
      <c r="D215" s="1801">
        <v>0</v>
      </c>
      <c r="E215" s="1801"/>
      <c r="F215" t="s" s="1799">
        <v>2452</v>
      </c>
      <c r="G215" s="1789"/>
      <c r="H215" s="1801" cm="1">
        <f t="array" ref="H215">C215-D215</f>
        <v>7500000</v>
      </c>
      <c r="I215" s="1789"/>
      <c r="J215" s="1789"/>
      <c r="K215" s="1789"/>
      <c r="L215" s="1789"/>
      <c r="M215" s="1789"/>
      <c r="N215" s="1789"/>
    </row>
    <row r="216" ht="15" customHeight="1">
      <c r="A216" t="s" s="1799">
        <v>2647</v>
      </c>
      <c r="B216" t="s" s="1800">
        <v>2648</v>
      </c>
      <c r="C216" s="1801">
        <v>341107000</v>
      </c>
      <c r="D216" s="1801">
        <v>264107000</v>
      </c>
      <c r="E216" s="1801"/>
      <c r="F216" t="s" s="1799">
        <v>2452</v>
      </c>
      <c r="G216" s="1789"/>
      <c r="H216" s="1801" cm="1">
        <f t="array" ref="H216">C216-D216</f>
        <v>77000000</v>
      </c>
      <c r="I216" s="1789"/>
      <c r="J216" s="1789"/>
      <c r="K216" s="1789"/>
      <c r="L216" s="1789"/>
      <c r="M216" s="1789"/>
      <c r="N216" s="1789"/>
    </row>
    <row r="217" ht="15" customHeight="1">
      <c r="A217" t="s" s="1799">
        <v>2649</v>
      </c>
      <c r="B217" t="s" s="1800">
        <v>2650</v>
      </c>
      <c r="C217" s="1801">
        <v>113381027</v>
      </c>
      <c r="D217" s="1801">
        <v>44000000</v>
      </c>
      <c r="E217" s="1801"/>
      <c r="F217" t="s" s="1799">
        <v>2452</v>
      </c>
      <c r="G217" s="1789"/>
      <c r="H217" s="1801" cm="1">
        <f t="array" ref="H217">C217-D217</f>
        <v>69381027</v>
      </c>
      <c r="I217" s="1789"/>
      <c r="J217" s="1789"/>
      <c r="K217" s="1789"/>
      <c r="L217" s="1789"/>
      <c r="M217" s="1789"/>
      <c r="N217" s="1789"/>
    </row>
    <row r="218" ht="15" customHeight="1">
      <c r="A218" t="s" s="1799">
        <v>2651</v>
      </c>
      <c r="B218" t="s" s="1800">
        <v>2652</v>
      </c>
      <c r="C218" s="1801">
        <v>120000000</v>
      </c>
      <c r="D218" s="1801">
        <v>0</v>
      </c>
      <c r="E218" s="1801"/>
      <c r="F218" t="s" s="1799">
        <v>2452</v>
      </c>
      <c r="G218" s="1789"/>
      <c r="H218" s="1801" cm="1">
        <f t="array" ref="H218">C218-D218</f>
        <v>120000000</v>
      </c>
      <c r="I218" s="1789"/>
      <c r="J218" s="1789"/>
      <c r="K218" s="1789"/>
      <c r="L218" s="1789"/>
      <c r="M218" s="1789"/>
      <c r="N218" s="1789"/>
    </row>
    <row r="219" ht="15" customHeight="1">
      <c r="A219" t="s" s="1799">
        <v>2653</v>
      </c>
      <c r="B219" t="s" s="1800">
        <v>2654</v>
      </c>
      <c r="C219" s="1801">
        <v>19500000</v>
      </c>
      <c r="D219" s="1801">
        <v>6500000</v>
      </c>
      <c r="E219" s="1801"/>
      <c r="F219" t="s" s="1799">
        <v>2452</v>
      </c>
      <c r="G219" s="1789"/>
      <c r="H219" s="1801" cm="1">
        <f t="array" ref="H219">C219-D219</f>
        <v>13000000</v>
      </c>
      <c r="I219" s="1789"/>
      <c r="J219" s="1789"/>
      <c r="K219" s="1789"/>
      <c r="L219" s="1789"/>
      <c r="M219" s="1789"/>
      <c r="N219" s="1789"/>
    </row>
    <row r="220" ht="15" customHeight="1">
      <c r="A220" t="s" s="1799">
        <v>2655</v>
      </c>
      <c r="B220" t="s" s="1800">
        <v>2656</v>
      </c>
      <c r="C220" s="1801">
        <v>441860781</v>
      </c>
      <c r="D220" s="1801">
        <v>371421781</v>
      </c>
      <c r="E220" s="1801"/>
      <c r="F220" t="s" s="1799">
        <v>2452</v>
      </c>
      <c r="G220" s="1789"/>
      <c r="H220" s="1801" cm="1">
        <f t="array" ref="H220">C220-D220</f>
        <v>70439000</v>
      </c>
      <c r="I220" s="1789"/>
      <c r="J220" s="1789"/>
      <c r="K220" s="1789"/>
      <c r="L220" s="1789"/>
      <c r="M220" s="1789"/>
      <c r="N220" s="1789"/>
    </row>
    <row r="221" ht="15" customHeight="1">
      <c r="A221" t="s" s="1799">
        <v>2657</v>
      </c>
      <c r="B221" t="s" s="1800">
        <v>2658</v>
      </c>
      <c r="C221" s="1801">
        <v>2600000</v>
      </c>
      <c r="D221" s="1801">
        <v>0</v>
      </c>
      <c r="E221" s="1801"/>
      <c r="F221" t="s" s="1799">
        <v>2452</v>
      </c>
      <c r="G221" s="1789"/>
      <c r="H221" s="1801" cm="1">
        <f t="array" ref="H221">C221-D221</f>
        <v>2600000</v>
      </c>
      <c r="I221" s="1789"/>
      <c r="J221" s="1789"/>
      <c r="K221" s="1789"/>
      <c r="L221" s="1789"/>
      <c r="M221" s="1789"/>
      <c r="N221" s="1789"/>
    </row>
    <row r="222" ht="15" customHeight="1">
      <c r="A222" t="s" s="1799">
        <v>2659</v>
      </c>
      <c r="B222" t="s" s="1800">
        <v>2660</v>
      </c>
      <c r="C222" s="1801">
        <v>76997738</v>
      </c>
      <c r="D222" s="1801">
        <v>55997738</v>
      </c>
      <c r="E222" s="1801"/>
      <c r="F222" t="s" s="1799">
        <v>2452</v>
      </c>
      <c r="G222" s="1789"/>
      <c r="H222" s="1801" cm="1">
        <f t="array" ref="H222">C222-D222</f>
        <v>21000000</v>
      </c>
      <c r="I222" s="1789"/>
      <c r="J222" s="1789"/>
      <c r="K222" s="1789"/>
      <c r="L222" s="1789"/>
      <c r="M222" s="1789"/>
      <c r="N222" s="1789"/>
    </row>
    <row r="223" ht="15" customHeight="1">
      <c r="A223" t="s" s="1799">
        <v>2661</v>
      </c>
      <c r="B223" t="s" s="1800">
        <v>2662</v>
      </c>
      <c r="C223" s="1801">
        <v>14000000</v>
      </c>
      <c r="D223" s="1801">
        <v>0</v>
      </c>
      <c r="E223" s="1801"/>
      <c r="F223" t="s" s="1799">
        <v>2452</v>
      </c>
      <c r="G223" s="1789"/>
      <c r="H223" s="1801" cm="1">
        <f t="array" ref="H223">C223-D223</f>
        <v>14000000</v>
      </c>
      <c r="I223" s="1789"/>
      <c r="J223" s="1789"/>
      <c r="K223" s="1789"/>
      <c r="L223" s="1789"/>
      <c r="M223" s="1789"/>
      <c r="N223" s="1789"/>
    </row>
    <row r="224" ht="15" customHeight="1">
      <c r="A224" t="s" s="1799">
        <v>2663</v>
      </c>
      <c r="B224" t="s" s="1800">
        <v>2664</v>
      </c>
      <c r="C224" s="1801">
        <v>54000000</v>
      </c>
      <c r="D224" s="1801">
        <v>0</v>
      </c>
      <c r="E224" s="1801"/>
      <c r="F224" t="s" s="1799">
        <v>2452</v>
      </c>
      <c r="G224" s="1789"/>
      <c r="H224" s="1801" cm="1">
        <f t="array" ref="H224">C224-D224</f>
        <v>54000000</v>
      </c>
      <c r="I224" s="1789"/>
      <c r="J224" s="1789"/>
      <c r="K224" s="1789"/>
      <c r="L224" s="1789"/>
      <c r="M224" s="1789"/>
      <c r="N224" s="1789"/>
    </row>
    <row r="225" ht="15" customHeight="1">
      <c r="A225" t="s" s="1799">
        <v>2665</v>
      </c>
      <c r="B225" t="s" s="1800">
        <v>2666</v>
      </c>
      <c r="C225" s="1801">
        <v>110500000</v>
      </c>
      <c r="D225" s="1801">
        <v>0</v>
      </c>
      <c r="E225" s="1801"/>
      <c r="F225" t="s" s="1799">
        <v>2452</v>
      </c>
      <c r="G225" s="1789"/>
      <c r="H225" s="1801" cm="1">
        <f t="array" ref="H225">C225-D225</f>
        <v>110500000</v>
      </c>
      <c r="I225" s="1789"/>
      <c r="J225" s="1789"/>
      <c r="K225" s="1789"/>
      <c r="L225" s="1789"/>
      <c r="M225" s="1789"/>
      <c r="N225" s="1789"/>
    </row>
    <row r="226" ht="15" customHeight="1">
      <c r="A226" t="s" s="1799">
        <v>2667</v>
      </c>
      <c r="B226" t="s" s="1800">
        <v>2668</v>
      </c>
      <c r="C226" s="1801">
        <v>2199523133</v>
      </c>
      <c r="D226" s="1801">
        <v>1306190520</v>
      </c>
      <c r="E226" s="1801"/>
      <c r="F226" t="s" s="1799">
        <v>2452</v>
      </c>
      <c r="G226" s="1789"/>
      <c r="H226" s="1801" cm="1">
        <f t="array" ref="H226">C226-D226</f>
        <v>893332613</v>
      </c>
      <c r="I226" s="1789"/>
      <c r="J226" s="1789"/>
      <c r="K226" s="1789"/>
      <c r="L226" s="1789"/>
      <c r="M226" s="1789"/>
      <c r="N226" s="1789"/>
    </row>
    <row r="227" ht="15" customHeight="1">
      <c r="A227" t="s" s="1799">
        <v>2669</v>
      </c>
      <c r="B227" t="s" s="1800">
        <v>2670</v>
      </c>
      <c r="C227" s="1801">
        <v>4000000</v>
      </c>
      <c r="D227" s="1801">
        <v>0</v>
      </c>
      <c r="E227" s="1801"/>
      <c r="F227" t="s" s="1799">
        <v>2452</v>
      </c>
      <c r="G227" s="1789"/>
      <c r="H227" s="1801" cm="1">
        <f t="array" ref="H227">C227-D227</f>
        <v>4000000</v>
      </c>
      <c r="I227" s="1789"/>
      <c r="J227" s="1789"/>
      <c r="K227" s="1789"/>
      <c r="L227" s="1789"/>
      <c r="M227" s="1789"/>
      <c r="N227" s="1789"/>
    </row>
    <row r="228" ht="15" customHeight="1">
      <c r="A228" t="s" s="1799">
        <v>2671</v>
      </c>
      <c r="B228" t="s" s="1800">
        <v>2672</v>
      </c>
      <c r="C228" s="1801">
        <v>51750000</v>
      </c>
      <c r="D228" s="1801">
        <v>51750000</v>
      </c>
      <c r="E228" s="1801"/>
      <c r="F228" t="s" s="1799">
        <v>2452</v>
      </c>
      <c r="G228" s="1789"/>
      <c r="H228" s="1801" cm="1">
        <f t="array" ref="H228">C228-D228</f>
        <v>0</v>
      </c>
      <c r="I228" s="1789"/>
      <c r="J228" s="1789"/>
      <c r="K228" s="1789"/>
      <c r="L228" s="1789"/>
      <c r="M228" s="1789"/>
      <c r="N228" s="1789"/>
    </row>
    <row r="229" ht="15" customHeight="1">
      <c r="A229" t="s" s="1799">
        <v>2673</v>
      </c>
      <c r="B229" t="s" s="1800">
        <v>2674</v>
      </c>
      <c r="C229" s="1801">
        <v>4410000</v>
      </c>
      <c r="D229" s="1801">
        <v>0</v>
      </c>
      <c r="E229" s="1801"/>
      <c r="F229" t="s" s="1799">
        <v>2452</v>
      </c>
      <c r="G229" s="1789"/>
      <c r="H229" s="1801" cm="1">
        <f t="array" ref="H229">C229-D229</f>
        <v>4410000</v>
      </c>
      <c r="I229" s="1789"/>
      <c r="J229" s="1789"/>
      <c r="K229" s="1789"/>
      <c r="L229" s="1789"/>
      <c r="M229" s="1789"/>
      <c r="N229" s="1789"/>
    </row>
    <row r="230" ht="15" customHeight="1">
      <c r="A230" t="s" s="1799">
        <v>2675</v>
      </c>
      <c r="B230" t="s" s="1800">
        <v>2676</v>
      </c>
      <c r="C230" s="1801">
        <v>55000000</v>
      </c>
      <c r="D230" s="1801">
        <v>55000000</v>
      </c>
      <c r="E230" s="1801"/>
      <c r="F230" t="s" s="1799">
        <v>2452</v>
      </c>
      <c r="G230" s="1789"/>
      <c r="H230" s="1801" cm="1">
        <f t="array" ref="H230">C230-D230</f>
        <v>0</v>
      </c>
      <c r="I230" s="1789"/>
      <c r="J230" s="1789"/>
      <c r="K230" s="1789"/>
      <c r="L230" s="1789"/>
      <c r="M230" s="1789"/>
      <c r="N230" s="1789"/>
    </row>
    <row r="231" ht="15" customHeight="1">
      <c r="A231" t="s" s="1799">
        <v>2677</v>
      </c>
      <c r="B231" t="s" s="1800">
        <v>2258</v>
      </c>
      <c r="C231" s="1801">
        <v>350000000</v>
      </c>
      <c r="D231" s="1801">
        <v>350000000</v>
      </c>
      <c r="E231" s="1801"/>
      <c r="F231" s="1801"/>
      <c r="G231" s="1789"/>
      <c r="H231" s="1801" cm="1">
        <f t="array" ref="H231">C231-D231</f>
        <v>0</v>
      </c>
      <c r="I231" s="1789"/>
      <c r="J231" s="1789"/>
      <c r="K231" s="1789"/>
      <c r="L231" s="1789"/>
      <c r="M231" s="1789"/>
      <c r="N231" s="1789"/>
    </row>
    <row r="232" ht="15" customHeight="1">
      <c r="A232" t="s" s="1799">
        <v>2678</v>
      </c>
      <c r="B232" t="s" s="1800">
        <v>2679</v>
      </c>
      <c r="C232" s="1801">
        <v>9422939</v>
      </c>
      <c r="D232" s="1801">
        <v>9422939</v>
      </c>
      <c r="E232" s="1801"/>
      <c r="F232" t="s" s="1799">
        <v>2452</v>
      </c>
      <c r="G232" s="1789"/>
      <c r="H232" s="1801" cm="1">
        <f t="array" ref="H232">C232-D232</f>
        <v>0</v>
      </c>
      <c r="I232" s="1789"/>
      <c r="J232" s="1789"/>
      <c r="K232" s="1789"/>
      <c r="L232" s="1789"/>
      <c r="M232" s="1789"/>
      <c r="N232" s="1789"/>
    </row>
    <row r="233" ht="15" customHeight="1">
      <c r="A233" t="s" s="1799">
        <v>2680</v>
      </c>
      <c r="B233" t="s" s="1800">
        <v>2681</v>
      </c>
      <c r="C233" s="1801">
        <v>0</v>
      </c>
      <c r="D233" s="1801">
        <v>0</v>
      </c>
      <c r="E233" s="1801"/>
      <c r="F233" s="1801"/>
      <c r="G233" s="1789"/>
      <c r="H233" s="1801" cm="1">
        <f t="array" ref="H233">C233-D233</f>
        <v>0</v>
      </c>
      <c r="I233" s="1789"/>
      <c r="J233" s="1789"/>
      <c r="K233" s="1789"/>
      <c r="L233" s="1789"/>
      <c r="M233" s="1789"/>
      <c r="N233" s="1789"/>
    </row>
    <row r="234" ht="15" customHeight="1">
      <c r="A234" t="s" s="1799">
        <v>2682</v>
      </c>
      <c r="B234" t="s" s="1800">
        <v>2683</v>
      </c>
      <c r="C234" s="1801">
        <v>294020817</v>
      </c>
      <c r="D234" s="1801">
        <v>0</v>
      </c>
      <c r="E234" s="1801"/>
      <c r="F234" t="s" s="1799">
        <v>2452</v>
      </c>
      <c r="G234" s="1789"/>
      <c r="H234" s="1801" cm="1">
        <f t="array" ref="H234">C234-D234</f>
        <v>294020817</v>
      </c>
      <c r="I234" s="1789"/>
      <c r="J234" s="1789"/>
      <c r="K234" s="1789"/>
      <c r="L234" s="1789"/>
      <c r="M234" s="1789"/>
      <c r="N234" s="1789"/>
    </row>
    <row r="235" ht="15" customHeight="1">
      <c r="A235" t="s" s="1799">
        <v>2684</v>
      </c>
      <c r="B235" t="s" s="1800">
        <v>2685</v>
      </c>
      <c r="C235" s="1801">
        <v>0</v>
      </c>
      <c r="D235" s="1801">
        <v>0</v>
      </c>
      <c r="E235" s="1801"/>
      <c r="F235" t="s" s="1799">
        <v>2452</v>
      </c>
      <c r="G235" s="1789"/>
      <c r="H235" s="1801" cm="1">
        <f t="array" ref="H235">C235-D235</f>
        <v>0</v>
      </c>
      <c r="I235" s="1789"/>
      <c r="J235" s="1789"/>
      <c r="K235" s="1789"/>
      <c r="L235" s="1789"/>
      <c r="M235" s="1789"/>
      <c r="N235" s="1789"/>
    </row>
    <row r="236" ht="15" customHeight="1">
      <c r="A236" t="s" s="1799">
        <v>2686</v>
      </c>
      <c r="B236" t="s" s="1800">
        <v>2687</v>
      </c>
      <c r="C236" s="1801">
        <v>0</v>
      </c>
      <c r="D236" s="1801">
        <v>0</v>
      </c>
      <c r="E236" s="1801"/>
      <c r="F236" t="s" s="1799">
        <v>2452</v>
      </c>
      <c r="G236" s="1789"/>
      <c r="H236" s="1801" cm="1">
        <f t="array" ref="H236">C236-D236</f>
        <v>0</v>
      </c>
      <c r="I236" s="1789"/>
      <c r="J236" s="1789"/>
      <c r="K236" s="1789"/>
      <c r="L236" s="1789"/>
      <c r="M236" s="1789"/>
      <c r="N236" s="1789"/>
    </row>
    <row r="237" ht="15" customHeight="1">
      <c r="A237" t="s" s="1799">
        <v>2688</v>
      </c>
      <c r="B237" t="s" s="1800">
        <v>2689</v>
      </c>
      <c r="C237" s="1801">
        <v>22450000</v>
      </c>
      <c r="D237" s="1801">
        <v>0</v>
      </c>
      <c r="E237" s="1801"/>
      <c r="F237" t="s" s="1799">
        <v>2452</v>
      </c>
      <c r="G237" s="1789"/>
      <c r="H237" s="1801" cm="1">
        <f t="array" ref="H237">C237-D237</f>
        <v>22450000</v>
      </c>
      <c r="I237" s="1789"/>
      <c r="J237" s="1789"/>
      <c r="K237" s="1789"/>
      <c r="L237" s="1789"/>
      <c r="M237" s="1789"/>
      <c r="N237" s="1789"/>
    </row>
    <row r="238" ht="15" customHeight="1">
      <c r="A238" t="s" s="1799">
        <v>2690</v>
      </c>
      <c r="B238" t="s" s="1800">
        <v>2691</v>
      </c>
      <c r="C238" s="1801">
        <v>24818167</v>
      </c>
      <c r="D238" s="1801">
        <v>24818167</v>
      </c>
      <c r="E238" s="1801"/>
      <c r="F238" t="s" s="1799">
        <v>2452</v>
      </c>
      <c r="G238" s="1789"/>
      <c r="H238" s="1801" cm="1">
        <f t="array" ref="H238">C238-D238</f>
        <v>0</v>
      </c>
      <c r="I238" s="1789"/>
      <c r="J238" s="1789"/>
      <c r="K238" s="1789"/>
      <c r="L238" s="1789"/>
      <c r="M238" s="1789"/>
      <c r="N238" s="1789"/>
    </row>
    <row r="239" ht="15" customHeight="1">
      <c r="A239" t="s" s="1799">
        <v>2692</v>
      </c>
      <c r="B239" t="s" s="1800">
        <v>2693</v>
      </c>
      <c r="C239" s="1801">
        <v>2502486611.98</v>
      </c>
      <c r="D239" s="1801">
        <v>2160768175.98</v>
      </c>
      <c r="E239" t="s" s="1799">
        <v>2275</v>
      </c>
      <c r="F239" s="1801"/>
      <c r="G239" s="1789"/>
      <c r="H239" s="1801" cm="1">
        <f t="array" ref="H239">C239-D239</f>
        <v>341718436</v>
      </c>
      <c r="I239" s="1789"/>
      <c r="J239" s="1789"/>
      <c r="K239" s="1789"/>
      <c r="L239" s="1789"/>
      <c r="M239" s="1789"/>
      <c r="N239" s="1789"/>
    </row>
    <row r="240" ht="15" customHeight="1">
      <c r="A240" t="s" s="1799">
        <v>2694</v>
      </c>
      <c r="B240" t="s" s="1800">
        <v>2695</v>
      </c>
      <c r="C240" s="1801">
        <v>1286044253.5</v>
      </c>
      <c r="D240" s="1801">
        <v>1269125485.5</v>
      </c>
      <c r="E240" t="s" s="1799">
        <v>2275</v>
      </c>
      <c r="F240" s="1801"/>
      <c r="G240" s="1789"/>
      <c r="H240" s="1801" cm="1">
        <f t="array" ref="H240">C240-D240</f>
        <v>16918768</v>
      </c>
      <c r="I240" s="1789"/>
      <c r="J240" s="1789"/>
      <c r="K240" s="1789"/>
      <c r="L240" s="1789"/>
      <c r="M240" s="1789"/>
      <c r="N240" s="1789"/>
    </row>
    <row r="241" ht="15" customHeight="1">
      <c r="A241" t="s" s="1799">
        <v>2696</v>
      </c>
      <c r="B241" t="s" s="1800">
        <v>2697</v>
      </c>
      <c r="C241" s="1801">
        <v>38704000</v>
      </c>
      <c r="D241" s="1801">
        <v>29104000</v>
      </c>
      <c r="E241" t="s" s="1799">
        <v>2275</v>
      </c>
      <c r="F241" s="1801"/>
      <c r="G241" s="1789"/>
      <c r="H241" s="1801" cm="1">
        <f t="array" ref="H241">C241-D241</f>
        <v>9600000</v>
      </c>
      <c r="I241" s="1789"/>
      <c r="J241" s="1789"/>
      <c r="K241" s="1789"/>
      <c r="L241" s="1789"/>
      <c r="M241" s="1789"/>
      <c r="N241" s="1789"/>
    </row>
    <row r="242" ht="15" customHeight="1">
      <c r="A242" t="s" s="1799">
        <v>2698</v>
      </c>
      <c r="B242" t="s" s="1800">
        <v>2699</v>
      </c>
      <c r="C242" s="1801">
        <v>-413881232.5</v>
      </c>
      <c r="D242" s="1801">
        <v>48700799.5</v>
      </c>
      <c r="E242" t="s" s="1799">
        <v>2275</v>
      </c>
      <c r="F242" s="1801"/>
      <c r="G242" s="1789"/>
      <c r="H242" s="1801" cm="1">
        <f t="array" ref="H242">C242-D242</f>
        <v>-462582032</v>
      </c>
      <c r="I242" s="1789"/>
      <c r="J242" s="1789"/>
      <c r="K242" s="1789"/>
      <c r="L242" s="1789"/>
      <c r="M242" s="1789"/>
      <c r="N242" s="1789"/>
    </row>
    <row r="243" ht="15" customHeight="1">
      <c r="A243" t="s" s="1799">
        <v>2700</v>
      </c>
      <c r="B243" t="s" s="1800">
        <v>2701</v>
      </c>
      <c r="C243" s="1801">
        <v>48484772</v>
      </c>
      <c r="D243" s="1801">
        <v>40484772</v>
      </c>
      <c r="E243" s="1801"/>
      <c r="F243" t="s" s="1799">
        <v>2452</v>
      </c>
      <c r="G243" s="1789"/>
      <c r="H243" s="1801" cm="1">
        <f t="array" ref="H243">C243-D243</f>
        <v>8000000</v>
      </c>
      <c r="I243" s="1789"/>
      <c r="J243" s="1789"/>
      <c r="K243" s="1789"/>
      <c r="L243" s="1789"/>
      <c r="M243" s="1789"/>
      <c r="N243" s="1789"/>
    </row>
    <row r="244" ht="15" customHeight="1">
      <c r="A244" t="s" s="1799">
        <v>2702</v>
      </c>
      <c r="B244" t="s" s="1800">
        <v>2703</v>
      </c>
      <c r="C244" s="1801">
        <v>15613034</v>
      </c>
      <c r="D244" s="1801">
        <v>15613034</v>
      </c>
      <c r="E244" s="1801"/>
      <c r="F244" t="s" s="1799">
        <v>2452</v>
      </c>
      <c r="G244" s="1789"/>
      <c r="H244" s="1801" cm="1">
        <f t="array" ref="H244">C244-D244</f>
        <v>0</v>
      </c>
      <c r="I244" s="1789"/>
      <c r="J244" s="1789"/>
      <c r="K244" s="1789"/>
      <c r="L244" s="1789"/>
      <c r="M244" s="1789"/>
      <c r="N244" s="1789"/>
    </row>
    <row r="245" ht="15" customHeight="1">
      <c r="A245" t="s" s="1799">
        <v>2704</v>
      </c>
      <c r="B245" t="s" s="1800">
        <v>2705</v>
      </c>
      <c r="C245" s="1801">
        <v>6572502</v>
      </c>
      <c r="D245" s="1801">
        <v>6572502</v>
      </c>
      <c r="E245" s="1801"/>
      <c r="F245" t="s" s="1799">
        <v>2452</v>
      </c>
      <c r="G245" s="1789"/>
      <c r="H245" s="1801" cm="1">
        <f t="array" ref="H245">C245-D245</f>
        <v>0</v>
      </c>
      <c r="I245" s="1789"/>
      <c r="J245" s="1789"/>
      <c r="K245" s="1789"/>
      <c r="L245" s="1789"/>
      <c r="M245" s="1789"/>
      <c r="N245" s="1789"/>
    </row>
    <row r="246" ht="15" customHeight="1">
      <c r="A246" t="s" s="1799">
        <v>2706</v>
      </c>
      <c r="B246" t="s" s="1800">
        <v>2707</v>
      </c>
      <c r="C246" s="1801">
        <v>121555960</v>
      </c>
      <c r="D246" s="1801">
        <v>44296960</v>
      </c>
      <c r="E246" s="1801"/>
      <c r="F246" t="s" s="1799">
        <v>2452</v>
      </c>
      <c r="G246" s="1789"/>
      <c r="H246" s="1801" cm="1">
        <f t="array" ref="H246">C246-D246</f>
        <v>77259000</v>
      </c>
      <c r="I246" s="1789"/>
      <c r="J246" s="1789"/>
      <c r="K246" s="1789"/>
      <c r="L246" s="1789"/>
      <c r="M246" s="1789"/>
      <c r="N246" s="1789"/>
    </row>
    <row r="247" ht="15" customHeight="1">
      <c r="A247" t="s" s="1799">
        <v>2708</v>
      </c>
      <c r="B247" t="s" s="1800">
        <v>2709</v>
      </c>
      <c r="C247" s="1801">
        <v>59000000</v>
      </c>
      <c r="D247" s="1801">
        <v>0</v>
      </c>
      <c r="E247" s="1801"/>
      <c r="F247" t="s" s="1799">
        <v>2452</v>
      </c>
      <c r="G247" s="1789"/>
      <c r="H247" s="1801" cm="1">
        <f t="array" ref="H247">C247-D247</f>
        <v>59000000</v>
      </c>
      <c r="I247" s="1789"/>
      <c r="J247" s="1789"/>
      <c r="K247" s="1789"/>
      <c r="L247" s="1789"/>
      <c r="M247" s="1789"/>
      <c r="N247" s="1789"/>
    </row>
    <row r="248" ht="15" customHeight="1">
      <c r="A248" t="s" s="1799">
        <v>2710</v>
      </c>
      <c r="B248" t="s" s="1800">
        <v>2711</v>
      </c>
      <c r="C248" s="1801">
        <v>276739753</v>
      </c>
      <c r="D248" s="1801">
        <v>241000000</v>
      </c>
      <c r="E248" s="1801"/>
      <c r="F248" t="s" s="1799">
        <v>2452</v>
      </c>
      <c r="G248" s="1789"/>
      <c r="H248" s="1801" cm="1">
        <f t="array" ref="H248">C248-D248</f>
        <v>35739753</v>
      </c>
      <c r="I248" s="1789"/>
      <c r="J248" s="1789"/>
      <c r="K248" s="1789"/>
      <c r="L248" s="1789"/>
      <c r="M248" s="1789"/>
      <c r="N248" s="1789"/>
    </row>
    <row r="249" ht="15" customHeight="1">
      <c r="A249" t="s" s="1799">
        <v>2712</v>
      </c>
      <c r="B249" t="s" s="1800">
        <v>2713</v>
      </c>
      <c r="C249" s="1801">
        <v>90000000</v>
      </c>
      <c r="D249" s="1801">
        <v>40000000</v>
      </c>
      <c r="E249" s="1801"/>
      <c r="F249" t="s" s="1799">
        <v>2452</v>
      </c>
      <c r="G249" s="1789"/>
      <c r="H249" s="1801" cm="1">
        <f t="array" ref="H249">C249-D249</f>
        <v>50000000</v>
      </c>
      <c r="I249" s="1789"/>
      <c r="J249" s="1789"/>
      <c r="K249" s="1789"/>
      <c r="L249" s="1789"/>
      <c r="M249" s="1789"/>
      <c r="N249" s="1789"/>
    </row>
    <row r="250" ht="15" customHeight="1">
      <c r="A250" t="s" s="1799">
        <v>2714</v>
      </c>
      <c r="B250" t="s" s="1800">
        <v>2715</v>
      </c>
      <c r="C250" s="1801">
        <v>417077036</v>
      </c>
      <c r="D250" s="1801">
        <v>0</v>
      </c>
      <c r="E250" s="1801"/>
      <c r="F250" t="s" s="1799">
        <v>2452</v>
      </c>
      <c r="G250" s="1789"/>
      <c r="H250" s="1801" cm="1">
        <f t="array" ref="H250">C250-D250</f>
        <v>417077036</v>
      </c>
      <c r="I250" s="1789"/>
      <c r="J250" s="1789"/>
      <c r="K250" s="1789"/>
      <c r="L250" s="1789"/>
      <c r="M250" s="1789"/>
      <c r="N250" s="1789"/>
    </row>
    <row r="251" ht="15" customHeight="1">
      <c r="A251" t="s" s="1799">
        <v>2716</v>
      </c>
      <c r="B251" t="s" s="1800">
        <v>2717</v>
      </c>
      <c r="C251" s="1801">
        <v>21729700</v>
      </c>
      <c r="D251" s="1801">
        <v>21729700</v>
      </c>
      <c r="E251" s="1801"/>
      <c r="F251" s="1801"/>
      <c r="G251" s="1789"/>
      <c r="H251" s="1801" cm="1">
        <f t="array" ref="H251">C251-D251</f>
        <v>0</v>
      </c>
      <c r="I251" s="1789"/>
      <c r="J251" s="1789"/>
      <c r="K251" s="1789"/>
      <c r="L251" s="1789"/>
      <c r="M251" s="1789"/>
      <c r="N251" s="1789"/>
    </row>
    <row r="252" ht="15" customHeight="1">
      <c r="A252" t="s" s="1799">
        <v>2718</v>
      </c>
      <c r="B252" t="s" s="1800">
        <v>2719</v>
      </c>
      <c r="C252" s="1801">
        <v>190564458</v>
      </c>
      <c r="D252" s="1801">
        <v>105485500</v>
      </c>
      <c r="E252" s="1801"/>
      <c r="F252" t="s" s="1799">
        <v>2452</v>
      </c>
      <c r="G252" s="1789"/>
      <c r="H252" s="1801" cm="1">
        <f t="array" ref="H252">C252-D252</f>
        <v>85078958</v>
      </c>
      <c r="I252" s="1789"/>
      <c r="J252" s="1789"/>
      <c r="K252" s="1789"/>
      <c r="L252" s="1789"/>
      <c r="M252" s="1789"/>
      <c r="N252" s="1789"/>
    </row>
    <row r="253" ht="15" customHeight="1">
      <c r="A253" t="s" s="1799">
        <v>2720</v>
      </c>
      <c r="B253" t="s" s="1800">
        <v>2721</v>
      </c>
      <c r="C253" s="1801">
        <v>43660053</v>
      </c>
      <c r="D253" s="1801">
        <v>23660053</v>
      </c>
      <c r="E253" s="1801"/>
      <c r="F253" t="s" s="1799">
        <v>2452</v>
      </c>
      <c r="G253" s="1789"/>
      <c r="H253" s="1801" cm="1">
        <f t="array" ref="H253">C253-D253</f>
        <v>20000000</v>
      </c>
      <c r="I253" s="1789"/>
      <c r="J253" s="1789"/>
      <c r="K253" s="1789"/>
      <c r="L253" s="1789"/>
      <c r="M253" s="1789"/>
      <c r="N253" s="1789"/>
    </row>
    <row r="254" ht="15" customHeight="1">
      <c r="A254" t="s" s="1799">
        <v>2722</v>
      </c>
      <c r="B254" t="s" s="1800">
        <v>2723</v>
      </c>
      <c r="C254" s="1801">
        <v>10292846</v>
      </c>
      <c r="D254" s="1801">
        <v>10292846</v>
      </c>
      <c r="E254" s="1801"/>
      <c r="F254" t="s" s="1799">
        <v>2452</v>
      </c>
      <c r="G254" s="1789"/>
      <c r="H254" s="1801" cm="1">
        <f t="array" ref="H254">C254-D254</f>
        <v>0</v>
      </c>
      <c r="I254" s="1789"/>
      <c r="J254" s="1789"/>
      <c r="K254" s="1789"/>
      <c r="L254" s="1789"/>
      <c r="M254" s="1789"/>
      <c r="N254" s="1789"/>
    </row>
    <row r="255" ht="15" customHeight="1">
      <c r="A255" t="s" s="1799">
        <v>2724</v>
      </c>
      <c r="B255" t="s" s="1800">
        <v>2725</v>
      </c>
      <c r="C255" s="1801">
        <v>0</v>
      </c>
      <c r="D255" s="1801">
        <v>0</v>
      </c>
      <c r="E255" s="1801"/>
      <c r="F255" t="s" s="1799">
        <v>2452</v>
      </c>
      <c r="G255" s="1789"/>
      <c r="H255" s="1801" cm="1">
        <f t="array" ref="H255">C255-D255</f>
        <v>0</v>
      </c>
      <c r="I255" s="1789"/>
      <c r="J255" s="1789"/>
      <c r="K255" s="1789"/>
      <c r="L255" s="1789"/>
      <c r="M255" s="1789"/>
      <c r="N255" s="1789"/>
    </row>
    <row r="256" ht="15" customHeight="1">
      <c r="A256" t="s" s="1799">
        <v>2726</v>
      </c>
      <c r="B256" t="s" s="1800">
        <v>2727</v>
      </c>
      <c r="C256" s="1801">
        <v>34276194</v>
      </c>
      <c r="D256" s="1801">
        <v>9276194</v>
      </c>
      <c r="E256" s="1801"/>
      <c r="F256" t="s" s="1799">
        <v>2452</v>
      </c>
      <c r="G256" s="1789"/>
      <c r="H256" s="1801" cm="1">
        <f t="array" ref="H256">C256-D256</f>
        <v>25000000</v>
      </c>
      <c r="I256" s="1789"/>
      <c r="J256" s="1789"/>
      <c r="K256" s="1789"/>
      <c r="L256" s="1789"/>
      <c r="M256" s="1789"/>
      <c r="N256" s="1789"/>
    </row>
    <row r="257" ht="15" customHeight="1">
      <c r="A257" t="s" s="1799">
        <v>2728</v>
      </c>
      <c r="B257" t="s" s="1800">
        <v>2729</v>
      </c>
      <c r="C257" s="1801">
        <v>149077676</v>
      </c>
      <c r="D257" s="1801">
        <v>35118302</v>
      </c>
      <c r="E257" s="1801"/>
      <c r="F257" t="s" s="1799">
        <v>2452</v>
      </c>
      <c r="G257" s="1789"/>
      <c r="H257" s="1801" cm="1">
        <f t="array" ref="H257">C257-D257</f>
        <v>113959374</v>
      </c>
      <c r="I257" s="1789"/>
      <c r="J257" s="1789"/>
      <c r="K257" s="1789"/>
      <c r="L257" s="1789"/>
      <c r="M257" s="1789"/>
      <c r="N257" s="1789"/>
    </row>
    <row r="258" ht="15" customHeight="1">
      <c r="A258" t="s" s="1799">
        <v>2730</v>
      </c>
      <c r="B258" t="s" s="1800">
        <v>2731</v>
      </c>
      <c r="C258" s="1801">
        <v>36743636</v>
      </c>
      <c r="D258" s="1801">
        <v>1276478</v>
      </c>
      <c r="E258" s="1801"/>
      <c r="F258" t="s" s="1799">
        <v>2452</v>
      </c>
      <c r="G258" s="1789"/>
      <c r="H258" s="1801" cm="1">
        <f t="array" ref="H258">C258-D258</f>
        <v>35467158</v>
      </c>
      <c r="I258" s="1789"/>
      <c r="J258" s="1789"/>
      <c r="K258" s="1789"/>
      <c r="L258" s="1789"/>
      <c r="M258" s="1789"/>
      <c r="N258" s="1789"/>
    </row>
    <row r="259" ht="15" customHeight="1">
      <c r="A259" t="s" s="1799">
        <v>2732</v>
      </c>
      <c r="B259" t="s" s="1800">
        <v>2733</v>
      </c>
      <c r="C259" s="1801">
        <v>3217826127</v>
      </c>
      <c r="D259" s="1801">
        <v>1717826127</v>
      </c>
      <c r="E259" s="1801"/>
      <c r="F259" t="s" s="1799">
        <v>2452</v>
      </c>
      <c r="G259" s="1789"/>
      <c r="H259" s="1801" cm="1">
        <f t="array" ref="H259">C259-D259</f>
        <v>1500000000</v>
      </c>
      <c r="I259" s="1789"/>
      <c r="J259" s="1789"/>
      <c r="K259" s="1789"/>
      <c r="L259" s="1789"/>
      <c r="M259" s="1789"/>
      <c r="N259" s="1789"/>
    </row>
    <row r="260" ht="15" customHeight="1">
      <c r="A260" t="s" s="1799">
        <v>2734</v>
      </c>
      <c r="B260" t="s" s="1800">
        <v>2735</v>
      </c>
      <c r="C260" s="1801">
        <v>7500000</v>
      </c>
      <c r="D260" s="1801">
        <v>0</v>
      </c>
      <c r="E260" s="1801"/>
      <c r="F260" t="s" s="1799">
        <v>2452</v>
      </c>
      <c r="G260" s="1789"/>
      <c r="H260" s="1801" cm="1">
        <f t="array" ref="H260">C260-D260</f>
        <v>7500000</v>
      </c>
      <c r="I260" s="1789"/>
      <c r="J260" s="1789"/>
      <c r="K260" s="1789"/>
      <c r="L260" s="1789"/>
      <c r="M260" s="1789"/>
      <c r="N260" s="1789"/>
    </row>
    <row r="261" ht="15" customHeight="1">
      <c r="A261" t="s" s="1799">
        <v>2736</v>
      </c>
      <c r="B261" t="s" s="1800">
        <v>2737</v>
      </c>
      <c r="C261" s="1801">
        <v>47000000</v>
      </c>
      <c r="D261" s="1801">
        <v>0</v>
      </c>
      <c r="E261" s="1801"/>
      <c r="F261" t="s" s="1799">
        <v>2452</v>
      </c>
      <c r="G261" s="1789"/>
      <c r="H261" s="1801" cm="1">
        <f t="array" ref="H261">C261-D261</f>
        <v>47000000</v>
      </c>
      <c r="I261" s="1789"/>
      <c r="J261" s="1789"/>
      <c r="K261" s="1789"/>
      <c r="L261" s="1789"/>
      <c r="M261" s="1789"/>
      <c r="N261" s="1789"/>
    </row>
    <row r="262" ht="15" customHeight="1">
      <c r="A262" t="s" s="1799">
        <v>2738</v>
      </c>
      <c r="B262" t="s" s="1800">
        <v>2739</v>
      </c>
      <c r="C262" s="1801">
        <v>238676561</v>
      </c>
      <c r="D262" s="1801">
        <v>120000000</v>
      </c>
      <c r="E262" s="1801"/>
      <c r="F262" t="s" s="1799">
        <v>2452</v>
      </c>
      <c r="G262" s="1789"/>
      <c r="H262" s="1801" cm="1">
        <f t="array" ref="H262">C262-D262</f>
        <v>118676561</v>
      </c>
      <c r="I262" s="1789"/>
      <c r="J262" s="1789"/>
      <c r="K262" s="1789"/>
      <c r="L262" s="1789"/>
      <c r="M262" s="1789"/>
      <c r="N262" s="1789"/>
    </row>
    <row r="263" ht="15" customHeight="1">
      <c r="A263" t="s" s="1799">
        <v>2740</v>
      </c>
      <c r="B263" t="s" s="1800">
        <v>2741</v>
      </c>
      <c r="C263" s="1801">
        <v>72325593</v>
      </c>
      <c r="D263" s="1801">
        <v>-87674407</v>
      </c>
      <c r="E263" s="1801"/>
      <c r="F263" t="s" s="1799">
        <v>2452</v>
      </c>
      <c r="G263" s="1789"/>
      <c r="H263" s="1801" cm="1">
        <f t="array" ref="H263">C263-D263</f>
        <v>160000000</v>
      </c>
      <c r="I263" s="1789"/>
      <c r="J263" s="1789"/>
      <c r="K263" s="1789"/>
      <c r="L263" s="1789"/>
      <c r="M263" s="1789"/>
      <c r="N263" s="1789"/>
    </row>
    <row r="264" ht="15" customHeight="1">
      <c r="A264" t="s" s="1799">
        <v>2742</v>
      </c>
      <c r="B264" t="s" s="1800">
        <v>2743</v>
      </c>
      <c r="C264" s="1801">
        <v>26955124</v>
      </c>
      <c r="D264" s="1801">
        <v>26955124</v>
      </c>
      <c r="E264" s="1801"/>
      <c r="F264" t="s" s="1799">
        <v>2452</v>
      </c>
      <c r="G264" s="1789"/>
      <c r="H264" s="1801" cm="1">
        <f t="array" ref="H264">C264-D264</f>
        <v>0</v>
      </c>
      <c r="I264" s="1789"/>
      <c r="J264" s="1789"/>
      <c r="K264" s="1789"/>
      <c r="L264" s="1789"/>
      <c r="M264" s="1789"/>
      <c r="N264" s="1789"/>
    </row>
    <row r="265" ht="15" customHeight="1">
      <c r="A265" t="s" s="1799">
        <v>2744</v>
      </c>
      <c r="B265" t="s" s="1800">
        <v>2745</v>
      </c>
      <c r="C265" s="1801">
        <v>60000000</v>
      </c>
      <c r="D265" s="1801">
        <v>60000000</v>
      </c>
      <c r="E265" s="1801"/>
      <c r="F265" t="s" s="1799">
        <v>2452</v>
      </c>
      <c r="G265" s="1789"/>
      <c r="H265" s="1801" cm="1">
        <f t="array" ref="H265">C265-D265</f>
        <v>0</v>
      </c>
      <c r="I265" s="1789"/>
      <c r="J265" s="1789"/>
      <c r="K265" s="1789"/>
      <c r="L265" s="1789"/>
      <c r="M265" s="1789"/>
      <c r="N265" s="1789"/>
    </row>
    <row r="266" ht="15" customHeight="1">
      <c r="A266" t="s" s="1799">
        <v>2746</v>
      </c>
      <c r="B266" t="s" s="1800">
        <v>2747</v>
      </c>
      <c r="C266" s="1801">
        <v>3615750</v>
      </c>
      <c r="D266" s="1801">
        <v>1615750</v>
      </c>
      <c r="E266" s="1801"/>
      <c r="F266" t="s" s="1799">
        <v>2452</v>
      </c>
      <c r="G266" s="1789"/>
      <c r="H266" s="1801" cm="1">
        <f t="array" ref="H266">C266-D266</f>
        <v>2000000</v>
      </c>
      <c r="I266" s="1789"/>
      <c r="J266" s="1789"/>
      <c r="K266" s="1789"/>
      <c r="L266" s="1789"/>
      <c r="M266" s="1789"/>
      <c r="N266" s="1789"/>
    </row>
    <row r="267" ht="15" customHeight="1">
      <c r="A267" t="s" s="1799">
        <v>2748</v>
      </c>
      <c r="B267" t="s" s="1800">
        <v>2749</v>
      </c>
      <c r="C267" s="1801">
        <v>100000000</v>
      </c>
      <c r="D267" s="1801">
        <v>0</v>
      </c>
      <c r="E267" s="1801"/>
      <c r="F267" t="s" s="1799">
        <v>2452</v>
      </c>
      <c r="G267" s="1789"/>
      <c r="H267" s="1801" cm="1">
        <f t="array" ref="H267">C267-D267</f>
        <v>100000000</v>
      </c>
      <c r="I267" s="1789"/>
      <c r="J267" s="1789"/>
      <c r="K267" s="1789"/>
      <c r="L267" s="1789"/>
      <c r="M267" s="1789"/>
      <c r="N267" s="1789"/>
    </row>
    <row r="268" ht="15" customHeight="1">
      <c r="A268" t="s" s="1799">
        <v>2750</v>
      </c>
      <c r="B268" t="s" s="1800">
        <v>2751</v>
      </c>
      <c r="C268" s="1801">
        <v>294058757</v>
      </c>
      <c r="D268" s="1801">
        <v>0</v>
      </c>
      <c r="E268" s="1801"/>
      <c r="F268" t="s" s="1799">
        <v>2452</v>
      </c>
      <c r="G268" s="1789"/>
      <c r="H268" s="1801" cm="1">
        <f t="array" ref="H268">C268-D268</f>
        <v>294058757</v>
      </c>
      <c r="I268" s="1789"/>
      <c r="J268" s="1789"/>
      <c r="K268" s="1789"/>
      <c r="L268" s="1789"/>
      <c r="M268" s="1789"/>
      <c r="N268" s="1789"/>
    </row>
    <row r="269" ht="15" customHeight="1">
      <c r="A269" t="s" s="1799">
        <v>2752</v>
      </c>
      <c r="B269" t="s" s="1800">
        <v>2753</v>
      </c>
      <c r="C269" s="1801">
        <v>139429020</v>
      </c>
      <c r="D269" s="1801">
        <v>43129020</v>
      </c>
      <c r="E269" s="1801"/>
      <c r="F269" t="s" s="1799">
        <v>2452</v>
      </c>
      <c r="G269" s="1789"/>
      <c r="H269" s="1801" cm="1">
        <f t="array" ref="H269">C269-D269</f>
        <v>96300000</v>
      </c>
      <c r="I269" s="1789"/>
      <c r="J269" s="1789"/>
      <c r="K269" s="1789"/>
      <c r="L269" s="1789"/>
      <c r="M269" s="1789"/>
      <c r="N269" s="1789"/>
    </row>
    <row r="270" ht="15" customHeight="1">
      <c r="A270" t="s" s="1799">
        <v>2754</v>
      </c>
      <c r="B270" t="s" s="1800">
        <v>2755</v>
      </c>
      <c r="C270" s="1801">
        <v>38000000</v>
      </c>
      <c r="D270" s="1801">
        <v>0</v>
      </c>
      <c r="E270" s="1801"/>
      <c r="F270" t="s" s="1799">
        <v>2452</v>
      </c>
      <c r="G270" s="1789"/>
      <c r="H270" s="1801" cm="1">
        <f t="array" ref="H270">C270-D270</f>
        <v>38000000</v>
      </c>
      <c r="I270" s="1789"/>
      <c r="J270" s="1789"/>
      <c r="K270" s="1789"/>
      <c r="L270" s="1789"/>
      <c r="M270" s="1789"/>
      <c r="N270" s="1789"/>
    </row>
    <row r="271" ht="15" customHeight="1">
      <c r="A271" t="s" s="1799">
        <v>2756</v>
      </c>
      <c r="B271" t="s" s="1800">
        <v>2757</v>
      </c>
      <c r="C271" s="1801">
        <v>267000000</v>
      </c>
      <c r="D271" s="1801">
        <v>267000000</v>
      </c>
      <c r="E271" s="1801"/>
      <c r="F271" t="s" s="1799">
        <v>2452</v>
      </c>
      <c r="G271" s="1789"/>
      <c r="H271" s="1801" cm="1">
        <f t="array" ref="H271">C271-D271</f>
        <v>0</v>
      </c>
      <c r="I271" s="1789"/>
      <c r="J271" s="1789"/>
      <c r="K271" s="1789"/>
      <c r="L271" s="1789"/>
      <c r="M271" s="1789"/>
      <c r="N271" s="1789"/>
    </row>
    <row r="272" ht="15" customHeight="1">
      <c r="A272" t="s" s="1799">
        <v>2758</v>
      </c>
      <c r="B272" t="s" s="1800">
        <v>2759</v>
      </c>
      <c r="C272" s="1801">
        <v>336717400</v>
      </c>
      <c r="D272" s="1801">
        <v>0</v>
      </c>
      <c r="E272" s="1801"/>
      <c r="F272" t="s" s="1799">
        <v>2452</v>
      </c>
      <c r="G272" s="1789"/>
      <c r="H272" s="1801" cm="1">
        <f t="array" ref="H272">C272-D272</f>
        <v>336717400</v>
      </c>
      <c r="I272" s="1789"/>
      <c r="J272" s="1789"/>
      <c r="K272" s="1789"/>
      <c r="L272" s="1789"/>
      <c r="M272" s="1789"/>
      <c r="N272" s="1789"/>
    </row>
    <row r="273" ht="15" customHeight="1">
      <c r="A273" t="s" s="1799">
        <v>2758</v>
      </c>
      <c r="B273" t="s" s="1800">
        <v>2760</v>
      </c>
      <c r="C273" s="1801">
        <v>1482538462</v>
      </c>
      <c r="D273" s="1801">
        <v>513967307</v>
      </c>
      <c r="E273" s="1801"/>
      <c r="F273" t="s" s="1799">
        <v>2452</v>
      </c>
      <c r="G273" s="1789"/>
      <c r="H273" s="1801" cm="1">
        <f t="array" ref="H273">C273-D273</f>
        <v>968571155</v>
      </c>
      <c r="I273" s="1789"/>
      <c r="J273" s="1789"/>
      <c r="K273" s="1789"/>
      <c r="L273" s="1789"/>
      <c r="M273" s="1789"/>
      <c r="N273" s="1789"/>
    </row>
    <row r="274" ht="15" customHeight="1">
      <c r="A274" t="s" s="1799">
        <v>2761</v>
      </c>
      <c r="B274" t="s" s="1800">
        <v>2762</v>
      </c>
      <c r="C274" s="1801">
        <v>0</v>
      </c>
      <c r="D274" s="1801">
        <v>0</v>
      </c>
      <c r="E274" s="1801"/>
      <c r="F274" t="s" s="1799">
        <v>2452</v>
      </c>
      <c r="G274" s="1789"/>
      <c r="H274" s="1801" cm="1">
        <f t="array" ref="H274">C274-D274</f>
        <v>0</v>
      </c>
      <c r="I274" s="1789"/>
      <c r="J274" s="1789"/>
      <c r="K274" s="1789"/>
      <c r="L274" s="1789"/>
      <c r="M274" s="1789"/>
      <c r="N274" s="1789"/>
    </row>
    <row r="275" ht="15" customHeight="1">
      <c r="A275" t="s" s="1799">
        <v>2763</v>
      </c>
      <c r="B275" t="s" s="1800">
        <v>2764</v>
      </c>
      <c r="C275" s="1801">
        <v>23956300</v>
      </c>
      <c r="D275" s="1801">
        <v>8956300</v>
      </c>
      <c r="E275" s="1801"/>
      <c r="F275" t="s" s="1799">
        <v>2452</v>
      </c>
      <c r="G275" s="1789"/>
      <c r="H275" s="1801" cm="1">
        <f t="array" ref="H275">C275-D275</f>
        <v>15000000</v>
      </c>
      <c r="I275" s="1789"/>
      <c r="J275" s="1789"/>
      <c r="K275" s="1789"/>
      <c r="L275" s="1789"/>
      <c r="M275" s="1789"/>
      <c r="N275" s="1789"/>
    </row>
    <row r="276" ht="15" customHeight="1">
      <c r="A276" t="s" s="1799">
        <v>2765</v>
      </c>
      <c r="B276" t="s" s="1800">
        <v>2766</v>
      </c>
      <c r="C276" s="1801">
        <v>0</v>
      </c>
      <c r="D276" s="1801">
        <v>0</v>
      </c>
      <c r="E276" s="1801"/>
      <c r="F276" t="s" s="1799">
        <v>2452</v>
      </c>
      <c r="G276" s="1789"/>
      <c r="H276" s="1801" cm="1">
        <f t="array" ref="H276">C276-D276</f>
        <v>0</v>
      </c>
      <c r="I276" s="1789"/>
      <c r="J276" s="1789"/>
      <c r="K276" s="1789"/>
      <c r="L276" s="1789"/>
      <c r="M276" s="1789"/>
      <c r="N276" s="1789"/>
    </row>
    <row r="277" ht="15" customHeight="1">
      <c r="A277" t="s" s="1799">
        <v>2767</v>
      </c>
      <c r="B277" t="s" s="1800">
        <v>2768</v>
      </c>
      <c r="C277" s="1801">
        <v>61000000</v>
      </c>
      <c r="D277" s="1801">
        <v>61000000</v>
      </c>
      <c r="E277" s="1801"/>
      <c r="F277" t="s" s="1799">
        <v>2452</v>
      </c>
      <c r="G277" s="1789"/>
      <c r="H277" s="1801" cm="1">
        <f t="array" ref="H277">C277-D277</f>
        <v>0</v>
      </c>
      <c r="I277" s="1789"/>
      <c r="J277" s="1789"/>
      <c r="K277" s="1789"/>
      <c r="L277" s="1789"/>
      <c r="M277" s="1789"/>
      <c r="N277" s="1789"/>
    </row>
    <row r="278" ht="15" customHeight="1">
      <c r="A278" t="s" s="1799">
        <v>2769</v>
      </c>
      <c r="B278" t="s" s="1800">
        <v>2770</v>
      </c>
      <c r="C278" s="1801">
        <v>135000000</v>
      </c>
      <c r="D278" s="1801">
        <v>135000000</v>
      </c>
      <c r="E278" s="1801"/>
      <c r="F278" t="s" s="1799">
        <v>2452</v>
      </c>
      <c r="G278" s="1789"/>
      <c r="H278" s="1801" cm="1">
        <f t="array" ref="H278">C278-D278</f>
        <v>0</v>
      </c>
      <c r="I278" s="1789"/>
      <c r="J278" s="1789"/>
      <c r="K278" s="1789"/>
      <c r="L278" s="1789"/>
      <c r="M278" s="1789"/>
      <c r="N278" s="1789"/>
    </row>
    <row r="279" ht="15" customHeight="1">
      <c r="A279" t="s" s="1799">
        <v>2771</v>
      </c>
      <c r="B279" t="s" s="1800">
        <v>2772</v>
      </c>
      <c r="C279" s="1801">
        <v>125504501</v>
      </c>
      <c r="D279" s="1801">
        <v>99898285</v>
      </c>
      <c r="E279" s="1801"/>
      <c r="F279" t="s" s="1799">
        <v>2452</v>
      </c>
      <c r="G279" s="1789"/>
      <c r="H279" s="1801" cm="1">
        <f t="array" ref="H279">C279-D279</f>
        <v>25606216</v>
      </c>
      <c r="I279" s="1789"/>
      <c r="J279" s="1789"/>
      <c r="K279" s="1789"/>
      <c r="L279" s="1789"/>
      <c r="M279" s="1789"/>
      <c r="N279" s="1789"/>
    </row>
    <row r="280" ht="15" customHeight="1">
      <c r="A280" t="s" s="1799">
        <v>2773</v>
      </c>
      <c r="B280" t="s" s="1800">
        <v>2774</v>
      </c>
      <c r="C280" s="1801">
        <v>0</v>
      </c>
      <c r="D280" s="1801">
        <v>0</v>
      </c>
      <c r="E280" t="s" s="1799">
        <v>2468</v>
      </c>
      <c r="F280" s="1801"/>
      <c r="G280" s="1789"/>
      <c r="H280" s="1801" cm="1">
        <f t="array" ref="H280">C280-D280</f>
        <v>0</v>
      </c>
      <c r="I280" s="1789"/>
      <c r="J280" s="1789"/>
      <c r="K280" s="1789"/>
      <c r="L280" s="1789"/>
      <c r="M280" s="1789"/>
      <c r="N280" s="1789"/>
    </row>
    <row r="281" ht="15" customHeight="1">
      <c r="A281" t="s" s="1799">
        <v>2775</v>
      </c>
      <c r="B281" t="s" s="1800">
        <v>2230</v>
      </c>
      <c r="C281" s="1801">
        <v>18465000</v>
      </c>
      <c r="D281" s="1801">
        <v>30795000</v>
      </c>
      <c r="E281" t="s" s="1799">
        <v>2468</v>
      </c>
      <c r="F281" s="1801"/>
      <c r="G281" s="1789"/>
      <c r="H281" s="1801" cm="1">
        <f t="array" ref="H281">C281-D281</f>
        <v>-12330000</v>
      </c>
      <c r="I281" s="1789"/>
      <c r="J281" s="1789"/>
      <c r="K281" s="1789"/>
      <c r="L281" s="1789"/>
      <c r="M281" s="1789"/>
      <c r="N281" s="1789"/>
    </row>
    <row r="282" ht="15" customHeight="1">
      <c r="A282" t="s" s="1799">
        <v>2776</v>
      </c>
      <c r="B282" t="s" s="1800">
        <v>2229</v>
      </c>
      <c r="C282" s="1801">
        <v>0</v>
      </c>
      <c r="D282" s="1801">
        <v>8000000</v>
      </c>
      <c r="E282" t="s" s="1799">
        <v>2468</v>
      </c>
      <c r="F282" s="1801"/>
      <c r="G282" s="1789"/>
      <c r="H282" s="1801" cm="1">
        <f t="array" ref="H282">C282-D282</f>
        <v>-8000000</v>
      </c>
      <c r="I282" s="1789"/>
      <c r="J282" s="1789"/>
      <c r="K282" s="1789"/>
      <c r="L282" s="1789"/>
      <c r="M282" s="1789"/>
      <c r="N282" s="1789"/>
    </row>
    <row r="283" ht="15" customHeight="1">
      <c r="A283" t="s" s="1799">
        <v>2777</v>
      </c>
      <c r="B283" t="s" s="1800">
        <v>2778</v>
      </c>
      <c r="C283" s="1801">
        <v>272736150</v>
      </c>
      <c r="D283" s="1801">
        <v>261146150</v>
      </c>
      <c r="E283" s="1801"/>
      <c r="F283" t="s" s="1799">
        <v>2452</v>
      </c>
      <c r="G283" s="1789"/>
      <c r="H283" s="1801" cm="1">
        <f t="array" ref="H283">C283-D283</f>
        <v>11590000</v>
      </c>
      <c r="I283" s="1789"/>
      <c r="J283" s="1789"/>
      <c r="K283" s="1789"/>
      <c r="L283" s="1789"/>
      <c r="M283" s="1789"/>
      <c r="N283" s="1789"/>
    </row>
    <row r="284" ht="15" customHeight="1">
      <c r="A284" t="s" s="1799">
        <v>2779</v>
      </c>
      <c r="B284" t="s" s="1800">
        <v>2780</v>
      </c>
      <c r="C284" s="1801">
        <v>19368838</v>
      </c>
      <c r="D284" s="1801">
        <v>19368838</v>
      </c>
      <c r="E284" s="1801"/>
      <c r="F284" t="s" s="1799">
        <v>2452</v>
      </c>
      <c r="G284" s="1789"/>
      <c r="H284" s="1801" cm="1">
        <f t="array" ref="H284">C284-D284</f>
        <v>0</v>
      </c>
      <c r="I284" s="1789"/>
      <c r="J284" s="1789"/>
      <c r="K284" s="1789"/>
      <c r="L284" s="1789"/>
      <c r="M284" s="1789"/>
      <c r="N284" s="1789"/>
    </row>
    <row r="285" ht="15" customHeight="1">
      <c r="A285" t="s" s="1799">
        <v>2781</v>
      </c>
      <c r="B285" t="s" s="1800">
        <v>2260</v>
      </c>
      <c r="C285" s="1801">
        <v>65000000</v>
      </c>
      <c r="D285" s="1801">
        <v>50000000</v>
      </c>
      <c r="E285" t="s" s="1799">
        <v>2468</v>
      </c>
      <c r="F285" s="1801"/>
      <c r="G285" s="1789"/>
      <c r="H285" s="1801" cm="1">
        <f t="array" ref="H285">C285-D285</f>
        <v>15000000</v>
      </c>
      <c r="I285" s="1789"/>
      <c r="J285" s="1789"/>
      <c r="K285" s="1789"/>
      <c r="L285" s="1789"/>
      <c r="M285" s="1789"/>
      <c r="N285" s="1789"/>
    </row>
    <row r="286" ht="15" customHeight="1">
      <c r="A286" t="s" s="1799">
        <v>2782</v>
      </c>
      <c r="B286" t="s" s="1800">
        <v>2783</v>
      </c>
      <c r="C286" s="1801">
        <v>0</v>
      </c>
      <c r="D286" s="1801">
        <v>0</v>
      </c>
      <c r="E286" s="1801"/>
      <c r="F286" s="1801"/>
      <c r="G286" s="1789"/>
      <c r="H286" s="1801" cm="1">
        <f t="array" ref="H286">C286-D286</f>
        <v>0</v>
      </c>
      <c r="I286" s="1789"/>
      <c r="J286" s="1789"/>
      <c r="K286" s="1789"/>
      <c r="L286" s="1789"/>
      <c r="M286" s="1789"/>
      <c r="N286" s="1789"/>
    </row>
    <row r="287" ht="15" customHeight="1">
      <c r="A287" t="s" s="1799">
        <v>2784</v>
      </c>
      <c r="B287" t="s" s="1800">
        <v>2785</v>
      </c>
      <c r="C287" s="1801">
        <v>52360000</v>
      </c>
      <c r="D287" s="1801">
        <v>52360000</v>
      </c>
      <c r="E287" s="1801"/>
      <c r="F287" t="s" s="1799">
        <v>2452</v>
      </c>
      <c r="G287" s="1789"/>
      <c r="H287" s="1801" cm="1">
        <f t="array" ref="H287">C287-D287</f>
        <v>0</v>
      </c>
      <c r="I287" s="1789"/>
      <c r="J287" s="1789"/>
      <c r="K287" s="1789"/>
      <c r="L287" s="1789"/>
      <c r="M287" s="1789"/>
      <c r="N287" s="1789"/>
    </row>
    <row r="288" ht="15" customHeight="1">
      <c r="A288" t="s" s="1799">
        <v>2786</v>
      </c>
      <c r="B288" t="s" s="1800">
        <v>2787</v>
      </c>
      <c r="C288" s="1801">
        <v>6000000</v>
      </c>
      <c r="D288" s="1801">
        <v>6000000</v>
      </c>
      <c r="E288" s="1801"/>
      <c r="F288" s="1801"/>
      <c r="G288" s="1789"/>
      <c r="H288" s="1801" cm="1">
        <f t="array" ref="H288">C288-D288</f>
        <v>0</v>
      </c>
      <c r="I288" s="1789"/>
      <c r="J288" s="1789"/>
      <c r="K288" s="1789"/>
      <c r="L288" s="1789"/>
      <c r="M288" s="1789"/>
      <c r="N288" s="1789"/>
    </row>
    <row r="289" ht="15" customHeight="1">
      <c r="A289" t="s" s="1799">
        <v>2788</v>
      </c>
      <c r="B289" t="s" s="1800">
        <v>2789</v>
      </c>
      <c r="C289" s="1801">
        <v>0</v>
      </c>
      <c r="D289" s="1801">
        <v>0</v>
      </c>
      <c r="E289" s="1801"/>
      <c r="F289" s="1801"/>
      <c r="G289" s="1789"/>
      <c r="H289" s="1801" cm="1">
        <f t="array" ref="H289">C289-D289</f>
        <v>0</v>
      </c>
      <c r="I289" s="1789"/>
      <c r="J289" s="1789"/>
      <c r="K289" s="1789"/>
      <c r="L289" s="1789"/>
      <c r="M289" s="1789"/>
      <c r="N289" s="1789"/>
    </row>
    <row r="290" ht="15" customHeight="1">
      <c r="A290" t="s" s="1799">
        <v>2790</v>
      </c>
      <c r="B290" t="s" s="1800">
        <v>2791</v>
      </c>
      <c r="C290" s="1801">
        <v>12900000</v>
      </c>
      <c r="D290" s="1801">
        <v>0</v>
      </c>
      <c r="E290" t="s" s="1799">
        <v>2468</v>
      </c>
      <c r="F290" s="1801"/>
      <c r="G290" s="1789"/>
      <c r="H290" s="1801" cm="1">
        <f t="array" ref="H290">C290-D290</f>
        <v>12900000</v>
      </c>
      <c r="I290" s="1789"/>
      <c r="J290" s="1789"/>
      <c r="K290" s="1789"/>
      <c r="L290" s="1789"/>
      <c r="M290" s="1789"/>
      <c r="N290" s="1789"/>
    </row>
    <row r="291" ht="15" customHeight="1">
      <c r="A291" t="s" s="1799">
        <v>2792</v>
      </c>
      <c r="B291" t="s" s="1800">
        <v>2793</v>
      </c>
      <c r="C291" s="1801">
        <v>0</v>
      </c>
      <c r="D291" s="1801">
        <v>0</v>
      </c>
      <c r="E291" s="1801"/>
      <c r="F291" t="s" s="1799">
        <v>2452</v>
      </c>
      <c r="G291" s="1789"/>
      <c r="H291" s="1801" cm="1">
        <f t="array" ref="H291">C291-D291</f>
        <v>0</v>
      </c>
      <c r="I291" s="1789"/>
      <c r="J291" s="1789"/>
      <c r="K291" s="1789"/>
      <c r="L291" s="1789"/>
      <c r="M291" s="1789"/>
      <c r="N291" s="1789"/>
    </row>
    <row r="292" ht="15" customHeight="1">
      <c r="A292" t="s" s="1799">
        <v>2794</v>
      </c>
      <c r="B292" t="s" s="1800">
        <v>2795</v>
      </c>
      <c r="C292" s="1801">
        <v>24500000</v>
      </c>
      <c r="D292" s="1801">
        <v>1500000</v>
      </c>
      <c r="E292" s="1801"/>
      <c r="F292" t="s" s="1799">
        <v>2452</v>
      </c>
      <c r="G292" s="1789"/>
      <c r="H292" s="1801" cm="1">
        <f t="array" ref="H292">C292-D292</f>
        <v>23000000</v>
      </c>
      <c r="I292" s="1789"/>
      <c r="J292" s="1789"/>
      <c r="K292" s="1789"/>
      <c r="L292" s="1789"/>
      <c r="M292" s="1789"/>
      <c r="N292" s="1789"/>
    </row>
    <row r="293" ht="15" customHeight="1">
      <c r="A293" t="s" s="1799">
        <v>2794</v>
      </c>
      <c r="B293" t="s" s="1800">
        <v>2796</v>
      </c>
      <c r="C293" s="1801">
        <v>139246768</v>
      </c>
      <c r="D293" s="1801">
        <v>139246768</v>
      </c>
      <c r="E293" s="1801"/>
      <c r="F293" t="s" s="1799">
        <v>2452</v>
      </c>
      <c r="G293" s="1789"/>
      <c r="H293" s="1801" cm="1">
        <f t="array" ref="H293">C293-D293</f>
        <v>0</v>
      </c>
      <c r="I293" s="1789"/>
      <c r="J293" s="1789"/>
      <c r="K293" s="1789"/>
      <c r="L293" s="1789"/>
      <c r="M293" s="1789"/>
      <c r="N293" s="1789"/>
    </row>
    <row r="294" ht="15" customHeight="1">
      <c r="A294" t="s" s="1799">
        <v>2797</v>
      </c>
      <c r="B294" t="s" s="1800">
        <v>2798</v>
      </c>
      <c r="C294" s="1801">
        <v>65321500</v>
      </c>
      <c r="D294" s="1801">
        <v>47321500</v>
      </c>
      <c r="E294" s="1801"/>
      <c r="F294" t="s" s="1799">
        <v>2452</v>
      </c>
      <c r="G294" s="1789"/>
      <c r="H294" s="1801" cm="1">
        <f t="array" ref="H294">C294-D294</f>
        <v>18000000</v>
      </c>
      <c r="I294" s="1789"/>
      <c r="J294" s="1789"/>
      <c r="K294" s="1789"/>
      <c r="L294" s="1789"/>
      <c r="M294" s="1789"/>
      <c r="N294" s="1789"/>
    </row>
    <row r="295" ht="15" customHeight="1">
      <c r="A295" t="s" s="1799">
        <v>2799</v>
      </c>
      <c r="B295" t="s" s="1800">
        <v>2800</v>
      </c>
      <c r="C295" s="1801">
        <v>500000</v>
      </c>
      <c r="D295" s="1801">
        <v>500000</v>
      </c>
      <c r="E295" s="1801"/>
      <c r="F295" t="s" s="1799">
        <v>2452</v>
      </c>
      <c r="G295" s="1789"/>
      <c r="H295" s="1801" cm="1">
        <f t="array" ref="H295">C295-D295</f>
        <v>0</v>
      </c>
      <c r="I295" s="1789"/>
      <c r="J295" s="1789"/>
      <c r="K295" s="1789"/>
      <c r="L295" s="1789"/>
      <c r="M295" s="1789"/>
      <c r="N295" s="1789"/>
    </row>
    <row r="296" ht="15" customHeight="1">
      <c r="A296" t="s" s="1799">
        <v>2801</v>
      </c>
      <c r="B296" t="s" s="1800">
        <v>2802</v>
      </c>
      <c r="C296" s="1801">
        <v>83080000</v>
      </c>
      <c r="D296" s="1801">
        <v>0</v>
      </c>
      <c r="E296" s="1801"/>
      <c r="F296" t="s" s="1799">
        <v>2452</v>
      </c>
      <c r="G296" s="1789"/>
      <c r="H296" s="1801" cm="1">
        <f t="array" ref="H296">C296-D296</f>
        <v>83080000</v>
      </c>
      <c r="I296" s="1789"/>
      <c r="J296" s="1789"/>
      <c r="K296" s="1789"/>
      <c r="L296" s="1789"/>
      <c r="M296" s="1789"/>
      <c r="N296" s="1789"/>
    </row>
    <row r="297" ht="15" customHeight="1">
      <c r="A297" t="s" s="1799">
        <v>2803</v>
      </c>
      <c r="B297" t="s" s="1800">
        <v>2804</v>
      </c>
      <c r="C297" s="1801">
        <v>0</v>
      </c>
      <c r="D297" s="1801">
        <v>0</v>
      </c>
      <c r="E297" s="1801"/>
      <c r="F297" s="1801"/>
      <c r="G297" s="1789"/>
      <c r="H297" s="1801" cm="1">
        <f t="array" ref="H297">C297-D297</f>
        <v>0</v>
      </c>
      <c r="I297" s="1789"/>
      <c r="J297" s="1789"/>
      <c r="K297" s="1789"/>
      <c r="L297" s="1789"/>
      <c r="M297" s="1789"/>
      <c r="N297" s="1789"/>
    </row>
    <row r="298" ht="15" customHeight="1">
      <c r="A298" t="s" s="1799">
        <v>2805</v>
      </c>
      <c r="B298" t="s" s="1800">
        <v>2806</v>
      </c>
      <c r="C298" s="1801">
        <v>0</v>
      </c>
      <c r="D298" s="1801">
        <v>0</v>
      </c>
      <c r="E298" s="1801"/>
      <c r="F298" s="1801"/>
      <c r="G298" s="1789"/>
      <c r="H298" s="1801" cm="1">
        <f t="array" ref="H298">C298-D298</f>
        <v>0</v>
      </c>
      <c r="I298" s="1789"/>
      <c r="J298" s="1789"/>
      <c r="K298" s="1789"/>
      <c r="L298" s="1789"/>
      <c r="M298" s="1789"/>
      <c r="N298" s="1789"/>
    </row>
    <row r="299" ht="15" customHeight="1">
      <c r="A299" t="s" s="1799">
        <v>2807</v>
      </c>
      <c r="B299" t="s" s="1800">
        <v>2808</v>
      </c>
      <c r="C299" s="1801">
        <v>4000000</v>
      </c>
      <c r="D299" s="1801">
        <v>0</v>
      </c>
      <c r="E299" s="1801"/>
      <c r="F299" s="1801"/>
      <c r="G299" s="1789"/>
      <c r="H299" s="1801" cm="1">
        <f t="array" ref="H299">C299-D299</f>
        <v>4000000</v>
      </c>
      <c r="I299" s="1789"/>
      <c r="J299" s="1789"/>
      <c r="K299" s="1789"/>
      <c r="L299" s="1789"/>
      <c r="M299" s="1789"/>
      <c r="N299" s="1789"/>
    </row>
    <row r="300" ht="15" customHeight="1">
      <c r="A300" t="s" s="1799">
        <v>2809</v>
      </c>
      <c r="B300" t="s" s="1800">
        <v>2810</v>
      </c>
      <c r="C300" s="1801">
        <v>0</v>
      </c>
      <c r="D300" s="1801">
        <v>0</v>
      </c>
      <c r="E300" s="1801"/>
      <c r="F300" s="1801"/>
      <c r="G300" s="1789"/>
      <c r="H300" s="1801" cm="1">
        <f t="array" ref="H300">C300-D300</f>
        <v>0</v>
      </c>
      <c r="I300" s="1789"/>
      <c r="J300" s="1789"/>
      <c r="K300" s="1789"/>
      <c r="L300" s="1789"/>
      <c r="M300" s="1789"/>
      <c r="N300" s="1789"/>
    </row>
    <row r="301" ht="15" customHeight="1">
      <c r="A301" t="s" s="1799">
        <v>2811</v>
      </c>
      <c r="B301" t="s" s="1800">
        <v>2812</v>
      </c>
      <c r="C301" s="1801">
        <v>33000000</v>
      </c>
      <c r="D301" s="1801">
        <v>33000000</v>
      </c>
      <c r="E301" s="1801"/>
      <c r="F301" t="s" s="1799">
        <v>2452</v>
      </c>
      <c r="G301" s="1789"/>
      <c r="H301" s="1801" cm="1">
        <f t="array" ref="H301">C301-D301</f>
        <v>0</v>
      </c>
      <c r="I301" s="1789"/>
      <c r="J301" s="1789"/>
      <c r="K301" s="1789"/>
      <c r="L301" s="1789"/>
      <c r="M301" s="1789"/>
      <c r="N301" s="1789"/>
    </row>
    <row r="302" ht="15" customHeight="1">
      <c r="A302" t="s" s="1799">
        <v>2813</v>
      </c>
      <c r="B302" t="s" s="1800">
        <v>2814</v>
      </c>
      <c r="C302" s="1801">
        <v>158000000</v>
      </c>
      <c r="D302" s="1801">
        <v>151000000</v>
      </c>
      <c r="E302" s="1801"/>
      <c r="F302" t="s" s="1799">
        <v>2452</v>
      </c>
      <c r="G302" s="1789"/>
      <c r="H302" s="1801" cm="1">
        <f t="array" ref="H302">C302-D302</f>
        <v>7000000</v>
      </c>
      <c r="I302" s="1789"/>
      <c r="J302" s="1789"/>
      <c r="K302" s="1789"/>
      <c r="L302" s="1789"/>
      <c r="M302" s="1789"/>
      <c r="N302" s="1789"/>
    </row>
    <row r="303" ht="15" customHeight="1">
      <c r="A303" t="s" s="1799">
        <v>2815</v>
      </c>
      <c r="B303" t="s" s="1800">
        <v>2816</v>
      </c>
      <c r="C303" s="1801">
        <v>15255000</v>
      </c>
      <c r="D303" s="1801">
        <v>0</v>
      </c>
      <c r="E303" s="1801"/>
      <c r="F303" t="s" s="1799">
        <v>2452</v>
      </c>
      <c r="G303" s="1789"/>
      <c r="H303" s="1801" cm="1">
        <f t="array" ref="H303">C303-D303</f>
        <v>15255000</v>
      </c>
      <c r="I303" s="1789"/>
      <c r="J303" s="1789"/>
      <c r="K303" s="1789"/>
      <c r="L303" s="1789"/>
      <c r="M303" s="1789"/>
      <c r="N303" s="1789"/>
    </row>
    <row r="304" ht="15" customHeight="1">
      <c r="A304" t="s" s="1799">
        <v>2817</v>
      </c>
      <c r="B304" t="s" s="1800">
        <v>2818</v>
      </c>
      <c r="C304" s="1801">
        <v>0</v>
      </c>
      <c r="D304" s="1801">
        <v>0</v>
      </c>
      <c r="E304" s="1801"/>
      <c r="F304" s="1801"/>
      <c r="G304" s="1789"/>
      <c r="H304" s="1801" cm="1">
        <f t="array" ref="H304">C304-D304</f>
        <v>0</v>
      </c>
      <c r="I304" s="1789"/>
      <c r="J304" s="1789"/>
      <c r="K304" s="1789"/>
      <c r="L304" s="1789"/>
      <c r="M304" s="1789"/>
      <c r="N304" s="1789"/>
    </row>
    <row r="305" ht="15" customHeight="1">
      <c r="A305" t="s" s="1799">
        <v>2819</v>
      </c>
      <c r="B305" t="s" s="1800">
        <v>2820</v>
      </c>
      <c r="C305" s="1801">
        <v>0</v>
      </c>
      <c r="D305" s="1801">
        <v>0</v>
      </c>
      <c r="E305" s="1801"/>
      <c r="F305" s="1801"/>
      <c r="G305" s="1789"/>
      <c r="H305" s="1801" cm="1">
        <f t="array" ref="H305">C305-D305</f>
        <v>0</v>
      </c>
      <c r="I305" s="1789"/>
      <c r="J305" s="1789"/>
      <c r="K305" s="1789"/>
      <c r="L305" s="1789"/>
      <c r="M305" s="1789"/>
      <c r="N305" s="1789"/>
    </row>
    <row r="306" ht="15" customHeight="1">
      <c r="A306" t="s" s="1799">
        <v>2821</v>
      </c>
      <c r="B306" t="s" s="1800">
        <v>2822</v>
      </c>
      <c r="C306" s="1801">
        <v>24000000</v>
      </c>
      <c r="D306" s="1801">
        <v>24000000</v>
      </c>
      <c r="E306" s="1801"/>
      <c r="F306" t="s" s="1799">
        <v>2452</v>
      </c>
      <c r="G306" s="1789"/>
      <c r="H306" s="1801" cm="1">
        <f t="array" ref="H306">C306-D306</f>
        <v>0</v>
      </c>
      <c r="I306" s="1789"/>
      <c r="J306" s="1789"/>
      <c r="K306" s="1789"/>
      <c r="L306" s="1789"/>
      <c r="M306" s="1789"/>
      <c r="N306" s="1789"/>
    </row>
    <row r="307" ht="15" customHeight="1">
      <c r="A307" t="s" s="1799">
        <v>2823</v>
      </c>
      <c r="B307" t="s" s="1800">
        <v>2824</v>
      </c>
      <c r="C307" s="1801">
        <v>1000000</v>
      </c>
      <c r="D307" s="1801">
        <v>1000000</v>
      </c>
      <c r="E307" s="1801"/>
      <c r="F307" t="s" s="1799">
        <v>2452</v>
      </c>
      <c r="G307" s="1789"/>
      <c r="H307" s="1801" cm="1">
        <f t="array" ref="H307">C307-D307</f>
        <v>0</v>
      </c>
      <c r="I307" s="1789"/>
      <c r="J307" s="1789"/>
      <c r="K307" s="1789"/>
      <c r="L307" s="1789"/>
      <c r="M307" s="1789"/>
      <c r="N307" s="1789"/>
    </row>
    <row r="308" ht="15" customHeight="1">
      <c r="A308" t="s" s="1799">
        <v>2825</v>
      </c>
      <c r="B308" t="s" s="1800">
        <v>2826</v>
      </c>
      <c r="C308" s="1801">
        <v>27000000</v>
      </c>
      <c r="D308" s="1801">
        <v>0</v>
      </c>
      <c r="E308" s="1801"/>
      <c r="F308" t="s" s="1799">
        <v>2452</v>
      </c>
      <c r="G308" s="1789"/>
      <c r="H308" s="1801" cm="1">
        <f t="array" ref="H308">C308-D308</f>
        <v>27000000</v>
      </c>
      <c r="I308" s="1789"/>
      <c r="J308" s="1789"/>
      <c r="K308" s="1789"/>
      <c r="L308" s="1789"/>
      <c r="M308" s="1789"/>
      <c r="N308" s="1789"/>
    </row>
    <row r="309" ht="15" customHeight="1">
      <c r="A309" t="s" s="1799">
        <v>2827</v>
      </c>
      <c r="B309" t="s" s="1800">
        <v>2828</v>
      </c>
      <c r="C309" s="1801">
        <v>169206372</v>
      </c>
      <c r="D309" s="1801">
        <v>93106372</v>
      </c>
      <c r="E309" s="1801"/>
      <c r="F309" t="s" s="1799">
        <v>2452</v>
      </c>
      <c r="G309" s="1789"/>
      <c r="H309" s="1801" cm="1">
        <f t="array" ref="H309">C309-D309</f>
        <v>76100000</v>
      </c>
      <c r="I309" s="1789"/>
      <c r="J309" s="1789"/>
      <c r="K309" s="1789"/>
      <c r="L309" s="1789"/>
      <c r="M309" s="1789"/>
      <c r="N309" s="1789"/>
    </row>
    <row r="310" ht="15" customHeight="1">
      <c r="A310" t="s" s="1799">
        <v>2829</v>
      </c>
      <c r="B310" t="s" s="1800">
        <v>2830</v>
      </c>
      <c r="C310" s="1801">
        <v>72000000</v>
      </c>
      <c r="D310" s="1801">
        <v>0</v>
      </c>
      <c r="E310" s="1801"/>
      <c r="F310" t="s" s="1799">
        <v>2452</v>
      </c>
      <c r="G310" s="1789"/>
      <c r="H310" s="1801" cm="1">
        <f t="array" ref="H310">C310-D310</f>
        <v>72000000</v>
      </c>
      <c r="I310" s="1789"/>
      <c r="J310" s="1789"/>
      <c r="K310" s="1789"/>
      <c r="L310" s="1789"/>
      <c r="M310" s="1789"/>
      <c r="N310" s="1789"/>
    </row>
    <row r="311" ht="15" customHeight="1">
      <c r="A311" t="s" s="1799">
        <v>2831</v>
      </c>
      <c r="B311" t="s" s="1800">
        <v>2832</v>
      </c>
      <c r="C311" s="1801">
        <v>9000000</v>
      </c>
      <c r="D311" s="1801">
        <v>0</v>
      </c>
      <c r="E311" s="1801"/>
      <c r="F311" t="s" s="1799">
        <v>2452</v>
      </c>
      <c r="G311" s="1789"/>
      <c r="H311" s="1801" cm="1">
        <f t="array" ref="H311">C311-D311</f>
        <v>9000000</v>
      </c>
      <c r="I311" s="1789"/>
      <c r="J311" s="1789"/>
      <c r="K311" s="1789"/>
      <c r="L311" s="1789"/>
      <c r="M311" s="1789"/>
      <c r="N311" s="1789"/>
    </row>
    <row r="312" ht="15" customHeight="1">
      <c r="A312" t="s" s="1799">
        <v>2831</v>
      </c>
      <c r="B312" t="s" s="1800">
        <v>2833</v>
      </c>
      <c r="C312" s="1801">
        <v>6000000</v>
      </c>
      <c r="D312" s="1801">
        <v>0</v>
      </c>
      <c r="E312" s="1801"/>
      <c r="F312" t="s" s="1799">
        <v>2452</v>
      </c>
      <c r="G312" s="1789"/>
      <c r="H312" s="1801" cm="1">
        <f t="array" ref="H312">C312-D312</f>
        <v>6000000</v>
      </c>
      <c r="I312" s="1789"/>
      <c r="J312" s="1789"/>
      <c r="K312" s="1789"/>
      <c r="L312" s="1789"/>
      <c r="M312" s="1789"/>
      <c r="N312" s="1789"/>
    </row>
    <row r="313" ht="15" customHeight="1">
      <c r="A313" t="s" s="1799">
        <v>2834</v>
      </c>
      <c r="B313" t="s" s="1800">
        <v>2835</v>
      </c>
      <c r="C313" s="1801">
        <v>19560000</v>
      </c>
      <c r="D313" s="1801">
        <v>0</v>
      </c>
      <c r="E313" s="1801"/>
      <c r="F313" t="s" s="1799">
        <v>2452</v>
      </c>
      <c r="G313" s="1789"/>
      <c r="H313" s="1801" cm="1">
        <f t="array" ref="H313">C313-D313</f>
        <v>19560000</v>
      </c>
      <c r="I313" s="1789"/>
      <c r="J313" s="1789"/>
      <c r="K313" s="1789"/>
      <c r="L313" s="1789"/>
      <c r="M313" s="1789"/>
      <c r="N313" s="1789"/>
    </row>
    <row r="314" ht="15" customHeight="1">
      <c r="A314" t="s" s="1799">
        <v>2834</v>
      </c>
      <c r="B314" t="s" s="1800">
        <v>2836</v>
      </c>
      <c r="C314" s="1801">
        <v>17470174</v>
      </c>
      <c r="D314" s="1801">
        <v>17470174</v>
      </c>
      <c r="E314" s="1801"/>
      <c r="F314" t="s" s="1799">
        <v>2452</v>
      </c>
      <c r="G314" s="1789"/>
      <c r="H314" s="1801" cm="1">
        <f t="array" ref="H314">C314-D314</f>
        <v>0</v>
      </c>
      <c r="I314" s="1789"/>
      <c r="J314" s="1789"/>
      <c r="K314" s="1789"/>
      <c r="L314" s="1789"/>
      <c r="M314" s="1789"/>
      <c r="N314" s="1789"/>
    </row>
    <row r="315" ht="15" customHeight="1">
      <c r="A315" t="s" s="1799">
        <v>2837</v>
      </c>
      <c r="B315" t="s" s="1800">
        <v>2838</v>
      </c>
      <c r="C315" s="1801">
        <v>53000000</v>
      </c>
      <c r="D315" s="1801">
        <v>0</v>
      </c>
      <c r="E315" s="1801"/>
      <c r="F315" t="s" s="1799">
        <v>2452</v>
      </c>
      <c r="G315" s="1789"/>
      <c r="H315" s="1801" cm="1">
        <f t="array" ref="H315">C315-D315</f>
        <v>53000000</v>
      </c>
      <c r="I315" s="1789"/>
      <c r="J315" s="1789"/>
      <c r="K315" s="1789"/>
      <c r="L315" s="1789"/>
      <c r="M315" s="1789"/>
      <c r="N315" s="1789"/>
    </row>
    <row r="316" ht="15" customHeight="1">
      <c r="A316" t="s" s="1799">
        <v>2839</v>
      </c>
      <c r="B316" t="s" s="1800">
        <v>2840</v>
      </c>
      <c r="C316" s="1801">
        <v>40000000</v>
      </c>
      <c r="D316" s="1801">
        <v>0</v>
      </c>
      <c r="E316" s="1801"/>
      <c r="F316" t="s" s="1799">
        <v>2452</v>
      </c>
      <c r="G316" s="1789"/>
      <c r="H316" s="1801" cm="1">
        <f t="array" ref="H316">C316-D316</f>
        <v>40000000</v>
      </c>
      <c r="I316" s="1789"/>
      <c r="J316" s="1789"/>
      <c r="K316" s="1789"/>
      <c r="L316" s="1789"/>
      <c r="M316" s="1789"/>
      <c r="N316" s="1789"/>
    </row>
    <row r="317" ht="15" customHeight="1">
      <c r="A317" t="s" s="1799">
        <v>2841</v>
      </c>
      <c r="B317" t="s" s="1800">
        <v>2842</v>
      </c>
      <c r="C317" s="1801">
        <v>0</v>
      </c>
      <c r="D317" s="1801">
        <v>0</v>
      </c>
      <c r="E317" s="1801"/>
      <c r="F317" s="1801"/>
      <c r="G317" s="1789"/>
      <c r="H317" s="1801" cm="1">
        <f t="array" ref="H317">C317-D317</f>
        <v>0</v>
      </c>
      <c r="I317" s="1789"/>
      <c r="J317" s="1789"/>
      <c r="K317" s="1789"/>
      <c r="L317" s="1789"/>
      <c r="M317" s="1789"/>
      <c r="N317" s="1789"/>
    </row>
    <row r="318" ht="15" customHeight="1">
      <c r="A318" t="s" s="1799">
        <v>2843</v>
      </c>
      <c r="B318" t="s" s="1800">
        <v>2844</v>
      </c>
      <c r="C318" s="1801">
        <v>71760000</v>
      </c>
      <c r="D318" s="1801">
        <v>5660000</v>
      </c>
      <c r="E318" s="1801"/>
      <c r="F318" t="s" s="1799">
        <v>2452</v>
      </c>
      <c r="G318" s="1789"/>
      <c r="H318" s="1801" cm="1">
        <f t="array" ref="H318">C318-D318</f>
        <v>66100000</v>
      </c>
      <c r="I318" s="1789"/>
      <c r="J318" s="1789"/>
      <c r="K318" s="1789"/>
      <c r="L318" s="1789"/>
      <c r="M318" s="1789"/>
      <c r="N318" s="1789"/>
    </row>
    <row r="319" ht="15" customHeight="1">
      <c r="A319" t="s" s="1799">
        <v>2845</v>
      </c>
      <c r="B319" t="s" s="1800">
        <v>2846</v>
      </c>
      <c r="C319" s="1801">
        <v>53332253</v>
      </c>
      <c r="D319" s="1801">
        <v>3945165</v>
      </c>
      <c r="E319" s="1801"/>
      <c r="F319" t="s" s="1799">
        <v>2452</v>
      </c>
      <c r="G319" s="1789"/>
      <c r="H319" s="1801" cm="1">
        <f t="array" ref="H319">C319-D319</f>
        <v>49387088</v>
      </c>
      <c r="I319" s="1789"/>
      <c r="J319" s="1789"/>
      <c r="K319" s="1789"/>
      <c r="L319" s="1789"/>
      <c r="M319" s="1789"/>
      <c r="N319" s="1789"/>
    </row>
    <row r="320" ht="15" customHeight="1">
      <c r="A320" t="s" s="1799">
        <v>2847</v>
      </c>
      <c r="B320" t="s" s="1800">
        <v>2848</v>
      </c>
      <c r="C320" s="1801">
        <v>54080105</v>
      </c>
      <c r="D320" s="1801">
        <v>53080105</v>
      </c>
      <c r="E320" s="1801"/>
      <c r="F320" t="s" s="1799">
        <v>2452</v>
      </c>
      <c r="G320" s="1789"/>
      <c r="H320" s="1801" cm="1">
        <f t="array" ref="H320">C320-D320</f>
        <v>1000000</v>
      </c>
      <c r="I320" s="1789"/>
      <c r="J320" s="1789"/>
      <c r="K320" s="1789"/>
      <c r="L320" s="1789"/>
      <c r="M320" s="1789"/>
      <c r="N320" s="1789"/>
    </row>
    <row r="321" ht="15" customHeight="1">
      <c r="A321" t="s" s="1799">
        <v>2849</v>
      </c>
      <c r="B321" t="s" s="1800">
        <v>2850</v>
      </c>
      <c r="C321" s="1801">
        <v>50000000</v>
      </c>
      <c r="D321" s="1801">
        <v>500000000</v>
      </c>
      <c r="E321" t="s" s="1799">
        <v>2275</v>
      </c>
      <c r="F321" s="1801"/>
      <c r="G321" s="1789"/>
      <c r="H321" s="1801" cm="1">
        <f t="array" ref="H321">C321-D321</f>
        <v>-450000000</v>
      </c>
      <c r="I321" s="1789"/>
      <c r="J321" s="1789"/>
      <c r="K321" s="1789"/>
      <c r="L321" s="1789"/>
      <c r="M321" s="1789"/>
      <c r="N321" s="1789"/>
    </row>
    <row r="322" ht="15" customHeight="1">
      <c r="A322" t="s" s="1799">
        <v>2851</v>
      </c>
      <c r="B322" t="s" s="1800">
        <v>2852</v>
      </c>
      <c r="C322" s="1801">
        <v>940862300</v>
      </c>
      <c r="D322" s="1801">
        <v>775000000</v>
      </c>
      <c r="E322" s="1801"/>
      <c r="F322" t="s" s="1799">
        <v>2452</v>
      </c>
      <c r="G322" s="1789"/>
      <c r="H322" s="1801" cm="1">
        <f t="array" ref="H322">C322-D322</f>
        <v>165862300</v>
      </c>
      <c r="I322" s="1789"/>
      <c r="J322" s="1789"/>
      <c r="K322" s="1789"/>
      <c r="L322" s="1789"/>
      <c r="M322" s="1789"/>
      <c r="N322" s="1789"/>
    </row>
    <row r="323" ht="15" customHeight="1">
      <c r="A323" t="s" s="1799">
        <v>2853</v>
      </c>
      <c r="B323" t="s" s="1800">
        <v>2854</v>
      </c>
      <c r="C323" s="1801">
        <v>1000000</v>
      </c>
      <c r="D323" s="1801">
        <v>1000000</v>
      </c>
      <c r="E323" s="1801"/>
      <c r="F323" t="s" s="1799">
        <v>2452</v>
      </c>
      <c r="G323" s="1789"/>
      <c r="H323" s="1801" cm="1">
        <f t="array" ref="H323">C323-D323</f>
        <v>0</v>
      </c>
      <c r="I323" s="1789"/>
      <c r="J323" s="1789"/>
      <c r="K323" s="1789"/>
      <c r="L323" s="1789"/>
      <c r="M323" s="1789"/>
      <c r="N323" s="1789"/>
    </row>
    <row r="324" ht="15" customHeight="1">
      <c r="A324" t="s" s="1799">
        <v>2855</v>
      </c>
      <c r="B324" t="s" s="1800">
        <v>2856</v>
      </c>
      <c r="C324" s="1801">
        <v>1500000</v>
      </c>
      <c r="D324" s="1801">
        <v>1500000</v>
      </c>
      <c r="E324" s="1801"/>
      <c r="F324" t="s" s="1799">
        <v>2452</v>
      </c>
      <c r="G324" s="1789"/>
      <c r="H324" s="1801" cm="1">
        <f t="array" ref="H324">C324-D324</f>
        <v>0</v>
      </c>
      <c r="I324" s="1789"/>
      <c r="J324" s="1789"/>
      <c r="K324" s="1789"/>
      <c r="L324" s="1789"/>
      <c r="M324" s="1789"/>
      <c r="N324" s="1789"/>
    </row>
    <row r="325" ht="15" customHeight="1">
      <c r="A325" t="s" s="1799">
        <v>2857</v>
      </c>
      <c r="B325" t="s" s="1800">
        <v>2858</v>
      </c>
      <c r="C325" s="1801">
        <v>5500000</v>
      </c>
      <c r="D325" s="1801">
        <v>5500000</v>
      </c>
      <c r="E325" s="1801"/>
      <c r="F325" t="s" s="1799">
        <v>2452</v>
      </c>
      <c r="G325" s="1789"/>
      <c r="H325" s="1801" cm="1">
        <f t="array" ref="H325">C325-D325</f>
        <v>0</v>
      </c>
      <c r="I325" s="1789"/>
      <c r="J325" s="1789"/>
      <c r="K325" s="1789"/>
      <c r="L325" s="1789"/>
      <c r="M325" s="1789"/>
      <c r="N325" s="1789"/>
    </row>
    <row r="326" ht="15" customHeight="1">
      <c r="A326" t="s" s="1799">
        <v>2859</v>
      </c>
      <c r="B326" t="s" s="1800">
        <v>2860</v>
      </c>
      <c r="C326" s="1801">
        <v>0</v>
      </c>
      <c r="D326" s="1801">
        <v>0</v>
      </c>
      <c r="E326" s="1801"/>
      <c r="F326" s="1801"/>
      <c r="G326" s="1789"/>
      <c r="H326" s="1801" cm="1">
        <f t="array" ref="H326">C326-D326</f>
        <v>0</v>
      </c>
      <c r="I326" s="1789"/>
      <c r="J326" s="1789"/>
      <c r="K326" s="1789"/>
      <c r="L326" s="1789"/>
      <c r="M326" s="1789"/>
      <c r="N326" s="1789"/>
    </row>
    <row r="327" ht="15" customHeight="1">
      <c r="A327" t="s" s="1799">
        <v>2861</v>
      </c>
      <c r="B327" t="s" s="1800">
        <v>2862</v>
      </c>
      <c r="C327" s="1801">
        <v>4000000</v>
      </c>
      <c r="D327" s="1801">
        <v>0</v>
      </c>
      <c r="E327" s="1801"/>
      <c r="F327" s="1801"/>
      <c r="G327" s="1789"/>
      <c r="H327" s="1801" cm="1">
        <f t="array" ref="H327">C327-D327</f>
        <v>4000000</v>
      </c>
      <c r="I327" s="1789"/>
      <c r="J327" s="1789"/>
      <c r="K327" s="1789"/>
      <c r="L327" s="1789"/>
      <c r="M327" s="1789"/>
      <c r="N327" s="1789"/>
    </row>
    <row r="328" ht="15" customHeight="1">
      <c r="A328" t="s" s="1799">
        <v>2863</v>
      </c>
      <c r="B328" t="s" s="1800">
        <v>2864</v>
      </c>
      <c r="C328" s="1801">
        <v>1000000</v>
      </c>
      <c r="D328" s="1801">
        <v>0</v>
      </c>
      <c r="E328" s="1801"/>
      <c r="F328" s="1801"/>
      <c r="G328" s="1789"/>
      <c r="H328" s="1801" cm="1">
        <f t="array" ref="H328">C328-D328</f>
        <v>1000000</v>
      </c>
      <c r="I328" s="1789"/>
      <c r="J328" s="1789"/>
      <c r="K328" s="1789"/>
      <c r="L328" s="1789"/>
      <c r="M328" s="1789"/>
      <c r="N328" s="1789"/>
    </row>
    <row r="329" ht="15" customHeight="1">
      <c r="A329" t="s" s="1799">
        <v>2865</v>
      </c>
      <c r="B329" t="s" s="1800">
        <v>2866</v>
      </c>
      <c r="C329" s="1801">
        <v>2000000</v>
      </c>
      <c r="D329" s="1801">
        <v>0</v>
      </c>
      <c r="E329" s="1801"/>
      <c r="F329" s="1801"/>
      <c r="G329" s="1789"/>
      <c r="H329" s="1801" cm="1">
        <f t="array" ref="H329">C329-D329</f>
        <v>2000000</v>
      </c>
      <c r="I329" s="1789"/>
      <c r="J329" s="1789"/>
      <c r="K329" s="1789"/>
      <c r="L329" s="1789"/>
      <c r="M329" s="1789"/>
      <c r="N329" s="1789"/>
    </row>
    <row r="330" ht="15" customHeight="1">
      <c r="A330" t="s" s="1799">
        <v>2867</v>
      </c>
      <c r="B330" t="s" s="1800">
        <v>2868</v>
      </c>
      <c r="C330" s="1801">
        <v>2150000</v>
      </c>
      <c r="D330" s="1801">
        <v>0</v>
      </c>
      <c r="E330" s="1801"/>
      <c r="F330" s="1801"/>
      <c r="G330" s="1789"/>
      <c r="H330" s="1801" cm="1">
        <f t="array" ref="H330">C330-D330</f>
        <v>2150000</v>
      </c>
      <c r="I330" s="1789"/>
      <c r="J330" s="1789"/>
      <c r="K330" s="1789"/>
      <c r="L330" s="1789"/>
      <c r="M330" s="1789"/>
      <c r="N330" s="1789"/>
    </row>
    <row r="331" ht="15" customHeight="1">
      <c r="A331" t="s" s="1799">
        <v>2869</v>
      </c>
      <c r="B331" t="s" s="1800">
        <v>2870</v>
      </c>
      <c r="C331" s="1801">
        <v>14716742</v>
      </c>
      <c r="D331" s="1801">
        <v>14716742</v>
      </c>
      <c r="E331" s="1801"/>
      <c r="F331" t="s" s="1799">
        <v>2452</v>
      </c>
      <c r="G331" s="1789"/>
      <c r="H331" s="1801" cm="1">
        <f t="array" ref="H331">C331-D331</f>
        <v>0</v>
      </c>
      <c r="I331" s="1789"/>
      <c r="J331" s="1789"/>
      <c r="K331" s="1789"/>
      <c r="L331" s="1789"/>
      <c r="M331" s="1789"/>
      <c r="N331" s="1789"/>
    </row>
    <row r="332" ht="15" customHeight="1">
      <c r="A332" t="s" s="1799">
        <v>2871</v>
      </c>
      <c r="B332" t="s" s="1800">
        <v>2872</v>
      </c>
      <c r="C332" s="1801">
        <v>165949082</v>
      </c>
      <c r="D332" s="1801">
        <v>0</v>
      </c>
      <c r="E332" s="1801"/>
      <c r="F332" t="s" s="1799">
        <v>2452</v>
      </c>
      <c r="G332" s="1789"/>
      <c r="H332" s="1801" cm="1">
        <f t="array" ref="H332">C332-D332</f>
        <v>165949082</v>
      </c>
      <c r="I332" s="1789"/>
      <c r="J332" s="1789"/>
      <c r="K332" s="1789"/>
      <c r="L332" s="1789"/>
      <c r="M332" s="1789"/>
      <c r="N332" s="1789"/>
    </row>
    <row r="333" ht="15" customHeight="1">
      <c r="A333" t="s" s="1799">
        <v>2873</v>
      </c>
      <c r="B333" t="s" s="1800">
        <v>2874</v>
      </c>
      <c r="C333" s="1801">
        <v>32214000</v>
      </c>
      <c r="D333" s="1801">
        <v>0</v>
      </c>
      <c r="E333" s="1801"/>
      <c r="F333" t="s" s="1799">
        <v>2452</v>
      </c>
      <c r="G333" s="1789"/>
      <c r="H333" s="1801" cm="1">
        <f t="array" ref="H333">C333-D333</f>
        <v>32214000</v>
      </c>
      <c r="I333" s="1789"/>
      <c r="J333" s="1789"/>
      <c r="K333" s="1789"/>
      <c r="L333" s="1789"/>
      <c r="M333" s="1789"/>
      <c r="N333" s="1789"/>
    </row>
    <row r="334" ht="15" customHeight="1">
      <c r="A334" t="s" s="1799">
        <v>2875</v>
      </c>
      <c r="B334" t="s" s="1800">
        <v>2876</v>
      </c>
      <c r="C334" s="1801">
        <v>2650000</v>
      </c>
      <c r="D334" s="1801">
        <v>0</v>
      </c>
      <c r="E334" s="1801"/>
      <c r="F334" s="1801"/>
      <c r="G334" s="1789"/>
      <c r="H334" s="1801" cm="1">
        <f t="array" ref="H334">C334-D334</f>
        <v>2650000</v>
      </c>
      <c r="I334" s="1789"/>
      <c r="J334" s="1789"/>
      <c r="K334" s="1789"/>
      <c r="L334" s="1789"/>
      <c r="M334" s="1789"/>
      <c r="N334" s="1789"/>
    </row>
    <row r="335" ht="15" customHeight="1">
      <c r="A335" t="s" s="1799">
        <v>2877</v>
      </c>
      <c r="B335" t="s" s="1800">
        <v>2878</v>
      </c>
      <c r="C335" s="1801">
        <v>64000000</v>
      </c>
      <c r="D335" s="1801">
        <v>0</v>
      </c>
      <c r="E335" s="1801"/>
      <c r="F335" t="s" s="1799">
        <v>2452</v>
      </c>
      <c r="G335" s="1789"/>
      <c r="H335" s="1801" cm="1">
        <f t="array" ref="H335">C335-D335</f>
        <v>64000000</v>
      </c>
      <c r="I335" s="1789"/>
      <c r="J335" s="1789"/>
      <c r="K335" s="1789"/>
      <c r="L335" s="1789"/>
      <c r="M335" s="1789"/>
      <c r="N335" s="1789"/>
    </row>
    <row r="336" ht="15" customHeight="1">
      <c r="A336" t="s" s="1799">
        <v>2879</v>
      </c>
      <c r="B336" t="s" s="1800">
        <v>2880</v>
      </c>
      <c r="C336" s="1801">
        <v>8927031</v>
      </c>
      <c r="D336" s="1801">
        <v>8927031</v>
      </c>
      <c r="E336" s="1801"/>
      <c r="F336" t="s" s="1799">
        <v>2452</v>
      </c>
      <c r="G336" s="1789"/>
      <c r="H336" s="1801" cm="1">
        <f t="array" ref="H336">C336-D336</f>
        <v>0</v>
      </c>
      <c r="I336" s="1789"/>
      <c r="J336" s="1789"/>
      <c r="K336" s="1789"/>
      <c r="L336" s="1789"/>
      <c r="M336" s="1789"/>
      <c r="N336" s="1789"/>
    </row>
    <row r="337" ht="15" customHeight="1">
      <c r="A337" t="s" s="1799">
        <v>2881</v>
      </c>
      <c r="B337" t="s" s="1800">
        <v>2882</v>
      </c>
      <c r="C337" s="1801">
        <v>89039000</v>
      </c>
      <c r="D337" s="1801">
        <v>0</v>
      </c>
      <c r="E337" s="1801"/>
      <c r="F337" t="s" s="1799">
        <v>2452</v>
      </c>
      <c r="G337" s="1789"/>
      <c r="H337" s="1801" cm="1">
        <f t="array" ref="H337">C337-D337</f>
        <v>89039000</v>
      </c>
      <c r="I337" s="1789"/>
      <c r="J337" s="1789"/>
      <c r="K337" s="1789"/>
      <c r="L337" s="1789"/>
      <c r="M337" s="1789"/>
      <c r="N337" s="1789"/>
    </row>
    <row r="338" ht="15" customHeight="1">
      <c r="A338" t="s" s="1799">
        <v>2883</v>
      </c>
      <c r="B338" t="s" s="1800">
        <v>2884</v>
      </c>
      <c r="C338" s="1801">
        <v>1000000</v>
      </c>
      <c r="D338" s="1801">
        <v>0</v>
      </c>
      <c r="E338" s="1801"/>
      <c r="F338" t="s" s="1799">
        <v>2452</v>
      </c>
      <c r="G338" s="1789"/>
      <c r="H338" s="1801" cm="1">
        <f t="array" ref="H338">C338-D338</f>
        <v>1000000</v>
      </c>
      <c r="I338" s="1789"/>
      <c r="J338" s="1789"/>
      <c r="K338" s="1789"/>
      <c r="L338" s="1789"/>
      <c r="M338" s="1789"/>
      <c r="N338" s="1789"/>
    </row>
    <row r="339" ht="15" customHeight="1">
      <c r="A339" t="s" s="1799">
        <v>2885</v>
      </c>
      <c r="B339" t="s" s="1800">
        <v>2886</v>
      </c>
      <c r="C339" s="1801">
        <v>19000000</v>
      </c>
      <c r="D339" s="1801">
        <v>0</v>
      </c>
      <c r="E339" s="1801"/>
      <c r="F339" t="s" s="1799">
        <v>2452</v>
      </c>
      <c r="G339" s="1789"/>
      <c r="H339" s="1801" cm="1">
        <f t="array" ref="H339">C339-D339</f>
        <v>19000000</v>
      </c>
      <c r="I339" s="1789"/>
      <c r="J339" s="1789"/>
      <c r="K339" s="1789"/>
      <c r="L339" s="1789"/>
      <c r="M339" s="1789"/>
      <c r="N339" s="1789"/>
    </row>
    <row r="340" ht="15" customHeight="1">
      <c r="A340" t="s" s="1799">
        <v>2887</v>
      </c>
      <c r="B340" t="s" s="1800">
        <v>2888</v>
      </c>
      <c r="C340" s="1801">
        <v>3330000</v>
      </c>
      <c r="D340" s="1801">
        <v>0</v>
      </c>
      <c r="E340" s="1801"/>
      <c r="F340" t="s" s="1799">
        <v>2452</v>
      </c>
      <c r="G340" s="1789"/>
      <c r="H340" s="1801" cm="1">
        <f t="array" ref="H340">C340-D340</f>
        <v>3330000</v>
      </c>
      <c r="I340" s="1789"/>
      <c r="J340" s="1789"/>
      <c r="K340" s="1789"/>
      <c r="L340" s="1789"/>
      <c r="M340" s="1789"/>
      <c r="N340" s="1789"/>
    </row>
    <row r="341" ht="15" customHeight="1">
      <c r="A341" t="s" s="1799">
        <v>2889</v>
      </c>
      <c r="B341" t="s" s="1800">
        <v>2890</v>
      </c>
      <c r="C341" s="1801">
        <v>2000000</v>
      </c>
      <c r="D341" s="1801">
        <v>2000000</v>
      </c>
      <c r="E341" s="1801"/>
      <c r="F341" s="1801"/>
      <c r="G341" s="1789"/>
      <c r="H341" s="1801" cm="1">
        <f t="array" ref="H341">C341-D341</f>
        <v>0</v>
      </c>
      <c r="I341" s="1789"/>
      <c r="J341" s="1789"/>
      <c r="K341" s="1789"/>
      <c r="L341" s="1789"/>
      <c r="M341" s="1789"/>
      <c r="N341" s="1789"/>
    </row>
    <row r="342" ht="15" customHeight="1">
      <c r="A342" t="s" s="1799">
        <v>2891</v>
      </c>
      <c r="B342" t="s" s="1800">
        <v>2892</v>
      </c>
      <c r="C342" s="1801">
        <v>100000</v>
      </c>
      <c r="D342" s="1801">
        <v>0</v>
      </c>
      <c r="E342" s="1801"/>
      <c r="F342" t="s" s="1799">
        <v>2452</v>
      </c>
      <c r="G342" s="1789"/>
      <c r="H342" s="1801" cm="1">
        <f t="array" ref="H342">C342-D342</f>
        <v>100000</v>
      </c>
      <c r="I342" s="1789"/>
      <c r="J342" s="1789"/>
      <c r="K342" s="1789"/>
      <c r="L342" s="1789"/>
      <c r="M342" s="1789"/>
      <c r="N342" s="1789"/>
    </row>
    <row r="343" ht="15" customHeight="1">
      <c r="A343" t="s" s="1799">
        <v>2893</v>
      </c>
      <c r="B343" t="s" s="1800">
        <v>2894</v>
      </c>
      <c r="C343" s="1801">
        <v>100290787</v>
      </c>
      <c r="D343" s="1801">
        <v>0</v>
      </c>
      <c r="E343" s="1801"/>
      <c r="F343" t="s" s="1799">
        <v>2452</v>
      </c>
      <c r="G343" s="1789"/>
      <c r="H343" s="1801" cm="1">
        <f t="array" ref="H343">C343-D343</f>
        <v>100290787</v>
      </c>
      <c r="I343" s="1789"/>
      <c r="J343" s="1789"/>
      <c r="K343" s="1789"/>
      <c r="L343" s="1789"/>
      <c r="M343" s="1789"/>
      <c r="N343" s="1789"/>
    </row>
    <row r="344" ht="15" customHeight="1">
      <c r="A344" t="s" s="1799">
        <v>2895</v>
      </c>
      <c r="B344" t="s" s="1800">
        <v>2896</v>
      </c>
      <c r="C344" s="1801">
        <v>7000000</v>
      </c>
      <c r="D344" s="1801">
        <v>0</v>
      </c>
      <c r="E344" s="1801"/>
      <c r="F344" t="s" s="1799">
        <v>2452</v>
      </c>
      <c r="G344" s="1789"/>
      <c r="H344" s="1801" cm="1">
        <f t="array" ref="H344">C344-D344</f>
        <v>7000000</v>
      </c>
      <c r="I344" s="1789"/>
      <c r="J344" s="1789"/>
      <c r="K344" s="1789"/>
      <c r="L344" s="1789"/>
      <c r="M344" s="1789"/>
      <c r="N344" s="1789"/>
    </row>
    <row r="345" ht="15" customHeight="1">
      <c r="A345" t="s" s="1799">
        <v>2897</v>
      </c>
      <c r="B345" t="s" s="1800">
        <v>2898</v>
      </c>
      <c r="C345" s="1801">
        <v>970957083</v>
      </c>
      <c r="D345" s="1801">
        <v>644000000</v>
      </c>
      <c r="E345" s="1801"/>
      <c r="F345" t="s" s="1799">
        <v>2452</v>
      </c>
      <c r="G345" s="1789"/>
      <c r="H345" s="1801" cm="1">
        <f t="array" ref="H345">C345-D345</f>
        <v>326957083</v>
      </c>
      <c r="I345" s="1789"/>
      <c r="J345" s="1789"/>
      <c r="K345" s="1789"/>
      <c r="L345" s="1789"/>
      <c r="M345" s="1789"/>
      <c r="N345" s="1789"/>
    </row>
    <row r="346" ht="15" customHeight="1">
      <c r="A346" t="s" s="1799">
        <v>2899</v>
      </c>
      <c r="B346" t="s" s="1800">
        <v>2900</v>
      </c>
      <c r="C346" s="1801">
        <v>-50000000</v>
      </c>
      <c r="D346" s="1801">
        <v>0</v>
      </c>
      <c r="E346" s="1801"/>
      <c r="F346" t="s" s="1799">
        <v>2452</v>
      </c>
      <c r="G346" s="1789"/>
      <c r="H346" s="1801" cm="1">
        <f t="array" ref="H346">C346-D346</f>
        <v>-50000000</v>
      </c>
      <c r="I346" s="1789"/>
      <c r="J346" s="1789"/>
      <c r="K346" s="1789"/>
      <c r="L346" s="1789"/>
      <c r="M346" s="1789"/>
      <c r="N346" s="1789"/>
    </row>
    <row r="347" ht="15" customHeight="1">
      <c r="A347" t="s" s="1799">
        <v>2901</v>
      </c>
      <c r="B347" t="s" s="1800">
        <v>2902</v>
      </c>
      <c r="C347" s="1801">
        <v>5000000</v>
      </c>
      <c r="D347" s="1801">
        <v>0</v>
      </c>
      <c r="E347" s="1801"/>
      <c r="F347" t="s" s="1799">
        <v>2452</v>
      </c>
      <c r="G347" s="1789"/>
      <c r="H347" s="1801" cm="1">
        <f t="array" ref="H347">C347-D347</f>
        <v>5000000</v>
      </c>
      <c r="I347" s="1789"/>
      <c r="J347" s="1789"/>
      <c r="K347" s="1789"/>
      <c r="L347" s="1789"/>
      <c r="M347" s="1789"/>
      <c r="N347" s="1789"/>
    </row>
    <row r="348" ht="15" customHeight="1">
      <c r="A348" t="s" s="1799">
        <v>2903</v>
      </c>
      <c r="B348" t="s" s="1800">
        <v>2904</v>
      </c>
      <c r="C348" s="1801">
        <v>16000000</v>
      </c>
      <c r="D348" s="1801">
        <v>0</v>
      </c>
      <c r="E348" s="1801"/>
      <c r="F348" t="s" s="1799">
        <v>2452</v>
      </c>
      <c r="G348" s="1789"/>
      <c r="H348" s="1801" cm="1">
        <f t="array" ref="H348">C348-D348</f>
        <v>16000000</v>
      </c>
      <c r="I348" s="1789"/>
      <c r="J348" s="1789"/>
      <c r="K348" s="1789"/>
      <c r="L348" s="1789"/>
      <c r="M348" s="1789"/>
      <c r="N348" s="1789"/>
    </row>
    <row r="349" ht="15" customHeight="1">
      <c r="A349" t="s" s="1799">
        <v>2905</v>
      </c>
      <c r="B349" t="s" s="1800">
        <v>2906</v>
      </c>
      <c r="C349" s="1801">
        <v>90000000</v>
      </c>
      <c r="D349" s="1801">
        <v>59000000</v>
      </c>
      <c r="E349" s="1801"/>
      <c r="F349" t="s" s="1799">
        <v>2452</v>
      </c>
      <c r="G349" s="1789"/>
      <c r="H349" s="1801" cm="1">
        <f t="array" ref="H349">C349-D349</f>
        <v>31000000</v>
      </c>
      <c r="I349" s="1789"/>
      <c r="J349" s="1789"/>
      <c r="K349" s="1789"/>
      <c r="L349" s="1789"/>
      <c r="M349" s="1789"/>
      <c r="N349" s="1789"/>
    </row>
    <row r="350" ht="15" customHeight="1">
      <c r="A350" t="s" s="1799">
        <v>2907</v>
      </c>
      <c r="B350" t="s" s="1800">
        <v>2908</v>
      </c>
      <c r="C350" s="1801">
        <v>36980000</v>
      </c>
      <c r="D350" s="1801">
        <v>0</v>
      </c>
      <c r="E350" s="1801"/>
      <c r="F350" t="s" s="1799">
        <v>2452</v>
      </c>
      <c r="G350" s="1789"/>
      <c r="H350" s="1801" cm="1">
        <f t="array" ref="H350">C350-D350</f>
        <v>36980000</v>
      </c>
      <c r="I350" s="1789"/>
      <c r="J350" s="1789"/>
      <c r="K350" s="1789"/>
      <c r="L350" s="1789"/>
      <c r="M350" s="1789"/>
      <c r="N350" s="1789"/>
    </row>
    <row r="351" ht="15" customHeight="1">
      <c r="A351" t="s" s="1799">
        <v>2909</v>
      </c>
      <c r="B351" t="s" s="1800">
        <v>2910</v>
      </c>
      <c r="C351" s="1801">
        <v>21000000</v>
      </c>
      <c r="D351" s="1801">
        <v>0</v>
      </c>
      <c r="E351" s="1801"/>
      <c r="F351" t="s" s="1799">
        <v>2452</v>
      </c>
      <c r="G351" s="1789"/>
      <c r="H351" s="1801" cm="1">
        <f t="array" ref="H351">C351-D351</f>
        <v>21000000</v>
      </c>
      <c r="I351" s="1789"/>
      <c r="J351" s="1789"/>
      <c r="K351" s="1789"/>
      <c r="L351" s="1789"/>
      <c r="M351" s="1789"/>
      <c r="N351" s="1789"/>
    </row>
    <row r="352" ht="15" customHeight="1">
      <c r="A352" t="s" s="1799">
        <v>2911</v>
      </c>
      <c r="B352" t="s" s="1800">
        <v>2912</v>
      </c>
      <c r="C352" s="1801">
        <v>140000000</v>
      </c>
      <c r="D352" s="1801">
        <v>0</v>
      </c>
      <c r="E352" s="1801"/>
      <c r="F352" t="s" s="1799">
        <v>2452</v>
      </c>
      <c r="G352" s="1789"/>
      <c r="H352" s="1801" cm="1">
        <f t="array" ref="H352">C352-D352</f>
        <v>140000000</v>
      </c>
      <c r="I352" s="1789"/>
      <c r="J352" s="1789"/>
      <c r="K352" s="1789"/>
      <c r="L352" s="1789"/>
      <c r="M352" s="1789"/>
      <c r="N352" s="1789"/>
    </row>
    <row r="353" ht="15" customHeight="1">
      <c r="A353" t="s" s="1799">
        <v>2913</v>
      </c>
      <c r="B353" t="s" s="1800">
        <v>2914</v>
      </c>
      <c r="C353" s="1801">
        <v>7000000</v>
      </c>
      <c r="D353" s="1801">
        <v>0</v>
      </c>
      <c r="E353" s="1801"/>
      <c r="F353" t="s" s="1799">
        <v>2452</v>
      </c>
      <c r="G353" s="1789"/>
      <c r="H353" s="1801" cm="1">
        <f t="array" ref="H353">C353-D353</f>
        <v>7000000</v>
      </c>
      <c r="I353" s="1789"/>
      <c r="J353" s="1789"/>
      <c r="K353" s="1789"/>
      <c r="L353" s="1789"/>
      <c r="M353" s="1789"/>
      <c r="N353" s="1789"/>
    </row>
    <row r="354" ht="15" customHeight="1">
      <c r="A354" t="s" s="1799">
        <v>2915</v>
      </c>
      <c r="B354" t="s" s="1800">
        <v>2916</v>
      </c>
      <c r="C354" s="1801">
        <v>12000000</v>
      </c>
      <c r="D354" s="1801">
        <v>0</v>
      </c>
      <c r="E354" s="1801"/>
      <c r="F354" t="s" s="1799">
        <v>2452</v>
      </c>
      <c r="G354" s="1789"/>
      <c r="H354" s="1801" cm="1">
        <f t="array" ref="H354">C354-D354</f>
        <v>12000000</v>
      </c>
      <c r="I354" s="1789"/>
      <c r="J354" s="1789"/>
      <c r="K354" s="1789"/>
      <c r="L354" s="1789"/>
      <c r="M354" s="1789"/>
      <c r="N354" s="1789"/>
    </row>
    <row r="355" ht="15" customHeight="1">
      <c r="A355" t="s" s="1799">
        <v>2917</v>
      </c>
      <c r="B355" t="s" s="1800">
        <v>2918</v>
      </c>
      <c r="C355" s="1801">
        <v>50000000</v>
      </c>
      <c r="D355" s="1801">
        <v>0</v>
      </c>
      <c r="E355" s="1801"/>
      <c r="F355" t="s" s="1799">
        <v>2452</v>
      </c>
      <c r="G355" s="1789"/>
      <c r="H355" s="1801" cm="1">
        <f t="array" ref="H355">C355-D355</f>
        <v>50000000</v>
      </c>
      <c r="I355" s="1789"/>
      <c r="J355" s="1789"/>
      <c r="K355" s="1789"/>
      <c r="L355" s="1789"/>
      <c r="M355" s="1789"/>
      <c r="N355" s="1789"/>
    </row>
    <row r="356" ht="15" customHeight="1">
      <c r="A356" t="s" s="1799">
        <v>2919</v>
      </c>
      <c r="B356" t="s" s="1800">
        <v>2920</v>
      </c>
      <c r="C356" s="1801">
        <v>6000000</v>
      </c>
      <c r="D356" s="1801">
        <v>0</v>
      </c>
      <c r="E356" s="1801"/>
      <c r="F356" t="s" s="1799">
        <v>2452</v>
      </c>
      <c r="G356" s="1789"/>
      <c r="H356" s="1801" cm="1">
        <f t="array" ref="H356">C356-D356</f>
        <v>6000000</v>
      </c>
      <c r="I356" s="1789"/>
      <c r="J356" s="1789"/>
      <c r="K356" s="1789"/>
      <c r="L356" s="1789"/>
      <c r="M356" s="1789"/>
      <c r="N356" s="1789"/>
    </row>
    <row r="357" ht="15" customHeight="1">
      <c r="A357" t="s" s="1799">
        <v>2921</v>
      </c>
      <c r="B357" t="s" s="1800">
        <v>2922</v>
      </c>
      <c r="C357" s="1801">
        <v>7000000</v>
      </c>
      <c r="D357" s="1801">
        <v>0</v>
      </c>
      <c r="E357" s="1801"/>
      <c r="F357" t="s" s="1799">
        <v>2452</v>
      </c>
      <c r="G357" s="1789"/>
      <c r="H357" s="1801" cm="1">
        <f t="array" ref="H357">C357-D357</f>
        <v>7000000</v>
      </c>
      <c r="I357" s="1789"/>
      <c r="J357" s="1789"/>
      <c r="K357" s="1789"/>
      <c r="L357" s="1789"/>
      <c r="M357" s="1789"/>
      <c r="N357" s="1789"/>
    </row>
    <row r="358" ht="15" customHeight="1">
      <c r="A358" t="s" s="1799">
        <v>2923</v>
      </c>
      <c r="B358" t="s" s="1800">
        <v>2924</v>
      </c>
      <c r="C358" s="1801">
        <v>10000000</v>
      </c>
      <c r="D358" s="1801">
        <v>0</v>
      </c>
      <c r="E358" s="1801"/>
      <c r="F358" t="s" s="1799">
        <v>2452</v>
      </c>
      <c r="G358" s="1789"/>
      <c r="H358" s="1801" cm="1">
        <f t="array" ref="H358">C358-D358</f>
        <v>10000000</v>
      </c>
      <c r="I358" s="1789"/>
      <c r="J358" s="1789"/>
      <c r="K358" s="1789"/>
      <c r="L358" s="1789"/>
      <c r="M358" s="1789"/>
      <c r="N358" s="1789"/>
    </row>
    <row r="359" ht="15" customHeight="1">
      <c r="A359" t="s" s="1799">
        <v>2925</v>
      </c>
      <c r="B359" t="s" s="1800">
        <v>2926</v>
      </c>
      <c r="C359" s="1801">
        <v>48000000</v>
      </c>
      <c r="D359" s="1801">
        <v>0</v>
      </c>
      <c r="E359" s="1801"/>
      <c r="F359" t="s" s="1799">
        <v>2452</v>
      </c>
      <c r="G359" s="1789"/>
      <c r="H359" s="1801" cm="1">
        <f t="array" ref="H359">C359-D359</f>
        <v>48000000</v>
      </c>
      <c r="I359" s="1789"/>
      <c r="J359" s="1789"/>
      <c r="K359" s="1789"/>
      <c r="L359" s="1789"/>
      <c r="M359" s="1789"/>
      <c r="N359" s="1789"/>
    </row>
    <row r="360" ht="15" customHeight="1">
      <c r="A360" t="s" s="1799">
        <v>2927</v>
      </c>
      <c r="B360" t="s" s="1800">
        <v>2928</v>
      </c>
      <c r="C360" s="1801">
        <v>0</v>
      </c>
      <c r="D360" s="1801">
        <v>0</v>
      </c>
      <c r="E360" s="1801"/>
      <c r="F360" t="s" s="1799">
        <v>2452</v>
      </c>
      <c r="G360" s="1789"/>
      <c r="H360" s="1801" cm="1">
        <f t="array" ref="H360">C360-D360</f>
        <v>0</v>
      </c>
      <c r="I360" s="1789"/>
      <c r="J360" s="1789"/>
      <c r="K360" s="1789"/>
      <c r="L360" s="1789"/>
      <c r="M360" s="1789"/>
      <c r="N360" s="1789"/>
    </row>
    <row r="361" ht="15" customHeight="1">
      <c r="A361" t="s" s="1799">
        <v>2929</v>
      </c>
      <c r="B361" t="s" s="1800">
        <v>2930</v>
      </c>
      <c r="C361" s="1801">
        <v>17236000</v>
      </c>
      <c r="D361" s="1801">
        <v>0</v>
      </c>
      <c r="E361" s="1801"/>
      <c r="F361" t="s" s="1799">
        <v>2452</v>
      </c>
      <c r="G361" s="1789"/>
      <c r="H361" s="1801" cm="1">
        <f t="array" ref="H361">C361-D361</f>
        <v>17236000</v>
      </c>
      <c r="I361" s="1789"/>
      <c r="J361" s="1789"/>
      <c r="K361" s="1789"/>
      <c r="L361" s="1789"/>
      <c r="M361" s="1789"/>
      <c r="N361" s="1789"/>
    </row>
    <row r="362" ht="15" customHeight="1">
      <c r="A362" t="s" s="1799">
        <v>2931</v>
      </c>
      <c r="B362" t="s" s="1800">
        <v>2932</v>
      </c>
      <c r="C362" s="1801">
        <v>51520000</v>
      </c>
      <c r="D362" s="1801">
        <v>0</v>
      </c>
      <c r="E362" s="1801"/>
      <c r="F362" t="s" s="1799">
        <v>2452</v>
      </c>
      <c r="G362" s="1789"/>
      <c r="H362" s="1801" cm="1">
        <f t="array" ref="H362">C362-D362</f>
        <v>51520000</v>
      </c>
      <c r="I362" s="1789"/>
      <c r="J362" s="1789"/>
      <c r="K362" s="1789"/>
      <c r="L362" s="1789"/>
      <c r="M362" s="1789"/>
      <c r="N362" s="1789"/>
    </row>
    <row r="363" ht="15" customHeight="1">
      <c r="A363" t="s" s="1799">
        <v>2933</v>
      </c>
      <c r="B363" t="s" s="1800">
        <v>2934</v>
      </c>
      <c r="C363" s="1801">
        <v>50000000</v>
      </c>
      <c r="D363" s="1801">
        <v>0</v>
      </c>
      <c r="E363" s="1801"/>
      <c r="F363" t="s" s="1799">
        <v>2452</v>
      </c>
      <c r="G363" s="1789"/>
      <c r="H363" s="1801" cm="1">
        <f t="array" ref="H363">C363-D363</f>
        <v>50000000</v>
      </c>
      <c r="I363" s="1789"/>
      <c r="J363" s="1789"/>
      <c r="K363" s="1789"/>
      <c r="L363" s="1789"/>
      <c r="M363" s="1789"/>
      <c r="N363" s="1789"/>
    </row>
    <row r="364" ht="15" customHeight="1">
      <c r="A364" t="s" s="1799">
        <v>2935</v>
      </c>
      <c r="B364" t="s" s="1800">
        <v>2936</v>
      </c>
      <c r="C364" s="1801">
        <v>103246791.8</v>
      </c>
      <c r="D364" s="1801">
        <v>0</v>
      </c>
      <c r="E364" s="1801"/>
      <c r="F364" t="s" s="1799">
        <v>2452</v>
      </c>
      <c r="G364" s="1789"/>
      <c r="H364" s="1801" cm="1">
        <f t="array" ref="H364">C364-D364</f>
        <v>103246791.8</v>
      </c>
      <c r="I364" s="1789"/>
      <c r="J364" s="1789"/>
      <c r="K364" s="1789"/>
      <c r="L364" s="1789"/>
      <c r="M364" s="1789"/>
      <c r="N364" s="1789"/>
    </row>
    <row r="365" ht="15" customHeight="1">
      <c r="A365" t="s" s="1799">
        <v>2937</v>
      </c>
      <c r="B365" t="s" s="1800">
        <v>2938</v>
      </c>
      <c r="C365" s="1801">
        <v>271700000</v>
      </c>
      <c r="D365" s="1801">
        <v>0</v>
      </c>
      <c r="E365" s="1801"/>
      <c r="F365" t="s" s="1799">
        <v>2452</v>
      </c>
      <c r="G365" s="1789"/>
      <c r="H365" s="1801" cm="1">
        <f t="array" ref="H365">C365-D365</f>
        <v>271700000</v>
      </c>
      <c r="I365" s="1789"/>
      <c r="J365" s="1789"/>
      <c r="K365" s="1789"/>
      <c r="L365" s="1789"/>
      <c r="M365" s="1789"/>
      <c r="N365" s="1789"/>
    </row>
    <row r="366" ht="15" customHeight="1">
      <c r="A366" t="s" s="1799">
        <v>2939</v>
      </c>
      <c r="B366" t="s" s="1800">
        <v>2940</v>
      </c>
      <c r="C366" s="1801">
        <v>300000</v>
      </c>
      <c r="D366" s="1801">
        <v>0</v>
      </c>
      <c r="E366" s="1801"/>
      <c r="F366" t="s" s="1799">
        <v>2452</v>
      </c>
      <c r="G366" s="1789"/>
      <c r="H366" s="1801" cm="1">
        <f t="array" ref="H366">C366-D366</f>
        <v>300000</v>
      </c>
      <c r="I366" s="1789"/>
      <c r="J366" s="1789"/>
      <c r="K366" s="1789"/>
      <c r="L366" s="1789"/>
      <c r="M366" s="1789"/>
      <c r="N366" s="1789"/>
    </row>
    <row r="367" ht="15" customHeight="1">
      <c r="A367" t="s" s="1799">
        <v>2941</v>
      </c>
      <c r="B367" t="s" s="1800">
        <v>2942</v>
      </c>
      <c r="C367" s="1801">
        <v>0</v>
      </c>
      <c r="D367" s="1801">
        <v>0</v>
      </c>
      <c r="E367" s="1801"/>
      <c r="F367" s="1801"/>
      <c r="G367" s="1789"/>
      <c r="H367" s="1801" cm="1">
        <f t="array" ref="H367">C367-D367</f>
        <v>0</v>
      </c>
      <c r="I367" s="1789"/>
      <c r="J367" s="1789"/>
      <c r="K367" s="1789"/>
      <c r="L367" s="1789"/>
      <c r="M367" s="1789"/>
      <c r="N367" s="1789"/>
    </row>
    <row r="368" ht="15" customHeight="1">
      <c r="A368" t="s" s="1799">
        <v>2943</v>
      </c>
      <c r="B368" t="s" s="1800">
        <v>2944</v>
      </c>
      <c r="C368" s="1801">
        <v>50000000</v>
      </c>
      <c r="D368" s="1801">
        <v>0</v>
      </c>
      <c r="E368" s="1801"/>
      <c r="F368" t="s" s="1799">
        <v>2452</v>
      </c>
      <c r="G368" s="1789"/>
      <c r="H368" s="1801" cm="1">
        <f t="array" ref="H368">C368-D368</f>
        <v>50000000</v>
      </c>
      <c r="I368" s="1789"/>
      <c r="J368" s="1789"/>
      <c r="K368" s="1789"/>
      <c r="L368" s="1789"/>
      <c r="M368" s="1789"/>
      <c r="N368" s="1789"/>
    </row>
    <row r="369" ht="15" customHeight="1">
      <c r="A369" t="s" s="1799">
        <v>2945</v>
      </c>
      <c r="B369" t="s" s="1800">
        <v>2946</v>
      </c>
      <c r="C369" s="1801">
        <v>2410837</v>
      </c>
      <c r="D369" s="1801">
        <v>0</v>
      </c>
      <c r="E369" s="1801"/>
      <c r="F369" t="s" s="1799">
        <v>2452</v>
      </c>
      <c r="G369" s="1789"/>
      <c r="H369" s="1801" cm="1">
        <f t="array" ref="H369">C369-D369</f>
        <v>2410837</v>
      </c>
      <c r="I369" s="1789"/>
      <c r="J369" s="1789"/>
      <c r="K369" s="1789"/>
      <c r="L369" s="1789"/>
      <c r="M369" s="1789"/>
      <c r="N369" s="1789"/>
    </row>
    <row r="370" ht="15" customHeight="1">
      <c r="A370" t="s" s="1799">
        <v>2947</v>
      </c>
      <c r="B370" t="s" s="1800">
        <v>2948</v>
      </c>
      <c r="C370" s="1801">
        <v>5000000</v>
      </c>
      <c r="D370" s="1801">
        <v>0</v>
      </c>
      <c r="E370" s="1801"/>
      <c r="F370" t="s" s="1799">
        <v>2452</v>
      </c>
      <c r="G370" s="1789"/>
      <c r="H370" s="1801" cm="1">
        <f t="array" ref="H370">C370-D370</f>
        <v>5000000</v>
      </c>
      <c r="I370" s="1789"/>
      <c r="J370" s="1789"/>
      <c r="K370" s="1789"/>
      <c r="L370" s="1789"/>
      <c r="M370" s="1789"/>
      <c r="N370" s="1789"/>
    </row>
    <row r="371" ht="15" customHeight="1">
      <c r="A371" t="s" s="1799">
        <v>2949</v>
      </c>
      <c r="B371" t="s" s="1800">
        <v>2950</v>
      </c>
      <c r="C371" s="1801">
        <v>39500000</v>
      </c>
      <c r="D371" s="1801">
        <v>0</v>
      </c>
      <c r="E371" s="1801"/>
      <c r="F371" t="s" s="1799">
        <v>2452</v>
      </c>
      <c r="G371" s="1789"/>
      <c r="H371" s="1801" cm="1">
        <f t="array" ref="H371">C371-D371</f>
        <v>39500000</v>
      </c>
      <c r="I371" s="1789"/>
      <c r="J371" s="1789"/>
      <c r="K371" s="1789"/>
      <c r="L371" s="1789"/>
      <c r="M371" s="1789"/>
      <c r="N371" s="1789"/>
    </row>
    <row r="372" ht="15" customHeight="1">
      <c r="A372" t="s" s="1799">
        <v>2951</v>
      </c>
      <c r="B372" t="s" s="1800">
        <v>2952</v>
      </c>
      <c r="C372" s="1801">
        <v>10000</v>
      </c>
      <c r="D372" s="1801">
        <v>0</v>
      </c>
      <c r="E372" s="1801"/>
      <c r="F372" t="s" s="1799">
        <v>2452</v>
      </c>
      <c r="G372" s="1789"/>
      <c r="H372" s="1801" cm="1">
        <f t="array" ref="H372">C372-D372</f>
        <v>10000</v>
      </c>
      <c r="I372" s="1789"/>
      <c r="J372" s="1789"/>
      <c r="K372" s="1789"/>
      <c r="L372" s="1789"/>
      <c r="M372" s="1789"/>
      <c r="N372" s="1789"/>
    </row>
    <row r="373" ht="15" customHeight="1">
      <c r="A373" t="s" s="1799">
        <v>2953</v>
      </c>
      <c r="B373" t="s" s="1800">
        <v>2954</v>
      </c>
      <c r="C373" s="1801">
        <v>25000000</v>
      </c>
      <c r="D373" s="1801">
        <v>0</v>
      </c>
      <c r="E373" s="1801"/>
      <c r="F373" t="s" s="1799">
        <v>2452</v>
      </c>
      <c r="G373" s="1789"/>
      <c r="H373" s="1801" cm="1">
        <f t="array" ref="H373">C373-D373</f>
        <v>25000000</v>
      </c>
      <c r="I373" s="1789"/>
      <c r="J373" s="1789"/>
      <c r="K373" s="1789"/>
      <c r="L373" s="1789"/>
      <c r="M373" s="1789"/>
      <c r="N373" s="1789"/>
    </row>
    <row r="374" ht="15" customHeight="1">
      <c r="A374" t="s" s="1799">
        <v>2955</v>
      </c>
      <c r="B374" t="s" s="1800">
        <v>2956</v>
      </c>
      <c r="C374" s="1801">
        <v>35000000</v>
      </c>
      <c r="D374" s="1801">
        <v>0</v>
      </c>
      <c r="E374" s="1801"/>
      <c r="F374" t="s" s="1799">
        <v>2452</v>
      </c>
      <c r="G374" s="1789"/>
      <c r="H374" s="1801" cm="1">
        <f t="array" ref="H374">C374-D374</f>
        <v>35000000</v>
      </c>
      <c r="I374" s="1789"/>
      <c r="J374" s="1789"/>
      <c r="K374" s="1789"/>
      <c r="L374" s="1789"/>
      <c r="M374" s="1789"/>
      <c r="N374" s="1789"/>
    </row>
    <row r="375" ht="15" customHeight="1">
      <c r="A375" t="s" s="1799">
        <v>2957</v>
      </c>
      <c r="B375" t="s" s="1800">
        <v>2958</v>
      </c>
      <c r="C375" s="1801">
        <v>6500000</v>
      </c>
      <c r="D375" s="1801">
        <v>0</v>
      </c>
      <c r="E375" s="1801"/>
      <c r="F375" t="s" s="1799">
        <v>2452</v>
      </c>
      <c r="G375" s="1789"/>
      <c r="H375" s="1801" cm="1">
        <f t="array" ref="H375">C375-D375</f>
        <v>6500000</v>
      </c>
      <c r="I375" s="1789"/>
      <c r="J375" s="1789"/>
      <c r="K375" s="1789"/>
      <c r="L375" s="1789"/>
      <c r="M375" s="1789"/>
      <c r="N375" s="1789"/>
    </row>
    <row r="376" ht="15" customHeight="1">
      <c r="A376" t="s" s="1799">
        <v>2959</v>
      </c>
      <c r="B376" t="s" s="1800">
        <v>2960</v>
      </c>
      <c r="C376" s="1801">
        <v>27690000</v>
      </c>
      <c r="D376" s="1801">
        <v>0</v>
      </c>
      <c r="E376" s="1801"/>
      <c r="F376" t="s" s="1799">
        <v>2452</v>
      </c>
      <c r="G376" s="1789"/>
      <c r="H376" s="1801" cm="1">
        <f t="array" ref="H376">C376-D376</f>
        <v>27690000</v>
      </c>
      <c r="I376" s="1789"/>
      <c r="J376" s="1789"/>
      <c r="K376" s="1789"/>
      <c r="L376" s="1789"/>
      <c r="M376" s="1789"/>
      <c r="N376" s="1789"/>
    </row>
    <row r="377" ht="15" customHeight="1">
      <c r="A377" t="s" s="1799">
        <v>2961</v>
      </c>
      <c r="B377" t="s" s="1800">
        <v>2962</v>
      </c>
      <c r="C377" s="1801">
        <v>61000000</v>
      </c>
      <c r="D377" s="1801">
        <v>0</v>
      </c>
      <c r="E377" s="1801"/>
      <c r="F377" t="s" s="1799">
        <v>2452</v>
      </c>
      <c r="G377" s="1789"/>
      <c r="H377" s="1801" cm="1">
        <f t="array" ref="H377">C377-D377</f>
        <v>61000000</v>
      </c>
      <c r="I377" s="1789"/>
      <c r="J377" s="1789"/>
      <c r="K377" s="1789"/>
      <c r="L377" s="1789"/>
      <c r="M377" s="1789"/>
      <c r="N377" s="1789"/>
    </row>
    <row r="378" ht="15" customHeight="1">
      <c r="A378" t="s" s="1799">
        <v>2963</v>
      </c>
      <c r="B378" t="s" s="1800">
        <v>2964</v>
      </c>
      <c r="C378" s="1801">
        <v>37000000</v>
      </c>
      <c r="D378" s="1801">
        <v>0</v>
      </c>
      <c r="E378" s="1801"/>
      <c r="F378" t="s" s="1799">
        <v>2452</v>
      </c>
      <c r="G378" s="1789"/>
      <c r="H378" s="1801" cm="1">
        <f t="array" ref="H378">C378-D378</f>
        <v>37000000</v>
      </c>
      <c r="I378" s="1789"/>
      <c r="J378" s="1789"/>
      <c r="K378" s="1789"/>
      <c r="L378" s="1789"/>
      <c r="M378" s="1789"/>
      <c r="N378" s="1789"/>
    </row>
    <row r="379" ht="15" customHeight="1">
      <c r="A379" t="s" s="1799">
        <v>2965</v>
      </c>
      <c r="B379" t="s" s="1800">
        <v>2930</v>
      </c>
      <c r="C379" s="1801">
        <v>16000000</v>
      </c>
      <c r="D379" s="1801">
        <v>0</v>
      </c>
      <c r="E379" s="1801"/>
      <c r="F379" t="s" s="1799">
        <v>2452</v>
      </c>
      <c r="G379" s="1789"/>
      <c r="H379" s="1801" cm="1">
        <f t="array" ref="H379">C379-D379</f>
        <v>16000000</v>
      </c>
      <c r="I379" s="1789"/>
      <c r="J379" s="1789"/>
      <c r="K379" s="1789"/>
      <c r="L379" s="1789"/>
      <c r="M379" s="1789"/>
      <c r="N379" s="1789"/>
    </row>
    <row r="380" ht="15" customHeight="1">
      <c r="A380" t="s" s="1799">
        <v>2966</v>
      </c>
      <c r="B380" t="s" s="1800">
        <v>2967</v>
      </c>
      <c r="C380" s="1801">
        <v>58000000</v>
      </c>
      <c r="D380" s="1801">
        <v>0</v>
      </c>
      <c r="E380" s="1801"/>
      <c r="F380" t="s" s="1799">
        <v>2452</v>
      </c>
      <c r="G380" s="1789"/>
      <c r="H380" s="1801" cm="1">
        <f t="array" ref="H380">C380-D380</f>
        <v>58000000</v>
      </c>
      <c r="I380" s="1789"/>
      <c r="J380" s="1789"/>
      <c r="K380" s="1789"/>
      <c r="L380" s="1789"/>
      <c r="M380" s="1789"/>
      <c r="N380" s="1789"/>
    </row>
    <row r="381" ht="15" customHeight="1">
      <c r="A381" t="s" s="1799">
        <v>2968</v>
      </c>
      <c r="B381" t="s" s="1800">
        <v>2969</v>
      </c>
      <c r="C381" s="1801">
        <v>10000000</v>
      </c>
      <c r="D381" s="1801">
        <v>0</v>
      </c>
      <c r="E381" s="1801"/>
      <c r="F381" t="s" s="1799">
        <v>2452</v>
      </c>
      <c r="G381" s="1789"/>
      <c r="H381" s="1801" cm="1">
        <f t="array" ref="H381">C381-D381</f>
        <v>10000000</v>
      </c>
      <c r="I381" s="1789"/>
      <c r="J381" s="1789"/>
      <c r="K381" s="1789"/>
      <c r="L381" s="1789"/>
      <c r="M381" s="1789"/>
      <c r="N381" s="1789"/>
    </row>
    <row r="382" ht="15" customHeight="1">
      <c r="A382" t="s" s="1799">
        <v>2970</v>
      </c>
      <c r="B382" t="s" s="1800">
        <v>2971</v>
      </c>
      <c r="C382" s="1801">
        <v>29000000</v>
      </c>
      <c r="D382" s="1801">
        <v>0</v>
      </c>
      <c r="E382" s="1801"/>
      <c r="F382" t="s" s="1799">
        <v>2452</v>
      </c>
      <c r="G382" s="1789"/>
      <c r="H382" s="1801" cm="1">
        <f t="array" ref="H382">C382-D382</f>
        <v>29000000</v>
      </c>
      <c r="I382" s="1789"/>
      <c r="J382" s="1789"/>
      <c r="K382" s="1789"/>
      <c r="L382" s="1789"/>
      <c r="M382" s="1789"/>
      <c r="N382" s="1789"/>
    </row>
    <row r="383" ht="15" customHeight="1">
      <c r="A383" t="s" s="1799">
        <v>2972</v>
      </c>
      <c r="B383" t="s" s="1800">
        <v>2973</v>
      </c>
      <c r="C383" s="1801">
        <v>28000000</v>
      </c>
      <c r="D383" s="1801">
        <v>0</v>
      </c>
      <c r="E383" s="1801"/>
      <c r="F383" t="s" s="1799">
        <v>2452</v>
      </c>
      <c r="G383" s="1789"/>
      <c r="H383" s="1801" cm="1">
        <f t="array" ref="H383">C383-D383</f>
        <v>28000000</v>
      </c>
      <c r="I383" s="1789"/>
      <c r="J383" s="1789"/>
      <c r="K383" s="1789"/>
      <c r="L383" s="1789"/>
      <c r="M383" s="1789"/>
      <c r="N383" s="1789"/>
    </row>
    <row r="384" ht="15" customHeight="1">
      <c r="A384" t="s" s="1799">
        <v>2974</v>
      </c>
      <c r="B384" t="s" s="1800">
        <v>2975</v>
      </c>
      <c r="C384" s="1801">
        <v>26000000</v>
      </c>
      <c r="D384" s="1801">
        <v>26000000</v>
      </c>
      <c r="E384" s="1801"/>
      <c r="F384" t="s" s="1799">
        <v>2452</v>
      </c>
      <c r="G384" s="1789"/>
      <c r="H384" s="1801" cm="1">
        <f t="array" ref="H384">C384-D384</f>
        <v>0</v>
      </c>
      <c r="I384" s="1789"/>
      <c r="J384" s="1789"/>
      <c r="K384" s="1789"/>
      <c r="L384" s="1789"/>
      <c r="M384" s="1789"/>
      <c r="N384" s="1789"/>
    </row>
    <row r="385" ht="15" customHeight="1">
      <c r="A385" t="s" s="1799">
        <v>2976</v>
      </c>
      <c r="B385" t="s" s="1800">
        <v>2977</v>
      </c>
      <c r="C385" s="1801">
        <v>69500000</v>
      </c>
      <c r="D385" s="1801">
        <v>0</v>
      </c>
      <c r="E385" s="1801"/>
      <c r="F385" t="s" s="1799">
        <v>2452</v>
      </c>
      <c r="G385" s="1789"/>
      <c r="H385" s="1801" cm="1">
        <f t="array" ref="H385">C385-D385</f>
        <v>69500000</v>
      </c>
      <c r="I385" s="1789"/>
      <c r="J385" s="1789"/>
      <c r="K385" s="1789"/>
      <c r="L385" s="1789"/>
      <c r="M385" s="1789"/>
      <c r="N385" s="1789"/>
    </row>
    <row r="386" ht="15" customHeight="1">
      <c r="A386" t="s" s="1799">
        <v>2978</v>
      </c>
      <c r="B386" t="s" s="1800">
        <v>2979</v>
      </c>
      <c r="C386" s="1801">
        <v>0</v>
      </c>
      <c r="D386" s="1801">
        <v>0</v>
      </c>
      <c r="E386" s="1801"/>
      <c r="F386" t="s" s="1799">
        <v>2452</v>
      </c>
      <c r="G386" s="1789"/>
      <c r="H386" s="1801" cm="1">
        <f t="array" ref="H386">C386-D386</f>
        <v>0</v>
      </c>
      <c r="I386" s="1789"/>
      <c r="J386" s="1789"/>
      <c r="K386" s="1789"/>
      <c r="L386" s="1789"/>
      <c r="M386" s="1789"/>
      <c r="N386" s="1789"/>
    </row>
    <row r="387" ht="15" customHeight="1">
      <c r="A387" t="s" s="1799">
        <v>2980</v>
      </c>
      <c r="B387" t="s" s="1800">
        <v>2981</v>
      </c>
      <c r="C387" s="1801">
        <v>30000000</v>
      </c>
      <c r="D387" s="1801">
        <v>0</v>
      </c>
      <c r="E387" s="1801"/>
      <c r="F387" t="s" s="1799">
        <v>2452</v>
      </c>
      <c r="G387" s="1789"/>
      <c r="H387" s="1801" cm="1">
        <f t="array" ref="H387">C387-D387</f>
        <v>30000000</v>
      </c>
      <c r="I387" s="1789"/>
      <c r="J387" s="1789"/>
      <c r="K387" s="1789"/>
      <c r="L387" s="1789"/>
      <c r="M387" s="1789"/>
      <c r="N387" s="1789"/>
    </row>
    <row r="388" ht="15" customHeight="1">
      <c r="A388" t="s" s="1799">
        <v>2982</v>
      </c>
      <c r="B388" t="s" s="1800">
        <v>2254</v>
      </c>
      <c r="C388" s="1801">
        <v>5500000</v>
      </c>
      <c r="D388" s="1801">
        <v>0</v>
      </c>
      <c r="E388" s="1801"/>
      <c r="F388" s="1801"/>
      <c r="G388" s="1789"/>
      <c r="H388" s="1801" cm="1">
        <f t="array" ref="H388">C388-D388</f>
        <v>5500000</v>
      </c>
      <c r="I388" s="1789"/>
      <c r="J388" s="1789"/>
      <c r="K388" s="1789"/>
      <c r="L388" s="1789"/>
      <c r="M388" s="1789"/>
      <c r="N388" s="1789"/>
    </row>
    <row r="389" ht="15" customHeight="1">
      <c r="A389" t="s" s="1799">
        <v>2983</v>
      </c>
      <c r="B389" t="s" s="1800">
        <v>2984</v>
      </c>
      <c r="C389" s="1801">
        <v>500000</v>
      </c>
      <c r="D389" s="1801">
        <v>0</v>
      </c>
      <c r="E389" s="1801"/>
      <c r="F389" t="s" s="1799">
        <v>2452</v>
      </c>
      <c r="G389" s="1789"/>
      <c r="H389" s="1801" cm="1">
        <f t="array" ref="H389">C389-D389</f>
        <v>500000</v>
      </c>
      <c r="I389" s="1789"/>
      <c r="J389" s="1789"/>
      <c r="K389" s="1789"/>
      <c r="L389" s="1789"/>
      <c r="M389" s="1789"/>
      <c r="N389" s="1789"/>
    </row>
    <row r="390" ht="15" customHeight="1">
      <c r="A390" t="s" s="1799">
        <v>2985</v>
      </c>
      <c r="B390" t="s" s="1800">
        <v>2986</v>
      </c>
      <c r="C390" s="1801">
        <v>7870000000</v>
      </c>
      <c r="D390" s="1801">
        <v>2500000000</v>
      </c>
      <c r="E390" s="1801"/>
      <c r="F390" s="1789"/>
      <c r="G390" s="1789"/>
      <c r="H390" s="1801" cm="1">
        <f t="array" ref="H390">C390-D390</f>
        <v>5370000000</v>
      </c>
      <c r="I390" s="1789"/>
      <c r="J390" s="1789"/>
      <c r="K390" s="1789"/>
      <c r="L390" s="1789"/>
      <c r="M390" s="1789"/>
      <c r="N390" s="1789"/>
    </row>
    <row r="391" ht="13.5" customHeight="1">
      <c r="A391" s="1789"/>
      <c r="B391" t="s" s="1814">
        <v>2987</v>
      </c>
      <c r="C391" s="1801">
        <v>64824022658.58</v>
      </c>
      <c r="D391" s="1801">
        <v>37671676551.78</v>
      </c>
      <c r="E391" s="1801"/>
      <c r="F391" s="1801"/>
      <c r="G391" s="1801"/>
      <c r="H391" s="1801" cm="1">
        <f t="array" ref="H391">C391-D391</f>
        <v>27152346106.8</v>
      </c>
      <c r="I391" s="1789"/>
      <c r="J391" s="1789"/>
      <c r="K391" s="1789"/>
      <c r="L391" s="1789"/>
      <c r="M391" s="1789"/>
      <c r="N391" s="1789"/>
    </row>
    <row r="392" ht="15" customHeight="1">
      <c r="A392" s="1789"/>
      <c r="B392" t="s" s="1800">
        <v>2270</v>
      </c>
      <c r="C392" s="1801">
        <v>3078106211.03</v>
      </c>
      <c r="D392" s="1801">
        <v>2710796908.48</v>
      </c>
      <c r="E392" s="1801"/>
      <c r="F392" s="1801"/>
      <c r="G392" s="1789"/>
      <c r="H392" s="1801" cm="1">
        <f t="array" ref="H392">C392-D392</f>
        <v>367309302.55</v>
      </c>
      <c r="I392" s="1789"/>
      <c r="J392" s="1789"/>
      <c r="K392" s="1789"/>
      <c r="L392" s="1789"/>
      <c r="M392" s="1789"/>
      <c r="N392" s="1789"/>
    </row>
    <row r="393" ht="15" customHeight="1">
      <c r="A393" t="s" s="1799">
        <v>2988</v>
      </c>
      <c r="B393" t="s" s="1800">
        <v>2989</v>
      </c>
      <c r="C393" s="1801">
        <v>1512525015</v>
      </c>
      <c r="D393" s="1801">
        <v>1644372003.5</v>
      </c>
      <c r="E393" t="s" s="1799">
        <v>2275</v>
      </c>
      <c r="F393" s="1801"/>
      <c r="G393" s="1789"/>
      <c r="H393" s="1801" cm="1">
        <f t="array" ref="H393">C393-D393</f>
        <v>-131846988.5</v>
      </c>
      <c r="I393" s="1789"/>
      <c r="J393" s="1789"/>
      <c r="K393" s="1789"/>
      <c r="L393" s="1789"/>
      <c r="M393" s="1789"/>
      <c r="N393" s="1789"/>
    </row>
    <row r="394" ht="15" customHeight="1">
      <c r="A394" t="s" s="1799">
        <v>2990</v>
      </c>
      <c r="B394" t="s" s="1800">
        <v>2991</v>
      </c>
      <c r="C394" s="1801">
        <v>349599750</v>
      </c>
      <c r="D394" s="1801">
        <v>55626000</v>
      </c>
      <c r="E394" t="s" s="1799">
        <v>2275</v>
      </c>
      <c r="F394" s="1801"/>
      <c r="G394" s="1789"/>
      <c r="H394" s="1801" cm="1">
        <f t="array" ref="H394">C394-D394</f>
        <v>293973750</v>
      </c>
      <c r="I394" s="1789"/>
      <c r="J394" s="1789"/>
      <c r="K394" s="1789"/>
      <c r="L394" s="1789"/>
      <c r="M394" s="1789"/>
      <c r="N394" s="1789"/>
    </row>
    <row r="395" ht="15" customHeight="1">
      <c r="A395" t="s" s="1799">
        <v>2992</v>
      </c>
      <c r="B395" t="s" s="1800">
        <v>2993</v>
      </c>
      <c r="C395" s="1801">
        <v>750000</v>
      </c>
      <c r="D395" s="1801">
        <v>750000</v>
      </c>
      <c r="E395" s="1801"/>
      <c r="F395" s="1801"/>
      <c r="G395" s="1789"/>
      <c r="H395" s="1801" cm="1">
        <f t="array" ref="H395">C395-D395</f>
        <v>0</v>
      </c>
      <c r="I395" s="1789"/>
      <c r="J395" s="1789"/>
      <c r="K395" s="1789"/>
      <c r="L395" s="1789"/>
      <c r="M395" s="1789"/>
      <c r="N395" s="1789"/>
    </row>
    <row r="396" ht="15" customHeight="1">
      <c r="A396" t="s" s="1799">
        <v>2994</v>
      </c>
      <c r="B396" t="s" s="1800">
        <v>2995</v>
      </c>
      <c r="C396" s="1801">
        <v>2742500</v>
      </c>
      <c r="D396" s="1801">
        <v>0</v>
      </c>
      <c r="E396" s="1801"/>
      <c r="F396" s="1801"/>
      <c r="G396" s="1789"/>
      <c r="H396" s="1801" cm="1">
        <f t="array" ref="H396">C396-D396</f>
        <v>2742500</v>
      </c>
      <c r="I396" s="1789"/>
      <c r="J396" s="1789"/>
      <c r="K396" s="1789"/>
      <c r="L396" s="1789"/>
      <c r="M396" s="1789"/>
      <c r="N396" s="1789"/>
    </row>
    <row r="397" ht="15" customHeight="1">
      <c r="A397" t="s" s="1799">
        <v>2996</v>
      </c>
      <c r="B397" t="s" s="1800">
        <v>2997</v>
      </c>
      <c r="C397" s="1801">
        <v>50000000</v>
      </c>
      <c r="D397" s="1801">
        <v>0</v>
      </c>
      <c r="E397" s="1801"/>
      <c r="F397" s="1801"/>
      <c r="G397" s="1789"/>
      <c r="H397" s="1801" cm="1">
        <f t="array" ref="H397">C397-D397</f>
        <v>50000000</v>
      </c>
      <c r="I397" s="1789"/>
      <c r="J397" s="1789"/>
      <c r="K397" s="1789"/>
      <c r="L397" s="1789"/>
      <c r="M397" s="1789"/>
      <c r="N397" s="1789"/>
    </row>
    <row r="398" ht="15" customHeight="1">
      <c r="A398" t="s" s="1799">
        <v>2998</v>
      </c>
      <c r="B398" t="s" s="1800">
        <v>2999</v>
      </c>
      <c r="C398" s="1801">
        <v>129716049.4</v>
      </c>
      <c r="D398" s="1801">
        <v>472752823.45</v>
      </c>
      <c r="E398" s="1801"/>
      <c r="F398" s="1801"/>
      <c r="G398" s="1789"/>
      <c r="H398" s="1801" cm="1">
        <f t="array" ref="H398">C398-D398</f>
        <v>-343036774.05</v>
      </c>
      <c r="I398" s="1789"/>
      <c r="J398" s="1789"/>
      <c r="K398" s="1789"/>
      <c r="L398" s="1789"/>
      <c r="M398" s="1789"/>
      <c r="N398" s="1789"/>
    </row>
    <row r="399" ht="15" customHeight="1">
      <c r="A399" t="s" s="1799">
        <v>3000</v>
      </c>
      <c r="B399" t="s" s="1800">
        <v>3001</v>
      </c>
      <c r="C399" s="1801">
        <v>15608500</v>
      </c>
      <c r="D399" s="1801">
        <v>83451750</v>
      </c>
      <c r="E399" s="1801"/>
      <c r="F399" s="1801"/>
      <c r="G399" s="1789"/>
      <c r="H399" s="1801" cm="1">
        <f t="array" ref="H399">C399-D399</f>
        <v>-67843250</v>
      </c>
      <c r="I399" s="1789"/>
      <c r="J399" s="1789"/>
      <c r="K399" s="1789"/>
      <c r="L399" s="1789"/>
      <c r="M399" s="1789"/>
      <c r="N399" s="1789"/>
    </row>
    <row r="400" ht="15" customHeight="1">
      <c r="A400" t="s" s="1799">
        <v>3002</v>
      </c>
      <c r="B400" t="s" s="1800">
        <v>3003</v>
      </c>
      <c r="C400" s="1801">
        <v>-3336000</v>
      </c>
      <c r="D400" s="1801">
        <v>10876000</v>
      </c>
      <c r="E400" s="1801"/>
      <c r="F400" s="1801"/>
      <c r="G400" s="1789"/>
      <c r="H400" s="1801" cm="1">
        <f t="array" ref="H400">C400-D400</f>
        <v>-14212000</v>
      </c>
      <c r="I400" s="1789"/>
      <c r="J400" s="1789"/>
      <c r="K400" s="1789"/>
      <c r="L400" s="1789"/>
      <c r="M400" s="1789"/>
      <c r="N400" s="1789"/>
    </row>
    <row r="401" ht="15" customHeight="1">
      <c r="A401" t="s" s="1799">
        <v>3004</v>
      </c>
      <c r="B401" t="s" s="1800">
        <v>3005</v>
      </c>
      <c r="C401" s="1801">
        <v>2460000</v>
      </c>
      <c r="D401" s="1801">
        <v>58249750</v>
      </c>
      <c r="E401" s="1801"/>
      <c r="F401" s="1801"/>
      <c r="G401" s="1789"/>
      <c r="H401" s="1801" cm="1">
        <f t="array" ref="H401">C401-D401</f>
        <v>-55789750</v>
      </c>
      <c r="I401" s="1789"/>
      <c r="J401" s="1789"/>
      <c r="K401" s="1789"/>
      <c r="L401" s="1789"/>
      <c r="M401" s="1789"/>
      <c r="N401" s="1789"/>
    </row>
    <row r="402" ht="15" customHeight="1">
      <c r="A402" t="s" s="1799">
        <v>3006</v>
      </c>
      <c r="B402" t="s" s="1800">
        <v>3007</v>
      </c>
      <c r="C402" s="1801">
        <v>4700150.07</v>
      </c>
      <c r="D402" s="1801">
        <v>86070490</v>
      </c>
      <c r="E402" s="1801"/>
      <c r="F402" s="1801"/>
      <c r="G402" s="1789"/>
      <c r="H402" s="1801" cm="1">
        <f t="array" ref="H402">C402-D402</f>
        <v>-81370339.93000001</v>
      </c>
      <c r="I402" s="1789"/>
      <c r="J402" s="1789"/>
      <c r="K402" s="1789"/>
      <c r="L402" s="1789"/>
      <c r="M402" s="1789"/>
      <c r="N402" s="1789"/>
    </row>
    <row r="403" ht="15" customHeight="1">
      <c r="A403" t="s" s="1799">
        <v>3008</v>
      </c>
      <c r="B403" t="s" s="1800">
        <v>3009</v>
      </c>
      <c r="C403" s="1801">
        <v>26110117.11</v>
      </c>
      <c r="D403" s="1801">
        <v>83420230.38</v>
      </c>
      <c r="E403" s="1801"/>
      <c r="F403" s="1801"/>
      <c r="G403" s="1789"/>
      <c r="H403" s="1801" cm="1">
        <f t="array" ref="H403">C403-D403</f>
        <v>-57310113.27</v>
      </c>
      <c r="I403" s="1789"/>
      <c r="J403" s="1789"/>
      <c r="K403" s="1789"/>
      <c r="L403" s="1789"/>
      <c r="M403" s="1789"/>
      <c r="N403" s="1789"/>
    </row>
    <row r="404" ht="15" customHeight="1">
      <c r="A404" t="s" s="1799">
        <v>3010</v>
      </c>
      <c r="B404" t="s" s="1800">
        <v>3011</v>
      </c>
      <c r="C404" s="1801">
        <v>317969653.13</v>
      </c>
      <c r="D404" s="1801">
        <v>215227861.15</v>
      </c>
      <c r="E404" s="1801"/>
      <c r="F404" s="1801"/>
      <c r="G404" s="1789"/>
      <c r="H404" s="1801" cm="1">
        <f t="array" ref="H404">C404-D404</f>
        <v>102741791.98</v>
      </c>
      <c r="I404" s="1789"/>
      <c r="J404" s="1789"/>
      <c r="K404" s="1789"/>
      <c r="L404" s="1789"/>
      <c r="M404" s="1789"/>
      <c r="N404" s="1789"/>
    </row>
    <row r="405" ht="15" customHeight="1">
      <c r="A405" t="s" s="1799">
        <v>3012</v>
      </c>
      <c r="B405" t="s" s="1800">
        <v>3013</v>
      </c>
      <c r="C405" s="1801">
        <v>620546807.01</v>
      </c>
      <c r="D405" s="1801">
        <v>0</v>
      </c>
      <c r="E405" s="1801"/>
      <c r="F405" s="1801"/>
      <c r="G405" s="1789"/>
      <c r="H405" s="1801" cm="1">
        <f t="array" ref="H405">C405-D405</f>
        <v>620546807.01</v>
      </c>
      <c r="I405" s="1789"/>
      <c r="J405" s="1789"/>
      <c r="K405" s="1789"/>
      <c r="L405" s="1789"/>
      <c r="M405" s="1789"/>
      <c r="N405" s="1789"/>
    </row>
    <row r="406" ht="15" customHeight="1">
      <c r="A406" t="s" s="1799">
        <v>3014</v>
      </c>
      <c r="B406" t="s" s="1800">
        <v>3015</v>
      </c>
      <c r="C406" s="1801">
        <v>0</v>
      </c>
      <c r="D406" s="1801">
        <v>0</v>
      </c>
      <c r="E406" s="1801"/>
      <c r="F406" s="1801"/>
      <c r="G406" s="1789"/>
      <c r="H406" s="1801" cm="1">
        <f t="array" ref="H406">C406-D406</f>
        <v>0</v>
      </c>
      <c r="I406" s="1789"/>
      <c r="J406" s="1789"/>
      <c r="K406" s="1789"/>
      <c r="L406" s="1789"/>
      <c r="M406" s="1789"/>
      <c r="N406" s="1789"/>
    </row>
    <row r="407" ht="15" customHeight="1">
      <c r="A407" t="s" s="1799">
        <v>3016</v>
      </c>
      <c r="B407" t="s" s="1800">
        <v>3017</v>
      </c>
      <c r="C407" s="1801">
        <v>48713669.31</v>
      </c>
      <c r="D407" s="1801">
        <v>0</v>
      </c>
      <c r="E407" s="1801"/>
      <c r="F407" s="1801"/>
      <c r="G407" s="1789"/>
      <c r="H407" s="1801" cm="1">
        <f t="array" ref="H407">C407-D407</f>
        <v>48713669.31</v>
      </c>
      <c r="I407" s="1789"/>
      <c r="J407" s="1789"/>
      <c r="K407" s="1789"/>
      <c r="L407" s="1789"/>
      <c r="M407" s="1789"/>
      <c r="N407" s="1789"/>
    </row>
    <row r="408" ht="13.5" customHeight="1">
      <c r="A408" s="1789"/>
      <c r="B408" t="s" s="1814">
        <v>3018</v>
      </c>
      <c r="C408" s="1801">
        <v>3078106211.03</v>
      </c>
      <c r="D408" s="1801">
        <v>2710796908.48</v>
      </c>
      <c r="E408" s="1801"/>
      <c r="F408" s="1801"/>
      <c r="G408" s="1801"/>
      <c r="H408" s="1801" cm="1">
        <f t="array" ref="H408">C408-D408</f>
        <v>367309302.55</v>
      </c>
      <c r="I408" s="1789"/>
      <c r="J408" s="1789"/>
      <c r="K408" s="1789"/>
      <c r="L408" s="1789"/>
      <c r="M408" s="1789"/>
      <c r="N408" s="1789"/>
    </row>
    <row r="409" ht="15" customHeight="1">
      <c r="A409" s="1789"/>
      <c r="B409" t="s" s="1800">
        <v>2203</v>
      </c>
      <c r="C409" s="1801">
        <v>0</v>
      </c>
      <c r="D409" s="1801">
        <v>0</v>
      </c>
      <c r="E409" s="1801"/>
      <c r="F409" s="1801"/>
      <c r="G409" s="1789"/>
      <c r="H409" s="1801" cm="1">
        <f t="array" ref="H409">C409-D409</f>
        <v>0</v>
      </c>
      <c r="I409" s="1789"/>
      <c r="J409" s="1789"/>
      <c r="K409" s="1789"/>
      <c r="L409" s="1789"/>
      <c r="M409" s="1789"/>
      <c r="N409" s="1789"/>
    </row>
    <row r="410" ht="15" customHeight="1">
      <c r="A410" t="s" s="1799">
        <v>3019</v>
      </c>
      <c r="B410" t="s" s="1800">
        <v>3020</v>
      </c>
      <c r="C410" s="1801">
        <v>0</v>
      </c>
      <c r="D410" s="1801">
        <v>0</v>
      </c>
      <c r="E410" s="1801"/>
      <c r="F410" s="1801"/>
      <c r="G410" s="1789"/>
      <c r="H410" s="1801" cm="1">
        <f t="array" ref="H410">C410-D410</f>
        <v>0</v>
      </c>
      <c r="I410" s="1789"/>
      <c r="J410" s="1789"/>
      <c r="K410" s="1789"/>
      <c r="L410" s="1789"/>
      <c r="M410" s="1789"/>
      <c r="N410" s="1789"/>
    </row>
    <row r="411" ht="13.5" customHeight="1">
      <c r="A411" s="1789"/>
      <c r="B411" t="s" s="1814">
        <v>3021</v>
      </c>
      <c r="C411" s="1801">
        <v>0</v>
      </c>
      <c r="D411" s="1801">
        <v>0</v>
      </c>
      <c r="E411" s="1801"/>
      <c r="F411" s="1801"/>
      <c r="G411" s="1801"/>
      <c r="H411" s="1801" cm="1">
        <f t="array" ref="H411">C411-D411</f>
        <v>0</v>
      </c>
      <c r="I411" s="1789"/>
      <c r="J411" s="1789"/>
      <c r="K411" s="1789"/>
      <c r="L411" s="1789"/>
      <c r="M411" s="1789"/>
      <c r="N411" s="1789"/>
    </row>
    <row r="412" ht="13.5" customHeight="1">
      <c r="A412" s="1789"/>
      <c r="B412" t="s" s="1814">
        <v>3018</v>
      </c>
      <c r="C412" s="1801">
        <v>76259949995.50999</v>
      </c>
      <c r="D412" s="1801">
        <v>45655263367.72</v>
      </c>
      <c r="E412" s="1801"/>
      <c r="F412" s="1801"/>
      <c r="G412" s="1801"/>
      <c r="H412" s="1801" cm="1">
        <f t="array" ref="H412">C412-D412</f>
        <v>30604686627.79</v>
      </c>
      <c r="I412" s="1789"/>
      <c r="J412" s="1789"/>
      <c r="K412" s="1789"/>
      <c r="L412" s="1789"/>
      <c r="M412" s="1789"/>
      <c r="N412" s="1789"/>
    </row>
    <row r="413" ht="15" customHeight="1">
      <c r="A413" s="1789"/>
      <c r="B413" t="s" s="1800">
        <v>3022</v>
      </c>
      <c r="C413" s="1801">
        <v>9134983397.15</v>
      </c>
      <c r="D413" s="1801">
        <v>6434536827.58</v>
      </c>
      <c r="E413" s="1801"/>
      <c r="F413" s="1801"/>
      <c r="G413" s="1789"/>
      <c r="H413" s="1801" cm="1">
        <f t="array" ref="H413">C413-D413</f>
        <v>2700446569.57</v>
      </c>
      <c r="I413" s="1789"/>
      <c r="J413" s="1789"/>
      <c r="K413" s="1789"/>
      <c r="L413" s="1789"/>
      <c r="M413" s="1789"/>
      <c r="N413" s="1789"/>
    </row>
    <row r="414" ht="15" customHeight="1">
      <c r="A414" t="s" s="1799">
        <v>3023</v>
      </c>
      <c r="B414" t="s" s="1800">
        <v>3024</v>
      </c>
      <c r="C414" s="1801">
        <v>83827229</v>
      </c>
      <c r="D414" s="1801">
        <v>83827229</v>
      </c>
      <c r="E414" s="1801"/>
      <c r="F414" s="1801"/>
      <c r="G414" s="1789"/>
      <c r="H414" s="1801" cm="1">
        <f t="array" ref="H414">C414-D414</f>
        <v>0</v>
      </c>
      <c r="I414" s="1789"/>
      <c r="J414" s="1789"/>
      <c r="K414" s="1789"/>
      <c r="L414" s="1789"/>
      <c r="M414" s="1789"/>
      <c r="N414" s="1789"/>
    </row>
    <row r="415" ht="15" customHeight="1">
      <c r="A415" t="s" s="1799">
        <v>3025</v>
      </c>
      <c r="B415" t="s" s="1800">
        <v>1126</v>
      </c>
      <c r="C415" s="1801">
        <v>168864500</v>
      </c>
      <c r="D415" s="1801">
        <v>168864500</v>
      </c>
      <c r="E415" s="1801"/>
      <c r="F415" s="1801"/>
      <c r="G415" s="1789"/>
      <c r="H415" s="1801" cm="1">
        <f t="array" ref="H415">C415-D415</f>
        <v>0</v>
      </c>
      <c r="I415" s="1789"/>
      <c r="J415" s="1789"/>
      <c r="K415" s="1789"/>
      <c r="L415" s="1789"/>
      <c r="M415" s="1789"/>
      <c r="N415" s="1789"/>
    </row>
    <row r="416" ht="15" customHeight="1">
      <c r="A416" t="s" s="1799">
        <v>3026</v>
      </c>
      <c r="B416" t="s" s="1800">
        <v>2209</v>
      </c>
      <c r="C416" s="1801">
        <v>776322871</v>
      </c>
      <c r="D416" s="1801">
        <v>445388815</v>
      </c>
      <c r="E416" s="1801"/>
      <c r="F416" s="1801"/>
      <c r="G416" s="1789"/>
      <c r="H416" s="1801" cm="1">
        <f t="array" ref="H416">C416-D416</f>
        <v>330934056</v>
      </c>
      <c r="I416" s="1789"/>
      <c r="J416" s="1789"/>
      <c r="K416" s="1789"/>
      <c r="L416" s="1789"/>
      <c r="M416" s="1789"/>
      <c r="N416" s="1789"/>
    </row>
    <row r="417" ht="15" customHeight="1">
      <c r="A417" t="s" s="1799">
        <v>3027</v>
      </c>
      <c r="B417" t="s" s="1800">
        <v>2210</v>
      </c>
      <c r="C417" s="1801">
        <v>93750000</v>
      </c>
      <c r="D417" s="1801">
        <v>93750000</v>
      </c>
      <c r="E417" s="1801"/>
      <c r="F417" s="1801"/>
      <c r="G417" s="1789"/>
      <c r="H417" s="1801" cm="1">
        <f t="array" ref="H417">C417-D417</f>
        <v>0</v>
      </c>
      <c r="I417" s="1789"/>
      <c r="J417" s="1789"/>
      <c r="K417" s="1789"/>
      <c r="L417" s="1789"/>
      <c r="M417" s="1789"/>
      <c r="N417" s="1789"/>
    </row>
    <row r="418" ht="15" customHeight="1">
      <c r="A418" t="s" s="1799">
        <v>3028</v>
      </c>
      <c r="B418" t="s" s="1800">
        <v>2211</v>
      </c>
      <c r="C418" s="1801">
        <v>361139518</v>
      </c>
      <c r="D418" s="1801">
        <v>225254267</v>
      </c>
      <c r="E418" s="1801"/>
      <c r="F418" s="1801"/>
      <c r="G418" s="1789"/>
      <c r="H418" s="1801" cm="1">
        <f t="array" ref="H418">C418-D418</f>
        <v>135885251</v>
      </c>
      <c r="I418" s="1789"/>
      <c r="J418" s="1789"/>
      <c r="K418" s="1789"/>
      <c r="L418" s="1789"/>
      <c r="M418" s="1789"/>
      <c r="N418" s="1789"/>
    </row>
    <row r="419" ht="13.5" customHeight="1">
      <c r="A419" t="s" s="1799">
        <v>3029</v>
      </c>
      <c r="B419" t="s" s="1800">
        <v>3030</v>
      </c>
      <c r="C419" s="1801">
        <v>19000000</v>
      </c>
      <c r="D419" s="1801">
        <v>19000000</v>
      </c>
      <c r="E419" s="1801"/>
      <c r="F419" s="1801"/>
      <c r="G419" s="1789"/>
      <c r="H419" s="1801" cm="1">
        <f t="array" ref="H419">C419-D419</f>
        <v>0</v>
      </c>
      <c r="I419" s="1789"/>
      <c r="J419" s="1789"/>
      <c r="K419" t="s" s="1815">
        <v>3031</v>
      </c>
      <c r="L419" s="1816"/>
      <c r="M419" s="1816"/>
      <c r="N419" s="1816"/>
    </row>
    <row r="420" ht="13.5" customHeight="1">
      <c r="A420" t="s" s="1799">
        <v>3032</v>
      </c>
      <c r="B420" t="s" s="1800">
        <v>2212</v>
      </c>
      <c r="C420" s="1801">
        <v>75507825</v>
      </c>
      <c r="D420" s="1801">
        <v>75507825</v>
      </c>
      <c r="E420" s="1801"/>
      <c r="F420" s="1801"/>
      <c r="G420" s="1789"/>
      <c r="H420" s="1801" cm="1">
        <f t="array" ref="H420">C420-D420</f>
        <v>0</v>
      </c>
      <c r="I420" s="1789"/>
      <c r="J420" s="1817"/>
      <c r="K420" t="s" s="1818">
        <v>3033</v>
      </c>
      <c r="L420" s="1819">
        <v>168117174</v>
      </c>
      <c r="M420" s="1820">
        <v>102894894</v>
      </c>
      <c r="N420" s="1821" cm="1">
        <f t="array" ref="N420">L420-M420</f>
        <v>65222280</v>
      </c>
    </row>
    <row r="421" ht="13.5" customHeight="1">
      <c r="A421" t="s" s="1799">
        <v>3034</v>
      </c>
      <c r="B421" t="s" s="1800">
        <v>3035</v>
      </c>
      <c r="C421" s="1801">
        <v>65051899</v>
      </c>
      <c r="D421" s="1801">
        <v>62081899</v>
      </c>
      <c r="E421" s="1801"/>
      <c r="F421" s="1801"/>
      <c r="G421" s="1789"/>
      <c r="H421" s="1801" cm="1">
        <f t="array" ref="H421">C421-D421</f>
        <v>2970000</v>
      </c>
      <c r="I421" s="1789"/>
      <c r="J421" s="1817"/>
      <c r="K421" t="s" s="1822">
        <v>3036</v>
      </c>
      <c r="L421" s="1823">
        <v>21500000</v>
      </c>
      <c r="M421" s="1824">
        <v>21500000</v>
      </c>
      <c r="N421" s="1821" cm="1">
        <f t="array" ref="N421">L421-M421</f>
        <v>0</v>
      </c>
    </row>
    <row r="422" ht="13.5" customHeight="1">
      <c r="A422" t="s" s="1799">
        <v>3037</v>
      </c>
      <c r="B422" t="s" s="1800">
        <v>2213</v>
      </c>
      <c r="C422" s="1801">
        <v>83089705.3</v>
      </c>
      <c r="D422" s="1801">
        <v>38617705.3</v>
      </c>
      <c r="E422" s="1801"/>
      <c r="F422" s="1801"/>
      <c r="G422" s="1789"/>
      <c r="H422" s="1801" cm="1">
        <f t="array" ref="H422">C422-D422</f>
        <v>44472000</v>
      </c>
      <c r="I422" s="1789"/>
      <c r="J422" s="1817"/>
      <c r="K422" t="s" s="1822">
        <v>3038</v>
      </c>
      <c r="L422" s="1823">
        <v>52343766</v>
      </c>
      <c r="M422" s="1824">
        <v>4478675</v>
      </c>
      <c r="N422" s="1821" cm="1">
        <f t="array" ref="N422">L422-M422</f>
        <v>47865091</v>
      </c>
    </row>
    <row r="423" ht="13.5" customHeight="1">
      <c r="A423" t="s" s="1799">
        <v>3039</v>
      </c>
      <c r="B423" t="s" s="1800">
        <v>2214</v>
      </c>
      <c r="C423" s="1801">
        <v>445000000</v>
      </c>
      <c r="D423" s="1801">
        <v>435000000</v>
      </c>
      <c r="E423" s="1801"/>
      <c r="F423" s="1801"/>
      <c r="G423" s="1789"/>
      <c r="H423" s="1801" cm="1">
        <f t="array" ref="H423">C423-D423</f>
        <v>10000000</v>
      </c>
      <c r="I423" s="1789"/>
      <c r="J423" s="1817"/>
      <c r="K423" t="s" s="1822">
        <v>3040</v>
      </c>
      <c r="L423" s="1823">
        <v>521417037</v>
      </c>
      <c r="M423" s="1825">
        <v>0</v>
      </c>
      <c r="N423" s="1821" cm="1">
        <f t="array" ref="N423">L423-M423</f>
        <v>521417037</v>
      </c>
    </row>
    <row r="424" ht="13.5" customHeight="1">
      <c r="A424" t="s" s="1799">
        <v>3041</v>
      </c>
      <c r="B424" t="s" s="1800">
        <v>2239</v>
      </c>
      <c r="C424" s="1801">
        <v>26062500</v>
      </c>
      <c r="D424" s="1801">
        <v>26062500</v>
      </c>
      <c r="E424" s="1801"/>
      <c r="F424" s="1801"/>
      <c r="G424" s="1789"/>
      <c r="H424" s="1801" cm="1">
        <f t="array" ref="H424">C424-D424</f>
        <v>0</v>
      </c>
      <c r="I424" s="1789"/>
      <c r="J424" s="1817"/>
      <c r="K424" t="s" s="1822">
        <v>3042</v>
      </c>
      <c r="L424" s="1823">
        <v>101245600</v>
      </c>
      <c r="M424" s="1824">
        <v>72000000</v>
      </c>
      <c r="N424" s="1821" cm="1">
        <f t="array" ref="N424">L424-M424</f>
        <v>29245600</v>
      </c>
    </row>
    <row r="425" ht="13.5" customHeight="1">
      <c r="A425" t="s" s="1799">
        <v>3043</v>
      </c>
      <c r="B425" t="s" s="1800">
        <v>2244</v>
      </c>
      <c r="C425" s="1801">
        <v>3001009.31</v>
      </c>
      <c r="D425" s="1801">
        <v>3001009.31</v>
      </c>
      <c r="E425" s="1801"/>
      <c r="F425" s="1801"/>
      <c r="G425" s="1789"/>
      <c r="H425" s="1801" cm="1">
        <f t="array" ref="H425">C425-D425</f>
        <v>0</v>
      </c>
      <c r="I425" s="1789"/>
      <c r="J425" s="1817"/>
      <c r="K425" t="s" s="1822">
        <v>3044</v>
      </c>
      <c r="L425" s="1823">
        <v>525000000</v>
      </c>
      <c r="M425" s="1824">
        <v>525000000</v>
      </c>
      <c r="N425" s="1821" cm="1">
        <f t="array" ref="N425">L425-M425</f>
        <v>0</v>
      </c>
    </row>
    <row r="426" ht="13.5" customHeight="1">
      <c r="A426" t="s" s="1799">
        <v>3045</v>
      </c>
      <c r="B426" t="s" s="1800">
        <v>2245</v>
      </c>
      <c r="C426" s="1801">
        <v>6125312.5</v>
      </c>
      <c r="D426" s="1801">
        <v>6125312.5</v>
      </c>
      <c r="E426" s="1801"/>
      <c r="F426" s="1801"/>
      <c r="G426" s="1789"/>
      <c r="H426" s="1801" cm="1">
        <f t="array" ref="H426">C426-D426</f>
        <v>0</v>
      </c>
      <c r="I426" s="1789"/>
      <c r="J426" s="1817"/>
      <c r="K426" t="s" s="1822">
        <v>3046</v>
      </c>
      <c r="L426" s="1823">
        <v>-20363684.54</v>
      </c>
      <c r="M426" s="1824">
        <v>-4409269.4</v>
      </c>
      <c r="N426" s="1821" cm="1">
        <f t="array" ref="N426">L426-M426</f>
        <v>-15954415.14</v>
      </c>
    </row>
    <row r="427" ht="13.5" customHeight="1">
      <c r="A427" t="s" s="1799">
        <v>3047</v>
      </c>
      <c r="B427" t="s" s="1800">
        <v>2215</v>
      </c>
      <c r="C427" s="1801">
        <v>1009672830</v>
      </c>
      <c r="D427" s="1801">
        <v>921043791</v>
      </c>
      <c r="E427" s="1801"/>
      <c r="F427" s="1801"/>
      <c r="G427" s="1789"/>
      <c r="H427" s="1801" cm="1">
        <f t="array" ref="H427">C427-D427</f>
        <v>88629039</v>
      </c>
      <c r="I427" s="1789"/>
      <c r="J427" s="1817"/>
      <c r="K427" t="s" s="1822">
        <v>3048</v>
      </c>
      <c r="L427" s="1823">
        <v>-573333.33</v>
      </c>
      <c r="M427" s="1824">
        <v>-573333.33</v>
      </c>
      <c r="N427" s="1821" cm="1">
        <f t="array" ref="N427">L427-M427</f>
        <v>0</v>
      </c>
    </row>
    <row r="428" ht="13.5" customHeight="1">
      <c r="A428" t="s" s="1799">
        <v>3049</v>
      </c>
      <c r="B428" t="s" s="1800">
        <v>3050</v>
      </c>
      <c r="C428" s="1801">
        <v>521417037</v>
      </c>
      <c r="D428" s="1801">
        <v>0</v>
      </c>
      <c r="E428" s="1801"/>
      <c r="F428" s="1801"/>
      <c r="G428" s="1789"/>
      <c r="H428" s="1801" cm="1">
        <f t="array" ref="H428">C428-D428</f>
        <v>521417037</v>
      </c>
      <c r="I428" s="1789"/>
      <c r="J428" s="1817"/>
      <c r="K428" t="s" s="1822">
        <v>3051</v>
      </c>
      <c r="L428" s="1823">
        <v>-4023425.54</v>
      </c>
      <c r="M428" s="1824">
        <v>-149594.36</v>
      </c>
      <c r="N428" s="1821" cm="1">
        <f t="array" ref="N428">L428-M428</f>
        <v>-3873831.18</v>
      </c>
    </row>
    <row r="429" ht="13.5" customHeight="1">
      <c r="A429" t="s" s="1799">
        <v>3052</v>
      </c>
      <c r="B429" t="s" s="1800">
        <v>3053</v>
      </c>
      <c r="C429" s="1801">
        <v>1395750939</v>
      </c>
      <c r="D429" s="1801">
        <v>1395750939</v>
      </c>
      <c r="E429" s="1801"/>
      <c r="F429" s="1801"/>
      <c r="G429" s="1789"/>
      <c r="H429" s="1801" cm="1">
        <f t="array" ref="H429">C429-D429</f>
        <v>0</v>
      </c>
      <c r="I429" s="1789"/>
      <c r="J429" s="1817"/>
      <c r="K429" t="s" s="1822">
        <v>3054</v>
      </c>
      <c r="L429" s="1823">
        <v>-12770470.36</v>
      </c>
      <c r="M429" s="1824">
        <v>-2450000</v>
      </c>
      <c r="N429" s="1821" cm="1">
        <f t="array" ref="N429">L429-M429</f>
        <v>-10320470.36</v>
      </c>
    </row>
    <row r="430" ht="13.5" customHeight="1">
      <c r="A430" t="s" s="1799">
        <v>3055</v>
      </c>
      <c r="B430" t="s" s="1800">
        <v>3056</v>
      </c>
      <c r="C430" s="1801">
        <v>1377996800</v>
      </c>
      <c r="D430" s="1801">
        <v>1279670000</v>
      </c>
      <c r="E430" s="1801"/>
      <c r="F430" s="1801"/>
      <c r="G430" s="1789"/>
      <c r="H430" s="1801" cm="1">
        <f t="array" ref="H430">C430-D430</f>
        <v>98326800</v>
      </c>
      <c r="I430" s="1789"/>
      <c r="J430" s="1817"/>
      <c r="K430" t="s" s="1826">
        <v>3057</v>
      </c>
      <c r="L430" s="1827">
        <v>-130053865.49</v>
      </c>
      <c r="M430" s="1828">
        <v>0</v>
      </c>
      <c r="N430" s="1829" cm="1">
        <f t="array" ref="N430">L430-M430</f>
        <v>-130053865.49</v>
      </c>
    </row>
    <row r="431" ht="15.5" customHeight="1">
      <c r="A431" t="s" s="1799">
        <v>3058</v>
      </c>
      <c r="B431" t="s" s="1800">
        <v>2208</v>
      </c>
      <c r="C431" s="1801">
        <v>1398347083</v>
      </c>
      <c r="D431" s="1801">
        <v>1146170000</v>
      </c>
      <c r="E431" s="1801"/>
      <c r="F431" s="1801"/>
      <c r="G431" s="1789"/>
      <c r="H431" s="1801" cm="1">
        <f t="array" ref="H431">C431-D431</f>
        <v>252177083</v>
      </c>
      <c r="I431" s="1789"/>
      <c r="J431" s="1789"/>
      <c r="K431" s="1830"/>
      <c r="L431" s="1830"/>
      <c r="M431" s="1830"/>
      <c r="N431" s="1659"/>
    </row>
    <row r="432" ht="15" customHeight="1">
      <c r="A432" t="s" s="1799">
        <v>3059</v>
      </c>
      <c r="B432" t="s" s="1800">
        <v>2246</v>
      </c>
      <c r="C432" s="1801">
        <v>101245600</v>
      </c>
      <c r="D432" s="1801">
        <v>72000000</v>
      </c>
      <c r="E432" s="1801"/>
      <c r="F432" s="1801"/>
      <c r="G432" s="1789"/>
      <c r="H432" s="1801" cm="1">
        <f t="array" ref="H432">C432-D432</f>
        <v>29245600</v>
      </c>
      <c r="I432" s="1789"/>
      <c r="J432" s="1789"/>
      <c r="K432" s="1789"/>
      <c r="L432" s="1789"/>
      <c r="M432" s="1789"/>
      <c r="N432" s="1789"/>
    </row>
    <row r="433" ht="15" customHeight="1">
      <c r="A433" t="s" s="1799">
        <v>3060</v>
      </c>
      <c r="B433" t="s" s="1800">
        <v>2247</v>
      </c>
      <c r="C433" s="1801">
        <v>525000000</v>
      </c>
      <c r="D433" s="1801">
        <v>525000000</v>
      </c>
      <c r="E433" s="1801"/>
      <c r="F433" s="1801"/>
      <c r="G433" s="1789"/>
      <c r="H433" s="1801" cm="1">
        <f t="array" ref="H433">C433-D433</f>
        <v>0</v>
      </c>
      <c r="I433" s="1789"/>
      <c r="J433" s="1789"/>
      <c r="K433" s="1789"/>
      <c r="L433" s="1789"/>
      <c r="M433" s="1789"/>
      <c r="N433" s="1789"/>
    </row>
    <row r="434" ht="15" customHeight="1">
      <c r="A434" t="s" s="1799">
        <v>3061</v>
      </c>
      <c r="B434" t="s" s="1800">
        <v>3062</v>
      </c>
      <c r="C434" s="1801">
        <v>1918081820</v>
      </c>
      <c r="D434" s="1801">
        <v>0</v>
      </c>
      <c r="E434" s="1801"/>
      <c r="F434" s="1801"/>
      <c r="G434" s="1789"/>
      <c r="H434" s="1801" cm="1">
        <f t="array" ref="H434">C434-D434</f>
        <v>1918081820</v>
      </c>
      <c r="I434" s="1789"/>
      <c r="J434" s="1789"/>
      <c r="K434" s="1789"/>
      <c r="L434" s="1789"/>
      <c r="M434" s="1789"/>
      <c r="N434" s="1789"/>
    </row>
    <row r="435" ht="15" customHeight="1">
      <c r="A435" t="s" s="1799">
        <v>3063</v>
      </c>
      <c r="B435" t="s" s="1800">
        <v>3064</v>
      </c>
      <c r="C435" s="1801">
        <v>-60483189.78</v>
      </c>
      <c r="D435" s="1801">
        <v>-49259276.17</v>
      </c>
      <c r="E435" s="1801"/>
      <c r="F435" s="1801"/>
      <c r="G435" s="1789"/>
      <c r="H435" s="1801" cm="1">
        <f t="array" ref="H435">C435-D435</f>
        <v>-11223913.61</v>
      </c>
      <c r="I435" s="1789"/>
      <c r="J435" s="1789"/>
      <c r="K435" s="1789"/>
      <c r="L435" s="1789"/>
      <c r="M435" s="1789"/>
      <c r="N435" s="1789"/>
    </row>
    <row r="436" ht="15" customHeight="1">
      <c r="A436" t="s" s="1799">
        <v>3065</v>
      </c>
      <c r="B436" t="s" s="1800">
        <v>3066</v>
      </c>
      <c r="C436" s="1801">
        <v>-103633232.69</v>
      </c>
      <c r="D436" s="1801">
        <v>-82387643.51000001</v>
      </c>
      <c r="E436" s="1801"/>
      <c r="F436" s="1801"/>
      <c r="G436" s="1789"/>
      <c r="H436" s="1801" cm="1">
        <f t="array" ref="H436">C436-D436</f>
        <v>-21245589.18</v>
      </c>
      <c r="I436" s="1789"/>
      <c r="J436" s="1789"/>
      <c r="K436" s="1789"/>
      <c r="L436" s="1789"/>
      <c r="M436" s="1789"/>
      <c r="N436" s="1789"/>
    </row>
    <row r="437" ht="15" customHeight="1">
      <c r="A437" t="s" s="1799">
        <v>3067</v>
      </c>
      <c r="B437" t="s" s="1800">
        <v>3068</v>
      </c>
      <c r="C437" s="1801">
        <v>-151877457.56</v>
      </c>
      <c r="D437" s="1801">
        <v>-95988734.84</v>
      </c>
      <c r="E437" s="1801"/>
      <c r="F437" s="1801"/>
      <c r="G437" s="1789"/>
      <c r="H437" s="1801" cm="1">
        <f t="array" ref="H437">C437-D437</f>
        <v>-55888722.72</v>
      </c>
      <c r="I437" s="1789"/>
      <c r="J437" s="1789"/>
      <c r="K437" s="1789"/>
      <c r="L437" s="1789"/>
      <c r="M437" s="1789"/>
      <c r="N437" s="1789"/>
    </row>
    <row r="438" ht="15" customHeight="1">
      <c r="A438" t="s" s="1799">
        <v>3069</v>
      </c>
      <c r="B438" t="s" s="1800">
        <v>3070</v>
      </c>
      <c r="C438" s="1801">
        <v>-49881085.85</v>
      </c>
      <c r="D438" s="1801">
        <v>-40713055.55</v>
      </c>
      <c r="E438" s="1801"/>
      <c r="F438" s="1801"/>
      <c r="G438" s="1789"/>
      <c r="H438" s="1801" cm="1">
        <f t="array" ref="H438">C438-D438</f>
        <v>-9168030.300000001</v>
      </c>
      <c r="I438" s="1789"/>
      <c r="J438" s="1789"/>
      <c r="K438" s="1789"/>
      <c r="L438" s="1789"/>
      <c r="M438" s="1789"/>
      <c r="N438" s="1789"/>
    </row>
    <row r="439" ht="15" customHeight="1">
      <c r="A439" t="s" s="1799">
        <v>3071</v>
      </c>
      <c r="B439" t="s" s="1800">
        <v>3072</v>
      </c>
      <c r="C439" s="1801">
        <v>-73962730.73</v>
      </c>
      <c r="D439" s="1801">
        <v>-37654044.16</v>
      </c>
      <c r="E439" s="1801"/>
      <c r="F439" s="1801"/>
      <c r="G439" s="1789"/>
      <c r="H439" s="1801" cm="1">
        <f t="array" ref="H439">C439-D439</f>
        <v>-36308686.57</v>
      </c>
      <c r="I439" s="1789"/>
      <c r="J439" s="1789"/>
      <c r="K439" s="1789"/>
      <c r="L439" s="1789"/>
      <c r="M439" s="1789"/>
      <c r="N439" s="1789"/>
    </row>
    <row r="440" ht="15" customHeight="1">
      <c r="A440" t="s" s="1799">
        <v>3073</v>
      </c>
      <c r="B440" t="s" s="1800">
        <v>3074</v>
      </c>
      <c r="C440" s="1801">
        <v>-13458333.33</v>
      </c>
      <c r="D440" s="1801">
        <v>-11083333.33</v>
      </c>
      <c r="E440" s="1801"/>
      <c r="F440" s="1801"/>
      <c r="G440" s="1789"/>
      <c r="H440" s="1801" cm="1">
        <f t="array" ref="H440">C440-D440</f>
        <v>-2375000</v>
      </c>
      <c r="I440" s="1789"/>
      <c r="J440" s="1789"/>
      <c r="K440" s="1789"/>
      <c r="L440" s="1789"/>
      <c r="M440" s="1789"/>
      <c r="N440" s="1789"/>
    </row>
    <row r="441" ht="15" customHeight="1">
      <c r="A441" t="s" s="1799">
        <v>3075</v>
      </c>
      <c r="B441" t="s" s="1800">
        <v>3076</v>
      </c>
      <c r="C441" s="1801">
        <v>-19936489.57</v>
      </c>
      <c r="D441" s="1801">
        <v>-16293264.57</v>
      </c>
      <c r="E441" s="1801"/>
      <c r="F441" s="1801"/>
      <c r="G441" s="1789"/>
      <c r="H441" s="1801" cm="1">
        <f t="array" ref="H441">C441-D441</f>
        <v>-3643225</v>
      </c>
      <c r="I441" s="1789"/>
      <c r="J441" s="1789"/>
      <c r="K441" s="1789"/>
      <c r="L441" s="1789"/>
      <c r="M441" s="1789"/>
      <c r="N441" s="1789"/>
    </row>
    <row r="442" ht="15" customHeight="1">
      <c r="A442" t="s" s="1799">
        <v>3077</v>
      </c>
      <c r="B442" t="s" s="1800">
        <v>3078</v>
      </c>
      <c r="C442" s="1801">
        <v>-38617705.3</v>
      </c>
      <c r="D442" s="1801">
        <v>-25284188.48</v>
      </c>
      <c r="E442" s="1801"/>
      <c r="F442" s="1801"/>
      <c r="G442" s="1789"/>
      <c r="H442" s="1801" cm="1">
        <f t="array" ref="H442">C442-D442</f>
        <v>-13333516.82</v>
      </c>
      <c r="I442" s="1789"/>
      <c r="J442" s="1789"/>
      <c r="K442" s="1789"/>
      <c r="L442" s="1789"/>
      <c r="M442" s="1789"/>
      <c r="N442" s="1789"/>
    </row>
    <row r="443" ht="15" customHeight="1">
      <c r="A443" t="s" s="1799">
        <v>3079</v>
      </c>
      <c r="B443" t="s" s="1800">
        <v>3080</v>
      </c>
      <c r="C443" s="1801">
        <v>-103306451.61</v>
      </c>
      <c r="D443" s="1801">
        <v>-58306451.61</v>
      </c>
      <c r="E443" s="1801"/>
      <c r="F443" s="1801"/>
      <c r="G443" s="1789"/>
      <c r="H443" s="1801" cm="1">
        <f t="array" ref="H443">C443-D443</f>
        <v>-45000000</v>
      </c>
      <c r="I443" s="1789"/>
      <c r="J443" s="1789"/>
      <c r="K443" s="1789"/>
      <c r="L443" s="1789"/>
      <c r="M443" s="1789"/>
      <c r="N443" s="1789"/>
    </row>
    <row r="444" ht="15" customHeight="1">
      <c r="A444" t="s" s="1799">
        <v>3081</v>
      </c>
      <c r="B444" t="s" s="1800">
        <v>3082</v>
      </c>
      <c r="C444" s="1801">
        <v>-26062500</v>
      </c>
      <c r="D444" s="1801">
        <v>-26062500</v>
      </c>
      <c r="E444" s="1801"/>
      <c r="F444" s="1801"/>
      <c r="G444" s="1789"/>
      <c r="H444" s="1801" cm="1">
        <f t="array" ref="H444">C444-D444</f>
        <v>0</v>
      </c>
      <c r="I444" s="1789"/>
      <c r="J444" s="1789"/>
      <c r="K444" s="1789"/>
      <c r="L444" s="1789"/>
      <c r="M444" s="1789"/>
      <c r="N444" s="1789"/>
    </row>
    <row r="445" ht="15" customHeight="1">
      <c r="A445" t="s" s="1799">
        <v>3083</v>
      </c>
      <c r="B445" t="s" s="1800">
        <v>3084</v>
      </c>
      <c r="C445" s="1801">
        <v>-3001009.31</v>
      </c>
      <c r="D445" s="1801">
        <v>-3001009.31</v>
      </c>
      <c r="E445" s="1801"/>
      <c r="F445" s="1801"/>
      <c r="G445" s="1789"/>
      <c r="H445" s="1801" cm="1">
        <f t="array" ref="H445">C445-D445</f>
        <v>0</v>
      </c>
      <c r="I445" s="1789"/>
      <c r="J445" s="1789"/>
      <c r="K445" s="1789"/>
      <c r="L445" s="1789"/>
      <c r="M445" s="1789"/>
      <c r="N445" s="1789"/>
    </row>
    <row r="446" ht="15" customHeight="1">
      <c r="A446" t="s" s="1799">
        <v>3085</v>
      </c>
      <c r="B446" t="s" s="1800">
        <v>3086</v>
      </c>
      <c r="C446" s="1801">
        <v>-6125312.5</v>
      </c>
      <c r="D446" s="1801">
        <v>-6125312.5</v>
      </c>
      <c r="E446" s="1801"/>
      <c r="F446" s="1801"/>
      <c r="G446" s="1789"/>
      <c r="H446" s="1801" cm="1">
        <f t="array" ref="H446">C446-D446</f>
        <v>0</v>
      </c>
      <c r="I446" s="1789"/>
      <c r="J446" s="1789"/>
      <c r="K446" s="1789"/>
      <c r="L446" s="1789"/>
      <c r="M446" s="1789"/>
      <c r="N446" s="1789"/>
    </row>
    <row r="447" ht="15" customHeight="1">
      <c r="A447" t="s" s="1799">
        <v>3087</v>
      </c>
      <c r="B447" t="s" s="1800">
        <v>3088</v>
      </c>
      <c r="C447" s="1801">
        <v>-124119496.79</v>
      </c>
      <c r="D447" s="1801">
        <v>-31196644.53</v>
      </c>
      <c r="E447" s="1801"/>
      <c r="F447" s="1801"/>
      <c r="G447" s="1789"/>
      <c r="H447" s="1801" cm="1">
        <f t="array" ref="H447">C447-D447</f>
        <v>-92922852.26000001</v>
      </c>
      <c r="I447" s="1789"/>
      <c r="J447" s="1789"/>
      <c r="K447" s="1789"/>
      <c r="L447" s="1789"/>
      <c r="M447" s="1789"/>
      <c r="N447" s="1789"/>
    </row>
    <row r="448" ht="15" customHeight="1">
      <c r="A448" t="s" s="1799">
        <v>3089</v>
      </c>
      <c r="B448" t="s" s="1800">
        <v>3090</v>
      </c>
      <c r="C448" s="1801">
        <v>-12770470.36</v>
      </c>
      <c r="D448" s="1801">
        <v>-2450000</v>
      </c>
      <c r="E448" s="1801"/>
      <c r="F448" s="1801"/>
      <c r="G448" s="1789"/>
      <c r="H448" s="1801" cm="1">
        <f t="array" ref="H448">C448-D448</f>
        <v>-10320470.36</v>
      </c>
      <c r="I448" s="1789"/>
      <c r="J448" s="1789"/>
      <c r="K448" s="1789"/>
      <c r="L448" s="1789"/>
      <c r="M448" s="1789"/>
      <c r="N448" s="1789"/>
    </row>
    <row r="449" ht="15" customHeight="1">
      <c r="A449" t="s" s="1799">
        <v>3089</v>
      </c>
      <c r="B449" t="s" s="1800">
        <v>3091</v>
      </c>
      <c r="C449" s="1801">
        <v>-189007939.66</v>
      </c>
      <c r="D449" s="1801">
        <v>-101773505.97</v>
      </c>
      <c r="E449" s="1801"/>
      <c r="F449" s="1801"/>
      <c r="G449" s="1789"/>
      <c r="H449" s="1801" cm="1">
        <f t="array" ref="H449">C449-D449</f>
        <v>-87234433.69</v>
      </c>
      <c r="I449" s="1789"/>
      <c r="J449" s="1789"/>
      <c r="K449" s="1789"/>
      <c r="L449" s="1789"/>
      <c r="M449" s="1789"/>
      <c r="N449" s="1789"/>
    </row>
    <row r="450" ht="15" customHeight="1">
      <c r="A450" t="s" s="1799">
        <v>3092</v>
      </c>
      <c r="B450" t="s" s="1800">
        <v>3093</v>
      </c>
      <c r="C450" s="1801">
        <v>-71695666.67</v>
      </c>
      <c r="D450" s="1801">
        <v>0</v>
      </c>
      <c r="E450" s="1801"/>
      <c r="F450" s="1801"/>
      <c r="G450" s="1789"/>
      <c r="H450" s="1801" cm="1">
        <f t="array" ref="H450">C450-D450</f>
        <v>-71695666.67</v>
      </c>
      <c r="I450" s="1789"/>
      <c r="J450" s="1789"/>
      <c r="K450" s="1789"/>
      <c r="L450" s="1789"/>
      <c r="M450" s="1789"/>
      <c r="N450" s="1789"/>
    </row>
    <row r="451" ht="15" customHeight="1">
      <c r="A451" t="s" s="1799">
        <v>3094</v>
      </c>
      <c r="B451" t="s" s="1800">
        <v>3095</v>
      </c>
      <c r="C451" s="1801">
        <v>-112145912.86</v>
      </c>
      <c r="D451" s="1801">
        <v>0</v>
      </c>
      <c r="E451" s="1801"/>
      <c r="F451" s="1801"/>
      <c r="G451" s="1789"/>
      <c r="H451" s="1801" cm="1">
        <f t="array" ref="H451">C451-D451</f>
        <v>-112145912.86</v>
      </c>
      <c r="I451" s="1789"/>
      <c r="J451" s="1789"/>
      <c r="K451" s="1789"/>
      <c r="L451" s="1789"/>
      <c r="M451" s="1789"/>
      <c r="N451" s="1789"/>
    </row>
    <row r="452" ht="15" customHeight="1">
      <c r="A452" t="s" s="1799">
        <v>3096</v>
      </c>
      <c r="B452" t="s" s="1800">
        <v>3097</v>
      </c>
      <c r="C452" s="1801">
        <v>-29132230.9</v>
      </c>
      <c r="D452" s="1801">
        <v>0</v>
      </c>
      <c r="E452" s="1801"/>
      <c r="F452" s="1801"/>
      <c r="G452" s="1789"/>
      <c r="H452" s="1801" cm="1">
        <f t="array" ref="H452">C452-D452</f>
        <v>-29132230.9</v>
      </c>
      <c r="I452" s="1789"/>
      <c r="J452" s="1789"/>
      <c r="K452" s="1789"/>
      <c r="L452" s="1789"/>
      <c r="M452" s="1789"/>
      <c r="N452" s="1789"/>
    </row>
    <row r="453" ht="15" customHeight="1">
      <c r="A453" t="s" s="1799">
        <v>3098</v>
      </c>
      <c r="B453" t="s" s="1800">
        <v>3099</v>
      </c>
      <c r="C453" s="1801">
        <v>-130053865.49</v>
      </c>
      <c r="D453" s="1801">
        <v>0</v>
      </c>
      <c r="E453" s="1801"/>
      <c r="F453" s="1801"/>
      <c r="G453" s="1789"/>
      <c r="H453" s="1801" cm="1">
        <f t="array" ref="H453">C453-D453</f>
        <v>-130053865.49</v>
      </c>
      <c r="I453" s="1789"/>
      <c r="J453" s="1789"/>
      <c r="K453" s="1789"/>
      <c r="L453" s="1789"/>
      <c r="M453" s="1789"/>
      <c r="N453" s="1789"/>
    </row>
    <row r="454" ht="13.5" customHeight="1">
      <c r="A454" s="1789"/>
      <c r="B454" t="s" s="1814">
        <v>3100</v>
      </c>
      <c r="C454" s="1801">
        <v>9134983397.15</v>
      </c>
      <c r="D454" s="1801">
        <v>6434536827.58</v>
      </c>
      <c r="E454" s="1801"/>
      <c r="F454" s="1801"/>
      <c r="G454" s="1801"/>
      <c r="H454" s="1801" cm="1">
        <f t="array" ref="H454">C454-D454</f>
        <v>2700446569.57</v>
      </c>
      <c r="I454" s="1789"/>
      <c r="J454" s="1789"/>
      <c r="K454" s="1789"/>
      <c r="L454" s="1789"/>
      <c r="M454" s="1789"/>
      <c r="N454" s="1789"/>
    </row>
    <row r="455" ht="15" customHeight="1">
      <c r="A455" s="1789"/>
      <c r="B455" t="s" s="1800">
        <v>3101</v>
      </c>
      <c r="C455" s="1801">
        <v>15400000</v>
      </c>
      <c r="D455" s="1801">
        <v>1933481820</v>
      </c>
      <c r="E455" s="1801"/>
      <c r="F455" s="1801"/>
      <c r="G455" s="1789"/>
      <c r="H455" s="1801" cm="1">
        <f t="array" ref="H455">C455-D455</f>
        <v>-1918081820</v>
      </c>
      <c r="I455" s="1789"/>
      <c r="J455" s="1789"/>
      <c r="K455" s="1789"/>
      <c r="L455" s="1789"/>
      <c r="M455" s="1789"/>
      <c r="N455" s="1789"/>
    </row>
    <row r="456" ht="15" customHeight="1">
      <c r="A456" t="s" s="1799">
        <v>3102</v>
      </c>
      <c r="B456" t="s" s="1800">
        <v>3103</v>
      </c>
      <c r="C456" s="1801">
        <v>0</v>
      </c>
      <c r="D456" s="1801">
        <v>1918081820</v>
      </c>
      <c r="E456" s="1801"/>
      <c r="F456" s="1801"/>
      <c r="G456" s="1789"/>
      <c r="H456" s="1801" cm="1">
        <f t="array" ref="H456">C456-D456</f>
        <v>-1918081820</v>
      </c>
      <c r="I456" s="1789"/>
      <c r="J456" s="1789"/>
      <c r="K456" s="1789"/>
      <c r="L456" s="1789"/>
      <c r="M456" s="1789"/>
      <c r="N456" s="1789"/>
    </row>
    <row r="457" ht="15" customHeight="1">
      <c r="A457" t="s" s="1799">
        <v>3104</v>
      </c>
      <c r="B457" t="s" s="1800">
        <v>3105</v>
      </c>
      <c r="C457" s="1801">
        <v>15400000</v>
      </c>
      <c r="D457" s="1801">
        <v>15400000</v>
      </c>
      <c r="E457" s="1801"/>
      <c r="F457" s="1801"/>
      <c r="G457" s="1789"/>
      <c r="H457" s="1801" cm="1">
        <f t="array" ref="H457">C457-D457</f>
        <v>0</v>
      </c>
      <c r="I457" s="1789"/>
      <c r="J457" s="1789"/>
      <c r="K457" s="1789"/>
      <c r="L457" s="1789"/>
      <c r="M457" s="1789"/>
      <c r="N457" s="1789"/>
    </row>
    <row r="458" ht="13.5" customHeight="1">
      <c r="A458" s="1789"/>
      <c r="B458" t="s" s="1814">
        <v>3106</v>
      </c>
      <c r="C458" s="1801">
        <v>15400000</v>
      </c>
      <c r="D458" s="1801">
        <v>1933481820</v>
      </c>
      <c r="E458" s="1801"/>
      <c r="F458" s="1801"/>
      <c r="G458" s="1801"/>
      <c r="H458" s="1801" cm="1">
        <f t="array" ref="H458">C458-D458</f>
        <v>-1918081820</v>
      </c>
      <c r="I458" s="1789"/>
      <c r="J458" s="1789"/>
      <c r="K458" s="1789"/>
      <c r="L458" s="1789"/>
      <c r="M458" s="1789"/>
      <c r="N458" s="1789"/>
    </row>
    <row r="459" ht="13.5" customHeight="1">
      <c r="A459" s="1789"/>
      <c r="B459" t="s" s="1796">
        <v>3107</v>
      </c>
      <c r="C459" s="1795">
        <v>85410333392.66</v>
      </c>
      <c r="D459" s="1795">
        <v>54023282015.3</v>
      </c>
      <c r="E459" s="1831"/>
      <c r="F459" s="1831"/>
      <c r="G459" s="1795"/>
      <c r="H459" s="1801" cm="1">
        <f t="array" ref="H459">C459-D459</f>
        <v>31387051377.36</v>
      </c>
      <c r="I459" s="1789"/>
      <c r="J459" s="1789"/>
      <c r="K459" s="1789"/>
      <c r="L459" s="1789"/>
      <c r="M459" s="1789"/>
      <c r="N459" s="1789"/>
    </row>
    <row r="460" ht="15" customHeight="1">
      <c r="A460" s="1789"/>
      <c r="B460" s="1832"/>
      <c r="C460" s="1832"/>
      <c r="D460" s="1832"/>
      <c r="E460" s="1832"/>
      <c r="F460" s="1832"/>
      <c r="G460" s="1832"/>
      <c r="H460" s="1801"/>
      <c r="I460" s="1789"/>
      <c r="J460" s="1789"/>
      <c r="K460" s="1789"/>
      <c r="L460" s="1789"/>
      <c r="M460" s="1789"/>
      <c r="N460" s="1789"/>
    </row>
    <row r="461" ht="14" customHeight="1">
      <c r="A461" s="1789"/>
      <c r="B461" t="s" s="1794">
        <v>3108</v>
      </c>
      <c r="C461" s="1795">
        <v>65749978699.56</v>
      </c>
      <c r="D461" s="1795">
        <v>37208764966.75</v>
      </c>
      <c r="E461" s="1831"/>
      <c r="F461" s="1831"/>
      <c r="G461" s="1789"/>
      <c r="H461" s="1801" cm="1">
        <f t="array" ref="H461">C461-D461</f>
        <v>28541213732.81</v>
      </c>
      <c r="I461" s="1789"/>
      <c r="J461" s="1789"/>
      <c r="K461" s="1789"/>
      <c r="L461" s="1789"/>
      <c r="M461" s="1789"/>
      <c r="N461" s="1789"/>
    </row>
    <row r="462" ht="13.5" customHeight="1">
      <c r="A462" s="1789"/>
      <c r="B462" t="s" s="1797">
        <v>3109</v>
      </c>
      <c r="C462" s="1798">
        <v>65749978699.56</v>
      </c>
      <c r="D462" s="1798">
        <v>37208764966.75</v>
      </c>
      <c r="E462" s="1798"/>
      <c r="F462" s="1798"/>
      <c r="G462" s="1789"/>
      <c r="H462" s="1801" cm="1">
        <f t="array" ref="H462">C462-D462</f>
        <v>28541213732.81</v>
      </c>
      <c r="I462" s="1789"/>
      <c r="J462" s="1789"/>
      <c r="K462" s="1789"/>
      <c r="L462" s="1789"/>
      <c r="M462" s="1789"/>
      <c r="N462" s="1789"/>
    </row>
    <row r="463" ht="15" customHeight="1">
      <c r="A463" s="1789"/>
      <c r="B463" t="s" s="1800">
        <v>3109</v>
      </c>
      <c r="C463" s="1801">
        <v>-131269504.78</v>
      </c>
      <c r="D463" s="1801">
        <v>1620573984.92</v>
      </c>
      <c r="E463" s="1801"/>
      <c r="F463" s="1801"/>
      <c r="G463" s="1789"/>
      <c r="H463" s="1801" cm="1">
        <f t="array" ref="H463">C463-D463</f>
        <v>-1751843489.7</v>
      </c>
      <c r="I463" s="1789"/>
      <c r="J463" s="1789"/>
      <c r="K463" s="1789"/>
      <c r="L463" s="1789"/>
      <c r="M463" s="1789"/>
      <c r="N463" s="1789"/>
    </row>
    <row r="464" ht="15" customHeight="1">
      <c r="A464" t="s" s="1799">
        <v>3110</v>
      </c>
      <c r="B464" t="s" s="1800">
        <v>3111</v>
      </c>
      <c r="C464" s="1801">
        <v>100000</v>
      </c>
      <c r="D464" s="1801">
        <v>100000</v>
      </c>
      <c r="E464" s="1801"/>
      <c r="F464" s="1801"/>
      <c r="G464" s="1789"/>
      <c r="H464" s="1801" cm="1">
        <f t="array" ref="H464">C464-D464</f>
        <v>0</v>
      </c>
      <c r="I464" s="1789"/>
      <c r="J464" s="1789"/>
      <c r="K464" s="1789"/>
      <c r="L464" s="1789"/>
      <c r="M464" s="1789"/>
      <c r="N464" s="1789"/>
    </row>
    <row r="465" ht="15" customHeight="1">
      <c r="A465" t="s" s="1799">
        <v>3112</v>
      </c>
      <c r="B465" t="s" s="1800">
        <v>3113</v>
      </c>
      <c r="C465" s="1801">
        <v>-600000</v>
      </c>
      <c r="D465" s="1801">
        <v>-600000</v>
      </c>
      <c r="E465" s="1801"/>
      <c r="F465" s="1801"/>
      <c r="G465" s="1789"/>
      <c r="H465" s="1801" cm="1">
        <f t="array" ref="H465">C465-D465</f>
        <v>0</v>
      </c>
      <c r="I465" s="1789"/>
      <c r="J465" s="1789"/>
      <c r="K465" s="1789"/>
      <c r="L465" s="1789"/>
      <c r="M465" s="1789"/>
      <c r="N465" s="1789"/>
    </row>
    <row r="466" ht="15" customHeight="1">
      <c r="A466" t="s" s="1799">
        <v>3114</v>
      </c>
      <c r="B466" t="s" s="1800">
        <v>3115</v>
      </c>
      <c r="C466" s="1801">
        <v>24850000</v>
      </c>
      <c r="D466" s="1801">
        <v>24850000</v>
      </c>
      <c r="E466" s="1801"/>
      <c r="F466" s="1801"/>
      <c r="G466" s="1789"/>
      <c r="H466" s="1801" cm="1">
        <f t="array" ref="H466">C466-D466</f>
        <v>0</v>
      </c>
      <c r="I466" s="1789"/>
      <c r="J466" s="1789"/>
      <c r="K466" s="1789"/>
      <c r="L466" s="1789"/>
      <c r="M466" s="1789"/>
      <c r="N466" s="1789"/>
    </row>
    <row r="467" ht="15" customHeight="1">
      <c r="A467" t="s" s="1799">
        <v>3116</v>
      </c>
      <c r="B467" t="s" s="1800">
        <v>2282</v>
      </c>
      <c r="C467" s="1801">
        <v>100000</v>
      </c>
      <c r="D467" s="1801">
        <v>100000</v>
      </c>
      <c r="E467" s="1801"/>
      <c r="F467" s="1801"/>
      <c r="G467" s="1789"/>
      <c r="H467" s="1801" cm="1">
        <f t="array" ref="H467">C467-D467</f>
        <v>0</v>
      </c>
      <c r="I467" s="1789"/>
      <c r="J467" s="1789"/>
      <c r="K467" s="1789"/>
      <c r="L467" s="1789"/>
      <c r="M467" s="1789"/>
      <c r="N467" s="1789"/>
    </row>
    <row r="468" ht="15" customHeight="1">
      <c r="A468" t="s" s="1799">
        <v>3117</v>
      </c>
      <c r="B468" t="s" s="1800">
        <v>3118</v>
      </c>
      <c r="C468" s="1801">
        <v>0.11</v>
      </c>
      <c r="D468" s="1801">
        <v>0.11</v>
      </c>
      <c r="E468" s="1801"/>
      <c r="F468" s="1801"/>
      <c r="G468" s="1789"/>
      <c r="H468" s="1801" cm="1">
        <f t="array" ref="H468">C468-D468</f>
        <v>0</v>
      </c>
      <c r="I468" s="1789"/>
      <c r="J468" s="1789"/>
      <c r="K468" s="1789"/>
      <c r="L468" s="1789"/>
      <c r="M468" s="1789"/>
      <c r="N468" s="1789"/>
    </row>
    <row r="469" ht="15" customHeight="1">
      <c r="A469" t="s" s="1799">
        <v>3119</v>
      </c>
      <c r="B469" t="s" s="1800">
        <v>3120</v>
      </c>
      <c r="C469" s="1801">
        <v>-2343888</v>
      </c>
      <c r="D469" s="1801">
        <v>-2343888</v>
      </c>
      <c r="E469" s="1801"/>
      <c r="F469" s="1801"/>
      <c r="G469" s="1789"/>
      <c r="H469" s="1801" cm="1">
        <f t="array" ref="H469">C469-D469</f>
        <v>0</v>
      </c>
      <c r="I469" s="1789"/>
      <c r="J469" s="1789"/>
      <c r="K469" s="1789"/>
      <c r="L469" s="1789"/>
      <c r="M469" s="1789"/>
      <c r="N469" s="1789"/>
    </row>
    <row r="470" ht="15" customHeight="1">
      <c r="A470" t="s" s="1799">
        <v>3121</v>
      </c>
      <c r="B470" t="s" s="1800">
        <v>3122</v>
      </c>
      <c r="C470" s="1801">
        <v>1474011333</v>
      </c>
      <c r="D470" s="1801">
        <v>1668925511</v>
      </c>
      <c r="E470" s="1801"/>
      <c r="F470" s="1801"/>
      <c r="G470" s="1789"/>
      <c r="H470" s="1801" cm="1">
        <f t="array" ref="H470">C470-D470</f>
        <v>-194914178</v>
      </c>
      <c r="I470" s="1789"/>
      <c r="J470" s="1789"/>
      <c r="K470" s="1789"/>
      <c r="L470" s="1789"/>
      <c r="M470" s="1789"/>
      <c r="N470" s="1789"/>
    </row>
    <row r="471" ht="15" customHeight="1">
      <c r="A471" t="s" s="1799">
        <v>3123</v>
      </c>
      <c r="B471" t="s" s="1800">
        <v>3124</v>
      </c>
      <c r="C471" s="1801">
        <v>-445690</v>
      </c>
      <c r="D471" s="1801">
        <v>0</v>
      </c>
      <c r="E471" s="1801"/>
      <c r="F471" s="1801"/>
      <c r="G471" s="1789"/>
      <c r="H471" s="1801" cm="1">
        <f t="array" ref="H471">C471-D471</f>
        <v>-445690</v>
      </c>
      <c r="I471" s="1789"/>
      <c r="J471" s="1789"/>
      <c r="K471" s="1789"/>
      <c r="L471" s="1789"/>
      <c r="M471" s="1789"/>
      <c r="N471" s="1789"/>
    </row>
    <row r="472" ht="15" customHeight="1">
      <c r="A472" t="s" s="1799">
        <v>3125</v>
      </c>
      <c r="B472" t="s" s="1800">
        <v>2176</v>
      </c>
      <c r="C472" s="1801">
        <v>-1626941259.89</v>
      </c>
      <c r="D472" s="1801">
        <v>-70457638.19</v>
      </c>
      <c r="E472" s="1801"/>
      <c r="F472" s="1801"/>
      <c r="G472" s="1789"/>
      <c r="H472" s="1801" cm="1">
        <f t="array" ref="H472">C472-D472</f>
        <v>-1556483621.7</v>
      </c>
      <c r="I472" s="1789"/>
      <c r="J472" s="1789"/>
      <c r="K472" s="1789"/>
      <c r="L472" s="1789"/>
      <c r="M472" s="1789"/>
      <c r="N472" s="1789"/>
    </row>
    <row r="473" ht="13.5" customHeight="1">
      <c r="A473" s="1789"/>
      <c r="B473" t="s" s="1814">
        <v>3126</v>
      </c>
      <c r="C473" s="1801">
        <v>-131269504.78</v>
      </c>
      <c r="D473" s="1801">
        <v>1620573984.92</v>
      </c>
      <c r="E473" s="1801"/>
      <c r="F473" s="1801"/>
      <c r="G473" s="1801"/>
      <c r="H473" s="1801" cm="1">
        <f t="array" ref="H473">C473-D473</f>
        <v>-1751843489.7</v>
      </c>
      <c r="I473" s="1789"/>
      <c r="J473" s="1789"/>
      <c r="K473" s="1789"/>
      <c r="L473" s="1789"/>
      <c r="M473" s="1789"/>
      <c r="N473" s="1789"/>
    </row>
    <row r="474" ht="15" customHeight="1">
      <c r="A474" s="1789"/>
      <c r="B474" t="s" s="1800">
        <v>3127</v>
      </c>
      <c r="C474" s="1801">
        <v>65881248204.34</v>
      </c>
      <c r="D474" s="1801">
        <v>35588190981.83</v>
      </c>
      <c r="E474" s="1801"/>
      <c r="F474" s="1801"/>
      <c r="G474" s="1789"/>
      <c r="H474" s="1801" cm="1">
        <f t="array" ref="H474">C474-D474</f>
        <v>30293057222.51</v>
      </c>
      <c r="I474" s="1789"/>
      <c r="J474" s="1789"/>
      <c r="K474" s="1789"/>
      <c r="L474" s="1789"/>
      <c r="M474" s="1789"/>
      <c r="N474" s="1789"/>
    </row>
    <row r="475" ht="15" customHeight="1">
      <c r="A475" t="s" s="1799">
        <v>3128</v>
      </c>
      <c r="B475" t="s" s="1800">
        <v>3129</v>
      </c>
      <c r="C475" s="1801">
        <v>1255086384.87</v>
      </c>
      <c r="D475" s="1801">
        <v>1834254388.87</v>
      </c>
      <c r="E475" s="1801"/>
      <c r="F475" s="1801"/>
      <c r="G475" s="1789"/>
      <c r="H475" s="1801" cm="1">
        <f t="array" ref="H475">C475-D475</f>
        <v>-579168004</v>
      </c>
      <c r="I475" s="1789"/>
      <c r="J475" s="1789"/>
      <c r="K475" s="1789"/>
      <c r="L475" s="1789"/>
      <c r="M475" s="1789"/>
      <c r="N475" s="1789"/>
    </row>
    <row r="476" ht="15" customHeight="1">
      <c r="A476" t="s" s="1799">
        <v>3130</v>
      </c>
      <c r="B476" t="s" s="1800">
        <v>3131</v>
      </c>
      <c r="C476" s="1801">
        <v>87628682</v>
      </c>
      <c r="D476" s="1801">
        <v>21974217</v>
      </c>
      <c r="E476" s="1801"/>
      <c r="F476" t="s" s="1799">
        <v>2452</v>
      </c>
      <c r="G476" s="1789"/>
      <c r="H476" s="1801" cm="1">
        <f t="array" ref="H476">C476-D476</f>
        <v>65654465</v>
      </c>
      <c r="I476" s="1789"/>
      <c r="J476" s="1789"/>
      <c r="K476" s="1789"/>
      <c r="L476" s="1789"/>
      <c r="M476" s="1789"/>
      <c r="N476" s="1789"/>
    </row>
    <row r="477" ht="15" customHeight="1">
      <c r="A477" t="s" s="1799">
        <v>3132</v>
      </c>
      <c r="B477" t="s" s="1800">
        <v>3133</v>
      </c>
      <c r="C477" s="1801">
        <v>117198245</v>
      </c>
      <c r="D477" s="1801">
        <v>116848359</v>
      </c>
      <c r="E477" s="1801"/>
      <c r="F477" t="s" s="1799">
        <v>2452</v>
      </c>
      <c r="G477" s="1789"/>
      <c r="H477" s="1801" cm="1">
        <f t="array" ref="H477">C477-D477</f>
        <v>349886</v>
      </c>
      <c r="I477" s="1789"/>
      <c r="J477" s="1789"/>
      <c r="K477" s="1789"/>
      <c r="L477" s="1789"/>
      <c r="M477" s="1789"/>
      <c r="N477" s="1789"/>
    </row>
    <row r="478" ht="15" customHeight="1">
      <c r="A478" t="s" s="1799">
        <v>3134</v>
      </c>
      <c r="B478" t="s" s="1800">
        <v>3135</v>
      </c>
      <c r="C478" s="1801">
        <v>1309130520</v>
      </c>
      <c r="D478" s="1801">
        <v>1306190520</v>
      </c>
      <c r="E478" s="1801"/>
      <c r="F478" t="s" s="1799">
        <v>2452</v>
      </c>
      <c r="G478" s="1789"/>
      <c r="H478" s="1801" cm="1">
        <f t="array" ref="H478">C478-D478</f>
        <v>2940000</v>
      </c>
      <c r="I478" s="1789"/>
      <c r="J478" s="1789"/>
      <c r="K478" s="1789"/>
      <c r="L478" s="1789"/>
      <c r="M478" s="1789"/>
      <c r="N478" s="1789"/>
    </row>
    <row r="479" ht="15" customHeight="1">
      <c r="A479" t="s" s="1799">
        <v>3136</v>
      </c>
      <c r="B479" t="s" s="1800">
        <v>3137</v>
      </c>
      <c r="C479" s="1801">
        <v>3756848788.54</v>
      </c>
      <c r="D479" s="1801">
        <v>1646769949.54</v>
      </c>
      <c r="E479" s="1801"/>
      <c r="F479" t="s" s="1799">
        <v>2452</v>
      </c>
      <c r="G479" s="1789"/>
      <c r="H479" s="1801" cm="1">
        <f t="array" ref="H479">C479-D479</f>
        <v>2110078839</v>
      </c>
      <c r="I479" s="1789"/>
      <c r="J479" s="1789"/>
      <c r="K479" s="1789"/>
      <c r="L479" s="1789"/>
      <c r="M479" s="1789"/>
      <c r="N479" s="1789"/>
    </row>
    <row r="480" ht="15" customHeight="1">
      <c r="A480" t="s" s="1799">
        <v>3138</v>
      </c>
      <c r="B480" t="s" s="1800">
        <v>3139</v>
      </c>
      <c r="C480" s="1801">
        <v>236260078</v>
      </c>
      <c r="D480" s="1801">
        <v>65029380</v>
      </c>
      <c r="E480" s="1801"/>
      <c r="F480" t="s" s="1799">
        <v>2452</v>
      </c>
      <c r="G480" s="1789"/>
      <c r="H480" s="1801" cm="1">
        <f t="array" ref="H480">C480-D480</f>
        <v>171230698</v>
      </c>
      <c r="I480" s="1789"/>
      <c r="J480" s="1789"/>
      <c r="K480" s="1789"/>
      <c r="L480" s="1789"/>
      <c r="M480" s="1789"/>
      <c r="N480" s="1789"/>
    </row>
    <row r="481" ht="15" customHeight="1">
      <c r="A481" t="s" s="1799">
        <v>3140</v>
      </c>
      <c r="B481" t="s" s="1800">
        <v>3141</v>
      </c>
      <c r="C481" s="1801">
        <v>25489387</v>
      </c>
      <c r="D481" s="1801">
        <v>33843479.5</v>
      </c>
      <c r="E481" s="1801"/>
      <c r="F481" t="s" s="1799">
        <v>2452</v>
      </c>
      <c r="G481" s="1789"/>
      <c r="H481" s="1801" cm="1">
        <f t="array" ref="H481">C481-D481</f>
        <v>-8354092.5</v>
      </c>
      <c r="I481" s="1789"/>
      <c r="J481" s="1789"/>
      <c r="K481" s="1789"/>
      <c r="L481" s="1789"/>
      <c r="M481" s="1789"/>
      <c r="N481" s="1789"/>
    </row>
    <row r="482" ht="15" customHeight="1">
      <c r="A482" t="s" s="1799">
        <v>3142</v>
      </c>
      <c r="B482" t="s" s="1800">
        <v>3143</v>
      </c>
      <c r="C482" s="1801">
        <v>336129127</v>
      </c>
      <c r="D482" s="1801">
        <v>-13000000</v>
      </c>
      <c r="E482" s="1801"/>
      <c r="F482" t="s" s="1799">
        <v>2452</v>
      </c>
      <c r="G482" s="1789"/>
      <c r="H482" s="1801" cm="1">
        <f t="array" ref="H482">C482-D482</f>
        <v>349129127</v>
      </c>
      <c r="I482" s="1789"/>
      <c r="J482" s="1789"/>
      <c r="K482" s="1789"/>
      <c r="L482" s="1789"/>
      <c r="M482" s="1789"/>
      <c r="N482" s="1789"/>
    </row>
    <row r="483" ht="15" customHeight="1">
      <c r="A483" t="s" s="1799">
        <v>3144</v>
      </c>
      <c r="B483" t="s" s="1800">
        <v>3145</v>
      </c>
      <c r="C483" s="1801">
        <v>1238458044.2</v>
      </c>
      <c r="D483" s="1801">
        <v>611046424.2</v>
      </c>
      <c r="E483" s="1801"/>
      <c r="F483" t="s" s="1799">
        <v>2452</v>
      </c>
      <c r="G483" s="1789"/>
      <c r="H483" s="1801" cm="1">
        <f t="array" ref="H483">C483-D483</f>
        <v>627411620</v>
      </c>
      <c r="I483" s="1789"/>
      <c r="J483" s="1789"/>
      <c r="K483" s="1789"/>
      <c r="L483" s="1789"/>
      <c r="M483" s="1789"/>
      <c r="N483" s="1789"/>
    </row>
    <row r="484" ht="15" customHeight="1">
      <c r="A484" t="s" s="1799">
        <v>3146</v>
      </c>
      <c r="B484" t="s" s="1800">
        <v>3147</v>
      </c>
      <c r="C484" s="1801">
        <v>98615750</v>
      </c>
      <c r="D484" s="1801">
        <v>98615750</v>
      </c>
      <c r="E484" s="1801"/>
      <c r="F484" t="s" s="1799">
        <v>2452</v>
      </c>
      <c r="G484" s="1789"/>
      <c r="H484" s="1801" cm="1">
        <f t="array" ref="H484">C484-D484</f>
        <v>0</v>
      </c>
      <c r="I484" s="1789"/>
      <c r="J484" s="1789"/>
      <c r="K484" s="1789"/>
      <c r="L484" s="1789"/>
      <c r="M484" s="1789"/>
      <c r="N484" s="1789"/>
    </row>
    <row r="485" ht="15" customHeight="1">
      <c r="A485" t="s" s="1799">
        <v>3148</v>
      </c>
      <c r="B485" t="s" s="1800">
        <v>3149</v>
      </c>
      <c r="C485" s="1801">
        <v>849506766.5</v>
      </c>
      <c r="D485" s="1801">
        <v>211742250</v>
      </c>
      <c r="E485" s="1801"/>
      <c r="F485" t="s" s="1799">
        <v>2452</v>
      </c>
      <c r="G485" s="1789"/>
      <c r="H485" s="1801" cm="1">
        <f t="array" ref="H485">C485-D485</f>
        <v>637764516.5</v>
      </c>
      <c r="I485" s="1789"/>
      <c r="J485" s="1789"/>
      <c r="K485" s="1789"/>
      <c r="L485" s="1789"/>
      <c r="M485" s="1789"/>
      <c r="N485" s="1789"/>
    </row>
    <row r="486" ht="15" customHeight="1">
      <c r="A486" t="s" s="1799">
        <v>3150</v>
      </c>
      <c r="B486" t="s" s="1800">
        <v>3151</v>
      </c>
      <c r="C486" s="1801">
        <v>147951913</v>
      </c>
      <c r="D486" s="1801">
        <v>121202499</v>
      </c>
      <c r="E486" s="1801"/>
      <c r="F486" t="s" s="1799">
        <v>2452</v>
      </c>
      <c r="G486" s="1789"/>
      <c r="H486" s="1801" cm="1">
        <f t="array" ref="H486">C486-D486</f>
        <v>26749414</v>
      </c>
      <c r="I486" s="1789"/>
      <c r="J486" s="1789"/>
      <c r="K486" s="1789"/>
      <c r="L486" s="1789"/>
      <c r="M486" s="1789"/>
      <c r="N486" s="1789"/>
    </row>
    <row r="487" ht="15" customHeight="1">
      <c r="A487" t="s" s="1799">
        <v>3152</v>
      </c>
      <c r="B487" t="s" s="1800">
        <v>3153</v>
      </c>
      <c r="C487" s="1801">
        <v>451448384</v>
      </c>
      <c r="D487" s="1801">
        <v>208610861</v>
      </c>
      <c r="E487" s="1801"/>
      <c r="F487" t="s" s="1799">
        <v>2452</v>
      </c>
      <c r="G487" s="1789"/>
      <c r="H487" s="1801" cm="1">
        <f t="array" ref="H487">C487-D487</f>
        <v>242837523</v>
      </c>
      <c r="I487" s="1789"/>
      <c r="J487" s="1789"/>
      <c r="K487" s="1789"/>
      <c r="L487" s="1789"/>
      <c r="M487" s="1789"/>
      <c r="N487" s="1789"/>
    </row>
    <row r="488" ht="15" customHeight="1">
      <c r="A488" t="s" s="1799">
        <v>3154</v>
      </c>
      <c r="B488" t="s" s="1800">
        <v>3155</v>
      </c>
      <c r="C488" s="1801">
        <v>4183999627.89</v>
      </c>
      <c r="D488" s="1801">
        <v>3702794485.89</v>
      </c>
      <c r="E488" s="1801"/>
      <c r="F488" s="1801"/>
      <c r="G488" s="1789"/>
      <c r="H488" s="1801" cm="1">
        <f t="array" ref="H488">C488-D488</f>
        <v>481205142</v>
      </c>
      <c r="I488" s="1789"/>
      <c r="J488" s="1789"/>
      <c r="K488" s="1789"/>
      <c r="L488" s="1789"/>
      <c r="M488" s="1789"/>
      <c r="N488" s="1789"/>
    </row>
    <row r="489" ht="15" customHeight="1">
      <c r="A489" t="s" s="1799">
        <v>3156</v>
      </c>
      <c r="B489" t="s" s="1800">
        <v>3157</v>
      </c>
      <c r="C489" s="1801">
        <v>605928237</v>
      </c>
      <c r="D489" s="1801">
        <v>258195271</v>
      </c>
      <c r="E489" s="1801"/>
      <c r="F489" t="s" s="1799">
        <v>2452</v>
      </c>
      <c r="G489" s="1789"/>
      <c r="H489" s="1801" cm="1">
        <f t="array" ref="H489">C489-D489</f>
        <v>347732966</v>
      </c>
      <c r="I489" s="1789"/>
      <c r="J489" s="1789"/>
      <c r="K489" s="1789"/>
      <c r="L489" s="1789"/>
      <c r="M489" s="1789"/>
      <c r="N489" s="1789"/>
    </row>
    <row r="490" ht="15" customHeight="1">
      <c r="A490" t="s" s="1799">
        <v>3158</v>
      </c>
      <c r="B490" t="s" s="1800">
        <v>3159</v>
      </c>
      <c r="C490" s="1801">
        <v>311425793</v>
      </c>
      <c r="D490" s="1801">
        <v>0</v>
      </c>
      <c r="E490" s="1801"/>
      <c r="F490" t="s" s="1799">
        <v>2452</v>
      </c>
      <c r="G490" s="1789"/>
      <c r="H490" s="1801" cm="1">
        <f t="array" ref="H490">C490-D490</f>
        <v>311425793</v>
      </c>
      <c r="I490" s="1789"/>
      <c r="J490" s="1789"/>
      <c r="K490" s="1789"/>
      <c r="L490" s="1789"/>
      <c r="M490" s="1789"/>
      <c r="N490" s="1789"/>
    </row>
    <row r="491" ht="15" customHeight="1">
      <c r="A491" t="s" s="1799">
        <v>3160</v>
      </c>
      <c r="B491" t="s" s="1800">
        <v>3161</v>
      </c>
      <c r="C491" s="1801">
        <v>854419266</v>
      </c>
      <c r="D491" s="1801">
        <v>599799113</v>
      </c>
      <c r="E491" s="1801"/>
      <c r="F491" t="s" s="1799">
        <v>2452</v>
      </c>
      <c r="G491" s="1789"/>
      <c r="H491" s="1801" cm="1">
        <f t="array" ref="H491">C491-D491</f>
        <v>254620153</v>
      </c>
      <c r="I491" s="1789"/>
      <c r="J491" s="1789"/>
      <c r="K491" s="1789"/>
      <c r="L491" s="1789"/>
      <c r="M491" s="1789"/>
      <c r="N491" s="1789"/>
    </row>
    <row r="492" ht="15" customHeight="1">
      <c r="A492" t="s" s="1799">
        <v>3162</v>
      </c>
      <c r="B492" t="s" s="1800">
        <v>3163</v>
      </c>
      <c r="C492" s="1801">
        <v>1639348180.3</v>
      </c>
      <c r="D492" s="1801">
        <v>552232028</v>
      </c>
      <c r="E492" s="1801"/>
      <c r="F492" t="s" s="1799">
        <v>2452</v>
      </c>
      <c r="G492" s="1789"/>
      <c r="H492" s="1801" cm="1">
        <f t="array" ref="H492">C492-D492</f>
        <v>1087116152.3</v>
      </c>
      <c r="I492" s="1789"/>
      <c r="J492" s="1789"/>
      <c r="K492" s="1789"/>
      <c r="L492" s="1789"/>
      <c r="M492" s="1789"/>
      <c r="N492" s="1789"/>
    </row>
    <row r="493" ht="15" customHeight="1">
      <c r="A493" t="s" s="1799">
        <v>3164</v>
      </c>
      <c r="B493" t="s" s="1800">
        <v>3165</v>
      </c>
      <c r="C493" s="1801">
        <v>1941923735</v>
      </c>
      <c r="D493" s="1801">
        <v>1016067677</v>
      </c>
      <c r="E493" s="1801"/>
      <c r="F493" t="s" s="1799">
        <v>2452</v>
      </c>
      <c r="G493" s="1789"/>
      <c r="H493" s="1801" cm="1">
        <f t="array" ref="H493">C493-D493</f>
        <v>925856058</v>
      </c>
      <c r="I493" s="1789"/>
      <c r="J493" s="1789"/>
      <c r="K493" s="1789"/>
      <c r="L493" s="1789"/>
      <c r="M493" s="1789"/>
      <c r="N493" s="1789"/>
    </row>
    <row r="494" ht="15" customHeight="1">
      <c r="A494" t="s" s="1799">
        <v>3166</v>
      </c>
      <c r="B494" t="s" s="1800">
        <v>3167</v>
      </c>
      <c r="C494" s="1801">
        <v>1351375274</v>
      </c>
      <c r="D494" s="1801">
        <v>795832636</v>
      </c>
      <c r="E494" s="1801"/>
      <c r="F494" t="s" s="1799">
        <v>2452</v>
      </c>
      <c r="G494" s="1789"/>
      <c r="H494" s="1801" cm="1">
        <f t="array" ref="H494">C494-D494</f>
        <v>555542638</v>
      </c>
      <c r="I494" s="1789"/>
      <c r="J494" s="1789"/>
      <c r="K494" s="1789"/>
      <c r="L494" s="1789"/>
      <c r="M494" s="1789"/>
      <c r="N494" s="1789"/>
    </row>
    <row r="495" ht="15" customHeight="1">
      <c r="A495" t="s" s="1799">
        <v>3168</v>
      </c>
      <c r="B495" t="s" s="1800">
        <v>3169</v>
      </c>
      <c r="C495" s="1801">
        <v>611523186.84</v>
      </c>
      <c r="D495" s="1801">
        <v>207231936.84</v>
      </c>
      <c r="E495" s="1801"/>
      <c r="F495" t="s" s="1799">
        <v>2452</v>
      </c>
      <c r="G495" s="1789"/>
      <c r="H495" s="1801" cm="1">
        <f t="array" ref="H495">C495-D495</f>
        <v>404291250</v>
      </c>
      <c r="I495" s="1789"/>
      <c r="J495" s="1789"/>
      <c r="K495" s="1789"/>
      <c r="L495" s="1789"/>
      <c r="M495" s="1789"/>
      <c r="N495" s="1789"/>
    </row>
    <row r="496" ht="15" customHeight="1">
      <c r="A496" t="s" s="1799">
        <v>3170</v>
      </c>
      <c r="B496" t="s" s="1800">
        <v>3171</v>
      </c>
      <c r="C496" s="1801">
        <v>706989838</v>
      </c>
      <c r="D496" s="1801">
        <v>669549838</v>
      </c>
      <c r="E496" s="1801"/>
      <c r="F496" t="s" s="1799">
        <v>2452</v>
      </c>
      <c r="G496" s="1789"/>
      <c r="H496" s="1801" cm="1">
        <f t="array" ref="H496">C496-D496</f>
        <v>37440000</v>
      </c>
      <c r="I496" s="1789"/>
      <c r="J496" s="1789"/>
      <c r="K496" s="1789"/>
      <c r="L496" s="1789"/>
      <c r="M496" s="1789"/>
      <c r="N496" s="1789"/>
    </row>
    <row r="497" ht="15" customHeight="1">
      <c r="A497" t="s" s="1799">
        <v>3112</v>
      </c>
      <c r="B497" t="s" s="1800">
        <v>3172</v>
      </c>
      <c r="C497" s="1801">
        <v>178217592.2</v>
      </c>
      <c r="D497" s="1801">
        <v>178217592.2</v>
      </c>
      <c r="E497" s="1801"/>
      <c r="F497" t="s" s="1799">
        <v>2452</v>
      </c>
      <c r="G497" s="1789"/>
      <c r="H497" s="1801" cm="1">
        <f t="array" ref="H497">C497-D497</f>
        <v>0</v>
      </c>
      <c r="I497" s="1789"/>
      <c r="J497" s="1789"/>
      <c r="K497" s="1789"/>
      <c r="L497" s="1789"/>
      <c r="M497" s="1789"/>
      <c r="N497" s="1789"/>
    </row>
    <row r="498" ht="15" customHeight="1">
      <c r="A498" t="s" s="1799">
        <v>3173</v>
      </c>
      <c r="B498" t="s" s="1800">
        <v>3174</v>
      </c>
      <c r="C498" s="1801">
        <v>32000000</v>
      </c>
      <c r="D498" s="1801">
        <v>0</v>
      </c>
      <c r="E498" s="1801"/>
      <c r="F498" t="s" s="1799">
        <v>2452</v>
      </c>
      <c r="G498" s="1789"/>
      <c r="H498" s="1801" cm="1">
        <f t="array" ref="H498">C498-D498</f>
        <v>32000000</v>
      </c>
      <c r="I498" s="1789"/>
      <c r="J498" s="1789"/>
      <c r="K498" s="1789"/>
      <c r="L498" s="1789"/>
      <c r="M498" s="1789"/>
      <c r="N498" s="1789"/>
    </row>
    <row r="499" ht="15" customHeight="1">
      <c r="A499" t="s" s="1799">
        <v>3175</v>
      </c>
      <c r="B499" t="s" s="1800">
        <v>3176</v>
      </c>
      <c r="C499" s="1801">
        <v>301472061.48</v>
      </c>
      <c r="D499" s="1801">
        <v>263016503.48</v>
      </c>
      <c r="E499" s="1801"/>
      <c r="F499" t="s" s="1799">
        <v>2452</v>
      </c>
      <c r="G499" s="1789"/>
      <c r="H499" s="1801" cm="1">
        <f t="array" ref="H499">C499-D499</f>
        <v>38455558</v>
      </c>
      <c r="I499" s="1789"/>
      <c r="J499" s="1789"/>
      <c r="K499" s="1789"/>
      <c r="L499" s="1789"/>
      <c r="M499" s="1789"/>
      <c r="N499" s="1789"/>
    </row>
    <row r="500" ht="15" customHeight="1">
      <c r="A500" t="s" s="1799">
        <v>3177</v>
      </c>
      <c r="B500" t="s" s="1800">
        <v>3178</v>
      </c>
      <c r="C500" s="1801">
        <v>542275613</v>
      </c>
      <c r="D500" s="1801">
        <v>0</v>
      </c>
      <c r="E500" s="1801"/>
      <c r="F500" t="s" s="1799">
        <v>2452</v>
      </c>
      <c r="G500" s="1789"/>
      <c r="H500" s="1801" cm="1">
        <f t="array" ref="H500">C500-D500</f>
        <v>542275613</v>
      </c>
      <c r="I500" s="1789"/>
      <c r="J500" s="1789"/>
      <c r="K500" s="1789"/>
      <c r="L500" s="1789"/>
      <c r="M500" s="1789"/>
      <c r="N500" s="1789"/>
    </row>
    <row r="501" ht="15" customHeight="1">
      <c r="A501" t="s" s="1799">
        <v>3179</v>
      </c>
      <c r="B501" t="s" s="1800">
        <v>3180</v>
      </c>
      <c r="C501" s="1801">
        <v>56621675</v>
      </c>
      <c r="D501" s="1801">
        <v>56621675</v>
      </c>
      <c r="E501" s="1801"/>
      <c r="F501" t="s" s="1799">
        <v>2452</v>
      </c>
      <c r="G501" s="1789"/>
      <c r="H501" s="1801" cm="1">
        <f t="array" ref="H501">C501-D501</f>
        <v>0</v>
      </c>
      <c r="I501" s="1789"/>
      <c r="J501" s="1789"/>
      <c r="K501" s="1789"/>
      <c r="L501" s="1789"/>
      <c r="M501" s="1789"/>
      <c r="N501" s="1789"/>
    </row>
    <row r="502" ht="15" customHeight="1">
      <c r="A502" t="s" s="1799">
        <v>3181</v>
      </c>
      <c r="B502" t="s" s="1800">
        <v>3182</v>
      </c>
      <c r="C502" s="1801">
        <v>266509992</v>
      </c>
      <c r="D502" s="1801">
        <v>144877992</v>
      </c>
      <c r="E502" s="1801"/>
      <c r="F502" t="s" s="1799">
        <v>2452</v>
      </c>
      <c r="G502" s="1789"/>
      <c r="H502" s="1801" cm="1">
        <f t="array" ref="H502">C502-D502</f>
        <v>121632000</v>
      </c>
      <c r="I502" s="1789"/>
      <c r="J502" s="1789"/>
      <c r="K502" s="1789"/>
      <c r="L502" s="1789"/>
      <c r="M502" s="1789"/>
      <c r="N502" s="1789"/>
    </row>
    <row r="503" ht="15" customHeight="1">
      <c r="A503" t="s" s="1799">
        <v>3183</v>
      </c>
      <c r="B503" t="s" s="1800">
        <v>3184</v>
      </c>
      <c r="C503" s="1801">
        <v>168300000</v>
      </c>
      <c r="D503" s="1801">
        <v>0</v>
      </c>
      <c r="E503" s="1801"/>
      <c r="F503" t="s" s="1799">
        <v>2452</v>
      </c>
      <c r="G503" s="1789"/>
      <c r="H503" s="1801" cm="1">
        <f t="array" ref="H503">C503-D503</f>
        <v>168300000</v>
      </c>
      <c r="I503" s="1789"/>
      <c r="J503" s="1789"/>
      <c r="K503" s="1789"/>
      <c r="L503" s="1789"/>
      <c r="M503" s="1789"/>
      <c r="N503" s="1789"/>
    </row>
    <row r="504" ht="15" customHeight="1">
      <c r="A504" t="s" s="1799">
        <v>3185</v>
      </c>
      <c r="B504" t="s" s="1800">
        <v>3186</v>
      </c>
      <c r="C504" s="1801">
        <v>59039722</v>
      </c>
      <c r="D504" s="1801">
        <v>50251040</v>
      </c>
      <c r="E504" s="1801"/>
      <c r="F504" t="s" s="1799">
        <v>2452</v>
      </c>
      <c r="G504" s="1789"/>
      <c r="H504" s="1801" cm="1">
        <f t="array" ref="H504">C504-D504</f>
        <v>8788682</v>
      </c>
      <c r="I504" s="1789"/>
      <c r="J504" s="1789"/>
      <c r="K504" s="1789"/>
      <c r="L504" s="1789"/>
      <c r="M504" s="1789"/>
      <c r="N504" s="1789"/>
    </row>
    <row r="505" ht="15" customHeight="1">
      <c r="A505" t="s" s="1799">
        <v>3187</v>
      </c>
      <c r="B505" t="s" s="1800">
        <v>3188</v>
      </c>
      <c r="C505" s="1801">
        <v>-320922999</v>
      </c>
      <c r="D505" s="1801">
        <v>-255602999</v>
      </c>
      <c r="E505" s="1801"/>
      <c r="F505" t="s" s="1799">
        <v>2452</v>
      </c>
      <c r="G505" s="1789"/>
      <c r="H505" s="1801" cm="1">
        <f t="array" ref="H505">C505-D505</f>
        <v>-65320000</v>
      </c>
      <c r="I505" s="1789"/>
      <c r="J505" s="1789"/>
      <c r="K505" s="1789"/>
      <c r="L505" s="1789"/>
      <c r="M505" s="1789"/>
      <c r="N505" s="1789"/>
    </row>
    <row r="506" ht="15" customHeight="1">
      <c r="A506" t="s" s="1799">
        <v>3189</v>
      </c>
      <c r="B506" t="s" s="1800">
        <v>3190</v>
      </c>
      <c r="C506" s="1801">
        <v>372429391</v>
      </c>
      <c r="D506" s="1801">
        <v>372429391</v>
      </c>
      <c r="E506" s="1801"/>
      <c r="F506" t="s" s="1799">
        <v>2452</v>
      </c>
      <c r="G506" s="1789"/>
      <c r="H506" s="1801" cm="1">
        <f t="array" ref="H506">C506-D506</f>
        <v>0</v>
      </c>
      <c r="I506" s="1789"/>
      <c r="J506" s="1789"/>
      <c r="K506" s="1789"/>
      <c r="L506" s="1789"/>
      <c r="M506" s="1789"/>
      <c r="N506" s="1789"/>
    </row>
    <row r="507" ht="15" customHeight="1">
      <c r="A507" t="s" s="1799">
        <v>3191</v>
      </c>
      <c r="B507" t="s" s="1800">
        <v>3192</v>
      </c>
      <c r="C507" s="1801">
        <v>-42405912</v>
      </c>
      <c r="D507" s="1801">
        <v>-54894048</v>
      </c>
      <c r="E507" s="1801"/>
      <c r="F507" t="s" s="1799">
        <v>2452</v>
      </c>
      <c r="G507" s="1789"/>
      <c r="H507" s="1801" cm="1">
        <f t="array" ref="H507">C507-D507</f>
        <v>12488136</v>
      </c>
      <c r="I507" s="1789"/>
      <c r="J507" s="1789"/>
      <c r="K507" s="1789"/>
      <c r="L507" s="1789"/>
      <c r="M507" s="1789"/>
      <c r="N507" s="1789"/>
    </row>
    <row r="508" ht="15" customHeight="1">
      <c r="A508" t="s" s="1799">
        <v>3193</v>
      </c>
      <c r="B508" t="s" s="1800">
        <v>3194</v>
      </c>
      <c r="C508" s="1801">
        <v>38607959</v>
      </c>
      <c r="D508" s="1801">
        <v>0</v>
      </c>
      <c r="E508" s="1801"/>
      <c r="F508" t="s" s="1799">
        <v>2452</v>
      </c>
      <c r="G508" s="1789"/>
      <c r="H508" s="1801" cm="1">
        <f t="array" ref="H508">C508-D508</f>
        <v>38607959</v>
      </c>
      <c r="I508" s="1789"/>
      <c r="J508" s="1789"/>
      <c r="K508" s="1789"/>
      <c r="L508" s="1789"/>
      <c r="M508" s="1789"/>
      <c r="N508" s="1789"/>
    </row>
    <row r="509" ht="15" customHeight="1">
      <c r="A509" t="s" s="1799">
        <v>3195</v>
      </c>
      <c r="B509" t="s" s="1800">
        <v>3196</v>
      </c>
      <c r="C509" s="1801">
        <v>4165000</v>
      </c>
      <c r="D509" s="1801">
        <v>4165000</v>
      </c>
      <c r="E509" s="1801"/>
      <c r="F509" s="1801"/>
      <c r="G509" s="1789"/>
      <c r="H509" s="1801" cm="1">
        <f t="array" ref="H509">C509-D509</f>
        <v>0</v>
      </c>
      <c r="I509" s="1789"/>
      <c r="J509" s="1789"/>
      <c r="K509" s="1789"/>
      <c r="L509" s="1789"/>
      <c r="M509" s="1789"/>
      <c r="N509" s="1789"/>
    </row>
    <row r="510" ht="15" customHeight="1">
      <c r="A510" t="s" s="1799">
        <v>3197</v>
      </c>
      <c r="B510" t="s" s="1800">
        <v>3198</v>
      </c>
      <c r="C510" s="1801">
        <v>145135708</v>
      </c>
      <c r="D510" s="1801">
        <v>143281508</v>
      </c>
      <c r="E510" s="1801"/>
      <c r="F510" t="s" s="1799">
        <v>2452</v>
      </c>
      <c r="G510" s="1789"/>
      <c r="H510" s="1801" cm="1">
        <f t="array" ref="H510">C510-D510</f>
        <v>1854200</v>
      </c>
      <c r="I510" s="1789"/>
      <c r="J510" s="1789"/>
      <c r="K510" s="1789"/>
      <c r="L510" s="1789"/>
      <c r="M510" s="1789"/>
      <c r="N510" s="1789"/>
    </row>
    <row r="511" ht="15" customHeight="1">
      <c r="A511" t="s" s="1799">
        <v>3199</v>
      </c>
      <c r="B511" t="s" s="1800">
        <v>3200</v>
      </c>
      <c r="C511" s="1801">
        <v>-24240531</v>
      </c>
      <c r="D511" s="1801">
        <v>-41133856</v>
      </c>
      <c r="E511" s="1801"/>
      <c r="F511" t="s" s="1799">
        <v>2452</v>
      </c>
      <c r="G511" s="1789"/>
      <c r="H511" s="1801" cm="1">
        <f t="array" ref="H511">C511-D511</f>
        <v>16893325</v>
      </c>
      <c r="I511" s="1789"/>
      <c r="J511" s="1789"/>
      <c r="K511" s="1789"/>
      <c r="L511" s="1789"/>
      <c r="M511" s="1789"/>
      <c r="N511" s="1789"/>
    </row>
    <row r="512" ht="15" customHeight="1">
      <c r="A512" t="s" s="1799">
        <v>3201</v>
      </c>
      <c r="B512" t="s" s="1800">
        <v>3202</v>
      </c>
      <c r="C512" s="1801">
        <v>82971886</v>
      </c>
      <c r="D512" s="1801">
        <v>0</v>
      </c>
      <c r="E512" s="1801"/>
      <c r="F512" t="s" s="1799">
        <v>2452</v>
      </c>
      <c r="G512" s="1789"/>
      <c r="H512" s="1801" cm="1">
        <f t="array" ref="H512">C512-D512</f>
        <v>82971886</v>
      </c>
      <c r="I512" s="1789"/>
      <c r="J512" s="1789"/>
      <c r="K512" s="1789"/>
      <c r="L512" s="1789"/>
      <c r="M512" s="1789"/>
      <c r="N512" s="1789"/>
    </row>
    <row r="513" ht="15" customHeight="1">
      <c r="A513" t="s" s="1799">
        <v>3201</v>
      </c>
      <c r="B513" t="s" s="1800">
        <v>3203</v>
      </c>
      <c r="C513" s="1801">
        <v>335080000</v>
      </c>
      <c r="D513" s="1801">
        <v>335080000</v>
      </c>
      <c r="E513" s="1801"/>
      <c r="F513" t="s" s="1799">
        <v>2452</v>
      </c>
      <c r="G513" s="1789"/>
      <c r="H513" s="1801" cm="1">
        <f t="array" ref="H513">C513-D513</f>
        <v>0</v>
      </c>
      <c r="I513" s="1789"/>
      <c r="J513" s="1789"/>
      <c r="K513" s="1789"/>
      <c r="L513" s="1789"/>
      <c r="M513" s="1789"/>
      <c r="N513" s="1789"/>
    </row>
    <row r="514" ht="15" customHeight="1">
      <c r="A514" t="s" s="1799">
        <v>3204</v>
      </c>
      <c r="B514" t="s" s="1800">
        <v>3205</v>
      </c>
      <c r="C514" s="1801">
        <v>440586447</v>
      </c>
      <c r="D514" s="1801">
        <v>0</v>
      </c>
      <c r="E514" s="1801"/>
      <c r="F514" t="s" s="1799">
        <v>2452</v>
      </c>
      <c r="G514" s="1789"/>
      <c r="H514" s="1801" cm="1">
        <f t="array" ref="H514">C514-D514</f>
        <v>440586447</v>
      </c>
      <c r="I514" s="1789"/>
      <c r="J514" s="1789"/>
      <c r="K514" s="1789"/>
      <c r="L514" s="1789"/>
      <c r="M514" s="1789"/>
      <c r="N514" s="1789"/>
    </row>
    <row r="515" ht="15" customHeight="1">
      <c r="A515" t="s" s="1799">
        <v>3206</v>
      </c>
      <c r="B515" t="s" s="1800">
        <v>3207</v>
      </c>
      <c r="C515" s="1801">
        <v>5131158704.6</v>
      </c>
      <c r="D515" s="1801">
        <v>4691591812.5</v>
      </c>
      <c r="E515" s="1801"/>
      <c r="F515" t="s" s="1799">
        <v>2452</v>
      </c>
      <c r="G515" s="1789"/>
      <c r="H515" s="1801" cm="1">
        <f t="array" ref="H515">C515-D515</f>
        <v>439566892.1</v>
      </c>
      <c r="I515" s="1789"/>
      <c r="J515" s="1789"/>
      <c r="K515" s="1789"/>
      <c r="L515" s="1789"/>
      <c r="M515" s="1789"/>
      <c r="N515" s="1789"/>
    </row>
    <row r="516" ht="15" customHeight="1">
      <c r="A516" t="s" s="1799">
        <v>3208</v>
      </c>
      <c r="B516" t="s" s="1800">
        <v>3209</v>
      </c>
      <c r="C516" s="1801">
        <v>227712536.67</v>
      </c>
      <c r="D516" s="1801">
        <v>124752536.67</v>
      </c>
      <c r="E516" s="1801"/>
      <c r="F516" t="s" s="1799">
        <v>2452</v>
      </c>
      <c r="G516" s="1789"/>
      <c r="H516" s="1801" cm="1">
        <f t="array" ref="H516">C516-D516</f>
        <v>102960000</v>
      </c>
      <c r="I516" s="1789"/>
      <c r="J516" s="1789"/>
      <c r="K516" s="1789"/>
      <c r="L516" s="1789"/>
      <c r="M516" s="1789"/>
      <c r="N516" s="1789"/>
    </row>
    <row r="517" ht="15" customHeight="1">
      <c r="A517" t="s" s="1799">
        <v>3210</v>
      </c>
      <c r="B517" t="s" s="1800">
        <v>3211</v>
      </c>
      <c r="C517" s="1801">
        <v>158021000</v>
      </c>
      <c r="D517" s="1801">
        <v>1000000</v>
      </c>
      <c r="E517" s="1801"/>
      <c r="F517" t="s" s="1799">
        <v>2452</v>
      </c>
      <c r="G517" s="1789"/>
      <c r="H517" s="1801" cm="1">
        <f t="array" ref="H517">C517-D517</f>
        <v>157021000</v>
      </c>
      <c r="I517" s="1789"/>
      <c r="J517" s="1789"/>
      <c r="K517" s="1789"/>
      <c r="L517" s="1789"/>
      <c r="M517" s="1789"/>
      <c r="N517" s="1789"/>
    </row>
    <row r="518" ht="15" customHeight="1">
      <c r="A518" t="s" s="1799">
        <v>3212</v>
      </c>
      <c r="B518" t="s" s="1800">
        <v>3213</v>
      </c>
      <c r="C518" s="1801">
        <v>237160768</v>
      </c>
      <c r="D518" s="1801">
        <v>167160768</v>
      </c>
      <c r="E518" s="1801"/>
      <c r="F518" t="s" s="1799">
        <v>2452</v>
      </c>
      <c r="G518" s="1789"/>
      <c r="H518" s="1801" cm="1">
        <f t="array" ref="H518">C518-D518</f>
        <v>70000000</v>
      </c>
      <c r="I518" s="1789"/>
      <c r="J518" s="1789"/>
      <c r="K518" s="1789"/>
      <c r="L518" s="1789"/>
      <c r="M518" s="1789"/>
      <c r="N518" s="1789"/>
    </row>
    <row r="519" ht="15" customHeight="1">
      <c r="A519" t="s" s="1799">
        <v>3214</v>
      </c>
      <c r="B519" t="s" s="1800">
        <v>3215</v>
      </c>
      <c r="C519" s="1801">
        <v>230220093</v>
      </c>
      <c r="D519" s="1801">
        <v>230220093</v>
      </c>
      <c r="E519" s="1801"/>
      <c r="F519" t="s" s="1799">
        <v>2452</v>
      </c>
      <c r="G519" s="1789"/>
      <c r="H519" s="1801" cm="1">
        <f t="array" ref="H519">C519-D519</f>
        <v>0</v>
      </c>
      <c r="I519" s="1789"/>
      <c r="J519" s="1789"/>
      <c r="K519" s="1789"/>
      <c r="L519" s="1789"/>
      <c r="M519" s="1789"/>
      <c r="N519" s="1789"/>
    </row>
    <row r="520" ht="15" customHeight="1">
      <c r="A520" t="s" s="1799">
        <v>3216</v>
      </c>
      <c r="B520" t="s" s="1800">
        <v>3217</v>
      </c>
      <c r="C520" s="1801">
        <v>3000000</v>
      </c>
      <c r="D520" s="1801">
        <v>3000000</v>
      </c>
      <c r="E520" s="1801"/>
      <c r="F520" t="s" s="1799">
        <v>2452</v>
      </c>
      <c r="G520" s="1789"/>
      <c r="H520" s="1801" cm="1">
        <f t="array" ref="H520">C520-D520</f>
        <v>0</v>
      </c>
      <c r="I520" s="1789"/>
      <c r="J520" s="1789"/>
      <c r="K520" s="1789"/>
      <c r="L520" s="1789"/>
      <c r="M520" s="1789"/>
      <c r="N520" s="1789"/>
    </row>
    <row r="521" ht="15" customHeight="1">
      <c r="A521" t="s" s="1799">
        <v>3218</v>
      </c>
      <c r="B521" t="s" s="1800">
        <v>3219</v>
      </c>
      <c r="C521" s="1801">
        <v>0</v>
      </c>
      <c r="D521" s="1801">
        <v>0</v>
      </c>
      <c r="E521" s="1801"/>
      <c r="F521" t="s" s="1799">
        <v>2452</v>
      </c>
      <c r="G521" s="1789"/>
      <c r="H521" s="1801" cm="1">
        <f t="array" ref="H521">C521-D521</f>
        <v>0</v>
      </c>
      <c r="I521" s="1789"/>
      <c r="J521" s="1789"/>
      <c r="K521" s="1789"/>
      <c r="L521" s="1789"/>
      <c r="M521" s="1789"/>
      <c r="N521" s="1789"/>
    </row>
    <row r="522" ht="15" customHeight="1">
      <c r="A522" t="s" s="1799">
        <v>3220</v>
      </c>
      <c r="B522" t="s" s="1800">
        <v>3221</v>
      </c>
      <c r="C522" s="1801">
        <v>34530421</v>
      </c>
      <c r="D522" s="1801">
        <v>34530421</v>
      </c>
      <c r="E522" s="1801"/>
      <c r="F522" t="s" s="1799">
        <v>2452</v>
      </c>
      <c r="G522" s="1789"/>
      <c r="H522" s="1801" cm="1">
        <f t="array" ref="H522">C522-D522</f>
        <v>0</v>
      </c>
      <c r="I522" s="1789"/>
      <c r="J522" s="1789"/>
      <c r="K522" s="1789"/>
      <c r="L522" s="1789"/>
      <c r="M522" s="1789"/>
      <c r="N522" s="1789"/>
    </row>
    <row r="523" ht="15" customHeight="1">
      <c r="A523" t="s" s="1799">
        <v>3222</v>
      </c>
      <c r="B523" t="s" s="1800">
        <v>3223</v>
      </c>
      <c r="C523" s="1801">
        <v>811918747</v>
      </c>
      <c r="D523" s="1801">
        <v>793715747</v>
      </c>
      <c r="E523" s="1801"/>
      <c r="F523" t="s" s="1799">
        <v>2452</v>
      </c>
      <c r="G523" s="1789"/>
      <c r="H523" s="1801" cm="1">
        <f t="array" ref="H523">C523-D523</f>
        <v>18203000</v>
      </c>
      <c r="I523" s="1789"/>
      <c r="J523" s="1789"/>
      <c r="K523" s="1789"/>
      <c r="L523" s="1789"/>
      <c r="M523" s="1789"/>
      <c r="N523" s="1789"/>
    </row>
    <row r="524" ht="15" customHeight="1">
      <c r="A524" t="s" s="1799">
        <v>3224</v>
      </c>
      <c r="B524" t="s" s="1800">
        <v>3225</v>
      </c>
      <c r="C524" s="1801">
        <v>164042868.01</v>
      </c>
      <c r="D524" s="1801">
        <v>151359259.01</v>
      </c>
      <c r="E524" s="1801"/>
      <c r="F524" t="s" s="1799">
        <v>2452</v>
      </c>
      <c r="G524" s="1789"/>
      <c r="H524" s="1801" cm="1">
        <f t="array" ref="H524">C524-D524</f>
        <v>12683609</v>
      </c>
      <c r="I524" s="1789"/>
      <c r="J524" s="1789"/>
      <c r="K524" s="1789"/>
      <c r="L524" s="1789"/>
      <c r="M524" s="1789"/>
      <c r="N524" s="1789"/>
    </row>
    <row r="525" ht="15" customHeight="1">
      <c r="A525" t="s" s="1799">
        <v>3226</v>
      </c>
      <c r="B525" t="s" s="1800">
        <v>3227</v>
      </c>
      <c r="C525" s="1801">
        <v>50150850.5</v>
      </c>
      <c r="D525" s="1801">
        <v>-6800000</v>
      </c>
      <c r="E525" s="1801"/>
      <c r="F525" t="s" s="1799">
        <v>2452</v>
      </c>
      <c r="G525" s="1789"/>
      <c r="H525" s="1801" cm="1">
        <f t="array" ref="H525">C525-D525</f>
        <v>56950850.5</v>
      </c>
      <c r="I525" s="1789"/>
      <c r="J525" s="1789"/>
      <c r="K525" s="1789"/>
      <c r="L525" s="1789"/>
      <c r="M525" s="1789"/>
      <c r="N525" s="1789"/>
    </row>
    <row r="526" ht="15" customHeight="1">
      <c r="A526" t="s" s="1799">
        <v>3228</v>
      </c>
      <c r="B526" t="s" s="1800">
        <v>3229</v>
      </c>
      <c r="C526" s="1801">
        <v>32859001</v>
      </c>
      <c r="D526" s="1801">
        <v>32859001</v>
      </c>
      <c r="E526" s="1801"/>
      <c r="F526" t="s" s="1799">
        <v>2452</v>
      </c>
      <c r="G526" s="1789"/>
      <c r="H526" s="1801" cm="1">
        <f t="array" ref="H526">C526-D526</f>
        <v>0</v>
      </c>
      <c r="I526" s="1789"/>
      <c r="J526" s="1789"/>
      <c r="K526" s="1789"/>
      <c r="L526" s="1789"/>
      <c r="M526" s="1789"/>
      <c r="N526" s="1789"/>
    </row>
    <row r="527" ht="15" customHeight="1">
      <c r="A527" t="s" s="1799">
        <v>3230</v>
      </c>
      <c r="B527" t="s" s="1800">
        <v>3231</v>
      </c>
      <c r="C527" s="1801">
        <v>148811000</v>
      </c>
      <c r="D527" s="1801">
        <v>142921000</v>
      </c>
      <c r="E527" s="1801"/>
      <c r="F527" t="s" s="1799">
        <v>2452</v>
      </c>
      <c r="G527" s="1789"/>
      <c r="H527" s="1801" cm="1">
        <f t="array" ref="H527">C527-D527</f>
        <v>5890000</v>
      </c>
      <c r="I527" s="1789"/>
      <c r="J527" s="1789"/>
      <c r="K527" s="1789"/>
      <c r="L527" s="1789"/>
      <c r="M527" s="1789"/>
      <c r="N527" s="1789"/>
    </row>
    <row r="528" ht="15" customHeight="1">
      <c r="A528" t="s" s="1799">
        <v>3232</v>
      </c>
      <c r="B528" t="s" s="1800">
        <v>3233</v>
      </c>
      <c r="C528" s="1801">
        <v>65804000</v>
      </c>
      <c r="D528" s="1801">
        <v>48804000</v>
      </c>
      <c r="E528" s="1801"/>
      <c r="F528" t="s" s="1799">
        <v>2452</v>
      </c>
      <c r="G528" s="1789"/>
      <c r="H528" s="1801" cm="1">
        <f t="array" ref="H528">C528-D528</f>
        <v>17000000</v>
      </c>
      <c r="I528" s="1789"/>
      <c r="J528" s="1789"/>
      <c r="K528" s="1789"/>
      <c r="L528" s="1789"/>
      <c r="M528" s="1789"/>
      <c r="N528" s="1789"/>
    </row>
    <row r="529" ht="15" customHeight="1">
      <c r="A529" t="s" s="1799">
        <v>3234</v>
      </c>
      <c r="B529" t="s" s="1800">
        <v>3235</v>
      </c>
      <c r="C529" s="1801">
        <v>88682000</v>
      </c>
      <c r="D529" s="1801">
        <v>46682000</v>
      </c>
      <c r="E529" s="1801"/>
      <c r="F529" t="s" s="1799">
        <v>2452</v>
      </c>
      <c r="G529" s="1789"/>
      <c r="H529" s="1801" cm="1">
        <f t="array" ref="H529">C529-D529</f>
        <v>42000000</v>
      </c>
      <c r="I529" s="1789"/>
      <c r="J529" s="1789"/>
      <c r="K529" s="1789"/>
      <c r="L529" s="1789"/>
      <c r="M529" s="1789"/>
      <c r="N529" s="1789"/>
    </row>
    <row r="530" ht="15" customHeight="1">
      <c r="A530" t="s" s="1799">
        <v>3236</v>
      </c>
      <c r="B530" t="s" s="1800">
        <v>3237</v>
      </c>
      <c r="C530" s="1801">
        <v>213406998</v>
      </c>
      <c r="D530" s="1801">
        <v>128406998</v>
      </c>
      <c r="E530" s="1801"/>
      <c r="F530" t="s" s="1799">
        <v>2452</v>
      </c>
      <c r="G530" s="1789"/>
      <c r="H530" s="1801" cm="1">
        <f t="array" ref="H530">C530-D530</f>
        <v>85000000</v>
      </c>
      <c r="I530" s="1789"/>
      <c r="J530" s="1789"/>
      <c r="K530" s="1789"/>
      <c r="L530" s="1789"/>
      <c r="M530" s="1789"/>
      <c r="N530" s="1789"/>
    </row>
    <row r="531" ht="15" customHeight="1">
      <c r="A531" t="s" s="1799">
        <v>3238</v>
      </c>
      <c r="B531" t="s" s="1800">
        <v>3239</v>
      </c>
      <c r="C531" s="1801">
        <v>59615426</v>
      </c>
      <c r="D531" s="1801">
        <v>44615426</v>
      </c>
      <c r="E531" s="1801"/>
      <c r="F531" t="s" s="1799">
        <v>2452</v>
      </c>
      <c r="G531" s="1789"/>
      <c r="H531" s="1801" cm="1">
        <f t="array" ref="H531">C531-D531</f>
        <v>15000000</v>
      </c>
      <c r="I531" s="1789"/>
      <c r="J531" s="1789"/>
      <c r="K531" s="1789"/>
      <c r="L531" s="1789"/>
      <c r="M531" s="1789"/>
      <c r="N531" s="1789"/>
    </row>
    <row r="532" ht="15" customHeight="1">
      <c r="A532" t="s" s="1799">
        <v>3240</v>
      </c>
      <c r="B532" t="s" s="1800">
        <v>3241</v>
      </c>
      <c r="C532" s="1801">
        <v>35745204</v>
      </c>
      <c r="D532" s="1801">
        <v>18745204</v>
      </c>
      <c r="E532" s="1801"/>
      <c r="F532" t="s" s="1799">
        <v>2452</v>
      </c>
      <c r="G532" s="1789"/>
      <c r="H532" s="1801" cm="1">
        <f t="array" ref="H532">C532-D532</f>
        <v>17000000</v>
      </c>
      <c r="I532" s="1789"/>
      <c r="J532" s="1789"/>
      <c r="K532" s="1789"/>
      <c r="L532" s="1789"/>
      <c r="M532" s="1789"/>
      <c r="N532" s="1789"/>
    </row>
    <row r="533" ht="15" customHeight="1">
      <c r="A533" t="s" s="1799">
        <v>3242</v>
      </c>
      <c r="B533" t="s" s="1800">
        <v>3243</v>
      </c>
      <c r="C533" s="1801">
        <v>33000000</v>
      </c>
      <c r="D533" s="1801">
        <v>22000000</v>
      </c>
      <c r="E533" s="1801"/>
      <c r="F533" t="s" s="1799">
        <v>2452</v>
      </c>
      <c r="G533" s="1789"/>
      <c r="H533" s="1801" cm="1">
        <f t="array" ref="H533">C533-D533</f>
        <v>11000000</v>
      </c>
      <c r="I533" s="1789"/>
      <c r="J533" s="1789"/>
      <c r="K533" s="1789"/>
      <c r="L533" s="1789"/>
      <c r="M533" s="1789"/>
      <c r="N533" s="1789"/>
    </row>
    <row r="534" ht="15" customHeight="1">
      <c r="A534" t="s" s="1799">
        <v>3244</v>
      </c>
      <c r="B534" t="s" s="1800">
        <v>3245</v>
      </c>
      <c r="C534" s="1801">
        <v>57688500</v>
      </c>
      <c r="D534" s="1801">
        <v>-32791500</v>
      </c>
      <c r="E534" s="1801"/>
      <c r="F534" t="s" s="1799">
        <v>2452</v>
      </c>
      <c r="G534" s="1789"/>
      <c r="H534" s="1801" cm="1">
        <f t="array" ref="H534">C534-D534</f>
        <v>90480000</v>
      </c>
      <c r="I534" s="1789"/>
      <c r="J534" s="1789"/>
      <c r="K534" s="1789"/>
      <c r="L534" s="1789"/>
      <c r="M534" s="1789"/>
      <c r="N534" s="1789"/>
    </row>
    <row r="535" ht="15" customHeight="1">
      <c r="A535" t="s" s="1799">
        <v>3246</v>
      </c>
      <c r="B535" t="s" s="1800">
        <v>3247</v>
      </c>
      <c r="C535" s="1801">
        <v>30000000</v>
      </c>
      <c r="D535" s="1801">
        <v>30000000</v>
      </c>
      <c r="E535" s="1801"/>
      <c r="F535" t="s" s="1799">
        <v>2452</v>
      </c>
      <c r="G535" s="1789"/>
      <c r="H535" s="1801" cm="1">
        <f t="array" ref="H535">C535-D535</f>
        <v>0</v>
      </c>
      <c r="I535" s="1789"/>
      <c r="J535" s="1789"/>
      <c r="K535" s="1789"/>
      <c r="L535" s="1789"/>
      <c r="M535" s="1789"/>
      <c r="N535" s="1789"/>
    </row>
    <row r="536" ht="15" customHeight="1">
      <c r="A536" t="s" s="1799">
        <v>3248</v>
      </c>
      <c r="B536" t="s" s="1800">
        <v>3249</v>
      </c>
      <c r="C536" s="1801">
        <v>21013857</v>
      </c>
      <c r="D536" s="1801">
        <v>21013857</v>
      </c>
      <c r="E536" s="1801"/>
      <c r="F536" t="s" s="1799">
        <v>2452</v>
      </c>
      <c r="G536" s="1789"/>
      <c r="H536" s="1801" cm="1">
        <f t="array" ref="H536">C536-D536</f>
        <v>0</v>
      </c>
      <c r="I536" s="1789"/>
      <c r="J536" s="1789"/>
      <c r="K536" s="1789"/>
      <c r="L536" s="1789"/>
      <c r="M536" s="1789"/>
      <c r="N536" s="1789"/>
    </row>
    <row r="537" ht="15" customHeight="1">
      <c r="A537" t="s" s="1799">
        <v>3250</v>
      </c>
      <c r="B537" t="s" s="1800">
        <v>3251</v>
      </c>
      <c r="C537" s="1801">
        <v>509556371</v>
      </c>
      <c r="D537" s="1801">
        <v>241916371</v>
      </c>
      <c r="E537" s="1801"/>
      <c r="F537" t="s" s="1799">
        <v>2452</v>
      </c>
      <c r="G537" s="1789"/>
      <c r="H537" s="1801" cm="1">
        <f t="array" ref="H537">C537-D537</f>
        <v>267640000</v>
      </c>
      <c r="I537" s="1789"/>
      <c r="J537" s="1789"/>
      <c r="K537" s="1789"/>
      <c r="L537" s="1789"/>
      <c r="M537" s="1789"/>
      <c r="N537" s="1789"/>
    </row>
    <row r="538" ht="15" customHeight="1">
      <c r="A538" t="s" s="1799">
        <v>3252</v>
      </c>
      <c r="B538" t="s" s="1800">
        <v>3253</v>
      </c>
      <c r="C538" s="1801">
        <v>30150000</v>
      </c>
      <c r="D538" s="1801">
        <v>30100000</v>
      </c>
      <c r="E538" s="1801"/>
      <c r="F538" t="s" s="1799">
        <v>2452</v>
      </c>
      <c r="G538" s="1789"/>
      <c r="H538" s="1801" cm="1">
        <f t="array" ref="H538">C538-D538</f>
        <v>50000</v>
      </c>
      <c r="I538" s="1789"/>
      <c r="J538" s="1789"/>
      <c r="K538" s="1789"/>
      <c r="L538" s="1789"/>
      <c r="M538" s="1789"/>
      <c r="N538" s="1789"/>
    </row>
    <row r="539" ht="15" customHeight="1">
      <c r="A539" t="s" s="1799">
        <v>3254</v>
      </c>
      <c r="B539" t="s" s="1800">
        <v>3255</v>
      </c>
      <c r="C539" s="1801">
        <v>251648330</v>
      </c>
      <c r="D539" s="1801">
        <v>0</v>
      </c>
      <c r="E539" s="1801"/>
      <c r="F539" t="s" s="1799">
        <v>2452</v>
      </c>
      <c r="G539" s="1789"/>
      <c r="H539" s="1801" cm="1">
        <f t="array" ref="H539">C539-D539</f>
        <v>251648330</v>
      </c>
      <c r="I539" s="1789"/>
      <c r="J539" s="1789"/>
      <c r="K539" s="1789"/>
      <c r="L539" s="1789"/>
      <c r="M539" s="1789"/>
      <c r="N539" s="1789"/>
    </row>
    <row r="540" ht="15" customHeight="1">
      <c r="A540" t="s" s="1799">
        <v>3256</v>
      </c>
      <c r="B540" t="s" s="1800">
        <v>3257</v>
      </c>
      <c r="C540" s="1801">
        <v>26146658</v>
      </c>
      <c r="D540" s="1801">
        <v>26146658</v>
      </c>
      <c r="E540" s="1801"/>
      <c r="F540" t="s" s="1799">
        <v>2452</v>
      </c>
      <c r="G540" s="1789"/>
      <c r="H540" s="1801" cm="1">
        <f t="array" ref="H540">C540-D540</f>
        <v>0</v>
      </c>
      <c r="I540" s="1789"/>
      <c r="J540" s="1789"/>
      <c r="K540" s="1789"/>
      <c r="L540" s="1789"/>
      <c r="M540" s="1789"/>
      <c r="N540" s="1789"/>
    </row>
    <row r="541" ht="15" customHeight="1">
      <c r="A541" t="s" s="1799">
        <v>3258</v>
      </c>
      <c r="B541" t="s" s="1800">
        <v>3259</v>
      </c>
      <c r="C541" s="1801">
        <v>911011098</v>
      </c>
      <c r="D541" s="1801">
        <v>916295849</v>
      </c>
      <c r="E541" s="1801"/>
      <c r="F541" t="s" s="1799">
        <v>2452</v>
      </c>
      <c r="G541" s="1789"/>
      <c r="H541" s="1801" cm="1">
        <f t="array" ref="H541">C541-D541</f>
        <v>-5284751</v>
      </c>
      <c r="I541" s="1789"/>
      <c r="J541" s="1789"/>
      <c r="K541" s="1789"/>
      <c r="L541" s="1789"/>
      <c r="M541" s="1789"/>
      <c r="N541" s="1789"/>
    </row>
    <row r="542" ht="15" customHeight="1">
      <c r="A542" t="s" s="1799">
        <v>3258</v>
      </c>
      <c r="B542" t="s" s="1800">
        <v>3260</v>
      </c>
      <c r="C542" s="1801">
        <v>60000000</v>
      </c>
      <c r="D542" s="1801">
        <v>60000000</v>
      </c>
      <c r="E542" s="1801"/>
      <c r="F542" t="s" s="1799">
        <v>2452</v>
      </c>
      <c r="G542" s="1789"/>
      <c r="H542" s="1801" cm="1">
        <f t="array" ref="H542">C542-D542</f>
        <v>0</v>
      </c>
      <c r="I542" s="1789"/>
      <c r="J542" s="1789"/>
      <c r="K542" s="1789"/>
      <c r="L542" s="1789"/>
      <c r="M542" s="1789"/>
      <c r="N542" s="1789"/>
    </row>
    <row r="543" ht="15" customHeight="1">
      <c r="A543" t="s" s="1799">
        <v>3261</v>
      </c>
      <c r="B543" t="s" s="1800">
        <v>3262</v>
      </c>
      <c r="C543" s="1801">
        <v>56533334</v>
      </c>
      <c r="D543" s="1801">
        <v>56533334</v>
      </c>
      <c r="E543" s="1801"/>
      <c r="F543" t="s" s="1799">
        <v>2452</v>
      </c>
      <c r="G543" s="1789"/>
      <c r="H543" s="1801" cm="1">
        <f t="array" ref="H543">C543-D543</f>
        <v>0</v>
      </c>
      <c r="I543" s="1789"/>
      <c r="J543" s="1789"/>
      <c r="K543" s="1789"/>
      <c r="L543" s="1789"/>
      <c r="M543" s="1789"/>
      <c r="N543" s="1789"/>
    </row>
    <row r="544" ht="15" customHeight="1">
      <c r="A544" t="s" s="1799">
        <v>3263</v>
      </c>
      <c r="B544" t="s" s="1800">
        <v>3264</v>
      </c>
      <c r="C544" s="1801">
        <v>95228605</v>
      </c>
      <c r="D544" s="1801">
        <v>95228605</v>
      </c>
      <c r="E544" s="1801"/>
      <c r="F544" t="s" s="1799">
        <v>2452</v>
      </c>
      <c r="G544" s="1789"/>
      <c r="H544" s="1801" cm="1">
        <f t="array" ref="H544">C544-D544</f>
        <v>0</v>
      </c>
      <c r="I544" s="1789"/>
      <c r="J544" s="1789"/>
      <c r="K544" s="1789"/>
      <c r="L544" s="1789"/>
      <c r="M544" s="1789"/>
      <c r="N544" s="1789"/>
    </row>
    <row r="545" ht="15" customHeight="1">
      <c r="A545" t="s" s="1799">
        <v>3265</v>
      </c>
      <c r="B545" t="s" s="1800">
        <v>3266</v>
      </c>
      <c r="C545" s="1801">
        <v>11000000</v>
      </c>
      <c r="D545" s="1801">
        <v>11000000</v>
      </c>
      <c r="E545" s="1801"/>
      <c r="F545" t="s" s="1799">
        <v>2452</v>
      </c>
      <c r="G545" s="1789"/>
      <c r="H545" s="1801" cm="1">
        <f t="array" ref="H545">C545-D545</f>
        <v>0</v>
      </c>
      <c r="I545" s="1789"/>
      <c r="J545" s="1789"/>
      <c r="K545" s="1789"/>
      <c r="L545" s="1789"/>
      <c r="M545" s="1789"/>
      <c r="N545" s="1789"/>
    </row>
    <row r="546" ht="15" customHeight="1">
      <c r="A546" t="s" s="1799">
        <v>3267</v>
      </c>
      <c r="B546" t="s" s="1800">
        <v>3268</v>
      </c>
      <c r="C546" s="1801">
        <v>-7219744</v>
      </c>
      <c r="D546" s="1801">
        <v>-7219744</v>
      </c>
      <c r="E546" s="1801"/>
      <c r="F546" t="s" s="1799">
        <v>2452</v>
      </c>
      <c r="G546" s="1789"/>
      <c r="H546" s="1801" cm="1">
        <f t="array" ref="H546">C546-D546</f>
        <v>0</v>
      </c>
      <c r="I546" s="1789"/>
      <c r="J546" s="1789"/>
      <c r="K546" s="1789"/>
      <c r="L546" s="1789"/>
      <c r="M546" s="1789"/>
      <c r="N546" s="1789"/>
    </row>
    <row r="547" ht="15" customHeight="1">
      <c r="A547" t="s" s="1799">
        <v>3269</v>
      </c>
      <c r="B547" t="s" s="1800">
        <v>3270</v>
      </c>
      <c r="C547" s="1801">
        <v>330412944</v>
      </c>
      <c r="D547" s="1801">
        <v>330412944</v>
      </c>
      <c r="E547" s="1801"/>
      <c r="F547" t="s" s="1799">
        <v>2452</v>
      </c>
      <c r="G547" s="1789"/>
      <c r="H547" s="1801" cm="1">
        <f t="array" ref="H547">C547-D547</f>
        <v>0</v>
      </c>
      <c r="I547" s="1789"/>
      <c r="J547" s="1789"/>
      <c r="K547" s="1789"/>
      <c r="L547" s="1789"/>
      <c r="M547" s="1789"/>
      <c r="N547" s="1789"/>
    </row>
    <row r="548" ht="15" customHeight="1">
      <c r="A548" t="s" s="1799">
        <v>3271</v>
      </c>
      <c r="B548" t="s" s="1800">
        <v>3272</v>
      </c>
      <c r="C548" s="1801">
        <v>66190000</v>
      </c>
      <c r="D548" s="1801">
        <v>66190000</v>
      </c>
      <c r="E548" s="1801"/>
      <c r="F548" t="s" s="1799">
        <v>2452</v>
      </c>
      <c r="G548" s="1789"/>
      <c r="H548" s="1801" cm="1">
        <f t="array" ref="H548">C548-D548</f>
        <v>0</v>
      </c>
      <c r="I548" s="1789"/>
      <c r="J548" s="1789"/>
      <c r="K548" s="1789"/>
      <c r="L548" s="1789"/>
      <c r="M548" s="1789"/>
      <c r="N548" s="1789"/>
    </row>
    <row r="549" ht="15" customHeight="1">
      <c r="A549" t="s" s="1799">
        <v>3273</v>
      </c>
      <c r="B549" t="s" s="1800">
        <v>3274</v>
      </c>
      <c r="C549" s="1801">
        <v>308670274</v>
      </c>
      <c r="D549" s="1801">
        <v>72365728</v>
      </c>
      <c r="E549" s="1801"/>
      <c r="F549" t="s" s="1799">
        <v>2452</v>
      </c>
      <c r="G549" s="1789"/>
      <c r="H549" s="1801" cm="1">
        <f t="array" ref="H549">C549-D549</f>
        <v>236304546</v>
      </c>
      <c r="I549" s="1789"/>
      <c r="J549" s="1789"/>
      <c r="K549" s="1789"/>
      <c r="L549" s="1789"/>
      <c r="M549" s="1789"/>
      <c r="N549" s="1789"/>
    </row>
    <row r="550" ht="15" customHeight="1">
      <c r="A550" t="s" s="1799">
        <v>3275</v>
      </c>
      <c r="B550" t="s" s="1800">
        <v>3276</v>
      </c>
      <c r="C550" s="1801">
        <v>110755700</v>
      </c>
      <c r="D550" s="1801">
        <v>107262030</v>
      </c>
      <c r="E550" s="1801"/>
      <c r="F550" t="s" s="1799">
        <v>2452</v>
      </c>
      <c r="G550" s="1789"/>
      <c r="H550" s="1801" cm="1">
        <f t="array" ref="H550">C550-D550</f>
        <v>3493670</v>
      </c>
      <c r="I550" s="1789"/>
      <c r="J550" s="1789"/>
      <c r="K550" s="1789"/>
      <c r="L550" s="1789"/>
      <c r="M550" s="1789"/>
      <c r="N550" s="1789"/>
    </row>
    <row r="551" ht="15" customHeight="1">
      <c r="A551" t="s" s="1799">
        <v>3277</v>
      </c>
      <c r="B551" t="s" s="1800">
        <v>3278</v>
      </c>
      <c r="C551" s="1801">
        <v>135175000</v>
      </c>
      <c r="D551" s="1801">
        <v>135175000</v>
      </c>
      <c r="E551" s="1801"/>
      <c r="F551" t="s" s="1799">
        <v>2452</v>
      </c>
      <c r="G551" s="1789"/>
      <c r="H551" s="1801" cm="1">
        <f t="array" ref="H551">C551-D551</f>
        <v>0</v>
      </c>
      <c r="I551" s="1789"/>
      <c r="J551" s="1789"/>
      <c r="K551" s="1789"/>
      <c r="L551" s="1789"/>
      <c r="M551" s="1789"/>
      <c r="N551" s="1789"/>
    </row>
    <row r="552" ht="15" customHeight="1">
      <c r="A552" t="s" s="1799">
        <v>3277</v>
      </c>
      <c r="B552" t="s" s="1800">
        <v>3279</v>
      </c>
      <c r="C552" s="1801">
        <v>59650000</v>
      </c>
      <c r="D552" s="1801">
        <v>59650000</v>
      </c>
      <c r="E552" s="1801"/>
      <c r="F552" t="s" s="1799">
        <v>2452</v>
      </c>
      <c r="G552" s="1789"/>
      <c r="H552" s="1801" cm="1">
        <f t="array" ref="H552">C552-D552</f>
        <v>0</v>
      </c>
      <c r="I552" s="1789"/>
      <c r="J552" s="1789"/>
      <c r="K552" s="1789"/>
      <c r="L552" s="1789"/>
      <c r="M552" s="1789"/>
      <c r="N552" s="1789"/>
    </row>
    <row r="553" ht="15" customHeight="1">
      <c r="A553" t="s" s="1799">
        <v>3280</v>
      </c>
      <c r="B553" t="s" s="1800">
        <v>3281</v>
      </c>
      <c r="C553" s="1801">
        <v>-233032159</v>
      </c>
      <c r="D553" s="1801">
        <v>-248736309</v>
      </c>
      <c r="E553" s="1801"/>
      <c r="F553" t="s" s="1799">
        <v>2452</v>
      </c>
      <c r="G553" s="1789"/>
      <c r="H553" s="1801" cm="1">
        <f t="array" ref="H553">C553-D553</f>
        <v>15704150</v>
      </c>
      <c r="I553" s="1789"/>
      <c r="J553" s="1789"/>
      <c r="K553" s="1789"/>
      <c r="L553" s="1789"/>
      <c r="M553" s="1789"/>
      <c r="N553" s="1789"/>
    </row>
    <row r="554" ht="15" customHeight="1">
      <c r="A554" t="s" s="1799">
        <v>3282</v>
      </c>
      <c r="B554" t="s" s="1800">
        <v>3283</v>
      </c>
      <c r="C554" s="1801">
        <v>43631819</v>
      </c>
      <c r="D554" s="1801">
        <v>43631819</v>
      </c>
      <c r="E554" s="1801"/>
      <c r="F554" t="s" s="1799">
        <v>2452</v>
      </c>
      <c r="G554" s="1789"/>
      <c r="H554" s="1801" cm="1">
        <f t="array" ref="H554">C554-D554</f>
        <v>0</v>
      </c>
      <c r="I554" s="1789"/>
      <c r="J554" s="1789"/>
      <c r="K554" s="1789"/>
      <c r="L554" s="1789"/>
      <c r="M554" s="1789"/>
      <c r="N554" s="1789"/>
    </row>
    <row r="555" ht="15" customHeight="1">
      <c r="A555" t="s" s="1799">
        <v>3282</v>
      </c>
      <c r="B555" t="s" s="1800">
        <v>3284</v>
      </c>
      <c r="C555" s="1801">
        <v>62010101</v>
      </c>
      <c r="D555" s="1801">
        <v>62010101</v>
      </c>
      <c r="E555" s="1801"/>
      <c r="F555" t="s" s="1799">
        <v>2452</v>
      </c>
      <c r="G555" s="1789"/>
      <c r="H555" s="1801" cm="1">
        <f t="array" ref="H555">C555-D555</f>
        <v>0</v>
      </c>
      <c r="I555" s="1789"/>
      <c r="J555" s="1789"/>
      <c r="K555" s="1789"/>
      <c r="L555" s="1789"/>
      <c r="M555" s="1789"/>
      <c r="N555" s="1789"/>
    </row>
    <row r="556" ht="15" customHeight="1">
      <c r="A556" t="s" s="1799">
        <v>3285</v>
      </c>
      <c r="B556" t="s" s="1800">
        <v>3286</v>
      </c>
      <c r="C556" s="1801">
        <v>33990000</v>
      </c>
      <c r="D556" s="1801">
        <v>11990000</v>
      </c>
      <c r="E556" s="1801"/>
      <c r="F556" t="s" s="1799">
        <v>2452</v>
      </c>
      <c r="G556" s="1789"/>
      <c r="H556" s="1801" cm="1">
        <f t="array" ref="H556">C556-D556</f>
        <v>22000000</v>
      </c>
      <c r="I556" s="1789"/>
      <c r="J556" s="1789"/>
      <c r="K556" s="1789"/>
      <c r="L556" s="1789"/>
      <c r="M556" s="1789"/>
      <c r="N556" s="1789"/>
    </row>
    <row r="557" ht="15" customHeight="1">
      <c r="A557" t="s" s="1799">
        <v>3287</v>
      </c>
      <c r="B557" t="s" s="1800">
        <v>3288</v>
      </c>
      <c r="C557" s="1801">
        <v>25705233</v>
      </c>
      <c r="D557" s="1801">
        <v>25705233</v>
      </c>
      <c r="E557" s="1801"/>
      <c r="F557" t="s" s="1799">
        <v>2452</v>
      </c>
      <c r="G557" s="1789"/>
      <c r="H557" s="1801" cm="1">
        <f t="array" ref="H557">C557-D557</f>
        <v>0</v>
      </c>
      <c r="I557" s="1789"/>
      <c r="J557" s="1789"/>
      <c r="K557" s="1789"/>
      <c r="L557" s="1789"/>
      <c r="M557" s="1789"/>
      <c r="N557" s="1789"/>
    </row>
    <row r="558" ht="15" customHeight="1">
      <c r="A558" t="s" s="1799">
        <v>3289</v>
      </c>
      <c r="B558" t="s" s="1800">
        <v>3290</v>
      </c>
      <c r="C558" s="1801">
        <v>8300000</v>
      </c>
      <c r="D558" s="1801">
        <v>8300000</v>
      </c>
      <c r="E558" s="1801"/>
      <c r="F558" t="s" s="1799">
        <v>2452</v>
      </c>
      <c r="G558" s="1789"/>
      <c r="H558" s="1801" cm="1">
        <f t="array" ref="H558">C558-D558</f>
        <v>0</v>
      </c>
      <c r="I558" s="1789"/>
      <c r="J558" s="1789"/>
      <c r="K558" s="1789"/>
      <c r="L558" s="1789"/>
      <c r="M558" s="1789"/>
      <c r="N558" s="1789"/>
    </row>
    <row r="559" ht="15" customHeight="1">
      <c r="A559" t="s" s="1799">
        <v>3291</v>
      </c>
      <c r="B559" t="s" s="1800">
        <v>3292</v>
      </c>
      <c r="C559" s="1801">
        <v>105285886</v>
      </c>
      <c r="D559" s="1801">
        <v>2784000</v>
      </c>
      <c r="E559" s="1801"/>
      <c r="F559" t="s" s="1799">
        <v>2452</v>
      </c>
      <c r="G559" s="1789"/>
      <c r="H559" s="1801" cm="1">
        <f t="array" ref="H559">C559-D559</f>
        <v>102501886</v>
      </c>
      <c r="I559" s="1789"/>
      <c r="J559" s="1789"/>
      <c r="K559" s="1789"/>
      <c r="L559" s="1789"/>
      <c r="M559" s="1789"/>
      <c r="N559" s="1789"/>
    </row>
    <row r="560" ht="15" customHeight="1">
      <c r="A560" t="s" s="1799">
        <v>3293</v>
      </c>
      <c r="B560" t="s" s="1800">
        <v>3294</v>
      </c>
      <c r="C560" s="1801">
        <v>24700000</v>
      </c>
      <c r="D560" s="1801">
        <v>24700000</v>
      </c>
      <c r="E560" s="1801"/>
      <c r="F560" t="s" s="1799">
        <v>2452</v>
      </c>
      <c r="G560" s="1789"/>
      <c r="H560" s="1801" cm="1">
        <f t="array" ref="H560">C560-D560</f>
        <v>0</v>
      </c>
      <c r="I560" s="1789"/>
      <c r="J560" s="1789"/>
      <c r="K560" s="1789"/>
      <c r="L560" s="1789"/>
      <c r="M560" s="1789"/>
      <c r="N560" s="1789"/>
    </row>
    <row r="561" ht="15" customHeight="1">
      <c r="A561" t="s" s="1799">
        <v>3295</v>
      </c>
      <c r="B561" t="s" s="1800">
        <v>3296</v>
      </c>
      <c r="C561" s="1801">
        <v>248979000</v>
      </c>
      <c r="D561" s="1801">
        <v>138979000</v>
      </c>
      <c r="E561" s="1801"/>
      <c r="F561" t="s" s="1799">
        <v>2452</v>
      </c>
      <c r="G561" s="1789"/>
      <c r="H561" s="1801" cm="1">
        <f t="array" ref="H561">C561-D561</f>
        <v>110000000</v>
      </c>
      <c r="I561" s="1789"/>
      <c r="J561" s="1789"/>
      <c r="K561" s="1789"/>
      <c r="L561" s="1789"/>
      <c r="M561" s="1789"/>
      <c r="N561" s="1789"/>
    </row>
    <row r="562" ht="15" customHeight="1">
      <c r="A562" t="s" s="1799">
        <v>3297</v>
      </c>
      <c r="B562" t="s" s="1800">
        <v>3298</v>
      </c>
      <c r="C562" s="1801">
        <v>253059620</v>
      </c>
      <c r="D562" s="1801">
        <v>235059620</v>
      </c>
      <c r="E562" s="1801"/>
      <c r="F562" t="s" s="1799">
        <v>2452</v>
      </c>
      <c r="G562" s="1789"/>
      <c r="H562" s="1801" cm="1">
        <f t="array" ref="H562">C562-D562</f>
        <v>18000000</v>
      </c>
      <c r="I562" s="1789"/>
      <c r="J562" s="1789"/>
      <c r="K562" s="1789"/>
      <c r="L562" s="1789"/>
      <c r="M562" s="1789"/>
      <c r="N562" s="1789"/>
    </row>
    <row r="563" ht="15" customHeight="1">
      <c r="A563" t="s" s="1799">
        <v>3299</v>
      </c>
      <c r="B563" t="s" s="1800">
        <v>3300</v>
      </c>
      <c r="C563" s="1801">
        <v>62781703</v>
      </c>
      <c r="D563" s="1801">
        <v>55202215</v>
      </c>
      <c r="E563" s="1801"/>
      <c r="F563" t="s" s="1799">
        <v>2452</v>
      </c>
      <c r="G563" s="1789"/>
      <c r="H563" s="1801" cm="1">
        <f t="array" ref="H563">C563-D563</f>
        <v>7579488</v>
      </c>
      <c r="I563" s="1789"/>
      <c r="J563" s="1789"/>
      <c r="K563" s="1789"/>
      <c r="L563" s="1789"/>
      <c r="M563" s="1789"/>
      <c r="N563" s="1789"/>
    </row>
    <row r="564" ht="15" customHeight="1">
      <c r="A564" t="s" s="1799">
        <v>3301</v>
      </c>
      <c r="B564" t="s" s="1800">
        <v>3302</v>
      </c>
      <c r="C564" s="1801">
        <v>12288975</v>
      </c>
      <c r="D564" s="1801">
        <v>12288975</v>
      </c>
      <c r="E564" s="1801"/>
      <c r="F564" t="s" s="1799">
        <v>2452</v>
      </c>
      <c r="G564" s="1789"/>
      <c r="H564" s="1801" cm="1">
        <f t="array" ref="H564">C564-D564</f>
        <v>0</v>
      </c>
      <c r="I564" s="1789"/>
      <c r="J564" s="1789"/>
      <c r="K564" s="1789"/>
      <c r="L564" s="1789"/>
      <c r="M564" s="1789"/>
      <c r="N564" s="1789"/>
    </row>
    <row r="565" ht="15" customHeight="1">
      <c r="A565" t="s" s="1799">
        <v>3303</v>
      </c>
      <c r="B565" t="s" s="1800">
        <v>3304</v>
      </c>
      <c r="C565" s="1801">
        <v>93052407</v>
      </c>
      <c r="D565" s="1801">
        <v>72052407</v>
      </c>
      <c r="E565" s="1801"/>
      <c r="F565" t="s" s="1799">
        <v>2452</v>
      </c>
      <c r="G565" s="1789"/>
      <c r="H565" s="1801" cm="1">
        <f t="array" ref="H565">C565-D565</f>
        <v>21000000</v>
      </c>
      <c r="I565" s="1789"/>
      <c r="J565" s="1789"/>
      <c r="K565" s="1789"/>
      <c r="L565" s="1789"/>
      <c r="M565" s="1789"/>
      <c r="N565" s="1789"/>
    </row>
    <row r="566" ht="15" customHeight="1">
      <c r="A566" t="s" s="1799">
        <v>3303</v>
      </c>
      <c r="B566" t="s" s="1800">
        <v>3305</v>
      </c>
      <c r="C566" s="1801">
        <v>70500000</v>
      </c>
      <c r="D566" s="1801">
        <v>65500000</v>
      </c>
      <c r="E566" s="1801"/>
      <c r="F566" t="s" s="1799">
        <v>2452</v>
      </c>
      <c r="G566" s="1789"/>
      <c r="H566" s="1801" cm="1">
        <f t="array" ref="H566">C566-D566</f>
        <v>5000000</v>
      </c>
      <c r="I566" s="1789"/>
      <c r="J566" s="1789"/>
      <c r="K566" s="1789"/>
      <c r="L566" s="1789"/>
      <c r="M566" s="1789"/>
      <c r="N566" s="1789"/>
    </row>
    <row r="567" ht="15" customHeight="1">
      <c r="A567" t="s" s="1799">
        <v>3306</v>
      </c>
      <c r="B567" t="s" s="1800">
        <v>3307</v>
      </c>
      <c r="C567" s="1801">
        <v>79289027</v>
      </c>
      <c r="D567" s="1801">
        <v>0</v>
      </c>
      <c r="E567" s="1801"/>
      <c r="F567" t="s" s="1799">
        <v>2452</v>
      </c>
      <c r="G567" s="1789"/>
      <c r="H567" s="1801" cm="1">
        <f t="array" ref="H567">C567-D567</f>
        <v>79289027</v>
      </c>
      <c r="I567" s="1789"/>
      <c r="J567" s="1789"/>
      <c r="K567" s="1789"/>
      <c r="L567" s="1789"/>
      <c r="M567" s="1789"/>
      <c r="N567" s="1789"/>
    </row>
    <row r="568" ht="15" customHeight="1">
      <c r="A568" t="s" s="1799">
        <v>3308</v>
      </c>
      <c r="B568" t="s" s="1800">
        <v>3309</v>
      </c>
      <c r="C568" s="1801">
        <v>-75703875</v>
      </c>
      <c r="D568" s="1801">
        <v>-75703875</v>
      </c>
      <c r="E568" s="1801"/>
      <c r="F568" t="s" s="1799">
        <v>2452</v>
      </c>
      <c r="G568" s="1789"/>
      <c r="H568" s="1801" cm="1">
        <f t="array" ref="H568">C568-D568</f>
        <v>0</v>
      </c>
      <c r="I568" s="1789"/>
      <c r="J568" s="1789"/>
      <c r="K568" s="1789"/>
      <c r="L568" s="1789"/>
      <c r="M568" s="1789"/>
      <c r="N568" s="1789"/>
    </row>
    <row r="569" ht="15" customHeight="1">
      <c r="A569" t="s" s="1799">
        <v>3308</v>
      </c>
      <c r="B569" t="s" s="1800">
        <v>3310</v>
      </c>
      <c r="C569" s="1801">
        <v>10560000</v>
      </c>
      <c r="D569" s="1801">
        <v>2560000</v>
      </c>
      <c r="E569" s="1801"/>
      <c r="F569" t="s" s="1799">
        <v>2452</v>
      </c>
      <c r="G569" s="1789"/>
      <c r="H569" s="1801" cm="1">
        <f t="array" ref="H569">C569-D569</f>
        <v>8000000</v>
      </c>
      <c r="I569" s="1789"/>
      <c r="J569" s="1789"/>
      <c r="K569" s="1789"/>
      <c r="L569" s="1789"/>
      <c r="M569" s="1789"/>
      <c r="N569" s="1789"/>
    </row>
    <row r="570" ht="15" customHeight="1">
      <c r="A570" t="s" s="1799">
        <v>3311</v>
      </c>
      <c r="B570" t="s" s="1800">
        <v>3312</v>
      </c>
      <c r="C570" s="1801">
        <v>84159503</v>
      </c>
      <c r="D570" s="1801">
        <v>62627530</v>
      </c>
      <c r="E570" s="1801"/>
      <c r="F570" t="s" s="1799">
        <v>2452</v>
      </c>
      <c r="G570" s="1789"/>
      <c r="H570" s="1801" cm="1">
        <f t="array" ref="H570">C570-D570</f>
        <v>21531973</v>
      </c>
      <c r="I570" s="1789"/>
      <c r="J570" s="1789"/>
      <c r="K570" s="1789"/>
      <c r="L570" s="1789"/>
      <c r="M570" s="1789"/>
      <c r="N570" s="1789"/>
    </row>
    <row r="571" ht="15" customHeight="1">
      <c r="A571" t="s" s="1799">
        <v>3313</v>
      </c>
      <c r="B571" t="s" s="1800">
        <v>3314</v>
      </c>
      <c r="C571" s="1801">
        <v>502771386.5</v>
      </c>
      <c r="D571" s="1801">
        <v>479065170.5</v>
      </c>
      <c r="E571" s="1801"/>
      <c r="F571" t="s" s="1799">
        <v>2452</v>
      </c>
      <c r="G571" s="1789"/>
      <c r="H571" s="1801" cm="1">
        <f t="array" ref="H571">C571-D571</f>
        <v>23706216</v>
      </c>
      <c r="I571" s="1789"/>
      <c r="J571" s="1789"/>
      <c r="K571" s="1789"/>
      <c r="L571" s="1789"/>
      <c r="M571" s="1789"/>
      <c r="N571" s="1789"/>
    </row>
    <row r="572" ht="15" customHeight="1">
      <c r="A572" t="s" s="1799">
        <v>3315</v>
      </c>
      <c r="B572" t="s" s="1800">
        <v>3316</v>
      </c>
      <c r="C572" s="1801">
        <v>172092611</v>
      </c>
      <c r="D572" s="1801">
        <v>68428043</v>
      </c>
      <c r="E572" s="1801"/>
      <c r="F572" t="s" s="1799">
        <v>2452</v>
      </c>
      <c r="G572" s="1789"/>
      <c r="H572" s="1801" cm="1">
        <f t="array" ref="H572">C572-D572</f>
        <v>103664568</v>
      </c>
      <c r="I572" s="1789"/>
      <c r="J572" s="1789"/>
      <c r="K572" s="1789"/>
      <c r="L572" s="1789"/>
      <c r="M572" s="1789"/>
      <c r="N572" s="1789"/>
    </row>
    <row r="573" ht="15" customHeight="1">
      <c r="A573" t="s" s="1799">
        <v>3317</v>
      </c>
      <c r="B573" t="s" s="1800">
        <v>3318</v>
      </c>
      <c r="C573" s="1801">
        <v>19590341</v>
      </c>
      <c r="D573" s="1801">
        <v>19590341</v>
      </c>
      <c r="E573" s="1801"/>
      <c r="F573" t="s" s="1799">
        <v>2452</v>
      </c>
      <c r="G573" s="1789"/>
      <c r="H573" s="1801" cm="1">
        <f t="array" ref="H573">C573-D573</f>
        <v>0</v>
      </c>
      <c r="I573" s="1789"/>
      <c r="J573" s="1789"/>
      <c r="K573" s="1789"/>
      <c r="L573" s="1789"/>
      <c r="M573" s="1789"/>
      <c r="N573" s="1789"/>
    </row>
    <row r="574" ht="15" customHeight="1">
      <c r="A574" t="s" s="1799">
        <v>3319</v>
      </c>
      <c r="B574" t="s" s="1800">
        <v>3320</v>
      </c>
      <c r="C574" s="1801">
        <v>52000000</v>
      </c>
      <c r="D574" s="1801">
        <v>52000000</v>
      </c>
      <c r="E574" s="1801"/>
      <c r="F574" t="s" s="1799">
        <v>2452</v>
      </c>
      <c r="G574" s="1789"/>
      <c r="H574" s="1801" cm="1">
        <f t="array" ref="H574">C574-D574</f>
        <v>0</v>
      </c>
      <c r="I574" s="1789"/>
      <c r="J574" s="1789"/>
      <c r="K574" s="1789"/>
      <c r="L574" s="1789"/>
      <c r="M574" s="1789"/>
      <c r="N574" s="1789"/>
    </row>
    <row r="575" ht="15" customHeight="1">
      <c r="A575" t="s" s="1799">
        <v>3321</v>
      </c>
      <c r="B575" t="s" s="1800">
        <v>3322</v>
      </c>
      <c r="C575" s="1801">
        <v>248608495</v>
      </c>
      <c r="D575" s="1801">
        <v>162598495</v>
      </c>
      <c r="E575" s="1801"/>
      <c r="F575" t="s" s="1799">
        <v>2452</v>
      </c>
      <c r="G575" s="1789"/>
      <c r="H575" s="1801" cm="1">
        <f t="array" ref="H575">C575-D575</f>
        <v>86010000</v>
      </c>
      <c r="I575" s="1789"/>
      <c r="J575" s="1789"/>
      <c r="K575" s="1789"/>
      <c r="L575" s="1789"/>
      <c r="M575" s="1789"/>
      <c r="N575" s="1789"/>
    </row>
    <row r="576" ht="15" customHeight="1">
      <c r="A576" t="s" s="1799">
        <v>3323</v>
      </c>
      <c r="B576" t="s" s="1800">
        <v>3324</v>
      </c>
      <c r="C576" s="1801">
        <v>83000000</v>
      </c>
      <c r="D576" s="1801">
        <v>24000000</v>
      </c>
      <c r="E576" s="1801"/>
      <c r="F576" t="s" s="1799">
        <v>2452</v>
      </c>
      <c r="G576" s="1789"/>
      <c r="H576" s="1801" cm="1">
        <f t="array" ref="H576">C576-D576</f>
        <v>59000000</v>
      </c>
      <c r="I576" s="1789"/>
      <c r="J576" s="1789"/>
      <c r="K576" s="1789"/>
      <c r="L576" s="1789"/>
      <c r="M576" s="1789"/>
      <c r="N576" s="1789"/>
    </row>
    <row r="577" ht="15" customHeight="1">
      <c r="A577" t="s" s="1799">
        <v>3325</v>
      </c>
      <c r="B577" t="s" s="1800">
        <v>3326</v>
      </c>
      <c r="C577" s="1801">
        <v>179500000</v>
      </c>
      <c r="D577" s="1801">
        <v>140000000</v>
      </c>
      <c r="E577" s="1801"/>
      <c r="F577" t="s" s="1799">
        <v>2452</v>
      </c>
      <c r="G577" s="1789"/>
      <c r="H577" s="1801" cm="1">
        <f t="array" ref="H577">C577-D577</f>
        <v>39500000</v>
      </c>
      <c r="I577" s="1789"/>
      <c r="J577" s="1789"/>
      <c r="K577" s="1789"/>
      <c r="L577" s="1789"/>
      <c r="M577" s="1789"/>
      <c r="N577" s="1789"/>
    </row>
    <row r="578" ht="15" customHeight="1">
      <c r="A578" t="s" s="1799">
        <v>3327</v>
      </c>
      <c r="B578" t="s" s="1800">
        <v>3328</v>
      </c>
      <c r="C578" s="1801">
        <v>103000000</v>
      </c>
      <c r="D578" s="1801">
        <v>61000000</v>
      </c>
      <c r="E578" s="1801"/>
      <c r="F578" t="s" s="1799">
        <v>2452</v>
      </c>
      <c r="G578" s="1789"/>
      <c r="H578" s="1801" cm="1">
        <f t="array" ref="H578">C578-D578</f>
        <v>42000000</v>
      </c>
      <c r="I578" s="1789"/>
      <c r="J578" s="1789"/>
      <c r="K578" s="1789"/>
      <c r="L578" s="1789"/>
      <c r="M578" s="1789"/>
      <c r="N578" s="1789"/>
    </row>
    <row r="579" ht="15" customHeight="1">
      <c r="A579" t="s" s="1799">
        <v>3329</v>
      </c>
      <c r="B579" t="s" s="1800">
        <v>3330</v>
      </c>
      <c r="C579" s="1801">
        <v>157327367</v>
      </c>
      <c r="D579" s="1801">
        <v>77132000</v>
      </c>
      <c r="E579" s="1801"/>
      <c r="F579" t="s" s="1799">
        <v>2452</v>
      </c>
      <c r="G579" s="1789"/>
      <c r="H579" s="1801" cm="1">
        <f t="array" ref="H579">C579-D579</f>
        <v>80195367</v>
      </c>
      <c r="I579" s="1789"/>
      <c r="J579" s="1789"/>
      <c r="K579" s="1789"/>
      <c r="L579" s="1789"/>
      <c r="M579" s="1789"/>
      <c r="N579" s="1789"/>
    </row>
    <row r="580" ht="15" customHeight="1">
      <c r="A580" t="s" s="1799">
        <v>3331</v>
      </c>
      <c r="B580" t="s" s="1800">
        <v>3332</v>
      </c>
      <c r="C580" s="1801">
        <v>100378620</v>
      </c>
      <c r="D580" s="1801">
        <v>38000000</v>
      </c>
      <c r="E580" s="1801"/>
      <c r="F580" t="s" s="1799">
        <v>2452</v>
      </c>
      <c r="G580" s="1789"/>
      <c r="H580" s="1801" cm="1">
        <f t="array" ref="H580">C580-D580</f>
        <v>62378620</v>
      </c>
      <c r="I580" s="1789"/>
      <c r="J580" s="1789"/>
      <c r="K580" s="1789"/>
      <c r="L580" s="1789"/>
      <c r="M580" s="1789"/>
      <c r="N580" s="1789"/>
    </row>
    <row r="581" ht="15" customHeight="1">
      <c r="A581" t="s" s="1799">
        <v>3333</v>
      </c>
      <c r="B581" t="s" s="1800">
        <v>3259</v>
      </c>
      <c r="C581" s="1801">
        <v>70769600</v>
      </c>
      <c r="D581" s="1801">
        <v>102319600</v>
      </c>
      <c r="E581" s="1801"/>
      <c r="F581" t="s" s="1799">
        <v>2452</v>
      </c>
      <c r="G581" s="1789"/>
      <c r="H581" s="1801" cm="1">
        <f t="array" ref="H581">C581-D581</f>
        <v>-31550000</v>
      </c>
      <c r="I581" s="1789"/>
      <c r="J581" s="1789"/>
      <c r="K581" s="1789"/>
      <c r="L581" s="1789"/>
      <c r="M581" s="1789"/>
      <c r="N581" s="1789"/>
    </row>
    <row r="582" ht="15" customHeight="1">
      <c r="A582" t="s" s="1799">
        <v>3334</v>
      </c>
      <c r="B582" t="s" s="1800">
        <v>3335</v>
      </c>
      <c r="C582" s="1801">
        <v>132966143</v>
      </c>
      <c r="D582" s="1801">
        <v>19602912</v>
      </c>
      <c r="E582" s="1801"/>
      <c r="F582" t="s" s="1799">
        <v>2452</v>
      </c>
      <c r="G582" s="1789"/>
      <c r="H582" s="1801" cm="1">
        <f t="array" ref="H582">C582-D582</f>
        <v>113363231</v>
      </c>
      <c r="I582" s="1789"/>
      <c r="J582" s="1789"/>
      <c r="K582" s="1789"/>
      <c r="L582" s="1789"/>
      <c r="M582" s="1789"/>
      <c r="N582" s="1789"/>
    </row>
    <row r="583" ht="15" customHeight="1">
      <c r="A583" t="s" s="1799">
        <v>3336</v>
      </c>
      <c r="B583" t="s" s="1800">
        <v>3337</v>
      </c>
      <c r="C583" s="1801">
        <v>130102531</v>
      </c>
      <c r="D583" s="1801">
        <v>49939753</v>
      </c>
      <c r="E583" s="1801"/>
      <c r="F583" t="s" s="1799">
        <v>2452</v>
      </c>
      <c r="G583" s="1789"/>
      <c r="H583" s="1801" cm="1">
        <f t="array" ref="H583">C583-D583</f>
        <v>80162778</v>
      </c>
      <c r="I583" s="1789"/>
      <c r="J583" s="1789"/>
      <c r="K583" s="1789"/>
      <c r="L583" s="1789"/>
      <c r="M583" s="1789"/>
      <c r="N583" s="1789"/>
    </row>
    <row r="584" ht="15" customHeight="1">
      <c r="A584" t="s" s="1799">
        <v>3338</v>
      </c>
      <c r="B584" t="s" s="1800">
        <v>3339</v>
      </c>
      <c r="C584" s="1801">
        <v>18204636</v>
      </c>
      <c r="D584" s="1801">
        <v>17608493</v>
      </c>
      <c r="E584" s="1801"/>
      <c r="F584" t="s" s="1799">
        <v>2452</v>
      </c>
      <c r="G584" s="1789"/>
      <c r="H584" s="1801" cm="1">
        <f t="array" ref="H584">C584-D584</f>
        <v>596143</v>
      </c>
      <c r="I584" s="1789"/>
      <c r="J584" s="1789"/>
      <c r="K584" s="1789"/>
      <c r="L584" s="1789"/>
      <c r="M584" s="1789"/>
      <c r="N584" s="1789"/>
    </row>
    <row r="585" ht="15" customHeight="1">
      <c r="A585" t="s" s="1799">
        <v>3340</v>
      </c>
      <c r="B585" t="s" s="1800">
        <v>3341</v>
      </c>
      <c r="C585" s="1801">
        <v>1000000</v>
      </c>
      <c r="D585" s="1801">
        <v>0</v>
      </c>
      <c r="E585" s="1801"/>
      <c r="F585" t="s" s="1799">
        <v>2452</v>
      </c>
      <c r="G585" s="1789"/>
      <c r="H585" s="1801" cm="1">
        <f t="array" ref="H585">C585-D585</f>
        <v>1000000</v>
      </c>
      <c r="I585" s="1789"/>
      <c r="J585" s="1789"/>
      <c r="K585" s="1789"/>
      <c r="L585" s="1789"/>
      <c r="M585" s="1789"/>
      <c r="N585" s="1789"/>
    </row>
    <row r="586" ht="15" customHeight="1">
      <c r="A586" t="s" s="1799">
        <v>3342</v>
      </c>
      <c r="B586" t="s" s="1800">
        <v>3343</v>
      </c>
      <c r="C586" s="1801">
        <v>12636736</v>
      </c>
      <c r="D586" s="1801">
        <v>3503836</v>
      </c>
      <c r="E586" s="1801"/>
      <c r="F586" t="s" s="1799">
        <v>2452</v>
      </c>
      <c r="G586" s="1789"/>
      <c r="H586" s="1801" cm="1">
        <f t="array" ref="H586">C586-D586</f>
        <v>9132900</v>
      </c>
      <c r="I586" s="1789"/>
      <c r="J586" s="1789"/>
      <c r="K586" s="1789"/>
      <c r="L586" s="1789"/>
      <c r="M586" s="1789"/>
      <c r="N586" s="1789"/>
    </row>
    <row r="587" ht="15" customHeight="1">
      <c r="A587" t="s" s="1799">
        <v>3344</v>
      </c>
      <c r="B587" t="s" s="1800">
        <v>3345</v>
      </c>
      <c r="C587" s="1801">
        <v>0</v>
      </c>
      <c r="D587" s="1801">
        <v>0</v>
      </c>
      <c r="E587" s="1801"/>
      <c r="F587" t="s" s="1799">
        <v>2452</v>
      </c>
      <c r="G587" s="1789"/>
      <c r="H587" s="1801" cm="1">
        <f t="array" ref="H587">C587-D587</f>
        <v>0</v>
      </c>
      <c r="I587" s="1789"/>
      <c r="J587" s="1789"/>
      <c r="K587" s="1789"/>
      <c r="L587" s="1789"/>
      <c r="M587" s="1789"/>
      <c r="N587" s="1789"/>
    </row>
    <row r="588" ht="15" customHeight="1">
      <c r="A588" t="s" s="1799">
        <v>3346</v>
      </c>
      <c r="B588" t="s" s="1800">
        <v>3347</v>
      </c>
      <c r="C588" s="1801">
        <v>18833665</v>
      </c>
      <c r="D588" s="1801">
        <v>0</v>
      </c>
      <c r="E588" s="1801"/>
      <c r="F588" t="s" s="1799">
        <v>2452</v>
      </c>
      <c r="G588" s="1789"/>
      <c r="H588" s="1801" cm="1">
        <f t="array" ref="H588">C588-D588</f>
        <v>18833665</v>
      </c>
      <c r="I588" s="1789"/>
      <c r="J588" s="1789"/>
      <c r="K588" s="1789"/>
      <c r="L588" s="1789"/>
      <c r="M588" s="1789"/>
      <c r="N588" s="1789"/>
    </row>
    <row r="589" ht="15" customHeight="1">
      <c r="A589" t="s" s="1799">
        <v>3348</v>
      </c>
      <c r="B589" t="s" s="1800">
        <v>3349</v>
      </c>
      <c r="C589" s="1801">
        <v>0</v>
      </c>
      <c r="D589" s="1801">
        <v>0</v>
      </c>
      <c r="E589" s="1801"/>
      <c r="F589" t="s" s="1799">
        <v>2452</v>
      </c>
      <c r="G589" s="1789"/>
      <c r="H589" s="1801" cm="1">
        <f t="array" ref="H589">C589-D589</f>
        <v>0</v>
      </c>
      <c r="I589" s="1789"/>
      <c r="J589" s="1789"/>
      <c r="K589" s="1789"/>
      <c r="L589" s="1789"/>
      <c r="M589" s="1789"/>
      <c r="N589" s="1789"/>
    </row>
    <row r="590" ht="15" customHeight="1">
      <c r="A590" t="s" s="1799">
        <v>3350</v>
      </c>
      <c r="B590" t="s" s="1800">
        <v>3351</v>
      </c>
      <c r="C590" s="1801">
        <v>36968171</v>
      </c>
      <c r="D590" s="1801">
        <v>12968171</v>
      </c>
      <c r="E590" s="1801"/>
      <c r="F590" t="s" s="1799">
        <v>2452</v>
      </c>
      <c r="G590" s="1789"/>
      <c r="H590" s="1801" cm="1">
        <f t="array" ref="H590">C590-D590</f>
        <v>24000000</v>
      </c>
      <c r="I590" s="1789"/>
      <c r="J590" s="1789"/>
      <c r="K590" s="1789"/>
      <c r="L590" s="1789"/>
      <c r="M590" s="1789"/>
      <c r="N590" s="1789"/>
    </row>
    <row r="591" ht="15" customHeight="1">
      <c r="A591" t="s" s="1799">
        <v>3352</v>
      </c>
      <c r="B591" t="s" s="1800">
        <v>3353</v>
      </c>
      <c r="C591" s="1801">
        <v>319590603.89</v>
      </c>
      <c r="D591" s="1801">
        <v>76174043.89</v>
      </c>
      <c r="E591" s="1801"/>
      <c r="F591" t="s" s="1799">
        <v>2452</v>
      </c>
      <c r="G591" s="1789"/>
      <c r="H591" s="1801" cm="1">
        <f t="array" ref="H591">C591-D591</f>
        <v>243416560</v>
      </c>
      <c r="I591" s="1789"/>
      <c r="J591" s="1789"/>
      <c r="K591" s="1789"/>
      <c r="L591" s="1789"/>
      <c r="M591" s="1789"/>
      <c r="N591" s="1789"/>
    </row>
    <row r="592" ht="15" customHeight="1">
      <c r="A592" t="s" s="1799">
        <v>3354</v>
      </c>
      <c r="B592" t="s" s="1800">
        <v>3355</v>
      </c>
      <c r="C592" s="1801">
        <v>16065461</v>
      </c>
      <c r="D592" s="1801">
        <v>16065461</v>
      </c>
      <c r="E592" s="1801"/>
      <c r="F592" t="s" s="1799">
        <v>2452</v>
      </c>
      <c r="G592" s="1789"/>
      <c r="H592" s="1801" cm="1">
        <f t="array" ref="H592">C592-D592</f>
        <v>0</v>
      </c>
      <c r="I592" s="1789"/>
      <c r="J592" s="1789"/>
      <c r="K592" s="1789"/>
      <c r="L592" s="1789"/>
      <c r="M592" s="1789"/>
      <c r="N592" s="1789"/>
    </row>
    <row r="593" ht="15" customHeight="1">
      <c r="A593" t="s" s="1799">
        <v>3356</v>
      </c>
      <c r="B593" t="s" s="1800">
        <v>3357</v>
      </c>
      <c r="C593" s="1801">
        <v>168000000</v>
      </c>
      <c r="D593" s="1801">
        <v>0</v>
      </c>
      <c r="E593" s="1801"/>
      <c r="F593" t="s" s="1799">
        <v>2452</v>
      </c>
      <c r="G593" s="1789"/>
      <c r="H593" s="1801" cm="1">
        <f t="array" ref="H593">C593-D593</f>
        <v>168000000</v>
      </c>
      <c r="I593" s="1789"/>
      <c r="J593" s="1789"/>
      <c r="K593" s="1789"/>
      <c r="L593" s="1789"/>
      <c r="M593" s="1789"/>
      <c r="N593" s="1789"/>
    </row>
    <row r="594" ht="15" customHeight="1">
      <c r="A594" t="s" s="1799">
        <v>3358</v>
      </c>
      <c r="B594" t="s" s="1800">
        <v>3359</v>
      </c>
      <c r="C594" s="1801">
        <v>-14015755.2</v>
      </c>
      <c r="D594" s="1801">
        <v>0</v>
      </c>
      <c r="E594" s="1801"/>
      <c r="F594" t="s" s="1799">
        <v>2452</v>
      </c>
      <c r="G594" s="1789"/>
      <c r="H594" s="1801" cm="1">
        <f t="array" ref="H594">C594-D594</f>
        <v>-14015755.2</v>
      </c>
      <c r="I594" s="1789"/>
      <c r="J594" s="1789"/>
      <c r="K594" s="1789"/>
      <c r="L594" s="1789"/>
      <c r="M594" s="1789"/>
      <c r="N594" s="1789"/>
    </row>
    <row r="595" ht="15" customHeight="1">
      <c r="A595" t="s" s="1799">
        <v>3360</v>
      </c>
      <c r="B595" t="s" s="1800">
        <v>3361</v>
      </c>
      <c r="C595" s="1801">
        <v>622650886</v>
      </c>
      <c r="D595" s="1801">
        <v>586911133</v>
      </c>
      <c r="E595" s="1801"/>
      <c r="F595" t="s" s="1799">
        <v>2452</v>
      </c>
      <c r="G595" s="1789"/>
      <c r="H595" s="1801" cm="1">
        <f t="array" ref="H595">C595-D595</f>
        <v>35739753</v>
      </c>
      <c r="I595" s="1789"/>
      <c r="J595" s="1789"/>
      <c r="K595" s="1789"/>
      <c r="L595" s="1789"/>
      <c r="M595" s="1789"/>
      <c r="N595" s="1789"/>
    </row>
    <row r="596" ht="15" customHeight="1">
      <c r="A596" t="s" s="1799">
        <v>3362</v>
      </c>
      <c r="B596" t="s" s="1800">
        <v>3363</v>
      </c>
      <c r="C596" s="1801">
        <v>108172569</v>
      </c>
      <c r="D596" s="1801">
        <v>43104706</v>
      </c>
      <c r="E596" s="1801"/>
      <c r="F596" t="s" s="1799">
        <v>2452</v>
      </c>
      <c r="G596" s="1789"/>
      <c r="H596" s="1801" cm="1">
        <f t="array" ref="H596">C596-D596</f>
        <v>65067863</v>
      </c>
      <c r="I596" s="1789"/>
      <c r="J596" s="1789"/>
      <c r="K596" s="1789"/>
      <c r="L596" s="1789"/>
      <c r="M596" s="1789"/>
      <c r="N596" s="1789"/>
    </row>
    <row r="597" ht="15" customHeight="1">
      <c r="A597" t="s" s="1799">
        <v>3364</v>
      </c>
      <c r="B597" t="s" s="1800">
        <v>3365</v>
      </c>
      <c r="C597" s="1801">
        <v>278017665</v>
      </c>
      <c r="D597" s="1801">
        <v>278017665</v>
      </c>
      <c r="E597" s="1801"/>
      <c r="F597" t="s" s="1799">
        <v>2452</v>
      </c>
      <c r="G597" s="1789"/>
      <c r="H597" s="1801" cm="1">
        <f t="array" ref="H597">C597-D597</f>
        <v>0</v>
      </c>
      <c r="I597" s="1789"/>
      <c r="J597" s="1789"/>
      <c r="K597" s="1789"/>
      <c r="L597" s="1789"/>
      <c r="M597" s="1789"/>
      <c r="N597" s="1789"/>
    </row>
    <row r="598" ht="15" customHeight="1">
      <c r="A598" t="s" s="1799">
        <v>3366</v>
      </c>
      <c r="B598" t="s" s="1800">
        <v>3367</v>
      </c>
      <c r="C598" s="1801">
        <v>363752274</v>
      </c>
      <c r="D598" s="1801">
        <v>349752274</v>
      </c>
      <c r="E598" s="1801"/>
      <c r="F598" t="s" s="1799">
        <v>2452</v>
      </c>
      <c r="G598" s="1789"/>
      <c r="H598" s="1801" cm="1">
        <f t="array" ref="H598">C598-D598</f>
        <v>14000000</v>
      </c>
      <c r="I598" s="1789"/>
      <c r="J598" s="1789"/>
      <c r="K598" s="1789"/>
      <c r="L598" s="1789"/>
      <c r="M598" s="1789"/>
      <c r="N598" s="1789"/>
    </row>
    <row r="599" ht="15" customHeight="1">
      <c r="A599" t="s" s="1799">
        <v>3368</v>
      </c>
      <c r="B599" t="s" s="1800">
        <v>3369</v>
      </c>
      <c r="C599" s="1801">
        <v>42110137</v>
      </c>
      <c r="D599" s="1801">
        <v>42110137</v>
      </c>
      <c r="E599" s="1801"/>
      <c r="F599" t="s" s="1799">
        <v>2452</v>
      </c>
      <c r="G599" s="1789"/>
      <c r="H599" s="1801" cm="1">
        <f t="array" ref="H599">C599-D599</f>
        <v>0</v>
      </c>
      <c r="I599" s="1789"/>
      <c r="J599" s="1789"/>
      <c r="K599" s="1789"/>
      <c r="L599" s="1789"/>
      <c r="M599" s="1789"/>
      <c r="N599" s="1789"/>
    </row>
    <row r="600" ht="15" customHeight="1">
      <c r="A600" t="s" s="1799">
        <v>3370</v>
      </c>
      <c r="B600" t="s" s="1800">
        <v>3371</v>
      </c>
      <c r="C600" s="1801">
        <v>68416792</v>
      </c>
      <c r="D600" s="1801">
        <v>66117792</v>
      </c>
      <c r="E600" s="1801"/>
      <c r="F600" t="s" s="1799">
        <v>2452</v>
      </c>
      <c r="G600" s="1789"/>
      <c r="H600" s="1801" cm="1">
        <f t="array" ref="H600">C600-D600</f>
        <v>2299000</v>
      </c>
      <c r="I600" s="1789"/>
      <c r="J600" s="1789"/>
      <c r="K600" s="1789"/>
      <c r="L600" s="1789"/>
      <c r="M600" s="1789"/>
      <c r="N600" s="1789"/>
    </row>
    <row r="601" ht="15" customHeight="1">
      <c r="A601" t="s" s="1799">
        <v>3372</v>
      </c>
      <c r="B601" t="s" s="1800">
        <v>3373</v>
      </c>
      <c r="C601" s="1801">
        <v>315370408</v>
      </c>
      <c r="D601" s="1801">
        <v>244931408</v>
      </c>
      <c r="E601" s="1801"/>
      <c r="F601" t="s" s="1799">
        <v>2452</v>
      </c>
      <c r="G601" s="1789"/>
      <c r="H601" s="1801" cm="1">
        <f t="array" ref="H601">C601-D601</f>
        <v>70439000</v>
      </c>
      <c r="I601" s="1789"/>
      <c r="J601" s="1789"/>
      <c r="K601" s="1789"/>
      <c r="L601" s="1789"/>
      <c r="M601" s="1789"/>
      <c r="N601" s="1789"/>
    </row>
    <row r="602" ht="15" customHeight="1">
      <c r="A602" t="s" s="1799">
        <v>3374</v>
      </c>
      <c r="B602" t="s" s="1800">
        <v>3375</v>
      </c>
      <c r="C602" s="1801">
        <v>2471939858.24</v>
      </c>
      <c r="D602" s="1801">
        <v>30416725.24</v>
      </c>
      <c r="E602" s="1801"/>
      <c r="F602" t="s" s="1799">
        <v>2452</v>
      </c>
      <c r="G602" s="1789"/>
      <c r="H602" s="1801" cm="1">
        <f t="array" ref="H602">C602-D602</f>
        <v>2441523133</v>
      </c>
      <c r="I602" s="1789"/>
      <c r="J602" s="1789"/>
      <c r="K602" s="1789"/>
      <c r="L602" s="1789"/>
      <c r="M602" s="1789"/>
      <c r="N602" s="1789"/>
    </row>
    <row r="603" ht="15" customHeight="1">
      <c r="A603" t="s" s="1799">
        <v>3376</v>
      </c>
      <c r="B603" t="s" s="1800">
        <v>3377</v>
      </c>
      <c r="C603" s="1801">
        <v>215202265</v>
      </c>
      <c r="D603" s="1801">
        <v>215202265</v>
      </c>
      <c r="E603" s="1801"/>
      <c r="F603" t="s" s="1799">
        <v>2452</v>
      </c>
      <c r="G603" s="1789"/>
      <c r="H603" s="1801" cm="1">
        <f t="array" ref="H603">C603-D603</f>
        <v>0</v>
      </c>
      <c r="I603" s="1789"/>
      <c r="J603" s="1789"/>
      <c r="K603" s="1789"/>
      <c r="L603" s="1789"/>
      <c r="M603" s="1789"/>
      <c r="N603" s="1789"/>
    </row>
    <row r="604" ht="15" customHeight="1">
      <c r="A604" t="s" s="1799">
        <v>3378</v>
      </c>
      <c r="B604" t="s" s="1800">
        <v>3379</v>
      </c>
      <c r="C604" s="1801">
        <v>47000000</v>
      </c>
      <c r="D604" s="1801">
        <v>0</v>
      </c>
      <c r="E604" s="1801"/>
      <c r="F604" t="s" s="1799">
        <v>2452</v>
      </c>
      <c r="G604" s="1789"/>
      <c r="H604" s="1801" cm="1">
        <f t="array" ref="H604">C604-D604</f>
        <v>47000000</v>
      </c>
      <c r="I604" s="1789"/>
      <c r="J604" s="1789"/>
      <c r="K604" s="1789"/>
      <c r="L604" s="1789"/>
      <c r="M604" s="1789"/>
      <c r="N604" s="1789"/>
    </row>
    <row r="605" ht="15" customHeight="1">
      <c r="A605" t="s" s="1799">
        <v>3380</v>
      </c>
      <c r="B605" t="s" s="1800">
        <v>3381</v>
      </c>
      <c r="C605" s="1801">
        <v>112051639</v>
      </c>
      <c r="D605" s="1801">
        <v>60051639</v>
      </c>
      <c r="E605" s="1801"/>
      <c r="F605" t="s" s="1799">
        <v>2452</v>
      </c>
      <c r="G605" s="1789"/>
      <c r="H605" s="1801" cm="1">
        <f t="array" ref="H605">C605-D605</f>
        <v>52000000</v>
      </c>
      <c r="I605" s="1789"/>
      <c r="J605" s="1789"/>
      <c r="K605" s="1789"/>
      <c r="L605" s="1789"/>
      <c r="M605" s="1789"/>
      <c r="N605" s="1789"/>
    </row>
    <row r="606" ht="15" customHeight="1">
      <c r="A606" t="s" s="1799">
        <v>3382</v>
      </c>
      <c r="B606" t="s" s="1800">
        <v>3383</v>
      </c>
      <c r="C606" s="1801">
        <v>39000000</v>
      </c>
      <c r="D606" s="1801">
        <v>0</v>
      </c>
      <c r="E606" s="1801"/>
      <c r="F606" t="s" s="1799">
        <v>2452</v>
      </c>
      <c r="G606" s="1789"/>
      <c r="H606" s="1801" cm="1">
        <f t="array" ref="H606">C606-D606</f>
        <v>39000000</v>
      </c>
      <c r="I606" s="1789"/>
      <c r="J606" s="1789"/>
      <c r="K606" s="1789"/>
      <c r="L606" s="1789"/>
      <c r="M606" s="1789"/>
      <c r="N606" s="1789"/>
    </row>
    <row r="607" ht="15" customHeight="1">
      <c r="A607" t="s" s="1799">
        <v>3384</v>
      </c>
      <c r="B607" t="s" s="1800">
        <v>3385</v>
      </c>
      <c r="C607" s="1801">
        <v>2560000</v>
      </c>
      <c r="D607" s="1801">
        <v>2560000</v>
      </c>
      <c r="E607" s="1801"/>
      <c r="F607" t="s" s="1799">
        <v>2452</v>
      </c>
      <c r="G607" s="1789"/>
      <c r="H607" s="1801" cm="1">
        <f t="array" ref="H607">C607-D607</f>
        <v>0</v>
      </c>
      <c r="I607" s="1789"/>
      <c r="J607" s="1789"/>
      <c r="K607" s="1789"/>
      <c r="L607" s="1789"/>
      <c r="M607" s="1789"/>
      <c r="N607" s="1789"/>
    </row>
    <row r="608" ht="15" customHeight="1">
      <c r="A608" t="s" s="1799">
        <v>3386</v>
      </c>
      <c r="B608" t="s" s="1800">
        <v>3387</v>
      </c>
      <c r="C608" s="1801">
        <v>9000000</v>
      </c>
      <c r="D608" s="1801">
        <v>9000000</v>
      </c>
      <c r="E608" s="1801"/>
      <c r="F608" t="s" s="1799">
        <v>2452</v>
      </c>
      <c r="G608" s="1789"/>
      <c r="H608" s="1801" cm="1">
        <f t="array" ref="H608">C608-D608</f>
        <v>0</v>
      </c>
      <c r="I608" s="1789"/>
      <c r="J608" s="1789"/>
      <c r="K608" s="1789"/>
      <c r="L608" s="1789"/>
      <c r="M608" s="1789"/>
      <c r="N608" s="1789"/>
    </row>
    <row r="609" ht="15" customHeight="1">
      <c r="A609" t="s" s="1799">
        <v>3388</v>
      </c>
      <c r="B609" t="s" s="1800">
        <v>3389</v>
      </c>
      <c r="C609" s="1801">
        <v>7740000</v>
      </c>
      <c r="D609" s="1801">
        <v>5740000</v>
      </c>
      <c r="E609" s="1801"/>
      <c r="F609" t="s" s="1799">
        <v>2452</v>
      </c>
      <c r="G609" s="1789"/>
      <c r="H609" s="1801" cm="1">
        <f t="array" ref="H609">C609-D609</f>
        <v>2000000</v>
      </c>
      <c r="I609" s="1789"/>
      <c r="J609" s="1789"/>
      <c r="K609" s="1789"/>
      <c r="L609" s="1789"/>
      <c r="M609" s="1789"/>
      <c r="N609" s="1789"/>
    </row>
    <row r="610" ht="15" customHeight="1">
      <c r="A610" t="s" s="1799">
        <v>3390</v>
      </c>
      <c r="B610" t="s" s="1800">
        <v>3391</v>
      </c>
      <c r="C610" s="1801">
        <v>5542549</v>
      </c>
      <c r="D610" s="1801">
        <v>500000</v>
      </c>
      <c r="E610" s="1801"/>
      <c r="F610" t="s" s="1799">
        <v>2452</v>
      </c>
      <c r="G610" s="1789"/>
      <c r="H610" s="1801" cm="1">
        <f t="array" ref="H610">C610-D610</f>
        <v>5042549</v>
      </c>
      <c r="I610" s="1789"/>
      <c r="J610" s="1789"/>
      <c r="K610" s="1789"/>
      <c r="L610" s="1789"/>
      <c r="M610" s="1789"/>
      <c r="N610" s="1789"/>
    </row>
    <row r="611" ht="15" customHeight="1">
      <c r="A611" t="s" s="1799">
        <v>3392</v>
      </c>
      <c r="B611" t="s" s="1800">
        <v>3393</v>
      </c>
      <c r="C611" s="1801">
        <v>54974051</v>
      </c>
      <c r="D611" s="1801">
        <v>49995190</v>
      </c>
      <c r="E611" s="1801"/>
      <c r="F611" t="s" s="1799">
        <v>2452</v>
      </c>
      <c r="G611" s="1789"/>
      <c r="H611" s="1801" cm="1">
        <f t="array" ref="H611">C611-D611</f>
        <v>4978861</v>
      </c>
      <c r="I611" s="1789"/>
      <c r="J611" s="1789"/>
      <c r="K611" s="1789"/>
      <c r="L611" s="1789"/>
      <c r="M611" s="1789"/>
      <c r="N611" s="1789"/>
    </row>
    <row r="612" ht="15" customHeight="1">
      <c r="A612" t="s" s="1799">
        <v>3394</v>
      </c>
      <c r="B612" t="s" s="1800">
        <v>3395</v>
      </c>
      <c r="C612" s="1801">
        <v>2500000</v>
      </c>
      <c r="D612" s="1801">
        <v>2500000</v>
      </c>
      <c r="E612" s="1801"/>
      <c r="F612" t="s" s="1799">
        <v>2452</v>
      </c>
      <c r="G612" s="1789"/>
      <c r="H612" s="1801" cm="1">
        <f t="array" ref="H612">C612-D612</f>
        <v>0</v>
      </c>
      <c r="I612" s="1789"/>
      <c r="J612" s="1789"/>
      <c r="K612" s="1789"/>
      <c r="L612" s="1789"/>
      <c r="M612" s="1789"/>
      <c r="N612" s="1789"/>
    </row>
    <row r="613" ht="15" customHeight="1">
      <c r="A613" t="s" s="1799">
        <v>3396</v>
      </c>
      <c r="B613" t="s" s="1800">
        <v>3397</v>
      </c>
      <c r="C613" s="1801">
        <v>12866955</v>
      </c>
      <c r="D613" s="1801">
        <v>0</v>
      </c>
      <c r="E613" s="1801"/>
      <c r="F613" t="s" s="1799">
        <v>2452</v>
      </c>
      <c r="G613" s="1789"/>
      <c r="H613" s="1801" cm="1">
        <f t="array" ref="H613">C613-D613</f>
        <v>12866955</v>
      </c>
      <c r="I613" s="1789"/>
      <c r="J613" s="1789"/>
      <c r="K613" s="1789"/>
      <c r="L613" s="1789"/>
      <c r="M613" s="1789"/>
      <c r="N613" s="1789"/>
    </row>
    <row r="614" ht="15" customHeight="1">
      <c r="A614" t="s" s="1799">
        <v>3398</v>
      </c>
      <c r="B614" t="s" s="1800">
        <v>3163</v>
      </c>
      <c r="C614" s="1801">
        <v>27535910</v>
      </c>
      <c r="D614" s="1801">
        <v>0</v>
      </c>
      <c r="E614" s="1801"/>
      <c r="F614" t="s" s="1799">
        <v>2452</v>
      </c>
      <c r="G614" s="1789"/>
      <c r="H614" s="1801" cm="1">
        <f t="array" ref="H614">C614-D614</f>
        <v>27535910</v>
      </c>
      <c r="I614" s="1789"/>
      <c r="J614" s="1789"/>
      <c r="K614" s="1789"/>
      <c r="L614" s="1789"/>
      <c r="M614" s="1789"/>
      <c r="N614" s="1789"/>
    </row>
    <row r="615" ht="15" customHeight="1">
      <c r="A615" t="s" s="1799">
        <v>3399</v>
      </c>
      <c r="B615" t="s" s="1800">
        <v>3400</v>
      </c>
      <c r="C615" s="1801">
        <v>17470174</v>
      </c>
      <c r="D615" s="1801">
        <v>17470174</v>
      </c>
      <c r="E615" s="1801"/>
      <c r="F615" t="s" s="1799">
        <v>2452</v>
      </c>
      <c r="G615" s="1789"/>
      <c r="H615" s="1801" cm="1">
        <f t="array" ref="H615">C615-D615</f>
        <v>0</v>
      </c>
      <c r="I615" s="1789"/>
      <c r="J615" s="1789"/>
      <c r="K615" s="1789"/>
      <c r="L615" s="1789"/>
      <c r="M615" s="1789"/>
      <c r="N615" s="1789"/>
    </row>
    <row r="616" ht="15" customHeight="1">
      <c r="A616" t="s" s="1799">
        <v>3399</v>
      </c>
      <c r="B616" t="s" s="1800">
        <v>3401</v>
      </c>
      <c r="C616" s="1801">
        <v>102699899</v>
      </c>
      <c r="D616" s="1801">
        <v>0</v>
      </c>
      <c r="E616" s="1801"/>
      <c r="F616" t="s" s="1799">
        <v>2452</v>
      </c>
      <c r="G616" s="1789"/>
      <c r="H616" s="1801" cm="1">
        <f t="array" ref="H616">C616-D616</f>
        <v>102699899</v>
      </c>
      <c r="I616" s="1789"/>
      <c r="J616" s="1789"/>
      <c r="K616" s="1789"/>
      <c r="L616" s="1789"/>
      <c r="M616" s="1789"/>
      <c r="N616" s="1789"/>
    </row>
    <row r="617" ht="15" customHeight="1">
      <c r="A617" t="s" s="1799">
        <v>3402</v>
      </c>
      <c r="B617" t="s" s="1800">
        <v>3403</v>
      </c>
      <c r="C617" s="1801">
        <v>33500000</v>
      </c>
      <c r="D617" s="1801">
        <v>33500000</v>
      </c>
      <c r="E617" s="1801"/>
      <c r="F617" t="s" s="1799">
        <v>2452</v>
      </c>
      <c r="G617" s="1789"/>
      <c r="H617" s="1801" cm="1">
        <f t="array" ref="H617">C617-D617</f>
        <v>0</v>
      </c>
      <c r="I617" s="1789"/>
      <c r="J617" s="1789"/>
      <c r="K617" s="1789"/>
      <c r="L617" s="1789"/>
      <c r="M617" s="1789"/>
      <c r="N617" s="1789"/>
    </row>
    <row r="618" ht="15" customHeight="1">
      <c r="A618" t="s" s="1799">
        <v>3404</v>
      </c>
      <c r="B618" t="s" s="1800">
        <v>3405</v>
      </c>
      <c r="C618" s="1801">
        <v>138000000</v>
      </c>
      <c r="D618" s="1801">
        <v>131000000</v>
      </c>
      <c r="E618" s="1801"/>
      <c r="F618" t="s" s="1799">
        <v>2452</v>
      </c>
      <c r="G618" s="1789"/>
      <c r="H618" s="1801" cm="1">
        <f t="array" ref="H618">C618-D618</f>
        <v>7000000</v>
      </c>
      <c r="I618" s="1789"/>
      <c r="J618" s="1789"/>
      <c r="K618" s="1789"/>
      <c r="L618" s="1789"/>
      <c r="M618" s="1789"/>
      <c r="N618" s="1789"/>
    </row>
    <row r="619" ht="15" customHeight="1">
      <c r="A619" t="s" s="1799">
        <v>3406</v>
      </c>
      <c r="B619" t="s" s="1800">
        <v>3407</v>
      </c>
      <c r="C619" s="1801">
        <v>60122538</v>
      </c>
      <c r="D619" s="1801">
        <v>-22957462</v>
      </c>
      <c r="E619" s="1801"/>
      <c r="F619" t="s" s="1799">
        <v>2452</v>
      </c>
      <c r="G619" s="1789"/>
      <c r="H619" s="1801" cm="1">
        <f t="array" ref="H619">C619-D619</f>
        <v>83080000</v>
      </c>
      <c r="I619" s="1789"/>
      <c r="J619" s="1789"/>
      <c r="K619" s="1789"/>
      <c r="L619" s="1789"/>
      <c r="M619" s="1789"/>
      <c r="N619" s="1789"/>
    </row>
    <row r="620" ht="15" customHeight="1">
      <c r="A620" t="s" s="1799">
        <v>3408</v>
      </c>
      <c r="B620" t="s" s="1800">
        <v>3409</v>
      </c>
      <c r="C620" s="1801">
        <v>25000000</v>
      </c>
      <c r="D620" s="1801">
        <v>0</v>
      </c>
      <c r="E620" s="1801"/>
      <c r="F620" t="s" s="1799">
        <v>2452</v>
      </c>
      <c r="G620" s="1789"/>
      <c r="H620" s="1801" cm="1">
        <f t="array" ref="H620">C620-D620</f>
        <v>25000000</v>
      </c>
      <c r="I620" s="1789"/>
      <c r="J620" s="1789"/>
      <c r="K620" s="1789"/>
      <c r="L620" s="1789"/>
      <c r="M620" s="1789"/>
      <c r="N620" s="1789"/>
    </row>
    <row r="621" ht="15" customHeight="1">
      <c r="A621" t="s" s="1799">
        <v>3410</v>
      </c>
      <c r="B621" t="s" s="1800">
        <v>3411</v>
      </c>
      <c r="C621" s="1801">
        <v>24000000</v>
      </c>
      <c r="D621" s="1801">
        <v>24000000</v>
      </c>
      <c r="E621" s="1801"/>
      <c r="F621" t="s" s="1799">
        <v>2452</v>
      </c>
      <c r="G621" s="1789"/>
      <c r="H621" s="1801" cm="1">
        <f t="array" ref="H621">C621-D621</f>
        <v>0</v>
      </c>
      <c r="I621" s="1789"/>
      <c r="J621" s="1789"/>
      <c r="K621" s="1789"/>
      <c r="L621" s="1789"/>
      <c r="M621" s="1789"/>
      <c r="N621" s="1789"/>
    </row>
    <row r="622" ht="15" customHeight="1">
      <c r="A622" t="s" s="1799">
        <v>3412</v>
      </c>
      <c r="B622" t="s" s="1800">
        <v>3413</v>
      </c>
      <c r="C622" s="1801">
        <v>1804000</v>
      </c>
      <c r="D622" s="1801">
        <v>0</v>
      </c>
      <c r="E622" s="1801"/>
      <c r="F622" t="s" s="1799">
        <v>2452</v>
      </c>
      <c r="G622" s="1789"/>
      <c r="H622" s="1801" cm="1">
        <f t="array" ref="H622">C622-D622</f>
        <v>1804000</v>
      </c>
      <c r="I622" s="1789"/>
      <c r="J622" s="1789"/>
      <c r="K622" s="1789"/>
      <c r="L622" s="1789"/>
      <c r="M622" s="1789"/>
      <c r="N622" s="1789"/>
    </row>
    <row r="623" ht="15" customHeight="1">
      <c r="A623" t="s" s="1799">
        <v>3414</v>
      </c>
      <c r="B623" t="s" s="1800">
        <v>3415</v>
      </c>
      <c r="C623" s="1801">
        <v>27000000</v>
      </c>
      <c r="D623" s="1801">
        <v>0</v>
      </c>
      <c r="E623" s="1801"/>
      <c r="F623" t="s" s="1799">
        <v>2452</v>
      </c>
      <c r="G623" s="1789"/>
      <c r="H623" s="1801" cm="1">
        <f t="array" ref="H623">C623-D623</f>
        <v>27000000</v>
      </c>
      <c r="I623" s="1789"/>
      <c r="J623" s="1789"/>
      <c r="K623" s="1789"/>
      <c r="L623" s="1789"/>
      <c r="M623" s="1789"/>
      <c r="N623" s="1789"/>
    </row>
    <row r="624" ht="15" customHeight="1">
      <c r="A624" t="s" s="1799">
        <v>3414</v>
      </c>
      <c r="B624" t="s" s="1800">
        <v>3416</v>
      </c>
      <c r="C624" s="1801">
        <v>-424769489</v>
      </c>
      <c r="D624" s="1801">
        <v>0</v>
      </c>
      <c r="E624" s="1801"/>
      <c r="F624" t="s" s="1799">
        <v>2452</v>
      </c>
      <c r="G624" s="1789"/>
      <c r="H624" s="1801" cm="1">
        <f t="array" ref="H624">C624-D624</f>
        <v>-424769489</v>
      </c>
      <c r="I624" s="1789"/>
      <c r="J624" s="1789"/>
      <c r="K624" s="1789"/>
      <c r="L624" s="1789"/>
      <c r="M624" s="1789"/>
      <c r="N624" s="1789"/>
    </row>
    <row r="625" ht="15" customHeight="1">
      <c r="A625" t="s" s="1799">
        <v>3417</v>
      </c>
      <c r="B625" t="s" s="1800">
        <v>3418</v>
      </c>
      <c r="C625" s="1801">
        <v>23000000</v>
      </c>
      <c r="D625" s="1801">
        <v>0</v>
      </c>
      <c r="E625" s="1801"/>
      <c r="F625" t="s" s="1799">
        <v>2452</v>
      </c>
      <c r="G625" s="1789"/>
      <c r="H625" s="1801" cm="1">
        <f t="array" ref="H625">C625-D625</f>
        <v>23000000</v>
      </c>
      <c r="I625" s="1789"/>
      <c r="J625" s="1789"/>
      <c r="K625" s="1789"/>
      <c r="L625" s="1789"/>
      <c r="M625" s="1789"/>
      <c r="N625" s="1789"/>
    </row>
    <row r="626" ht="15" customHeight="1">
      <c r="A626" t="s" s="1799">
        <v>3417</v>
      </c>
      <c r="B626" t="s" s="1800">
        <v>3419</v>
      </c>
      <c r="C626" s="1801">
        <v>15412894</v>
      </c>
      <c r="D626" s="1801">
        <v>0</v>
      </c>
      <c r="E626" s="1801"/>
      <c r="F626" t="s" s="1799">
        <v>2452</v>
      </c>
      <c r="G626" s="1789"/>
      <c r="H626" s="1801" cm="1">
        <f t="array" ref="H626">C626-D626</f>
        <v>15412894</v>
      </c>
      <c r="I626" s="1789"/>
      <c r="J626" s="1789"/>
      <c r="K626" s="1789"/>
      <c r="L626" s="1789"/>
      <c r="M626" s="1789"/>
      <c r="N626" s="1789"/>
    </row>
    <row r="627" ht="15" customHeight="1">
      <c r="A627" t="s" s="1799">
        <v>3420</v>
      </c>
      <c r="B627" t="s" s="1800">
        <v>3421</v>
      </c>
      <c r="C627" s="1801">
        <v>98500000</v>
      </c>
      <c r="D627" s="1801">
        <v>90500000</v>
      </c>
      <c r="E627" s="1801"/>
      <c r="F627" t="s" s="1799">
        <v>2452</v>
      </c>
      <c r="G627" s="1789"/>
      <c r="H627" s="1801" cm="1">
        <f t="array" ref="H627">C627-D627</f>
        <v>8000000</v>
      </c>
      <c r="I627" s="1789"/>
      <c r="J627" s="1789"/>
      <c r="K627" s="1789"/>
      <c r="L627" s="1789"/>
      <c r="M627" s="1789"/>
      <c r="N627" s="1789"/>
    </row>
    <row r="628" ht="15" customHeight="1">
      <c r="A628" t="s" s="1799">
        <v>3422</v>
      </c>
      <c r="B628" t="s" s="1800">
        <v>3423</v>
      </c>
      <c r="C628" s="1801">
        <v>317352588</v>
      </c>
      <c r="D628" s="1801">
        <v>0</v>
      </c>
      <c r="E628" s="1801"/>
      <c r="F628" t="s" s="1799">
        <v>2452</v>
      </c>
      <c r="G628" s="1789"/>
      <c r="H628" s="1801" cm="1">
        <f t="array" ref="H628">C628-D628</f>
        <v>317352588</v>
      </c>
      <c r="I628" s="1789"/>
      <c r="J628" s="1789"/>
      <c r="K628" s="1789"/>
      <c r="L628" s="1789"/>
      <c r="M628" s="1789"/>
      <c r="N628" s="1789"/>
    </row>
    <row r="629" ht="15" customHeight="1">
      <c r="A629" t="s" s="1799">
        <v>3422</v>
      </c>
      <c r="B629" t="s" s="1800">
        <v>3424</v>
      </c>
      <c r="C629" s="1801">
        <v>48000000</v>
      </c>
      <c r="D629" s="1801">
        <v>0</v>
      </c>
      <c r="E629" s="1801"/>
      <c r="F629" t="s" s="1799">
        <v>2452</v>
      </c>
      <c r="G629" s="1789"/>
      <c r="H629" s="1801" cm="1">
        <f t="array" ref="H629">C629-D629</f>
        <v>48000000</v>
      </c>
      <c r="I629" s="1789"/>
      <c r="J629" s="1789"/>
      <c r="K629" s="1789"/>
      <c r="L629" s="1789"/>
      <c r="M629" s="1789"/>
      <c r="N629" s="1789"/>
    </row>
    <row r="630" ht="15" customHeight="1">
      <c r="A630" t="s" s="1799">
        <v>3422</v>
      </c>
      <c r="B630" t="s" s="1800">
        <v>3425</v>
      </c>
      <c r="C630" s="1801">
        <v>109090909</v>
      </c>
      <c r="D630" s="1801">
        <v>0</v>
      </c>
      <c r="E630" s="1801"/>
      <c r="F630" t="s" s="1799">
        <v>2452</v>
      </c>
      <c r="G630" s="1789"/>
      <c r="H630" s="1801" cm="1">
        <f t="array" ref="H630">C630-D630</f>
        <v>109090909</v>
      </c>
      <c r="I630" s="1789"/>
      <c r="J630" s="1789"/>
      <c r="K630" s="1789"/>
      <c r="L630" s="1789"/>
      <c r="M630" s="1789"/>
      <c r="N630" s="1789"/>
    </row>
    <row r="631" ht="15" customHeight="1">
      <c r="A631" t="s" s="1799">
        <v>3426</v>
      </c>
      <c r="B631" t="s" s="1800">
        <v>3427</v>
      </c>
      <c r="C631" s="1801">
        <v>9000000</v>
      </c>
      <c r="D631" s="1801">
        <v>0</v>
      </c>
      <c r="E631" s="1801"/>
      <c r="F631" t="s" s="1799">
        <v>2452</v>
      </c>
      <c r="G631" s="1789"/>
      <c r="H631" s="1801" cm="1">
        <f t="array" ref="H631">C631-D631</f>
        <v>9000000</v>
      </c>
      <c r="I631" s="1789"/>
      <c r="J631" s="1789"/>
      <c r="K631" s="1789"/>
      <c r="L631" s="1789"/>
      <c r="M631" s="1789"/>
      <c r="N631" s="1789"/>
    </row>
    <row r="632" ht="15" customHeight="1">
      <c r="A632" t="s" s="1799">
        <v>3426</v>
      </c>
      <c r="B632" t="s" s="1800">
        <v>3428</v>
      </c>
      <c r="C632" s="1801">
        <v>0</v>
      </c>
      <c r="D632" s="1801">
        <v>0</v>
      </c>
      <c r="E632" s="1801"/>
      <c r="F632" t="s" s="1799">
        <v>2452</v>
      </c>
      <c r="G632" s="1789"/>
      <c r="H632" s="1801" cm="1">
        <f t="array" ref="H632">C632-D632</f>
        <v>0</v>
      </c>
      <c r="I632" s="1789"/>
      <c r="J632" s="1789"/>
      <c r="K632" s="1789"/>
      <c r="L632" s="1789"/>
      <c r="M632" s="1789"/>
      <c r="N632" s="1789"/>
    </row>
    <row r="633" ht="15" customHeight="1">
      <c r="A633" t="s" s="1799">
        <v>3429</v>
      </c>
      <c r="B633" t="s" s="1800">
        <v>3430</v>
      </c>
      <c r="C633" s="1801">
        <v>867838662.5</v>
      </c>
      <c r="D633" s="1801">
        <v>79315508.5</v>
      </c>
      <c r="E633" s="1801"/>
      <c r="F633" t="s" s="1799">
        <v>2452</v>
      </c>
      <c r="G633" s="1789"/>
      <c r="H633" s="1801" cm="1">
        <f t="array" ref="H633">C633-D633</f>
        <v>788523154</v>
      </c>
      <c r="I633" s="1789"/>
      <c r="J633" s="1789"/>
      <c r="K633" s="1789"/>
      <c r="L633" s="1789"/>
      <c r="M633" s="1789"/>
      <c r="N633" s="1789"/>
    </row>
    <row r="634" ht="15" customHeight="1">
      <c r="A634" t="s" s="1799">
        <v>3431</v>
      </c>
      <c r="B634" t="s" s="1800">
        <v>3432</v>
      </c>
      <c r="C634" s="1801">
        <v>500000000</v>
      </c>
      <c r="D634" s="1801">
        <v>0</v>
      </c>
      <c r="E634" t="s" s="1799">
        <v>3433</v>
      </c>
      <c r="F634" s="1801"/>
      <c r="G634" s="1789"/>
      <c r="H634" s="1801" cm="1">
        <f t="array" ref="H634">C634-D634</f>
        <v>500000000</v>
      </c>
      <c r="I634" s="1789"/>
      <c r="J634" s="1789"/>
      <c r="K634" s="1789"/>
      <c r="L634" s="1789"/>
      <c r="M634" s="1789"/>
      <c r="N634" s="1789"/>
    </row>
    <row r="635" ht="15" customHeight="1">
      <c r="A635" t="s" s="1799">
        <v>3434</v>
      </c>
      <c r="B635" t="s" s="1800">
        <v>3435</v>
      </c>
      <c r="C635" s="1801">
        <v>500000000</v>
      </c>
      <c r="D635" s="1801">
        <v>500000000</v>
      </c>
      <c r="E635" s="1801"/>
      <c r="F635" s="1801"/>
      <c r="G635" s="1789"/>
      <c r="H635" s="1801" cm="1">
        <f t="array" ref="H635">C635-D635</f>
        <v>0</v>
      </c>
      <c r="I635" s="1789"/>
      <c r="J635" s="1789"/>
      <c r="K635" s="1789"/>
      <c r="L635" s="1789"/>
      <c r="M635" s="1789"/>
      <c r="N635" s="1789"/>
    </row>
    <row r="636" ht="15" customHeight="1">
      <c r="A636" t="s" s="1799">
        <v>3436</v>
      </c>
      <c r="B636" t="s" s="1800">
        <v>3437</v>
      </c>
      <c r="C636" s="1801">
        <v>78000000</v>
      </c>
      <c r="D636" s="1801">
        <v>0</v>
      </c>
      <c r="E636" s="1801"/>
      <c r="F636" t="s" s="1799">
        <v>2452</v>
      </c>
      <c r="G636" s="1789"/>
      <c r="H636" s="1801" cm="1">
        <f t="array" ref="H636">C636-D636</f>
        <v>78000000</v>
      </c>
      <c r="I636" s="1789"/>
      <c r="J636" s="1789"/>
      <c r="K636" s="1789"/>
      <c r="L636" s="1789"/>
      <c r="M636" s="1789"/>
      <c r="N636" s="1789"/>
    </row>
    <row r="637" ht="15" customHeight="1">
      <c r="A637" t="s" s="1799">
        <v>3438</v>
      </c>
      <c r="B637" t="s" s="1800">
        <v>3439</v>
      </c>
      <c r="C637" s="1801">
        <v>52000000</v>
      </c>
      <c r="D637" s="1801">
        <v>0</v>
      </c>
      <c r="E637" s="1801"/>
      <c r="F637" t="s" s="1799">
        <v>2452</v>
      </c>
      <c r="G637" s="1789"/>
      <c r="H637" s="1801" cm="1">
        <f t="array" ref="H637">C637-D637</f>
        <v>52000000</v>
      </c>
      <c r="I637" s="1789"/>
      <c r="J637" s="1789"/>
      <c r="K637" s="1789"/>
      <c r="L637" s="1789"/>
      <c r="M637" s="1789"/>
      <c r="N637" s="1789"/>
    </row>
    <row r="638" ht="15" customHeight="1">
      <c r="A638" t="s" s="1799">
        <v>3440</v>
      </c>
      <c r="B638" t="s" s="1800">
        <v>3441</v>
      </c>
      <c r="C638" s="1801">
        <v>380394491</v>
      </c>
      <c r="D638" s="1801">
        <v>66437987</v>
      </c>
      <c r="E638" s="1801"/>
      <c r="F638" t="s" s="1799">
        <v>2452</v>
      </c>
      <c r="G638" s="1789"/>
      <c r="H638" s="1801" cm="1">
        <f t="array" ref="H638">C638-D638</f>
        <v>313956504</v>
      </c>
      <c r="I638" s="1789"/>
      <c r="J638" s="1789"/>
      <c r="K638" s="1789"/>
      <c r="L638" s="1789"/>
      <c r="M638" s="1789"/>
      <c r="N638" s="1789"/>
    </row>
    <row r="639" ht="15" customHeight="1">
      <c r="A639" t="s" s="1799">
        <v>3442</v>
      </c>
      <c r="B639" t="s" s="1800">
        <v>3443</v>
      </c>
      <c r="C639" s="1801">
        <v>52729844</v>
      </c>
      <c r="D639" s="1801">
        <v>0</v>
      </c>
      <c r="E639" s="1801"/>
      <c r="F639" t="s" s="1799">
        <v>2452</v>
      </c>
      <c r="G639" s="1789"/>
      <c r="H639" s="1801" cm="1">
        <f t="array" ref="H639">C639-D639</f>
        <v>52729844</v>
      </c>
      <c r="I639" s="1789"/>
      <c r="J639" s="1789"/>
      <c r="K639" s="1789"/>
      <c r="L639" s="1789"/>
      <c r="M639" s="1789"/>
      <c r="N639" s="1789"/>
    </row>
    <row r="640" ht="15" customHeight="1">
      <c r="A640" t="s" s="1799">
        <v>3442</v>
      </c>
      <c r="B640" t="s" s="1800">
        <v>3444</v>
      </c>
      <c r="C640" s="1801">
        <v>19818717</v>
      </c>
      <c r="D640" s="1801">
        <v>0</v>
      </c>
      <c r="E640" s="1801"/>
      <c r="F640" t="s" s="1799">
        <v>2452</v>
      </c>
      <c r="G640" s="1789"/>
      <c r="H640" s="1801" cm="1">
        <f t="array" ref="H640">C640-D640</f>
        <v>19818717</v>
      </c>
      <c r="I640" s="1789"/>
      <c r="J640" s="1789"/>
      <c r="K640" s="1789"/>
      <c r="L640" s="1789"/>
      <c r="M640" s="1789"/>
      <c r="N640" s="1789"/>
    </row>
    <row r="641" ht="15" customHeight="1">
      <c r="A641" t="s" s="1799">
        <v>3445</v>
      </c>
      <c r="B641" t="s" s="1800">
        <v>3446</v>
      </c>
      <c r="C641" s="1801">
        <v>70076510</v>
      </c>
      <c r="D641" s="1801">
        <v>0</v>
      </c>
      <c r="E641" s="1801"/>
      <c r="F641" t="s" s="1799">
        <v>2452</v>
      </c>
      <c r="G641" s="1789"/>
      <c r="H641" s="1801" cm="1">
        <f t="array" ref="H641">C641-D641</f>
        <v>70076510</v>
      </c>
      <c r="I641" s="1789"/>
      <c r="J641" s="1789"/>
      <c r="K641" s="1789"/>
      <c r="L641" s="1789"/>
      <c r="M641" s="1789"/>
      <c r="N641" s="1789"/>
    </row>
    <row r="642" ht="15" customHeight="1">
      <c r="A642" t="s" s="1799">
        <v>3445</v>
      </c>
      <c r="B642" t="s" s="1800">
        <v>3447</v>
      </c>
      <c r="C642" s="1801">
        <v>15255000</v>
      </c>
      <c r="D642" s="1801">
        <v>0</v>
      </c>
      <c r="E642" s="1801"/>
      <c r="F642" t="s" s="1799">
        <v>2452</v>
      </c>
      <c r="G642" s="1789"/>
      <c r="H642" s="1801" cm="1">
        <f t="array" ref="H642">C642-D642</f>
        <v>15255000</v>
      </c>
      <c r="I642" s="1789"/>
      <c r="J642" s="1789"/>
      <c r="K642" s="1789"/>
      <c r="L642" s="1789"/>
      <c r="M642" s="1789"/>
      <c r="N642" s="1789"/>
    </row>
    <row r="643" ht="15" customHeight="1">
      <c r="A643" t="s" s="1799">
        <v>3448</v>
      </c>
      <c r="B643" t="s" s="1800">
        <v>3449</v>
      </c>
      <c r="C643" s="1801">
        <v>500000000</v>
      </c>
      <c r="D643" s="1801">
        <v>0</v>
      </c>
      <c r="E643" t="s" s="1799">
        <v>3433</v>
      </c>
      <c r="F643" s="1801"/>
      <c r="G643" s="1789"/>
      <c r="H643" s="1801" cm="1">
        <f t="array" ref="H643">C643-D643</f>
        <v>500000000</v>
      </c>
      <c r="I643" s="1789"/>
      <c r="J643" s="1789"/>
      <c r="K643" s="1789"/>
      <c r="L643" s="1789"/>
      <c r="M643" s="1789"/>
      <c r="N643" s="1789"/>
    </row>
    <row r="644" ht="15" customHeight="1">
      <c r="A644" t="s" s="1799">
        <v>3450</v>
      </c>
      <c r="B644" t="s" s="1800">
        <v>3451</v>
      </c>
      <c r="C644" s="1801">
        <v>35617997</v>
      </c>
      <c r="D644" s="1801">
        <v>0</v>
      </c>
      <c r="E644" s="1801"/>
      <c r="F644" t="s" s="1799">
        <v>2452</v>
      </c>
      <c r="G644" s="1789"/>
      <c r="H644" s="1801" cm="1">
        <f t="array" ref="H644">C644-D644</f>
        <v>35617997</v>
      </c>
      <c r="I644" s="1789"/>
      <c r="J644" s="1789"/>
      <c r="K644" s="1789"/>
      <c r="L644" s="1789"/>
      <c r="M644" s="1789"/>
      <c r="N644" s="1789"/>
    </row>
    <row r="645" ht="15" customHeight="1">
      <c r="A645" t="s" s="1799">
        <v>3452</v>
      </c>
      <c r="B645" t="s" s="1800">
        <v>3453</v>
      </c>
      <c r="C645" s="1801">
        <v>181400748</v>
      </c>
      <c r="D645" s="1801">
        <v>0</v>
      </c>
      <c r="E645" s="1801"/>
      <c r="F645" t="s" s="1799">
        <v>2452</v>
      </c>
      <c r="G645" s="1789"/>
      <c r="H645" s="1801" cm="1">
        <f t="array" ref="H645">C645-D645</f>
        <v>181400748</v>
      </c>
      <c r="I645" s="1789"/>
      <c r="J645" s="1789"/>
      <c r="K645" s="1789"/>
      <c r="L645" s="1789"/>
      <c r="M645" s="1789"/>
      <c r="N645" s="1789"/>
    </row>
    <row r="646" ht="15" customHeight="1">
      <c r="A646" t="s" s="1799">
        <v>3454</v>
      </c>
      <c r="B646" t="s" s="1800">
        <v>3425</v>
      </c>
      <c r="C646" s="1801">
        <v>91225559</v>
      </c>
      <c r="D646" s="1801">
        <v>0</v>
      </c>
      <c r="E646" s="1801"/>
      <c r="F646" t="s" s="1799">
        <v>2452</v>
      </c>
      <c r="G646" s="1789"/>
      <c r="H646" s="1801" cm="1">
        <f t="array" ref="H646">C646-D646</f>
        <v>91225559</v>
      </c>
      <c r="I646" s="1789"/>
      <c r="J646" s="1789"/>
      <c r="K646" s="1789"/>
      <c r="L646" s="1789"/>
      <c r="M646" s="1789"/>
      <c r="N646" s="1789"/>
    </row>
    <row r="647" ht="15" customHeight="1">
      <c r="A647" t="s" s="1799">
        <v>3454</v>
      </c>
      <c r="B647" t="s" s="1800">
        <v>3425</v>
      </c>
      <c r="C647" s="1801">
        <v>91934259</v>
      </c>
      <c r="D647" s="1801">
        <v>0</v>
      </c>
      <c r="E647" s="1801"/>
      <c r="F647" t="s" s="1799">
        <v>2452</v>
      </c>
      <c r="G647" s="1789"/>
      <c r="H647" s="1801" cm="1">
        <f t="array" ref="H647">C647-D647</f>
        <v>91934259</v>
      </c>
      <c r="I647" s="1789"/>
      <c r="J647" s="1789"/>
      <c r="K647" s="1789"/>
      <c r="L647" s="1789"/>
      <c r="M647" s="1789"/>
      <c r="N647" s="1789"/>
    </row>
    <row r="648" ht="15" customHeight="1">
      <c r="A648" t="s" s="1799">
        <v>3454</v>
      </c>
      <c r="B648" t="s" s="1800">
        <v>3455</v>
      </c>
      <c r="C648" s="1801">
        <v>89939844</v>
      </c>
      <c r="D648" s="1801">
        <v>0</v>
      </c>
      <c r="E648" s="1801"/>
      <c r="F648" t="s" s="1799">
        <v>2452</v>
      </c>
      <c r="G648" s="1789"/>
      <c r="H648" s="1801" cm="1">
        <f t="array" ref="H648">C648-D648</f>
        <v>89939844</v>
      </c>
      <c r="I648" s="1789"/>
      <c r="J648" s="1789"/>
      <c r="K648" s="1789"/>
      <c r="L648" s="1789"/>
      <c r="M648" s="1789"/>
      <c r="N648" s="1789"/>
    </row>
    <row r="649" ht="15" customHeight="1">
      <c r="A649" t="s" s="1799">
        <v>3454</v>
      </c>
      <c r="B649" t="s" s="1800">
        <v>3456</v>
      </c>
      <c r="C649" s="1801">
        <v>95414543</v>
      </c>
      <c r="D649" s="1801">
        <v>0</v>
      </c>
      <c r="E649" s="1801"/>
      <c r="F649" t="s" s="1799">
        <v>2452</v>
      </c>
      <c r="G649" s="1789"/>
      <c r="H649" s="1801" cm="1">
        <f t="array" ref="H649">C649-D649</f>
        <v>95414543</v>
      </c>
      <c r="I649" s="1789"/>
      <c r="J649" s="1789"/>
      <c r="K649" s="1789"/>
      <c r="L649" s="1789"/>
      <c r="M649" s="1789"/>
      <c r="N649" s="1789"/>
    </row>
    <row r="650" ht="15" customHeight="1">
      <c r="A650" t="s" s="1799">
        <v>3457</v>
      </c>
      <c r="B650" t="s" s="1800">
        <v>3458</v>
      </c>
      <c r="C650" s="1801">
        <v>34937791</v>
      </c>
      <c r="D650" s="1801">
        <v>0</v>
      </c>
      <c r="E650" s="1801"/>
      <c r="F650" t="s" s="1799">
        <v>2452</v>
      </c>
      <c r="G650" s="1789"/>
      <c r="H650" s="1801" cm="1">
        <f t="array" ref="H650">C650-D650</f>
        <v>34937791</v>
      </c>
      <c r="I650" s="1789"/>
      <c r="J650" s="1789"/>
      <c r="K650" s="1789"/>
      <c r="L650" s="1789"/>
      <c r="M650" s="1789"/>
      <c r="N650" s="1789"/>
    </row>
    <row r="651" ht="15" customHeight="1">
      <c r="A651" t="s" s="1799">
        <v>3457</v>
      </c>
      <c r="B651" t="s" s="1800">
        <v>3459</v>
      </c>
      <c r="C651" s="1801">
        <v>101590909</v>
      </c>
      <c r="D651" s="1801">
        <v>0</v>
      </c>
      <c r="E651" s="1801"/>
      <c r="F651" t="s" s="1799">
        <v>2452</v>
      </c>
      <c r="G651" s="1789"/>
      <c r="H651" s="1801" cm="1">
        <f t="array" ref="H651">C651-D651</f>
        <v>101590909</v>
      </c>
      <c r="I651" s="1789"/>
      <c r="J651" s="1789"/>
      <c r="K651" s="1789"/>
      <c r="L651" s="1789"/>
      <c r="M651" s="1789"/>
      <c r="N651" s="1789"/>
    </row>
    <row r="652" ht="15" customHeight="1">
      <c r="A652" t="s" s="1799">
        <v>3460</v>
      </c>
      <c r="B652" t="s" s="1800">
        <v>3461</v>
      </c>
      <c r="C652" s="1801">
        <v>64000000</v>
      </c>
      <c r="D652" s="1801">
        <v>0</v>
      </c>
      <c r="E652" s="1801"/>
      <c r="F652" t="s" s="1799">
        <v>2452</v>
      </c>
      <c r="G652" s="1789"/>
      <c r="H652" s="1801" cm="1">
        <f t="array" ref="H652">C652-D652</f>
        <v>64000000</v>
      </c>
      <c r="I652" s="1789"/>
      <c r="J652" s="1789"/>
      <c r="K652" s="1789"/>
      <c r="L652" s="1789"/>
      <c r="M652" s="1789"/>
      <c r="N652" s="1789"/>
    </row>
    <row r="653" ht="15" customHeight="1">
      <c r="A653" t="s" s="1799">
        <v>3462</v>
      </c>
      <c r="B653" t="s" s="1800">
        <v>3463</v>
      </c>
      <c r="C653" s="1801">
        <v>1100000000</v>
      </c>
      <c r="D653" s="1801">
        <v>0</v>
      </c>
      <c r="E653" t="s" s="1799">
        <v>3433</v>
      </c>
      <c r="F653" s="1801"/>
      <c r="G653" s="1789"/>
      <c r="H653" s="1801" cm="1">
        <f t="array" ref="H653">C653-D653</f>
        <v>1100000000</v>
      </c>
      <c r="I653" s="1789"/>
      <c r="J653" s="1789"/>
      <c r="K653" s="1789"/>
      <c r="L653" s="1789"/>
      <c r="M653" s="1789"/>
      <c r="N653" s="1789"/>
    </row>
    <row r="654" ht="15" customHeight="1">
      <c r="A654" t="s" s="1799">
        <v>3464</v>
      </c>
      <c r="B654" t="s" s="1800">
        <v>3465</v>
      </c>
      <c r="C654" s="1801">
        <v>481520000</v>
      </c>
      <c r="D654" s="1801">
        <v>0</v>
      </c>
      <c r="E654" t="s" s="1799">
        <v>3433</v>
      </c>
      <c r="F654" s="1801"/>
      <c r="G654" s="1789"/>
      <c r="H654" s="1801" cm="1">
        <f t="array" ref="H654">C654-D654</f>
        <v>481520000</v>
      </c>
      <c r="I654" s="1789"/>
      <c r="J654" s="1789"/>
      <c r="K654" s="1789"/>
      <c r="L654" s="1789"/>
      <c r="M654" s="1789"/>
      <c r="N654" s="1789"/>
    </row>
    <row r="655" ht="15" customHeight="1">
      <c r="A655" t="s" s="1799">
        <v>3466</v>
      </c>
      <c r="B655" t="s" s="1800">
        <v>3345</v>
      </c>
      <c r="C655" s="1801">
        <v>3330000</v>
      </c>
      <c r="D655" s="1801">
        <v>0</v>
      </c>
      <c r="E655" s="1801"/>
      <c r="F655" t="s" s="1799">
        <v>2452</v>
      </c>
      <c r="G655" s="1789"/>
      <c r="H655" s="1801" cm="1">
        <f t="array" ref="H655">C655-D655</f>
        <v>3330000</v>
      </c>
      <c r="I655" s="1789"/>
      <c r="J655" s="1789"/>
      <c r="K655" s="1789"/>
      <c r="L655" s="1789"/>
      <c r="M655" s="1789"/>
      <c r="N655" s="1789"/>
    </row>
    <row r="656" ht="15" customHeight="1">
      <c r="A656" t="s" s="1799">
        <v>3467</v>
      </c>
      <c r="B656" t="s" s="1800">
        <v>3468</v>
      </c>
      <c r="C656" s="1801">
        <v>14000000</v>
      </c>
      <c r="D656" s="1801">
        <v>10000000</v>
      </c>
      <c r="E656" s="1801"/>
      <c r="F656" t="s" s="1799">
        <v>2452</v>
      </c>
      <c r="G656" s="1789"/>
      <c r="H656" s="1801" cm="1">
        <f t="array" ref="H656">C656-D656</f>
        <v>4000000</v>
      </c>
      <c r="I656" s="1789"/>
      <c r="J656" s="1789"/>
      <c r="K656" s="1789"/>
      <c r="L656" s="1789"/>
      <c r="M656" s="1789"/>
      <c r="N656" s="1789"/>
    </row>
    <row r="657" ht="15" customHeight="1">
      <c r="A657" t="s" s="1799">
        <v>3469</v>
      </c>
      <c r="B657" t="s" s="1800">
        <v>3470</v>
      </c>
      <c r="C657" s="1801">
        <v>39782500</v>
      </c>
      <c r="D657" s="1801">
        <v>26282500</v>
      </c>
      <c r="E657" s="1801"/>
      <c r="F657" t="s" s="1799">
        <v>2452</v>
      </c>
      <c r="G657" s="1789"/>
      <c r="H657" s="1801" cm="1">
        <f t="array" ref="H657">C657-D657</f>
        <v>13500000</v>
      </c>
      <c r="I657" s="1789"/>
      <c r="J657" s="1789"/>
      <c r="K657" s="1789"/>
      <c r="L657" s="1789"/>
      <c r="M657" s="1789"/>
      <c r="N657" s="1789"/>
    </row>
    <row r="658" ht="15" customHeight="1">
      <c r="A658" t="s" s="1799">
        <v>3471</v>
      </c>
      <c r="B658" t="s" s="1800">
        <v>3472</v>
      </c>
      <c r="C658" s="1801">
        <v>3217826127</v>
      </c>
      <c r="D658" s="1801">
        <v>1717826127</v>
      </c>
      <c r="E658" s="1801"/>
      <c r="F658" t="s" s="1799">
        <v>2452</v>
      </c>
      <c r="G658" s="1789"/>
      <c r="H658" s="1801" cm="1">
        <f t="array" ref="H658">C658-D658</f>
        <v>1500000000</v>
      </c>
      <c r="I658" s="1789"/>
      <c r="J658" s="1789"/>
      <c r="K658" s="1789"/>
      <c r="L658" s="1789"/>
      <c r="M658" s="1789"/>
      <c r="N658" s="1789"/>
    </row>
    <row r="659" ht="15" customHeight="1">
      <c r="A659" t="s" s="1799">
        <v>3473</v>
      </c>
      <c r="B659" t="s" s="1800">
        <v>3474</v>
      </c>
      <c r="C659" s="1801">
        <v>2000000</v>
      </c>
      <c r="D659" s="1801">
        <v>0</v>
      </c>
      <c r="E659" s="1801"/>
      <c r="F659" t="s" s="1799">
        <v>2452</v>
      </c>
      <c r="G659" s="1789"/>
      <c r="H659" s="1801" cm="1">
        <f t="array" ref="H659">C659-D659</f>
        <v>2000000</v>
      </c>
      <c r="I659" s="1789"/>
      <c r="J659" s="1789"/>
      <c r="K659" s="1789"/>
      <c r="L659" s="1789"/>
      <c r="M659" s="1789"/>
      <c r="N659" s="1789"/>
    </row>
    <row r="660" ht="15" customHeight="1">
      <c r="A660" t="s" s="1799">
        <v>3475</v>
      </c>
      <c r="B660" t="s" s="1800">
        <v>3476</v>
      </c>
      <c r="C660" s="1801">
        <v>25000000</v>
      </c>
      <c r="D660" s="1801">
        <v>25000000</v>
      </c>
      <c r="E660" s="1801"/>
      <c r="F660" t="s" s="1799">
        <v>2452</v>
      </c>
      <c r="G660" s="1789"/>
      <c r="H660" s="1801" cm="1">
        <f t="array" ref="H660">C660-D660</f>
        <v>0</v>
      </c>
      <c r="I660" s="1789"/>
      <c r="J660" s="1789"/>
      <c r="K660" s="1789"/>
      <c r="L660" s="1789"/>
      <c r="M660" s="1789"/>
      <c r="N660" s="1789"/>
    </row>
    <row r="661" ht="15" customHeight="1">
      <c r="A661" t="s" s="1799">
        <v>3477</v>
      </c>
      <c r="B661" t="s" s="1800">
        <v>3478</v>
      </c>
      <c r="C661" s="1801">
        <v>40000000</v>
      </c>
      <c r="D661" s="1801">
        <v>0</v>
      </c>
      <c r="E661" s="1801"/>
      <c r="F661" t="s" s="1799">
        <v>2452</v>
      </c>
      <c r="G661" s="1789"/>
      <c r="H661" s="1801" cm="1">
        <f t="array" ref="H661">C661-D661</f>
        <v>40000000</v>
      </c>
      <c r="I661" s="1789"/>
      <c r="J661" s="1789"/>
      <c r="K661" s="1789"/>
      <c r="L661" s="1789"/>
      <c r="M661" s="1789"/>
      <c r="N661" s="1789"/>
    </row>
    <row r="662" ht="15" customHeight="1">
      <c r="A662" t="s" s="1799">
        <v>3479</v>
      </c>
      <c r="B662" t="s" s="1800">
        <v>3480</v>
      </c>
      <c r="C662" s="1801">
        <v>1643607667.81</v>
      </c>
      <c r="D662" s="1801">
        <v>1401705526</v>
      </c>
      <c r="E662" s="1801"/>
      <c r="F662" t="s" s="1799">
        <v>2452</v>
      </c>
      <c r="G662" s="1789"/>
      <c r="H662" s="1801" cm="1">
        <f t="array" ref="H662">C662-D662</f>
        <v>241902141.81</v>
      </c>
      <c r="I662" s="1789"/>
      <c r="J662" s="1789"/>
      <c r="K662" s="1789"/>
      <c r="L662" s="1789"/>
      <c r="M662" s="1789"/>
      <c r="N662" s="1789"/>
    </row>
    <row r="663" ht="15" customHeight="1">
      <c r="A663" t="s" s="1799">
        <v>3481</v>
      </c>
      <c r="B663" t="s" s="1800">
        <v>3482</v>
      </c>
      <c r="C663" s="1801">
        <v>72000000</v>
      </c>
      <c r="D663" s="1801">
        <v>0</v>
      </c>
      <c r="E663" s="1801"/>
      <c r="F663" t="s" s="1799">
        <v>2452</v>
      </c>
      <c r="G663" s="1789"/>
      <c r="H663" s="1801" cm="1">
        <f t="array" ref="H663">C663-D663</f>
        <v>72000000</v>
      </c>
      <c r="I663" s="1789"/>
      <c r="J663" s="1789"/>
      <c r="K663" s="1789"/>
      <c r="L663" s="1789"/>
      <c r="M663" s="1789"/>
      <c r="N663" s="1789"/>
    </row>
    <row r="664" ht="15" customHeight="1">
      <c r="A664" t="s" s="1799">
        <v>3483</v>
      </c>
      <c r="B664" t="s" s="1800">
        <v>3484</v>
      </c>
      <c r="C664" s="1801">
        <v>49296500</v>
      </c>
      <c r="D664" s="1801">
        <v>0</v>
      </c>
      <c r="E664" s="1801"/>
      <c r="F664" t="s" s="1799">
        <v>2452</v>
      </c>
      <c r="G664" s="1789"/>
      <c r="H664" s="1801" cm="1">
        <f t="array" ref="H664">C664-D664</f>
        <v>49296500</v>
      </c>
      <c r="I664" s="1789"/>
      <c r="J664" s="1789"/>
      <c r="K664" s="1789"/>
      <c r="L664" s="1789"/>
      <c r="M664" s="1789"/>
      <c r="N664" s="1789"/>
    </row>
    <row r="665" ht="15" customHeight="1">
      <c r="A665" t="s" s="1799">
        <v>3485</v>
      </c>
      <c r="B665" t="s" s="1800">
        <v>3486</v>
      </c>
      <c r="C665" s="1801">
        <v>57100000</v>
      </c>
      <c r="D665" s="1801">
        <v>5753870</v>
      </c>
      <c r="E665" s="1801"/>
      <c r="F665" t="s" s="1799">
        <v>2452</v>
      </c>
      <c r="G665" s="1789"/>
      <c r="H665" s="1801" cm="1">
        <f t="array" ref="H665">C665-D665</f>
        <v>51346130</v>
      </c>
      <c r="I665" s="1789"/>
      <c r="J665" s="1789"/>
      <c r="K665" s="1789"/>
      <c r="L665" s="1789"/>
      <c r="M665" s="1789"/>
      <c r="N665" s="1789"/>
    </row>
    <row r="666" ht="15" customHeight="1">
      <c r="A666" t="s" s="1799">
        <v>3487</v>
      </c>
      <c r="B666" t="s" s="1800">
        <v>3488</v>
      </c>
      <c r="C666" s="1801">
        <v>19560000</v>
      </c>
      <c r="D666" s="1801">
        <v>0</v>
      </c>
      <c r="E666" s="1801"/>
      <c r="F666" t="s" s="1799">
        <v>2452</v>
      </c>
      <c r="G666" s="1789"/>
      <c r="H666" s="1801" cm="1">
        <f t="array" ref="H666">C666-D666</f>
        <v>19560000</v>
      </c>
      <c r="I666" s="1789"/>
      <c r="J666" s="1789"/>
      <c r="K666" s="1789"/>
      <c r="L666" s="1789"/>
      <c r="M666" s="1789"/>
      <c r="N666" s="1789"/>
    </row>
    <row r="667" ht="15" customHeight="1">
      <c r="A667" t="s" s="1799">
        <v>3489</v>
      </c>
      <c r="B667" t="s" s="1800">
        <v>3490</v>
      </c>
      <c r="C667" s="1801">
        <v>7120000000</v>
      </c>
      <c r="D667" s="1801">
        <v>1750000000</v>
      </c>
      <c r="E667" s="1801"/>
      <c r="F667" t="s" s="1799">
        <v>2452</v>
      </c>
      <c r="G667" s="1789"/>
      <c r="H667" s="1801" cm="1">
        <f t="array" ref="H667">C667-D667</f>
        <v>5370000000</v>
      </c>
      <c r="I667" s="1789"/>
      <c r="J667" s="1789"/>
      <c r="K667" s="1789"/>
      <c r="L667" s="1789"/>
      <c r="M667" s="1789"/>
      <c r="N667" s="1789"/>
    </row>
    <row r="668" ht="15" customHeight="1">
      <c r="A668" t="s" s="1799">
        <v>3491</v>
      </c>
      <c r="B668" t="s" s="1800">
        <v>3492</v>
      </c>
      <c r="C668" s="1801">
        <v>37000000</v>
      </c>
      <c r="D668" s="1801">
        <v>0</v>
      </c>
      <c r="E668" s="1801"/>
      <c r="F668" t="s" s="1799">
        <v>2452</v>
      </c>
      <c r="G668" s="1789"/>
      <c r="H668" s="1801" cm="1">
        <f t="array" ref="H668">C668-D668</f>
        <v>37000000</v>
      </c>
      <c r="I668" s="1789"/>
      <c r="J668" s="1789"/>
      <c r="K668" s="1789"/>
      <c r="L668" s="1789"/>
      <c r="M668" s="1789"/>
      <c r="N668" s="1789"/>
    </row>
    <row r="669" ht="15" customHeight="1">
      <c r="A669" t="s" s="1799">
        <v>3493</v>
      </c>
      <c r="B669" t="s" s="1800">
        <v>3494</v>
      </c>
      <c r="C669" s="1801">
        <v>935760666</v>
      </c>
      <c r="D669" s="1801">
        <v>768500000</v>
      </c>
      <c r="E669" s="1801"/>
      <c r="F669" t="s" s="1799">
        <v>2452</v>
      </c>
      <c r="G669" s="1789"/>
      <c r="H669" s="1801" cm="1">
        <f t="array" ref="H669">C669-D669</f>
        <v>167260666</v>
      </c>
      <c r="I669" s="1789"/>
      <c r="J669" s="1789"/>
      <c r="K669" s="1789"/>
      <c r="L669" s="1789"/>
      <c r="M669" s="1789"/>
      <c r="N669" s="1789"/>
    </row>
    <row r="670" ht="15" customHeight="1">
      <c r="A670" t="s" s="1799">
        <v>3495</v>
      </c>
      <c r="B670" t="s" s="1800">
        <v>3496</v>
      </c>
      <c r="C670" s="1801">
        <v>75463500</v>
      </c>
      <c r="D670" s="1801">
        <v>5660000</v>
      </c>
      <c r="E670" s="1801"/>
      <c r="F670" t="s" s="1799">
        <v>2452</v>
      </c>
      <c r="G670" s="1789"/>
      <c r="H670" s="1801" cm="1">
        <f t="array" ref="H670">C670-D670</f>
        <v>69803500</v>
      </c>
      <c r="I670" s="1789"/>
      <c r="J670" s="1789"/>
      <c r="K670" s="1789"/>
      <c r="L670" s="1789"/>
      <c r="M670" s="1789"/>
      <c r="N670" s="1789"/>
    </row>
    <row r="671" ht="15" customHeight="1">
      <c r="A671" t="s" s="1799">
        <v>3497</v>
      </c>
      <c r="B671" t="s" s="1800">
        <v>3498</v>
      </c>
      <c r="C671" s="1801">
        <v>49419560</v>
      </c>
      <c r="D671" s="1801">
        <v>0</v>
      </c>
      <c r="E671" s="1801"/>
      <c r="F671" t="s" s="1799">
        <v>2452</v>
      </c>
      <c r="G671" s="1789"/>
      <c r="H671" s="1801" cm="1">
        <f t="array" ref="H671">C671-D671</f>
        <v>49419560</v>
      </c>
      <c r="I671" s="1789"/>
      <c r="J671" s="1789"/>
      <c r="K671" s="1789"/>
      <c r="L671" s="1789"/>
      <c r="M671" s="1789"/>
      <c r="N671" s="1789"/>
    </row>
    <row r="672" ht="15" customHeight="1">
      <c r="A672" t="s" s="1799">
        <v>3499</v>
      </c>
      <c r="B672" t="s" s="1800">
        <v>3500</v>
      </c>
      <c r="C672" s="1801">
        <v>106248164</v>
      </c>
      <c r="D672" s="1801">
        <v>0</v>
      </c>
      <c r="E672" s="1801"/>
      <c r="F672" t="s" s="1799">
        <v>2452</v>
      </c>
      <c r="G672" s="1789"/>
      <c r="H672" s="1801" cm="1">
        <f t="array" ref="H672">C672-D672</f>
        <v>106248164</v>
      </c>
      <c r="I672" s="1789"/>
      <c r="J672" s="1789"/>
      <c r="K672" s="1789"/>
      <c r="L672" s="1789"/>
      <c r="M672" s="1789"/>
      <c r="N672" s="1789"/>
    </row>
    <row r="673" ht="15" customHeight="1">
      <c r="A673" t="s" s="1799">
        <v>3501</v>
      </c>
      <c r="B673" t="s" s="1800">
        <v>3502</v>
      </c>
      <c r="C673" s="1801">
        <v>25811512</v>
      </c>
      <c r="D673" s="1801">
        <v>0</v>
      </c>
      <c r="E673" s="1801"/>
      <c r="F673" t="s" s="1799">
        <v>2452</v>
      </c>
      <c r="G673" s="1789"/>
      <c r="H673" s="1801" cm="1">
        <f t="array" ref="H673">C673-D673</f>
        <v>25811512</v>
      </c>
      <c r="I673" s="1789"/>
      <c r="J673" s="1789"/>
      <c r="K673" s="1789"/>
      <c r="L673" s="1789"/>
      <c r="M673" s="1789"/>
      <c r="N673" s="1789"/>
    </row>
    <row r="674" ht="15" customHeight="1">
      <c r="A674" t="s" s="1799">
        <v>3503</v>
      </c>
      <c r="B674" t="s" s="1800">
        <v>3504</v>
      </c>
      <c r="C674" s="1801">
        <v>89339000</v>
      </c>
      <c r="D674" s="1801">
        <v>0</v>
      </c>
      <c r="E674" s="1801"/>
      <c r="F674" t="s" s="1799">
        <v>2452</v>
      </c>
      <c r="G674" s="1789"/>
      <c r="H674" s="1801" cm="1">
        <f t="array" ref="H674">C674-D674</f>
        <v>89339000</v>
      </c>
      <c r="I674" s="1789"/>
      <c r="J674" s="1789"/>
      <c r="K674" s="1789"/>
      <c r="L674" s="1789"/>
      <c r="M674" s="1789"/>
      <c r="N674" s="1789"/>
    </row>
    <row r="675" ht="15" customHeight="1">
      <c r="A675" t="s" s="1799">
        <v>3505</v>
      </c>
      <c r="B675" t="s" s="1800">
        <v>3506</v>
      </c>
      <c r="C675" s="1801">
        <v>22272288</v>
      </c>
      <c r="D675" s="1801">
        <v>0</v>
      </c>
      <c r="E675" s="1801"/>
      <c r="F675" t="s" s="1799">
        <v>2452</v>
      </c>
      <c r="G675" s="1789"/>
      <c r="H675" s="1801" cm="1">
        <f t="array" ref="H675">C675-D675</f>
        <v>22272288</v>
      </c>
      <c r="I675" s="1789"/>
      <c r="J675" s="1789"/>
      <c r="K675" s="1789"/>
      <c r="L675" s="1789"/>
      <c r="M675" s="1789"/>
      <c r="N675" s="1789"/>
    </row>
    <row r="676" ht="15" customHeight="1">
      <c r="A676" t="s" s="1799">
        <v>3507</v>
      </c>
      <c r="B676" t="s" s="1800">
        <v>3508</v>
      </c>
      <c r="C676" s="1801">
        <v>100000</v>
      </c>
      <c r="D676" s="1801">
        <v>0</v>
      </c>
      <c r="E676" s="1801"/>
      <c r="F676" t="s" s="1799">
        <v>2452</v>
      </c>
      <c r="G676" s="1789"/>
      <c r="H676" s="1801" cm="1">
        <f t="array" ref="H676">C676-D676</f>
        <v>100000</v>
      </c>
      <c r="I676" s="1789"/>
      <c r="J676" s="1789"/>
      <c r="K676" s="1789"/>
      <c r="L676" s="1789"/>
      <c r="M676" s="1789"/>
      <c r="N676" s="1789"/>
    </row>
    <row r="677" ht="15" customHeight="1">
      <c r="A677" t="s" s="1799">
        <v>3509</v>
      </c>
      <c r="B677" t="s" s="1800">
        <v>3510</v>
      </c>
      <c r="C677" s="1801">
        <v>128565896</v>
      </c>
      <c r="D677" s="1801">
        <v>0</v>
      </c>
      <c r="E677" s="1801"/>
      <c r="F677" t="s" s="1799">
        <v>2452</v>
      </c>
      <c r="G677" s="1789"/>
      <c r="H677" s="1801" cm="1">
        <f t="array" ref="H677">C677-D677</f>
        <v>128565896</v>
      </c>
      <c r="I677" s="1789"/>
      <c r="J677" s="1789"/>
      <c r="K677" s="1789"/>
      <c r="L677" s="1789"/>
      <c r="M677" s="1789"/>
      <c r="N677" s="1789"/>
    </row>
    <row r="678" ht="15" customHeight="1">
      <c r="A678" t="s" s="1799">
        <v>3511</v>
      </c>
      <c r="B678" t="s" s="1800">
        <v>3512</v>
      </c>
      <c r="C678" s="1801">
        <v>7254521</v>
      </c>
      <c r="D678" s="1801">
        <v>1254521</v>
      </c>
      <c r="E678" s="1801"/>
      <c r="F678" t="s" s="1799">
        <v>2452</v>
      </c>
      <c r="G678" s="1789"/>
      <c r="H678" s="1801" cm="1">
        <f t="array" ref="H678">C678-D678</f>
        <v>6000000</v>
      </c>
      <c r="I678" s="1789"/>
      <c r="J678" s="1789"/>
      <c r="K678" s="1789"/>
      <c r="L678" s="1789"/>
      <c r="M678" s="1789"/>
      <c r="N678" s="1789"/>
    </row>
    <row r="679" ht="15" customHeight="1">
      <c r="A679" t="s" s="1799">
        <v>3513</v>
      </c>
      <c r="B679" t="s" s="1800">
        <v>3514</v>
      </c>
      <c r="C679" s="1801">
        <v>7000000</v>
      </c>
      <c r="D679" s="1801">
        <v>0</v>
      </c>
      <c r="E679" s="1801"/>
      <c r="F679" t="s" s="1799">
        <v>2452</v>
      </c>
      <c r="G679" s="1789"/>
      <c r="H679" s="1801" cm="1">
        <f t="array" ref="H679">C679-D679</f>
        <v>7000000</v>
      </c>
      <c r="I679" s="1789"/>
      <c r="J679" s="1789"/>
      <c r="K679" s="1789"/>
      <c r="L679" s="1789"/>
      <c r="M679" s="1789"/>
      <c r="N679" s="1789"/>
    </row>
    <row r="680" ht="15" customHeight="1">
      <c r="A680" t="s" s="1799">
        <v>3515</v>
      </c>
      <c r="B680" t="s" s="1800">
        <v>3516</v>
      </c>
      <c r="C680" s="1801">
        <v>85000000</v>
      </c>
      <c r="D680" s="1801">
        <v>0</v>
      </c>
      <c r="E680" s="1801"/>
      <c r="F680" t="s" s="1799">
        <v>2452</v>
      </c>
      <c r="G680" s="1789"/>
      <c r="H680" s="1801" cm="1">
        <f t="array" ref="H680">C680-D680</f>
        <v>85000000</v>
      </c>
      <c r="I680" s="1789"/>
      <c r="J680" s="1789"/>
      <c r="K680" s="1789"/>
      <c r="L680" s="1789"/>
      <c r="M680" s="1789"/>
      <c r="N680" s="1789"/>
    </row>
    <row r="681" ht="15" customHeight="1">
      <c r="A681" t="s" s="1799">
        <v>3517</v>
      </c>
      <c r="B681" t="s" s="1800">
        <v>3518</v>
      </c>
      <c r="C681" s="1801">
        <v>56000000</v>
      </c>
      <c r="D681" s="1801">
        <v>0</v>
      </c>
      <c r="E681" s="1801"/>
      <c r="F681" t="s" s="1799">
        <v>2452</v>
      </c>
      <c r="G681" s="1789"/>
      <c r="H681" s="1801" cm="1">
        <f t="array" ref="H681">C681-D681</f>
        <v>56000000</v>
      </c>
      <c r="I681" s="1789"/>
      <c r="J681" s="1789"/>
      <c r="K681" s="1789"/>
      <c r="L681" s="1789"/>
      <c r="M681" s="1789"/>
      <c r="N681" s="1789"/>
    </row>
    <row r="682" ht="15" customHeight="1">
      <c r="A682" t="s" s="1799">
        <v>3519</v>
      </c>
      <c r="B682" t="s" s="1800">
        <v>3520</v>
      </c>
      <c r="C682" s="1801">
        <v>7000000</v>
      </c>
      <c r="D682" s="1801">
        <v>0</v>
      </c>
      <c r="E682" s="1801"/>
      <c r="F682" t="s" s="1799">
        <v>2452</v>
      </c>
      <c r="G682" s="1789"/>
      <c r="H682" s="1801" cm="1">
        <f t="array" ref="H682">C682-D682</f>
        <v>7000000</v>
      </c>
      <c r="I682" s="1789"/>
      <c r="J682" s="1789"/>
      <c r="K682" s="1789"/>
      <c r="L682" s="1789"/>
      <c r="M682" s="1789"/>
      <c r="N682" s="1789"/>
    </row>
    <row r="683" ht="15" customHeight="1">
      <c r="A683" t="s" s="1799">
        <v>3521</v>
      </c>
      <c r="B683" t="s" s="1800">
        <v>3522</v>
      </c>
      <c r="C683" s="1801">
        <v>6000000</v>
      </c>
      <c r="D683" s="1801">
        <v>0</v>
      </c>
      <c r="E683" s="1801"/>
      <c r="F683" t="s" s="1799">
        <v>2452</v>
      </c>
      <c r="G683" s="1789"/>
      <c r="H683" s="1801" cm="1">
        <f t="array" ref="H683">C683-D683</f>
        <v>6000000</v>
      </c>
      <c r="I683" s="1789"/>
      <c r="J683" s="1789"/>
      <c r="K683" s="1789"/>
      <c r="L683" s="1789"/>
      <c r="M683" s="1789"/>
      <c r="N683" s="1789"/>
    </row>
    <row r="684" ht="15" customHeight="1">
      <c r="A684" t="s" s="1799">
        <v>3523</v>
      </c>
      <c r="B684" t="s" s="1800">
        <v>3524</v>
      </c>
      <c r="C684" s="1801">
        <v>22797968</v>
      </c>
      <c r="D684" s="1801">
        <v>0</v>
      </c>
      <c r="E684" s="1801"/>
      <c r="F684" t="s" s="1799">
        <v>2452</v>
      </c>
      <c r="G684" s="1789"/>
      <c r="H684" s="1801" cm="1">
        <f t="array" ref="H684">C684-D684</f>
        <v>22797968</v>
      </c>
      <c r="I684" s="1789"/>
      <c r="J684" s="1789"/>
      <c r="K684" s="1789"/>
      <c r="L684" s="1789"/>
      <c r="M684" s="1789"/>
      <c r="N684" s="1789"/>
    </row>
    <row r="685" ht="15" customHeight="1">
      <c r="A685" t="s" s="1799">
        <v>3525</v>
      </c>
      <c r="B685" t="s" s="1800">
        <v>3526</v>
      </c>
      <c r="C685" s="1801">
        <v>0</v>
      </c>
      <c r="D685" s="1801">
        <v>0</v>
      </c>
      <c r="E685" s="1801"/>
      <c r="F685" t="s" s="1799">
        <v>2452</v>
      </c>
      <c r="G685" s="1789"/>
      <c r="H685" s="1801" cm="1">
        <f t="array" ref="H685">C685-D685</f>
        <v>0</v>
      </c>
      <c r="I685" s="1789"/>
      <c r="J685" s="1789"/>
      <c r="K685" s="1789"/>
      <c r="L685" s="1789"/>
      <c r="M685" s="1789"/>
      <c r="N685" s="1789"/>
    </row>
    <row r="686" ht="15" customHeight="1">
      <c r="A686" t="s" s="1799">
        <v>3527</v>
      </c>
      <c r="B686" t="s" s="1800">
        <v>3528</v>
      </c>
      <c r="C686" s="1801">
        <v>5000000</v>
      </c>
      <c r="D686" s="1801">
        <v>0</v>
      </c>
      <c r="E686" s="1801"/>
      <c r="F686" t="s" s="1799">
        <v>2452</v>
      </c>
      <c r="G686" s="1789"/>
      <c r="H686" s="1801" cm="1">
        <f t="array" ref="H686">C686-D686</f>
        <v>5000000</v>
      </c>
      <c r="I686" s="1789"/>
      <c r="J686" s="1789"/>
      <c r="K686" s="1789"/>
      <c r="L686" s="1789"/>
      <c r="M686" s="1789"/>
      <c r="N686" s="1789"/>
    </row>
    <row r="687" ht="15" customHeight="1">
      <c r="A687" t="s" s="1799">
        <v>3529</v>
      </c>
      <c r="B687" t="s" s="1800">
        <v>3530</v>
      </c>
      <c r="C687" s="1801">
        <v>16000000</v>
      </c>
      <c r="D687" s="1801">
        <v>0</v>
      </c>
      <c r="E687" s="1801"/>
      <c r="F687" t="s" s="1799">
        <v>2452</v>
      </c>
      <c r="G687" s="1789"/>
      <c r="H687" s="1801" cm="1">
        <f t="array" ref="H687">C687-D687</f>
        <v>16000000</v>
      </c>
      <c r="I687" s="1789"/>
      <c r="J687" s="1789"/>
      <c r="K687" s="1789"/>
      <c r="L687" s="1789"/>
      <c r="M687" s="1789"/>
      <c r="N687" s="1789"/>
    </row>
    <row r="688" ht="15" customHeight="1">
      <c r="A688" t="s" s="1799">
        <v>3531</v>
      </c>
      <c r="B688" t="s" s="1800">
        <v>3532</v>
      </c>
      <c r="C688" s="1801">
        <v>10000000</v>
      </c>
      <c r="D688" s="1801">
        <v>0</v>
      </c>
      <c r="E688" s="1801"/>
      <c r="F688" t="s" s="1799">
        <v>2452</v>
      </c>
      <c r="G688" s="1789"/>
      <c r="H688" s="1801" cm="1">
        <f t="array" ref="H688">C688-D688</f>
        <v>10000000</v>
      </c>
      <c r="I688" s="1789"/>
      <c r="J688" s="1789"/>
      <c r="K688" s="1789"/>
      <c r="L688" s="1789"/>
      <c r="M688" s="1789"/>
      <c r="N688" s="1789"/>
    </row>
    <row r="689" ht="15" customHeight="1">
      <c r="A689" t="s" s="1799">
        <v>3533</v>
      </c>
      <c r="B689" t="s" s="1800">
        <v>3534</v>
      </c>
      <c r="C689" s="1801">
        <v>55130668</v>
      </c>
      <c r="D689" s="1801">
        <v>0</v>
      </c>
      <c r="E689" s="1801"/>
      <c r="F689" t="s" s="1799">
        <v>2452</v>
      </c>
      <c r="G689" s="1789"/>
      <c r="H689" s="1801" cm="1">
        <f t="array" ref="H689">C689-D689</f>
        <v>55130668</v>
      </c>
      <c r="I689" s="1789"/>
      <c r="J689" s="1789"/>
      <c r="K689" s="1789"/>
      <c r="L689" s="1789"/>
      <c r="M689" s="1789"/>
      <c r="N689" s="1789"/>
    </row>
    <row r="690" ht="15" customHeight="1">
      <c r="A690" t="s" s="1799">
        <v>3535</v>
      </c>
      <c r="B690" t="s" s="1800">
        <v>3536</v>
      </c>
      <c r="C690" s="1801">
        <v>38000000</v>
      </c>
      <c r="D690" s="1801">
        <v>0</v>
      </c>
      <c r="E690" s="1801"/>
      <c r="F690" t="s" s="1799">
        <v>2452</v>
      </c>
      <c r="G690" s="1789"/>
      <c r="H690" s="1801" cm="1">
        <f t="array" ref="H690">C690-D690</f>
        <v>38000000</v>
      </c>
      <c r="I690" s="1789"/>
      <c r="J690" s="1789"/>
      <c r="K690" s="1789"/>
      <c r="L690" s="1789"/>
      <c r="M690" s="1789"/>
      <c r="N690" s="1789"/>
    </row>
    <row r="691" ht="15" customHeight="1">
      <c r="A691" t="s" s="1799">
        <v>3537</v>
      </c>
      <c r="B691" t="s" s="1800">
        <v>3538</v>
      </c>
      <c r="C691" s="1801">
        <v>54300000</v>
      </c>
      <c r="D691" s="1801">
        <v>1300000</v>
      </c>
      <c r="E691" s="1801"/>
      <c r="F691" t="s" s="1799">
        <v>2452</v>
      </c>
      <c r="G691" s="1789"/>
      <c r="H691" s="1801" cm="1">
        <f t="array" ref="H691">C691-D691</f>
        <v>53000000</v>
      </c>
      <c r="I691" s="1789"/>
      <c r="J691" s="1789"/>
      <c r="K691" s="1789"/>
      <c r="L691" s="1789"/>
      <c r="M691" s="1789"/>
      <c r="N691" s="1789"/>
    </row>
    <row r="692" ht="15" customHeight="1">
      <c r="A692" t="s" s="1799">
        <v>3539</v>
      </c>
      <c r="B692" t="s" s="1800">
        <v>3540</v>
      </c>
      <c r="C692" s="1801">
        <v>20000000</v>
      </c>
      <c r="D692" s="1801">
        <v>0</v>
      </c>
      <c r="E692" s="1801"/>
      <c r="F692" t="s" s="1799">
        <v>2452</v>
      </c>
      <c r="G692" s="1789"/>
      <c r="H692" s="1801" cm="1">
        <f t="array" ref="H692">C692-D692</f>
        <v>20000000</v>
      </c>
      <c r="I692" s="1789"/>
      <c r="J692" s="1789"/>
      <c r="K692" s="1789"/>
      <c r="L692" s="1789"/>
      <c r="M692" s="1789"/>
      <c r="N692" s="1789"/>
    </row>
    <row r="693" ht="15" customHeight="1">
      <c r="A693" t="s" s="1799">
        <v>3541</v>
      </c>
      <c r="B693" t="s" s="1800">
        <v>3542</v>
      </c>
      <c r="C693" s="1801">
        <v>25330000</v>
      </c>
      <c r="D693" s="1801">
        <v>0</v>
      </c>
      <c r="E693" s="1801"/>
      <c r="F693" t="s" s="1799">
        <v>2452</v>
      </c>
      <c r="G693" s="1789"/>
      <c r="H693" s="1801" cm="1">
        <f t="array" ref="H693">C693-D693</f>
        <v>25330000</v>
      </c>
      <c r="I693" s="1789"/>
      <c r="J693" s="1789"/>
      <c r="K693" s="1789"/>
      <c r="L693" s="1789"/>
      <c r="M693" s="1789"/>
      <c r="N693" s="1789"/>
    </row>
    <row r="694" ht="15" customHeight="1">
      <c r="A694" t="s" s="1799">
        <v>3543</v>
      </c>
      <c r="B694" t="s" s="1800">
        <v>3544</v>
      </c>
      <c r="C694" s="1801">
        <v>6600000</v>
      </c>
      <c r="D694" s="1801">
        <v>0</v>
      </c>
      <c r="E694" s="1801"/>
      <c r="F694" t="s" s="1799">
        <v>2452</v>
      </c>
      <c r="G694" s="1789"/>
      <c r="H694" s="1801" cm="1">
        <f t="array" ref="H694">C694-D694</f>
        <v>6600000</v>
      </c>
      <c r="I694" s="1789"/>
      <c r="J694" s="1789"/>
      <c r="K694" s="1789"/>
      <c r="L694" s="1789"/>
      <c r="M694" s="1789"/>
      <c r="N694" s="1789"/>
    </row>
    <row r="695" ht="15" customHeight="1">
      <c r="A695" t="s" s="1799">
        <v>3545</v>
      </c>
      <c r="B695" t="s" s="1800">
        <v>3546</v>
      </c>
      <c r="C695" s="1801">
        <v>300000</v>
      </c>
      <c r="D695" s="1801">
        <v>0</v>
      </c>
      <c r="E695" s="1801"/>
      <c r="F695" t="s" s="1799">
        <v>2452</v>
      </c>
      <c r="G695" s="1789"/>
      <c r="H695" s="1801" cm="1">
        <f t="array" ref="H695">C695-D695</f>
        <v>300000</v>
      </c>
      <c r="I695" s="1789"/>
      <c r="J695" s="1789"/>
      <c r="K695" s="1789"/>
      <c r="L695" s="1789"/>
      <c r="M695" s="1789"/>
      <c r="N695" s="1789"/>
    </row>
    <row r="696" ht="15" customHeight="1">
      <c r="A696" t="s" s="1799">
        <v>3547</v>
      </c>
      <c r="B696" t="s" s="1800">
        <v>3548</v>
      </c>
      <c r="C696" s="1801">
        <v>968357083</v>
      </c>
      <c r="D696" s="1801">
        <v>635000000</v>
      </c>
      <c r="E696" s="1801"/>
      <c r="F696" t="s" s="1799">
        <v>2452</v>
      </c>
      <c r="G696" s="1789"/>
      <c r="H696" s="1801" cm="1">
        <f t="array" ref="H696">C696-D696</f>
        <v>333357083</v>
      </c>
      <c r="I696" s="1789"/>
      <c r="J696" s="1789"/>
      <c r="K696" s="1789"/>
      <c r="L696" s="1789"/>
      <c r="M696" s="1789"/>
      <c r="N696" s="1789"/>
    </row>
    <row r="697" ht="15" customHeight="1">
      <c r="A697" t="s" s="1799">
        <v>3549</v>
      </c>
      <c r="B697" t="s" s="1800">
        <v>3550</v>
      </c>
      <c r="C697" s="1801">
        <v>25000000</v>
      </c>
      <c r="D697" s="1801">
        <v>0</v>
      </c>
      <c r="E697" s="1801"/>
      <c r="F697" t="s" s="1799">
        <v>2452</v>
      </c>
      <c r="G697" s="1789"/>
      <c r="H697" s="1801" cm="1">
        <f t="array" ref="H697">C697-D697</f>
        <v>25000000</v>
      </c>
      <c r="I697" s="1789"/>
      <c r="J697" s="1789"/>
      <c r="K697" s="1789"/>
      <c r="L697" s="1789"/>
      <c r="M697" s="1789"/>
      <c r="N697" s="1789"/>
    </row>
    <row r="698" ht="15" customHeight="1">
      <c r="A698" t="s" s="1799">
        <v>3551</v>
      </c>
      <c r="B698" t="s" s="1800">
        <v>3552</v>
      </c>
      <c r="C698" s="1801">
        <v>25000000</v>
      </c>
      <c r="D698" s="1801">
        <v>0</v>
      </c>
      <c r="E698" s="1801"/>
      <c r="F698" t="s" s="1799">
        <v>2452</v>
      </c>
      <c r="G698" s="1789"/>
      <c r="H698" s="1801" cm="1">
        <f t="array" ref="H698">C698-D698</f>
        <v>25000000</v>
      </c>
      <c r="I698" s="1789"/>
      <c r="J698" s="1789"/>
      <c r="K698" s="1789"/>
      <c r="L698" s="1789"/>
      <c r="M698" s="1789"/>
      <c r="N698" s="1789"/>
    </row>
    <row r="699" ht="15" customHeight="1">
      <c r="A699" t="s" s="1799">
        <v>3553</v>
      </c>
      <c r="B699" t="s" s="1800">
        <v>3554</v>
      </c>
      <c r="C699" s="1801">
        <v>50000000</v>
      </c>
      <c r="D699" s="1801">
        <v>0</v>
      </c>
      <c r="E699" s="1801"/>
      <c r="F699" t="s" s="1799">
        <v>2452</v>
      </c>
      <c r="G699" s="1789"/>
      <c r="H699" s="1801" cm="1">
        <f t="array" ref="H699">C699-D699</f>
        <v>50000000</v>
      </c>
      <c r="I699" s="1789"/>
      <c r="J699" s="1789"/>
      <c r="K699" s="1789"/>
      <c r="L699" s="1789"/>
      <c r="M699" s="1789"/>
      <c r="N699" s="1789"/>
    </row>
    <row r="700" ht="15" customHeight="1">
      <c r="A700" t="s" s="1799">
        <v>3555</v>
      </c>
      <c r="B700" t="s" s="1800">
        <v>3556</v>
      </c>
      <c r="C700" s="1801">
        <v>39500000</v>
      </c>
      <c r="D700" s="1801">
        <v>0</v>
      </c>
      <c r="E700" s="1801"/>
      <c r="F700" t="s" s="1799">
        <v>2452</v>
      </c>
      <c r="G700" s="1789"/>
      <c r="H700" s="1801" cm="1">
        <f t="array" ref="H700">C700-D700</f>
        <v>39500000</v>
      </c>
      <c r="I700" s="1789"/>
      <c r="J700" s="1789"/>
      <c r="K700" s="1789"/>
      <c r="L700" s="1789"/>
      <c r="M700" s="1789"/>
      <c r="N700" s="1789"/>
    </row>
    <row r="701" ht="15" customHeight="1">
      <c r="A701" t="s" s="1799">
        <v>3557</v>
      </c>
      <c r="B701" t="s" s="1800">
        <v>3558</v>
      </c>
      <c r="C701" s="1801">
        <v>36980000</v>
      </c>
      <c r="D701" s="1801">
        <v>0</v>
      </c>
      <c r="E701" s="1801"/>
      <c r="F701" t="s" s="1799">
        <v>2452</v>
      </c>
      <c r="G701" s="1789"/>
      <c r="H701" s="1801" cm="1">
        <f t="array" ref="H701">C701-D701</f>
        <v>36980000</v>
      </c>
      <c r="I701" s="1789"/>
      <c r="J701" s="1789"/>
      <c r="K701" s="1789"/>
      <c r="L701" s="1789"/>
      <c r="M701" s="1789"/>
      <c r="N701" s="1789"/>
    </row>
    <row r="702" ht="15" customHeight="1">
      <c r="A702" t="s" s="1799">
        <v>3559</v>
      </c>
      <c r="B702" t="s" s="1800">
        <v>3560</v>
      </c>
      <c r="C702" s="1801">
        <v>29000000</v>
      </c>
      <c r="D702" s="1801">
        <v>0</v>
      </c>
      <c r="E702" s="1801"/>
      <c r="F702" t="s" s="1799">
        <v>2452</v>
      </c>
      <c r="G702" s="1789"/>
      <c r="H702" s="1801" cm="1">
        <f t="array" ref="H702">C702-D702</f>
        <v>29000000</v>
      </c>
      <c r="I702" s="1789"/>
      <c r="J702" s="1789"/>
      <c r="K702" s="1789"/>
      <c r="L702" s="1789"/>
      <c r="M702" s="1789"/>
      <c r="N702" s="1789"/>
    </row>
    <row r="703" ht="15" customHeight="1">
      <c r="A703" t="s" s="1799">
        <v>3561</v>
      </c>
      <c r="B703" t="s" s="1800">
        <v>3562</v>
      </c>
      <c r="C703" s="1801">
        <v>26305000</v>
      </c>
      <c r="D703" s="1801">
        <v>0</v>
      </c>
      <c r="E703" s="1801"/>
      <c r="F703" t="s" s="1799">
        <v>2452</v>
      </c>
      <c r="G703" s="1789"/>
      <c r="H703" s="1801" cm="1">
        <f t="array" ref="H703">C703-D703</f>
        <v>26305000</v>
      </c>
      <c r="I703" s="1789"/>
      <c r="J703" s="1789"/>
      <c r="K703" s="1789"/>
      <c r="L703" s="1789"/>
      <c r="M703" s="1789"/>
      <c r="N703" s="1789"/>
    </row>
    <row r="704" ht="15" customHeight="1">
      <c r="A704" t="s" s="1799">
        <v>3563</v>
      </c>
      <c r="B704" t="s" s="1800">
        <v>3564</v>
      </c>
      <c r="C704" s="1801">
        <v>105397269</v>
      </c>
      <c r="D704" s="1801">
        <v>0</v>
      </c>
      <c r="E704" s="1801"/>
      <c r="F704" t="s" s="1799">
        <v>2452</v>
      </c>
      <c r="G704" s="1789"/>
      <c r="H704" s="1801" cm="1">
        <f t="array" ref="H704">C704-D704</f>
        <v>105397269</v>
      </c>
      <c r="I704" s="1789"/>
      <c r="J704" s="1789"/>
      <c r="K704" s="1789"/>
      <c r="L704" s="1789"/>
      <c r="M704" s="1789"/>
      <c r="N704" s="1789"/>
    </row>
    <row r="705" ht="15" customHeight="1">
      <c r="A705" t="s" s="1799">
        <v>3565</v>
      </c>
      <c r="B705" t="s" s="1800">
        <v>3566</v>
      </c>
      <c r="C705" s="1801">
        <v>-40787241</v>
      </c>
      <c r="D705" s="1801">
        <v>0</v>
      </c>
      <c r="E705" s="1801"/>
      <c r="F705" t="s" s="1799">
        <v>2452</v>
      </c>
      <c r="G705" s="1789"/>
      <c r="H705" s="1801" cm="1">
        <f t="array" ref="H705">C705-D705</f>
        <v>-40787241</v>
      </c>
      <c r="I705" s="1789"/>
      <c r="J705" s="1789"/>
      <c r="K705" s="1789"/>
      <c r="L705" s="1789"/>
      <c r="M705" s="1789"/>
      <c r="N705" s="1789"/>
    </row>
    <row r="706" ht="15" customHeight="1">
      <c r="A706" t="s" s="1799">
        <v>3567</v>
      </c>
      <c r="B706" t="s" s="1800">
        <v>3568</v>
      </c>
      <c r="C706" s="1801">
        <v>61000000</v>
      </c>
      <c r="D706" s="1801">
        <v>0</v>
      </c>
      <c r="E706" s="1801"/>
      <c r="F706" t="s" s="1799">
        <v>2452</v>
      </c>
      <c r="G706" s="1789"/>
      <c r="H706" s="1801" cm="1">
        <f t="array" ref="H706">C706-D706</f>
        <v>61000000</v>
      </c>
      <c r="I706" s="1789"/>
      <c r="J706" s="1789"/>
      <c r="K706" s="1789"/>
      <c r="L706" s="1789"/>
      <c r="M706" s="1789"/>
      <c r="N706" s="1789"/>
    </row>
    <row r="707" ht="15" customHeight="1">
      <c r="A707" t="s" s="1799">
        <v>3569</v>
      </c>
      <c r="B707" t="s" s="1800">
        <v>3570</v>
      </c>
      <c r="C707" s="1801">
        <v>27690000</v>
      </c>
      <c r="D707" s="1801">
        <v>0</v>
      </c>
      <c r="E707" s="1801"/>
      <c r="F707" t="s" s="1799">
        <v>2452</v>
      </c>
      <c r="G707" s="1789"/>
      <c r="H707" s="1801" cm="1">
        <f t="array" ref="H707">C707-D707</f>
        <v>27690000</v>
      </c>
      <c r="I707" s="1789"/>
      <c r="J707" s="1789"/>
      <c r="K707" s="1789"/>
      <c r="L707" s="1789"/>
      <c r="M707" s="1789"/>
      <c r="N707" s="1789"/>
    </row>
    <row r="708" ht="15" customHeight="1">
      <c r="A708" t="s" s="1799">
        <v>3571</v>
      </c>
      <c r="B708" t="s" s="1800">
        <v>3572</v>
      </c>
      <c r="C708" s="1801">
        <v>37000000</v>
      </c>
      <c r="D708" s="1801">
        <v>0</v>
      </c>
      <c r="E708" s="1801"/>
      <c r="F708" t="s" s="1799">
        <v>2452</v>
      </c>
      <c r="G708" s="1789"/>
      <c r="H708" s="1801" cm="1">
        <f t="array" ref="H708">C708-D708</f>
        <v>37000000</v>
      </c>
      <c r="I708" s="1789"/>
      <c r="J708" s="1789"/>
      <c r="K708" s="1789"/>
      <c r="L708" s="1789"/>
      <c r="M708" s="1789"/>
      <c r="N708" s="1789"/>
    </row>
    <row r="709" ht="15" customHeight="1">
      <c r="A709" t="s" s="1799">
        <v>3573</v>
      </c>
      <c r="B709" t="s" s="1800">
        <v>3574</v>
      </c>
      <c r="C709" s="1801">
        <v>62000000</v>
      </c>
      <c r="D709" s="1801">
        <v>0</v>
      </c>
      <c r="E709" s="1801"/>
      <c r="F709" t="s" s="1799">
        <v>2452</v>
      </c>
      <c r="G709" s="1789"/>
      <c r="H709" s="1801" cm="1">
        <f t="array" ref="H709">C709-D709</f>
        <v>62000000</v>
      </c>
      <c r="I709" s="1789"/>
      <c r="J709" s="1789"/>
      <c r="K709" s="1789"/>
      <c r="L709" s="1789"/>
      <c r="M709" s="1789"/>
      <c r="N709" s="1789"/>
    </row>
    <row r="710" ht="15" customHeight="1">
      <c r="A710" t="s" s="1799">
        <v>3575</v>
      </c>
      <c r="B710" t="s" s="1800">
        <v>3576</v>
      </c>
      <c r="C710" s="1801">
        <v>28000000</v>
      </c>
      <c r="D710" s="1801">
        <v>0</v>
      </c>
      <c r="E710" s="1801"/>
      <c r="F710" t="s" s="1799">
        <v>2452</v>
      </c>
      <c r="G710" s="1789"/>
      <c r="H710" s="1801" cm="1">
        <f t="array" ref="H710">C710-D710</f>
        <v>28000000</v>
      </c>
      <c r="I710" s="1789"/>
      <c r="J710" s="1789"/>
      <c r="K710" s="1789"/>
      <c r="L710" s="1789"/>
      <c r="M710" s="1789"/>
      <c r="N710" s="1789"/>
    </row>
    <row r="711" ht="15" customHeight="1">
      <c r="A711" t="s" s="1799">
        <v>3577</v>
      </c>
      <c r="B711" t="s" s="1800">
        <v>3578</v>
      </c>
      <c r="C711" s="1801">
        <v>80000000</v>
      </c>
      <c r="D711" s="1801">
        <v>0</v>
      </c>
      <c r="E711" s="1801"/>
      <c r="F711" t="s" s="1799">
        <v>2452</v>
      </c>
      <c r="G711" s="1789"/>
      <c r="H711" s="1801" cm="1">
        <f t="array" ref="H711">C711-D711</f>
        <v>80000000</v>
      </c>
      <c r="I711" s="1789"/>
      <c r="J711" s="1789"/>
      <c r="K711" s="1789"/>
      <c r="L711" s="1789"/>
      <c r="M711" s="1789"/>
      <c r="N711" s="1789"/>
    </row>
    <row r="712" ht="15" customHeight="1">
      <c r="A712" t="s" s="1799">
        <v>3579</v>
      </c>
      <c r="B712" t="s" s="1800">
        <v>3580</v>
      </c>
      <c r="C712" s="1801">
        <v>38000000</v>
      </c>
      <c r="D712" s="1801">
        <v>38000000</v>
      </c>
      <c r="E712" s="1801"/>
      <c r="F712" t="s" s="1799">
        <v>2452</v>
      </c>
      <c r="G712" s="1789"/>
      <c r="H712" s="1801" cm="1">
        <f t="array" ref="H712">C712-D712</f>
        <v>0</v>
      </c>
      <c r="I712" s="1789"/>
      <c r="J712" s="1789"/>
      <c r="K712" s="1789"/>
      <c r="L712" s="1789"/>
      <c r="M712" s="1789"/>
      <c r="N712" s="1789"/>
    </row>
    <row r="713" ht="15" customHeight="1">
      <c r="A713" t="s" s="1799">
        <v>3581</v>
      </c>
      <c r="B713" t="s" s="1800">
        <v>3582</v>
      </c>
      <c r="C713" s="1801">
        <v>65500000</v>
      </c>
      <c r="D713" s="1801">
        <v>65500000</v>
      </c>
      <c r="E713" s="1801"/>
      <c r="F713" t="s" s="1799">
        <v>2452</v>
      </c>
      <c r="G713" s="1789"/>
      <c r="H713" s="1801" cm="1">
        <f t="array" ref="H713">C713-D713</f>
        <v>0</v>
      </c>
      <c r="I713" s="1789"/>
      <c r="J713" s="1789"/>
      <c r="K713" s="1789"/>
      <c r="L713" s="1789"/>
      <c r="M713" s="1789"/>
      <c r="N713" s="1789"/>
    </row>
    <row r="714" ht="15" customHeight="1">
      <c r="A714" t="s" s="1799">
        <v>3583</v>
      </c>
      <c r="B714" t="s" s="1800">
        <v>3584</v>
      </c>
      <c r="C714" s="1801">
        <v>89500000</v>
      </c>
      <c r="D714" s="1801">
        <v>88500000</v>
      </c>
      <c r="E714" s="1801"/>
      <c r="F714" t="s" s="1799">
        <v>2452</v>
      </c>
      <c r="G714" s="1789"/>
      <c r="H714" s="1801" cm="1">
        <f t="array" ref="H714">C714-D714</f>
        <v>1000000</v>
      </c>
      <c r="I714" s="1789"/>
      <c r="J714" s="1789"/>
      <c r="K714" s="1789"/>
      <c r="L714" s="1789"/>
      <c r="M714" s="1789"/>
      <c r="N714" s="1789"/>
    </row>
    <row r="715" ht="15" customHeight="1">
      <c r="A715" t="s" s="1799">
        <v>3585</v>
      </c>
      <c r="B715" t="s" s="1800">
        <v>3586</v>
      </c>
      <c r="C715" s="1801">
        <v>66800000</v>
      </c>
      <c r="D715" s="1801">
        <v>66800000</v>
      </c>
      <c r="E715" s="1801"/>
      <c r="F715" t="s" s="1799">
        <v>2452</v>
      </c>
      <c r="G715" s="1789"/>
      <c r="H715" s="1801" cm="1">
        <f t="array" ref="H715">C715-D715</f>
        <v>0</v>
      </c>
      <c r="I715" s="1789"/>
      <c r="J715" s="1789"/>
      <c r="K715" s="1789"/>
      <c r="L715" s="1789"/>
      <c r="M715" s="1789"/>
      <c r="N715" s="1789"/>
    </row>
    <row r="716" ht="15" customHeight="1">
      <c r="A716" t="s" s="1799">
        <v>3587</v>
      </c>
      <c r="B716" t="s" s="1800">
        <v>3588</v>
      </c>
      <c r="C716" s="1801">
        <v>22000000</v>
      </c>
      <c r="D716" s="1801">
        <v>0</v>
      </c>
      <c r="E716" s="1801"/>
      <c r="F716" t="s" s="1799">
        <v>2452</v>
      </c>
      <c r="G716" s="1789"/>
      <c r="H716" s="1801" cm="1">
        <f t="array" ref="H716">C716-D716</f>
        <v>22000000</v>
      </c>
      <c r="I716" s="1789"/>
      <c r="J716" s="1789"/>
      <c r="K716" s="1789"/>
      <c r="L716" s="1789"/>
      <c r="M716" s="1789"/>
      <c r="N716" s="1789"/>
    </row>
    <row r="717" ht="15" customHeight="1">
      <c r="A717" t="s" s="1799">
        <v>3589</v>
      </c>
      <c r="B717" t="s" s="1800">
        <v>3590</v>
      </c>
      <c r="C717" s="1801">
        <v>25000000</v>
      </c>
      <c r="D717" s="1801">
        <v>0</v>
      </c>
      <c r="E717" s="1801"/>
      <c r="F717" t="s" s="1799">
        <v>2452</v>
      </c>
      <c r="G717" s="1789"/>
      <c r="H717" s="1801" cm="1">
        <f t="array" ref="H717">C717-D717</f>
        <v>25000000</v>
      </c>
      <c r="I717" s="1789"/>
      <c r="J717" s="1789"/>
      <c r="K717" s="1789"/>
      <c r="L717" s="1789"/>
      <c r="M717" s="1789"/>
      <c r="N717" s="1789"/>
    </row>
    <row r="718" ht="15" customHeight="1">
      <c r="A718" t="s" s="1799">
        <v>3591</v>
      </c>
      <c r="B718" t="s" s="1800">
        <v>3592</v>
      </c>
      <c r="C718" s="1801">
        <v>2600000</v>
      </c>
      <c r="D718" s="1801">
        <v>0</v>
      </c>
      <c r="E718" s="1801"/>
      <c r="F718" t="s" s="1799">
        <v>2452</v>
      </c>
      <c r="G718" s="1789"/>
      <c r="H718" s="1801" cm="1">
        <f t="array" ref="H718">C718-D718</f>
        <v>2600000</v>
      </c>
      <c r="I718" s="1789"/>
      <c r="J718" s="1789"/>
      <c r="K718" s="1789"/>
      <c r="L718" s="1789"/>
      <c r="M718" s="1789"/>
      <c r="N718" s="1789"/>
    </row>
    <row r="719" ht="13.5" customHeight="1">
      <c r="A719" s="1789"/>
      <c r="B719" t="s" s="1814">
        <v>3593</v>
      </c>
      <c r="C719" s="1801">
        <v>65881248204.34</v>
      </c>
      <c r="D719" s="1801">
        <v>35588190981.83</v>
      </c>
      <c r="E719" s="1801"/>
      <c r="F719" s="1801"/>
      <c r="G719" s="1801"/>
      <c r="H719" s="1801" cm="1">
        <f t="array" ref="H719">C719-D719</f>
        <v>30293057222.51</v>
      </c>
      <c r="I719" s="1789"/>
      <c r="J719" s="1789"/>
      <c r="K719" s="1789"/>
      <c r="L719" s="1789"/>
      <c r="M719" s="1789"/>
      <c r="N719" s="1789"/>
    </row>
    <row r="720" ht="13.5" customHeight="1">
      <c r="A720" s="1789"/>
      <c r="B720" t="s" s="1814">
        <v>3126</v>
      </c>
      <c r="C720" s="1801">
        <v>65749978699.56</v>
      </c>
      <c r="D720" s="1801">
        <v>37208764966.75</v>
      </c>
      <c r="E720" s="1801"/>
      <c r="F720" s="1801"/>
      <c r="G720" s="1801"/>
      <c r="H720" s="1801" cm="1">
        <f t="array" ref="H720">C720-D720</f>
        <v>28541213732.81</v>
      </c>
      <c r="I720" s="1789"/>
      <c r="J720" s="1789"/>
      <c r="K720" s="1789"/>
      <c r="L720" s="1789"/>
      <c r="M720" s="1789"/>
      <c r="N720" s="1789"/>
    </row>
    <row r="721" ht="15" customHeight="1">
      <c r="A721" s="1789"/>
      <c r="B721" t="s" s="1800">
        <v>3594</v>
      </c>
      <c r="C721" s="1801">
        <v>0</v>
      </c>
      <c r="D721" s="1801">
        <v>0</v>
      </c>
      <c r="E721" s="1801"/>
      <c r="F721" s="1801"/>
      <c r="G721" s="1789"/>
      <c r="H721" s="1801" cm="1">
        <f t="array" ref="H721">C721-D721</f>
        <v>0</v>
      </c>
      <c r="I721" s="1789"/>
      <c r="J721" s="1789"/>
      <c r="K721" s="1789"/>
      <c r="L721" s="1789"/>
      <c r="M721" s="1789"/>
      <c r="N721" s="1789"/>
    </row>
    <row r="722" ht="13.5" customHeight="1">
      <c r="A722" s="1789"/>
      <c r="B722" t="s" s="1796">
        <v>3595</v>
      </c>
      <c r="C722" s="1795">
        <v>65749978699.56</v>
      </c>
      <c r="D722" s="1795">
        <v>37208764966.75</v>
      </c>
      <c r="E722" s="1831"/>
      <c r="F722" s="1831"/>
      <c r="G722" s="1795"/>
      <c r="H722" s="1801" cm="1">
        <f t="array" ref="H722">C722-D722</f>
        <v>28541213732.81</v>
      </c>
      <c r="I722" s="1789"/>
      <c r="J722" s="1789"/>
      <c r="K722" s="1789"/>
      <c r="L722" s="1789"/>
      <c r="M722" s="1789"/>
      <c r="N722" s="1789"/>
    </row>
    <row r="723" ht="15" customHeight="1">
      <c r="A723" s="1789"/>
      <c r="B723" s="1832"/>
      <c r="C723" s="1832"/>
      <c r="D723" s="1832"/>
      <c r="E723" s="1832"/>
      <c r="F723" s="1832"/>
      <c r="G723" s="1832"/>
      <c r="H723" s="1801"/>
      <c r="I723" s="1789"/>
      <c r="J723" s="1789"/>
      <c r="K723" s="1789"/>
      <c r="L723" s="1789"/>
      <c r="M723" s="1789"/>
      <c r="N723" s="1789"/>
    </row>
    <row r="724" ht="14" customHeight="1">
      <c r="A724" s="1789"/>
      <c r="B724" t="s" s="1794">
        <v>3596</v>
      </c>
      <c r="C724" s="1795">
        <v>19660354693.1</v>
      </c>
      <c r="D724" s="1795">
        <v>16814517048.55</v>
      </c>
      <c r="E724" s="1831"/>
      <c r="F724" s="1831"/>
      <c r="G724" s="1789"/>
      <c r="H724" s="1801" cm="1">
        <f t="array" ref="H724">C724-D724</f>
        <v>2845837644.55</v>
      </c>
      <c r="I724" s="1789"/>
      <c r="J724" s="1789"/>
      <c r="K724" s="1789"/>
      <c r="L724" s="1789"/>
      <c r="M724" s="1789"/>
      <c r="N724" s="1789"/>
    </row>
    <row r="725" ht="13.5" customHeight="1">
      <c r="A725" s="1789"/>
      <c r="B725" t="s" s="1797">
        <v>3597</v>
      </c>
      <c r="C725" s="1798">
        <v>13896542912.9</v>
      </c>
      <c r="D725" s="1798">
        <v>11050705268.35</v>
      </c>
      <c r="E725" s="1798"/>
      <c r="F725" s="1798"/>
      <c r="G725" s="1789"/>
      <c r="H725" s="1801" cm="1">
        <f t="array" ref="H725">C725-D725</f>
        <v>2845837644.55</v>
      </c>
      <c r="I725" s="1789"/>
      <c r="J725" s="1789"/>
      <c r="K725" s="1789"/>
      <c r="L725" s="1789"/>
      <c r="M725" s="1789"/>
      <c r="N725" s="1789"/>
    </row>
    <row r="726" ht="15" customHeight="1">
      <c r="A726" s="1789"/>
      <c r="B726" t="s" s="1800">
        <v>3598</v>
      </c>
      <c r="C726" s="1801">
        <v>2845837644.55</v>
      </c>
      <c r="D726" s="1801">
        <v>11055080268.35</v>
      </c>
      <c r="E726" s="1801"/>
      <c r="F726" s="1801"/>
      <c r="G726" s="1789"/>
      <c r="H726" s="1801" cm="1">
        <f t="array" ref="H726">C726-D726</f>
        <v>-8209242623.8</v>
      </c>
      <c r="I726" s="1789"/>
      <c r="J726" s="1789"/>
      <c r="K726" s="1789"/>
      <c r="L726" s="1789"/>
      <c r="M726" s="1789"/>
      <c r="N726" s="1789"/>
    </row>
    <row r="727" ht="15" customHeight="1">
      <c r="A727" s="1789"/>
      <c r="B727" t="s" s="1800">
        <v>3599</v>
      </c>
      <c r="C727" s="1801">
        <v>2845837644.55</v>
      </c>
      <c r="D727" s="1801">
        <v>11055080268.35</v>
      </c>
      <c r="E727" s="1801"/>
      <c r="F727" s="1801"/>
      <c r="G727" s="1789"/>
      <c r="H727" s="1801" cm="1">
        <f t="array" ref="H727">C727-D727</f>
        <v>-8209242623.8</v>
      </c>
      <c r="I727" s="1789"/>
      <c r="J727" s="1789"/>
      <c r="K727" s="1789"/>
      <c r="L727" s="1789"/>
      <c r="M727" s="1789"/>
      <c r="N727" s="1789"/>
    </row>
    <row r="728" ht="15" customHeight="1">
      <c r="A728" s="1789"/>
      <c r="B728" t="s" s="1800">
        <v>3600</v>
      </c>
      <c r="C728" s="1801">
        <v>0</v>
      </c>
      <c r="D728" s="1801">
        <v>0</v>
      </c>
      <c r="E728" s="1801"/>
      <c r="F728" s="1801"/>
      <c r="G728" s="1789"/>
      <c r="H728" s="1801" cm="1">
        <f t="array" ref="H728">C728-D728</f>
        <v>0</v>
      </c>
      <c r="I728" s="1789"/>
      <c r="J728" s="1789"/>
      <c r="K728" s="1789"/>
      <c r="L728" s="1789"/>
      <c r="M728" s="1789"/>
      <c r="N728" s="1789"/>
    </row>
    <row r="729" ht="13.5" customHeight="1">
      <c r="A729" s="1789"/>
      <c r="B729" t="s" s="1814">
        <v>3601</v>
      </c>
      <c r="C729" s="1801">
        <v>2845837644.55</v>
      </c>
      <c r="D729" s="1801">
        <v>11055080268.35</v>
      </c>
      <c r="E729" s="1801"/>
      <c r="F729" s="1801"/>
      <c r="G729" s="1801"/>
      <c r="H729" s="1801" cm="1">
        <f t="array" ref="H729">C729-D729</f>
        <v>-8209242623.8</v>
      </c>
      <c r="I729" s="1789"/>
      <c r="J729" s="1789"/>
      <c r="K729" s="1789"/>
      <c r="L729" s="1789"/>
      <c r="M729" s="1789"/>
      <c r="N729" s="1789"/>
    </row>
    <row r="730" ht="15" customHeight="1">
      <c r="A730" s="1789"/>
      <c r="B730" t="s" s="1800">
        <v>3602</v>
      </c>
      <c r="C730" s="1801">
        <v>11050705268.35</v>
      </c>
      <c r="D730" s="1801">
        <v>-4374999.99999619</v>
      </c>
      <c r="E730" s="1801"/>
      <c r="F730" s="1801"/>
      <c r="G730" s="1789"/>
      <c r="H730" s="1801" cm="1">
        <f t="array" ref="H730">C730-D730</f>
        <v>11055080268.35</v>
      </c>
      <c r="I730" s="1789"/>
      <c r="J730" s="1789"/>
      <c r="K730" s="1789"/>
      <c r="L730" s="1789"/>
      <c r="M730" s="1789"/>
      <c r="N730" s="1789"/>
    </row>
    <row r="731" ht="13.5" customHeight="1">
      <c r="A731" s="1789"/>
      <c r="B731" t="s" s="1814">
        <v>3603</v>
      </c>
      <c r="C731" s="1801">
        <v>13896542912.9</v>
      </c>
      <c r="D731" s="1801">
        <v>11050705268.35</v>
      </c>
      <c r="E731" s="1801"/>
      <c r="F731" s="1801"/>
      <c r="G731" s="1801"/>
      <c r="H731" s="1801" cm="1">
        <f t="array" ref="H731">C731-D731</f>
        <v>2845837644.55</v>
      </c>
      <c r="I731" s="1789"/>
      <c r="J731" s="1789"/>
      <c r="K731" s="1789"/>
      <c r="L731" s="1789"/>
      <c r="M731" s="1789"/>
      <c r="N731" s="1789"/>
    </row>
    <row r="732" ht="15" customHeight="1">
      <c r="A732" s="1789"/>
      <c r="B732" t="s" s="1800">
        <v>3604</v>
      </c>
      <c r="C732" s="1801">
        <v>5763811780.2</v>
      </c>
      <c r="D732" s="1801">
        <v>5763811780.2</v>
      </c>
      <c r="E732" s="1801"/>
      <c r="F732" s="1801"/>
      <c r="G732" s="1789"/>
      <c r="H732" s="1801" cm="1">
        <f t="array" ref="H732">C732-D732</f>
        <v>0</v>
      </c>
      <c r="I732" s="1789"/>
      <c r="J732" s="1789"/>
      <c r="K732" s="1789"/>
      <c r="L732" s="1789"/>
      <c r="M732" s="1789"/>
      <c r="N732" s="1789"/>
    </row>
    <row r="733" ht="15" customHeight="1">
      <c r="A733" t="s" s="1799">
        <v>3605</v>
      </c>
      <c r="B733" t="s" s="1800">
        <v>3606</v>
      </c>
      <c r="C733" s="1801">
        <v>804216230</v>
      </c>
      <c r="D733" s="1801">
        <v>804216230</v>
      </c>
      <c r="E733" s="1801"/>
      <c r="F733" s="1801"/>
      <c r="G733" s="1789"/>
      <c r="H733" s="1801" cm="1">
        <f t="array" ref="H733">C733-D733</f>
        <v>0</v>
      </c>
      <c r="I733" s="1789"/>
      <c r="J733" s="1789"/>
      <c r="K733" s="1789"/>
      <c r="L733" s="1789"/>
      <c r="M733" s="1789"/>
      <c r="N733" s="1789"/>
    </row>
    <row r="734" ht="15" customHeight="1">
      <c r="A734" t="s" s="1799">
        <v>3607</v>
      </c>
      <c r="B734" t="s" s="1800">
        <v>3608</v>
      </c>
      <c r="C734" s="1801">
        <v>47474500</v>
      </c>
      <c r="D734" s="1801">
        <v>47474500</v>
      </c>
      <c r="E734" s="1801"/>
      <c r="F734" s="1801"/>
      <c r="G734" s="1789"/>
      <c r="H734" s="1801" cm="1">
        <f t="array" ref="H734">C734-D734</f>
        <v>0</v>
      </c>
      <c r="I734" s="1789"/>
      <c r="J734" s="1789"/>
      <c r="K734" s="1789"/>
      <c r="L734" s="1789"/>
      <c r="M734" s="1789"/>
      <c r="N734" s="1789"/>
    </row>
    <row r="735" ht="15" customHeight="1">
      <c r="A735" t="s" s="1799">
        <v>3609</v>
      </c>
      <c r="B735" t="s" s="1800">
        <v>3610</v>
      </c>
      <c r="C735" s="1801">
        <v>-2775000</v>
      </c>
      <c r="D735" s="1801">
        <v>-2775000</v>
      </c>
      <c r="E735" s="1801"/>
      <c r="F735" s="1801"/>
      <c r="G735" s="1789"/>
      <c r="H735" s="1801" cm="1">
        <f t="array" ref="H735">C735-D735</f>
        <v>0</v>
      </c>
      <c r="I735" s="1789"/>
      <c r="J735" s="1789"/>
      <c r="K735" s="1789"/>
      <c r="L735" s="1789"/>
      <c r="M735" s="1789"/>
      <c r="N735" s="1789"/>
    </row>
    <row r="736" ht="15" customHeight="1">
      <c r="A736" t="s" s="1799">
        <v>3611</v>
      </c>
      <c r="B736" t="s" s="1800">
        <v>3612</v>
      </c>
      <c r="C736" s="1801">
        <v>6263327.33</v>
      </c>
      <c r="D736" s="1801">
        <v>6263327.33</v>
      </c>
      <c r="E736" s="1801"/>
      <c r="F736" s="1801"/>
      <c r="G736" s="1789"/>
      <c r="H736" s="1801" cm="1">
        <f t="array" ref="H736">C736-D736</f>
        <v>0</v>
      </c>
      <c r="I736" s="1789"/>
      <c r="J736" s="1789"/>
      <c r="K736" s="1789"/>
      <c r="L736" s="1789"/>
      <c r="M736" s="1789"/>
      <c r="N736" s="1789"/>
    </row>
    <row r="737" ht="15" customHeight="1">
      <c r="A737" t="s" s="1799">
        <v>3613</v>
      </c>
      <c r="B737" t="s" s="1800">
        <v>3614</v>
      </c>
      <c r="C737" s="1801">
        <v>4908632722.87</v>
      </c>
      <c r="D737" s="1801">
        <v>4908632722.87</v>
      </c>
      <c r="E737" s="1801"/>
      <c r="F737" s="1801"/>
      <c r="G737" s="1789"/>
      <c r="H737" s="1801" cm="1">
        <f t="array" ref="H737">C737-D737</f>
        <v>0</v>
      </c>
      <c r="I737" s="1789"/>
      <c r="J737" s="1789"/>
      <c r="K737" s="1789"/>
      <c r="L737" s="1789"/>
      <c r="M737" s="1789"/>
      <c r="N737" s="1789"/>
    </row>
    <row r="738" ht="13.5" customHeight="1">
      <c r="A738" s="1789"/>
      <c r="B738" t="s" s="1814">
        <v>3615</v>
      </c>
      <c r="C738" s="1801">
        <v>5763811780.2</v>
      </c>
      <c r="D738" s="1801">
        <v>5763811780.2</v>
      </c>
      <c r="E738" s="1801"/>
      <c r="F738" s="1801"/>
      <c r="G738" s="1801"/>
      <c r="H738" s="1801" cm="1">
        <f t="array" ref="H738">C738-D738</f>
        <v>0</v>
      </c>
      <c r="I738" s="1789"/>
      <c r="J738" s="1789"/>
      <c r="K738" s="1789"/>
      <c r="L738" s="1789"/>
      <c r="M738" s="1789"/>
      <c r="N738" s="1789"/>
    </row>
    <row r="739" ht="13.5" customHeight="1">
      <c r="A739" s="1789"/>
      <c r="B739" t="s" s="1796">
        <v>3616</v>
      </c>
      <c r="C739" s="1795">
        <v>19660354693.1</v>
      </c>
      <c r="D739" s="1795">
        <v>16814517048.55</v>
      </c>
      <c r="E739" s="1831"/>
      <c r="F739" s="1831"/>
      <c r="G739" s="1795"/>
      <c r="H739" s="1801" cm="1">
        <f t="array" ref="H739">C739-D739</f>
        <v>2845837644.55</v>
      </c>
      <c r="I739" s="1789"/>
      <c r="J739" s="1789"/>
      <c r="K739" s="1789"/>
      <c r="L739" s="1789"/>
      <c r="M739" s="1789"/>
      <c r="N739" s="1789"/>
    </row>
    <row r="740" ht="15" customHeight="1">
      <c r="A740" s="1789"/>
      <c r="B740" s="1832"/>
      <c r="C740" s="1832"/>
      <c r="D740" s="1832"/>
      <c r="E740" s="1832"/>
      <c r="F740" s="1832"/>
      <c r="G740" s="1832"/>
      <c r="H740" s="1801"/>
      <c r="I740" s="1789"/>
      <c r="J740" s="1789"/>
      <c r="K740" s="1789"/>
      <c r="L740" s="1789"/>
      <c r="M740" s="1789"/>
      <c r="N740" s="1789"/>
    </row>
    <row r="741" ht="14" customHeight="1">
      <c r="A741" s="1789"/>
      <c r="B741" t="s" s="1794">
        <v>3617</v>
      </c>
      <c r="C741" s="1795">
        <v>85410333392.66</v>
      </c>
      <c r="D741" s="1795">
        <v>54023282015.3</v>
      </c>
      <c r="E741" s="1831"/>
      <c r="F741" s="1831"/>
      <c r="G741" s="1789"/>
      <c r="H741" s="1801" cm="1">
        <f t="array" ref="H741">C741-D741</f>
        <v>31387051377.36</v>
      </c>
      <c r="I741" s="1789"/>
      <c r="J741" s="1789"/>
      <c r="K741" s="1789"/>
      <c r="L741" s="1789"/>
      <c r="M741" s="1789"/>
      <c r="N741" s="1789"/>
    </row>
  </sheetData>
  <mergeCells count="2">
    <mergeCell ref="K29:K32"/>
    <mergeCell ref="K33:K39"/>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dimension ref="A1:J537"/>
  <sheetViews>
    <sheetView workbookViewId="0" showGridLines="0" defaultGridColor="1"/>
  </sheetViews>
  <sheetFormatPr defaultColWidth="8.83333" defaultRowHeight="14.5" customHeight="1" outlineLevelRow="0" outlineLevelCol="0"/>
  <cols>
    <col min="1" max="1" width="12.3516" style="1833" customWidth="1"/>
    <col min="2" max="2" width="49.3516" style="1833" customWidth="1"/>
    <col min="3" max="4" width="21.1719" style="1833" customWidth="1"/>
    <col min="5" max="5" width="6.17188" style="1833" customWidth="1"/>
    <col min="6" max="6" width="22.5" style="1833" customWidth="1"/>
    <col min="7" max="7" width="14.1719" style="1833" customWidth="1"/>
    <col min="8" max="8" width="8.85156" style="1833" customWidth="1"/>
    <col min="9" max="9" width="21.6719" style="1833" customWidth="1"/>
    <col min="10" max="10" width="27.5" style="1833" customWidth="1"/>
    <col min="11" max="16384" width="8.85156" style="1833" customWidth="1"/>
  </cols>
  <sheetData>
    <row r="1" ht="15" customHeight="1">
      <c r="A1" s="1789"/>
      <c r="B1" s="1789"/>
      <c r="C1" t="s" s="1790">
        <v>2264</v>
      </c>
      <c r="D1" t="s" s="1790">
        <v>3619</v>
      </c>
      <c r="E1" s="1789"/>
      <c r="F1" s="1792"/>
      <c r="G1" s="1792"/>
      <c r="H1" s="1789"/>
      <c r="I1" s="1789"/>
      <c r="J1" s="1789"/>
    </row>
    <row r="2" ht="15.5" customHeight="1">
      <c r="A2" s="1789"/>
      <c r="B2" s="1789"/>
      <c r="C2" s="1793"/>
      <c r="D2" s="1793"/>
      <c r="E2" s="1789"/>
      <c r="F2" s="1834"/>
      <c r="G2" s="1834"/>
      <c r="H2" s="1789"/>
      <c r="I2" s="1789"/>
      <c r="J2" s="1789"/>
    </row>
    <row r="3" ht="15" customHeight="1">
      <c r="A3" t="s" s="1790">
        <v>2265</v>
      </c>
      <c r="B3" t="s" s="1790">
        <v>2266</v>
      </c>
      <c r="C3" t="s" s="1790">
        <v>1079</v>
      </c>
      <c r="D3" t="s" s="1790">
        <v>1079</v>
      </c>
      <c r="E3" s="1789"/>
      <c r="F3" t="s" s="1790">
        <v>2201</v>
      </c>
      <c r="G3" s="1792"/>
      <c r="H3" s="1789"/>
      <c r="I3" s="1789"/>
      <c r="J3" s="1789"/>
    </row>
    <row r="4" ht="15.5" customHeight="1">
      <c r="A4" s="1793"/>
      <c r="B4" s="1793"/>
      <c r="C4" s="1793"/>
      <c r="D4" s="1793"/>
      <c r="E4" s="1789"/>
      <c r="F4" s="1834"/>
      <c r="G4" s="1834"/>
      <c r="H4" s="1789"/>
      <c r="I4" s="1789"/>
      <c r="J4" s="1789"/>
    </row>
    <row r="5" ht="15" customHeight="1">
      <c r="A5" s="1789"/>
      <c r="B5" t="s" s="1794">
        <v>2267</v>
      </c>
      <c r="C5" s="1795">
        <v>51935675061.96</v>
      </c>
      <c r="D5" s="1795">
        <v>9247962058.860001</v>
      </c>
      <c r="E5" s="1789"/>
      <c r="F5" s="1795" cm="1">
        <f t="array" ref="F5">C5-D5</f>
        <v>42687713003.1</v>
      </c>
      <c r="G5" s="1795"/>
      <c r="H5" s="1789"/>
      <c r="I5" s="1789"/>
      <c r="J5" s="1789"/>
    </row>
    <row r="6" ht="15" customHeight="1">
      <c r="A6" s="1789"/>
      <c r="B6" t="s" s="1797">
        <v>2270</v>
      </c>
      <c r="C6" s="1798">
        <v>43562093134.99</v>
      </c>
      <c r="D6" s="1798">
        <v>5989332410.05</v>
      </c>
      <c r="E6" s="1789"/>
      <c r="F6" s="1835" cm="1">
        <f t="array" ref="F6">C6-D6</f>
        <v>37572760724.94</v>
      </c>
      <c r="G6" s="1835"/>
      <c r="H6" s="1789"/>
      <c r="I6" s="1789"/>
      <c r="J6" s="1789"/>
    </row>
    <row r="7" ht="15" customHeight="1">
      <c r="A7" s="1789"/>
      <c r="B7" t="s" s="1800">
        <v>2273</v>
      </c>
      <c r="C7" s="1801">
        <v>3055502972.79</v>
      </c>
      <c r="D7" s="1801">
        <v>2249799242.59</v>
      </c>
      <c r="E7" s="1789"/>
      <c r="F7" s="1836" cm="1">
        <f t="array" ref="F7">C7-D7</f>
        <v>805703730.2</v>
      </c>
      <c r="G7" s="1836"/>
      <c r="H7" s="1789"/>
      <c r="I7" s="1789"/>
      <c r="J7" s="1789"/>
    </row>
    <row r="8" ht="15" customHeight="1">
      <c r="A8" t="s" s="1799">
        <v>2274</v>
      </c>
      <c r="B8" t="s" s="1800">
        <v>2275</v>
      </c>
      <c r="C8" s="1801">
        <v>8880355</v>
      </c>
      <c r="D8" s="1801">
        <v>47647665</v>
      </c>
      <c r="E8" s="1789"/>
      <c r="F8" s="1836" cm="1">
        <f t="array" ref="F8">C8-D8</f>
        <v>-38767310</v>
      </c>
      <c r="G8" s="1836"/>
      <c r="H8" s="1789"/>
      <c r="I8" s="1789"/>
      <c r="J8" s="1789"/>
    </row>
    <row r="9" ht="15" customHeight="1">
      <c r="A9" t="s" s="1799">
        <v>2276</v>
      </c>
      <c r="B9" t="s" s="1800">
        <v>2277</v>
      </c>
      <c r="C9" s="1801">
        <v>63297587</v>
      </c>
      <c r="D9" s="1801">
        <v>0</v>
      </c>
      <c r="E9" s="1789"/>
      <c r="F9" s="1836" cm="1">
        <f t="array" ref="F9">C9-D9</f>
        <v>63297587</v>
      </c>
      <c r="G9" s="1836"/>
      <c r="H9" s="1789"/>
      <c r="I9" s="1789"/>
      <c r="J9" s="1789"/>
    </row>
    <row r="10" ht="15" customHeight="1">
      <c r="A10" t="s" s="1799">
        <v>2281</v>
      </c>
      <c r="B10" t="s" s="1800">
        <v>2282</v>
      </c>
      <c r="C10" s="1801">
        <v>19359743</v>
      </c>
      <c r="D10" s="1801">
        <v>19359743</v>
      </c>
      <c r="E10" s="1789"/>
      <c r="F10" s="1836" cm="1">
        <f t="array" ref="F10">C10-D10</f>
        <v>0</v>
      </c>
      <c r="G10" s="1836"/>
      <c r="H10" s="1789"/>
      <c r="I10" s="1789"/>
      <c r="J10" s="1789"/>
    </row>
    <row r="11" ht="15" customHeight="1">
      <c r="A11" t="s" s="1799">
        <v>3620</v>
      </c>
      <c r="B11" t="s" s="1800">
        <v>2296</v>
      </c>
      <c r="C11" s="1801">
        <v>10850000</v>
      </c>
      <c r="D11" s="1801">
        <v>0</v>
      </c>
      <c r="E11" s="1789"/>
      <c r="F11" s="1836" cm="1">
        <f t="array" ref="F11">C11-D11</f>
        <v>10850000</v>
      </c>
      <c r="G11" s="1836"/>
      <c r="H11" s="1789"/>
      <c r="I11" s="1789"/>
      <c r="J11" s="1789"/>
    </row>
    <row r="12" ht="15" customHeight="1">
      <c r="A12" t="s" s="1799">
        <v>2283</v>
      </c>
      <c r="B12" t="s" s="1800">
        <v>2284</v>
      </c>
      <c r="C12" s="1801">
        <v>-14299910</v>
      </c>
      <c r="D12" s="1801">
        <v>0</v>
      </c>
      <c r="E12" s="1789"/>
      <c r="F12" s="1836" cm="1">
        <f t="array" ref="F12">C12-D12</f>
        <v>-14299910</v>
      </c>
      <c r="G12" s="1836"/>
      <c r="H12" s="1789"/>
      <c r="I12" s="1789"/>
      <c r="J12" s="1789"/>
    </row>
    <row r="13" ht="15" customHeight="1">
      <c r="A13" t="s" s="1799">
        <v>2285</v>
      </c>
      <c r="B13" t="s" s="1800">
        <v>2286</v>
      </c>
      <c r="C13" s="1801">
        <v>0</v>
      </c>
      <c r="D13" s="1801">
        <v>0</v>
      </c>
      <c r="E13" s="1789"/>
      <c r="F13" s="1836" cm="1">
        <f t="array" ref="F13">C13-D13</f>
        <v>0</v>
      </c>
      <c r="G13" s="1836"/>
      <c r="H13" s="1789"/>
      <c r="I13" s="1789"/>
      <c r="J13" s="1789"/>
    </row>
    <row r="14" ht="15" customHeight="1">
      <c r="A14" t="s" s="1799">
        <v>2285</v>
      </c>
      <c r="B14" t="s" s="1800">
        <v>2287</v>
      </c>
      <c r="C14" s="1801">
        <v>-115474097</v>
      </c>
      <c r="D14" s="1801">
        <v>0</v>
      </c>
      <c r="E14" s="1789"/>
      <c r="F14" s="1836" cm="1">
        <f t="array" ref="F14">C14-D14</f>
        <v>-115474097</v>
      </c>
      <c r="G14" s="1836"/>
      <c r="H14" s="1789"/>
      <c r="I14" s="1789"/>
      <c r="J14" s="1789"/>
    </row>
    <row r="15" ht="15" customHeight="1">
      <c r="A15" t="s" s="1799">
        <v>2288</v>
      </c>
      <c r="B15" t="s" s="1800">
        <v>2289</v>
      </c>
      <c r="C15" s="1801">
        <v>22467500</v>
      </c>
      <c r="D15" s="1801">
        <v>0</v>
      </c>
      <c r="E15" s="1789"/>
      <c r="F15" s="1836" cm="1">
        <f t="array" ref="F15">C15-D15</f>
        <v>22467500</v>
      </c>
      <c r="G15" s="1836"/>
      <c r="H15" s="1789"/>
      <c r="I15" s="1789"/>
      <c r="J15" s="1789"/>
    </row>
    <row r="16" ht="15" customHeight="1">
      <c r="A16" t="s" s="1799">
        <v>2290</v>
      </c>
      <c r="B16" t="s" s="1800">
        <v>2291</v>
      </c>
      <c r="C16" s="1801">
        <v>6333538.73</v>
      </c>
      <c r="D16" s="1801">
        <v>18554527.55</v>
      </c>
      <c r="E16" s="1789"/>
      <c r="F16" s="1836" cm="1">
        <f t="array" ref="F16">C16-D16</f>
        <v>-12220988.82</v>
      </c>
      <c r="G16" s="1836"/>
      <c r="H16" s="1789"/>
      <c r="I16" s="1789"/>
      <c r="J16" s="1789"/>
    </row>
    <row r="17" ht="15" customHeight="1">
      <c r="A17" t="s" s="1799">
        <v>2292</v>
      </c>
      <c r="B17" t="s" s="1800">
        <v>2293</v>
      </c>
      <c r="C17" s="1801">
        <v>0</v>
      </c>
      <c r="D17" s="1801">
        <v>0</v>
      </c>
      <c r="E17" s="1789"/>
      <c r="F17" s="1836" cm="1">
        <f t="array" ref="F17">C17-D17</f>
        <v>0</v>
      </c>
      <c r="G17" s="1836"/>
      <c r="H17" s="1789"/>
      <c r="I17" s="1789"/>
      <c r="J17" s="1789"/>
    </row>
    <row r="18" ht="15" customHeight="1">
      <c r="A18" t="s" s="1799">
        <v>2292</v>
      </c>
      <c r="B18" t="s" s="1800">
        <v>2294</v>
      </c>
      <c r="C18" s="1801">
        <v>623582000</v>
      </c>
      <c r="D18" s="1801">
        <v>623582000</v>
      </c>
      <c r="E18" s="1789"/>
      <c r="F18" s="1836" cm="1">
        <f t="array" ref="F18">C18-D18</f>
        <v>0</v>
      </c>
      <c r="G18" s="1836"/>
      <c r="H18" s="1789"/>
      <c r="I18" s="1789"/>
      <c r="J18" s="1789"/>
    </row>
    <row r="19" ht="15" customHeight="1">
      <c r="A19" t="s" s="1799">
        <v>2292</v>
      </c>
      <c r="B19" t="s" s="1800">
        <v>2295</v>
      </c>
      <c r="C19" s="1801">
        <v>109515050.33</v>
      </c>
      <c r="D19" s="1801">
        <v>8015546</v>
      </c>
      <c r="E19" s="1789"/>
      <c r="F19" s="1836" cm="1">
        <f t="array" ref="F19">C19-D19</f>
        <v>101499504.33</v>
      </c>
      <c r="G19" s="1836"/>
      <c r="H19" s="1789"/>
      <c r="I19" s="1789"/>
      <c r="J19" s="1789"/>
    </row>
    <row r="20" ht="15" customHeight="1">
      <c r="A20" t="s" s="1799">
        <v>2292</v>
      </c>
      <c r="B20" t="s" s="1800">
        <v>2296</v>
      </c>
      <c r="C20" s="1801">
        <v>11750000</v>
      </c>
      <c r="D20" s="1801">
        <v>0</v>
      </c>
      <c r="E20" s="1789"/>
      <c r="F20" s="1836" cm="1">
        <f t="array" ref="F20">C20-D20</f>
        <v>11750000</v>
      </c>
      <c r="G20" s="1836"/>
      <c r="H20" s="1789"/>
      <c r="I20" s="1789"/>
      <c r="J20" s="1789"/>
    </row>
    <row r="21" ht="15" customHeight="1">
      <c r="A21" t="s" s="1799">
        <v>2297</v>
      </c>
      <c r="B21" t="s" s="1800">
        <v>2298</v>
      </c>
      <c r="C21" s="1801">
        <v>606781714</v>
      </c>
      <c r="D21" s="1801">
        <v>0</v>
      </c>
      <c r="E21" s="1789"/>
      <c r="F21" s="1836" cm="1">
        <f t="array" ref="F21">C21-D21</f>
        <v>606781714</v>
      </c>
      <c r="G21" s="1836"/>
      <c r="H21" s="1789"/>
      <c r="I21" s="1789"/>
      <c r="J21" s="1789"/>
    </row>
    <row r="22" ht="15" customHeight="1">
      <c r="A22" t="s" s="1799">
        <v>2299</v>
      </c>
      <c r="B22" t="s" s="1800">
        <v>2300</v>
      </c>
      <c r="C22" s="1801">
        <v>12677245</v>
      </c>
      <c r="D22" s="1801">
        <v>0</v>
      </c>
      <c r="E22" s="1789"/>
      <c r="F22" s="1836" cm="1">
        <f t="array" ref="F22">C22-D22</f>
        <v>12677245</v>
      </c>
      <c r="G22" s="1836"/>
      <c r="H22" s="1789"/>
      <c r="I22" s="1789"/>
      <c r="J22" s="1789"/>
    </row>
    <row r="23" ht="15" customHeight="1">
      <c r="A23" t="s" s="1799">
        <v>2299</v>
      </c>
      <c r="B23" t="s" s="1800">
        <v>2301</v>
      </c>
      <c r="C23" s="1801">
        <v>168906.95</v>
      </c>
      <c r="D23" s="1801">
        <v>168906.95</v>
      </c>
      <c r="E23" s="1789"/>
      <c r="F23" s="1836" cm="1">
        <f t="array" ref="F23">C23-D23</f>
        <v>0</v>
      </c>
      <c r="G23" s="1836"/>
      <c r="H23" s="1789"/>
      <c r="I23" s="1789"/>
      <c r="J23" s="1789"/>
    </row>
    <row r="24" ht="15" customHeight="1">
      <c r="A24" t="s" s="1799">
        <v>2299</v>
      </c>
      <c r="B24" t="s" s="1800">
        <v>2300</v>
      </c>
      <c r="C24" s="1801">
        <v>876149.5</v>
      </c>
      <c r="D24" s="1801">
        <v>0</v>
      </c>
      <c r="E24" s="1789"/>
      <c r="F24" s="1836" cm="1">
        <f t="array" ref="F24">C24-D24</f>
        <v>876149.5</v>
      </c>
      <c r="G24" s="1836"/>
      <c r="H24" s="1789"/>
      <c r="I24" s="1789"/>
      <c r="J24" s="1789"/>
    </row>
    <row r="25" ht="15" customHeight="1">
      <c r="A25" t="s" s="1799">
        <v>2299</v>
      </c>
      <c r="B25" t="s" s="1800">
        <v>2302</v>
      </c>
      <c r="C25" s="1801">
        <v>20571000</v>
      </c>
      <c r="D25" s="1801">
        <v>0</v>
      </c>
      <c r="E25" s="1789"/>
      <c r="F25" s="1836" cm="1">
        <f t="array" ref="F25">C25-D25</f>
        <v>20571000</v>
      </c>
      <c r="G25" s="1836"/>
      <c r="H25" s="1789"/>
      <c r="I25" s="1789"/>
      <c r="J25" s="1789"/>
    </row>
    <row r="26" ht="15" customHeight="1">
      <c r="A26" t="s" s="1799">
        <v>2303</v>
      </c>
      <c r="B26" t="s" s="1800">
        <v>2304</v>
      </c>
      <c r="C26" s="1801">
        <v>174026485.56</v>
      </c>
      <c r="D26" s="1801">
        <v>35481078.56</v>
      </c>
      <c r="E26" s="1789"/>
      <c r="F26" s="1836" cm="1">
        <f t="array" ref="F26">C26-D26</f>
        <v>138545407</v>
      </c>
      <c r="G26" s="1836"/>
      <c r="H26" s="1789"/>
      <c r="I26" s="1789"/>
      <c r="J26" s="1789"/>
    </row>
    <row r="27" ht="15" customHeight="1">
      <c r="A27" t="s" s="1799">
        <v>2305</v>
      </c>
      <c r="B27" t="s" s="1800">
        <v>2306</v>
      </c>
      <c r="C27" s="1801">
        <v>25351445.5</v>
      </c>
      <c r="D27" s="1801">
        <v>57221072</v>
      </c>
      <c r="E27" s="1789"/>
      <c r="F27" s="1836" cm="1">
        <f t="array" ref="F27">C27-D27</f>
        <v>-31869626.5</v>
      </c>
      <c r="G27" s="1836"/>
      <c r="H27" s="1789"/>
      <c r="I27" s="1789"/>
      <c r="J27" s="1789"/>
    </row>
    <row r="28" ht="15" customHeight="1">
      <c r="A28" t="s" s="1799">
        <v>2307</v>
      </c>
      <c r="B28" t="s" s="1800">
        <v>2308</v>
      </c>
      <c r="C28" s="1801">
        <v>645695000</v>
      </c>
      <c r="D28" s="1801">
        <v>645695000</v>
      </c>
      <c r="E28" s="1789"/>
      <c r="F28" s="1836" cm="1">
        <f t="array" ref="F28">C28-D28</f>
        <v>0</v>
      </c>
      <c r="G28" s="1836"/>
      <c r="H28" s="1789"/>
      <c r="I28" s="1789"/>
      <c r="J28" s="1789"/>
    </row>
    <row r="29" ht="15" customHeight="1">
      <c r="A29" t="s" s="1799">
        <v>2309</v>
      </c>
      <c r="B29" t="s" s="1800">
        <v>3621</v>
      </c>
      <c r="C29" s="1801">
        <v>8649141.640000001</v>
      </c>
      <c r="D29" s="1801">
        <v>3291346.14</v>
      </c>
      <c r="E29" s="1789"/>
      <c r="F29" s="1836" cm="1">
        <f t="array" ref="F29">C29-D29</f>
        <v>5357795.5</v>
      </c>
      <c r="G29" s="1836"/>
      <c r="H29" s="1789"/>
      <c r="I29" s="1789"/>
      <c r="J29" s="1789"/>
    </row>
    <row r="30" ht="15" customHeight="1">
      <c r="A30" t="s" s="1799">
        <v>2312</v>
      </c>
      <c r="B30" t="s" s="1800">
        <v>2313</v>
      </c>
      <c r="C30" s="1801">
        <v>463130900</v>
      </c>
      <c r="D30" s="1801">
        <v>463130900</v>
      </c>
      <c r="E30" s="1789"/>
      <c r="F30" s="1836" cm="1">
        <f t="array" ref="F30">C30-D30</f>
        <v>0</v>
      </c>
      <c r="G30" s="1836"/>
      <c r="H30" s="1789"/>
      <c r="I30" s="1789"/>
      <c r="J30" s="1789"/>
    </row>
    <row r="31" ht="15" customHeight="1">
      <c r="A31" t="s" s="1799">
        <v>2314</v>
      </c>
      <c r="B31" t="s" s="1800">
        <v>2315</v>
      </c>
      <c r="C31" s="1801">
        <v>0</v>
      </c>
      <c r="D31" s="1801">
        <v>0</v>
      </c>
      <c r="E31" s="1789"/>
      <c r="F31" s="1836" cm="1">
        <f t="array" ref="F31">C31-D31</f>
        <v>0</v>
      </c>
      <c r="G31" s="1836"/>
      <c r="H31" s="1789"/>
      <c r="I31" s="1789"/>
      <c r="J31" s="1789"/>
    </row>
    <row r="32" ht="15" customHeight="1">
      <c r="A32" t="s" s="1799">
        <v>2314</v>
      </c>
      <c r="B32" t="s" s="1800">
        <v>2300</v>
      </c>
      <c r="C32" s="1801">
        <v>24517470</v>
      </c>
      <c r="D32" s="1801">
        <v>0</v>
      </c>
      <c r="E32" s="1789"/>
      <c r="F32" s="1836" cm="1">
        <f t="array" ref="F32">C32-D32</f>
        <v>24517470</v>
      </c>
      <c r="G32" s="1836"/>
      <c r="H32" s="1789"/>
      <c r="I32" s="1789"/>
      <c r="J32" s="1789"/>
    </row>
    <row r="33" ht="15" customHeight="1">
      <c r="A33" t="s" s="1799">
        <v>2317</v>
      </c>
      <c r="B33" t="s" s="1800">
        <v>2318</v>
      </c>
      <c r="C33" s="1801">
        <v>0</v>
      </c>
      <c r="D33" s="1801">
        <v>0</v>
      </c>
      <c r="E33" s="1789"/>
      <c r="F33" s="1836" cm="1">
        <f t="array" ref="F33">C33-D33</f>
        <v>0</v>
      </c>
      <c r="G33" s="1836"/>
      <c r="H33" s="1789"/>
      <c r="I33" s="1789"/>
      <c r="J33" s="1789"/>
    </row>
    <row r="34" ht="15" customHeight="1">
      <c r="A34" t="s" s="1799">
        <v>2319</v>
      </c>
      <c r="B34" t="s" s="1800">
        <v>2320</v>
      </c>
      <c r="C34" s="1801">
        <v>0</v>
      </c>
      <c r="D34" s="1801">
        <v>0</v>
      </c>
      <c r="E34" s="1789"/>
      <c r="F34" s="1836" cm="1">
        <f t="array" ref="F34">C34-D34</f>
        <v>0</v>
      </c>
      <c r="G34" s="1836"/>
      <c r="H34" s="1789"/>
      <c r="I34" s="1789"/>
      <c r="J34" s="1789"/>
    </row>
    <row r="35" ht="15" customHeight="1">
      <c r="A35" t="s" s="1799">
        <v>2321</v>
      </c>
      <c r="B35" t="s" s="1800">
        <v>2322</v>
      </c>
      <c r="C35" s="1801">
        <v>0</v>
      </c>
      <c r="D35" s="1801">
        <v>0</v>
      </c>
      <c r="E35" s="1789"/>
      <c r="F35" s="1836" cm="1">
        <f t="array" ref="F35">C35-D35</f>
        <v>0</v>
      </c>
      <c r="G35" s="1836"/>
      <c r="H35" s="1789"/>
      <c r="I35" s="1789"/>
      <c r="J35" s="1789"/>
    </row>
    <row r="36" ht="15" customHeight="1">
      <c r="A36" t="s" s="1799">
        <v>2323</v>
      </c>
      <c r="B36" t="s" s="1800">
        <v>2324</v>
      </c>
      <c r="C36" s="1801">
        <v>11391606.52</v>
      </c>
      <c r="D36" s="1801">
        <v>33922119.59</v>
      </c>
      <c r="E36" s="1789"/>
      <c r="F36" s="1836" cm="1">
        <f t="array" ref="F36">C36-D36</f>
        <v>-22530513.07</v>
      </c>
      <c r="G36" s="1836"/>
      <c r="H36" s="1789"/>
      <c r="I36" s="1789"/>
      <c r="J36" s="1789"/>
    </row>
    <row r="37" ht="15" customHeight="1">
      <c r="A37" t="s" s="1799">
        <v>2325</v>
      </c>
      <c r="B37" t="s" s="1800">
        <v>2326</v>
      </c>
      <c r="C37" s="1801">
        <v>176731290</v>
      </c>
      <c r="D37" s="1801">
        <v>127506800</v>
      </c>
      <c r="E37" s="1789"/>
      <c r="F37" s="1836" cm="1">
        <f t="array" ref="F37">C37-D37</f>
        <v>49224490</v>
      </c>
      <c r="G37" s="1836"/>
      <c r="H37" s="1789"/>
      <c r="I37" s="1789"/>
      <c r="J37" s="1789"/>
    </row>
    <row r="38" ht="15" customHeight="1">
      <c r="A38" t="s" s="1799">
        <v>2327</v>
      </c>
      <c r="B38" t="s" s="1800">
        <v>2300</v>
      </c>
      <c r="C38" s="1801">
        <v>276535</v>
      </c>
      <c r="D38" s="1801">
        <v>0</v>
      </c>
      <c r="E38" s="1789"/>
      <c r="F38" s="1836" cm="1">
        <f t="array" ref="F38">C38-D38</f>
        <v>276535</v>
      </c>
      <c r="G38" s="1836"/>
      <c r="H38" s="1789"/>
      <c r="I38" s="1789"/>
      <c r="J38" s="1789"/>
    </row>
    <row r="39" ht="15" customHeight="1">
      <c r="A39" t="s" s="1799">
        <v>2327</v>
      </c>
      <c r="B39" t="s" s="1800">
        <v>2328</v>
      </c>
      <c r="C39" s="1801">
        <v>25163875.12</v>
      </c>
      <c r="D39" s="1801">
        <v>16756673.8</v>
      </c>
      <c r="E39" s="1789"/>
      <c r="F39" s="1836" cm="1">
        <f t="array" ref="F39">C39-D39</f>
        <v>8407201.32</v>
      </c>
      <c r="G39" s="1836"/>
      <c r="H39" s="1789"/>
      <c r="I39" s="1789"/>
      <c r="J39" s="1789"/>
    </row>
    <row r="40" ht="15" customHeight="1">
      <c r="A40" t="s" s="1799">
        <v>2329</v>
      </c>
      <c r="B40" t="s" s="1800">
        <v>2330</v>
      </c>
      <c r="C40" s="1801">
        <v>6204456.5</v>
      </c>
      <c r="D40" s="1801">
        <v>10112572.5</v>
      </c>
      <c r="E40" s="1789"/>
      <c r="F40" s="1836" cm="1">
        <f t="array" ref="F40">C40-D40</f>
        <v>-3908116</v>
      </c>
      <c r="G40" s="1836"/>
      <c r="H40" s="1789"/>
      <c r="I40" s="1789"/>
      <c r="J40" s="1789"/>
    </row>
    <row r="41" ht="15" customHeight="1">
      <c r="A41" t="s" s="1799">
        <v>2329</v>
      </c>
      <c r="B41" t="s" s="1800">
        <v>2300</v>
      </c>
      <c r="C41" s="1801">
        <v>21746500</v>
      </c>
      <c r="D41" s="1801">
        <v>0</v>
      </c>
      <c r="E41" s="1789"/>
      <c r="F41" s="1836" cm="1">
        <f t="array" ref="F41">C41-D41</f>
        <v>21746500</v>
      </c>
      <c r="G41" s="1836"/>
      <c r="H41" s="1789"/>
      <c r="I41" s="1789"/>
      <c r="J41" s="1789"/>
    </row>
    <row r="42" ht="15" customHeight="1">
      <c r="A42" t="s" s="1799">
        <v>2331</v>
      </c>
      <c r="B42" t="s" s="1800">
        <v>2332</v>
      </c>
      <c r="C42" s="1801">
        <v>1235772</v>
      </c>
      <c r="D42" s="1801">
        <v>104549226</v>
      </c>
      <c r="E42" s="1789"/>
      <c r="F42" s="1836" cm="1">
        <f t="array" ref="F42">C42-D42</f>
        <v>-103313454</v>
      </c>
      <c r="G42" s="1836"/>
      <c r="H42" s="1789"/>
      <c r="I42" s="1789"/>
      <c r="J42" s="1789"/>
    </row>
    <row r="43" ht="15" customHeight="1">
      <c r="A43" t="s" s="1799">
        <v>2333</v>
      </c>
      <c r="B43" t="s" s="1800">
        <v>2334</v>
      </c>
      <c r="C43" s="1801">
        <v>30158342.5</v>
      </c>
      <c r="D43" s="1801">
        <v>764541</v>
      </c>
      <c r="E43" s="1789"/>
      <c r="F43" s="1836" cm="1">
        <f t="array" ref="F43">C43-D43</f>
        <v>29393801.5</v>
      </c>
      <c r="G43" s="1836"/>
      <c r="H43" s="1789"/>
      <c r="I43" s="1789"/>
      <c r="J43" s="1789"/>
    </row>
    <row r="44" ht="15" customHeight="1">
      <c r="A44" t="s" s="1799">
        <v>2333</v>
      </c>
      <c r="B44" t="s" s="1800">
        <v>2300</v>
      </c>
      <c r="C44" s="1801">
        <v>0</v>
      </c>
      <c r="D44" s="1801">
        <v>0</v>
      </c>
      <c r="E44" s="1789"/>
      <c r="F44" s="1836" cm="1">
        <f t="array" ref="F44">C44-D44</f>
        <v>0</v>
      </c>
      <c r="G44" s="1836"/>
      <c r="H44" s="1789"/>
      <c r="I44" s="1789"/>
      <c r="J44" s="1789"/>
    </row>
    <row r="45" ht="15" customHeight="1">
      <c r="A45" t="s" s="1799">
        <v>2335</v>
      </c>
      <c r="B45" t="s" s="1800">
        <v>2300</v>
      </c>
      <c r="C45" s="1801">
        <v>22149010</v>
      </c>
      <c r="D45" s="1801">
        <v>0</v>
      </c>
      <c r="E45" s="1789"/>
      <c r="F45" s="1836" cm="1">
        <f t="array" ref="F45">C45-D45</f>
        <v>22149010</v>
      </c>
      <c r="G45" s="1836"/>
      <c r="H45" s="1789"/>
      <c r="I45" s="1789"/>
      <c r="J45" s="1789"/>
    </row>
    <row r="46" ht="15" customHeight="1">
      <c r="A46" t="s" s="1799">
        <v>2335</v>
      </c>
      <c r="B46" t="s" s="1800">
        <v>2336</v>
      </c>
      <c r="C46" s="1801">
        <v>46084418.5</v>
      </c>
      <c r="D46" s="1801">
        <v>14679524.5</v>
      </c>
      <c r="E46" s="1789"/>
      <c r="F46" s="1836" cm="1">
        <f t="array" ref="F46">C46-D46</f>
        <v>31404894</v>
      </c>
      <c r="G46" s="1836"/>
      <c r="H46" s="1789"/>
      <c r="I46" s="1789"/>
      <c r="J46" s="1789"/>
    </row>
    <row r="47" ht="15" customHeight="1">
      <c r="A47" t="s" s="1799">
        <v>2337</v>
      </c>
      <c r="B47" t="s" s="1800">
        <v>3622</v>
      </c>
      <c r="C47" s="1801">
        <v>2150000</v>
      </c>
      <c r="D47" s="1801">
        <v>0</v>
      </c>
      <c r="E47" s="1789"/>
      <c r="F47" s="1836" cm="1">
        <f t="array" ref="F47">C47-D47</f>
        <v>2150000</v>
      </c>
      <c r="G47" s="1836"/>
      <c r="H47" s="1789"/>
      <c r="I47" s="1789"/>
      <c r="J47" s="1789"/>
    </row>
    <row r="48" ht="15" customHeight="1">
      <c r="A48" t="s" s="1799">
        <v>2337</v>
      </c>
      <c r="B48" t="s" s="1800">
        <v>2300</v>
      </c>
      <c r="C48" s="1801">
        <v>4600881</v>
      </c>
      <c r="D48" s="1801">
        <v>0</v>
      </c>
      <c r="E48" s="1789"/>
      <c r="F48" s="1836" cm="1">
        <f t="array" ref="F48">C48-D48</f>
        <v>4600881</v>
      </c>
      <c r="G48" s="1836"/>
      <c r="H48" s="1789"/>
      <c r="I48" s="1789"/>
      <c r="J48" s="1789"/>
    </row>
    <row r="49" ht="15" customHeight="1">
      <c r="A49" t="s" s="1799">
        <v>2338</v>
      </c>
      <c r="B49" t="s" s="1800">
        <v>2300</v>
      </c>
      <c r="C49" s="1801">
        <v>9250761</v>
      </c>
      <c r="D49" s="1801">
        <v>0</v>
      </c>
      <c r="E49" s="1789"/>
      <c r="F49" s="1836" cm="1">
        <f t="array" ref="F49">C49-D49</f>
        <v>9250761</v>
      </c>
      <c r="G49" s="1836"/>
      <c r="H49" s="1789"/>
      <c r="I49" s="1789"/>
      <c r="J49" s="1789"/>
    </row>
    <row r="50" ht="15" customHeight="1">
      <c r="A50" t="s" s="1799">
        <v>2338</v>
      </c>
      <c r="B50" t="s" s="1800">
        <v>2300</v>
      </c>
      <c r="C50" s="1801">
        <v>5279125.5</v>
      </c>
      <c r="D50" s="1801">
        <v>0</v>
      </c>
      <c r="E50" s="1789"/>
      <c r="F50" s="1836" cm="1">
        <f t="array" ref="F50">C50-D50</f>
        <v>5279125.5</v>
      </c>
      <c r="G50" s="1836"/>
      <c r="H50" s="1789"/>
      <c r="I50" s="1789"/>
      <c r="J50" s="1789"/>
    </row>
    <row r="51" ht="15" customHeight="1">
      <c r="A51" t="s" s="1799">
        <v>2339</v>
      </c>
      <c r="B51" t="s" s="1800">
        <v>2340</v>
      </c>
      <c r="C51" s="1801">
        <v>-118062696</v>
      </c>
      <c r="D51" s="1801">
        <v>5450000</v>
      </c>
      <c r="E51" s="1789"/>
      <c r="F51" s="1836" cm="1">
        <f t="array" ref="F51">C51-D51</f>
        <v>-123512696</v>
      </c>
      <c r="G51" s="1836"/>
      <c r="H51" s="1789"/>
      <c r="I51" s="1789"/>
      <c r="J51" s="1789"/>
    </row>
    <row r="52" ht="15" customHeight="1">
      <c r="A52" t="s" s="1799">
        <v>2341</v>
      </c>
      <c r="B52" t="s" s="1800">
        <v>2342</v>
      </c>
      <c r="C52" s="1801">
        <v>887987895</v>
      </c>
      <c r="D52" s="1801">
        <v>0</v>
      </c>
      <c r="E52" s="1789"/>
      <c r="F52" s="1836" cm="1">
        <f t="array" ref="F52">C52-D52</f>
        <v>887987895</v>
      </c>
      <c r="G52" s="1836"/>
      <c r="H52" s="1789"/>
      <c r="I52" s="1789"/>
      <c r="J52" s="1789"/>
    </row>
    <row r="53" ht="15" customHeight="1">
      <c r="A53" t="s" s="1799">
        <v>2343</v>
      </c>
      <c r="B53" t="s" s="1800">
        <v>2300</v>
      </c>
      <c r="C53" s="1801">
        <v>61177930</v>
      </c>
      <c r="D53" s="1801">
        <v>0</v>
      </c>
      <c r="E53" s="1789"/>
      <c r="F53" s="1836" cm="1">
        <f t="array" ref="F53">C53-D53</f>
        <v>61177930</v>
      </c>
      <c r="G53" s="1836"/>
      <c r="H53" s="1789"/>
      <c r="I53" s="1789"/>
      <c r="J53" s="1789"/>
    </row>
    <row r="54" ht="15" customHeight="1">
      <c r="A54" t="s" s="1799">
        <v>2344</v>
      </c>
      <c r="B54" t="s" s="1800">
        <v>2345</v>
      </c>
      <c r="C54" s="1801">
        <v>618199906</v>
      </c>
      <c r="D54" s="1801">
        <v>0</v>
      </c>
      <c r="E54" s="1789"/>
      <c r="F54" s="1836" cm="1">
        <f t="array" ref="F54">C54-D54</f>
        <v>618199906</v>
      </c>
      <c r="G54" s="1836"/>
      <c r="H54" s="1789"/>
      <c r="I54" s="1789"/>
      <c r="J54" s="1789"/>
    </row>
    <row r="55" ht="15" customHeight="1">
      <c r="A55" t="s" s="1799">
        <v>2346</v>
      </c>
      <c r="B55" t="s" s="1800">
        <v>2347</v>
      </c>
      <c r="C55" s="1801">
        <v>5590941.2</v>
      </c>
      <c r="D55" s="1801">
        <v>0</v>
      </c>
      <c r="E55" s="1789"/>
      <c r="F55" s="1836" cm="1">
        <f t="array" ref="F55">C55-D55</f>
        <v>5590941.2</v>
      </c>
      <c r="G55" s="1836"/>
      <c r="H55" s="1789"/>
      <c r="I55" s="1789"/>
      <c r="J55" s="1789"/>
    </row>
    <row r="56" ht="15" customHeight="1">
      <c r="A56" t="s" s="1799">
        <v>3623</v>
      </c>
      <c r="B56" t="s" s="1800">
        <v>3624</v>
      </c>
      <c r="C56" s="1801">
        <v>86848055</v>
      </c>
      <c r="D56" s="1801">
        <v>0</v>
      </c>
      <c r="E56" s="1789"/>
      <c r="F56" s="1836" cm="1">
        <f t="array" ref="F56">C56-D56</f>
        <v>86848055</v>
      </c>
      <c r="G56" s="1836"/>
      <c r="H56" s="1789"/>
      <c r="I56" s="1789"/>
      <c r="J56" s="1789"/>
    </row>
    <row r="57" ht="15" customHeight="1">
      <c r="A57" t="s" s="1799">
        <v>3625</v>
      </c>
      <c r="B57" t="s" s="1800">
        <v>3626</v>
      </c>
      <c r="C57" s="1801">
        <v>133191973</v>
      </c>
      <c r="D57" s="1801">
        <v>13910000</v>
      </c>
      <c r="E57" s="1789"/>
      <c r="F57" s="1836" cm="1">
        <f t="array" ref="F57">C57-D57</f>
        <v>119281973</v>
      </c>
      <c r="G57" s="1836"/>
      <c r="H57" s="1789"/>
      <c r="I57" s="1789"/>
      <c r="J57" s="1789"/>
    </row>
    <row r="58" ht="15" customHeight="1">
      <c r="A58" t="s" s="1799">
        <v>2348</v>
      </c>
      <c r="B58" t="s" s="1800">
        <v>2349</v>
      </c>
      <c r="C58" s="1801">
        <v>0</v>
      </c>
      <c r="D58" s="1801">
        <v>0</v>
      </c>
      <c r="E58" s="1789"/>
      <c r="F58" s="1836" cm="1">
        <f t="array" ref="F58">C58-D58</f>
        <v>0</v>
      </c>
      <c r="G58" s="1836"/>
      <c r="H58" s="1789"/>
      <c r="I58" s="1789"/>
      <c r="J58" s="1789"/>
    </row>
    <row r="59" ht="15" customHeight="1">
      <c r="A59" t="s" s="1799">
        <v>2350</v>
      </c>
      <c r="B59" t="s" s="1800">
        <v>2300</v>
      </c>
      <c r="C59" s="1801">
        <v>1749000</v>
      </c>
      <c r="D59" s="1801">
        <v>0</v>
      </c>
      <c r="E59" s="1789"/>
      <c r="F59" s="1836" cm="1">
        <f t="array" ref="F59">C59-D59</f>
        <v>1749000</v>
      </c>
      <c r="G59" s="1836"/>
      <c r="H59" s="1789"/>
      <c r="I59" s="1789"/>
      <c r="J59" s="1789"/>
    </row>
    <row r="60" ht="15" customHeight="1">
      <c r="A60" t="s" s="1799">
        <v>2351</v>
      </c>
      <c r="B60" t="s" s="1800">
        <v>2352</v>
      </c>
      <c r="C60" s="1801">
        <v>5116290.5</v>
      </c>
      <c r="D60" s="1801">
        <v>0</v>
      </c>
      <c r="E60" s="1789"/>
      <c r="F60" s="1836" cm="1">
        <f t="array" ref="F60">C60-D60</f>
        <v>5116290.5</v>
      </c>
      <c r="G60" s="1836"/>
      <c r="H60" s="1789"/>
      <c r="I60" s="1789"/>
      <c r="J60" s="1789"/>
    </row>
    <row r="61" ht="15" customHeight="1">
      <c r="A61" t="s" s="1799">
        <v>2353</v>
      </c>
      <c r="B61" t="s" s="1800">
        <v>2354</v>
      </c>
      <c r="C61" s="1801">
        <v>12314871.56</v>
      </c>
      <c r="D61" s="1801">
        <v>0</v>
      </c>
      <c r="E61" s="1789"/>
      <c r="F61" s="1836" cm="1">
        <f t="array" ref="F61">C61-D61</f>
        <v>12314871.56</v>
      </c>
      <c r="G61" s="1836"/>
      <c r="H61" s="1789"/>
      <c r="I61" s="1789"/>
      <c r="J61" s="1789"/>
    </row>
    <row r="62" ht="15" customHeight="1">
      <c r="A62" t="s" s="1799">
        <v>2355</v>
      </c>
      <c r="B62" t="s" s="1800">
        <v>2356</v>
      </c>
      <c r="C62" s="1801">
        <v>13945786</v>
      </c>
      <c r="D62" s="1801">
        <v>0</v>
      </c>
      <c r="E62" s="1789"/>
      <c r="F62" s="1836" cm="1">
        <f t="array" ref="F62">C62-D62</f>
        <v>13945786</v>
      </c>
      <c r="G62" s="1836"/>
      <c r="H62" s="1789"/>
      <c r="I62" s="1789"/>
      <c r="J62" s="1789"/>
    </row>
    <row r="63" ht="15" customHeight="1">
      <c r="A63" t="s" s="1799">
        <v>2357</v>
      </c>
      <c r="B63" t="s" s="1800">
        <v>2358</v>
      </c>
      <c r="C63" s="1801">
        <v>2548184.5</v>
      </c>
      <c r="D63" s="1801">
        <v>0</v>
      </c>
      <c r="E63" s="1789"/>
      <c r="F63" s="1836" cm="1">
        <f t="array" ref="F63">C63-D63</f>
        <v>2548184.5</v>
      </c>
      <c r="G63" s="1836"/>
      <c r="H63" s="1789"/>
      <c r="I63" s="1789"/>
      <c r="J63" s="1789"/>
    </row>
    <row r="64" ht="15" customHeight="1">
      <c r="A64" t="s" s="1799">
        <v>2359</v>
      </c>
      <c r="B64" t="s" s="1800">
        <v>2360</v>
      </c>
      <c r="C64" s="1801">
        <v>12040370.68</v>
      </c>
      <c r="D64" s="1801">
        <v>0</v>
      </c>
      <c r="E64" s="1789"/>
      <c r="F64" s="1836" cm="1">
        <f t="array" ref="F64">C64-D64</f>
        <v>12040370.68</v>
      </c>
      <c r="G64" s="1836"/>
      <c r="H64" s="1789"/>
      <c r="I64" s="1789"/>
      <c r="J64" s="1789"/>
    </row>
    <row r="65" ht="15" customHeight="1">
      <c r="A65" t="s" s="1799">
        <v>2359</v>
      </c>
      <c r="B65" t="s" s="1800">
        <v>2361</v>
      </c>
      <c r="C65" s="1801">
        <v>-27000000</v>
      </c>
      <c r="D65" s="1801">
        <v>0</v>
      </c>
      <c r="E65" s="1789"/>
      <c r="F65" s="1836" cm="1">
        <f t="array" ref="F65">C65-D65</f>
        <v>-27000000</v>
      </c>
      <c r="G65" s="1836"/>
      <c r="H65" s="1789"/>
      <c r="I65" s="1789"/>
      <c r="J65" s="1789"/>
    </row>
    <row r="66" ht="15" customHeight="1">
      <c r="A66" t="s" s="1799">
        <v>2362</v>
      </c>
      <c r="B66" t="s" s="1800">
        <v>2363</v>
      </c>
      <c r="C66" s="1801">
        <v>260420039</v>
      </c>
      <c r="D66" s="1801">
        <v>0</v>
      </c>
      <c r="E66" s="1789"/>
      <c r="F66" s="1836" cm="1">
        <f t="array" ref="F66">C66-D66</f>
        <v>260420039</v>
      </c>
      <c r="G66" s="1836"/>
      <c r="H66" s="1789"/>
      <c r="I66" s="1789"/>
      <c r="J66" s="1789"/>
    </row>
    <row r="67" ht="15" customHeight="1">
      <c r="A67" t="s" s="1799">
        <v>2364</v>
      </c>
      <c r="B67" t="s" s="1800">
        <v>2365</v>
      </c>
      <c r="C67" s="1801">
        <v>11364044</v>
      </c>
      <c r="D67" s="1801">
        <v>0</v>
      </c>
      <c r="E67" s="1789"/>
      <c r="F67" s="1836" cm="1">
        <f t="array" ref="F67">C67-D67</f>
        <v>11364044</v>
      </c>
      <c r="G67" s="1836"/>
      <c r="H67" s="1789"/>
      <c r="I67" s="1789"/>
      <c r="J67" s="1789"/>
    </row>
    <row r="68" ht="15" customHeight="1">
      <c r="A68" t="s" s="1799">
        <v>2366</v>
      </c>
      <c r="B68" t="s" s="1800">
        <v>2367</v>
      </c>
      <c r="C68" s="1801">
        <v>24745398</v>
      </c>
      <c r="D68" s="1801">
        <v>0</v>
      </c>
      <c r="E68" s="1789"/>
      <c r="F68" s="1836" cm="1">
        <f t="array" ref="F68">C68-D68</f>
        <v>24745398</v>
      </c>
      <c r="G68" s="1836"/>
      <c r="H68" s="1789"/>
      <c r="I68" s="1789"/>
      <c r="J68" s="1789"/>
    </row>
    <row r="69" ht="15" customHeight="1">
      <c r="A69" t="s" s="1799">
        <v>2372</v>
      </c>
      <c r="B69" t="s" s="1800">
        <v>2373</v>
      </c>
      <c r="C69" s="1801">
        <v>-3791090036</v>
      </c>
      <c r="D69" s="1801">
        <v>0</v>
      </c>
      <c r="E69" s="1789"/>
      <c r="F69" s="1836" cm="1">
        <f t="array" ref="F69">C69-D69</f>
        <v>-3791090036</v>
      </c>
      <c r="G69" s="1836"/>
      <c r="H69" s="1789"/>
      <c r="I69" s="1789"/>
      <c r="J69" s="1789"/>
    </row>
    <row r="70" ht="15" customHeight="1">
      <c r="A70" t="s" s="1799">
        <v>2374</v>
      </c>
      <c r="B70" t="s" s="1800">
        <v>2300</v>
      </c>
      <c r="C70" s="1801">
        <v>6425500</v>
      </c>
      <c r="D70" s="1801">
        <v>0</v>
      </c>
      <c r="E70" s="1789"/>
      <c r="F70" s="1836" cm="1">
        <f t="array" ref="F70">C70-D70</f>
        <v>6425500</v>
      </c>
      <c r="G70" s="1836"/>
      <c r="H70" s="1789"/>
      <c r="I70" s="1789"/>
      <c r="J70" s="1789"/>
    </row>
    <row r="71" ht="15" customHeight="1">
      <c r="A71" t="s" s="1799">
        <v>2375</v>
      </c>
      <c r="B71" t="s" s="1800">
        <v>2376</v>
      </c>
      <c r="C71" s="1801">
        <v>5000000</v>
      </c>
      <c r="D71" s="1801">
        <v>0</v>
      </c>
      <c r="E71" s="1789"/>
      <c r="F71" s="1836" cm="1">
        <f t="array" ref="F71">C71-D71</f>
        <v>5000000</v>
      </c>
      <c r="G71" s="1836"/>
      <c r="H71" s="1789"/>
      <c r="I71" s="1789"/>
      <c r="J71" s="1789"/>
    </row>
    <row r="72" ht="15" customHeight="1">
      <c r="A72" t="s" s="1799">
        <v>2377</v>
      </c>
      <c r="B72" t="s" s="1800">
        <v>2378</v>
      </c>
      <c r="C72" s="1801">
        <v>0</v>
      </c>
      <c r="D72" s="1801">
        <v>0</v>
      </c>
      <c r="E72" s="1789"/>
      <c r="F72" s="1836" cm="1">
        <f t="array" ref="F72">C72-D72</f>
        <v>0</v>
      </c>
      <c r="G72" s="1836"/>
      <c r="H72" s="1789"/>
      <c r="I72" s="1789"/>
      <c r="J72" s="1789"/>
    </row>
    <row r="73" ht="15" customHeight="1">
      <c r="A73" t="s" s="1799">
        <v>2444</v>
      </c>
      <c r="B73" t="s" s="1800">
        <v>2445</v>
      </c>
      <c r="C73" s="1801">
        <v>5253110</v>
      </c>
      <c r="D73" s="1801">
        <v>0</v>
      </c>
      <c r="E73" s="1789"/>
      <c r="F73" s="1836" cm="1">
        <f t="array" ref="F73">C73-D73</f>
        <v>5253110</v>
      </c>
      <c r="G73" s="1836"/>
      <c r="H73" s="1789"/>
      <c r="I73" s="1789"/>
      <c r="J73" s="1789"/>
    </row>
    <row r="74" ht="15" customHeight="1">
      <c r="A74" t="s" s="1799">
        <v>2446</v>
      </c>
      <c r="B74" t="s" s="1800">
        <v>2447</v>
      </c>
      <c r="C74" s="1801">
        <v>10000000</v>
      </c>
      <c r="D74" s="1801">
        <v>0</v>
      </c>
      <c r="E74" s="1789"/>
      <c r="F74" s="1836" cm="1">
        <f t="array" ref="F74">C74-D74</f>
        <v>10000000</v>
      </c>
      <c r="G74" s="1836"/>
      <c r="H74" s="1789"/>
      <c r="I74" s="1789"/>
      <c r="J74" s="1789"/>
    </row>
    <row r="75" ht="15" customHeight="1">
      <c r="A75" t="s" s="1799">
        <v>2379</v>
      </c>
      <c r="B75" t="s" s="1800">
        <v>2380</v>
      </c>
      <c r="C75" s="1801">
        <v>0</v>
      </c>
      <c r="D75" s="1801">
        <v>0</v>
      </c>
      <c r="E75" s="1789"/>
      <c r="F75" s="1836" cm="1">
        <f t="array" ref="F75">C75-D75</f>
        <v>0</v>
      </c>
      <c r="G75" s="1836"/>
      <c r="H75" s="1789"/>
      <c r="I75" s="1789"/>
      <c r="J75" s="1789"/>
    </row>
    <row r="76" ht="15" customHeight="1">
      <c r="A76" t="s" s="1799">
        <v>2381</v>
      </c>
      <c r="B76" t="s" s="1800">
        <v>2382</v>
      </c>
      <c r="C76" s="1801">
        <v>636170945</v>
      </c>
      <c r="D76" s="1801">
        <v>0</v>
      </c>
      <c r="E76" s="1789"/>
      <c r="F76" s="1836" cm="1">
        <f t="array" ref="F76">C76-D76</f>
        <v>636170945</v>
      </c>
      <c r="G76" s="1836"/>
      <c r="H76" s="1789"/>
      <c r="I76" s="1789"/>
      <c r="J76" s="1789"/>
    </row>
    <row r="77" ht="15" customHeight="1">
      <c r="A77" t="s" s="1799">
        <v>2383</v>
      </c>
      <c r="B77" t="s" s="1800">
        <v>2384</v>
      </c>
      <c r="C77" s="1801">
        <v>-38079620</v>
      </c>
      <c r="D77" s="1801">
        <v>0</v>
      </c>
      <c r="E77" s="1789"/>
      <c r="F77" s="1836" cm="1">
        <f t="array" ref="F77">C77-D77</f>
        <v>-38079620</v>
      </c>
      <c r="G77" s="1836"/>
      <c r="H77" s="1789"/>
      <c r="I77" s="1789"/>
      <c r="J77" s="1789"/>
    </row>
    <row r="78" ht="15" customHeight="1">
      <c r="A78" t="s" s="1799">
        <v>2385</v>
      </c>
      <c r="B78" t="s" s="1800">
        <v>2386</v>
      </c>
      <c r="C78" s="1801">
        <v>0</v>
      </c>
      <c r="D78" s="1801">
        <v>0</v>
      </c>
      <c r="E78" s="1789"/>
      <c r="F78" s="1836" cm="1">
        <f t="array" ref="F78">C78-D78</f>
        <v>0</v>
      </c>
      <c r="G78" s="1836"/>
      <c r="H78" s="1789"/>
      <c r="I78" s="1789"/>
      <c r="J78" s="1789"/>
    </row>
    <row r="79" ht="15" customHeight="1">
      <c r="A79" t="s" s="1799">
        <v>2387</v>
      </c>
      <c r="B79" t="s" s="1800">
        <v>2388</v>
      </c>
      <c r="C79" s="1801">
        <v>408291238</v>
      </c>
      <c r="D79" s="1801">
        <v>0</v>
      </c>
      <c r="E79" s="1789"/>
      <c r="F79" s="1836" cm="1">
        <f t="array" ref="F79">C79-D79</f>
        <v>408291238</v>
      </c>
      <c r="G79" s="1836"/>
      <c r="H79" s="1789"/>
      <c r="I79" s="1789"/>
      <c r="J79" s="1789"/>
    </row>
    <row r="80" ht="15" customHeight="1">
      <c r="A80" t="s" s="1799">
        <v>2389</v>
      </c>
      <c r="B80" t="s" s="1800">
        <v>2390</v>
      </c>
      <c r="C80" s="1801">
        <v>191782948</v>
      </c>
      <c r="D80" s="1801">
        <v>0</v>
      </c>
      <c r="E80" s="1789"/>
      <c r="F80" s="1836" cm="1">
        <f t="array" ref="F80">C80-D80</f>
        <v>191782948</v>
      </c>
      <c r="G80" s="1836"/>
      <c r="H80" s="1789"/>
      <c r="I80" s="1789"/>
      <c r="J80" s="1789"/>
    </row>
    <row r="81" ht="15" customHeight="1">
      <c r="A81" t="s" s="1799">
        <v>2391</v>
      </c>
      <c r="B81" t="s" s="1800">
        <v>2392</v>
      </c>
      <c r="C81" s="1801">
        <v>242091960</v>
      </c>
      <c r="D81" s="1801">
        <v>0</v>
      </c>
      <c r="E81" s="1789"/>
      <c r="F81" s="1836" cm="1">
        <f t="array" ref="F81">C81-D81</f>
        <v>242091960</v>
      </c>
      <c r="G81" s="1836"/>
      <c r="H81" s="1789"/>
      <c r="I81" s="1789"/>
      <c r="J81" s="1789"/>
    </row>
    <row r="82" ht="15" customHeight="1">
      <c r="A82" t="s" s="1799">
        <v>2393</v>
      </c>
      <c r="B82" t="s" s="1800">
        <v>2394</v>
      </c>
      <c r="C82" s="1801">
        <v>90121529.5</v>
      </c>
      <c r="D82" s="1801">
        <v>0</v>
      </c>
      <c r="E82" s="1789"/>
      <c r="F82" s="1836" cm="1">
        <f t="array" ref="F82">C82-D82</f>
        <v>90121529.5</v>
      </c>
      <c r="G82" s="1836"/>
      <c r="H82" s="1789"/>
      <c r="I82" s="1789"/>
      <c r="J82" s="1789"/>
    </row>
    <row r="83" ht="15" customHeight="1">
      <c r="A83" t="s" s="1799">
        <v>2395</v>
      </c>
      <c r="B83" t="s" s="1800">
        <v>2396</v>
      </c>
      <c r="C83" s="1801">
        <v>5297988</v>
      </c>
      <c r="D83" s="1801">
        <v>0</v>
      </c>
      <c r="E83" s="1789"/>
      <c r="F83" s="1836" cm="1">
        <f t="array" ref="F83">C83-D83</f>
        <v>5297988</v>
      </c>
      <c r="G83" s="1836"/>
      <c r="H83" s="1789"/>
      <c r="I83" s="1789"/>
      <c r="J83" s="1789"/>
    </row>
    <row r="84" ht="15" customHeight="1">
      <c r="A84" t="s" s="1799">
        <v>2397</v>
      </c>
      <c r="B84" t="s" s="1800">
        <v>2398</v>
      </c>
      <c r="C84" s="1801">
        <v>200929623</v>
      </c>
      <c r="D84" s="1801">
        <v>0</v>
      </c>
      <c r="E84" s="1789"/>
      <c r="F84" s="1836" cm="1">
        <f t="array" ref="F84">C84-D84</f>
        <v>200929623</v>
      </c>
      <c r="G84" s="1836"/>
      <c r="H84" s="1789"/>
      <c r="I84" s="1789"/>
      <c r="J84" s="1789"/>
    </row>
    <row r="85" ht="15" customHeight="1">
      <c r="A85" t="s" s="1799">
        <v>2399</v>
      </c>
      <c r="B85" t="s" s="1800">
        <v>2400</v>
      </c>
      <c r="C85" s="1801">
        <v>0</v>
      </c>
      <c r="D85" s="1801">
        <v>0</v>
      </c>
      <c r="E85" s="1789"/>
      <c r="F85" s="1836" cm="1">
        <f t="array" ref="F85">C85-D85</f>
        <v>0</v>
      </c>
      <c r="G85" s="1836"/>
      <c r="H85" s="1789"/>
      <c r="I85" s="1789"/>
      <c r="J85" s="1789"/>
    </row>
    <row r="86" ht="15" customHeight="1">
      <c r="A86" t="s" s="1799">
        <v>2401</v>
      </c>
      <c r="B86" t="s" s="1800">
        <v>2402</v>
      </c>
      <c r="C86" s="1801">
        <v>0</v>
      </c>
      <c r="D86" s="1801">
        <v>0</v>
      </c>
      <c r="E86" s="1789"/>
      <c r="F86" s="1836" cm="1">
        <f t="array" ref="F86">C86-D86</f>
        <v>0</v>
      </c>
      <c r="G86" s="1836"/>
      <c r="H86" s="1789"/>
      <c r="I86" s="1789"/>
      <c r="J86" s="1789"/>
    </row>
    <row r="87" ht="15" customHeight="1">
      <c r="A87" s="1789"/>
      <c r="B87" t="s" s="1800">
        <v>2438</v>
      </c>
      <c r="C87" s="1801">
        <v>3055502972.79</v>
      </c>
      <c r="D87" s="1801">
        <v>2249799242.59</v>
      </c>
      <c r="E87" s="1801"/>
      <c r="F87" s="1836" cm="1">
        <f t="array" ref="F87">C87-D87</f>
        <v>805703730.2</v>
      </c>
      <c r="G87" s="1836"/>
      <c r="H87" s="1789"/>
      <c r="I87" s="1789"/>
      <c r="J87" s="1789"/>
    </row>
    <row r="88" ht="15" customHeight="1">
      <c r="A88" s="1789"/>
      <c r="B88" t="s" s="1800">
        <v>2439</v>
      </c>
      <c r="C88" s="1801">
        <v>40395361013.15</v>
      </c>
      <c r="D88" s="1801">
        <v>3701428467.46</v>
      </c>
      <c r="E88" s="1789"/>
      <c r="F88" s="1836" cm="1">
        <f t="array" ref="F88">C88-D88</f>
        <v>36693932545.69</v>
      </c>
      <c r="G88" s="1836"/>
      <c r="H88" s="1789"/>
      <c r="I88" s="1789"/>
      <c r="J88" s="1789"/>
    </row>
    <row r="89" ht="15" customHeight="1">
      <c r="A89" t="s" s="1799">
        <v>2448</v>
      </c>
      <c r="B89" t="s" s="1800">
        <v>2449</v>
      </c>
      <c r="C89" s="1801">
        <v>12726079513.99</v>
      </c>
      <c r="D89" s="1801">
        <v>1287843252</v>
      </c>
      <c r="E89" s="1789"/>
      <c r="F89" s="1836" cm="1">
        <f t="array" ref="F89">C89-D89</f>
        <v>11438236261.99</v>
      </c>
      <c r="G89" s="1836"/>
      <c r="H89" s="1789"/>
      <c r="I89" s="1789"/>
      <c r="J89" s="1789"/>
    </row>
    <row r="90" ht="15" customHeight="1">
      <c r="A90" t="s" s="1799">
        <v>2450</v>
      </c>
      <c r="B90" t="s" s="1800">
        <v>2451</v>
      </c>
      <c r="C90" s="1801">
        <v>1809022619.54</v>
      </c>
      <c r="D90" s="1801">
        <v>0</v>
      </c>
      <c r="E90" s="1789"/>
      <c r="F90" s="1836" cm="1">
        <f t="array" ref="F90">C90-D90</f>
        <v>1809022619.54</v>
      </c>
      <c r="G90" t="s" s="1837">
        <v>2452</v>
      </c>
      <c r="H90" s="1789"/>
      <c r="I90" s="1789"/>
      <c r="J90" s="1789"/>
    </row>
    <row r="91" ht="15" customHeight="1">
      <c r="A91" t="s" s="1799">
        <v>2453</v>
      </c>
      <c r="B91" t="s" s="1800">
        <v>2454</v>
      </c>
      <c r="C91" s="1801">
        <v>0</v>
      </c>
      <c r="D91" s="1801">
        <v>63472350.46</v>
      </c>
      <c r="E91" s="1789"/>
      <c r="F91" s="1836" cm="1">
        <f t="array" ref="F91">C91-D91</f>
        <v>-63472350.46</v>
      </c>
      <c r="G91" t="s" s="1837">
        <v>2452</v>
      </c>
      <c r="H91" s="1789"/>
      <c r="I91" s="1789"/>
      <c r="J91" s="1789"/>
    </row>
    <row r="92" ht="15" customHeight="1">
      <c r="A92" t="s" s="1799">
        <v>2455</v>
      </c>
      <c r="B92" t="s" s="1800">
        <v>2456</v>
      </c>
      <c r="C92" s="1801">
        <v>72000000</v>
      </c>
      <c r="D92" s="1801">
        <v>0</v>
      </c>
      <c r="E92" s="1789"/>
      <c r="F92" s="1836" cm="1">
        <f t="array" ref="F92">C92-D92</f>
        <v>72000000</v>
      </c>
      <c r="G92" t="s" s="1837">
        <v>2452</v>
      </c>
      <c r="H92" s="1789"/>
      <c r="I92" s="1789"/>
      <c r="J92" s="1789"/>
    </row>
    <row r="93" ht="15" customHeight="1">
      <c r="A93" t="s" s="1799">
        <v>2457</v>
      </c>
      <c r="B93" t="s" s="1800">
        <v>3627</v>
      </c>
      <c r="C93" s="1801">
        <v>0</v>
      </c>
      <c r="D93" s="1801">
        <v>0</v>
      </c>
      <c r="E93" s="1789"/>
      <c r="F93" s="1836" cm="1">
        <f t="array" ref="F93">C93-D93</f>
        <v>0</v>
      </c>
      <c r="G93" t="s" s="1837">
        <v>2452</v>
      </c>
      <c r="H93" s="1789"/>
      <c r="I93" s="1789"/>
      <c r="J93" s="1789"/>
    </row>
    <row r="94" ht="15" customHeight="1">
      <c r="A94" t="s" s="1799">
        <v>2459</v>
      </c>
      <c r="B94" t="s" s="1800">
        <v>2460</v>
      </c>
      <c r="C94" s="1801">
        <v>0</v>
      </c>
      <c r="D94" s="1801">
        <v>0</v>
      </c>
      <c r="E94" s="1789"/>
      <c r="F94" s="1836" cm="1">
        <f t="array" ref="F94">C94-D94</f>
        <v>0</v>
      </c>
      <c r="G94" t="s" s="1837">
        <v>2452</v>
      </c>
      <c r="H94" s="1789"/>
      <c r="I94" s="1789"/>
      <c r="J94" s="1789"/>
    </row>
    <row r="95" ht="15" customHeight="1">
      <c r="A95" t="s" s="1799">
        <v>2461</v>
      </c>
      <c r="B95" t="s" s="1800">
        <v>2462</v>
      </c>
      <c r="C95" s="1801">
        <v>568448252</v>
      </c>
      <c r="D95" s="1801">
        <v>0</v>
      </c>
      <c r="E95" s="1789"/>
      <c r="F95" s="1836" cm="1">
        <f t="array" ref="F95">C95-D95</f>
        <v>568448252</v>
      </c>
      <c r="G95" t="s" s="1837">
        <v>2452</v>
      </c>
      <c r="H95" s="1789"/>
      <c r="I95" s="1789"/>
      <c r="J95" s="1789"/>
    </row>
    <row r="96" ht="15" customHeight="1">
      <c r="A96" t="s" s="1799">
        <v>2463</v>
      </c>
      <c r="B96" t="s" s="1800">
        <v>2464</v>
      </c>
      <c r="C96" s="1801">
        <v>0</v>
      </c>
      <c r="D96" s="1801">
        <v>0</v>
      </c>
      <c r="E96" s="1789"/>
      <c r="F96" s="1836" cm="1">
        <f t="array" ref="F96">C96-D96</f>
        <v>0</v>
      </c>
      <c r="G96" t="s" s="1837">
        <v>2452</v>
      </c>
      <c r="H96" s="1789"/>
      <c r="I96" s="1789"/>
      <c r="J96" s="1789"/>
    </row>
    <row r="97" ht="15" customHeight="1">
      <c r="A97" t="s" s="1799">
        <v>2465</v>
      </c>
      <c r="B97" t="s" s="1800">
        <v>2466</v>
      </c>
      <c r="C97" s="1801">
        <v>15000000</v>
      </c>
      <c r="D97" s="1801">
        <v>0</v>
      </c>
      <c r="E97" s="1789"/>
      <c r="F97" s="1836" cm="1">
        <f t="array" ref="F97">C97-D97</f>
        <v>15000000</v>
      </c>
      <c r="G97" t="s" s="1837">
        <v>2452</v>
      </c>
      <c r="H97" s="1789"/>
      <c r="I97" s="1789"/>
      <c r="J97" s="1789"/>
    </row>
    <row r="98" ht="15" customHeight="1">
      <c r="A98" t="s" s="1799">
        <v>2469</v>
      </c>
      <c r="B98" t="s" s="1800">
        <v>2470</v>
      </c>
      <c r="C98" s="1801">
        <v>469989</v>
      </c>
      <c r="D98" s="1801">
        <v>0</v>
      </c>
      <c r="E98" s="1789"/>
      <c r="F98" s="1836" cm="1">
        <f t="array" ref="F98">C98-D98</f>
        <v>469989</v>
      </c>
      <c r="G98" t="s" s="1837">
        <v>2452</v>
      </c>
      <c r="H98" s="1789"/>
      <c r="I98" s="1789"/>
      <c r="J98" s="1789"/>
    </row>
    <row r="99" ht="15" customHeight="1">
      <c r="A99" t="s" s="1799">
        <v>2471</v>
      </c>
      <c r="B99" t="s" s="1800">
        <v>2472</v>
      </c>
      <c r="C99" s="1801">
        <v>0</v>
      </c>
      <c r="D99" s="1801">
        <v>0</v>
      </c>
      <c r="E99" s="1789"/>
      <c r="F99" s="1836" cm="1">
        <f t="array" ref="F99">C99-D99</f>
        <v>0</v>
      </c>
      <c r="G99" t="s" s="1837">
        <v>2452</v>
      </c>
      <c r="H99" s="1789"/>
      <c r="I99" s="1789"/>
      <c r="J99" s="1789"/>
    </row>
    <row r="100" ht="15" customHeight="1">
      <c r="A100" t="s" s="1799">
        <v>2473</v>
      </c>
      <c r="B100" t="s" s="1800">
        <v>2474</v>
      </c>
      <c r="C100" s="1801">
        <v>47954628</v>
      </c>
      <c r="D100" s="1801">
        <v>400000</v>
      </c>
      <c r="E100" s="1789"/>
      <c r="F100" s="1836" cm="1">
        <f t="array" ref="F100">C100-D100</f>
        <v>47554628</v>
      </c>
      <c r="G100" s="1836"/>
      <c r="H100" s="1789"/>
      <c r="I100" s="1789"/>
      <c r="J100" s="1789"/>
    </row>
    <row r="101" ht="15" customHeight="1">
      <c r="A101" t="s" s="1799">
        <v>2475</v>
      </c>
      <c r="B101" t="s" s="1800">
        <v>2250</v>
      </c>
      <c r="C101" s="1801">
        <v>1500000</v>
      </c>
      <c r="D101" s="1801">
        <v>1500000</v>
      </c>
      <c r="E101" s="1789"/>
      <c r="F101" s="1836" cm="1">
        <f t="array" ref="F101">C101-D101</f>
        <v>0</v>
      </c>
      <c r="G101" s="1836"/>
      <c r="H101" s="1789"/>
      <c r="I101" s="1789"/>
      <c r="J101" s="1789"/>
    </row>
    <row r="102" ht="15" customHeight="1">
      <c r="A102" t="s" s="1799">
        <v>2476</v>
      </c>
      <c r="B102" t="s" s="1800">
        <v>2225</v>
      </c>
      <c r="C102" s="1801">
        <v>406840000</v>
      </c>
      <c r="D102" s="1801">
        <v>20000000</v>
      </c>
      <c r="E102" s="1789"/>
      <c r="F102" s="1836" cm="1">
        <f t="array" ref="F102">C102-D102</f>
        <v>386840000</v>
      </c>
      <c r="G102" s="1836"/>
      <c r="H102" s="1789"/>
      <c r="I102" s="1789"/>
      <c r="J102" s="1789"/>
    </row>
    <row r="103" ht="15" customHeight="1">
      <c r="A103" t="s" s="1799">
        <v>2477</v>
      </c>
      <c r="B103" t="s" s="1800">
        <v>2251</v>
      </c>
      <c r="C103" s="1801">
        <v>25000000</v>
      </c>
      <c r="D103" s="1801">
        <v>10000000</v>
      </c>
      <c r="E103" s="1789"/>
      <c r="F103" s="1836" cm="1">
        <f t="array" ref="F103">C103-D103</f>
        <v>15000000</v>
      </c>
      <c r="G103" s="1836"/>
      <c r="H103" s="1789"/>
      <c r="I103" s="1789"/>
      <c r="J103" s="1789"/>
    </row>
    <row r="104" ht="15" customHeight="1">
      <c r="A104" t="s" s="1799">
        <v>2478</v>
      </c>
      <c r="B104" t="s" s="1800">
        <v>2252</v>
      </c>
      <c r="C104" s="1801">
        <v>10000000</v>
      </c>
      <c r="D104" s="1801">
        <v>10000000</v>
      </c>
      <c r="E104" s="1789"/>
      <c r="F104" s="1836" cm="1">
        <f t="array" ref="F104">C104-D104</f>
        <v>0</v>
      </c>
      <c r="G104" s="1836"/>
      <c r="H104" s="1789"/>
      <c r="I104" s="1789"/>
      <c r="J104" s="1789"/>
    </row>
    <row r="105" ht="15" customHeight="1">
      <c r="A105" t="s" s="1799">
        <v>2479</v>
      </c>
      <c r="B105" t="s" s="1800">
        <v>3628</v>
      </c>
      <c r="C105" s="1801">
        <v>191587349</v>
      </c>
      <c r="D105" s="1801">
        <v>985246149</v>
      </c>
      <c r="E105" s="1789"/>
      <c r="F105" s="1836" cm="1">
        <f t="array" ref="F105">C105-D105</f>
        <v>-793658800</v>
      </c>
      <c r="G105" t="s" s="1837">
        <v>2452</v>
      </c>
      <c r="H105" s="1789"/>
      <c r="I105" s="1789"/>
      <c r="J105" s="1789"/>
    </row>
    <row r="106" ht="15" customHeight="1">
      <c r="A106" t="s" s="1799">
        <v>2481</v>
      </c>
      <c r="B106" t="s" s="1800">
        <v>3629</v>
      </c>
      <c r="C106" s="1801">
        <v>0</v>
      </c>
      <c r="D106" s="1801">
        <v>29154000</v>
      </c>
      <c r="E106" s="1789"/>
      <c r="F106" s="1836" cm="1">
        <f t="array" ref="F106">C106-D106</f>
        <v>-29154000</v>
      </c>
      <c r="G106" t="s" s="1837">
        <v>2452</v>
      </c>
      <c r="H106" s="1789"/>
      <c r="I106" s="1789"/>
      <c r="J106" s="1789"/>
    </row>
    <row r="107" ht="15" customHeight="1">
      <c r="A107" t="s" s="1799">
        <v>2483</v>
      </c>
      <c r="B107" t="s" s="1800">
        <v>2484</v>
      </c>
      <c r="C107" s="1801">
        <v>0</v>
      </c>
      <c r="D107" s="1801">
        <v>3500000</v>
      </c>
      <c r="E107" s="1789"/>
      <c r="F107" s="1836" cm="1">
        <f t="array" ref="F107">C107-D107</f>
        <v>-3500000</v>
      </c>
      <c r="G107" t="s" s="1837">
        <v>2452</v>
      </c>
      <c r="H107" s="1789"/>
      <c r="I107" s="1789"/>
      <c r="J107" s="1789"/>
    </row>
    <row r="108" ht="15" customHeight="1">
      <c r="A108" t="s" s="1799">
        <v>2485</v>
      </c>
      <c r="B108" t="s" s="1800">
        <v>2486</v>
      </c>
      <c r="C108" s="1801">
        <v>80872229.16</v>
      </c>
      <c r="D108" s="1801">
        <v>449000000</v>
      </c>
      <c r="E108" s="1789"/>
      <c r="F108" s="1836" cm="1">
        <f t="array" ref="F108">C108-D108</f>
        <v>-368127770.84</v>
      </c>
      <c r="G108" t="s" s="1837">
        <v>2452</v>
      </c>
      <c r="H108" s="1789"/>
      <c r="I108" s="1789"/>
      <c r="J108" s="1789"/>
    </row>
    <row r="109" ht="15" customHeight="1">
      <c r="A109" t="s" s="1799">
        <v>2487</v>
      </c>
      <c r="B109" t="s" s="1800">
        <v>2226</v>
      </c>
      <c r="C109" s="1801">
        <v>24000000</v>
      </c>
      <c r="D109" s="1801">
        <v>7000000</v>
      </c>
      <c r="E109" s="1789"/>
      <c r="F109" s="1836" cm="1">
        <f t="array" ref="F109">C109-D109</f>
        <v>17000000</v>
      </c>
      <c r="G109" s="1836"/>
      <c r="H109" s="1789"/>
      <c r="I109" s="1789"/>
      <c r="J109" s="1789"/>
    </row>
    <row r="110" ht="15" customHeight="1">
      <c r="A110" t="s" s="1799">
        <v>2488</v>
      </c>
      <c r="B110" t="s" s="1800">
        <v>2227</v>
      </c>
      <c r="C110" s="1801">
        <v>2000000</v>
      </c>
      <c r="D110" s="1801">
        <v>5000000</v>
      </c>
      <c r="E110" s="1789"/>
      <c r="F110" s="1836" cm="1">
        <f t="array" ref="F110">C110-D110</f>
        <v>-3000000</v>
      </c>
      <c r="G110" t="s" s="1837">
        <v>2452</v>
      </c>
      <c r="H110" s="1789"/>
      <c r="I110" s="1789"/>
      <c r="J110" s="1789"/>
    </row>
    <row r="111" ht="15" customHeight="1">
      <c r="A111" t="s" s="1799">
        <v>2489</v>
      </c>
      <c r="B111" t="s" s="1800">
        <v>3630</v>
      </c>
      <c r="C111" s="1801">
        <v>16633400</v>
      </c>
      <c r="D111" s="1801">
        <v>15000000</v>
      </c>
      <c r="E111" s="1789"/>
      <c r="F111" s="1836" cm="1">
        <f t="array" ref="F111">C111-D111</f>
        <v>1633400</v>
      </c>
      <c r="G111" t="s" s="1837">
        <v>2452</v>
      </c>
      <c r="H111" s="1789"/>
      <c r="I111" s="1789"/>
      <c r="J111" s="1789"/>
    </row>
    <row r="112" ht="15" customHeight="1">
      <c r="A112" t="s" s="1799">
        <v>2491</v>
      </c>
      <c r="B112" t="s" s="1800">
        <v>2492</v>
      </c>
      <c r="C112" s="1801">
        <v>181520000</v>
      </c>
      <c r="D112" s="1801">
        <v>3692000</v>
      </c>
      <c r="E112" s="1789"/>
      <c r="F112" s="1836" cm="1">
        <f t="array" ref="F112">C112-D112</f>
        <v>177828000</v>
      </c>
      <c r="G112" s="1836"/>
      <c r="H112" s="1789"/>
      <c r="I112" s="1789"/>
      <c r="J112" s="1789"/>
    </row>
    <row r="113" ht="15" customHeight="1">
      <c r="A113" t="s" s="1799">
        <v>2493</v>
      </c>
      <c r="B113" t="s" s="1800">
        <v>2228</v>
      </c>
      <c r="C113" s="1801">
        <v>950100000</v>
      </c>
      <c r="D113" s="1801">
        <v>35000000</v>
      </c>
      <c r="E113" s="1789"/>
      <c r="F113" s="1836" cm="1">
        <f t="array" ref="F113">C113-D113</f>
        <v>915100000</v>
      </c>
      <c r="G113" s="1836"/>
      <c r="H113" s="1789"/>
      <c r="I113" s="1789"/>
      <c r="J113" s="1789"/>
    </row>
    <row r="114" ht="15" customHeight="1">
      <c r="A114" t="s" s="1799">
        <v>2494</v>
      </c>
      <c r="B114" t="s" s="1800">
        <v>2253</v>
      </c>
      <c r="C114" s="1801">
        <v>206000000</v>
      </c>
      <c r="D114" s="1801">
        <v>103000000</v>
      </c>
      <c r="E114" s="1789"/>
      <c r="F114" s="1836" cm="1">
        <f t="array" ref="F114">C114-D114</f>
        <v>103000000</v>
      </c>
      <c r="G114" s="1836"/>
      <c r="H114" s="1789"/>
      <c r="I114" s="1789"/>
      <c r="J114" s="1789"/>
    </row>
    <row r="115" ht="15" customHeight="1">
      <c r="A115" t="s" s="1799">
        <v>2495</v>
      </c>
      <c r="B115" t="s" s="1800">
        <v>2254</v>
      </c>
      <c r="C115" s="1801">
        <v>4000000</v>
      </c>
      <c r="D115" s="1801">
        <v>0</v>
      </c>
      <c r="E115" s="1789"/>
      <c r="F115" s="1836" cm="1">
        <f t="array" ref="F115">C115-D115</f>
        <v>4000000</v>
      </c>
      <c r="G115" s="1836"/>
      <c r="H115" s="1789"/>
      <c r="I115" s="1789"/>
      <c r="J115" s="1789"/>
    </row>
    <row r="116" ht="15" customHeight="1">
      <c r="A116" t="s" s="1799">
        <v>2495</v>
      </c>
      <c r="B116" t="s" s="1800">
        <v>3631</v>
      </c>
      <c r="C116" s="1801">
        <v>188402000</v>
      </c>
      <c r="D116" s="1801">
        <v>218556000</v>
      </c>
      <c r="E116" s="1789"/>
      <c r="F116" s="1836" cm="1">
        <f t="array" ref="F116">C116-D116</f>
        <v>-30154000</v>
      </c>
      <c r="G116" t="s" s="1837">
        <v>2452</v>
      </c>
      <c r="H116" s="1789"/>
      <c r="I116" s="1789"/>
      <c r="J116" s="1789"/>
    </row>
    <row r="117" ht="15" customHeight="1">
      <c r="A117" t="s" s="1799">
        <v>2495</v>
      </c>
      <c r="B117" t="s" s="1800">
        <v>2224</v>
      </c>
      <c r="C117" s="1801">
        <v>26850000</v>
      </c>
      <c r="D117" s="1801">
        <v>0</v>
      </c>
      <c r="E117" s="1789"/>
      <c r="F117" s="1836" cm="1">
        <f t="array" ref="F117">C117-D117</f>
        <v>26850000</v>
      </c>
      <c r="G117" s="1836"/>
      <c r="H117" s="1789"/>
      <c r="I117" s="1789"/>
      <c r="J117" s="1789"/>
    </row>
    <row r="118" ht="15" customHeight="1">
      <c r="A118" t="s" s="1799">
        <v>2497</v>
      </c>
      <c r="B118" t="s" s="1800">
        <v>2255</v>
      </c>
      <c r="C118" s="1801">
        <v>20000000</v>
      </c>
      <c r="D118" s="1801">
        <v>20000000</v>
      </c>
      <c r="E118" s="1789"/>
      <c r="F118" s="1836" cm="1">
        <f t="array" ref="F118">C118-D118</f>
        <v>0</v>
      </c>
      <c r="G118" s="1836"/>
      <c r="H118" s="1789"/>
      <c r="I118" s="1789"/>
      <c r="J118" s="1789"/>
    </row>
    <row r="119" ht="15" customHeight="1">
      <c r="A119" t="s" s="1799">
        <v>2498</v>
      </c>
      <c r="B119" t="s" s="1800">
        <v>3632</v>
      </c>
      <c r="C119" s="1801">
        <v>95093250</v>
      </c>
      <c r="D119" s="1801">
        <v>71000000</v>
      </c>
      <c r="E119" s="1789"/>
      <c r="F119" s="1836" cm="1">
        <f t="array" ref="F119">C119-D119</f>
        <v>24093250</v>
      </c>
      <c r="G119" t="s" s="1837">
        <v>2452</v>
      </c>
      <c r="H119" s="1789"/>
      <c r="I119" s="1789"/>
      <c r="J119" s="1789"/>
    </row>
    <row r="120" ht="15" customHeight="1">
      <c r="A120" t="s" s="1799">
        <v>2500</v>
      </c>
      <c r="B120" t="s" s="1800">
        <v>2501</v>
      </c>
      <c r="C120" s="1801">
        <v>237546468</v>
      </c>
      <c r="D120" s="1801">
        <v>151000000</v>
      </c>
      <c r="E120" s="1789"/>
      <c r="F120" s="1836" cm="1">
        <f t="array" ref="F120">C120-D120</f>
        <v>86546468</v>
      </c>
      <c r="G120" t="s" s="1837">
        <v>2452</v>
      </c>
      <c r="H120" s="1789"/>
      <c r="I120" s="1789"/>
      <c r="J120" s="1789"/>
    </row>
    <row r="121" ht="15" customHeight="1">
      <c r="A121" t="s" s="1799">
        <v>2502</v>
      </c>
      <c r="B121" t="s" s="1800">
        <v>2503</v>
      </c>
      <c r="C121" s="1801">
        <v>384962500</v>
      </c>
      <c r="D121" s="1801">
        <v>178000000</v>
      </c>
      <c r="E121" s="1789"/>
      <c r="F121" s="1836" cm="1">
        <f t="array" ref="F121">C121-D121</f>
        <v>206962500</v>
      </c>
      <c r="G121" t="s" s="1837">
        <v>2452</v>
      </c>
      <c r="H121" s="1789"/>
      <c r="I121" s="1789"/>
      <c r="J121" s="1789"/>
    </row>
    <row r="122" ht="15" customHeight="1">
      <c r="A122" t="s" s="1799">
        <v>2504</v>
      </c>
      <c r="B122" t="s" s="1800">
        <v>2505</v>
      </c>
      <c r="C122" s="1801">
        <v>400000</v>
      </c>
      <c r="D122" s="1801">
        <v>400000</v>
      </c>
      <c r="E122" s="1789"/>
      <c r="F122" s="1836" cm="1">
        <f t="array" ref="F122">C122-D122</f>
        <v>0</v>
      </c>
      <c r="G122" s="1836"/>
      <c r="H122" s="1789"/>
      <c r="I122" s="1789"/>
      <c r="J122" s="1789"/>
    </row>
    <row r="123" ht="15" customHeight="1">
      <c r="A123" t="s" s="1799">
        <v>2506</v>
      </c>
      <c r="B123" t="s" s="1800">
        <v>3633</v>
      </c>
      <c r="C123" s="1801">
        <v>141420174</v>
      </c>
      <c r="D123" s="1801">
        <v>0</v>
      </c>
      <c r="E123" s="1789"/>
      <c r="F123" s="1836" cm="1">
        <f t="array" ref="F123">C123-D123</f>
        <v>141420174</v>
      </c>
      <c r="G123" t="s" s="1837">
        <v>2452</v>
      </c>
      <c r="H123" s="1789"/>
      <c r="I123" s="1789"/>
      <c r="J123" s="1789"/>
    </row>
    <row r="124" ht="15" customHeight="1">
      <c r="A124" t="s" s="1799">
        <v>2508</v>
      </c>
      <c r="B124" t="s" s="1800">
        <v>2509</v>
      </c>
      <c r="C124" s="1801">
        <v>401587170</v>
      </c>
      <c r="D124" s="1801">
        <v>0</v>
      </c>
      <c r="E124" s="1789"/>
      <c r="F124" s="1836" cm="1">
        <f t="array" ref="F124">C124-D124</f>
        <v>401587170</v>
      </c>
      <c r="G124" t="s" s="1837">
        <v>2452</v>
      </c>
      <c r="H124" s="1789"/>
      <c r="I124" s="1789"/>
      <c r="J124" s="1789"/>
    </row>
    <row r="125" ht="15" customHeight="1">
      <c r="A125" t="s" s="1799">
        <v>2510</v>
      </c>
      <c r="B125" t="s" s="1800">
        <v>3634</v>
      </c>
      <c r="C125" s="1801">
        <v>7000000</v>
      </c>
      <c r="D125" s="1801">
        <v>0</v>
      </c>
      <c r="E125" s="1789"/>
      <c r="F125" s="1836" cm="1">
        <f t="array" ref="F125">C125-D125</f>
        <v>7000000</v>
      </c>
      <c r="G125" t="s" s="1837">
        <v>2452</v>
      </c>
      <c r="H125" s="1789"/>
      <c r="I125" s="1789"/>
      <c r="J125" s="1789"/>
    </row>
    <row r="126" ht="15" customHeight="1">
      <c r="A126" t="s" s="1799">
        <v>2512</v>
      </c>
      <c r="B126" t="s" s="1800">
        <v>2513</v>
      </c>
      <c r="C126" s="1801">
        <v>0</v>
      </c>
      <c r="D126" s="1801">
        <v>0</v>
      </c>
      <c r="E126" s="1789"/>
      <c r="F126" s="1836" cm="1">
        <f t="array" ref="F126">C126-D126</f>
        <v>0</v>
      </c>
      <c r="G126" t="s" s="1837">
        <v>2452</v>
      </c>
      <c r="H126" s="1789"/>
      <c r="I126" s="1789"/>
      <c r="J126" s="1789"/>
    </row>
    <row r="127" ht="15" customHeight="1">
      <c r="A127" t="s" s="1799">
        <v>2516</v>
      </c>
      <c r="B127" t="s" s="1800">
        <v>2517</v>
      </c>
      <c r="C127" s="1801">
        <v>258027076</v>
      </c>
      <c r="D127" s="1801">
        <v>0</v>
      </c>
      <c r="E127" s="1789"/>
      <c r="F127" s="1836" cm="1">
        <f t="array" ref="F127">C127-D127</f>
        <v>258027076</v>
      </c>
      <c r="G127" t="s" s="1837">
        <v>2452</v>
      </c>
      <c r="H127" s="1789"/>
      <c r="I127" s="1789"/>
      <c r="J127" s="1789"/>
    </row>
    <row r="128" ht="15" customHeight="1">
      <c r="A128" t="s" s="1799">
        <v>2518</v>
      </c>
      <c r="B128" t="s" s="1800">
        <v>2519</v>
      </c>
      <c r="C128" s="1801">
        <v>617145691</v>
      </c>
      <c r="D128" s="1801">
        <v>0</v>
      </c>
      <c r="E128" s="1789"/>
      <c r="F128" s="1836" cm="1">
        <f t="array" ref="F128">C128-D128</f>
        <v>617145691</v>
      </c>
      <c r="G128" t="s" s="1837">
        <v>2452</v>
      </c>
      <c r="H128" s="1789"/>
      <c r="I128" s="1789"/>
      <c r="J128" s="1789"/>
    </row>
    <row r="129" ht="15" customHeight="1">
      <c r="A129" t="s" s="1799">
        <v>2520</v>
      </c>
      <c r="B129" t="s" s="1800">
        <v>2521</v>
      </c>
      <c r="C129" s="1801">
        <v>207437662</v>
      </c>
      <c r="D129" s="1801">
        <v>0</v>
      </c>
      <c r="E129" s="1789"/>
      <c r="F129" s="1836" cm="1">
        <f t="array" ref="F129">C129-D129</f>
        <v>207437662</v>
      </c>
      <c r="G129" t="s" s="1837">
        <v>2452</v>
      </c>
      <c r="H129" s="1789"/>
      <c r="I129" s="1789"/>
      <c r="J129" s="1789"/>
    </row>
    <row r="130" ht="15" customHeight="1">
      <c r="A130" t="s" s="1799">
        <v>2522</v>
      </c>
      <c r="B130" t="s" s="1800">
        <v>2523</v>
      </c>
      <c r="C130" s="1801">
        <v>4248178274.44</v>
      </c>
      <c r="D130" s="1801">
        <v>0</v>
      </c>
      <c r="E130" s="1789"/>
      <c r="F130" s="1836" cm="1">
        <f t="array" ref="F130">C130-D130</f>
        <v>4248178274.44</v>
      </c>
      <c r="G130" t="s" s="1837">
        <v>2452</v>
      </c>
      <c r="H130" s="1789"/>
      <c r="I130" s="1789"/>
      <c r="J130" s="1789"/>
    </row>
    <row r="131" ht="15" customHeight="1">
      <c r="A131" t="s" s="1799">
        <v>2524</v>
      </c>
      <c r="B131" t="s" s="1800">
        <v>2525</v>
      </c>
      <c r="C131" s="1801">
        <v>56145000</v>
      </c>
      <c r="D131" s="1801">
        <v>0</v>
      </c>
      <c r="E131" s="1789"/>
      <c r="F131" s="1836" cm="1">
        <f t="array" ref="F131">C131-D131</f>
        <v>56145000</v>
      </c>
      <c r="G131" t="s" s="1837">
        <v>2452</v>
      </c>
      <c r="H131" s="1789"/>
      <c r="I131" s="1789"/>
      <c r="J131" s="1789"/>
    </row>
    <row r="132" ht="15" customHeight="1">
      <c r="A132" t="s" s="1799">
        <v>2526</v>
      </c>
      <c r="B132" t="s" s="1800">
        <v>2527</v>
      </c>
      <c r="C132" s="1801">
        <v>26350000</v>
      </c>
      <c r="D132" s="1801">
        <v>0</v>
      </c>
      <c r="E132" s="1789"/>
      <c r="F132" s="1836" cm="1">
        <f t="array" ref="F132">C132-D132</f>
        <v>26350000</v>
      </c>
      <c r="G132" s="1836"/>
      <c r="H132" s="1789"/>
      <c r="I132" s="1789"/>
      <c r="J132" s="1789"/>
    </row>
    <row r="133" ht="15" customHeight="1">
      <c r="A133" t="s" s="1799">
        <v>2528</v>
      </c>
      <c r="B133" t="s" s="1800">
        <v>2529</v>
      </c>
      <c r="C133" s="1801">
        <v>803626624</v>
      </c>
      <c r="D133" s="1801">
        <v>0</v>
      </c>
      <c r="E133" s="1789"/>
      <c r="F133" s="1836" cm="1">
        <f t="array" ref="F133">C133-D133</f>
        <v>803626624</v>
      </c>
      <c r="G133" t="s" s="1837">
        <v>2452</v>
      </c>
      <c r="H133" s="1789"/>
      <c r="I133" s="1789"/>
      <c r="J133" s="1789"/>
    </row>
    <row r="134" ht="15" customHeight="1">
      <c r="A134" t="s" s="1799">
        <v>2530</v>
      </c>
      <c r="B134" t="s" s="1800">
        <v>2531</v>
      </c>
      <c r="C134" s="1801">
        <v>51757409</v>
      </c>
      <c r="D134" s="1801">
        <v>0</v>
      </c>
      <c r="E134" s="1789"/>
      <c r="F134" s="1836" cm="1">
        <f t="array" ref="F134">C134-D134</f>
        <v>51757409</v>
      </c>
      <c r="G134" t="s" s="1837">
        <v>2452</v>
      </c>
      <c r="H134" s="1789"/>
      <c r="I134" s="1789"/>
      <c r="J134" s="1789"/>
    </row>
    <row r="135" ht="15" customHeight="1">
      <c r="A135" t="s" s="1799">
        <v>2532</v>
      </c>
      <c r="B135" t="s" s="1800">
        <v>2533</v>
      </c>
      <c r="C135" s="1801">
        <v>45000000</v>
      </c>
      <c r="D135" s="1801">
        <v>0</v>
      </c>
      <c r="E135" s="1789"/>
      <c r="F135" s="1836" cm="1">
        <f t="array" ref="F135">C135-D135</f>
        <v>45000000</v>
      </c>
      <c r="G135" t="s" s="1837">
        <v>2452</v>
      </c>
      <c r="H135" s="1789"/>
      <c r="I135" s="1789"/>
      <c r="J135" s="1789"/>
    </row>
    <row r="136" ht="15" customHeight="1">
      <c r="A136" t="s" s="1799">
        <v>2534</v>
      </c>
      <c r="B136" t="s" s="1800">
        <v>2535</v>
      </c>
      <c r="C136" s="1801">
        <v>30000000</v>
      </c>
      <c r="D136" s="1801">
        <v>0</v>
      </c>
      <c r="E136" s="1789"/>
      <c r="F136" s="1836" cm="1">
        <f t="array" ref="F136">C136-D136</f>
        <v>30000000</v>
      </c>
      <c r="G136" t="s" s="1837">
        <v>2452</v>
      </c>
      <c r="H136" s="1789"/>
      <c r="I136" s="1789"/>
      <c r="J136" s="1789"/>
    </row>
    <row r="137" ht="15" customHeight="1">
      <c r="A137" t="s" s="1799">
        <v>2536</v>
      </c>
      <c r="B137" t="s" s="1800">
        <v>2537</v>
      </c>
      <c r="C137" s="1801">
        <v>3000000</v>
      </c>
      <c r="D137" s="1801">
        <v>0</v>
      </c>
      <c r="E137" s="1789"/>
      <c r="F137" s="1836" cm="1">
        <f t="array" ref="F137">C137-D137</f>
        <v>3000000</v>
      </c>
      <c r="G137" t="s" s="1837">
        <v>2452</v>
      </c>
      <c r="H137" s="1789"/>
      <c r="I137" s="1789"/>
      <c r="J137" s="1789"/>
    </row>
    <row r="138" ht="15" customHeight="1">
      <c r="A138" t="s" s="1799">
        <v>2538</v>
      </c>
      <c r="B138" t="s" s="1800">
        <v>2539</v>
      </c>
      <c r="C138" s="1801">
        <v>15081988</v>
      </c>
      <c r="D138" s="1801">
        <v>0</v>
      </c>
      <c r="E138" s="1789"/>
      <c r="F138" s="1836" cm="1">
        <f t="array" ref="F138">C138-D138</f>
        <v>15081988</v>
      </c>
      <c r="G138" t="s" s="1837">
        <v>2452</v>
      </c>
      <c r="H138" s="1789"/>
      <c r="I138" s="1789"/>
      <c r="J138" s="1789"/>
    </row>
    <row r="139" ht="15" customHeight="1">
      <c r="A139" t="s" s="1799">
        <v>2540</v>
      </c>
      <c r="B139" t="s" s="1800">
        <v>2541</v>
      </c>
      <c r="C139" s="1801">
        <v>60046000</v>
      </c>
      <c r="D139" s="1801">
        <v>0</v>
      </c>
      <c r="E139" s="1789"/>
      <c r="F139" s="1836" cm="1">
        <f t="array" ref="F139">C139-D139</f>
        <v>60046000</v>
      </c>
      <c r="G139" t="s" s="1837">
        <v>2452</v>
      </c>
      <c r="H139" s="1789"/>
      <c r="I139" s="1789"/>
      <c r="J139" s="1789"/>
    </row>
    <row r="140" ht="15" customHeight="1">
      <c r="A140" t="s" s="1799">
        <v>2542</v>
      </c>
      <c r="B140" t="s" s="1800">
        <v>3635</v>
      </c>
      <c r="C140" s="1801">
        <v>38000000</v>
      </c>
      <c r="D140" s="1801">
        <v>0</v>
      </c>
      <c r="E140" s="1789"/>
      <c r="F140" s="1836" cm="1">
        <f t="array" ref="F140">C140-D140</f>
        <v>38000000</v>
      </c>
      <c r="G140" t="s" s="1837">
        <v>2452</v>
      </c>
      <c r="H140" s="1789"/>
      <c r="I140" s="1789"/>
      <c r="J140" s="1789"/>
    </row>
    <row r="141" ht="15" customHeight="1">
      <c r="A141" t="s" s="1799">
        <v>2544</v>
      </c>
      <c r="B141" t="s" s="1800">
        <v>2545</v>
      </c>
      <c r="C141" s="1801">
        <v>19983659</v>
      </c>
      <c r="D141" s="1801">
        <v>0</v>
      </c>
      <c r="E141" s="1789"/>
      <c r="F141" s="1836" cm="1">
        <f t="array" ref="F141">C141-D141</f>
        <v>19983659</v>
      </c>
      <c r="G141" t="s" s="1837">
        <v>2452</v>
      </c>
      <c r="H141" s="1789"/>
      <c r="I141" s="1789"/>
      <c r="J141" s="1789"/>
    </row>
    <row r="142" ht="15" customHeight="1">
      <c r="A142" t="s" s="1799">
        <v>2546</v>
      </c>
      <c r="B142" t="s" s="1800">
        <v>2547</v>
      </c>
      <c r="C142" s="1801">
        <v>59148000</v>
      </c>
      <c r="D142" s="1801">
        <v>0</v>
      </c>
      <c r="E142" s="1789"/>
      <c r="F142" s="1836" cm="1">
        <f t="array" ref="F142">C142-D142</f>
        <v>59148000</v>
      </c>
      <c r="G142" t="s" s="1837">
        <v>2452</v>
      </c>
      <c r="H142" s="1789"/>
      <c r="I142" s="1789"/>
      <c r="J142" s="1789"/>
    </row>
    <row r="143" ht="15" customHeight="1">
      <c r="A143" t="s" s="1799">
        <v>2548</v>
      </c>
      <c r="B143" t="s" s="1800">
        <v>2549</v>
      </c>
      <c r="C143" s="1801">
        <v>71258000</v>
      </c>
      <c r="D143" s="1801">
        <v>0</v>
      </c>
      <c r="E143" s="1789"/>
      <c r="F143" s="1836" cm="1">
        <f t="array" ref="F143">C143-D143</f>
        <v>71258000</v>
      </c>
      <c r="G143" t="s" s="1837">
        <v>2452</v>
      </c>
      <c r="H143" s="1789"/>
      <c r="I143" s="1789"/>
      <c r="J143" s="1789"/>
    </row>
    <row r="144" ht="15" customHeight="1">
      <c r="A144" t="s" s="1799">
        <v>2550</v>
      </c>
      <c r="B144" t="s" s="1800">
        <v>3636</v>
      </c>
      <c r="C144" s="1801">
        <v>45155001</v>
      </c>
      <c r="D144" s="1801">
        <v>0</v>
      </c>
      <c r="E144" s="1789"/>
      <c r="F144" s="1836" cm="1">
        <f t="array" ref="F144">C144-D144</f>
        <v>45155001</v>
      </c>
      <c r="G144" t="s" s="1837">
        <v>2452</v>
      </c>
      <c r="H144" s="1789"/>
      <c r="I144" s="1789"/>
      <c r="J144" s="1789"/>
    </row>
    <row r="145" ht="15" customHeight="1">
      <c r="A145" t="s" s="1799">
        <v>2552</v>
      </c>
      <c r="B145" t="s" s="1800">
        <v>2553</v>
      </c>
      <c r="C145" s="1801">
        <v>1731646508</v>
      </c>
      <c r="D145" s="1801">
        <v>0</v>
      </c>
      <c r="E145" s="1789"/>
      <c r="F145" s="1836" cm="1">
        <f t="array" ref="F145">C145-D145</f>
        <v>1731646508</v>
      </c>
      <c r="G145" t="s" s="1837">
        <v>2452</v>
      </c>
      <c r="H145" s="1789"/>
      <c r="I145" s="1789"/>
      <c r="J145" s="1789"/>
    </row>
    <row r="146" ht="15" customHeight="1">
      <c r="A146" t="s" s="1799">
        <v>2554</v>
      </c>
      <c r="B146" t="s" s="1800">
        <v>2555</v>
      </c>
      <c r="C146" s="1801">
        <v>190000000</v>
      </c>
      <c r="D146" s="1801">
        <v>33664716</v>
      </c>
      <c r="E146" s="1789"/>
      <c r="F146" s="1836" cm="1">
        <f t="array" ref="F146">C146-D146</f>
        <v>156335284</v>
      </c>
      <c r="G146" t="s" s="1837">
        <v>2452</v>
      </c>
      <c r="H146" s="1789"/>
      <c r="I146" s="1789"/>
      <c r="J146" s="1789"/>
    </row>
    <row r="147" ht="15" customHeight="1">
      <c r="A147" t="s" s="1799">
        <v>2556</v>
      </c>
      <c r="B147" t="s" s="1800">
        <v>2557</v>
      </c>
      <c r="C147" s="1801">
        <v>40000000</v>
      </c>
      <c r="D147" s="1801">
        <v>0</v>
      </c>
      <c r="E147" s="1789"/>
      <c r="F147" s="1836" cm="1">
        <f t="array" ref="F147">C147-D147</f>
        <v>40000000</v>
      </c>
      <c r="G147" t="s" s="1837">
        <v>2452</v>
      </c>
      <c r="H147" s="1789"/>
      <c r="I147" s="1789"/>
      <c r="J147" s="1789"/>
    </row>
    <row r="148" ht="15" customHeight="1">
      <c r="A148" t="s" s="1799">
        <v>3637</v>
      </c>
      <c r="B148" t="s" s="1800">
        <v>2588</v>
      </c>
      <c r="C148" s="1801">
        <v>78801000</v>
      </c>
      <c r="D148" s="1801">
        <v>0</v>
      </c>
      <c r="E148" s="1789"/>
      <c r="F148" s="1836" cm="1">
        <f t="array" ref="F148">C148-D148</f>
        <v>78801000</v>
      </c>
      <c r="G148" t="s" s="1837">
        <v>2452</v>
      </c>
      <c r="H148" s="1789"/>
      <c r="I148" s="1789"/>
      <c r="J148" s="1789"/>
    </row>
    <row r="149" ht="15" customHeight="1">
      <c r="A149" t="s" s="1799">
        <v>2558</v>
      </c>
      <c r="B149" t="s" s="1800">
        <v>2559</v>
      </c>
      <c r="C149" s="1801">
        <v>31350000</v>
      </c>
      <c r="D149" s="1801">
        <v>0</v>
      </c>
      <c r="E149" s="1789"/>
      <c r="F149" s="1836" cm="1">
        <f t="array" ref="F149">C149-D149</f>
        <v>31350000</v>
      </c>
      <c r="G149" t="s" s="1837">
        <v>2452</v>
      </c>
      <c r="H149" s="1789"/>
      <c r="I149" s="1789"/>
      <c r="J149" s="1789"/>
    </row>
    <row r="150" ht="15" customHeight="1">
      <c r="A150" t="s" s="1799">
        <v>2560</v>
      </c>
      <c r="B150" t="s" s="1800">
        <v>2561</v>
      </c>
      <c r="C150" s="1801">
        <v>45500000</v>
      </c>
      <c r="D150" s="1801">
        <v>0</v>
      </c>
      <c r="E150" s="1789"/>
      <c r="F150" s="1836" cm="1">
        <f t="array" ref="F150">C150-D150</f>
        <v>45500000</v>
      </c>
      <c r="G150" t="s" s="1837">
        <v>2452</v>
      </c>
      <c r="H150" s="1789"/>
      <c r="I150" s="1789"/>
      <c r="J150" s="1789"/>
    </row>
    <row r="151" ht="15" customHeight="1">
      <c r="A151" t="s" s="1799">
        <v>2562</v>
      </c>
      <c r="B151" t="s" s="1800">
        <v>3638</v>
      </c>
      <c r="C151" s="1801">
        <v>11500000</v>
      </c>
      <c r="D151" s="1801">
        <v>0</v>
      </c>
      <c r="E151" s="1789"/>
      <c r="F151" s="1836" cm="1">
        <f t="array" ref="F151">C151-D151</f>
        <v>11500000</v>
      </c>
      <c r="G151" t="s" s="1837">
        <v>2452</v>
      </c>
      <c r="H151" s="1789"/>
      <c r="I151" s="1789"/>
      <c r="J151" s="1789"/>
    </row>
    <row r="152" ht="15" customHeight="1">
      <c r="A152" t="s" s="1799">
        <v>2564</v>
      </c>
      <c r="B152" t="s" s="1800">
        <v>2565</v>
      </c>
      <c r="C152" s="1801">
        <v>16823181</v>
      </c>
      <c r="D152" s="1801">
        <v>0</v>
      </c>
      <c r="E152" s="1789"/>
      <c r="F152" s="1836" cm="1">
        <f t="array" ref="F152">C152-D152</f>
        <v>16823181</v>
      </c>
      <c r="G152" t="s" s="1837">
        <v>2452</v>
      </c>
      <c r="H152" s="1789"/>
      <c r="I152" s="1789"/>
      <c r="J152" s="1789"/>
    </row>
    <row r="153" ht="15" customHeight="1">
      <c r="A153" t="s" s="1799">
        <v>2566</v>
      </c>
      <c r="B153" t="s" s="1800">
        <v>3639</v>
      </c>
      <c r="C153" s="1801">
        <v>49719000</v>
      </c>
      <c r="D153" s="1801">
        <v>0</v>
      </c>
      <c r="E153" s="1789"/>
      <c r="F153" s="1836" cm="1">
        <f t="array" ref="F153">C153-D153</f>
        <v>49719000</v>
      </c>
      <c r="G153" t="s" s="1837">
        <v>2452</v>
      </c>
      <c r="H153" s="1789"/>
      <c r="I153" s="1789"/>
      <c r="J153" s="1789"/>
    </row>
    <row r="154" ht="15" customHeight="1">
      <c r="A154" t="s" s="1799">
        <v>2568</v>
      </c>
      <c r="B154" t="s" s="1800">
        <v>2569</v>
      </c>
      <c r="C154" s="1801">
        <v>31370000</v>
      </c>
      <c r="D154" s="1801">
        <v>0</v>
      </c>
      <c r="E154" s="1789"/>
      <c r="F154" s="1836" cm="1">
        <f t="array" ref="F154">C154-D154</f>
        <v>31370000</v>
      </c>
      <c r="G154" t="s" s="1837">
        <v>2452</v>
      </c>
      <c r="H154" s="1789"/>
      <c r="I154" s="1789"/>
      <c r="J154" s="1789"/>
    </row>
    <row r="155" ht="15" customHeight="1">
      <c r="A155" t="s" s="1799">
        <v>3640</v>
      </c>
      <c r="B155" t="s" s="1800">
        <v>2224</v>
      </c>
      <c r="C155" s="1801">
        <v>20000000</v>
      </c>
      <c r="D155" s="1801">
        <v>0</v>
      </c>
      <c r="E155" s="1789"/>
      <c r="F155" s="1836" cm="1">
        <f t="array" ref="F155">C155-D155</f>
        <v>20000000</v>
      </c>
      <c r="G155" s="1836"/>
      <c r="H155" s="1789"/>
      <c r="I155" s="1789"/>
      <c r="J155" s="1789"/>
    </row>
    <row r="156" ht="15" customHeight="1">
      <c r="A156" t="s" s="1799">
        <v>2570</v>
      </c>
      <c r="B156" t="s" s="1800">
        <v>2571</v>
      </c>
      <c r="C156" s="1801">
        <v>0</v>
      </c>
      <c r="D156" s="1801">
        <v>0</v>
      </c>
      <c r="E156" s="1789"/>
      <c r="F156" s="1836" cm="1">
        <f t="array" ref="F156">C156-D156</f>
        <v>0</v>
      </c>
      <c r="G156" s="1836"/>
      <c r="H156" s="1789"/>
      <c r="I156" s="1789"/>
      <c r="J156" s="1789"/>
    </row>
    <row r="157" ht="15" customHeight="1">
      <c r="A157" t="s" s="1799">
        <v>2572</v>
      </c>
      <c r="B157" t="s" s="1800">
        <v>2573</v>
      </c>
      <c r="C157" s="1801">
        <v>209929230</v>
      </c>
      <c r="D157" s="1801">
        <v>0</v>
      </c>
      <c r="E157" s="1789"/>
      <c r="F157" s="1836" cm="1">
        <f t="array" ref="F157">C157-D157</f>
        <v>209929230</v>
      </c>
      <c r="G157" t="s" s="1837">
        <v>2452</v>
      </c>
      <c r="H157" s="1789"/>
      <c r="I157" s="1789"/>
      <c r="J157" s="1789"/>
    </row>
    <row r="158" ht="15" customHeight="1">
      <c r="A158" t="s" s="1799">
        <v>2574</v>
      </c>
      <c r="B158" t="s" s="1800">
        <v>2575</v>
      </c>
      <c r="C158" s="1801">
        <v>4145000</v>
      </c>
      <c r="D158" s="1801">
        <v>0</v>
      </c>
      <c r="E158" s="1789"/>
      <c r="F158" s="1836" cm="1">
        <f t="array" ref="F158">C158-D158</f>
        <v>4145000</v>
      </c>
      <c r="G158" t="s" s="1837">
        <v>2452</v>
      </c>
      <c r="H158" s="1789"/>
      <c r="I158" s="1789"/>
      <c r="J158" s="1789"/>
    </row>
    <row r="159" ht="15" customHeight="1">
      <c r="A159" t="s" s="1799">
        <v>2576</v>
      </c>
      <c r="B159" t="s" s="1800">
        <v>3641</v>
      </c>
      <c r="C159" s="1801">
        <v>9300000</v>
      </c>
      <c r="D159" s="1801">
        <v>0</v>
      </c>
      <c r="E159" s="1789"/>
      <c r="F159" s="1836" cm="1">
        <f t="array" ref="F159">C159-D159</f>
        <v>9300000</v>
      </c>
      <c r="G159" t="s" s="1837">
        <v>2452</v>
      </c>
      <c r="H159" s="1789"/>
      <c r="I159" s="1789"/>
      <c r="J159" s="1789"/>
    </row>
    <row r="160" ht="15" customHeight="1">
      <c r="A160" t="s" s="1799">
        <v>2578</v>
      </c>
      <c r="B160" t="s" s="1800">
        <v>2256</v>
      </c>
      <c r="C160" s="1801">
        <v>20000000</v>
      </c>
      <c r="D160" s="1801">
        <v>0</v>
      </c>
      <c r="E160" s="1789"/>
      <c r="F160" s="1836" cm="1">
        <f t="array" ref="F160">C160-D160</f>
        <v>20000000</v>
      </c>
      <c r="G160" s="1836"/>
      <c r="H160" s="1789"/>
      <c r="I160" s="1789"/>
      <c r="J160" s="1789"/>
    </row>
    <row r="161" ht="15" customHeight="1">
      <c r="A161" t="s" s="1799">
        <v>2579</v>
      </c>
      <c r="B161" t="s" s="1800">
        <v>3642</v>
      </c>
      <c r="C161" s="1801">
        <v>120918900</v>
      </c>
      <c r="D161" s="1801">
        <v>0</v>
      </c>
      <c r="E161" s="1789"/>
      <c r="F161" s="1836" cm="1">
        <f t="array" ref="F161">C161-D161</f>
        <v>120918900</v>
      </c>
      <c r="G161" t="s" s="1837">
        <v>2452</v>
      </c>
      <c r="H161" s="1789"/>
      <c r="I161" s="1789"/>
      <c r="J161" s="1789"/>
    </row>
    <row r="162" ht="15" customHeight="1">
      <c r="A162" t="s" s="1799">
        <v>2581</v>
      </c>
      <c r="B162" t="s" s="1800">
        <v>2582</v>
      </c>
      <c r="C162" s="1801">
        <v>268522347</v>
      </c>
      <c r="D162" s="1801">
        <v>0</v>
      </c>
      <c r="E162" s="1789"/>
      <c r="F162" s="1836" cm="1">
        <f t="array" ref="F162">C162-D162</f>
        <v>268522347</v>
      </c>
      <c r="G162" t="s" s="1837">
        <v>2452</v>
      </c>
      <c r="H162" s="1789"/>
      <c r="I162" s="1789"/>
      <c r="J162" s="1789"/>
    </row>
    <row r="163" ht="15" customHeight="1">
      <c r="A163" t="s" s="1799">
        <v>2583</v>
      </c>
      <c r="B163" t="s" s="1800">
        <v>2584</v>
      </c>
      <c r="C163" s="1801">
        <v>200000</v>
      </c>
      <c r="D163" s="1801">
        <v>0</v>
      </c>
      <c r="E163" s="1789"/>
      <c r="F163" s="1836" cm="1">
        <f t="array" ref="F163">C163-D163</f>
        <v>200000</v>
      </c>
      <c r="G163" t="s" s="1837">
        <v>2452</v>
      </c>
      <c r="H163" s="1789"/>
      <c r="I163" s="1789"/>
      <c r="J163" s="1789"/>
    </row>
    <row r="164" ht="15" customHeight="1">
      <c r="A164" t="s" s="1799">
        <v>2585</v>
      </c>
      <c r="B164" t="s" s="1800">
        <v>2586</v>
      </c>
      <c r="C164" s="1801">
        <v>24178823</v>
      </c>
      <c r="D164" s="1801">
        <v>0</v>
      </c>
      <c r="E164" s="1789"/>
      <c r="F164" s="1836" cm="1">
        <f t="array" ref="F164">C164-D164</f>
        <v>24178823</v>
      </c>
      <c r="G164" t="s" s="1837">
        <v>2452</v>
      </c>
      <c r="H164" s="1789"/>
      <c r="I164" s="1789"/>
      <c r="J164" s="1789"/>
    </row>
    <row r="165" ht="15" customHeight="1">
      <c r="A165" t="s" s="1799">
        <v>2587</v>
      </c>
      <c r="B165" t="s" s="1800">
        <v>2588</v>
      </c>
      <c r="C165" s="1801">
        <v>8618000</v>
      </c>
      <c r="D165" s="1801">
        <v>0</v>
      </c>
      <c r="E165" s="1789"/>
      <c r="F165" s="1836" cm="1">
        <f t="array" ref="F165">C165-D165</f>
        <v>8618000</v>
      </c>
      <c r="G165" t="s" s="1837">
        <v>2452</v>
      </c>
      <c r="H165" s="1789"/>
      <c r="I165" s="1789"/>
      <c r="J165" s="1789"/>
    </row>
    <row r="166" ht="15" customHeight="1">
      <c r="A166" t="s" s="1799">
        <v>2589</v>
      </c>
      <c r="B166" t="s" s="1800">
        <v>3643</v>
      </c>
      <c r="C166" s="1801">
        <v>184008390</v>
      </c>
      <c r="D166" s="1801">
        <v>0</v>
      </c>
      <c r="E166" s="1789"/>
      <c r="F166" s="1836" cm="1">
        <f t="array" ref="F166">C166-D166</f>
        <v>184008390</v>
      </c>
      <c r="G166" t="s" s="1837">
        <v>2452</v>
      </c>
      <c r="H166" s="1789"/>
      <c r="I166" s="1789"/>
      <c r="J166" s="1789"/>
    </row>
    <row r="167" ht="15" customHeight="1">
      <c r="A167" t="s" s="1799">
        <v>2591</v>
      </c>
      <c r="B167" t="s" s="1800">
        <v>3644</v>
      </c>
      <c r="C167" s="1801">
        <v>1000000</v>
      </c>
      <c r="D167" s="1801">
        <v>0</v>
      </c>
      <c r="E167" s="1789"/>
      <c r="F167" s="1836" cm="1">
        <f t="array" ref="F167">C167-D167</f>
        <v>1000000</v>
      </c>
      <c r="G167" t="s" s="1837">
        <v>2452</v>
      </c>
      <c r="H167" s="1789"/>
      <c r="I167" s="1789"/>
      <c r="J167" s="1789"/>
    </row>
    <row r="168" ht="15" customHeight="1">
      <c r="A168" t="s" s="1799">
        <v>2593</v>
      </c>
      <c r="B168" t="s" s="1800">
        <v>2594</v>
      </c>
      <c r="C168" s="1801">
        <v>96522930</v>
      </c>
      <c r="D168" s="1801">
        <v>0</v>
      </c>
      <c r="E168" s="1789"/>
      <c r="F168" s="1836" cm="1">
        <f t="array" ref="F168">C168-D168</f>
        <v>96522930</v>
      </c>
      <c r="G168" t="s" s="1837">
        <v>2452</v>
      </c>
      <c r="H168" s="1789"/>
      <c r="I168" s="1789"/>
      <c r="J168" s="1789"/>
    </row>
    <row r="169" ht="15" customHeight="1">
      <c r="A169" t="s" s="1799">
        <v>2593</v>
      </c>
      <c r="B169" t="s" s="1800">
        <v>2595</v>
      </c>
      <c r="C169" s="1801">
        <v>60000000</v>
      </c>
      <c r="D169" s="1801">
        <v>0</v>
      </c>
      <c r="E169" s="1789"/>
      <c r="F169" s="1836" cm="1">
        <f t="array" ref="F169">C169-D169</f>
        <v>60000000</v>
      </c>
      <c r="G169" t="s" s="1837">
        <v>2452</v>
      </c>
      <c r="H169" s="1789"/>
      <c r="I169" s="1789"/>
      <c r="J169" s="1789"/>
    </row>
    <row r="170" ht="15" customHeight="1">
      <c r="A170" t="s" s="1799">
        <v>2596</v>
      </c>
      <c r="B170" t="s" s="1800">
        <v>2597</v>
      </c>
      <c r="C170" s="1801">
        <v>90620000</v>
      </c>
      <c r="D170" s="1801">
        <v>0</v>
      </c>
      <c r="E170" s="1789"/>
      <c r="F170" s="1836" cm="1">
        <f t="array" ref="F170">C170-D170</f>
        <v>90620000</v>
      </c>
      <c r="G170" t="s" s="1837">
        <v>2452</v>
      </c>
      <c r="H170" s="1789"/>
      <c r="I170" s="1789"/>
      <c r="J170" s="1789"/>
    </row>
    <row r="171" ht="15" customHeight="1">
      <c r="A171" t="s" s="1799">
        <v>2596</v>
      </c>
      <c r="B171" t="s" s="1800">
        <v>2598</v>
      </c>
      <c r="C171" s="1801">
        <v>1494100000</v>
      </c>
      <c r="D171" s="1801">
        <v>0</v>
      </c>
      <c r="E171" s="1789"/>
      <c r="F171" s="1836" cm="1">
        <f t="array" ref="F171">C171-D171</f>
        <v>1494100000</v>
      </c>
      <c r="G171" t="s" s="1837">
        <v>2452</v>
      </c>
      <c r="H171" s="1789"/>
      <c r="I171" s="1789"/>
      <c r="J171" s="1789"/>
    </row>
    <row r="172" ht="15" customHeight="1">
      <c r="A172" t="s" s="1799">
        <v>2599</v>
      </c>
      <c r="B172" t="s" s="1800">
        <v>2600</v>
      </c>
      <c r="C172" s="1801">
        <v>11000000</v>
      </c>
      <c r="D172" s="1801">
        <v>0</v>
      </c>
      <c r="E172" s="1789"/>
      <c r="F172" s="1836" cm="1">
        <f t="array" ref="F172">C172-D172</f>
        <v>11000000</v>
      </c>
      <c r="G172" t="s" s="1837">
        <v>2452</v>
      </c>
      <c r="H172" s="1789"/>
      <c r="I172" s="1789"/>
      <c r="J172" s="1789"/>
    </row>
    <row r="173" ht="15" customHeight="1">
      <c r="A173" t="s" s="1799">
        <v>2601</v>
      </c>
      <c r="B173" t="s" s="1800">
        <v>2602</v>
      </c>
      <c r="C173" s="1801">
        <v>19000000</v>
      </c>
      <c r="D173" s="1801">
        <v>0</v>
      </c>
      <c r="E173" s="1789"/>
      <c r="F173" s="1836" cm="1">
        <f t="array" ref="F173">C173-D173</f>
        <v>19000000</v>
      </c>
      <c r="G173" t="s" s="1837">
        <v>2452</v>
      </c>
      <c r="H173" s="1789"/>
      <c r="I173" s="1789"/>
      <c r="J173" s="1789"/>
    </row>
    <row r="174" ht="15" customHeight="1">
      <c r="A174" t="s" s="1799">
        <v>2603</v>
      </c>
      <c r="B174" t="s" s="1800">
        <v>2604</v>
      </c>
      <c r="C174" s="1801">
        <v>42000000</v>
      </c>
      <c r="D174" s="1801">
        <v>0</v>
      </c>
      <c r="E174" s="1789"/>
      <c r="F174" s="1836" cm="1">
        <f t="array" ref="F174">C174-D174</f>
        <v>42000000</v>
      </c>
      <c r="G174" t="s" s="1837">
        <v>2452</v>
      </c>
      <c r="H174" s="1789"/>
      <c r="I174" s="1789"/>
      <c r="J174" s="1789"/>
    </row>
    <row r="175" ht="15" customHeight="1">
      <c r="A175" t="s" s="1799">
        <v>2605</v>
      </c>
      <c r="B175" t="s" s="1800">
        <v>2606</v>
      </c>
      <c r="C175" s="1801">
        <v>50000000</v>
      </c>
      <c r="D175" s="1801">
        <v>0</v>
      </c>
      <c r="E175" s="1789"/>
      <c r="F175" s="1836" cm="1">
        <f t="array" ref="F175">C175-D175</f>
        <v>50000000</v>
      </c>
      <c r="G175" t="s" s="1837">
        <v>2452</v>
      </c>
      <c r="H175" s="1789"/>
      <c r="I175" s="1789"/>
      <c r="J175" s="1789"/>
    </row>
    <row r="176" ht="15" customHeight="1">
      <c r="A176" t="s" s="1799">
        <v>2607</v>
      </c>
      <c r="B176" t="s" s="1800">
        <v>2664</v>
      </c>
      <c r="C176" s="1801">
        <v>552954500</v>
      </c>
      <c r="D176" s="1801">
        <v>0</v>
      </c>
      <c r="E176" s="1789"/>
      <c r="F176" s="1836" cm="1">
        <f t="array" ref="F176">C176-D176</f>
        <v>552954500</v>
      </c>
      <c r="G176" t="s" s="1837">
        <v>2452</v>
      </c>
      <c r="H176" s="1789"/>
      <c r="I176" s="1789"/>
      <c r="J176" s="1789"/>
    </row>
    <row r="177" ht="15" customHeight="1">
      <c r="A177" t="s" s="1799">
        <v>2607</v>
      </c>
      <c r="B177" t="s" s="1800">
        <v>2608</v>
      </c>
      <c r="C177" s="1801">
        <v>240579620</v>
      </c>
      <c r="D177" s="1801">
        <v>0</v>
      </c>
      <c r="E177" s="1789"/>
      <c r="F177" s="1836" cm="1">
        <f t="array" ref="F177">C177-D177</f>
        <v>240579620</v>
      </c>
      <c r="G177" t="s" s="1837">
        <v>2452</v>
      </c>
      <c r="H177" s="1789"/>
      <c r="I177" s="1789"/>
      <c r="J177" s="1789"/>
    </row>
    <row r="178" ht="15" customHeight="1">
      <c r="A178" t="s" s="1799">
        <v>2609</v>
      </c>
      <c r="B178" t="s" s="1800">
        <v>2666</v>
      </c>
      <c r="C178" s="1801">
        <v>151985246.5</v>
      </c>
      <c r="D178" s="1801">
        <v>0</v>
      </c>
      <c r="E178" s="1789"/>
      <c r="F178" s="1836" cm="1">
        <f t="array" ref="F178">C178-D178</f>
        <v>151985246.5</v>
      </c>
      <c r="G178" t="s" s="1837">
        <v>2452</v>
      </c>
      <c r="H178" s="1789"/>
      <c r="I178" s="1789"/>
      <c r="J178" s="1789"/>
    </row>
    <row r="179" ht="15" customHeight="1">
      <c r="A179" t="s" s="1799">
        <v>2609</v>
      </c>
      <c r="B179" t="s" s="1800">
        <v>2610</v>
      </c>
      <c r="C179" s="1801">
        <v>166300000</v>
      </c>
      <c r="D179" s="1801">
        <v>0</v>
      </c>
      <c r="E179" s="1789"/>
      <c r="F179" s="1836" cm="1">
        <f t="array" ref="F179">C179-D179</f>
        <v>166300000</v>
      </c>
      <c r="G179" t="s" s="1837">
        <v>2452</v>
      </c>
      <c r="H179" s="1789"/>
      <c r="I179" s="1789"/>
      <c r="J179" s="1789"/>
    </row>
    <row r="180" ht="15" customHeight="1">
      <c r="A180" t="s" s="1799">
        <v>2611</v>
      </c>
      <c r="B180" t="s" s="1800">
        <v>2670</v>
      </c>
      <c r="C180" s="1801">
        <v>1500000</v>
      </c>
      <c r="D180" s="1801">
        <v>0</v>
      </c>
      <c r="E180" s="1789"/>
      <c r="F180" s="1836" cm="1">
        <f t="array" ref="F180">C180-D180</f>
        <v>1500000</v>
      </c>
      <c r="G180" t="s" s="1837">
        <v>2452</v>
      </c>
      <c r="H180" s="1789"/>
      <c r="I180" s="1789"/>
      <c r="J180" s="1789"/>
    </row>
    <row r="181" ht="15" customHeight="1">
      <c r="A181" t="s" s="1799">
        <v>2611</v>
      </c>
      <c r="B181" t="s" s="1800">
        <v>3645</v>
      </c>
      <c r="C181" s="1801">
        <v>136080000</v>
      </c>
      <c r="D181" s="1801">
        <v>0</v>
      </c>
      <c r="E181" s="1789"/>
      <c r="F181" s="1836" cm="1">
        <f t="array" ref="F181">C181-D181</f>
        <v>136080000</v>
      </c>
      <c r="G181" t="s" s="1837">
        <v>2452</v>
      </c>
      <c r="H181" s="1789"/>
      <c r="I181" s="1789"/>
      <c r="J181" s="1789"/>
    </row>
    <row r="182" ht="15" customHeight="1">
      <c r="A182" t="s" s="1799">
        <v>2613</v>
      </c>
      <c r="B182" t="s" s="1800">
        <v>2683</v>
      </c>
      <c r="C182" s="1801">
        <v>27500000</v>
      </c>
      <c r="D182" s="1801">
        <v>0</v>
      </c>
      <c r="E182" s="1789"/>
      <c r="F182" s="1836" cm="1">
        <f t="array" ref="F182">C182-D182</f>
        <v>27500000</v>
      </c>
      <c r="G182" t="s" s="1837">
        <v>2452</v>
      </c>
      <c r="H182" s="1789"/>
      <c r="I182" s="1789"/>
      <c r="J182" s="1789"/>
    </row>
    <row r="183" ht="15" customHeight="1">
      <c r="A183" t="s" s="1799">
        <v>2614</v>
      </c>
      <c r="B183" t="s" s="1800">
        <v>2615</v>
      </c>
      <c r="C183" s="1801">
        <v>250000000</v>
      </c>
      <c r="D183" s="1801">
        <v>0</v>
      </c>
      <c r="E183" s="1789"/>
      <c r="F183" s="1836" cm="1">
        <f t="array" ref="F183">C183-D183</f>
        <v>250000000</v>
      </c>
      <c r="G183" t="s" s="1837">
        <v>2452</v>
      </c>
      <c r="H183" s="1789"/>
      <c r="I183" s="1789"/>
      <c r="J183" s="1789"/>
    </row>
    <row r="184" ht="15" customHeight="1">
      <c r="A184" t="s" s="1799">
        <v>2616</v>
      </c>
      <c r="B184" t="s" s="1800">
        <v>2617</v>
      </c>
      <c r="C184" s="1801">
        <v>87790500</v>
      </c>
      <c r="D184" s="1801">
        <v>0</v>
      </c>
      <c r="E184" s="1789"/>
      <c r="F184" s="1836" cm="1">
        <f t="array" ref="F184">C184-D184</f>
        <v>87790500</v>
      </c>
      <c r="G184" t="s" s="1837">
        <v>2452</v>
      </c>
      <c r="H184" s="1789"/>
      <c r="I184" s="1789"/>
      <c r="J184" s="1789"/>
    </row>
    <row r="185" ht="15" customHeight="1">
      <c r="A185" t="s" s="1799">
        <v>2616</v>
      </c>
      <c r="B185" t="s" s="1800">
        <v>2618</v>
      </c>
      <c r="C185" s="1801">
        <v>224000000</v>
      </c>
      <c r="D185" s="1801">
        <v>0</v>
      </c>
      <c r="E185" s="1789"/>
      <c r="F185" s="1836" cm="1">
        <f t="array" ref="F185">C185-D185</f>
        <v>224000000</v>
      </c>
      <c r="G185" t="s" s="1837">
        <v>2452</v>
      </c>
      <c r="H185" s="1789"/>
      <c r="I185" s="1789"/>
      <c r="J185" s="1789"/>
    </row>
    <row r="186" ht="15" customHeight="1">
      <c r="A186" t="s" s="1799">
        <v>2619</v>
      </c>
      <c r="B186" t="s" s="1800">
        <v>3646</v>
      </c>
      <c r="C186" s="1801">
        <v>113855000</v>
      </c>
      <c r="D186" s="1801">
        <v>0</v>
      </c>
      <c r="E186" s="1789"/>
      <c r="F186" s="1836" cm="1">
        <f t="array" ref="F186">C186-D186</f>
        <v>113855000</v>
      </c>
      <c r="G186" t="s" s="1837">
        <v>2452</v>
      </c>
      <c r="H186" s="1789"/>
      <c r="I186" s="1789"/>
      <c r="J186" s="1789"/>
    </row>
    <row r="187" ht="15" customHeight="1">
      <c r="A187" t="s" s="1799">
        <v>2619</v>
      </c>
      <c r="B187" t="s" s="1800">
        <v>2621</v>
      </c>
      <c r="C187" s="1801">
        <v>85000000</v>
      </c>
      <c r="D187" s="1801">
        <v>0</v>
      </c>
      <c r="E187" s="1789"/>
      <c r="F187" s="1836" cm="1">
        <f t="array" ref="F187">C187-D187</f>
        <v>85000000</v>
      </c>
      <c r="G187" t="s" s="1837">
        <v>2452</v>
      </c>
      <c r="H187" s="1789"/>
      <c r="I187" s="1789"/>
      <c r="J187" s="1789"/>
    </row>
    <row r="188" ht="15" customHeight="1">
      <c r="A188" t="s" s="1799">
        <v>2622</v>
      </c>
      <c r="B188" t="s" s="1800">
        <v>2623</v>
      </c>
      <c r="C188" s="1801">
        <v>180433392</v>
      </c>
      <c r="D188" s="1801">
        <v>0</v>
      </c>
      <c r="E188" s="1789"/>
      <c r="F188" s="1836" cm="1">
        <f t="array" ref="F188">C188-D188</f>
        <v>180433392</v>
      </c>
      <c r="G188" t="s" s="1837">
        <v>2452</v>
      </c>
      <c r="H188" s="1789"/>
      <c r="I188" s="1789"/>
      <c r="J188" s="1789"/>
    </row>
    <row r="189" ht="15" customHeight="1">
      <c r="A189" t="s" s="1799">
        <v>2622</v>
      </c>
      <c r="B189" t="s" s="1800">
        <v>2624</v>
      </c>
      <c r="C189" s="1801">
        <v>15000000</v>
      </c>
      <c r="D189" s="1801">
        <v>0</v>
      </c>
      <c r="E189" s="1789"/>
      <c r="F189" s="1836" cm="1">
        <f t="array" ref="F189">C189-D189</f>
        <v>15000000</v>
      </c>
      <c r="G189" t="s" s="1837">
        <v>2452</v>
      </c>
      <c r="H189" s="1789"/>
      <c r="I189" s="1789"/>
      <c r="J189" s="1789"/>
    </row>
    <row r="190" ht="15" customHeight="1">
      <c r="A190" t="s" s="1799">
        <v>2625</v>
      </c>
      <c r="B190" t="s" s="1800">
        <v>2626</v>
      </c>
      <c r="C190" s="1801">
        <v>62102607</v>
      </c>
      <c r="D190" s="1801">
        <v>0</v>
      </c>
      <c r="E190" s="1789"/>
      <c r="F190" s="1836" cm="1">
        <f t="array" ref="F190">C190-D190</f>
        <v>62102607</v>
      </c>
      <c r="G190" t="s" s="1837">
        <v>2452</v>
      </c>
      <c r="H190" s="1789"/>
      <c r="I190" s="1789"/>
      <c r="J190" s="1789"/>
    </row>
    <row r="191" ht="15" customHeight="1">
      <c r="A191" t="s" s="1799">
        <v>2625</v>
      </c>
      <c r="B191" t="s" s="1800">
        <v>2627</v>
      </c>
      <c r="C191" s="1801">
        <v>28643531</v>
      </c>
      <c r="D191" s="1801">
        <v>0</v>
      </c>
      <c r="E191" s="1789"/>
      <c r="F191" s="1836" cm="1">
        <f t="array" ref="F191">C191-D191</f>
        <v>28643531</v>
      </c>
      <c r="G191" t="s" s="1837">
        <v>2452</v>
      </c>
      <c r="H191" s="1789"/>
      <c r="I191" s="1789"/>
      <c r="J191" s="1789"/>
    </row>
    <row r="192" ht="15" customHeight="1">
      <c r="A192" t="s" s="1799">
        <v>2628</v>
      </c>
      <c r="B192" t="s" s="1800">
        <v>2629</v>
      </c>
      <c r="C192" s="1801">
        <v>182015581.52</v>
      </c>
      <c r="D192" s="1801">
        <v>0</v>
      </c>
      <c r="E192" s="1789"/>
      <c r="F192" s="1836" cm="1">
        <f t="array" ref="F192">C192-D192</f>
        <v>182015581.52</v>
      </c>
      <c r="G192" t="s" s="1837">
        <v>2452</v>
      </c>
      <c r="H192" s="1789"/>
      <c r="I192" s="1789"/>
      <c r="J192" s="1789"/>
    </row>
    <row r="193" ht="15" customHeight="1">
      <c r="A193" t="s" s="1799">
        <v>2628</v>
      </c>
      <c r="B193" t="s" s="1800">
        <v>2630</v>
      </c>
      <c r="C193" s="1801">
        <v>50000000</v>
      </c>
      <c r="D193" s="1801">
        <v>0</v>
      </c>
      <c r="E193" s="1789"/>
      <c r="F193" s="1836" cm="1">
        <f t="array" ref="F193">C193-D193</f>
        <v>50000000</v>
      </c>
      <c r="G193" t="s" s="1837">
        <v>2452</v>
      </c>
      <c r="H193" s="1789"/>
      <c r="I193" s="1789"/>
      <c r="J193" s="1789"/>
    </row>
    <row r="194" ht="15" customHeight="1">
      <c r="A194" t="s" s="1799">
        <v>2631</v>
      </c>
      <c r="B194" t="s" s="1800">
        <v>2632</v>
      </c>
      <c r="C194" s="1801">
        <v>78107792</v>
      </c>
      <c r="D194" s="1801">
        <v>0</v>
      </c>
      <c r="E194" s="1789"/>
      <c r="F194" s="1836" cm="1">
        <f t="array" ref="F194">C194-D194</f>
        <v>78107792</v>
      </c>
      <c r="G194" t="s" s="1837">
        <v>2452</v>
      </c>
      <c r="H194" s="1789"/>
      <c r="I194" s="1789"/>
      <c r="J194" s="1789"/>
    </row>
    <row r="195" ht="15" customHeight="1">
      <c r="A195" t="s" s="1799">
        <v>2631</v>
      </c>
      <c r="B195" t="s" s="1800">
        <v>2633</v>
      </c>
      <c r="C195" s="1801">
        <v>19000000</v>
      </c>
      <c r="D195" s="1801">
        <v>0</v>
      </c>
      <c r="E195" s="1789"/>
      <c r="F195" s="1836" cm="1">
        <f t="array" ref="F195">C195-D195</f>
        <v>19000000</v>
      </c>
      <c r="G195" t="s" s="1837">
        <v>2452</v>
      </c>
      <c r="H195" s="1789"/>
      <c r="I195" s="1789"/>
      <c r="J195" s="1789"/>
    </row>
    <row r="196" ht="15" customHeight="1">
      <c r="A196" t="s" s="1799">
        <v>2634</v>
      </c>
      <c r="B196" t="s" s="1800">
        <v>2257</v>
      </c>
      <c r="C196" s="1801">
        <v>50000000</v>
      </c>
      <c r="D196" s="1801">
        <v>0</v>
      </c>
      <c r="E196" s="1789"/>
      <c r="F196" s="1836" cm="1">
        <f t="array" ref="F196">C196-D196</f>
        <v>50000000</v>
      </c>
      <c r="G196" s="1836"/>
      <c r="H196" s="1789"/>
      <c r="I196" s="1789"/>
      <c r="J196" s="1789"/>
    </row>
    <row r="197" ht="15" customHeight="1">
      <c r="A197" t="s" s="1799">
        <v>2635</v>
      </c>
      <c r="B197" t="s" s="1800">
        <v>2636</v>
      </c>
      <c r="C197" s="1801">
        <v>21000000</v>
      </c>
      <c r="D197" s="1801">
        <v>0</v>
      </c>
      <c r="E197" s="1789"/>
      <c r="F197" s="1836" cm="1">
        <f t="array" ref="F197">C197-D197</f>
        <v>21000000</v>
      </c>
      <c r="G197" t="s" s="1837">
        <v>2452</v>
      </c>
      <c r="H197" s="1789"/>
      <c r="I197" s="1789"/>
      <c r="J197" s="1789"/>
    </row>
    <row r="198" ht="15" customHeight="1">
      <c r="A198" t="s" s="1799">
        <v>2637</v>
      </c>
      <c r="B198" t="s" s="1800">
        <v>2638</v>
      </c>
      <c r="C198" s="1801">
        <v>329000000</v>
      </c>
      <c r="D198" s="1801">
        <v>0</v>
      </c>
      <c r="E198" s="1789"/>
      <c r="F198" s="1836" cm="1">
        <f t="array" ref="F198">C198-D198</f>
        <v>329000000</v>
      </c>
      <c r="G198" t="s" s="1837">
        <v>2452</v>
      </c>
      <c r="H198" s="1789"/>
      <c r="I198" s="1789"/>
      <c r="J198" s="1789"/>
    </row>
    <row r="199" ht="15" customHeight="1">
      <c r="A199" t="s" s="1799">
        <v>2639</v>
      </c>
      <c r="B199" t="s" s="1800">
        <v>2640</v>
      </c>
      <c r="C199" s="1801">
        <v>179350000</v>
      </c>
      <c r="D199" s="1801">
        <v>0</v>
      </c>
      <c r="E199" s="1789"/>
      <c r="F199" s="1836" cm="1">
        <f t="array" ref="F199">C199-D199</f>
        <v>179350000</v>
      </c>
      <c r="G199" t="s" s="1837">
        <v>2452</v>
      </c>
      <c r="H199" s="1789"/>
      <c r="I199" s="1789"/>
      <c r="J199" s="1789"/>
    </row>
    <row r="200" ht="15" customHeight="1">
      <c r="A200" t="s" s="1799">
        <v>2641</v>
      </c>
      <c r="B200" t="s" s="1800">
        <v>2642</v>
      </c>
      <c r="C200" s="1801">
        <v>100000000</v>
      </c>
      <c r="D200" s="1801">
        <v>0</v>
      </c>
      <c r="E200" s="1789"/>
      <c r="F200" s="1836" cm="1">
        <f t="array" ref="F200">C200-D200</f>
        <v>100000000</v>
      </c>
      <c r="G200" t="s" s="1837">
        <v>2452</v>
      </c>
      <c r="H200" s="1789"/>
      <c r="I200" s="1789"/>
      <c r="J200" s="1789"/>
    </row>
    <row r="201" ht="15" customHeight="1">
      <c r="A201" t="s" s="1799">
        <v>2643</v>
      </c>
      <c r="B201" t="s" s="1800">
        <v>2644</v>
      </c>
      <c r="C201" s="1801">
        <v>137672125</v>
      </c>
      <c r="D201" s="1801">
        <v>0</v>
      </c>
      <c r="E201" s="1789"/>
      <c r="F201" s="1836" cm="1">
        <f t="array" ref="F201">C201-D201</f>
        <v>137672125</v>
      </c>
      <c r="G201" t="s" s="1837">
        <v>2452</v>
      </c>
      <c r="H201" s="1789"/>
      <c r="I201" s="1789"/>
      <c r="J201" s="1789"/>
    </row>
    <row r="202" ht="15" customHeight="1">
      <c r="A202" t="s" s="1799">
        <v>2645</v>
      </c>
      <c r="B202" t="s" s="1800">
        <v>3647</v>
      </c>
      <c r="C202" s="1801">
        <v>232076975</v>
      </c>
      <c r="D202" s="1801">
        <v>0</v>
      </c>
      <c r="E202" s="1789"/>
      <c r="F202" s="1836" cm="1">
        <f t="array" ref="F202">C202-D202</f>
        <v>232076975</v>
      </c>
      <c r="G202" t="s" s="1837">
        <v>2452</v>
      </c>
      <c r="H202" s="1789"/>
      <c r="I202" s="1789"/>
      <c r="J202" s="1789"/>
    </row>
    <row r="203" ht="15" customHeight="1">
      <c r="A203" t="s" s="1799">
        <v>2647</v>
      </c>
      <c r="B203" t="s" s="1800">
        <v>2648</v>
      </c>
      <c r="C203" s="1801">
        <v>264107000</v>
      </c>
      <c r="D203" s="1801">
        <v>0</v>
      </c>
      <c r="E203" s="1789"/>
      <c r="F203" s="1836" cm="1">
        <f t="array" ref="F203">C203-D203</f>
        <v>264107000</v>
      </c>
      <c r="G203" t="s" s="1837">
        <v>2452</v>
      </c>
      <c r="H203" s="1789"/>
      <c r="I203" s="1789"/>
      <c r="J203" s="1789"/>
    </row>
    <row r="204" ht="15" customHeight="1">
      <c r="A204" t="s" s="1799">
        <v>2649</v>
      </c>
      <c r="B204" t="s" s="1800">
        <v>2650</v>
      </c>
      <c r="C204" s="1801">
        <v>44000000</v>
      </c>
      <c r="D204" s="1801">
        <v>0</v>
      </c>
      <c r="E204" s="1789"/>
      <c r="F204" s="1836" cm="1">
        <f t="array" ref="F204">C204-D204</f>
        <v>44000000</v>
      </c>
      <c r="G204" t="s" s="1837">
        <v>2452</v>
      </c>
      <c r="H204" s="1789"/>
      <c r="I204" s="1789"/>
      <c r="J204" s="1789"/>
    </row>
    <row r="205" ht="15" customHeight="1">
      <c r="A205" t="s" s="1799">
        <v>2651</v>
      </c>
      <c r="B205" t="s" s="1800">
        <v>2652</v>
      </c>
      <c r="C205" s="1801">
        <v>0</v>
      </c>
      <c r="D205" s="1801">
        <v>0</v>
      </c>
      <c r="E205" s="1789"/>
      <c r="F205" s="1836" cm="1">
        <f t="array" ref="F205">C205-D205</f>
        <v>0</v>
      </c>
      <c r="G205" t="s" s="1837">
        <v>2452</v>
      </c>
      <c r="H205" s="1789"/>
      <c r="I205" s="1789"/>
      <c r="J205" s="1789"/>
    </row>
    <row r="206" ht="15" customHeight="1">
      <c r="A206" t="s" s="1799">
        <v>2653</v>
      </c>
      <c r="B206" t="s" s="1800">
        <v>2654</v>
      </c>
      <c r="C206" s="1801">
        <v>65500000</v>
      </c>
      <c r="D206" s="1801">
        <v>0</v>
      </c>
      <c r="E206" s="1789"/>
      <c r="F206" s="1836" cm="1">
        <f t="array" ref="F206">C206-D206</f>
        <v>65500000</v>
      </c>
      <c r="G206" t="s" s="1837">
        <v>2452</v>
      </c>
      <c r="H206" s="1789"/>
      <c r="I206" s="1789"/>
      <c r="J206" s="1789"/>
    </row>
    <row r="207" ht="15" customHeight="1">
      <c r="A207" t="s" s="1799">
        <v>2655</v>
      </c>
      <c r="B207" t="s" s="1800">
        <v>2656</v>
      </c>
      <c r="C207" s="1801">
        <v>184319222</v>
      </c>
      <c r="D207" s="1801">
        <v>0</v>
      </c>
      <c r="E207" s="1789"/>
      <c r="F207" s="1836" cm="1">
        <f t="array" ref="F207">C207-D207</f>
        <v>184319222</v>
      </c>
      <c r="G207" t="s" s="1837">
        <v>2452</v>
      </c>
      <c r="H207" s="1789"/>
      <c r="I207" s="1789"/>
      <c r="J207" s="1789"/>
    </row>
    <row r="208" ht="15" customHeight="1">
      <c r="A208" t="s" s="1799">
        <v>2659</v>
      </c>
      <c r="B208" t="s" s="1800">
        <v>2660</v>
      </c>
      <c r="C208" s="1801">
        <v>0</v>
      </c>
      <c r="D208" s="1801">
        <v>0</v>
      </c>
      <c r="E208" s="1789"/>
      <c r="F208" s="1836" cm="1">
        <f t="array" ref="F208">C208-D208</f>
        <v>0</v>
      </c>
      <c r="G208" t="s" s="1837">
        <v>2452</v>
      </c>
      <c r="H208" s="1789"/>
      <c r="I208" s="1789"/>
      <c r="J208" s="1789"/>
    </row>
    <row r="209" ht="15" customHeight="1">
      <c r="A209" t="s" s="1799">
        <v>2667</v>
      </c>
      <c r="B209" t="s" s="1800">
        <v>2668</v>
      </c>
      <c r="C209" s="1801">
        <v>0</v>
      </c>
      <c r="D209" s="1801">
        <v>0</v>
      </c>
      <c r="E209" s="1789"/>
      <c r="F209" s="1836" cm="1">
        <f t="array" ref="F209">C209-D209</f>
        <v>0</v>
      </c>
      <c r="G209" t="s" s="1837">
        <v>2452</v>
      </c>
      <c r="H209" s="1789"/>
      <c r="I209" s="1789"/>
      <c r="J209" s="1789"/>
    </row>
    <row r="210" ht="15" customHeight="1">
      <c r="A210" t="s" s="1799">
        <v>2671</v>
      </c>
      <c r="B210" t="s" s="1800">
        <v>3648</v>
      </c>
      <c r="C210" s="1801">
        <v>60000000</v>
      </c>
      <c r="D210" s="1801">
        <v>0</v>
      </c>
      <c r="E210" s="1789"/>
      <c r="F210" s="1836" cm="1">
        <f t="array" ref="F210">C210-D210</f>
        <v>60000000</v>
      </c>
      <c r="G210" t="s" s="1837">
        <v>2452</v>
      </c>
      <c r="H210" s="1789"/>
      <c r="I210" s="1789"/>
      <c r="J210" s="1789"/>
    </row>
    <row r="211" ht="15" customHeight="1">
      <c r="A211" t="s" s="1799">
        <v>2673</v>
      </c>
      <c r="B211" t="s" s="1800">
        <v>2674</v>
      </c>
      <c r="C211" s="1801">
        <v>2500000</v>
      </c>
      <c r="D211" s="1801">
        <v>0</v>
      </c>
      <c r="E211" s="1789"/>
      <c r="F211" s="1836" cm="1">
        <f t="array" ref="F211">C211-D211</f>
        <v>2500000</v>
      </c>
      <c r="G211" t="s" s="1837">
        <v>2452</v>
      </c>
      <c r="H211" s="1789"/>
      <c r="I211" s="1789"/>
      <c r="J211" s="1789"/>
    </row>
    <row r="212" ht="15" customHeight="1">
      <c r="A212" t="s" s="1799">
        <v>2675</v>
      </c>
      <c r="B212" t="s" s="1800">
        <v>2676</v>
      </c>
      <c r="C212" s="1801">
        <v>55000000</v>
      </c>
      <c r="D212" s="1801">
        <v>0</v>
      </c>
      <c r="E212" s="1789"/>
      <c r="F212" s="1836" cm="1">
        <f t="array" ref="F212">C212-D212</f>
        <v>55000000</v>
      </c>
      <c r="G212" t="s" s="1837">
        <v>2452</v>
      </c>
      <c r="H212" s="1789"/>
      <c r="I212" s="1789"/>
      <c r="J212" s="1789"/>
    </row>
    <row r="213" ht="15" customHeight="1">
      <c r="A213" t="s" s="1799">
        <v>2677</v>
      </c>
      <c r="B213" t="s" s="1800">
        <v>2258</v>
      </c>
      <c r="C213" s="1801">
        <v>350000000</v>
      </c>
      <c r="D213" s="1801">
        <v>0</v>
      </c>
      <c r="E213" s="1789"/>
      <c r="F213" s="1836" cm="1">
        <f t="array" ref="F213">C213-D213</f>
        <v>350000000</v>
      </c>
      <c r="G213" s="1836"/>
      <c r="H213" s="1789"/>
      <c r="I213" s="1789"/>
      <c r="J213" s="1789"/>
    </row>
    <row r="214" ht="15" customHeight="1">
      <c r="A214" t="s" s="1799">
        <v>2678</v>
      </c>
      <c r="B214" t="s" s="1800">
        <v>2679</v>
      </c>
      <c r="C214" s="1801">
        <v>9422939</v>
      </c>
      <c r="D214" s="1801">
        <v>0</v>
      </c>
      <c r="E214" s="1789"/>
      <c r="F214" s="1836" cm="1">
        <f t="array" ref="F214">C214-D214</f>
        <v>9422939</v>
      </c>
      <c r="G214" t="s" s="1837">
        <v>2452</v>
      </c>
      <c r="H214" s="1789"/>
      <c r="I214" s="1789"/>
      <c r="J214" s="1789"/>
    </row>
    <row r="215" ht="15" customHeight="1">
      <c r="A215" t="s" s="1799">
        <v>2692</v>
      </c>
      <c r="B215" t="s" s="1800">
        <v>2693</v>
      </c>
      <c r="C215" s="1801">
        <v>592575792</v>
      </c>
      <c r="D215" s="1801">
        <v>0</v>
      </c>
      <c r="E215" s="1789"/>
      <c r="F215" s="1836" cm="1">
        <f t="array" ref="F215">C215-D215</f>
        <v>592575792</v>
      </c>
      <c r="G215" s="1836"/>
      <c r="H215" s="1789"/>
      <c r="I215" s="1789"/>
      <c r="J215" s="1789"/>
    </row>
    <row r="216" ht="15" customHeight="1">
      <c r="A216" t="s" s="1799">
        <v>2700</v>
      </c>
      <c r="B216" t="s" s="1800">
        <v>2701</v>
      </c>
      <c r="C216" s="1801">
        <v>5636544</v>
      </c>
      <c r="D216" s="1801">
        <v>0</v>
      </c>
      <c r="E216" s="1789"/>
      <c r="F216" s="1836" cm="1">
        <f t="array" ref="F216">C216-D216</f>
        <v>5636544</v>
      </c>
      <c r="G216" t="s" s="1837">
        <v>2452</v>
      </c>
      <c r="H216" s="1789"/>
      <c r="I216" s="1789"/>
      <c r="J216" s="1789"/>
    </row>
    <row r="217" ht="15" customHeight="1">
      <c r="A217" t="s" s="1799">
        <v>2702</v>
      </c>
      <c r="B217" t="s" s="1800">
        <v>2703</v>
      </c>
      <c r="C217" s="1801">
        <v>15613034</v>
      </c>
      <c r="D217" s="1801">
        <v>0</v>
      </c>
      <c r="E217" s="1789"/>
      <c r="F217" s="1836" cm="1">
        <f t="array" ref="F217">C217-D217</f>
        <v>15613034</v>
      </c>
      <c r="G217" t="s" s="1837">
        <v>2452</v>
      </c>
      <c r="H217" s="1789"/>
      <c r="I217" s="1789"/>
      <c r="J217" s="1789"/>
    </row>
    <row r="218" ht="15" customHeight="1">
      <c r="A218" t="s" s="1799">
        <v>2706</v>
      </c>
      <c r="B218" t="s" s="1800">
        <v>2707</v>
      </c>
      <c r="C218" s="1801">
        <v>85837000</v>
      </c>
      <c r="D218" s="1801">
        <v>0</v>
      </c>
      <c r="E218" s="1789"/>
      <c r="F218" s="1836" cm="1">
        <f t="array" ref="F218">C218-D218</f>
        <v>85837000</v>
      </c>
      <c r="G218" t="s" s="1837">
        <v>2452</v>
      </c>
      <c r="H218" s="1789"/>
      <c r="I218" s="1789"/>
      <c r="J218" s="1789"/>
    </row>
    <row r="219" ht="15" customHeight="1">
      <c r="A219" t="s" s="1799">
        <v>2708</v>
      </c>
      <c r="B219" t="s" s="1800">
        <v>2709</v>
      </c>
      <c r="C219" s="1801">
        <v>24000000</v>
      </c>
      <c r="D219" s="1801">
        <v>0</v>
      </c>
      <c r="E219" s="1789"/>
      <c r="F219" s="1836" cm="1">
        <f t="array" ref="F219">C219-D219</f>
        <v>24000000</v>
      </c>
      <c r="G219" t="s" s="1837">
        <v>2452</v>
      </c>
      <c r="H219" s="1789"/>
      <c r="I219" s="1789"/>
      <c r="J219" s="1789"/>
    </row>
    <row r="220" ht="15" customHeight="1">
      <c r="A220" t="s" s="1799">
        <v>2710</v>
      </c>
      <c r="B220" t="s" s="1800">
        <v>3649</v>
      </c>
      <c r="C220" s="1801">
        <v>10000000</v>
      </c>
      <c r="D220" s="1801">
        <v>0</v>
      </c>
      <c r="E220" s="1789"/>
      <c r="F220" s="1836" cm="1">
        <f t="array" ref="F220">C220-D220</f>
        <v>10000000</v>
      </c>
      <c r="G220" t="s" s="1837">
        <v>2452</v>
      </c>
      <c r="H220" s="1789"/>
      <c r="I220" s="1789"/>
      <c r="J220" s="1789"/>
    </row>
    <row r="221" ht="15" customHeight="1">
      <c r="A221" t="s" s="1799">
        <v>2710</v>
      </c>
      <c r="B221" t="s" s="1800">
        <v>2711</v>
      </c>
      <c r="C221" s="1801">
        <v>241000000</v>
      </c>
      <c r="D221" s="1801">
        <v>0</v>
      </c>
      <c r="E221" s="1789"/>
      <c r="F221" s="1836" cm="1">
        <f t="array" ref="F221">C221-D221</f>
        <v>241000000</v>
      </c>
      <c r="G221" t="s" s="1837">
        <v>2452</v>
      </c>
      <c r="H221" s="1789"/>
      <c r="I221" s="1789"/>
      <c r="J221" s="1789"/>
    </row>
    <row r="222" ht="15" customHeight="1">
      <c r="A222" t="s" s="1799">
        <v>2712</v>
      </c>
      <c r="B222" t="s" s="1800">
        <v>2713</v>
      </c>
      <c r="C222" s="1801">
        <v>40000000</v>
      </c>
      <c r="D222" s="1801">
        <v>0</v>
      </c>
      <c r="E222" s="1789"/>
      <c r="F222" s="1836" cm="1">
        <f t="array" ref="F222">C222-D222</f>
        <v>40000000</v>
      </c>
      <c r="G222" t="s" s="1837">
        <v>2452</v>
      </c>
      <c r="H222" s="1789"/>
      <c r="I222" s="1789"/>
      <c r="J222" s="1789"/>
    </row>
    <row r="223" ht="15" customHeight="1">
      <c r="A223" t="s" s="1799">
        <v>2714</v>
      </c>
      <c r="B223" t="s" s="1800">
        <v>3650</v>
      </c>
      <c r="C223" s="1801">
        <v>236418999</v>
      </c>
      <c r="D223" s="1801">
        <v>0</v>
      </c>
      <c r="E223" s="1789"/>
      <c r="F223" s="1836" cm="1">
        <f t="array" ref="F223">C223-D223</f>
        <v>236418999</v>
      </c>
      <c r="G223" t="s" s="1837">
        <v>2452</v>
      </c>
      <c r="H223" s="1789"/>
      <c r="I223" s="1789"/>
      <c r="J223" s="1789"/>
    </row>
    <row r="224" ht="15" customHeight="1">
      <c r="A224" t="s" s="1799">
        <v>2716</v>
      </c>
      <c r="B224" t="s" s="1800">
        <v>2717</v>
      </c>
      <c r="C224" s="1801">
        <v>21729700</v>
      </c>
      <c r="D224" s="1801">
        <v>0</v>
      </c>
      <c r="E224" s="1789"/>
      <c r="F224" s="1836" cm="1">
        <f t="array" ref="F224">C224-D224</f>
        <v>21729700</v>
      </c>
      <c r="G224" s="1836"/>
      <c r="H224" s="1789"/>
      <c r="I224" s="1789"/>
      <c r="J224" s="1789"/>
    </row>
    <row r="225" ht="15" customHeight="1">
      <c r="A225" t="s" s="1799">
        <v>3651</v>
      </c>
      <c r="B225" t="s" s="1800">
        <v>3652</v>
      </c>
      <c r="C225" s="1801">
        <v>110000</v>
      </c>
      <c r="D225" s="1801">
        <v>0</v>
      </c>
      <c r="E225" s="1789"/>
      <c r="F225" s="1836" cm="1">
        <f t="array" ref="F225">C225-D225</f>
        <v>110000</v>
      </c>
      <c r="G225" s="1836"/>
      <c r="H225" s="1789"/>
      <c r="I225" s="1789"/>
      <c r="J225" s="1789"/>
    </row>
    <row r="226" ht="15" customHeight="1">
      <c r="A226" t="s" s="1799">
        <v>2718</v>
      </c>
      <c r="B226" t="s" s="1800">
        <v>2719</v>
      </c>
      <c r="C226" s="1801">
        <v>105485500</v>
      </c>
      <c r="D226" s="1801">
        <v>0</v>
      </c>
      <c r="E226" s="1789"/>
      <c r="F226" s="1836" cm="1">
        <f t="array" ref="F226">C226-D226</f>
        <v>105485500</v>
      </c>
      <c r="G226" t="s" s="1837">
        <v>2452</v>
      </c>
      <c r="H226" s="1789"/>
      <c r="I226" s="1789"/>
      <c r="J226" s="1789"/>
    </row>
    <row r="227" ht="15" customHeight="1">
      <c r="A227" t="s" s="1799">
        <v>2720</v>
      </c>
      <c r="B227" t="s" s="1800">
        <v>2721</v>
      </c>
      <c r="C227" s="1801">
        <v>22601522</v>
      </c>
      <c r="D227" s="1801">
        <v>0</v>
      </c>
      <c r="E227" s="1789"/>
      <c r="F227" s="1836" cm="1">
        <f t="array" ref="F227">C227-D227</f>
        <v>22601522</v>
      </c>
      <c r="G227" t="s" s="1837">
        <v>2452</v>
      </c>
      <c r="H227" s="1789"/>
      <c r="I227" s="1789"/>
      <c r="J227" s="1789"/>
    </row>
    <row r="228" ht="15" customHeight="1">
      <c r="A228" t="s" s="1799">
        <v>2722</v>
      </c>
      <c r="B228" t="s" s="1800">
        <v>2723</v>
      </c>
      <c r="C228" s="1801">
        <v>77092846</v>
      </c>
      <c r="D228" s="1801">
        <v>0</v>
      </c>
      <c r="E228" s="1789"/>
      <c r="F228" s="1836" cm="1">
        <f t="array" ref="F228">C228-D228</f>
        <v>77092846</v>
      </c>
      <c r="G228" t="s" s="1837">
        <v>2452</v>
      </c>
      <c r="H228" s="1789"/>
      <c r="I228" s="1789"/>
      <c r="J228" s="1789"/>
    </row>
    <row r="229" ht="15" customHeight="1">
      <c r="A229" t="s" s="1799">
        <v>2724</v>
      </c>
      <c r="B229" t="s" s="1800">
        <v>2725</v>
      </c>
      <c r="C229" s="1801">
        <v>20000000</v>
      </c>
      <c r="D229" s="1801">
        <v>0</v>
      </c>
      <c r="E229" s="1789"/>
      <c r="F229" s="1836" cm="1">
        <f t="array" ref="F229">C229-D229</f>
        <v>20000000</v>
      </c>
      <c r="G229" t="s" s="1837">
        <v>2452</v>
      </c>
      <c r="H229" s="1789"/>
      <c r="I229" s="1789"/>
      <c r="J229" s="1789"/>
    </row>
    <row r="230" ht="15" customHeight="1">
      <c r="A230" t="s" s="1799">
        <v>2726</v>
      </c>
      <c r="B230" t="s" s="1800">
        <v>2727</v>
      </c>
      <c r="C230" s="1801">
        <v>25000000</v>
      </c>
      <c r="D230" s="1801">
        <v>0</v>
      </c>
      <c r="E230" s="1789"/>
      <c r="F230" s="1836" cm="1">
        <f t="array" ref="F230">C230-D230</f>
        <v>25000000</v>
      </c>
      <c r="G230" t="s" s="1837">
        <v>2452</v>
      </c>
      <c r="H230" s="1789"/>
      <c r="I230" s="1789"/>
      <c r="J230" s="1789"/>
    </row>
    <row r="231" ht="15" customHeight="1">
      <c r="A231" t="s" s="1799">
        <v>2728</v>
      </c>
      <c r="B231" t="s" s="1800">
        <v>2729</v>
      </c>
      <c r="C231" s="1801">
        <v>50791764</v>
      </c>
      <c r="D231" s="1801">
        <v>0</v>
      </c>
      <c r="E231" s="1789"/>
      <c r="F231" s="1836" cm="1">
        <f t="array" ref="F231">C231-D231</f>
        <v>50791764</v>
      </c>
      <c r="G231" t="s" s="1837">
        <v>2452</v>
      </c>
      <c r="H231" s="1789"/>
      <c r="I231" s="1789"/>
      <c r="J231" s="1789"/>
    </row>
    <row r="232" ht="15" customHeight="1">
      <c r="A232" t="s" s="1799">
        <v>2730</v>
      </c>
      <c r="B232" t="s" s="1800">
        <v>2731</v>
      </c>
      <c r="C232" s="1801">
        <v>1276478</v>
      </c>
      <c r="D232" s="1801">
        <v>0</v>
      </c>
      <c r="E232" s="1789"/>
      <c r="F232" s="1836" cm="1">
        <f t="array" ref="F232">C232-D232</f>
        <v>1276478</v>
      </c>
      <c r="G232" t="s" s="1837">
        <v>2452</v>
      </c>
      <c r="H232" s="1789"/>
      <c r="I232" s="1789"/>
      <c r="J232" s="1789"/>
    </row>
    <row r="233" ht="15" customHeight="1">
      <c r="A233" t="s" s="1799">
        <v>2732</v>
      </c>
      <c r="B233" t="s" s="1800">
        <v>3653</v>
      </c>
      <c r="C233" s="1801">
        <v>1717826127</v>
      </c>
      <c r="D233" s="1801">
        <v>0</v>
      </c>
      <c r="E233" s="1789"/>
      <c r="F233" s="1836" cm="1">
        <f t="array" ref="F233">C233-D233</f>
        <v>1717826127</v>
      </c>
      <c r="G233" t="s" s="1837">
        <v>2452</v>
      </c>
      <c r="H233" s="1789"/>
      <c r="I233" s="1789"/>
      <c r="J233" s="1789"/>
    </row>
    <row r="234" ht="15" customHeight="1">
      <c r="A234" t="s" s="1799">
        <v>2734</v>
      </c>
      <c r="B234" t="s" s="1800">
        <v>2735</v>
      </c>
      <c r="C234" s="1801">
        <v>36000000</v>
      </c>
      <c r="D234" s="1801">
        <v>0</v>
      </c>
      <c r="E234" s="1789"/>
      <c r="F234" s="1836" cm="1">
        <f t="array" ref="F234">C234-D234</f>
        <v>36000000</v>
      </c>
      <c r="G234" t="s" s="1837">
        <v>2452</v>
      </c>
      <c r="H234" s="1789"/>
      <c r="I234" s="1789"/>
      <c r="J234" s="1789"/>
    </row>
    <row r="235" ht="15" customHeight="1">
      <c r="A235" t="s" s="1799">
        <v>2736</v>
      </c>
      <c r="B235" t="s" s="1800">
        <v>2737</v>
      </c>
      <c r="C235" s="1801">
        <v>80282500</v>
      </c>
      <c r="D235" s="1801">
        <v>0</v>
      </c>
      <c r="E235" s="1789"/>
      <c r="F235" s="1836" cm="1">
        <f t="array" ref="F235">C235-D235</f>
        <v>80282500</v>
      </c>
      <c r="G235" t="s" s="1837">
        <v>2452</v>
      </c>
      <c r="H235" s="1789"/>
      <c r="I235" s="1789"/>
      <c r="J235" s="1789"/>
    </row>
    <row r="236" ht="15" customHeight="1">
      <c r="A236" t="s" s="1799">
        <v>2740</v>
      </c>
      <c r="B236" t="s" s="1800">
        <v>2741</v>
      </c>
      <c r="C236" s="1801">
        <v>12325593</v>
      </c>
      <c r="D236" s="1801">
        <v>0</v>
      </c>
      <c r="E236" s="1789"/>
      <c r="F236" s="1836" cm="1">
        <f t="array" ref="F236">C236-D236</f>
        <v>12325593</v>
      </c>
      <c r="G236" t="s" s="1837">
        <v>2452</v>
      </c>
      <c r="H236" s="1789"/>
      <c r="I236" s="1789"/>
      <c r="J236" s="1789"/>
    </row>
    <row r="237" ht="15" customHeight="1">
      <c r="A237" t="s" s="1799">
        <v>2742</v>
      </c>
      <c r="B237" t="s" s="1800">
        <v>3654</v>
      </c>
      <c r="C237" s="1801">
        <v>10718750</v>
      </c>
      <c r="D237" s="1801">
        <v>0</v>
      </c>
      <c r="E237" s="1789"/>
      <c r="F237" s="1836" cm="1">
        <f t="array" ref="F237">C237-D237</f>
        <v>10718750</v>
      </c>
      <c r="G237" t="s" s="1837">
        <v>2452</v>
      </c>
      <c r="H237" s="1789"/>
      <c r="I237" s="1789"/>
      <c r="J237" s="1789"/>
    </row>
    <row r="238" ht="15" customHeight="1">
      <c r="A238" t="s" s="1799">
        <v>2744</v>
      </c>
      <c r="B238" t="s" s="1800">
        <v>2745</v>
      </c>
      <c r="C238" s="1801">
        <v>60000000</v>
      </c>
      <c r="D238" s="1801">
        <v>0</v>
      </c>
      <c r="E238" s="1789"/>
      <c r="F238" s="1836" cm="1">
        <f t="array" ref="F238">C238-D238</f>
        <v>60000000</v>
      </c>
      <c r="G238" t="s" s="1837">
        <v>2452</v>
      </c>
      <c r="H238" s="1789"/>
      <c r="I238" s="1789"/>
      <c r="J238" s="1789"/>
    </row>
    <row r="239" ht="15" customHeight="1">
      <c r="A239" t="s" s="1799">
        <v>2746</v>
      </c>
      <c r="B239" t="s" s="1800">
        <v>3655</v>
      </c>
      <c r="C239" s="1801">
        <v>52000000</v>
      </c>
      <c r="D239" s="1801">
        <v>0</v>
      </c>
      <c r="E239" s="1789"/>
      <c r="F239" s="1836" cm="1">
        <f t="array" ref="F239">C239-D239</f>
        <v>52000000</v>
      </c>
      <c r="G239" t="s" s="1837">
        <v>2452</v>
      </c>
      <c r="H239" s="1789"/>
      <c r="I239" s="1789"/>
      <c r="J239" s="1789"/>
    </row>
    <row r="240" ht="15" customHeight="1">
      <c r="A240" t="s" s="1799">
        <v>2756</v>
      </c>
      <c r="B240" t="s" s="1800">
        <v>2757</v>
      </c>
      <c r="C240" s="1801">
        <v>265000000</v>
      </c>
      <c r="D240" s="1801">
        <v>0</v>
      </c>
      <c r="E240" s="1789"/>
      <c r="F240" s="1836" cm="1">
        <f t="array" ref="F240">C240-D240</f>
        <v>265000000</v>
      </c>
      <c r="G240" t="s" s="1837">
        <v>2452</v>
      </c>
      <c r="H240" s="1789"/>
      <c r="I240" s="1789"/>
      <c r="J240" s="1789"/>
    </row>
    <row r="241" ht="15" customHeight="1">
      <c r="A241" t="s" s="1799">
        <v>2758</v>
      </c>
      <c r="B241" t="s" s="1800">
        <v>2760</v>
      </c>
      <c r="C241" s="1801">
        <v>479000000</v>
      </c>
      <c r="D241" s="1801">
        <v>0</v>
      </c>
      <c r="E241" s="1789"/>
      <c r="F241" s="1836" cm="1">
        <f t="array" ref="F241">C241-D241</f>
        <v>479000000</v>
      </c>
      <c r="G241" t="s" s="1837">
        <v>2452</v>
      </c>
      <c r="H241" s="1789"/>
      <c r="I241" s="1789"/>
      <c r="J241" s="1789"/>
    </row>
    <row r="242" ht="15" customHeight="1">
      <c r="A242" t="s" s="1799">
        <v>2761</v>
      </c>
      <c r="B242" t="s" s="1800">
        <v>2762</v>
      </c>
      <c r="C242" s="1801">
        <v>0</v>
      </c>
      <c r="D242" s="1801">
        <v>0</v>
      </c>
      <c r="E242" s="1789"/>
      <c r="F242" s="1836" cm="1">
        <f t="array" ref="F242">C242-D242</f>
        <v>0</v>
      </c>
      <c r="G242" t="s" s="1837">
        <v>2452</v>
      </c>
      <c r="H242" s="1789"/>
      <c r="I242" s="1789"/>
      <c r="J242" s="1789"/>
    </row>
    <row r="243" ht="15" customHeight="1">
      <c r="A243" t="s" s="1799">
        <v>2765</v>
      </c>
      <c r="B243" t="s" s="1800">
        <v>2766</v>
      </c>
      <c r="C243" s="1801">
        <v>0</v>
      </c>
      <c r="D243" s="1801">
        <v>0</v>
      </c>
      <c r="E243" s="1789"/>
      <c r="F243" s="1836" cm="1">
        <f t="array" ref="F243">C243-D243</f>
        <v>0</v>
      </c>
      <c r="G243" t="s" s="1837">
        <v>2452</v>
      </c>
      <c r="H243" s="1789"/>
      <c r="I243" s="1789"/>
      <c r="J243" s="1789"/>
    </row>
    <row r="244" ht="15" customHeight="1">
      <c r="A244" t="s" s="1799">
        <v>2767</v>
      </c>
      <c r="B244" t="s" s="1800">
        <v>2768</v>
      </c>
      <c r="C244" s="1801">
        <v>61000000</v>
      </c>
      <c r="D244" s="1801">
        <v>0</v>
      </c>
      <c r="E244" s="1789"/>
      <c r="F244" s="1836" cm="1">
        <f t="array" ref="F244">C244-D244</f>
        <v>61000000</v>
      </c>
      <c r="G244" t="s" s="1837">
        <v>2452</v>
      </c>
      <c r="H244" s="1789"/>
      <c r="I244" s="1789"/>
      <c r="J244" s="1789"/>
    </row>
    <row r="245" ht="15" customHeight="1">
      <c r="A245" t="s" s="1799">
        <v>2769</v>
      </c>
      <c r="B245" t="s" s="1800">
        <v>2770</v>
      </c>
      <c r="C245" s="1801">
        <v>135000000</v>
      </c>
      <c r="D245" s="1801">
        <v>0</v>
      </c>
      <c r="E245" s="1789"/>
      <c r="F245" s="1836" cm="1">
        <f t="array" ref="F245">C245-D245</f>
        <v>135000000</v>
      </c>
      <c r="G245" t="s" s="1837">
        <v>2452</v>
      </c>
      <c r="H245" s="1789"/>
      <c r="I245" s="1789"/>
      <c r="J245" s="1789"/>
    </row>
    <row r="246" ht="15" customHeight="1">
      <c r="A246" t="s" s="1799">
        <v>2773</v>
      </c>
      <c r="B246" t="s" s="1800">
        <v>2774</v>
      </c>
      <c r="C246" s="1801">
        <v>0</v>
      </c>
      <c r="D246" s="1801">
        <v>0</v>
      </c>
      <c r="E246" s="1789"/>
      <c r="F246" s="1836" cm="1">
        <f t="array" ref="F246">C246-D246</f>
        <v>0</v>
      </c>
      <c r="G246" s="1836"/>
      <c r="H246" s="1789"/>
      <c r="I246" s="1789"/>
      <c r="J246" s="1789"/>
    </row>
    <row r="247" ht="15" customHeight="1">
      <c r="A247" t="s" s="1799">
        <v>2775</v>
      </c>
      <c r="B247" t="s" s="1800">
        <v>2230</v>
      </c>
      <c r="C247" s="1801">
        <v>30795000</v>
      </c>
      <c r="D247" s="1801">
        <v>0</v>
      </c>
      <c r="E247" s="1789"/>
      <c r="F247" s="1836" cm="1">
        <f t="array" ref="F247">C247-D247</f>
        <v>30795000</v>
      </c>
      <c r="G247" s="1836"/>
      <c r="H247" s="1789"/>
      <c r="I247" s="1789"/>
      <c r="J247" s="1789"/>
    </row>
    <row r="248" ht="15" customHeight="1">
      <c r="A248" t="s" s="1799">
        <v>2776</v>
      </c>
      <c r="B248" t="s" s="1800">
        <v>2229</v>
      </c>
      <c r="C248" s="1801">
        <v>8000000</v>
      </c>
      <c r="D248" s="1801">
        <v>0</v>
      </c>
      <c r="E248" s="1789"/>
      <c r="F248" s="1836" cm="1">
        <f t="array" ref="F248">C248-D248</f>
        <v>8000000</v>
      </c>
      <c r="G248" s="1836"/>
      <c r="H248" s="1789"/>
      <c r="I248" s="1789"/>
      <c r="J248" s="1789"/>
    </row>
    <row r="249" ht="15" customHeight="1">
      <c r="A249" t="s" s="1799">
        <v>2777</v>
      </c>
      <c r="B249" t="s" s="1800">
        <v>2778</v>
      </c>
      <c r="C249" s="1801">
        <v>231482759</v>
      </c>
      <c r="D249" s="1801">
        <v>0</v>
      </c>
      <c r="E249" s="1789"/>
      <c r="F249" s="1836" cm="1">
        <f t="array" ref="F249">C249-D249</f>
        <v>231482759</v>
      </c>
      <c r="G249" t="s" s="1837">
        <v>2452</v>
      </c>
      <c r="H249" s="1789"/>
      <c r="I249" s="1789"/>
      <c r="J249" s="1789"/>
    </row>
    <row r="250" ht="15" customHeight="1">
      <c r="A250" t="s" s="1799">
        <v>2779</v>
      </c>
      <c r="B250" t="s" s="1800">
        <v>2780</v>
      </c>
      <c r="C250" s="1801">
        <v>14561838</v>
      </c>
      <c r="D250" s="1801">
        <v>0</v>
      </c>
      <c r="E250" s="1789"/>
      <c r="F250" s="1836" cm="1">
        <f t="array" ref="F250">C250-D250</f>
        <v>14561838</v>
      </c>
      <c r="G250" t="s" s="1837">
        <v>2452</v>
      </c>
      <c r="H250" s="1789"/>
      <c r="I250" s="1789"/>
      <c r="J250" s="1789"/>
    </row>
    <row r="251" ht="15" customHeight="1">
      <c r="A251" t="s" s="1799">
        <v>2781</v>
      </c>
      <c r="B251" t="s" s="1800">
        <v>2260</v>
      </c>
      <c r="C251" s="1801">
        <v>50000000</v>
      </c>
      <c r="D251" s="1801">
        <v>0</v>
      </c>
      <c r="E251" s="1789"/>
      <c r="F251" s="1836" cm="1">
        <f t="array" ref="F251">C251-D251</f>
        <v>50000000</v>
      </c>
      <c r="G251" s="1836"/>
      <c r="H251" s="1789"/>
      <c r="I251" s="1789"/>
      <c r="J251" s="1789"/>
    </row>
    <row r="252" ht="15" customHeight="1">
      <c r="A252" t="s" s="1799">
        <v>2782</v>
      </c>
      <c r="B252" t="s" s="1800">
        <v>2783</v>
      </c>
      <c r="C252" s="1801">
        <v>0</v>
      </c>
      <c r="D252" s="1801">
        <v>0</v>
      </c>
      <c r="E252" s="1789"/>
      <c r="F252" s="1836" cm="1">
        <f t="array" ref="F252">C252-D252</f>
        <v>0</v>
      </c>
      <c r="G252" s="1836"/>
      <c r="H252" s="1789"/>
      <c r="I252" s="1789"/>
      <c r="J252" s="1789"/>
    </row>
    <row r="253" ht="15" customHeight="1">
      <c r="A253" t="s" s="1799">
        <v>2784</v>
      </c>
      <c r="B253" t="s" s="1800">
        <v>2785</v>
      </c>
      <c r="C253" s="1801">
        <v>42000000</v>
      </c>
      <c r="D253" s="1801">
        <v>0</v>
      </c>
      <c r="E253" s="1789"/>
      <c r="F253" s="1836" cm="1">
        <f t="array" ref="F253">C253-D253</f>
        <v>42000000</v>
      </c>
      <c r="G253" t="s" s="1837">
        <v>2452</v>
      </c>
      <c r="H253" s="1789"/>
      <c r="I253" s="1789"/>
      <c r="J253" s="1789"/>
    </row>
    <row r="254" ht="15" customHeight="1">
      <c r="A254" t="s" s="1799">
        <v>2786</v>
      </c>
      <c r="B254" t="s" s="1800">
        <v>2787</v>
      </c>
      <c r="C254" s="1801">
        <v>0</v>
      </c>
      <c r="D254" s="1801">
        <v>0</v>
      </c>
      <c r="E254" s="1789"/>
      <c r="F254" s="1836" cm="1">
        <f t="array" ref="F254">C254-D254</f>
        <v>0</v>
      </c>
      <c r="G254" s="1836"/>
      <c r="H254" s="1789"/>
      <c r="I254" s="1789"/>
      <c r="J254" s="1789"/>
    </row>
    <row r="255" ht="15" customHeight="1">
      <c r="A255" t="s" s="1799">
        <v>2788</v>
      </c>
      <c r="B255" t="s" s="1800">
        <v>2789</v>
      </c>
      <c r="C255" s="1801">
        <v>0</v>
      </c>
      <c r="D255" s="1801">
        <v>0</v>
      </c>
      <c r="E255" s="1789"/>
      <c r="F255" s="1836" cm="1">
        <f t="array" ref="F255">C255-D255</f>
        <v>0</v>
      </c>
      <c r="G255" s="1836"/>
      <c r="H255" s="1789"/>
      <c r="I255" s="1789"/>
      <c r="J255" s="1789"/>
    </row>
    <row r="256" ht="15" customHeight="1">
      <c r="A256" t="s" s="1799">
        <v>2790</v>
      </c>
      <c r="B256" t="s" s="1800">
        <v>2791</v>
      </c>
      <c r="C256" s="1801">
        <v>0</v>
      </c>
      <c r="D256" s="1801">
        <v>0</v>
      </c>
      <c r="E256" s="1789"/>
      <c r="F256" s="1836" cm="1">
        <f t="array" ref="F256">C256-D256</f>
        <v>0</v>
      </c>
      <c r="G256" s="1836"/>
      <c r="H256" s="1789"/>
      <c r="I256" s="1789"/>
      <c r="J256" s="1789"/>
    </row>
    <row r="257" ht="15" customHeight="1">
      <c r="A257" t="s" s="1799">
        <v>2792</v>
      </c>
      <c r="B257" t="s" s="1800">
        <v>2793</v>
      </c>
      <c r="C257" s="1801">
        <v>0</v>
      </c>
      <c r="D257" s="1801">
        <v>0</v>
      </c>
      <c r="E257" s="1789"/>
      <c r="F257" s="1836" cm="1">
        <f t="array" ref="F257">C257-D257</f>
        <v>0</v>
      </c>
      <c r="G257" t="s" s="1837">
        <v>2452</v>
      </c>
      <c r="H257" s="1789"/>
      <c r="I257" s="1789"/>
      <c r="J257" s="1789"/>
    </row>
    <row r="258" ht="15" customHeight="1">
      <c r="A258" t="s" s="1799">
        <v>2794</v>
      </c>
      <c r="B258" t="s" s="1800">
        <v>3656</v>
      </c>
      <c r="C258" s="1801">
        <v>1500000</v>
      </c>
      <c r="D258" s="1801">
        <v>0</v>
      </c>
      <c r="E258" s="1789"/>
      <c r="F258" s="1836" cm="1">
        <f t="array" ref="F258">C258-D258</f>
        <v>1500000</v>
      </c>
      <c r="G258" t="s" s="1837">
        <v>2452</v>
      </c>
      <c r="H258" s="1789"/>
      <c r="I258" s="1789"/>
      <c r="J258" s="1789"/>
    </row>
    <row r="259" ht="15" customHeight="1">
      <c r="A259" t="s" s="1799">
        <v>2797</v>
      </c>
      <c r="B259" t="s" s="1800">
        <v>2798</v>
      </c>
      <c r="C259" s="1801">
        <v>192000000</v>
      </c>
      <c r="D259" s="1801">
        <v>0</v>
      </c>
      <c r="E259" s="1789"/>
      <c r="F259" s="1836" cm="1">
        <f t="array" ref="F259">C259-D259</f>
        <v>192000000</v>
      </c>
      <c r="G259" t="s" s="1837">
        <v>2452</v>
      </c>
      <c r="H259" s="1789"/>
      <c r="I259" s="1789"/>
      <c r="J259" s="1789"/>
    </row>
    <row r="260" ht="15" customHeight="1">
      <c r="A260" t="s" s="1799">
        <v>2799</v>
      </c>
      <c r="B260" t="s" s="1800">
        <v>2800</v>
      </c>
      <c r="C260" s="1801">
        <v>500000</v>
      </c>
      <c r="D260" s="1801">
        <v>0</v>
      </c>
      <c r="E260" s="1789"/>
      <c r="F260" s="1836" cm="1">
        <f t="array" ref="F260">C260-D260</f>
        <v>500000</v>
      </c>
      <c r="G260" t="s" s="1837">
        <v>2452</v>
      </c>
      <c r="H260" s="1789"/>
      <c r="I260" s="1789"/>
      <c r="J260" s="1789"/>
    </row>
    <row r="261" ht="15" customHeight="1">
      <c r="A261" t="s" s="1799">
        <v>2801</v>
      </c>
      <c r="B261" t="s" s="1800">
        <v>2802</v>
      </c>
      <c r="C261" s="1801">
        <v>1500000</v>
      </c>
      <c r="D261" s="1801">
        <v>0</v>
      </c>
      <c r="E261" s="1789"/>
      <c r="F261" s="1836" cm="1">
        <f t="array" ref="F261">C261-D261</f>
        <v>1500000</v>
      </c>
      <c r="G261" t="s" s="1837">
        <v>2452</v>
      </c>
      <c r="H261" s="1789"/>
      <c r="I261" s="1789"/>
      <c r="J261" s="1789"/>
    </row>
    <row r="262" ht="15" customHeight="1">
      <c r="A262" t="s" s="1799">
        <v>2803</v>
      </c>
      <c r="B262" t="s" s="1800">
        <v>2804</v>
      </c>
      <c r="C262" s="1801">
        <v>0</v>
      </c>
      <c r="D262" s="1801">
        <v>0</v>
      </c>
      <c r="E262" s="1789"/>
      <c r="F262" s="1836" cm="1">
        <f t="array" ref="F262">C262-D262</f>
        <v>0</v>
      </c>
      <c r="G262" s="1836"/>
      <c r="H262" s="1789"/>
      <c r="I262" s="1789"/>
      <c r="J262" s="1789"/>
    </row>
    <row r="263" ht="15" customHeight="1">
      <c r="A263" t="s" s="1799">
        <v>2805</v>
      </c>
      <c r="B263" t="s" s="1800">
        <v>2806</v>
      </c>
      <c r="C263" s="1801">
        <v>0</v>
      </c>
      <c r="D263" s="1801">
        <v>0</v>
      </c>
      <c r="E263" s="1789"/>
      <c r="F263" s="1836" cm="1">
        <f t="array" ref="F263">C263-D263</f>
        <v>0</v>
      </c>
      <c r="G263" s="1836"/>
      <c r="H263" s="1789"/>
      <c r="I263" s="1789"/>
      <c r="J263" s="1789"/>
    </row>
    <row r="264" ht="15" customHeight="1">
      <c r="A264" t="s" s="1799">
        <v>2807</v>
      </c>
      <c r="B264" t="s" s="1800">
        <v>2808</v>
      </c>
      <c r="C264" s="1801">
        <v>0</v>
      </c>
      <c r="D264" s="1801">
        <v>0</v>
      </c>
      <c r="E264" s="1789"/>
      <c r="F264" s="1836" cm="1">
        <f t="array" ref="F264">C264-D264</f>
        <v>0</v>
      </c>
      <c r="G264" s="1836"/>
      <c r="H264" s="1789"/>
      <c r="I264" s="1789"/>
      <c r="J264" s="1789"/>
    </row>
    <row r="265" ht="15" customHeight="1">
      <c r="A265" t="s" s="1799">
        <v>2809</v>
      </c>
      <c r="B265" t="s" s="1800">
        <v>2810</v>
      </c>
      <c r="C265" s="1801">
        <v>0</v>
      </c>
      <c r="D265" s="1801">
        <v>0</v>
      </c>
      <c r="E265" s="1789"/>
      <c r="F265" s="1836" cm="1">
        <f t="array" ref="F265">C265-D265</f>
        <v>0</v>
      </c>
      <c r="G265" s="1836"/>
      <c r="H265" s="1789"/>
      <c r="I265" s="1789"/>
      <c r="J265" s="1789"/>
    </row>
    <row r="266" ht="15" customHeight="1">
      <c r="A266" t="s" s="1799">
        <v>2811</v>
      </c>
      <c r="B266" t="s" s="1800">
        <v>2812</v>
      </c>
      <c r="C266" s="1801">
        <v>33000000</v>
      </c>
      <c r="D266" s="1801">
        <v>0</v>
      </c>
      <c r="E266" s="1789"/>
      <c r="F266" s="1836" cm="1">
        <f t="array" ref="F266">C266-D266</f>
        <v>33000000</v>
      </c>
      <c r="G266" t="s" s="1837">
        <v>2452</v>
      </c>
      <c r="H266" s="1789"/>
      <c r="I266" s="1789"/>
      <c r="J266" s="1789"/>
    </row>
    <row r="267" ht="15" customHeight="1">
      <c r="A267" t="s" s="1799">
        <v>2813</v>
      </c>
      <c r="B267" t="s" s="1800">
        <v>2814</v>
      </c>
      <c r="C267" s="1801">
        <v>151000000</v>
      </c>
      <c r="D267" s="1801">
        <v>0</v>
      </c>
      <c r="E267" s="1789"/>
      <c r="F267" s="1836" cm="1">
        <f t="array" ref="F267">C267-D267</f>
        <v>151000000</v>
      </c>
      <c r="G267" t="s" s="1837">
        <v>2452</v>
      </c>
      <c r="H267" s="1789"/>
      <c r="I267" s="1789"/>
      <c r="J267" s="1789"/>
    </row>
    <row r="268" ht="15" customHeight="1">
      <c r="A268" t="s" s="1799">
        <v>2815</v>
      </c>
      <c r="B268" t="s" s="1800">
        <v>2816</v>
      </c>
      <c r="C268" s="1801">
        <v>0</v>
      </c>
      <c r="D268" s="1801">
        <v>0</v>
      </c>
      <c r="E268" s="1789"/>
      <c r="F268" s="1836" cm="1">
        <f t="array" ref="F268">C268-D268</f>
        <v>0</v>
      </c>
      <c r="G268" t="s" s="1837">
        <v>2452</v>
      </c>
      <c r="H268" s="1789"/>
      <c r="I268" s="1789"/>
      <c r="J268" s="1789"/>
    </row>
    <row r="269" ht="15" customHeight="1">
      <c r="A269" t="s" s="1799">
        <v>2817</v>
      </c>
      <c r="B269" t="s" s="1800">
        <v>2818</v>
      </c>
      <c r="C269" s="1801">
        <v>0</v>
      </c>
      <c r="D269" s="1801">
        <v>0</v>
      </c>
      <c r="E269" s="1789"/>
      <c r="F269" s="1836" cm="1">
        <f t="array" ref="F269">C269-D269</f>
        <v>0</v>
      </c>
      <c r="G269" s="1836"/>
      <c r="H269" s="1789"/>
      <c r="I269" s="1789"/>
      <c r="J269" s="1789"/>
    </row>
    <row r="270" ht="15" customHeight="1">
      <c r="A270" t="s" s="1799">
        <v>2819</v>
      </c>
      <c r="B270" t="s" s="1800">
        <v>2820</v>
      </c>
      <c r="C270" s="1801">
        <v>0</v>
      </c>
      <c r="D270" s="1801">
        <v>0</v>
      </c>
      <c r="E270" s="1789"/>
      <c r="F270" s="1836" cm="1">
        <f t="array" ref="F270">C270-D270</f>
        <v>0</v>
      </c>
      <c r="G270" s="1836"/>
      <c r="H270" s="1789"/>
      <c r="I270" s="1789"/>
      <c r="J270" s="1789"/>
    </row>
    <row r="271" ht="15" customHeight="1">
      <c r="A271" t="s" s="1799">
        <v>2821</v>
      </c>
      <c r="B271" t="s" s="1800">
        <v>2822</v>
      </c>
      <c r="C271" s="1801">
        <v>24000000</v>
      </c>
      <c r="D271" s="1801">
        <v>0</v>
      </c>
      <c r="E271" s="1789"/>
      <c r="F271" s="1836" cm="1">
        <f t="array" ref="F271">C271-D271</f>
        <v>24000000</v>
      </c>
      <c r="G271" t="s" s="1837">
        <v>2452</v>
      </c>
      <c r="H271" s="1789"/>
      <c r="I271" s="1789"/>
      <c r="J271" s="1789"/>
    </row>
    <row r="272" ht="15" customHeight="1">
      <c r="A272" t="s" s="1799">
        <v>2823</v>
      </c>
      <c r="B272" t="s" s="1800">
        <v>2824</v>
      </c>
      <c r="C272" s="1801">
        <v>1000000</v>
      </c>
      <c r="D272" s="1801">
        <v>0</v>
      </c>
      <c r="E272" s="1789"/>
      <c r="F272" s="1836" cm="1">
        <f t="array" ref="F272">C272-D272</f>
        <v>1000000</v>
      </c>
      <c r="G272" t="s" s="1837">
        <v>2452</v>
      </c>
      <c r="H272" s="1789"/>
      <c r="I272" s="1789"/>
      <c r="J272" s="1789"/>
    </row>
    <row r="273" ht="16" customHeight="1">
      <c r="A273" t="s" s="1799">
        <v>2841</v>
      </c>
      <c r="B273" t="s" s="1800">
        <v>2842</v>
      </c>
      <c r="C273" s="1801">
        <v>0</v>
      </c>
      <c r="D273" s="1801">
        <v>0</v>
      </c>
      <c r="E273" s="1789"/>
      <c r="F273" s="1836" cm="1">
        <f t="array" ref="F273">C273-D273</f>
        <v>0</v>
      </c>
      <c r="G273" s="1836"/>
      <c r="H273" s="1789"/>
      <c r="I273" t="s" s="1799">
        <v>2271</v>
      </c>
      <c r="J273" t="s" s="1799">
        <v>2272</v>
      </c>
    </row>
    <row r="274" ht="16" customHeight="1">
      <c r="A274" t="s" s="1799">
        <v>3657</v>
      </c>
      <c r="B274" t="s" s="1800">
        <v>3658</v>
      </c>
      <c r="C274" s="1801">
        <v>-65500000</v>
      </c>
      <c r="D274" s="1801">
        <v>0</v>
      </c>
      <c r="E274" s="1789"/>
      <c r="F274" s="1836" cm="1">
        <f t="array" ref="F274">C274-D274</f>
        <v>-65500000</v>
      </c>
      <c r="G274" t="s" s="1837">
        <v>2452</v>
      </c>
      <c r="H274" s="1789"/>
      <c r="I274" s="1802" cm="1">
        <f t="array" ref="I274">-SUMIF(G90:G274,"IG",F90:F274)</f>
        <v>-22392963163.7</v>
      </c>
      <c r="J274" s="1802" cm="1">
        <f t="array" ref="J274">SUMIF(G357:G513,"IG",F357:F513)</f>
        <v>22229343079.79</v>
      </c>
    </row>
    <row r="275" ht="15" customHeight="1">
      <c r="A275" s="1789"/>
      <c r="B275" t="s" s="1800">
        <v>2987</v>
      </c>
      <c r="C275" s="1801">
        <v>40395361013.15</v>
      </c>
      <c r="D275" s="1801">
        <v>3701428467.46</v>
      </c>
      <c r="E275" s="1801"/>
      <c r="F275" s="1836" cm="1">
        <f t="array" ref="F275">C275-D275</f>
        <v>36693932545.69</v>
      </c>
      <c r="G275" s="1836"/>
      <c r="H275" s="1789"/>
      <c r="I275" s="1789"/>
      <c r="J275" s="1789"/>
    </row>
    <row r="276" ht="16" customHeight="1">
      <c r="A276" s="1789"/>
      <c r="B276" t="s" s="1800">
        <v>2270</v>
      </c>
      <c r="C276" s="1801">
        <v>108719016.05</v>
      </c>
      <c r="D276" s="1801">
        <v>38104700</v>
      </c>
      <c r="E276" s="1789"/>
      <c r="F276" s="1836" cm="1">
        <f t="array" ref="F276">C276-D276</f>
        <v>70614316.05</v>
      </c>
      <c r="G276" s="1836"/>
      <c r="H276" s="1789"/>
      <c r="I276" t="s" s="1799">
        <v>2279</v>
      </c>
      <c r="J276" t="s" s="1799">
        <v>2280</v>
      </c>
    </row>
    <row r="277" ht="16" customHeight="1">
      <c r="A277" t="s" s="1799">
        <v>3659</v>
      </c>
      <c r="B277" t="s" s="1800">
        <v>2991</v>
      </c>
      <c r="C277" s="1801">
        <v>-835000</v>
      </c>
      <c r="D277" s="1801">
        <v>0</v>
      </c>
      <c r="E277" s="1789"/>
      <c r="F277" s="1836" cm="1">
        <f t="array" ref="F277">C277-D277</f>
        <v>-835000</v>
      </c>
      <c r="G277" t="s" s="1837">
        <v>2275</v>
      </c>
      <c r="H277" s="1789"/>
      <c r="I277" s="1802" cm="1">
        <f t="array" ref="I277">-SUM(F277:F281)</f>
        <v>1738560350</v>
      </c>
      <c r="J277" s="1802" cm="1">
        <f t="array" ref="J277">SUMIF(G340:G534,"Cash",F340:F534)</f>
        <v>1385946180</v>
      </c>
    </row>
    <row r="278" ht="15" customHeight="1">
      <c r="A278" t="s" s="1799">
        <v>2988</v>
      </c>
      <c r="B278" t="s" s="1800">
        <v>2989</v>
      </c>
      <c r="C278" s="1801">
        <v>-1770974600</v>
      </c>
      <c r="D278" s="1801">
        <v>0</v>
      </c>
      <c r="E278" s="1789"/>
      <c r="F278" s="1836" cm="1">
        <f t="array" ref="F278">C278-D278</f>
        <v>-1770974600</v>
      </c>
      <c r="G278" t="s" s="1837">
        <v>2275</v>
      </c>
      <c r="H278" s="1789"/>
      <c r="I278" s="1789"/>
      <c r="J278" s="1789"/>
    </row>
    <row r="279" ht="15" customHeight="1">
      <c r="A279" t="s" s="1799">
        <v>2990</v>
      </c>
      <c r="B279" t="s" s="1800">
        <v>2991</v>
      </c>
      <c r="C279" s="1801">
        <v>59646000</v>
      </c>
      <c r="D279" s="1801">
        <v>0</v>
      </c>
      <c r="E279" s="1789"/>
      <c r="F279" s="1836" cm="1">
        <f t="array" ref="F279">C279-D279</f>
        <v>59646000</v>
      </c>
      <c r="G279" t="s" s="1837">
        <v>2275</v>
      </c>
      <c r="H279" s="1789"/>
      <c r="I279" s="1789"/>
      <c r="J279" s="1789"/>
    </row>
    <row r="280" ht="15" customHeight="1">
      <c r="A280" t="s" s="1799">
        <v>3660</v>
      </c>
      <c r="B280" t="s" s="1800">
        <v>3661</v>
      </c>
      <c r="C280" s="1801">
        <v>-27146750</v>
      </c>
      <c r="D280" s="1801">
        <v>0</v>
      </c>
      <c r="E280" s="1789"/>
      <c r="F280" s="1836" cm="1">
        <f t="array" ref="F280">C280-D280</f>
        <v>-27146750</v>
      </c>
      <c r="G280" t="s" s="1837">
        <v>2275</v>
      </c>
      <c r="H280" s="1789"/>
      <c r="I280" s="1789"/>
      <c r="J280" s="1789"/>
    </row>
    <row r="281" ht="15" customHeight="1">
      <c r="A281" t="s" s="1799">
        <v>2992</v>
      </c>
      <c r="B281" t="s" s="1800">
        <v>2993</v>
      </c>
      <c r="C281" s="1801">
        <v>750000</v>
      </c>
      <c r="D281" s="1801">
        <v>0</v>
      </c>
      <c r="E281" s="1789"/>
      <c r="F281" s="1836" cm="1">
        <f t="array" ref="F281">C281-D281</f>
        <v>750000</v>
      </c>
      <c r="G281" t="s" s="1837">
        <v>2275</v>
      </c>
      <c r="H281" s="1789"/>
      <c r="I281" s="1789"/>
      <c r="J281" s="1789"/>
    </row>
    <row r="282" ht="15" customHeight="1">
      <c r="A282" t="s" s="1799">
        <v>3662</v>
      </c>
      <c r="B282" t="s" s="1800">
        <v>3663</v>
      </c>
      <c r="C282" s="1801">
        <v>9000000</v>
      </c>
      <c r="D282" s="1801">
        <v>0</v>
      </c>
      <c r="E282" s="1789"/>
      <c r="F282" s="1836" cm="1">
        <f t="array" ref="F282">C282-D282</f>
        <v>9000000</v>
      </c>
      <c r="G282" s="1836"/>
      <c r="H282" s="1789"/>
      <c r="I282" s="1789"/>
      <c r="J282" s="1789"/>
    </row>
    <row r="283" ht="15" customHeight="1">
      <c r="A283" t="s" s="1799">
        <v>2998</v>
      </c>
      <c r="B283" t="s" s="1800">
        <v>2999</v>
      </c>
      <c r="C283" s="1801">
        <v>472752823.45</v>
      </c>
      <c r="D283" s="1801">
        <v>38104700</v>
      </c>
      <c r="E283" s="1789"/>
      <c r="F283" s="1836" cm="1">
        <f t="array" ref="F283">C283-D283</f>
        <v>434648123.45</v>
      </c>
      <c r="G283" s="1836"/>
      <c r="H283" s="1789"/>
      <c r="I283" s="1789"/>
      <c r="J283" s="1789"/>
    </row>
    <row r="284" ht="15" customHeight="1">
      <c r="A284" t="s" s="1799">
        <v>3000</v>
      </c>
      <c r="B284" t="s" s="1800">
        <v>3001</v>
      </c>
      <c r="C284" s="1801">
        <v>83451750</v>
      </c>
      <c r="D284" s="1801">
        <v>0</v>
      </c>
      <c r="E284" s="1789"/>
      <c r="F284" s="1836" cm="1">
        <f t="array" ref="F284">C284-D284</f>
        <v>83451750</v>
      </c>
      <c r="G284" s="1836"/>
      <c r="H284" s="1789"/>
      <c r="I284" s="1789"/>
      <c r="J284" s="1789"/>
    </row>
    <row r="285" ht="16" customHeight="1">
      <c r="A285" t="s" s="1799">
        <v>3002</v>
      </c>
      <c r="B285" t="s" s="1800">
        <v>3003</v>
      </c>
      <c r="C285" s="1801">
        <v>10876000</v>
      </c>
      <c r="D285" s="1801">
        <v>0</v>
      </c>
      <c r="E285" s="1789"/>
      <c r="F285" s="1836" cm="1">
        <f t="array" ref="F285">C285-D285</f>
        <v>10876000</v>
      </c>
      <c r="G285" s="1836"/>
      <c r="H285" s="1789"/>
      <c r="I285" t="s" s="1799">
        <v>132</v>
      </c>
      <c r="J285" s="1789"/>
    </row>
    <row r="286" ht="16" customHeight="1">
      <c r="A286" t="s" s="1799">
        <v>3004</v>
      </c>
      <c r="B286" t="s" s="1800">
        <v>3005</v>
      </c>
      <c r="C286" s="1801">
        <v>58249750</v>
      </c>
      <c r="D286" s="1801">
        <v>0</v>
      </c>
      <c r="E286" s="1789"/>
      <c r="F286" s="1836" cm="1">
        <f t="array" ref="F286">C286-D286</f>
        <v>58249750</v>
      </c>
      <c r="G286" s="1836"/>
      <c r="H286" s="1789"/>
      <c r="I286" s="1802">
        <v>212482778</v>
      </c>
      <c r="J286" s="1789"/>
    </row>
    <row r="287" ht="16" customHeight="1">
      <c r="A287" t="s" s="1799">
        <v>3006</v>
      </c>
      <c r="B287" t="s" s="1800">
        <v>3007</v>
      </c>
      <c r="C287" s="1801">
        <v>86070490</v>
      </c>
      <c r="D287" s="1801">
        <v>0</v>
      </c>
      <c r="E287" s="1789"/>
      <c r="F287" s="1836" cm="1">
        <f t="array" ref="F287">C287-D287</f>
        <v>86070490</v>
      </c>
      <c r="G287" s="1836"/>
      <c r="H287" s="1789"/>
      <c r="I287" s="1802">
        <v>261219628</v>
      </c>
      <c r="J287" s="1789"/>
    </row>
    <row r="288" ht="16" customHeight="1">
      <c r="A288" t="s" s="1799">
        <v>3008</v>
      </c>
      <c r="B288" t="s" s="1800">
        <v>3009</v>
      </c>
      <c r="C288" s="1801">
        <v>80708077.31999999</v>
      </c>
      <c r="D288" s="1801">
        <v>0</v>
      </c>
      <c r="E288" s="1789"/>
      <c r="F288" s="1836" cm="1">
        <f t="array" ref="F288">C288-D288</f>
        <v>80708077.31999999</v>
      </c>
      <c r="G288" s="1836"/>
      <c r="H288" s="1789"/>
      <c r="I288" s="1802">
        <v>322375000</v>
      </c>
      <c r="J288" s="1789"/>
    </row>
    <row r="289" ht="16" customHeight="1">
      <c r="A289" t="s" s="1799">
        <v>3010</v>
      </c>
      <c r="B289" t="s" s="1800">
        <v>3011</v>
      </c>
      <c r="C289" s="1801">
        <v>210258688</v>
      </c>
      <c r="D289" s="1801">
        <v>0</v>
      </c>
      <c r="E289" s="1789"/>
      <c r="F289" s="1836" cm="1">
        <f t="array" ref="F289">C289-D289</f>
        <v>210258688</v>
      </c>
      <c r="G289" s="1836"/>
      <c r="H289" s="1789"/>
      <c r="I289" s="1802">
        <v>174911250</v>
      </c>
      <c r="J289" s="1789"/>
    </row>
    <row r="290" ht="15" customHeight="1">
      <c r="A290" t="s" s="1799">
        <v>3664</v>
      </c>
      <c r="B290" t="s" s="1800">
        <v>2241</v>
      </c>
      <c r="C290" s="1801">
        <v>835911787.28</v>
      </c>
      <c r="D290" s="1801">
        <v>0</v>
      </c>
      <c r="E290" s="1789"/>
      <c r="F290" s="1836" cm="1">
        <f t="array" ref="F290">C290-D290</f>
        <v>835911787.28</v>
      </c>
      <c r="G290" s="1836"/>
      <c r="H290" s="1789"/>
      <c r="I290" s="1789"/>
      <c r="J290" s="1789"/>
    </row>
    <row r="291" ht="15" customHeight="1">
      <c r="A291" s="1789"/>
      <c r="B291" t="s" s="1800">
        <v>3018</v>
      </c>
      <c r="C291" s="1801">
        <v>108719016.05</v>
      </c>
      <c r="D291" s="1801">
        <v>38104700</v>
      </c>
      <c r="E291" s="1801"/>
      <c r="F291" s="1836" cm="1">
        <f t="array" ref="F291">C291-D291</f>
        <v>70614316.05</v>
      </c>
      <c r="G291" s="1836"/>
      <c r="H291" s="1789"/>
      <c r="I291" s="1789"/>
      <c r="J291" s="1789"/>
    </row>
    <row r="292" ht="15" customHeight="1">
      <c r="A292" s="1789"/>
      <c r="B292" t="s" s="1800">
        <v>2203</v>
      </c>
      <c r="C292" s="1801">
        <v>2510133</v>
      </c>
      <c r="D292" s="1801">
        <v>0</v>
      </c>
      <c r="E292" s="1789"/>
      <c r="F292" s="1836" cm="1">
        <f t="array" ref="F292">C292-D292</f>
        <v>2510133</v>
      </c>
      <c r="G292" s="1836"/>
      <c r="H292" s="1789"/>
      <c r="I292" s="1789"/>
      <c r="J292" s="1789"/>
    </row>
    <row r="293" ht="15" customHeight="1">
      <c r="A293" t="s" s="1799">
        <v>3665</v>
      </c>
      <c r="B293" t="s" s="1800">
        <v>3666</v>
      </c>
      <c r="C293" s="1801">
        <v>2010133</v>
      </c>
      <c r="D293" s="1801">
        <v>0</v>
      </c>
      <c r="E293" s="1789"/>
      <c r="F293" s="1836" cm="1">
        <f t="array" ref="F293">C293-D293</f>
        <v>2010133</v>
      </c>
      <c r="G293" s="1836"/>
      <c r="H293" s="1789"/>
      <c r="I293" s="1789"/>
      <c r="J293" s="1789"/>
    </row>
    <row r="294" ht="15" customHeight="1">
      <c r="A294" t="s" s="1799">
        <v>3019</v>
      </c>
      <c r="B294" t="s" s="1800">
        <v>3020</v>
      </c>
      <c r="C294" s="1801">
        <v>500000</v>
      </c>
      <c r="D294" s="1801">
        <v>0</v>
      </c>
      <c r="E294" s="1789"/>
      <c r="F294" s="1836" cm="1">
        <f t="array" ref="F294">C294-D294</f>
        <v>500000</v>
      </c>
      <c r="G294" s="1836"/>
      <c r="H294" s="1789"/>
      <c r="I294" s="1789"/>
      <c r="J294" s="1789"/>
    </row>
    <row r="295" ht="15" customHeight="1">
      <c r="A295" s="1789"/>
      <c r="B295" t="s" s="1800">
        <v>3021</v>
      </c>
      <c r="C295" s="1801">
        <v>2510133</v>
      </c>
      <c r="D295" s="1801">
        <v>0</v>
      </c>
      <c r="E295" s="1801"/>
      <c r="F295" s="1836" cm="1">
        <f t="array" ref="F295">C295-D295</f>
        <v>2510133</v>
      </c>
      <c r="G295" s="1836"/>
      <c r="H295" s="1789"/>
      <c r="I295" s="1789"/>
      <c r="J295" s="1789"/>
    </row>
    <row r="296" ht="15" customHeight="1">
      <c r="A296" s="1789"/>
      <c r="B296" t="s" s="1800">
        <v>3018</v>
      </c>
      <c r="C296" s="1801">
        <v>43562093134.99</v>
      </c>
      <c r="D296" s="1801">
        <v>5989332410.05</v>
      </c>
      <c r="E296" s="1801"/>
      <c r="F296" s="1836" cm="1">
        <f t="array" ref="F296">C296-D296</f>
        <v>37572760724.94</v>
      </c>
      <c r="G296" s="1836"/>
      <c r="H296" s="1789"/>
      <c r="I296" s="1789"/>
      <c r="J296" s="1789"/>
    </row>
    <row r="297" ht="15" customHeight="1">
      <c r="A297" s="1789"/>
      <c r="B297" t="s" s="1800">
        <v>3022</v>
      </c>
      <c r="C297" s="1801">
        <v>6440100106.97</v>
      </c>
      <c r="D297" s="1801">
        <v>1325147828.81</v>
      </c>
      <c r="E297" s="1789"/>
      <c r="F297" s="1836" cm="1">
        <f t="array" ref="F297">C297-D297</f>
        <v>5114952278.16</v>
      </c>
      <c r="G297" s="1836"/>
      <c r="H297" s="1789"/>
      <c r="I297" s="1789"/>
      <c r="J297" s="1789"/>
    </row>
    <row r="298" ht="15" customHeight="1">
      <c r="A298" t="s" s="1799">
        <v>3023</v>
      </c>
      <c r="B298" t="s" s="1800">
        <v>3024</v>
      </c>
      <c r="C298" s="1801">
        <v>83827229</v>
      </c>
      <c r="D298" s="1801">
        <v>83827229</v>
      </c>
      <c r="E298" s="1789"/>
      <c r="F298" s="1836" cm="1">
        <f t="array" ref="F298">C298-D298</f>
        <v>0</v>
      </c>
      <c r="G298" s="1836"/>
      <c r="H298" s="1789"/>
      <c r="I298" s="1789"/>
      <c r="J298" s="1789"/>
    </row>
    <row r="299" ht="15" customHeight="1">
      <c r="A299" t="s" s="1799">
        <v>3025</v>
      </c>
      <c r="B299" t="s" s="1800">
        <v>1126</v>
      </c>
      <c r="C299" s="1801">
        <v>168864500</v>
      </c>
      <c r="D299" s="1801">
        <v>130989000</v>
      </c>
      <c r="E299" s="1789"/>
      <c r="F299" s="1836" cm="1">
        <f t="array" ref="F299">C299-D299</f>
        <v>37875500</v>
      </c>
      <c r="G299" s="1836"/>
      <c r="H299" s="1789"/>
      <c r="I299" s="1789"/>
      <c r="J299" s="1789"/>
    </row>
    <row r="300" ht="15" customHeight="1">
      <c r="A300" t="s" s="1799">
        <v>3026</v>
      </c>
      <c r="B300" t="s" s="1800">
        <v>2209</v>
      </c>
      <c r="C300" s="1801">
        <v>445388815</v>
      </c>
      <c r="D300" s="1801">
        <v>151960257</v>
      </c>
      <c r="E300" s="1789"/>
      <c r="F300" s="1836" cm="1">
        <f t="array" ref="F300">C300-D300</f>
        <v>293428558</v>
      </c>
      <c r="G300" s="1836"/>
      <c r="H300" s="1789"/>
      <c r="I300" s="1789"/>
      <c r="J300" s="1789"/>
    </row>
    <row r="301" ht="15" customHeight="1">
      <c r="A301" t="s" s="1799">
        <v>3027</v>
      </c>
      <c r="B301" t="s" s="1800">
        <v>2210</v>
      </c>
      <c r="C301" s="1801">
        <v>93750000</v>
      </c>
      <c r="D301" s="1801">
        <v>72250000</v>
      </c>
      <c r="E301" s="1789"/>
      <c r="F301" s="1836" cm="1">
        <f t="array" ref="F301">C301-D301</f>
        <v>21500000</v>
      </c>
      <c r="G301" s="1836"/>
      <c r="H301" s="1789"/>
      <c r="I301" s="1789"/>
      <c r="J301" s="1789"/>
    </row>
    <row r="302" ht="15" customHeight="1">
      <c r="A302" t="s" s="1799">
        <v>3028</v>
      </c>
      <c r="B302" t="s" s="1800">
        <v>2211</v>
      </c>
      <c r="C302" s="1801">
        <v>236954267</v>
      </c>
      <c r="D302" s="1801">
        <v>31096800</v>
      </c>
      <c r="E302" s="1789"/>
      <c r="F302" s="1836" cm="1">
        <f t="array" ref="F302">C302-D302</f>
        <v>205857467</v>
      </c>
      <c r="G302" s="1836"/>
      <c r="H302" s="1789"/>
      <c r="I302" s="1789"/>
      <c r="J302" s="1789"/>
    </row>
    <row r="303" ht="15" customHeight="1">
      <c r="A303" t="s" s="1799">
        <v>3029</v>
      </c>
      <c r="B303" t="s" s="1800">
        <v>3030</v>
      </c>
      <c r="C303" s="1801">
        <v>19000000</v>
      </c>
      <c r="D303" s="1801">
        <v>19000000</v>
      </c>
      <c r="E303" s="1789"/>
      <c r="F303" s="1836" cm="1">
        <f t="array" ref="F303">C303-D303</f>
        <v>0</v>
      </c>
      <c r="G303" s="1836"/>
      <c r="H303" s="1789"/>
      <c r="I303" s="1789"/>
      <c r="J303" s="1789"/>
    </row>
    <row r="304" ht="15" customHeight="1">
      <c r="A304" t="s" s="1799">
        <v>3032</v>
      </c>
      <c r="B304" t="s" s="1800">
        <v>2212</v>
      </c>
      <c r="C304" s="1801">
        <v>75507825</v>
      </c>
      <c r="D304" s="1801">
        <v>0</v>
      </c>
      <c r="E304" s="1789"/>
      <c r="F304" s="1836" cm="1">
        <f t="array" ref="F304">C304-D304</f>
        <v>75507825</v>
      </c>
      <c r="G304" s="1836"/>
      <c r="H304" s="1789"/>
      <c r="I304" s="1789"/>
      <c r="J304" s="1789"/>
    </row>
    <row r="305" ht="15" customHeight="1">
      <c r="A305" t="s" s="1799">
        <v>3034</v>
      </c>
      <c r="B305" t="s" s="1800">
        <v>3035</v>
      </c>
      <c r="C305" s="1801">
        <v>62081899</v>
      </c>
      <c r="D305" s="1801">
        <v>62081899</v>
      </c>
      <c r="E305" s="1789"/>
      <c r="F305" s="1836" cm="1">
        <f t="array" ref="F305">C305-D305</f>
        <v>0</v>
      </c>
      <c r="G305" s="1836"/>
      <c r="H305" s="1789"/>
      <c r="I305" s="1789"/>
      <c r="J305" s="1789"/>
    </row>
    <row r="306" ht="15" customHeight="1">
      <c r="A306" t="s" s="1799">
        <v>3037</v>
      </c>
      <c r="B306" t="s" s="1800">
        <v>3667</v>
      </c>
      <c r="C306" s="1801">
        <v>22644000</v>
      </c>
      <c r="D306" s="1801">
        <v>0</v>
      </c>
      <c r="E306" s="1789"/>
      <c r="F306" s="1836" cm="1">
        <f t="array" ref="F306">C306-D306</f>
        <v>22644000</v>
      </c>
      <c r="G306" s="1836"/>
      <c r="H306" s="1789"/>
      <c r="I306" s="1789"/>
      <c r="J306" s="1789"/>
    </row>
    <row r="307" ht="15" customHeight="1">
      <c r="A307" t="s" s="1799">
        <v>3039</v>
      </c>
      <c r="B307" t="s" s="1800">
        <v>2214</v>
      </c>
      <c r="C307" s="1801">
        <v>435000000</v>
      </c>
      <c r="D307" s="1801">
        <v>0</v>
      </c>
      <c r="E307" s="1789"/>
      <c r="F307" s="1836" cm="1">
        <f t="array" ref="F307">C307-D307</f>
        <v>435000000</v>
      </c>
      <c r="G307" s="1836"/>
      <c r="H307" s="1789"/>
      <c r="I307" s="1789"/>
      <c r="J307" s="1789"/>
    </row>
    <row r="308" ht="15" customHeight="1">
      <c r="A308" t="s" s="1799">
        <v>3041</v>
      </c>
      <c r="B308" t="s" s="1800">
        <v>2239</v>
      </c>
      <c r="C308" s="1801">
        <v>26062500</v>
      </c>
      <c r="D308" s="1801">
        <v>834000000</v>
      </c>
      <c r="E308" s="1789"/>
      <c r="F308" s="1836" cm="1">
        <f t="array" ref="F308">C308-D308</f>
        <v>-807937500</v>
      </c>
      <c r="G308" s="1836"/>
      <c r="H308" s="1789"/>
      <c r="I308" s="1789"/>
      <c r="J308" s="1789"/>
    </row>
    <row r="309" ht="15" customHeight="1">
      <c r="A309" t="s" s="1799">
        <v>3043</v>
      </c>
      <c r="B309" t="s" s="1800">
        <v>2244</v>
      </c>
      <c r="C309" s="1801">
        <v>3001009.31</v>
      </c>
      <c r="D309" s="1801">
        <v>53016149</v>
      </c>
      <c r="E309" s="1789"/>
      <c r="F309" s="1836" cm="1">
        <f t="array" ref="F309">C309-D309</f>
        <v>-50015139.69</v>
      </c>
      <c r="G309" s="1836"/>
      <c r="H309" s="1789"/>
      <c r="I309" s="1789"/>
      <c r="J309" s="1789"/>
    </row>
    <row r="310" ht="15" customHeight="1">
      <c r="A310" t="s" s="1799">
        <v>3045</v>
      </c>
      <c r="B310" t="s" s="1800">
        <v>2245</v>
      </c>
      <c r="C310" s="1801">
        <v>6125312.5</v>
      </c>
      <c r="D310" s="1801">
        <v>98005000</v>
      </c>
      <c r="E310" s="1789"/>
      <c r="F310" s="1836" cm="1">
        <f t="array" ref="F310">C310-D310</f>
        <v>-91879687.5</v>
      </c>
      <c r="G310" s="1836"/>
      <c r="H310" s="1789"/>
      <c r="I310" s="1789"/>
      <c r="J310" s="1789"/>
    </row>
    <row r="311" ht="15" customHeight="1">
      <c r="A311" t="s" s="1799">
        <v>3047</v>
      </c>
      <c r="B311" t="s" s="1800">
        <v>2215</v>
      </c>
      <c r="C311" s="1801">
        <v>921043791</v>
      </c>
      <c r="D311" s="1801">
        <v>0</v>
      </c>
      <c r="E311" s="1789"/>
      <c r="F311" s="1836" cm="1">
        <f t="array" ref="F311">C311-D311</f>
        <v>921043791</v>
      </c>
      <c r="G311" s="1836"/>
      <c r="H311" s="1789"/>
      <c r="I311" s="1789"/>
      <c r="J311" s="1789"/>
    </row>
    <row r="312" ht="15" customHeight="1">
      <c r="A312" t="s" s="1799">
        <v>3052</v>
      </c>
      <c r="B312" t="s" s="1800">
        <v>3053</v>
      </c>
      <c r="C312" s="1801">
        <v>1395750939</v>
      </c>
      <c r="D312" s="1801">
        <v>0</v>
      </c>
      <c r="E312" s="1789"/>
      <c r="F312" s="1836" cm="1">
        <f t="array" ref="F312">C312-D312</f>
        <v>1395750939</v>
      </c>
      <c r="G312" s="1836"/>
      <c r="H312" s="1789"/>
      <c r="I312" s="1789"/>
      <c r="J312" s="1789"/>
    </row>
    <row r="313" ht="15" customHeight="1">
      <c r="A313" t="s" s="1799">
        <v>3055</v>
      </c>
      <c r="B313" t="s" s="1800">
        <v>3668</v>
      </c>
      <c r="C313" s="1801">
        <v>1279670000</v>
      </c>
      <c r="D313" s="1801">
        <v>0</v>
      </c>
      <c r="E313" s="1789"/>
      <c r="F313" s="1836" cm="1">
        <f t="array" ref="F313">C313-D313</f>
        <v>1279670000</v>
      </c>
      <c r="G313" s="1836"/>
      <c r="H313" s="1789"/>
      <c r="I313" s="1789"/>
      <c r="J313" s="1789"/>
    </row>
    <row r="314" ht="15" customHeight="1">
      <c r="A314" t="s" s="1799">
        <v>3058</v>
      </c>
      <c r="B314" t="s" s="1800">
        <v>2243</v>
      </c>
      <c r="C314" s="1801">
        <v>1146170000</v>
      </c>
      <c r="D314" s="1801">
        <v>0</v>
      </c>
      <c r="E314" s="1789"/>
      <c r="F314" s="1836" cm="1">
        <f t="array" ref="F314">C314-D314</f>
        <v>1146170000</v>
      </c>
      <c r="G314" s="1836"/>
      <c r="H314" s="1789"/>
      <c r="I314" s="1789"/>
      <c r="J314" s="1789"/>
    </row>
    <row r="315" ht="15" customHeight="1">
      <c r="A315" t="s" s="1799">
        <v>3059</v>
      </c>
      <c r="B315" t="s" s="1800">
        <v>2246</v>
      </c>
      <c r="C315" s="1801">
        <v>72000000</v>
      </c>
      <c r="D315" s="1801">
        <v>0</v>
      </c>
      <c r="E315" s="1789"/>
      <c r="F315" s="1836" cm="1">
        <f t="array" ref="F315">C315-D315</f>
        <v>72000000</v>
      </c>
      <c r="G315" s="1836"/>
      <c r="H315" s="1789"/>
      <c r="I315" s="1789"/>
      <c r="J315" s="1789"/>
    </row>
    <row r="316" ht="15" customHeight="1">
      <c r="A316" t="s" s="1799">
        <v>3060</v>
      </c>
      <c r="B316" t="s" s="1800">
        <v>2247</v>
      </c>
      <c r="C316" s="1801">
        <v>525000000</v>
      </c>
      <c r="D316" s="1801">
        <v>0</v>
      </c>
      <c r="E316" s="1789"/>
      <c r="F316" s="1836" cm="1">
        <f t="array" ref="F316">C316-D316</f>
        <v>525000000</v>
      </c>
      <c r="G316" s="1836"/>
      <c r="H316" s="1789"/>
      <c r="I316" s="1789"/>
      <c r="J316" s="1789"/>
    </row>
    <row r="317" ht="15" customHeight="1">
      <c r="A317" t="s" s="1799">
        <v>3063</v>
      </c>
      <c r="B317" t="s" s="1800">
        <v>3064</v>
      </c>
      <c r="C317" s="1801">
        <v>-49259276.17</v>
      </c>
      <c r="D317" s="1801">
        <v>-29634994.53</v>
      </c>
      <c r="E317" s="1789"/>
      <c r="F317" s="1836" cm="1">
        <f t="array" ref="F317">C317-D317</f>
        <v>-19624281.64</v>
      </c>
      <c r="G317" s="1836"/>
      <c r="H317" s="1789"/>
      <c r="I317" s="1789"/>
      <c r="J317" s="1789"/>
    </row>
    <row r="318" ht="15" customHeight="1">
      <c r="A318" t="s" s="1799">
        <v>3065</v>
      </c>
      <c r="B318" t="s" s="1800">
        <v>3066</v>
      </c>
      <c r="C318" s="1801">
        <v>-82387643.51000001</v>
      </c>
      <c r="D318" s="1801">
        <v>-45432987.5</v>
      </c>
      <c r="E318" s="1789"/>
      <c r="F318" s="1836" cm="1">
        <f t="array" ref="F318">C318-D318</f>
        <v>-36954656.01</v>
      </c>
      <c r="G318" s="1836"/>
      <c r="H318" s="1789"/>
      <c r="I318" s="1789"/>
      <c r="J318" s="1789"/>
    </row>
    <row r="319" ht="15" customHeight="1">
      <c r="A319" t="s" s="1799">
        <v>3067</v>
      </c>
      <c r="B319" t="s" s="1800">
        <v>3068</v>
      </c>
      <c r="C319" s="1801">
        <v>-95988734.84</v>
      </c>
      <c r="D319" s="1801">
        <v>-48285282.6</v>
      </c>
      <c r="E319" s="1789"/>
      <c r="F319" s="1836" cm="1">
        <f t="array" ref="F319">C319-D319</f>
        <v>-47703452.24</v>
      </c>
      <c r="G319" s="1836"/>
      <c r="H319" s="1789"/>
      <c r="I319" s="1789"/>
      <c r="J319" s="1789"/>
    </row>
    <row r="320" ht="15" customHeight="1">
      <c r="A320" t="s" s="1799">
        <v>3069</v>
      </c>
      <c r="B320" t="s" s="1800">
        <v>3070</v>
      </c>
      <c r="C320" s="1801">
        <v>-40713055.55</v>
      </c>
      <c r="D320" s="1801">
        <v>-23331666.66</v>
      </c>
      <c r="E320" s="1789"/>
      <c r="F320" s="1836" cm="1">
        <f t="array" ref="F320">C320-D320</f>
        <v>-17381388.89</v>
      </c>
      <c r="G320" s="1836"/>
      <c r="H320" s="1789"/>
      <c r="I320" s="1789"/>
      <c r="J320" s="1789"/>
    </row>
    <row r="321" ht="15" customHeight="1">
      <c r="A321" t="s" s="1799">
        <v>3071</v>
      </c>
      <c r="B321" t="s" s="1800">
        <v>3072</v>
      </c>
      <c r="C321" s="1801">
        <v>-37376247.95</v>
      </c>
      <c r="D321" s="1801">
        <v>-12861566.67</v>
      </c>
      <c r="E321" s="1789"/>
      <c r="F321" s="1836" cm="1">
        <f t="array" ref="F321">C321-D321</f>
        <v>-24514681.28</v>
      </c>
      <c r="G321" s="1836"/>
      <c r="H321" s="1789"/>
      <c r="I321" s="1789"/>
      <c r="J321" s="1789"/>
    </row>
    <row r="322" ht="15" customHeight="1">
      <c r="A322" t="s" s="1799">
        <v>3073</v>
      </c>
      <c r="B322" t="s" s="1800">
        <v>3074</v>
      </c>
      <c r="C322" s="1801">
        <v>-11083333.33</v>
      </c>
      <c r="D322" s="1801">
        <v>-6729166.67</v>
      </c>
      <c r="E322" s="1789"/>
      <c r="F322" s="1836" cm="1">
        <f t="array" ref="F322">C322-D322</f>
        <v>-4354166.66</v>
      </c>
      <c r="G322" s="1836"/>
      <c r="H322" s="1789"/>
      <c r="I322" s="1789"/>
      <c r="J322" s="1789"/>
    </row>
    <row r="323" ht="15" customHeight="1">
      <c r="A323" t="s" s="1799">
        <v>3075</v>
      </c>
      <c r="B323" t="s" s="1800">
        <v>3076</v>
      </c>
      <c r="C323" s="1801">
        <v>-16293264.57</v>
      </c>
      <c r="D323" s="1801">
        <v>-9614018.75</v>
      </c>
      <c r="E323" s="1789"/>
      <c r="F323" s="1836" cm="1">
        <f t="array" ref="F323">C323-D323</f>
        <v>-6679245.82</v>
      </c>
      <c r="G323" s="1836"/>
      <c r="H323" s="1789"/>
      <c r="I323" s="1789"/>
      <c r="J323" s="1789"/>
    </row>
    <row r="324" ht="15" customHeight="1">
      <c r="A324" t="s" s="1799">
        <v>3077</v>
      </c>
      <c r="B324" t="s" s="1800">
        <v>3669</v>
      </c>
      <c r="C324" s="1801">
        <v>-15725000</v>
      </c>
      <c r="D324" s="1801">
        <v>0</v>
      </c>
      <c r="E324" s="1789"/>
      <c r="F324" s="1836" cm="1">
        <f t="array" ref="F324">C324-D324</f>
        <v>-15725000</v>
      </c>
      <c r="G324" s="1836"/>
      <c r="H324" s="1789"/>
      <c r="I324" s="1789"/>
      <c r="J324" s="1789"/>
    </row>
    <row r="325" ht="15" customHeight="1">
      <c r="A325" t="s" s="1799">
        <v>3079</v>
      </c>
      <c r="B325" t="s" s="1800">
        <v>3080</v>
      </c>
      <c r="C325" s="1801">
        <v>-58306451.61</v>
      </c>
      <c r="D325" s="1801">
        <v>0</v>
      </c>
      <c r="E325" s="1789"/>
      <c r="F325" s="1836" cm="1">
        <f t="array" ref="F325">C325-D325</f>
        <v>-58306451.61</v>
      </c>
      <c r="G325" s="1836"/>
      <c r="H325" s="1789"/>
      <c r="I325" s="1789"/>
      <c r="J325" s="1789"/>
    </row>
    <row r="326" ht="15" customHeight="1">
      <c r="A326" t="s" s="1799">
        <v>3081</v>
      </c>
      <c r="B326" t="s" s="1800">
        <v>3082</v>
      </c>
      <c r="C326" s="1801">
        <v>-26062500</v>
      </c>
      <c r="D326" s="1801">
        <v>-26062500</v>
      </c>
      <c r="E326" s="1789"/>
      <c r="F326" s="1836" cm="1">
        <f t="array" ref="F326">C326-D326</f>
        <v>0</v>
      </c>
      <c r="G326" s="1836"/>
      <c r="H326" s="1789"/>
      <c r="I326" s="1789"/>
      <c r="J326" s="1789"/>
    </row>
    <row r="327" ht="15" customHeight="1">
      <c r="A327" t="s" s="1799">
        <v>3083</v>
      </c>
      <c r="B327" t="s" s="1800">
        <v>3084</v>
      </c>
      <c r="C327" s="1801">
        <v>-3001009.31</v>
      </c>
      <c r="D327" s="1801">
        <v>-3001009.31</v>
      </c>
      <c r="E327" s="1789"/>
      <c r="F327" s="1836" cm="1">
        <f t="array" ref="F327">C327-D327</f>
        <v>0</v>
      </c>
      <c r="G327" s="1836"/>
      <c r="H327" s="1789"/>
      <c r="I327" s="1789"/>
      <c r="J327" s="1789"/>
    </row>
    <row r="328" ht="15" customHeight="1">
      <c r="A328" t="s" s="1799">
        <v>3085</v>
      </c>
      <c r="B328" t="s" s="1800">
        <v>3086</v>
      </c>
      <c r="C328" s="1801">
        <v>-6125312.5</v>
      </c>
      <c r="D328" s="1801">
        <v>-6125312.5</v>
      </c>
      <c r="E328" s="1789"/>
      <c r="F328" s="1836" cm="1">
        <f t="array" ref="F328">C328-D328</f>
        <v>0</v>
      </c>
      <c r="G328" s="1836"/>
      <c r="H328" s="1789"/>
      <c r="I328" s="1789"/>
      <c r="J328" s="1789"/>
    </row>
    <row r="329" ht="15" customHeight="1">
      <c r="A329" t="s" s="1799">
        <v>3087</v>
      </c>
      <c r="B329" t="s" s="1800">
        <v>3088</v>
      </c>
      <c r="C329" s="1801">
        <v>-31196644.53</v>
      </c>
      <c r="D329" s="1801">
        <v>0</v>
      </c>
      <c r="E329" s="1789"/>
      <c r="F329" s="1836" cm="1">
        <f t="array" ref="F329">C329-D329</f>
        <v>-31196644.53</v>
      </c>
      <c r="G329" s="1836"/>
      <c r="H329" s="1789"/>
      <c r="I329" s="1789"/>
      <c r="J329" s="1789"/>
    </row>
    <row r="330" ht="15" customHeight="1">
      <c r="A330" t="s" s="1799">
        <v>3089</v>
      </c>
      <c r="B330" t="s" s="1800">
        <v>3090</v>
      </c>
      <c r="C330" s="1801">
        <v>-2450000</v>
      </c>
      <c r="D330" s="1801">
        <v>0</v>
      </c>
      <c r="E330" s="1789"/>
      <c r="F330" s="1836" cm="1">
        <f t="array" ref="F330">C330-D330</f>
        <v>-2450000</v>
      </c>
      <c r="G330" s="1836"/>
      <c r="H330" s="1789"/>
      <c r="I330" s="1789"/>
      <c r="J330" s="1789"/>
    </row>
    <row r="331" ht="15" customHeight="1">
      <c r="A331" t="s" s="1799">
        <v>3089</v>
      </c>
      <c r="B331" t="s" s="1800">
        <v>3091</v>
      </c>
      <c r="C331" s="1801">
        <v>-101773505.97</v>
      </c>
      <c r="D331" s="1801">
        <v>0</v>
      </c>
      <c r="E331" s="1789"/>
      <c r="F331" s="1836" cm="1">
        <f t="array" ref="F331">C331-D331</f>
        <v>-101773505.97</v>
      </c>
      <c r="G331" s="1836"/>
      <c r="H331" s="1789"/>
      <c r="I331" s="1789"/>
      <c r="J331" s="1789"/>
    </row>
    <row r="332" ht="15" customHeight="1">
      <c r="A332" s="1789"/>
      <c r="B332" t="s" s="1800">
        <v>3100</v>
      </c>
      <c r="C332" s="1801">
        <v>6440100106.97</v>
      </c>
      <c r="D332" s="1801">
        <v>1325147828.81</v>
      </c>
      <c r="E332" s="1801"/>
      <c r="F332" s="1836" cm="1">
        <f t="array" ref="F332">C332-D332</f>
        <v>5114952278.16</v>
      </c>
      <c r="G332" s="1836"/>
      <c r="H332" s="1789"/>
      <c r="I332" s="1789"/>
      <c r="J332" s="1789"/>
    </row>
    <row r="333" ht="15" customHeight="1">
      <c r="A333" s="1789"/>
      <c r="B333" t="s" s="1800">
        <v>3101</v>
      </c>
      <c r="C333" s="1801">
        <v>1933481820</v>
      </c>
      <c r="D333" s="1801">
        <v>1933481820</v>
      </c>
      <c r="E333" s="1789"/>
      <c r="F333" s="1836" cm="1">
        <f t="array" ref="F333">C333-D333</f>
        <v>0</v>
      </c>
      <c r="G333" s="1836"/>
      <c r="H333" s="1789"/>
      <c r="I333" s="1789"/>
      <c r="J333" s="1789"/>
    </row>
    <row r="334" ht="15" customHeight="1">
      <c r="A334" t="s" s="1799">
        <v>3102</v>
      </c>
      <c r="B334" t="s" s="1800">
        <v>3103</v>
      </c>
      <c r="C334" s="1801">
        <v>1918081820</v>
      </c>
      <c r="D334" s="1801">
        <v>1918081820</v>
      </c>
      <c r="E334" s="1789"/>
      <c r="F334" s="1836" cm="1">
        <f t="array" ref="F334">C334-D334</f>
        <v>0</v>
      </c>
      <c r="G334" s="1836"/>
      <c r="H334" s="1789"/>
      <c r="I334" s="1789"/>
      <c r="J334" s="1789"/>
    </row>
    <row r="335" ht="15" customHeight="1">
      <c r="A335" t="s" s="1799">
        <v>3104</v>
      </c>
      <c r="B335" t="s" s="1800">
        <v>3105</v>
      </c>
      <c r="C335" s="1801">
        <v>15400000</v>
      </c>
      <c r="D335" s="1801">
        <v>15400000</v>
      </c>
      <c r="E335" s="1789"/>
      <c r="F335" s="1836" cm="1">
        <f t="array" ref="F335">C335-D335</f>
        <v>0</v>
      </c>
      <c r="G335" s="1836"/>
      <c r="H335" s="1789"/>
      <c r="I335" s="1789"/>
      <c r="J335" s="1789"/>
    </row>
    <row r="336" ht="15" customHeight="1">
      <c r="A336" s="1789"/>
      <c r="B336" t="s" s="1800">
        <v>3106</v>
      </c>
      <c r="C336" s="1801">
        <v>1933481820</v>
      </c>
      <c r="D336" s="1801">
        <v>1933481820</v>
      </c>
      <c r="E336" s="1801"/>
      <c r="F336" s="1836" cm="1">
        <f t="array" ref="F336">C336-D336</f>
        <v>0</v>
      </c>
      <c r="G336" s="1836"/>
      <c r="H336" s="1789"/>
      <c r="I336" s="1789"/>
      <c r="J336" s="1789"/>
    </row>
    <row r="337" ht="15" customHeight="1">
      <c r="A337" s="1789"/>
      <c r="B337" t="s" s="1796">
        <v>3107</v>
      </c>
      <c r="C337" s="1838">
        <v>51935675061.96</v>
      </c>
      <c r="D337" s="1838">
        <v>9247962058.860001</v>
      </c>
      <c r="E337" s="1839"/>
      <c r="F337" s="1838" cm="1">
        <f t="array" ref="F337">C337-D337</f>
        <v>42687713003.1</v>
      </c>
      <c r="G337" s="1839"/>
      <c r="H337" s="1789"/>
      <c r="I337" s="1789"/>
      <c r="J337" s="1789"/>
    </row>
    <row r="338" ht="15" customHeight="1">
      <c r="A338" s="1789"/>
      <c r="B338" s="1832"/>
      <c r="C338" s="1832"/>
      <c r="D338" s="1832"/>
      <c r="E338" s="1832"/>
      <c r="F338" s="1840"/>
      <c r="G338" s="1840"/>
      <c r="H338" s="1789"/>
      <c r="I338" s="1789"/>
      <c r="J338" s="1789"/>
    </row>
    <row r="339" ht="15" customHeight="1">
      <c r="A339" s="1789"/>
      <c r="B339" t="s" s="1794">
        <v>3108</v>
      </c>
      <c r="C339" s="1795">
        <v>34972271969.74</v>
      </c>
      <c r="D339" s="1795">
        <v>3587713508.66</v>
      </c>
      <c r="E339" s="1789"/>
      <c r="F339" s="1795" cm="1">
        <f t="array" ref="F339">C339-D339</f>
        <v>31384558461.08</v>
      </c>
      <c r="G339" s="1795"/>
      <c r="H339" s="1789"/>
      <c r="I339" s="1789"/>
      <c r="J339" s="1789"/>
    </row>
    <row r="340" ht="15" customHeight="1">
      <c r="A340" s="1789"/>
      <c r="B340" t="s" s="1797">
        <v>3109</v>
      </c>
      <c r="C340" s="1798">
        <v>34972271969.74</v>
      </c>
      <c r="D340" s="1798">
        <v>3587713508.66</v>
      </c>
      <c r="E340" s="1789"/>
      <c r="F340" s="1835" cm="1">
        <f t="array" ref="F340">C340-D340</f>
        <v>31384558461.08</v>
      </c>
      <c r="G340" s="1835"/>
      <c r="H340" s="1789"/>
      <c r="I340" s="1789"/>
      <c r="J340" s="1789"/>
    </row>
    <row r="341" ht="15" customHeight="1">
      <c r="A341" s="1789"/>
      <c r="B341" t="s" s="1800">
        <v>3109</v>
      </c>
      <c r="C341" s="1801">
        <v>1620334426.18</v>
      </c>
      <c r="D341" s="1801">
        <v>90200000</v>
      </c>
      <c r="E341" s="1789"/>
      <c r="F341" s="1836" cm="1">
        <f t="array" ref="F341">C341-D341</f>
        <v>1530134426.18</v>
      </c>
      <c r="G341" s="1836"/>
      <c r="H341" s="1789"/>
      <c r="I341" s="1789"/>
      <c r="J341" s="1789"/>
    </row>
    <row r="342" ht="15" customHeight="1">
      <c r="A342" t="s" s="1799">
        <v>3110</v>
      </c>
      <c r="B342" t="s" s="1800">
        <v>3111</v>
      </c>
      <c r="C342" s="1801">
        <v>100000</v>
      </c>
      <c r="D342" s="1801">
        <v>100000</v>
      </c>
      <c r="E342" s="1789"/>
      <c r="F342" s="1836" cm="1">
        <f t="array" ref="F342">C342-D342</f>
        <v>0</v>
      </c>
      <c r="G342" s="1836"/>
      <c r="H342" s="1789"/>
      <c r="I342" s="1789"/>
      <c r="J342" s="1789"/>
    </row>
    <row r="343" ht="15" customHeight="1">
      <c r="A343" t="s" s="1799">
        <v>3112</v>
      </c>
      <c r="B343" t="s" s="1800">
        <v>3113</v>
      </c>
      <c r="C343" s="1801">
        <v>-1100000</v>
      </c>
      <c r="D343" s="1801">
        <v>0</v>
      </c>
      <c r="E343" s="1789"/>
      <c r="F343" s="1836" cm="1">
        <f t="array" ref="F343">C343-D343</f>
        <v>-1100000</v>
      </c>
      <c r="G343" s="1836"/>
      <c r="H343" s="1789"/>
      <c r="I343" s="1789"/>
      <c r="J343" s="1789"/>
    </row>
    <row r="344" ht="15" customHeight="1">
      <c r="A344" t="s" s="1799">
        <v>3114</v>
      </c>
      <c r="B344" t="s" s="1800">
        <v>3115</v>
      </c>
      <c r="C344" s="1801">
        <v>14850000</v>
      </c>
      <c r="D344" s="1801">
        <v>90000000</v>
      </c>
      <c r="E344" s="1789"/>
      <c r="F344" s="1836" cm="1">
        <f t="array" ref="F344">C344-D344</f>
        <v>-75150000</v>
      </c>
      <c r="G344" s="1836"/>
      <c r="H344" s="1789"/>
      <c r="I344" s="1789"/>
      <c r="J344" s="1789"/>
    </row>
    <row r="345" ht="15" customHeight="1">
      <c r="A345" t="s" s="1799">
        <v>3116</v>
      </c>
      <c r="B345" t="s" s="1800">
        <v>2282</v>
      </c>
      <c r="C345" s="1801">
        <v>100000</v>
      </c>
      <c r="D345" s="1801">
        <v>100000</v>
      </c>
      <c r="E345" s="1789"/>
      <c r="F345" s="1836" cm="1">
        <f t="array" ref="F345">C345-D345</f>
        <v>0</v>
      </c>
      <c r="G345" s="1836"/>
      <c r="H345" s="1789"/>
      <c r="I345" s="1789"/>
      <c r="J345" s="1789"/>
    </row>
    <row r="346" ht="15" customHeight="1">
      <c r="A346" t="s" s="1799">
        <v>3670</v>
      </c>
      <c r="B346" t="s" s="1800">
        <v>3671</v>
      </c>
      <c r="C346" s="1801">
        <v>-91450</v>
      </c>
      <c r="D346" s="1801">
        <v>0</v>
      </c>
      <c r="E346" s="1789"/>
      <c r="F346" s="1836" cm="1">
        <f t="array" ref="F346">C346-D346</f>
        <v>-91450</v>
      </c>
      <c r="G346" s="1836"/>
      <c r="H346" s="1789"/>
      <c r="I346" s="1789"/>
      <c r="J346" s="1789"/>
    </row>
    <row r="347" ht="15" customHeight="1">
      <c r="A347" t="s" s="1799">
        <v>3672</v>
      </c>
      <c r="B347" t="s" s="1800">
        <v>3673</v>
      </c>
      <c r="C347" s="1801">
        <v>-3384063</v>
      </c>
      <c r="D347" s="1801">
        <v>0</v>
      </c>
      <c r="E347" s="1789"/>
      <c r="F347" s="1836" cm="1">
        <f t="array" ref="F347">C347-D347</f>
        <v>-3384063</v>
      </c>
      <c r="G347" s="1836"/>
      <c r="H347" s="1789"/>
      <c r="I347" s="1789"/>
      <c r="J347" s="1789"/>
    </row>
    <row r="348" ht="15" customHeight="1">
      <c r="A348" t="s" s="1799">
        <v>3674</v>
      </c>
      <c r="B348" t="s" s="1800">
        <v>3675</v>
      </c>
      <c r="C348" s="1801">
        <v>-1965728</v>
      </c>
      <c r="D348" s="1801">
        <v>0</v>
      </c>
      <c r="E348" s="1789"/>
      <c r="F348" s="1836" cm="1">
        <f t="array" ref="F348">C348-D348</f>
        <v>-1965728</v>
      </c>
      <c r="G348" s="1836"/>
      <c r="H348" s="1789"/>
      <c r="I348" s="1789"/>
      <c r="J348" s="1789"/>
    </row>
    <row r="349" ht="15" customHeight="1">
      <c r="A349" t="s" s="1799">
        <v>3676</v>
      </c>
      <c r="B349" t="s" s="1800">
        <v>3677</v>
      </c>
      <c r="C349" s="1801">
        <v>-23332466.06</v>
      </c>
      <c r="D349" s="1801">
        <v>0</v>
      </c>
      <c r="E349" s="1789"/>
      <c r="F349" s="1836" cm="1">
        <f t="array" ref="F349">C349-D349</f>
        <v>-23332466.06</v>
      </c>
      <c r="G349" s="1836"/>
      <c r="H349" s="1789"/>
      <c r="I349" s="1789"/>
      <c r="J349" s="1789"/>
    </row>
    <row r="350" ht="15" customHeight="1">
      <c r="A350" t="s" s="1799">
        <v>3117</v>
      </c>
      <c r="B350" t="s" s="1800">
        <v>3118</v>
      </c>
      <c r="C350" s="1801">
        <v>97350.55</v>
      </c>
      <c r="D350" s="1801">
        <v>0</v>
      </c>
      <c r="E350" s="1789"/>
      <c r="F350" s="1836" cm="1">
        <f t="array" ref="F350">C350-D350</f>
        <v>97350.55</v>
      </c>
      <c r="G350" s="1836"/>
      <c r="H350" s="1789"/>
      <c r="I350" s="1789"/>
      <c r="J350" s="1789"/>
    </row>
    <row r="351" ht="15" customHeight="1">
      <c r="A351" t="s" s="1799">
        <v>3119</v>
      </c>
      <c r="B351" t="s" s="1800">
        <v>3120</v>
      </c>
      <c r="C351" s="1801">
        <v>-2343888</v>
      </c>
      <c r="D351" s="1801">
        <v>0</v>
      </c>
      <c r="E351" s="1789"/>
      <c r="F351" s="1836" cm="1">
        <f t="array" ref="F351">C351-D351</f>
        <v>-2343888</v>
      </c>
      <c r="G351" s="1836"/>
      <c r="H351" s="1789"/>
      <c r="I351" s="1789"/>
      <c r="J351" s="1789"/>
    </row>
    <row r="352" ht="15" customHeight="1">
      <c r="A352" t="s" s="1799">
        <v>3121</v>
      </c>
      <c r="B352" t="s" s="1800">
        <v>3122</v>
      </c>
      <c r="C352" s="1801">
        <v>1719382657</v>
      </c>
      <c r="D352" s="1801">
        <v>0</v>
      </c>
      <c r="E352" s="1789"/>
      <c r="F352" s="1836" cm="1">
        <f t="array" ref="F352">C352-D352</f>
        <v>1719382657</v>
      </c>
      <c r="G352" s="1836"/>
      <c r="H352" s="1789"/>
      <c r="I352" s="1789"/>
      <c r="J352" s="1789"/>
    </row>
    <row r="353" ht="15" customHeight="1">
      <c r="A353" t="s" s="1799">
        <v>3125</v>
      </c>
      <c r="B353" t="s" s="1800">
        <v>2176</v>
      </c>
      <c r="C353" s="1801">
        <v>-81977986.31</v>
      </c>
      <c r="D353" s="1801">
        <v>0</v>
      </c>
      <c r="E353" s="1789"/>
      <c r="F353" s="1836" cm="1">
        <f t="array" ref="F353">C353-D353</f>
        <v>-81977986.31</v>
      </c>
      <c r="G353" s="1836"/>
      <c r="H353" s="1789"/>
      <c r="I353" s="1789"/>
      <c r="J353" s="1789"/>
    </row>
    <row r="354" ht="15" customHeight="1">
      <c r="A354" s="1789"/>
      <c r="B354" t="s" s="1800">
        <v>3126</v>
      </c>
      <c r="C354" s="1801">
        <v>1620334426.18</v>
      </c>
      <c r="D354" s="1801">
        <v>90200000</v>
      </c>
      <c r="E354" s="1801"/>
      <c r="F354" s="1836" cm="1">
        <f t="array" ref="F354">C354-D354</f>
        <v>1530134426.18</v>
      </c>
      <c r="G354" s="1836"/>
      <c r="H354" s="1789"/>
      <c r="I354" s="1789"/>
      <c r="J354" s="1789"/>
    </row>
    <row r="355" ht="15" customHeight="1">
      <c r="A355" s="1789"/>
      <c r="B355" t="s" s="1800">
        <v>3127</v>
      </c>
      <c r="C355" s="1801">
        <v>33351937543.56</v>
      </c>
      <c r="D355" s="1801">
        <v>3497513508.66</v>
      </c>
      <c r="E355" s="1789"/>
      <c r="F355" s="1836" cm="1">
        <f t="array" ref="F355">C355-D355</f>
        <v>29854424034.9</v>
      </c>
      <c r="G355" s="1836"/>
      <c r="H355" s="1789"/>
      <c r="I355" s="1789"/>
      <c r="J355" s="1789"/>
    </row>
    <row r="356" ht="15" customHeight="1">
      <c r="A356" t="s" s="1799">
        <v>2440</v>
      </c>
      <c r="B356" t="s" s="1800">
        <v>2441</v>
      </c>
      <c r="C356" s="1801">
        <v>-4000000</v>
      </c>
      <c r="D356" s="1801">
        <v>0</v>
      </c>
      <c r="E356" s="1789"/>
      <c r="F356" s="1836" cm="1">
        <f t="array" ref="F356">C356-D356</f>
        <v>-4000000</v>
      </c>
      <c r="G356" s="1836"/>
      <c r="H356" s="1789"/>
      <c r="I356" s="1789"/>
      <c r="J356" s="1789"/>
    </row>
    <row r="357" ht="15" customHeight="1">
      <c r="A357" t="s" s="1799">
        <v>3678</v>
      </c>
      <c r="B357" t="s" s="1800">
        <v>3679</v>
      </c>
      <c r="C357" s="1801">
        <v>10016000</v>
      </c>
      <c r="D357" s="1801">
        <v>0</v>
      </c>
      <c r="E357" s="1789"/>
      <c r="F357" s="1836" cm="1">
        <f t="array" ref="F357">C357-D357</f>
        <v>10016000</v>
      </c>
      <c r="G357" t="s" s="1837">
        <v>2452</v>
      </c>
      <c r="H357" s="1789"/>
      <c r="I357" s="1789"/>
      <c r="J357" s="1789"/>
    </row>
    <row r="358" ht="15" customHeight="1">
      <c r="A358" t="s" s="1799">
        <v>3128</v>
      </c>
      <c r="B358" t="s" s="1800">
        <v>3129</v>
      </c>
      <c r="C358" s="1801">
        <v>3622456961.59</v>
      </c>
      <c r="D358" s="1801">
        <v>1296119456.87</v>
      </c>
      <c r="E358" s="1789"/>
      <c r="F358" s="1836" cm="1">
        <f t="array" ref="F358">C358-D358</f>
        <v>2326337504.72</v>
      </c>
      <c r="G358" s="1836"/>
      <c r="H358" s="1789"/>
      <c r="I358" s="1789"/>
      <c r="J358" s="1789"/>
    </row>
    <row r="359" ht="15" customHeight="1">
      <c r="A359" t="s" s="1799">
        <v>3130</v>
      </c>
      <c r="B359" t="s" s="1800">
        <v>3680</v>
      </c>
      <c r="C359" s="1801">
        <v>5850000</v>
      </c>
      <c r="D359" s="1801">
        <v>0</v>
      </c>
      <c r="E359" s="1789"/>
      <c r="F359" s="1836" cm="1">
        <f t="array" ref="F359">C359-D359</f>
        <v>5850000</v>
      </c>
      <c r="G359" t="s" s="1837">
        <v>2452</v>
      </c>
      <c r="H359" s="1789"/>
      <c r="I359" s="1789"/>
      <c r="J359" s="1789"/>
    </row>
    <row r="360" ht="15" customHeight="1">
      <c r="A360" t="s" s="1799">
        <v>3132</v>
      </c>
      <c r="B360" t="s" s="1800">
        <v>3133</v>
      </c>
      <c r="C360" s="1801">
        <v>114291066</v>
      </c>
      <c r="D360" s="1801">
        <v>0</v>
      </c>
      <c r="E360" s="1789"/>
      <c r="F360" s="1836" cm="1">
        <f t="array" ref="F360">C360-D360</f>
        <v>114291066</v>
      </c>
      <c r="G360" t="s" s="1837">
        <v>2452</v>
      </c>
      <c r="H360" s="1789"/>
      <c r="I360" s="1789"/>
      <c r="J360" s="1789"/>
    </row>
    <row r="361" ht="15" customHeight="1">
      <c r="A361" t="s" s="1799">
        <v>3134</v>
      </c>
      <c r="B361" t="s" s="1800">
        <v>3135</v>
      </c>
      <c r="C361" s="1801">
        <v>30000000</v>
      </c>
      <c r="D361" s="1801">
        <v>71472350.45999999</v>
      </c>
      <c r="E361" s="1789"/>
      <c r="F361" s="1836" cm="1">
        <f t="array" ref="F361">C361-D361</f>
        <v>-41472350.46</v>
      </c>
      <c r="G361" t="s" s="1837">
        <v>2452</v>
      </c>
      <c r="H361" s="1789"/>
      <c r="I361" s="1789"/>
      <c r="J361" s="1789"/>
    </row>
    <row r="362" ht="15" customHeight="1">
      <c r="A362" t="s" s="1799">
        <v>3136</v>
      </c>
      <c r="B362" t="s" s="1800">
        <v>3137</v>
      </c>
      <c r="C362" s="1801">
        <v>1416027649.54</v>
      </c>
      <c r="D362" s="1801">
        <v>0</v>
      </c>
      <c r="E362" s="1789"/>
      <c r="F362" s="1836" cm="1">
        <f t="array" ref="F362">C362-D362</f>
        <v>1416027649.54</v>
      </c>
      <c r="G362" t="s" s="1837">
        <v>2452</v>
      </c>
      <c r="H362" s="1789"/>
      <c r="I362" s="1789"/>
      <c r="J362" s="1789"/>
    </row>
    <row r="363" ht="15" customHeight="1">
      <c r="A363" t="s" s="1799">
        <v>3138</v>
      </c>
      <c r="B363" t="s" s="1800">
        <v>3139</v>
      </c>
      <c r="C363" s="1801">
        <v>56448500</v>
      </c>
      <c r="D363" s="1801">
        <v>0</v>
      </c>
      <c r="E363" s="1789"/>
      <c r="F363" s="1836" cm="1">
        <f t="array" ref="F363">C363-D363</f>
        <v>56448500</v>
      </c>
      <c r="G363" t="s" s="1837">
        <v>2452</v>
      </c>
      <c r="H363" s="1789"/>
      <c r="I363" s="1789"/>
      <c r="J363" s="1789"/>
    </row>
    <row r="364" ht="15" customHeight="1">
      <c r="A364" t="s" s="1799">
        <v>3140</v>
      </c>
      <c r="B364" t="s" s="1800">
        <v>3681</v>
      </c>
      <c r="C364" s="1801">
        <v>96810519</v>
      </c>
      <c r="D364" s="1801">
        <v>12300000</v>
      </c>
      <c r="E364" s="1789"/>
      <c r="F364" s="1836" cm="1">
        <f t="array" ref="F364">C364-D364</f>
        <v>84510519</v>
      </c>
      <c r="G364" t="s" s="1837">
        <v>2452</v>
      </c>
      <c r="H364" s="1789"/>
      <c r="I364" s="1789"/>
      <c r="J364" s="1789"/>
    </row>
    <row r="365" ht="15" customHeight="1">
      <c r="A365" t="s" s="1799">
        <v>3142</v>
      </c>
      <c r="B365" t="s" s="1800">
        <v>3143</v>
      </c>
      <c r="C365" s="1801">
        <v>688768579</v>
      </c>
      <c r="D365" s="1801">
        <v>14990000</v>
      </c>
      <c r="E365" s="1789"/>
      <c r="F365" s="1836" cm="1">
        <f t="array" ref="F365">C365-D365</f>
        <v>673778579</v>
      </c>
      <c r="G365" t="s" s="1837">
        <v>2452</v>
      </c>
      <c r="H365" s="1789"/>
      <c r="I365" s="1789"/>
      <c r="J365" s="1789"/>
    </row>
    <row r="366" ht="15" customHeight="1">
      <c r="A366" t="s" s="1799">
        <v>3144</v>
      </c>
      <c r="B366" t="s" s="1800">
        <v>3145</v>
      </c>
      <c r="C366" s="1801">
        <v>611046424.2</v>
      </c>
      <c r="D366" s="1801">
        <v>0</v>
      </c>
      <c r="E366" s="1789"/>
      <c r="F366" s="1836" cm="1">
        <f t="array" ref="F366">C366-D366</f>
        <v>611046424.2</v>
      </c>
      <c r="G366" t="s" s="1837">
        <v>2452</v>
      </c>
      <c r="H366" s="1789"/>
      <c r="I366" s="1789"/>
      <c r="J366" s="1789"/>
    </row>
    <row r="367" ht="15" customHeight="1">
      <c r="A367" t="s" s="1799">
        <v>3146</v>
      </c>
      <c r="B367" t="s" s="1800">
        <v>3147</v>
      </c>
      <c r="C367" s="1801">
        <v>98615750</v>
      </c>
      <c r="D367" s="1801">
        <v>46340000</v>
      </c>
      <c r="E367" s="1789"/>
      <c r="F367" s="1836" cm="1">
        <f t="array" ref="F367">C367-D367</f>
        <v>52275750</v>
      </c>
      <c r="G367" t="s" s="1837">
        <v>2452</v>
      </c>
      <c r="H367" s="1789"/>
      <c r="I367" s="1789"/>
      <c r="J367" s="1789"/>
    </row>
    <row r="368" ht="15" customHeight="1">
      <c r="A368" t="s" s="1799">
        <v>3148</v>
      </c>
      <c r="B368" t="s" s="1800">
        <v>3149</v>
      </c>
      <c r="C368" s="1801">
        <v>149471520</v>
      </c>
      <c r="D368" s="1801">
        <v>14729270</v>
      </c>
      <c r="E368" s="1789"/>
      <c r="F368" s="1836" cm="1">
        <f t="array" ref="F368">C368-D368</f>
        <v>134742250</v>
      </c>
      <c r="G368" t="s" s="1837">
        <v>2452</v>
      </c>
      <c r="H368" s="1789"/>
      <c r="I368" s="1789"/>
      <c r="J368" s="1789"/>
    </row>
    <row r="369" ht="15" customHeight="1">
      <c r="A369" t="s" s="1799">
        <v>3150</v>
      </c>
      <c r="B369" t="s" s="1800">
        <v>3151</v>
      </c>
      <c r="C369" s="1801">
        <v>141277499</v>
      </c>
      <c r="D369" s="1801">
        <v>20975000</v>
      </c>
      <c r="E369" s="1789"/>
      <c r="F369" s="1836" cm="1">
        <f t="array" ref="F369">C369-D369</f>
        <v>120302499</v>
      </c>
      <c r="G369" t="s" s="1837">
        <v>2452</v>
      </c>
      <c r="H369" s="1789"/>
      <c r="I369" s="1789"/>
      <c r="J369" s="1789"/>
    </row>
    <row r="370" ht="15" customHeight="1">
      <c r="A370" t="s" s="1799">
        <v>3152</v>
      </c>
      <c r="B370" t="s" s="1800">
        <v>3153</v>
      </c>
      <c r="C370" s="1801">
        <v>208610861</v>
      </c>
      <c r="D370" s="1801">
        <v>0</v>
      </c>
      <c r="E370" s="1789"/>
      <c r="F370" s="1836" cm="1">
        <f t="array" ref="F370">C370-D370</f>
        <v>208610861</v>
      </c>
      <c r="G370" t="s" s="1837">
        <v>2452</v>
      </c>
      <c r="H370" s="1789"/>
      <c r="I370" s="1789"/>
      <c r="J370" s="1789"/>
    </row>
    <row r="371" ht="15" customHeight="1">
      <c r="A371" t="s" s="1799">
        <v>3154</v>
      </c>
      <c r="B371" t="s" s="1800">
        <v>3155</v>
      </c>
      <c r="C371" s="1801">
        <v>3940898556.39</v>
      </c>
      <c r="D371" s="1801">
        <v>28266286</v>
      </c>
      <c r="E371" s="1789"/>
      <c r="F371" s="1836" cm="1">
        <f t="array" ref="F371">C371-D371</f>
        <v>3912632270.39</v>
      </c>
      <c r="G371" s="1836"/>
      <c r="H371" s="1789"/>
      <c r="I371" s="1789"/>
      <c r="J371" s="1789"/>
    </row>
    <row r="372" ht="15" customHeight="1">
      <c r="A372" t="s" s="1799">
        <v>3156</v>
      </c>
      <c r="B372" t="s" s="1800">
        <v>3157</v>
      </c>
      <c r="C372" s="1801">
        <v>258228717</v>
      </c>
      <c r="D372" s="1801">
        <v>33664716</v>
      </c>
      <c r="E372" s="1789"/>
      <c r="F372" s="1836" cm="1">
        <f t="array" ref="F372">C372-D372</f>
        <v>224564001</v>
      </c>
      <c r="G372" t="s" s="1837">
        <v>2452</v>
      </c>
      <c r="H372" s="1789"/>
      <c r="I372" s="1789"/>
      <c r="J372" s="1789"/>
    </row>
    <row r="373" ht="15" customHeight="1">
      <c r="A373" t="s" s="1799">
        <v>3158</v>
      </c>
      <c r="B373" t="s" s="1800">
        <v>3159</v>
      </c>
      <c r="C373" s="1801">
        <v>0</v>
      </c>
      <c r="D373" s="1801">
        <v>16739664</v>
      </c>
      <c r="E373" s="1789"/>
      <c r="F373" s="1836" cm="1">
        <f t="array" ref="F373">C373-D373</f>
        <v>-16739664</v>
      </c>
      <c r="G373" t="s" s="1837">
        <v>2452</v>
      </c>
      <c r="H373" s="1789"/>
      <c r="I373" s="1789"/>
      <c r="J373" s="1789"/>
    </row>
    <row r="374" ht="15" customHeight="1">
      <c r="A374" t="s" s="1799">
        <v>3160</v>
      </c>
      <c r="B374" t="s" s="1800">
        <v>3161</v>
      </c>
      <c r="C374" s="1801">
        <v>469043227</v>
      </c>
      <c r="D374" s="1801">
        <v>25700242</v>
      </c>
      <c r="E374" s="1789"/>
      <c r="F374" s="1836" cm="1">
        <f t="array" ref="F374">C374-D374</f>
        <v>443342985</v>
      </c>
      <c r="G374" t="s" s="1837">
        <v>2452</v>
      </c>
      <c r="H374" s="1789"/>
      <c r="I374" s="1789"/>
      <c r="J374" s="1789"/>
    </row>
    <row r="375" ht="15" customHeight="1">
      <c r="A375" t="s" s="1799">
        <v>3162</v>
      </c>
      <c r="B375" t="s" s="1800">
        <v>3682</v>
      </c>
      <c r="C375" s="1801">
        <v>535237082</v>
      </c>
      <c r="D375" s="1801">
        <v>246833760</v>
      </c>
      <c r="E375" s="1789"/>
      <c r="F375" s="1836" cm="1">
        <f t="array" ref="F375">C375-D375</f>
        <v>288403322</v>
      </c>
      <c r="G375" t="s" s="1837">
        <v>2452</v>
      </c>
      <c r="H375" s="1789"/>
      <c r="I375" s="1789"/>
      <c r="J375" s="1789"/>
    </row>
    <row r="376" ht="15" customHeight="1">
      <c r="A376" t="s" s="1799">
        <v>3164</v>
      </c>
      <c r="B376" t="s" s="1800">
        <v>3165</v>
      </c>
      <c r="C376" s="1801">
        <v>975511565</v>
      </c>
      <c r="D376" s="1801">
        <v>171236916</v>
      </c>
      <c r="E376" s="1789"/>
      <c r="F376" s="1836" cm="1">
        <f t="array" ref="F376">C376-D376</f>
        <v>804274649</v>
      </c>
      <c r="G376" t="s" s="1837">
        <v>2452</v>
      </c>
      <c r="H376" s="1789"/>
      <c r="I376" s="1789"/>
      <c r="J376" s="1789"/>
    </row>
    <row r="377" ht="15" customHeight="1">
      <c r="A377" t="s" s="1799">
        <v>3166</v>
      </c>
      <c r="B377" t="s" s="1800">
        <v>3167</v>
      </c>
      <c r="C377" s="1801">
        <v>655904864</v>
      </c>
      <c r="D377" s="1801">
        <v>78858372</v>
      </c>
      <c r="E377" s="1789"/>
      <c r="F377" s="1836" cm="1">
        <f t="array" ref="F377">C377-D377</f>
        <v>577046492</v>
      </c>
      <c r="G377" t="s" s="1837">
        <v>2452</v>
      </c>
      <c r="H377" s="1789"/>
      <c r="I377" s="1789"/>
      <c r="J377" s="1789"/>
    </row>
    <row r="378" ht="15" customHeight="1">
      <c r="A378" t="s" s="1799">
        <v>3168</v>
      </c>
      <c r="B378" t="s" s="1800">
        <v>3169</v>
      </c>
      <c r="C378" s="1801">
        <v>12849313</v>
      </c>
      <c r="D378" s="1801">
        <v>-20000000</v>
      </c>
      <c r="E378" s="1789"/>
      <c r="F378" s="1836" cm="1">
        <f t="array" ref="F378">C378-D378</f>
        <v>32849313</v>
      </c>
      <c r="G378" t="s" s="1837">
        <v>2452</v>
      </c>
      <c r="H378" s="1789"/>
      <c r="I378" s="1789"/>
      <c r="J378" s="1789"/>
    </row>
    <row r="379" ht="15" customHeight="1">
      <c r="A379" t="s" s="1799">
        <v>3170</v>
      </c>
      <c r="B379" t="s" s="1800">
        <v>3171</v>
      </c>
      <c r="C379" s="1801">
        <v>928829299</v>
      </c>
      <c r="D379" s="1801">
        <v>985246149</v>
      </c>
      <c r="E379" s="1789"/>
      <c r="F379" s="1836" cm="1">
        <f t="array" ref="F379">C379-D379</f>
        <v>-56416850</v>
      </c>
      <c r="G379" t="s" s="1837">
        <v>2452</v>
      </c>
      <c r="H379" s="1789"/>
      <c r="I379" s="1789"/>
      <c r="J379" s="1789"/>
    </row>
    <row r="380" ht="15" customHeight="1">
      <c r="A380" t="s" s="1799">
        <v>3112</v>
      </c>
      <c r="B380" t="s" s="1800">
        <v>3172</v>
      </c>
      <c r="C380" s="1801">
        <v>587730528</v>
      </c>
      <c r="D380" s="1801">
        <v>145000000</v>
      </c>
      <c r="E380" s="1789"/>
      <c r="F380" s="1836" cm="1">
        <f t="array" ref="F380">C380-D380</f>
        <v>442730528</v>
      </c>
      <c r="G380" t="s" s="1837">
        <v>2452</v>
      </c>
      <c r="H380" s="1789"/>
      <c r="I380" s="1789"/>
      <c r="J380" s="1789"/>
    </row>
    <row r="381" ht="15" customHeight="1">
      <c r="A381" t="s" s="1799">
        <v>3173</v>
      </c>
      <c r="B381" t="s" s="1800">
        <v>3174</v>
      </c>
      <c r="C381" s="1801">
        <v>83339415</v>
      </c>
      <c r="D381" s="1801">
        <v>33000000</v>
      </c>
      <c r="E381" s="1789"/>
      <c r="F381" s="1836" cm="1">
        <f t="array" ref="F381">C381-D381</f>
        <v>50339415</v>
      </c>
      <c r="G381" t="s" s="1837">
        <v>2452</v>
      </c>
      <c r="H381" s="1789"/>
      <c r="I381" s="1789"/>
      <c r="J381" s="1789"/>
    </row>
    <row r="382" ht="15" customHeight="1">
      <c r="A382" t="s" s="1799">
        <v>3175</v>
      </c>
      <c r="B382" t="s" s="1800">
        <v>3683</v>
      </c>
      <c r="C382" s="1801">
        <v>1061329687</v>
      </c>
      <c r="D382" s="1801">
        <v>449000000</v>
      </c>
      <c r="E382" s="1789"/>
      <c r="F382" s="1836" cm="1">
        <f t="array" ref="F382">C382-D382</f>
        <v>612329687</v>
      </c>
      <c r="G382" t="s" s="1837">
        <v>2452</v>
      </c>
      <c r="H382" s="1789"/>
      <c r="I382" s="1789"/>
      <c r="J382" s="1789"/>
    </row>
    <row r="383" ht="15" customHeight="1">
      <c r="A383" t="s" s="1799">
        <v>3684</v>
      </c>
      <c r="B383" t="s" s="1800">
        <v>3685</v>
      </c>
      <c r="C383" s="1801">
        <v>3243326.2</v>
      </c>
      <c r="D383" s="1801">
        <v>3243326.2</v>
      </c>
      <c r="E383" s="1789"/>
      <c r="F383" s="1836" cm="1">
        <f t="array" ref="F383">C383-D383</f>
        <v>0</v>
      </c>
      <c r="G383" t="s" s="1837">
        <v>2452</v>
      </c>
      <c r="H383" s="1789"/>
      <c r="I383" s="1789"/>
      <c r="J383" s="1789"/>
    </row>
    <row r="384" ht="15" customHeight="1">
      <c r="A384" t="s" s="1799">
        <v>3177</v>
      </c>
      <c r="B384" t="s" s="1800">
        <v>3686</v>
      </c>
      <c r="C384" s="1801">
        <v>100000</v>
      </c>
      <c r="D384" s="1801">
        <v>29154000</v>
      </c>
      <c r="E384" s="1789"/>
      <c r="F384" s="1836" cm="1">
        <f t="array" ref="F384">C384-D384</f>
        <v>-29054000</v>
      </c>
      <c r="G384" t="s" s="1837">
        <v>2452</v>
      </c>
      <c r="H384" s="1789"/>
      <c r="I384" s="1789"/>
      <c r="J384" s="1789"/>
    </row>
    <row r="385" ht="15" customHeight="1">
      <c r="A385" t="s" s="1799">
        <v>3179</v>
      </c>
      <c r="B385" t="s" s="1800">
        <v>3687</v>
      </c>
      <c r="C385" s="1801">
        <v>57621675</v>
      </c>
      <c r="D385" s="1801">
        <v>51000000</v>
      </c>
      <c r="E385" s="1789"/>
      <c r="F385" s="1836" cm="1">
        <f t="array" ref="F385">C385-D385</f>
        <v>6621675</v>
      </c>
      <c r="G385" t="s" s="1837">
        <v>2452</v>
      </c>
      <c r="H385" s="1789"/>
      <c r="I385" s="1789"/>
      <c r="J385" s="1789"/>
    </row>
    <row r="386" ht="15" customHeight="1">
      <c r="A386" t="s" s="1799">
        <v>3181</v>
      </c>
      <c r="B386" t="s" s="1800">
        <v>3688</v>
      </c>
      <c r="C386" s="1801">
        <v>41166750</v>
      </c>
      <c r="D386" s="1801">
        <v>20000000</v>
      </c>
      <c r="E386" s="1789"/>
      <c r="F386" s="1836" cm="1">
        <f t="array" ref="F386">C386-D386</f>
        <v>21166750</v>
      </c>
      <c r="G386" t="s" s="1837">
        <v>2452</v>
      </c>
      <c r="H386" s="1789"/>
      <c r="I386" s="1789"/>
      <c r="J386" s="1789"/>
    </row>
    <row r="387" ht="15" customHeight="1">
      <c r="A387" t="s" s="1799">
        <v>3183</v>
      </c>
      <c r="B387" t="s" s="1800">
        <v>3689</v>
      </c>
      <c r="C387" s="1801">
        <v>216184765</v>
      </c>
      <c r="D387" s="1801">
        <v>56582000</v>
      </c>
      <c r="E387" s="1789"/>
      <c r="F387" s="1836" cm="1">
        <f t="array" ref="F387">C387-D387</f>
        <v>159602765</v>
      </c>
      <c r="G387" t="s" s="1837">
        <v>2452</v>
      </c>
      <c r="H387" s="1789"/>
      <c r="I387" s="1789"/>
      <c r="J387" s="1789"/>
    </row>
    <row r="388" ht="15" customHeight="1">
      <c r="A388" t="s" s="1799">
        <v>3185</v>
      </c>
      <c r="B388" t="s" s="1800">
        <v>3690</v>
      </c>
      <c r="C388" s="1801">
        <v>49231040</v>
      </c>
      <c r="D388" s="1801">
        <v>20000</v>
      </c>
      <c r="E388" s="1789"/>
      <c r="F388" s="1836" cm="1">
        <f t="array" ref="F388">C388-D388</f>
        <v>49211040</v>
      </c>
      <c r="G388" t="s" s="1837">
        <v>2452</v>
      </c>
      <c r="H388" s="1789"/>
      <c r="I388" s="1789"/>
      <c r="J388" s="1789"/>
    </row>
    <row r="389" ht="15" customHeight="1">
      <c r="A389" t="s" s="1799">
        <v>3187</v>
      </c>
      <c r="B389" t="s" s="1800">
        <v>3188</v>
      </c>
      <c r="C389" s="1801">
        <v>-256602999</v>
      </c>
      <c r="D389" s="1801">
        <v>19100000</v>
      </c>
      <c r="E389" s="1789"/>
      <c r="F389" s="1836" cm="1">
        <f t="array" ref="F389">C389-D389</f>
        <v>-275702999</v>
      </c>
      <c r="G389" t="s" s="1837">
        <v>2452</v>
      </c>
      <c r="H389" s="1789"/>
      <c r="I389" s="1789"/>
      <c r="J389" s="1789"/>
    </row>
    <row r="390" ht="15" customHeight="1">
      <c r="A390" t="s" s="1799">
        <v>3189</v>
      </c>
      <c r="B390" t="s" s="1800">
        <v>3190</v>
      </c>
      <c r="C390" s="1801">
        <v>351622145</v>
      </c>
      <c r="D390" s="1801">
        <v>3692000</v>
      </c>
      <c r="E390" s="1789"/>
      <c r="F390" s="1836" cm="1">
        <f t="array" ref="F390">C390-D390</f>
        <v>347930145</v>
      </c>
      <c r="G390" t="s" s="1837">
        <v>2452</v>
      </c>
      <c r="H390" s="1789"/>
      <c r="I390" s="1789"/>
      <c r="J390" s="1789"/>
    </row>
    <row r="391" ht="15" customHeight="1">
      <c r="A391" t="s" s="1799">
        <v>3191</v>
      </c>
      <c r="B391" t="s" s="1800">
        <v>3192</v>
      </c>
      <c r="C391" s="1801">
        <v>-56394048</v>
      </c>
      <c r="D391" s="1801">
        <v>750000</v>
      </c>
      <c r="E391" s="1789"/>
      <c r="F391" s="1836" cm="1">
        <f t="array" ref="F391">C391-D391</f>
        <v>-57144048</v>
      </c>
      <c r="G391" t="s" s="1837">
        <v>2452</v>
      </c>
      <c r="H391" s="1789"/>
      <c r="I391" s="1789"/>
      <c r="J391" s="1789"/>
    </row>
    <row r="392" ht="15" customHeight="1">
      <c r="A392" t="s" s="1799">
        <v>3193</v>
      </c>
      <c r="B392" t="s" s="1800">
        <v>3194</v>
      </c>
      <c r="C392" s="1801">
        <v>47220000</v>
      </c>
      <c r="D392" s="1801">
        <v>0</v>
      </c>
      <c r="E392" s="1789"/>
      <c r="F392" s="1836" cm="1">
        <f t="array" ref="F392">C392-D392</f>
        <v>47220000</v>
      </c>
      <c r="G392" t="s" s="1837">
        <v>2452</v>
      </c>
      <c r="H392" s="1789"/>
      <c r="I392" s="1789"/>
      <c r="J392" s="1789"/>
    </row>
    <row r="393" ht="15" customHeight="1">
      <c r="A393" t="s" s="1799">
        <v>3195</v>
      </c>
      <c r="B393" t="s" s="1800">
        <v>3196</v>
      </c>
      <c r="C393" s="1801">
        <v>4165000</v>
      </c>
      <c r="D393" s="1801">
        <v>0</v>
      </c>
      <c r="E393" s="1789"/>
      <c r="F393" s="1836" cm="1">
        <f t="array" ref="F393">C393-D393</f>
        <v>4165000</v>
      </c>
      <c r="G393" s="1836"/>
      <c r="H393" s="1789"/>
      <c r="I393" s="1789"/>
      <c r="J393" s="1789"/>
    </row>
    <row r="394" ht="15" customHeight="1">
      <c r="A394" t="s" s="1799">
        <v>3197</v>
      </c>
      <c r="B394" t="s" s="1800">
        <v>3691</v>
      </c>
      <c r="C394" s="1801">
        <v>134327048</v>
      </c>
      <c r="D394" s="1801">
        <v>0</v>
      </c>
      <c r="E394" s="1789"/>
      <c r="F394" s="1836" cm="1">
        <f t="array" ref="F394">C394-D394</f>
        <v>134327048</v>
      </c>
      <c r="G394" t="s" s="1837">
        <v>2452</v>
      </c>
      <c r="H394" s="1789"/>
      <c r="I394" s="1789"/>
      <c r="J394" s="1789"/>
    </row>
    <row r="395" ht="15" customHeight="1">
      <c r="A395" t="s" s="1799">
        <v>3199</v>
      </c>
      <c r="B395" t="s" s="1800">
        <v>3200</v>
      </c>
      <c r="C395" s="1801">
        <v>-45899215</v>
      </c>
      <c r="D395" s="1801">
        <v>0</v>
      </c>
      <c r="E395" s="1789"/>
      <c r="F395" s="1836" cm="1">
        <f t="array" ref="F395">C395-D395</f>
        <v>-45899215</v>
      </c>
      <c r="G395" t="s" s="1837">
        <v>2452</v>
      </c>
      <c r="H395" s="1789"/>
      <c r="I395" s="1789"/>
      <c r="J395" s="1789"/>
    </row>
    <row r="396" ht="15" customHeight="1">
      <c r="A396" t="s" s="1799">
        <v>3201</v>
      </c>
      <c r="B396" t="s" s="1800">
        <v>3692</v>
      </c>
      <c r="C396" s="1801">
        <v>14905177</v>
      </c>
      <c r="D396" s="1801">
        <v>0</v>
      </c>
      <c r="E396" s="1789"/>
      <c r="F396" s="1836" cm="1">
        <f t="array" ref="F396">C396-D396</f>
        <v>14905177</v>
      </c>
      <c r="G396" t="s" s="1837">
        <v>2452</v>
      </c>
      <c r="H396" s="1789"/>
      <c r="I396" s="1789"/>
      <c r="J396" s="1789"/>
    </row>
    <row r="397" ht="15" customHeight="1">
      <c r="A397" t="s" s="1799">
        <v>3201</v>
      </c>
      <c r="B397" t="s" s="1800">
        <v>3203</v>
      </c>
      <c r="C397" s="1801">
        <v>343806664</v>
      </c>
      <c r="D397" s="1801">
        <v>0</v>
      </c>
      <c r="E397" s="1789"/>
      <c r="F397" s="1836" cm="1">
        <f t="array" ref="F397">C397-D397</f>
        <v>343806664</v>
      </c>
      <c r="G397" t="s" s="1837">
        <v>2452</v>
      </c>
      <c r="H397" s="1789"/>
      <c r="I397" s="1789"/>
      <c r="J397" s="1789"/>
    </row>
    <row r="398" ht="15" customHeight="1">
      <c r="A398" t="s" s="1799">
        <v>3204</v>
      </c>
      <c r="B398" t="s" s="1800">
        <v>3205</v>
      </c>
      <c r="C398" s="1801">
        <v>254459411.5</v>
      </c>
      <c r="D398" s="1801">
        <v>0</v>
      </c>
      <c r="E398" s="1789"/>
      <c r="F398" s="1836" cm="1">
        <f t="array" ref="F398">C398-D398</f>
        <v>254459411.5</v>
      </c>
      <c r="G398" t="s" s="1837">
        <v>2452</v>
      </c>
      <c r="H398" s="1789"/>
      <c r="I398" s="1789"/>
      <c r="J398" s="1789"/>
    </row>
    <row r="399" ht="15" customHeight="1">
      <c r="A399" t="s" s="1799">
        <v>3206</v>
      </c>
      <c r="B399" t="s" s="1800">
        <v>3207</v>
      </c>
      <c r="C399" s="1801">
        <v>1203638472.5</v>
      </c>
      <c r="D399" s="1801">
        <v>0</v>
      </c>
      <c r="E399" s="1789"/>
      <c r="F399" s="1836" cm="1">
        <f t="array" ref="F399">C399-D399</f>
        <v>1203638472.5</v>
      </c>
      <c r="G399" t="s" s="1837">
        <v>2452</v>
      </c>
      <c r="H399" s="1789"/>
      <c r="I399" s="1789"/>
      <c r="J399" s="1789"/>
    </row>
    <row r="400" ht="15" customHeight="1">
      <c r="A400" t="s" s="1799">
        <v>3208</v>
      </c>
      <c r="B400" t="s" s="1800">
        <v>3209</v>
      </c>
      <c r="C400" s="1801">
        <v>17166019</v>
      </c>
      <c r="D400" s="1801">
        <v>0</v>
      </c>
      <c r="E400" s="1789"/>
      <c r="F400" s="1836" cm="1">
        <f t="array" ref="F400">C400-D400</f>
        <v>17166019</v>
      </c>
      <c r="G400" t="s" s="1837">
        <v>2452</v>
      </c>
      <c r="H400" s="1789"/>
      <c r="I400" s="1789"/>
      <c r="J400" s="1789"/>
    </row>
    <row r="401" ht="15" customHeight="1">
      <c r="A401" t="s" s="1799">
        <v>3210</v>
      </c>
      <c r="B401" t="s" s="1800">
        <v>3211</v>
      </c>
      <c r="C401" s="1801">
        <v>131145000</v>
      </c>
      <c r="D401" s="1801">
        <v>0</v>
      </c>
      <c r="E401" s="1789"/>
      <c r="F401" s="1836" cm="1">
        <f t="array" ref="F401">C401-D401</f>
        <v>131145000</v>
      </c>
      <c r="G401" t="s" s="1837">
        <v>2452</v>
      </c>
      <c r="H401" s="1789"/>
      <c r="I401" s="1789"/>
      <c r="J401" s="1789"/>
    </row>
    <row r="402" ht="15" customHeight="1">
      <c r="A402" t="s" s="1799">
        <v>3212</v>
      </c>
      <c r="B402" t="s" s="1800">
        <v>3693</v>
      </c>
      <c r="C402" s="1801">
        <v>195136000</v>
      </c>
      <c r="D402" s="1801">
        <v>0</v>
      </c>
      <c r="E402" s="1789"/>
      <c r="F402" s="1836" cm="1">
        <f t="array" ref="F402">C402-D402</f>
        <v>195136000</v>
      </c>
      <c r="G402" t="s" s="1837">
        <v>2452</v>
      </c>
      <c r="H402" s="1789"/>
      <c r="I402" s="1789"/>
      <c r="J402" s="1789"/>
    </row>
    <row r="403" ht="15" customHeight="1">
      <c r="A403" t="s" s="1799">
        <v>3214</v>
      </c>
      <c r="B403" t="s" s="1800">
        <v>3215</v>
      </c>
      <c r="C403" s="1801">
        <v>178074632</v>
      </c>
      <c r="D403" s="1801">
        <v>0</v>
      </c>
      <c r="E403" s="1789"/>
      <c r="F403" s="1836" cm="1">
        <f t="array" ref="F403">C403-D403</f>
        <v>178074632</v>
      </c>
      <c r="G403" t="s" s="1837">
        <v>2452</v>
      </c>
      <c r="H403" s="1789"/>
      <c r="I403" s="1789"/>
      <c r="J403" s="1789"/>
    </row>
    <row r="404" ht="15" customHeight="1">
      <c r="A404" t="s" s="1799">
        <v>3216</v>
      </c>
      <c r="B404" t="s" s="1800">
        <v>3217</v>
      </c>
      <c r="C404" s="1801">
        <v>3000000</v>
      </c>
      <c r="D404" s="1801">
        <v>0</v>
      </c>
      <c r="E404" s="1789"/>
      <c r="F404" s="1836" cm="1">
        <f t="array" ref="F404">C404-D404</f>
        <v>3000000</v>
      </c>
      <c r="G404" t="s" s="1837">
        <v>2452</v>
      </c>
      <c r="H404" s="1789"/>
      <c r="I404" s="1789"/>
      <c r="J404" s="1789"/>
    </row>
    <row r="405" ht="15" customHeight="1">
      <c r="A405" t="s" s="1799">
        <v>3218</v>
      </c>
      <c r="B405" t="s" s="1800">
        <v>3219</v>
      </c>
      <c r="C405" s="1801">
        <v>32694991</v>
      </c>
      <c r="D405" s="1801">
        <v>0</v>
      </c>
      <c r="E405" s="1789"/>
      <c r="F405" s="1836" cm="1">
        <f t="array" ref="F405">C405-D405</f>
        <v>32694991</v>
      </c>
      <c r="G405" t="s" s="1837">
        <v>2452</v>
      </c>
      <c r="H405" s="1789"/>
      <c r="I405" s="1789"/>
      <c r="J405" s="1789"/>
    </row>
    <row r="406" ht="15" customHeight="1">
      <c r="A406" t="s" s="1799">
        <v>3220</v>
      </c>
      <c r="B406" t="s" s="1800">
        <v>3221</v>
      </c>
      <c r="C406" s="1801">
        <v>49612409</v>
      </c>
      <c r="D406" s="1801">
        <v>0</v>
      </c>
      <c r="E406" s="1789"/>
      <c r="F406" s="1836" cm="1">
        <f t="array" ref="F406">C406-D406</f>
        <v>49612409</v>
      </c>
      <c r="G406" t="s" s="1837">
        <v>2452</v>
      </c>
      <c r="H406" s="1789"/>
      <c r="I406" s="1789"/>
      <c r="J406" s="1789"/>
    </row>
    <row r="407" ht="15" customHeight="1">
      <c r="A407" t="s" s="1799">
        <v>3222</v>
      </c>
      <c r="B407" t="s" s="1800">
        <v>3223</v>
      </c>
      <c r="C407" s="1801">
        <v>1233902131</v>
      </c>
      <c r="D407" s="1801">
        <v>0</v>
      </c>
      <c r="E407" s="1789"/>
      <c r="F407" s="1836" cm="1">
        <f t="array" ref="F407">C407-D407</f>
        <v>1233902131</v>
      </c>
      <c r="G407" t="s" s="1837">
        <v>2452</v>
      </c>
      <c r="H407" s="1789"/>
      <c r="I407" s="1789"/>
      <c r="J407" s="1789"/>
    </row>
    <row r="408" ht="15" customHeight="1">
      <c r="A408" t="s" s="1799">
        <v>3224</v>
      </c>
      <c r="B408" t="s" s="1800">
        <v>3225</v>
      </c>
      <c r="C408" s="1801">
        <v>155251808.01</v>
      </c>
      <c r="D408" s="1801">
        <v>0</v>
      </c>
      <c r="E408" s="1789"/>
      <c r="F408" s="1836" cm="1">
        <f t="array" ref="F408">C408-D408</f>
        <v>155251808.01</v>
      </c>
      <c r="G408" t="s" s="1837">
        <v>2452</v>
      </c>
      <c r="H408" s="1789"/>
      <c r="I408" s="1789"/>
      <c r="J408" s="1789"/>
    </row>
    <row r="409" ht="15" customHeight="1">
      <c r="A409" t="s" s="1799">
        <v>3226</v>
      </c>
      <c r="B409" t="s" s="1800">
        <v>3227</v>
      </c>
      <c r="C409" s="1801">
        <v>15723806</v>
      </c>
      <c r="D409" s="1801">
        <v>0</v>
      </c>
      <c r="E409" s="1789"/>
      <c r="F409" s="1836" cm="1">
        <f t="array" ref="F409">C409-D409</f>
        <v>15723806</v>
      </c>
      <c r="G409" t="s" s="1837">
        <v>2452</v>
      </c>
      <c r="H409" s="1789"/>
      <c r="I409" s="1789"/>
      <c r="J409" s="1789"/>
    </row>
    <row r="410" ht="15" customHeight="1">
      <c r="A410" t="s" s="1799">
        <v>3228</v>
      </c>
      <c r="B410" t="s" s="1800">
        <v>3229</v>
      </c>
      <c r="C410" s="1801">
        <v>32359001</v>
      </c>
      <c r="D410" s="1801">
        <v>0</v>
      </c>
      <c r="E410" s="1789"/>
      <c r="F410" s="1836" cm="1">
        <f t="array" ref="F410">C410-D410</f>
        <v>32359001</v>
      </c>
      <c r="G410" t="s" s="1837">
        <v>2452</v>
      </c>
      <c r="H410" s="1789"/>
      <c r="I410" s="1789"/>
      <c r="J410" s="1789"/>
    </row>
    <row r="411" ht="15" customHeight="1">
      <c r="A411" t="s" s="1799">
        <v>3230</v>
      </c>
      <c r="B411" t="s" s="1800">
        <v>3231</v>
      </c>
      <c r="C411" s="1801">
        <v>141921000</v>
      </c>
      <c r="D411" s="1801">
        <v>3500000</v>
      </c>
      <c r="E411" s="1789"/>
      <c r="F411" s="1836" cm="1">
        <f t="array" ref="F411">C411-D411</f>
        <v>138421000</v>
      </c>
      <c r="G411" t="s" s="1837">
        <v>2452</v>
      </c>
      <c r="H411" s="1789"/>
      <c r="I411" s="1789"/>
      <c r="J411" s="1789"/>
    </row>
    <row r="412" ht="15" customHeight="1">
      <c r="A412" t="s" s="1799">
        <v>3232</v>
      </c>
      <c r="B412" t="s" s="1800">
        <v>3233</v>
      </c>
      <c r="C412" s="1801">
        <v>20804000</v>
      </c>
      <c r="D412" s="1801">
        <v>0</v>
      </c>
      <c r="E412" s="1789"/>
      <c r="F412" s="1836" cm="1">
        <f t="array" ref="F412">C412-D412</f>
        <v>20804000</v>
      </c>
      <c r="G412" t="s" s="1837">
        <v>2452</v>
      </c>
      <c r="H412" s="1789"/>
      <c r="I412" s="1789"/>
      <c r="J412" s="1789"/>
    </row>
    <row r="413" ht="15" customHeight="1">
      <c r="A413" t="s" s="1799">
        <v>3234</v>
      </c>
      <c r="B413" t="s" s="1800">
        <v>3235</v>
      </c>
      <c r="C413" s="1801">
        <v>46682000</v>
      </c>
      <c r="D413" s="1801">
        <v>0</v>
      </c>
      <c r="E413" s="1789"/>
      <c r="F413" s="1836" cm="1">
        <f t="array" ref="F413">C413-D413</f>
        <v>46682000</v>
      </c>
      <c r="G413" t="s" s="1837">
        <v>2452</v>
      </c>
      <c r="H413" s="1789"/>
      <c r="I413" s="1789"/>
      <c r="J413" s="1789"/>
    </row>
    <row r="414" ht="15" customHeight="1">
      <c r="A414" t="s" s="1799">
        <v>3236</v>
      </c>
      <c r="B414" t="s" s="1800">
        <v>3237</v>
      </c>
      <c r="C414" s="1801">
        <v>102967134</v>
      </c>
      <c r="D414" s="1801">
        <v>0</v>
      </c>
      <c r="E414" s="1789"/>
      <c r="F414" s="1836" cm="1">
        <f t="array" ref="F414">C414-D414</f>
        <v>102967134</v>
      </c>
      <c r="G414" t="s" s="1837">
        <v>2452</v>
      </c>
      <c r="H414" s="1789"/>
      <c r="I414" s="1789"/>
      <c r="J414" s="1789"/>
    </row>
    <row r="415" ht="15" customHeight="1">
      <c r="A415" t="s" s="1799">
        <v>3238</v>
      </c>
      <c r="B415" t="s" s="1800">
        <v>3239</v>
      </c>
      <c r="C415" s="1801">
        <v>41012526</v>
      </c>
      <c r="D415" s="1801">
        <v>0</v>
      </c>
      <c r="E415" s="1789"/>
      <c r="F415" s="1836" cm="1">
        <f t="array" ref="F415">C415-D415</f>
        <v>41012526</v>
      </c>
      <c r="G415" t="s" s="1837">
        <v>2452</v>
      </c>
      <c r="H415" s="1789"/>
      <c r="I415" s="1789"/>
      <c r="J415" s="1789"/>
    </row>
    <row r="416" ht="15" customHeight="1">
      <c r="A416" t="s" s="1799">
        <v>3240</v>
      </c>
      <c r="B416" t="s" s="1800">
        <v>3241</v>
      </c>
      <c r="C416" s="1801">
        <v>13592000</v>
      </c>
      <c r="D416" s="1801">
        <v>0</v>
      </c>
      <c r="E416" s="1789"/>
      <c r="F416" s="1836" cm="1">
        <f t="array" ref="F416">C416-D416</f>
        <v>13592000</v>
      </c>
      <c r="G416" t="s" s="1837">
        <v>2452</v>
      </c>
      <c r="H416" s="1789"/>
      <c r="I416" s="1789"/>
      <c r="J416" s="1789"/>
    </row>
    <row r="417" ht="15" customHeight="1">
      <c r="A417" t="s" s="1799">
        <v>3242</v>
      </c>
      <c r="B417" t="s" s="1800">
        <v>3243</v>
      </c>
      <c r="C417" s="1801">
        <v>22000000</v>
      </c>
      <c r="D417" s="1801">
        <v>0</v>
      </c>
      <c r="E417" s="1789"/>
      <c r="F417" s="1836" cm="1">
        <f t="array" ref="F417">C417-D417</f>
        <v>22000000</v>
      </c>
      <c r="G417" t="s" s="1837">
        <v>2452</v>
      </c>
      <c r="H417" s="1789"/>
      <c r="I417" s="1789"/>
      <c r="J417" s="1789"/>
    </row>
    <row r="418" ht="15" customHeight="1">
      <c r="A418" t="s" s="1799">
        <v>3244</v>
      </c>
      <c r="B418" t="s" s="1800">
        <v>3245</v>
      </c>
      <c r="C418" s="1801">
        <v>-32791500</v>
      </c>
      <c r="D418" s="1801">
        <v>0</v>
      </c>
      <c r="E418" s="1789"/>
      <c r="F418" s="1836" cm="1">
        <f t="array" ref="F418">C418-D418</f>
        <v>-32791500</v>
      </c>
      <c r="G418" t="s" s="1837">
        <v>2452</v>
      </c>
      <c r="H418" s="1789"/>
      <c r="I418" s="1789"/>
      <c r="J418" s="1789"/>
    </row>
    <row r="419" ht="15" customHeight="1">
      <c r="A419" t="s" s="1799">
        <v>3246</v>
      </c>
      <c r="B419" t="s" s="1800">
        <v>3247</v>
      </c>
      <c r="C419" s="1801">
        <v>30000000</v>
      </c>
      <c r="D419" s="1801">
        <v>0</v>
      </c>
      <c r="E419" s="1789"/>
      <c r="F419" s="1836" cm="1">
        <f t="array" ref="F419">C419-D419</f>
        <v>30000000</v>
      </c>
      <c r="G419" t="s" s="1837">
        <v>2452</v>
      </c>
      <c r="H419" s="1789"/>
      <c r="I419" s="1789"/>
      <c r="J419" s="1789"/>
    </row>
    <row r="420" ht="15" customHeight="1">
      <c r="A420" t="s" s="1799">
        <v>3248</v>
      </c>
      <c r="B420" t="s" s="1800">
        <v>3249</v>
      </c>
      <c r="C420" s="1801">
        <v>3000000</v>
      </c>
      <c r="D420" s="1801">
        <v>0</v>
      </c>
      <c r="E420" s="1789"/>
      <c r="F420" s="1836" cm="1">
        <f t="array" ref="F420">C420-D420</f>
        <v>3000000</v>
      </c>
      <c r="G420" t="s" s="1837">
        <v>2452</v>
      </c>
      <c r="H420" s="1789"/>
      <c r="I420" s="1789"/>
      <c r="J420" s="1789"/>
    </row>
    <row r="421" ht="15" customHeight="1">
      <c r="A421" t="s" s="1799">
        <v>3250</v>
      </c>
      <c r="B421" t="s" s="1800">
        <v>3251</v>
      </c>
      <c r="C421" s="1801">
        <v>241916371</v>
      </c>
      <c r="D421" s="1801">
        <v>0</v>
      </c>
      <c r="E421" s="1789"/>
      <c r="F421" s="1836" cm="1">
        <f t="array" ref="F421">C421-D421</f>
        <v>241916371</v>
      </c>
      <c r="G421" t="s" s="1837">
        <v>2452</v>
      </c>
      <c r="H421" s="1789"/>
      <c r="I421" s="1789"/>
      <c r="J421" s="1789"/>
    </row>
    <row r="422" ht="15" customHeight="1">
      <c r="A422" t="s" s="1799">
        <v>3252</v>
      </c>
      <c r="B422" t="s" s="1800">
        <v>3253</v>
      </c>
      <c r="C422" s="1801">
        <v>30100000</v>
      </c>
      <c r="D422" s="1801">
        <v>0</v>
      </c>
      <c r="E422" s="1789"/>
      <c r="F422" s="1836" cm="1">
        <f t="array" ref="F422">C422-D422</f>
        <v>30100000</v>
      </c>
      <c r="G422" t="s" s="1837">
        <v>2452</v>
      </c>
      <c r="H422" s="1789"/>
      <c r="I422" s="1789"/>
      <c r="J422" s="1789"/>
    </row>
    <row r="423" ht="15" customHeight="1">
      <c r="A423" t="s" s="1799">
        <v>3254</v>
      </c>
      <c r="B423" t="s" s="1800">
        <v>3255</v>
      </c>
      <c r="C423" s="1801">
        <v>256877489</v>
      </c>
      <c r="D423" s="1801">
        <v>0</v>
      </c>
      <c r="E423" s="1789"/>
      <c r="F423" s="1836" cm="1">
        <f t="array" ref="F423">C423-D423</f>
        <v>256877489</v>
      </c>
      <c r="G423" t="s" s="1837">
        <v>2452</v>
      </c>
      <c r="H423" s="1789"/>
      <c r="I423" s="1789"/>
      <c r="J423" s="1789"/>
    </row>
    <row r="424" ht="15" customHeight="1">
      <c r="A424" t="s" s="1799">
        <v>3256</v>
      </c>
      <c r="B424" t="s" s="1800">
        <v>3257</v>
      </c>
      <c r="C424" s="1801">
        <v>10000000</v>
      </c>
      <c r="D424" s="1801">
        <v>0</v>
      </c>
      <c r="E424" s="1789"/>
      <c r="F424" s="1836" cm="1">
        <f t="array" ref="F424">C424-D424</f>
        <v>10000000</v>
      </c>
      <c r="G424" t="s" s="1837">
        <v>2452</v>
      </c>
      <c r="H424" s="1789"/>
      <c r="I424" s="1789"/>
      <c r="J424" s="1789"/>
    </row>
    <row r="425" ht="15" customHeight="1">
      <c r="A425" t="s" s="1799">
        <v>3258</v>
      </c>
      <c r="B425" t="s" s="1800">
        <v>3259</v>
      </c>
      <c r="C425" s="1801">
        <v>916295849</v>
      </c>
      <c r="D425" s="1801">
        <v>0</v>
      </c>
      <c r="E425" s="1789"/>
      <c r="F425" s="1836" cm="1">
        <f t="array" ref="F425">C425-D425</f>
        <v>916295849</v>
      </c>
      <c r="G425" t="s" s="1837">
        <v>2452</v>
      </c>
      <c r="H425" s="1789"/>
      <c r="I425" s="1789"/>
      <c r="J425" s="1789"/>
    </row>
    <row r="426" ht="15" customHeight="1">
      <c r="A426" t="s" s="1799">
        <v>3258</v>
      </c>
      <c r="B426" t="s" s="1800">
        <v>3260</v>
      </c>
      <c r="C426" s="1801">
        <v>60000000</v>
      </c>
      <c r="D426" s="1801">
        <v>0</v>
      </c>
      <c r="E426" s="1789"/>
      <c r="F426" s="1836" cm="1">
        <f t="array" ref="F426">C426-D426</f>
        <v>60000000</v>
      </c>
      <c r="G426" t="s" s="1837">
        <v>2452</v>
      </c>
      <c r="H426" s="1789"/>
      <c r="I426" s="1789"/>
      <c r="J426" s="1789"/>
    </row>
    <row r="427" ht="15" customHeight="1">
      <c r="A427" t="s" s="1799">
        <v>3261</v>
      </c>
      <c r="B427" t="s" s="1800">
        <v>3694</v>
      </c>
      <c r="C427" s="1801">
        <v>63283334</v>
      </c>
      <c r="D427" s="1801">
        <v>0</v>
      </c>
      <c r="E427" s="1789"/>
      <c r="F427" s="1836" cm="1">
        <f t="array" ref="F427">C427-D427</f>
        <v>63283334</v>
      </c>
      <c r="G427" t="s" s="1837">
        <v>2452</v>
      </c>
      <c r="H427" s="1789"/>
      <c r="I427" s="1789"/>
      <c r="J427" s="1789"/>
    </row>
    <row r="428" ht="15" customHeight="1">
      <c r="A428" t="s" s="1799">
        <v>3263</v>
      </c>
      <c r="B428" t="s" s="1800">
        <v>3314</v>
      </c>
      <c r="C428" s="1801">
        <v>652371241</v>
      </c>
      <c r="D428" s="1801">
        <v>0</v>
      </c>
      <c r="E428" s="1789"/>
      <c r="F428" s="1836" cm="1">
        <f t="array" ref="F428">C428-D428</f>
        <v>652371241</v>
      </c>
      <c r="G428" t="s" s="1837">
        <v>2452</v>
      </c>
      <c r="H428" s="1789"/>
      <c r="I428" s="1789"/>
      <c r="J428" s="1789"/>
    </row>
    <row r="429" ht="15" customHeight="1">
      <c r="A429" t="s" s="1799">
        <v>3263</v>
      </c>
      <c r="B429" t="s" s="1800">
        <v>3695</v>
      </c>
      <c r="C429" s="1801">
        <v>92443209</v>
      </c>
      <c r="D429" s="1801">
        <v>0</v>
      </c>
      <c r="E429" s="1789"/>
      <c r="F429" s="1836" cm="1">
        <f t="array" ref="F429">C429-D429</f>
        <v>92443209</v>
      </c>
      <c r="G429" t="s" s="1837">
        <v>2452</v>
      </c>
      <c r="H429" s="1789"/>
      <c r="I429" s="1789"/>
      <c r="J429" s="1789"/>
    </row>
    <row r="430" ht="15" customHeight="1">
      <c r="A430" t="s" s="1799">
        <v>3265</v>
      </c>
      <c r="B430" t="s" s="1800">
        <v>3316</v>
      </c>
      <c r="C430" s="1801">
        <v>96881618</v>
      </c>
      <c r="D430" s="1801">
        <v>0</v>
      </c>
      <c r="E430" s="1789"/>
      <c r="F430" s="1836" cm="1">
        <f t="array" ref="F430">C430-D430</f>
        <v>96881618</v>
      </c>
      <c r="G430" t="s" s="1837">
        <v>2452</v>
      </c>
      <c r="H430" s="1789"/>
      <c r="I430" s="1789"/>
      <c r="J430" s="1789"/>
    </row>
    <row r="431" ht="15" customHeight="1">
      <c r="A431" t="s" s="1799">
        <v>3265</v>
      </c>
      <c r="B431" t="s" s="1800">
        <v>3266</v>
      </c>
      <c r="C431" s="1801">
        <v>11000000</v>
      </c>
      <c r="D431" s="1801">
        <v>0</v>
      </c>
      <c r="E431" s="1789"/>
      <c r="F431" s="1836" cm="1">
        <f t="array" ref="F431">C431-D431</f>
        <v>11000000</v>
      </c>
      <c r="G431" t="s" s="1837">
        <v>2452</v>
      </c>
      <c r="H431" s="1789"/>
      <c r="I431" s="1789"/>
      <c r="J431" s="1789"/>
    </row>
    <row r="432" ht="15" customHeight="1">
      <c r="A432" t="s" s="1799">
        <v>3267</v>
      </c>
      <c r="B432" t="s" s="1800">
        <v>3696</v>
      </c>
      <c r="C432" s="1801">
        <v>-7219744</v>
      </c>
      <c r="D432" s="1801">
        <v>0</v>
      </c>
      <c r="E432" s="1789"/>
      <c r="F432" s="1836" cm="1">
        <f t="array" ref="F432">C432-D432</f>
        <v>-7219744</v>
      </c>
      <c r="G432" t="s" s="1837">
        <v>2452</v>
      </c>
      <c r="H432" s="1789"/>
      <c r="I432" s="1789"/>
      <c r="J432" s="1789"/>
    </row>
    <row r="433" ht="15" customHeight="1">
      <c r="A433" t="s" s="1799">
        <v>3269</v>
      </c>
      <c r="B433" t="s" s="1800">
        <v>3270</v>
      </c>
      <c r="C433" s="1801">
        <v>414412521</v>
      </c>
      <c r="D433" s="1801">
        <v>0</v>
      </c>
      <c r="E433" s="1789"/>
      <c r="F433" s="1836" cm="1">
        <f t="array" ref="F433">C433-D433</f>
        <v>414412521</v>
      </c>
      <c r="G433" t="s" s="1837">
        <v>2452</v>
      </c>
      <c r="H433" s="1789"/>
      <c r="I433" s="1789"/>
      <c r="J433" s="1789"/>
    </row>
    <row r="434" ht="15" customHeight="1">
      <c r="A434" t="s" s="1799">
        <v>3271</v>
      </c>
      <c r="B434" t="s" s="1800">
        <v>3272</v>
      </c>
      <c r="C434" s="1801">
        <v>60740000</v>
      </c>
      <c r="D434" s="1801">
        <v>0</v>
      </c>
      <c r="E434" s="1789"/>
      <c r="F434" s="1836" cm="1">
        <f t="array" ref="F434">C434-D434</f>
        <v>60740000</v>
      </c>
      <c r="G434" t="s" s="1837">
        <v>2452</v>
      </c>
      <c r="H434" s="1789"/>
      <c r="I434" s="1789"/>
      <c r="J434" s="1789"/>
    </row>
    <row r="435" ht="15" customHeight="1">
      <c r="A435" t="s" s="1799">
        <v>3273</v>
      </c>
      <c r="B435" t="s" s="1800">
        <v>3274</v>
      </c>
      <c r="C435" s="1801">
        <v>160865728</v>
      </c>
      <c r="D435" s="1801">
        <v>0</v>
      </c>
      <c r="E435" s="1789"/>
      <c r="F435" s="1836" cm="1">
        <f t="array" ref="F435">C435-D435</f>
        <v>160865728</v>
      </c>
      <c r="G435" t="s" s="1837">
        <v>2452</v>
      </c>
      <c r="H435" s="1789"/>
      <c r="I435" s="1789"/>
      <c r="J435" s="1789"/>
    </row>
    <row r="436" ht="15" customHeight="1">
      <c r="A436" t="s" s="1799">
        <v>3275</v>
      </c>
      <c r="B436" t="s" s="1800">
        <v>3276</v>
      </c>
      <c r="C436" s="1801">
        <v>109762030</v>
      </c>
      <c r="D436" s="1801">
        <v>0</v>
      </c>
      <c r="E436" s="1789"/>
      <c r="F436" s="1836" cm="1">
        <f t="array" ref="F436">C436-D436</f>
        <v>109762030</v>
      </c>
      <c r="G436" t="s" s="1837">
        <v>2452</v>
      </c>
      <c r="H436" s="1789"/>
      <c r="I436" s="1789"/>
      <c r="J436" s="1789"/>
    </row>
    <row r="437" ht="15" customHeight="1">
      <c r="A437" t="s" s="1799">
        <v>3277</v>
      </c>
      <c r="B437" t="s" s="1800">
        <v>3278</v>
      </c>
      <c r="C437" s="1801">
        <v>50000000</v>
      </c>
      <c r="D437" s="1801">
        <v>0</v>
      </c>
      <c r="E437" s="1789"/>
      <c r="F437" s="1836" cm="1">
        <f t="array" ref="F437">C437-D437</f>
        <v>50000000</v>
      </c>
      <c r="G437" t="s" s="1837">
        <v>2452</v>
      </c>
      <c r="H437" s="1789"/>
      <c r="I437" s="1789"/>
      <c r="J437" s="1789"/>
    </row>
    <row r="438" ht="15" customHeight="1">
      <c r="A438" t="s" s="1799">
        <v>3277</v>
      </c>
      <c r="B438" t="s" s="1800">
        <v>3279</v>
      </c>
      <c r="C438" s="1801">
        <v>59650000</v>
      </c>
      <c r="D438" s="1801">
        <v>0</v>
      </c>
      <c r="E438" s="1789"/>
      <c r="F438" s="1836" cm="1">
        <f t="array" ref="F438">C438-D438</f>
        <v>59650000</v>
      </c>
      <c r="G438" t="s" s="1837">
        <v>2452</v>
      </c>
      <c r="H438" s="1789"/>
      <c r="I438" s="1789"/>
      <c r="J438" s="1789"/>
    </row>
    <row r="439" ht="15" customHeight="1">
      <c r="A439" t="s" s="1799">
        <v>3657</v>
      </c>
      <c r="B439" t="s" s="1800">
        <v>3318</v>
      </c>
      <c r="C439" s="1801">
        <v>12925695.5</v>
      </c>
      <c r="D439" s="1801">
        <v>0</v>
      </c>
      <c r="E439" s="1789"/>
      <c r="F439" s="1836" cm="1">
        <f t="array" ref="F439">C439-D439</f>
        <v>12925695.5</v>
      </c>
      <c r="G439" t="s" s="1837">
        <v>2452</v>
      </c>
      <c r="H439" s="1789"/>
      <c r="I439" s="1789"/>
      <c r="J439" s="1789"/>
    </row>
    <row r="440" ht="15" customHeight="1">
      <c r="A440" t="s" s="1799">
        <v>3280</v>
      </c>
      <c r="B440" t="s" s="1800">
        <v>3474</v>
      </c>
      <c r="C440" s="1801">
        <v>38000000</v>
      </c>
      <c r="D440" s="1801">
        <v>0</v>
      </c>
      <c r="E440" s="1789"/>
      <c r="F440" s="1836" cm="1">
        <f t="array" ref="F440">C440-D440</f>
        <v>38000000</v>
      </c>
      <c r="G440" t="s" s="1837">
        <v>2452</v>
      </c>
      <c r="H440" s="1789"/>
      <c r="I440" s="1789"/>
      <c r="J440" s="1789"/>
    </row>
    <row r="441" ht="15" customHeight="1">
      <c r="A441" t="s" s="1799">
        <v>3280</v>
      </c>
      <c r="B441" t="s" s="1800">
        <v>3281</v>
      </c>
      <c r="C441" s="1801">
        <v>-267178384</v>
      </c>
      <c r="D441" s="1801">
        <v>0</v>
      </c>
      <c r="E441" s="1789"/>
      <c r="F441" s="1836" cm="1">
        <f t="array" ref="F441">C441-D441</f>
        <v>-267178384</v>
      </c>
      <c r="G441" t="s" s="1837">
        <v>2452</v>
      </c>
      <c r="H441" s="1789"/>
      <c r="I441" s="1789"/>
      <c r="J441" s="1789"/>
    </row>
    <row r="442" ht="15" customHeight="1">
      <c r="A442" t="s" s="1799">
        <v>3282</v>
      </c>
      <c r="B442" t="s" s="1800">
        <v>3283</v>
      </c>
      <c r="C442" s="1801">
        <v>43631819</v>
      </c>
      <c r="D442" s="1801">
        <v>0</v>
      </c>
      <c r="E442" s="1789"/>
      <c r="F442" s="1836" cm="1">
        <f t="array" ref="F442">C442-D442</f>
        <v>43631819</v>
      </c>
      <c r="G442" t="s" s="1837">
        <v>2452</v>
      </c>
      <c r="H442" s="1789"/>
      <c r="I442" s="1789"/>
      <c r="J442" s="1789"/>
    </row>
    <row r="443" ht="15" customHeight="1">
      <c r="A443" t="s" s="1799">
        <v>3282</v>
      </c>
      <c r="B443" t="s" s="1800">
        <v>3284</v>
      </c>
      <c r="C443" s="1801">
        <v>59126901</v>
      </c>
      <c r="D443" s="1801">
        <v>0</v>
      </c>
      <c r="E443" s="1789"/>
      <c r="F443" s="1836" cm="1">
        <f t="array" ref="F443">C443-D443</f>
        <v>59126901</v>
      </c>
      <c r="G443" t="s" s="1837">
        <v>2452</v>
      </c>
      <c r="H443" s="1789"/>
      <c r="I443" s="1789"/>
      <c r="J443" s="1789"/>
    </row>
    <row r="444" ht="15" customHeight="1">
      <c r="A444" t="s" s="1799">
        <v>3285</v>
      </c>
      <c r="B444" t="s" s="1800">
        <v>3286</v>
      </c>
      <c r="C444" s="1801">
        <v>11990000</v>
      </c>
      <c r="D444" s="1801">
        <v>0</v>
      </c>
      <c r="E444" s="1789"/>
      <c r="F444" s="1836" cm="1">
        <f t="array" ref="F444">C444-D444</f>
        <v>11990000</v>
      </c>
      <c r="G444" t="s" s="1837">
        <v>2452</v>
      </c>
      <c r="H444" s="1789"/>
      <c r="I444" s="1789"/>
      <c r="J444" s="1789"/>
    </row>
    <row r="445" ht="15" customHeight="1">
      <c r="A445" t="s" s="1799">
        <v>3287</v>
      </c>
      <c r="B445" t="s" s="1800">
        <v>3288</v>
      </c>
      <c r="C445" s="1801">
        <v>25705233</v>
      </c>
      <c r="D445" s="1801">
        <v>0</v>
      </c>
      <c r="E445" s="1789"/>
      <c r="F445" s="1836" cm="1">
        <f t="array" ref="F445">C445-D445</f>
        <v>25705233</v>
      </c>
      <c r="G445" t="s" s="1837">
        <v>2452</v>
      </c>
      <c r="H445" s="1789"/>
      <c r="I445" s="1789"/>
      <c r="J445" s="1789"/>
    </row>
    <row r="446" ht="15" customHeight="1">
      <c r="A446" t="s" s="1799">
        <v>3289</v>
      </c>
      <c r="B446" t="s" s="1800">
        <v>3697</v>
      </c>
      <c r="C446" s="1801">
        <v>8300000</v>
      </c>
      <c r="D446" s="1801">
        <v>0</v>
      </c>
      <c r="E446" s="1789"/>
      <c r="F446" s="1836" cm="1">
        <f t="array" ref="F446">C446-D446</f>
        <v>8300000</v>
      </c>
      <c r="G446" t="s" s="1837">
        <v>2452</v>
      </c>
      <c r="H446" s="1789"/>
      <c r="I446" s="1789"/>
      <c r="J446" s="1789"/>
    </row>
    <row r="447" ht="15" customHeight="1">
      <c r="A447" t="s" s="1799">
        <v>3291</v>
      </c>
      <c r="B447" t="s" s="1800">
        <v>3292</v>
      </c>
      <c r="C447" s="1801">
        <v>0</v>
      </c>
      <c r="D447" s="1801">
        <v>0</v>
      </c>
      <c r="E447" s="1789"/>
      <c r="F447" s="1836" cm="1">
        <f t="array" ref="F447">C447-D447</f>
        <v>0</v>
      </c>
      <c r="G447" t="s" s="1837">
        <v>2452</v>
      </c>
      <c r="H447" s="1789"/>
      <c r="I447" s="1789"/>
      <c r="J447" s="1789"/>
    </row>
    <row r="448" ht="15" customHeight="1">
      <c r="A448" t="s" s="1799">
        <v>3293</v>
      </c>
      <c r="B448" t="s" s="1800">
        <v>3698</v>
      </c>
      <c r="C448" s="1801">
        <v>134100000</v>
      </c>
      <c r="D448" s="1801">
        <v>0</v>
      </c>
      <c r="E448" s="1789"/>
      <c r="F448" s="1836" cm="1">
        <f t="array" ref="F448">C448-D448</f>
        <v>134100000</v>
      </c>
      <c r="G448" t="s" s="1837">
        <v>2452</v>
      </c>
      <c r="H448" s="1789"/>
      <c r="I448" s="1789"/>
      <c r="J448" s="1789"/>
    </row>
    <row r="449" ht="15" customHeight="1">
      <c r="A449" t="s" s="1799">
        <v>3295</v>
      </c>
      <c r="B449" t="s" s="1800">
        <v>3296</v>
      </c>
      <c r="C449" s="1801">
        <v>205124000</v>
      </c>
      <c r="D449" s="1801">
        <v>0</v>
      </c>
      <c r="E449" s="1789"/>
      <c r="F449" s="1836" cm="1">
        <f t="array" ref="F449">C449-D449</f>
        <v>205124000</v>
      </c>
      <c r="G449" t="s" s="1837">
        <v>2452</v>
      </c>
      <c r="H449" s="1789"/>
      <c r="I449" s="1789"/>
      <c r="J449" s="1789"/>
    </row>
    <row r="450" ht="15" customHeight="1">
      <c r="A450" t="s" s="1799">
        <v>3297</v>
      </c>
      <c r="B450" t="s" s="1800">
        <v>3298</v>
      </c>
      <c r="C450" s="1801">
        <v>162900000</v>
      </c>
      <c r="D450" s="1801">
        <v>0</v>
      </c>
      <c r="E450" s="1789"/>
      <c r="F450" s="1836" cm="1">
        <f t="array" ref="F450">C450-D450</f>
        <v>162900000</v>
      </c>
      <c r="G450" t="s" s="1837">
        <v>2452</v>
      </c>
      <c r="H450" s="1789"/>
      <c r="I450" s="1789"/>
      <c r="J450" s="1789"/>
    </row>
    <row r="451" ht="15" customHeight="1">
      <c r="A451" t="s" s="1799">
        <v>3299</v>
      </c>
      <c r="B451" t="s" s="1800">
        <v>3300</v>
      </c>
      <c r="C451" s="1801">
        <v>52643684</v>
      </c>
      <c r="D451" s="1801">
        <v>0</v>
      </c>
      <c r="E451" s="1789"/>
      <c r="F451" s="1836" cm="1">
        <f t="array" ref="F451">C451-D451</f>
        <v>52643684</v>
      </c>
      <c r="G451" t="s" s="1837">
        <v>2452</v>
      </c>
      <c r="H451" s="1789"/>
      <c r="I451" s="1789"/>
      <c r="J451" s="1789"/>
    </row>
    <row r="452" ht="15" customHeight="1">
      <c r="A452" t="s" s="1799">
        <v>3301</v>
      </c>
      <c r="B452" t="s" s="1800">
        <v>3302</v>
      </c>
      <c r="C452" s="1801">
        <v>5000000</v>
      </c>
      <c r="D452" s="1801">
        <v>0</v>
      </c>
      <c r="E452" s="1789"/>
      <c r="F452" s="1836" cm="1">
        <f t="array" ref="F452">C452-D452</f>
        <v>5000000</v>
      </c>
      <c r="G452" t="s" s="1837">
        <v>2452</v>
      </c>
      <c r="H452" s="1789"/>
      <c r="I452" s="1789"/>
      <c r="J452" s="1789"/>
    </row>
    <row r="453" ht="15" customHeight="1">
      <c r="A453" t="s" s="1799">
        <v>3303</v>
      </c>
      <c r="B453" t="s" s="1800">
        <v>3304</v>
      </c>
      <c r="C453" s="1801">
        <v>70661238</v>
      </c>
      <c r="D453" s="1801">
        <v>0</v>
      </c>
      <c r="E453" s="1789"/>
      <c r="F453" s="1836" cm="1">
        <f t="array" ref="F453">C453-D453</f>
        <v>70661238</v>
      </c>
      <c r="G453" t="s" s="1837">
        <v>2452</v>
      </c>
      <c r="H453" s="1789"/>
      <c r="I453" s="1789"/>
      <c r="J453" s="1789"/>
    </row>
    <row r="454" ht="15" customHeight="1">
      <c r="A454" t="s" s="1799">
        <v>3303</v>
      </c>
      <c r="B454" t="s" s="1800">
        <v>3305</v>
      </c>
      <c r="C454" s="1801">
        <v>8000000</v>
      </c>
      <c r="D454" s="1801">
        <v>0</v>
      </c>
      <c r="E454" s="1789"/>
      <c r="F454" s="1836" cm="1">
        <f t="array" ref="F454">C454-D454</f>
        <v>8000000</v>
      </c>
      <c r="G454" t="s" s="1837">
        <v>2452</v>
      </c>
      <c r="H454" s="1789"/>
      <c r="I454" s="1789"/>
      <c r="J454" s="1789"/>
    </row>
    <row r="455" ht="15" customHeight="1">
      <c r="A455" t="s" s="1799">
        <v>3306</v>
      </c>
      <c r="B455" t="s" s="1800">
        <v>3320</v>
      </c>
      <c r="C455" s="1801">
        <v>52000000</v>
      </c>
      <c r="D455" s="1801">
        <v>0</v>
      </c>
      <c r="E455" s="1789"/>
      <c r="F455" s="1836" cm="1">
        <f t="array" ref="F455">C455-D455</f>
        <v>52000000</v>
      </c>
      <c r="G455" t="s" s="1837">
        <v>2452</v>
      </c>
      <c r="H455" s="1789"/>
      <c r="I455" s="1789"/>
      <c r="J455" s="1789"/>
    </row>
    <row r="456" ht="15" customHeight="1">
      <c r="A456" t="s" s="1799">
        <v>3306</v>
      </c>
      <c r="B456" t="s" s="1800">
        <v>3307</v>
      </c>
      <c r="C456" s="1801">
        <v>58911274</v>
      </c>
      <c r="D456" s="1801">
        <v>0</v>
      </c>
      <c r="E456" s="1789"/>
      <c r="F456" s="1836" cm="1">
        <f t="array" ref="F456">C456-D456</f>
        <v>58911274</v>
      </c>
      <c r="G456" t="s" s="1837">
        <v>2452</v>
      </c>
      <c r="H456" s="1789"/>
      <c r="I456" s="1789"/>
      <c r="J456" s="1789"/>
    </row>
    <row r="457" ht="15" customHeight="1">
      <c r="A457" t="s" s="1799">
        <v>3308</v>
      </c>
      <c r="B457" t="s" s="1800">
        <v>3309</v>
      </c>
      <c r="C457" s="1801">
        <v>-75703875</v>
      </c>
      <c r="D457" s="1801">
        <v>0</v>
      </c>
      <c r="E457" s="1789"/>
      <c r="F457" s="1836" cm="1">
        <f t="array" ref="F457">C457-D457</f>
        <v>-75703875</v>
      </c>
      <c r="G457" t="s" s="1837">
        <v>2452</v>
      </c>
      <c r="H457" s="1789"/>
      <c r="I457" s="1789"/>
      <c r="J457" s="1789"/>
    </row>
    <row r="458" ht="15" customHeight="1">
      <c r="A458" t="s" s="1799">
        <v>3308</v>
      </c>
      <c r="B458" t="s" s="1800">
        <v>3310</v>
      </c>
      <c r="C458" s="1801">
        <v>6560000</v>
      </c>
      <c r="D458" s="1801">
        <v>0</v>
      </c>
      <c r="E458" s="1789"/>
      <c r="F458" s="1836" cm="1">
        <f t="array" ref="F458">C458-D458</f>
        <v>6560000</v>
      </c>
      <c r="G458" t="s" s="1837">
        <v>2452</v>
      </c>
      <c r="H458" s="1789"/>
      <c r="I458" s="1789"/>
      <c r="J458" s="1789"/>
    </row>
    <row r="459" ht="15" customHeight="1">
      <c r="A459" t="s" s="1799">
        <v>3311</v>
      </c>
      <c r="B459" t="s" s="1800">
        <v>3312</v>
      </c>
      <c r="C459" s="1801">
        <v>53986002</v>
      </c>
      <c r="D459" s="1801">
        <v>0</v>
      </c>
      <c r="E459" s="1789"/>
      <c r="F459" s="1836" cm="1">
        <f t="array" ref="F459">C459-D459</f>
        <v>53986002</v>
      </c>
      <c r="G459" t="s" s="1837">
        <v>2452</v>
      </c>
      <c r="H459" s="1789"/>
      <c r="I459" s="1789"/>
      <c r="J459" s="1789"/>
    </row>
    <row r="460" ht="15" customHeight="1">
      <c r="A460" t="s" s="1799">
        <v>2985</v>
      </c>
      <c r="B460" t="s" s="1800">
        <v>3699</v>
      </c>
      <c r="C460" s="1801">
        <v>900000000</v>
      </c>
      <c r="D460" s="1801">
        <v>0</v>
      </c>
      <c r="E460" s="1789"/>
      <c r="F460" s="1836" cm="1">
        <f t="array" ref="F460">C460-D460</f>
        <v>900000000</v>
      </c>
      <c r="G460" t="s" s="1837">
        <v>2275</v>
      </c>
      <c r="H460" s="1789"/>
      <c r="I460" s="1789"/>
      <c r="J460" s="1789"/>
    </row>
    <row r="461" ht="15" customHeight="1">
      <c r="A461" t="s" s="1799">
        <v>3321</v>
      </c>
      <c r="B461" t="s" s="1800">
        <v>3322</v>
      </c>
      <c r="C461" s="1801">
        <v>130837520</v>
      </c>
      <c r="D461" s="1801">
        <v>0</v>
      </c>
      <c r="E461" s="1789"/>
      <c r="F461" s="1836" cm="1">
        <f t="array" ref="F461">C461-D461</f>
        <v>130837520</v>
      </c>
      <c r="G461" t="s" s="1837">
        <v>2452</v>
      </c>
      <c r="H461" s="1789"/>
      <c r="I461" s="1789"/>
      <c r="J461" s="1789"/>
    </row>
    <row r="462" ht="15" customHeight="1">
      <c r="A462" t="s" s="1799">
        <v>3323</v>
      </c>
      <c r="B462" t="s" s="1800">
        <v>3324</v>
      </c>
      <c r="C462" s="1801">
        <v>24000000</v>
      </c>
      <c r="D462" s="1801">
        <v>0</v>
      </c>
      <c r="E462" s="1789"/>
      <c r="F462" s="1836" cm="1">
        <f t="array" ref="F462">C462-D462</f>
        <v>24000000</v>
      </c>
      <c r="G462" t="s" s="1837">
        <v>2452</v>
      </c>
      <c r="H462" s="1789"/>
      <c r="I462" s="1789"/>
      <c r="J462" s="1789"/>
    </row>
    <row r="463" ht="15" customHeight="1">
      <c r="A463" t="s" s="1799">
        <v>3325</v>
      </c>
      <c r="B463" t="s" s="1800">
        <v>3326</v>
      </c>
      <c r="C463" s="1801">
        <v>155000000</v>
      </c>
      <c r="D463" s="1801">
        <v>0</v>
      </c>
      <c r="E463" s="1789"/>
      <c r="F463" s="1836" cm="1">
        <f t="array" ref="F463">C463-D463</f>
        <v>155000000</v>
      </c>
      <c r="G463" t="s" s="1837">
        <v>2452</v>
      </c>
      <c r="H463" s="1789"/>
      <c r="I463" s="1789"/>
      <c r="J463" s="1789"/>
    </row>
    <row r="464" ht="15" customHeight="1">
      <c r="A464" t="s" s="1799">
        <v>3327</v>
      </c>
      <c r="B464" t="s" s="1800">
        <v>3328</v>
      </c>
      <c r="C464" s="1801">
        <v>61000000</v>
      </c>
      <c r="D464" s="1801">
        <v>0</v>
      </c>
      <c r="E464" s="1789"/>
      <c r="F464" s="1836" cm="1">
        <f t="array" ref="F464">C464-D464</f>
        <v>61000000</v>
      </c>
      <c r="G464" t="s" s="1837">
        <v>2452</v>
      </c>
      <c r="H464" s="1789"/>
      <c r="I464" s="1789"/>
      <c r="J464" s="1789"/>
    </row>
    <row r="465" ht="15" customHeight="1">
      <c r="A465" t="s" s="1799">
        <v>3329</v>
      </c>
      <c r="B465" t="s" s="1800">
        <v>3330</v>
      </c>
      <c r="C465" s="1801">
        <v>211325000</v>
      </c>
      <c r="D465" s="1801">
        <v>0</v>
      </c>
      <c r="E465" s="1789"/>
      <c r="F465" s="1836" cm="1">
        <f t="array" ref="F465">C465-D465</f>
        <v>211325000</v>
      </c>
      <c r="G465" t="s" s="1837">
        <v>2452</v>
      </c>
      <c r="H465" s="1789"/>
      <c r="I465" s="1789"/>
      <c r="J465" s="1789"/>
    </row>
    <row r="466" ht="15" customHeight="1">
      <c r="A466" t="s" s="1799">
        <v>3331</v>
      </c>
      <c r="B466" t="s" s="1800">
        <v>3332</v>
      </c>
      <c r="C466" s="1801">
        <v>198434282</v>
      </c>
      <c r="D466" s="1801">
        <v>0</v>
      </c>
      <c r="E466" s="1789"/>
      <c r="F466" s="1836" cm="1">
        <f t="array" ref="F466">C466-D466</f>
        <v>198434282</v>
      </c>
      <c r="G466" t="s" s="1837">
        <v>2452</v>
      </c>
      <c r="H466" s="1789"/>
      <c r="I466" s="1789"/>
      <c r="J466" s="1789"/>
    </row>
    <row r="467" ht="15" customHeight="1">
      <c r="A467" t="s" s="1799">
        <v>3333</v>
      </c>
      <c r="B467" t="s" s="1800">
        <v>3259</v>
      </c>
      <c r="C467" s="1801">
        <v>102319600</v>
      </c>
      <c r="D467" s="1801">
        <v>0</v>
      </c>
      <c r="E467" s="1789"/>
      <c r="F467" s="1836" cm="1">
        <f t="array" ref="F467">C467-D467</f>
        <v>102319600</v>
      </c>
      <c r="G467" t="s" s="1837">
        <v>2452</v>
      </c>
      <c r="H467" s="1789"/>
      <c r="I467" s="1789"/>
      <c r="J467" s="1789"/>
    </row>
    <row r="468" ht="15" customHeight="1">
      <c r="A468" t="s" s="1799">
        <v>3334</v>
      </c>
      <c r="B468" t="s" s="1800">
        <v>3335</v>
      </c>
      <c r="C468" s="1801">
        <v>144678500</v>
      </c>
      <c r="D468" s="1801">
        <v>0</v>
      </c>
      <c r="E468" s="1789"/>
      <c r="F468" s="1836" cm="1">
        <f t="array" ref="F468">C468-D468</f>
        <v>144678500</v>
      </c>
      <c r="G468" t="s" s="1837">
        <v>2452</v>
      </c>
      <c r="H468" s="1789"/>
      <c r="I468" s="1789"/>
      <c r="J468" s="1789"/>
    </row>
    <row r="469" ht="15" customHeight="1">
      <c r="A469" t="s" s="1799">
        <v>3336</v>
      </c>
      <c r="B469" t="s" s="1800">
        <v>3337</v>
      </c>
      <c r="C469" s="1801">
        <v>16195123</v>
      </c>
      <c r="D469" s="1801">
        <v>0</v>
      </c>
      <c r="E469" s="1789"/>
      <c r="F469" s="1836" cm="1">
        <f t="array" ref="F469">C469-D469</f>
        <v>16195123</v>
      </c>
      <c r="G469" t="s" s="1837">
        <v>2452</v>
      </c>
      <c r="H469" s="1789"/>
      <c r="I469" s="1789"/>
      <c r="J469" s="1789"/>
    </row>
    <row r="470" ht="15" customHeight="1">
      <c r="A470" t="s" s="1799">
        <v>3338</v>
      </c>
      <c r="B470" t="s" s="1800">
        <v>3339</v>
      </c>
      <c r="C470" s="1801">
        <v>12801493</v>
      </c>
      <c r="D470" s="1801">
        <v>0</v>
      </c>
      <c r="E470" s="1789"/>
      <c r="F470" s="1836" cm="1">
        <f t="array" ref="F470">C470-D470</f>
        <v>12801493</v>
      </c>
      <c r="G470" t="s" s="1837">
        <v>2452</v>
      </c>
      <c r="H470" s="1789"/>
      <c r="I470" s="1789"/>
      <c r="J470" s="1789"/>
    </row>
    <row r="471" ht="15" customHeight="1">
      <c r="A471" t="s" s="1799">
        <v>3340</v>
      </c>
      <c r="B471" t="s" s="1800">
        <v>3341</v>
      </c>
      <c r="C471" s="1801">
        <v>70300000</v>
      </c>
      <c r="D471" s="1801">
        <v>0</v>
      </c>
      <c r="E471" s="1789"/>
      <c r="F471" s="1836" cm="1">
        <f t="array" ref="F471">C471-D471</f>
        <v>70300000</v>
      </c>
      <c r="G471" t="s" s="1837">
        <v>2452</v>
      </c>
      <c r="H471" s="1789"/>
      <c r="I471" s="1789"/>
      <c r="J471" s="1789"/>
    </row>
    <row r="472" ht="15" customHeight="1">
      <c r="A472" t="s" s="1799">
        <v>3342</v>
      </c>
      <c r="B472" t="s" s="1800">
        <v>3343</v>
      </c>
      <c r="C472" s="1801">
        <v>9780562</v>
      </c>
      <c r="D472" s="1801">
        <v>0</v>
      </c>
      <c r="E472" s="1789"/>
      <c r="F472" s="1836" cm="1">
        <f t="array" ref="F472">C472-D472</f>
        <v>9780562</v>
      </c>
      <c r="G472" t="s" s="1837">
        <v>2452</v>
      </c>
      <c r="H472" s="1789"/>
      <c r="I472" s="1789"/>
      <c r="J472" s="1789"/>
    </row>
    <row r="473" ht="15" customHeight="1">
      <c r="A473" t="s" s="1799">
        <v>3344</v>
      </c>
      <c r="B473" t="s" s="1800">
        <v>3700</v>
      </c>
      <c r="C473" s="1801">
        <v>-9211040</v>
      </c>
      <c r="D473" s="1801">
        <v>0</v>
      </c>
      <c r="E473" s="1789"/>
      <c r="F473" s="1836" cm="1">
        <f t="array" ref="F473">C473-D473</f>
        <v>-9211040</v>
      </c>
      <c r="G473" t="s" s="1837">
        <v>2452</v>
      </c>
      <c r="H473" s="1789"/>
      <c r="I473" s="1789"/>
      <c r="J473" s="1789"/>
    </row>
    <row r="474" ht="15" customHeight="1">
      <c r="A474" t="s" s="1799">
        <v>3701</v>
      </c>
      <c r="B474" t="s" s="1800">
        <v>3702</v>
      </c>
      <c r="C474" s="1801">
        <v>12757388</v>
      </c>
      <c r="D474" s="1801">
        <v>0</v>
      </c>
      <c r="E474" s="1789"/>
      <c r="F474" s="1836" cm="1">
        <f t="array" ref="F474">C474-D474</f>
        <v>12757388</v>
      </c>
      <c r="G474" t="s" s="1837">
        <v>2452</v>
      </c>
      <c r="H474" s="1789"/>
      <c r="I474" s="1789"/>
      <c r="J474" s="1789"/>
    </row>
    <row r="475" ht="15" customHeight="1">
      <c r="A475" t="s" s="1799">
        <v>3350</v>
      </c>
      <c r="B475" t="s" s="1800">
        <v>3351</v>
      </c>
      <c r="C475" s="1801">
        <v>77521021</v>
      </c>
      <c r="D475" s="1801">
        <v>0</v>
      </c>
      <c r="E475" s="1789"/>
      <c r="F475" s="1836" cm="1">
        <f t="array" ref="F475">C475-D475</f>
        <v>77521021</v>
      </c>
      <c r="G475" t="s" s="1837">
        <v>2452</v>
      </c>
      <c r="H475" s="1789"/>
      <c r="I475" s="1789"/>
      <c r="J475" s="1789"/>
    </row>
    <row r="476" ht="15" customHeight="1">
      <c r="A476" t="s" s="1799">
        <v>3352</v>
      </c>
      <c r="B476" t="s" s="1800">
        <v>3353</v>
      </c>
      <c r="C476" s="1801">
        <v>148129614.13</v>
      </c>
      <c r="D476" s="1801">
        <v>-359999999.87</v>
      </c>
      <c r="E476" s="1789"/>
      <c r="F476" s="1836" cm="1">
        <f t="array" ref="F476">C476-D476</f>
        <v>508129614</v>
      </c>
      <c r="G476" t="s" s="1837">
        <v>2452</v>
      </c>
      <c r="H476" s="1789"/>
      <c r="I476" s="1789"/>
      <c r="J476" s="1789"/>
    </row>
    <row r="477" ht="15" customHeight="1">
      <c r="A477" t="s" s="1799">
        <v>3354</v>
      </c>
      <c r="B477" t="s" s="1800">
        <v>3355</v>
      </c>
      <c r="C477" s="1801">
        <v>16065461</v>
      </c>
      <c r="D477" s="1801">
        <v>0</v>
      </c>
      <c r="E477" s="1789"/>
      <c r="F477" s="1836" cm="1">
        <f t="array" ref="F477">C477-D477</f>
        <v>16065461</v>
      </c>
      <c r="G477" t="s" s="1837">
        <v>2452</v>
      </c>
      <c r="H477" s="1789"/>
      <c r="I477" s="1789"/>
      <c r="J477" s="1789"/>
    </row>
    <row r="478" ht="15" customHeight="1">
      <c r="A478" t="s" s="1799">
        <v>3354</v>
      </c>
      <c r="B478" t="s" s="1800">
        <v>3377</v>
      </c>
      <c r="C478" s="1801">
        <v>198197568</v>
      </c>
      <c r="D478" s="1801">
        <v>0</v>
      </c>
      <c r="E478" s="1789"/>
      <c r="F478" s="1836" cm="1">
        <f t="array" ref="F478">C478-D478</f>
        <v>198197568</v>
      </c>
      <c r="G478" t="s" s="1837">
        <v>2452</v>
      </c>
      <c r="H478" s="1789"/>
      <c r="I478" s="1789"/>
      <c r="J478" s="1789"/>
    </row>
    <row r="479" ht="15" customHeight="1">
      <c r="A479" t="s" s="1799">
        <v>3356</v>
      </c>
      <c r="B479" t="s" s="1800">
        <v>3357</v>
      </c>
      <c r="C479" s="1801">
        <v>0</v>
      </c>
      <c r="D479" s="1801">
        <v>0</v>
      </c>
      <c r="E479" s="1789"/>
      <c r="F479" s="1836" cm="1">
        <f t="array" ref="F479">C479-D479</f>
        <v>0</v>
      </c>
      <c r="G479" t="s" s="1837">
        <v>2452</v>
      </c>
      <c r="H479" s="1789"/>
      <c r="I479" s="1789"/>
      <c r="J479" s="1789"/>
    </row>
    <row r="480" ht="15" customHeight="1">
      <c r="A480" t="s" s="1799">
        <v>3360</v>
      </c>
      <c r="B480" t="s" s="1800">
        <v>3361</v>
      </c>
      <c r="C480" s="1801">
        <v>674566056</v>
      </c>
      <c r="D480" s="1801">
        <v>0</v>
      </c>
      <c r="E480" s="1789"/>
      <c r="F480" s="1836" cm="1">
        <f t="array" ref="F480">C480-D480</f>
        <v>674566056</v>
      </c>
      <c r="G480" t="s" s="1837">
        <v>2452</v>
      </c>
      <c r="H480" s="1789"/>
      <c r="I480" s="1789"/>
      <c r="J480" s="1789"/>
    </row>
    <row r="481" ht="15" customHeight="1">
      <c r="A481" t="s" s="1799">
        <v>3362</v>
      </c>
      <c r="B481" t="s" s="1800">
        <v>3703</v>
      </c>
      <c r="C481" s="1801">
        <v>205209541</v>
      </c>
      <c r="D481" s="1801">
        <v>0</v>
      </c>
      <c r="E481" s="1789"/>
      <c r="F481" s="1836" cm="1">
        <f t="array" ref="F481">C481-D481</f>
        <v>205209541</v>
      </c>
      <c r="G481" t="s" s="1837">
        <v>2452</v>
      </c>
      <c r="H481" s="1789"/>
      <c r="I481" s="1789"/>
      <c r="J481" s="1789"/>
    </row>
    <row r="482" ht="15" customHeight="1">
      <c r="A482" t="s" s="1799">
        <v>3364</v>
      </c>
      <c r="B482" t="s" s="1800">
        <v>3365</v>
      </c>
      <c r="C482" s="1801">
        <v>585551473</v>
      </c>
      <c r="D482" s="1801">
        <v>0</v>
      </c>
      <c r="E482" s="1789"/>
      <c r="F482" s="1836" cm="1">
        <f t="array" ref="F482">C482-D482</f>
        <v>585551473</v>
      </c>
      <c r="G482" t="s" s="1837">
        <v>2452</v>
      </c>
      <c r="H482" s="1789"/>
      <c r="I482" s="1789"/>
      <c r="J482" s="1789"/>
    </row>
    <row r="483" ht="15" customHeight="1">
      <c r="A483" t="s" s="1799">
        <v>3366</v>
      </c>
      <c r="B483" t="s" s="1800">
        <v>3367</v>
      </c>
      <c r="C483" s="1801">
        <v>389413858</v>
      </c>
      <c r="D483" s="1801">
        <v>0</v>
      </c>
      <c r="E483" s="1789"/>
      <c r="F483" s="1836" cm="1">
        <f t="array" ref="F483">C483-D483</f>
        <v>389413858</v>
      </c>
      <c r="G483" t="s" s="1837">
        <v>2452</v>
      </c>
      <c r="H483" s="1789"/>
      <c r="I483" s="1789"/>
      <c r="J483" s="1789"/>
    </row>
    <row r="484" ht="15" customHeight="1">
      <c r="A484" t="s" s="1799">
        <v>3368</v>
      </c>
      <c r="B484" t="s" s="1800">
        <v>3369</v>
      </c>
      <c r="C484" s="1801">
        <v>259666958</v>
      </c>
      <c r="D484" s="1801">
        <v>0</v>
      </c>
      <c r="E484" s="1789"/>
      <c r="F484" s="1836" cm="1">
        <f t="array" ref="F484">C484-D484</f>
        <v>259666958</v>
      </c>
      <c r="G484" t="s" s="1837">
        <v>2452</v>
      </c>
      <c r="H484" s="1789"/>
      <c r="I484" s="1789"/>
      <c r="J484" s="1789"/>
    </row>
    <row r="485" ht="15" customHeight="1">
      <c r="A485" t="s" s="1799">
        <v>3370</v>
      </c>
      <c r="B485" t="s" s="1800">
        <v>3371</v>
      </c>
      <c r="C485" s="1801">
        <v>59130000</v>
      </c>
      <c r="D485" s="1801">
        <v>0</v>
      </c>
      <c r="E485" s="1789"/>
      <c r="F485" s="1836" cm="1">
        <f t="array" ref="F485">C485-D485</f>
        <v>59130000</v>
      </c>
      <c r="G485" t="s" s="1837">
        <v>2452</v>
      </c>
      <c r="H485" s="1789"/>
      <c r="I485" s="1789"/>
      <c r="J485" s="1789"/>
    </row>
    <row r="486" ht="15" customHeight="1">
      <c r="A486" t="s" s="1799">
        <v>3372</v>
      </c>
      <c r="B486" t="s" s="1800">
        <v>3373</v>
      </c>
      <c r="C486" s="1801">
        <v>11498055</v>
      </c>
      <c r="D486" s="1801">
        <v>0</v>
      </c>
      <c r="E486" s="1789"/>
      <c r="F486" s="1836" cm="1">
        <f t="array" ref="F486">C486-D486</f>
        <v>11498055</v>
      </c>
      <c r="G486" t="s" s="1837">
        <v>2452</v>
      </c>
      <c r="H486" s="1789"/>
      <c r="I486" s="1789"/>
      <c r="J486" s="1789"/>
    </row>
    <row r="487" ht="15" customHeight="1">
      <c r="A487" t="s" s="1799">
        <v>3374</v>
      </c>
      <c r="B487" t="s" s="1800">
        <v>3375</v>
      </c>
      <c r="C487" s="1801">
        <v>94000217</v>
      </c>
      <c r="D487" s="1801">
        <v>0</v>
      </c>
      <c r="E487" s="1789"/>
      <c r="F487" s="1836" cm="1">
        <f t="array" ref="F487">C487-D487</f>
        <v>94000217</v>
      </c>
      <c r="G487" t="s" s="1837">
        <v>2452</v>
      </c>
      <c r="H487" s="1789"/>
      <c r="I487" s="1789"/>
      <c r="J487" s="1789"/>
    </row>
    <row r="488" ht="15" customHeight="1">
      <c r="A488" t="s" s="1799">
        <v>3378</v>
      </c>
      <c r="B488" t="s" s="1800">
        <v>3379</v>
      </c>
      <c r="C488" s="1801">
        <v>71315498</v>
      </c>
      <c r="D488" s="1801">
        <v>0</v>
      </c>
      <c r="E488" s="1789"/>
      <c r="F488" s="1836" cm="1">
        <f t="array" ref="F488">C488-D488</f>
        <v>71315498</v>
      </c>
      <c r="G488" t="s" s="1837">
        <v>2452</v>
      </c>
      <c r="H488" s="1789"/>
      <c r="I488" s="1789"/>
      <c r="J488" s="1789"/>
    </row>
    <row r="489" ht="15" customHeight="1">
      <c r="A489" t="s" s="1799">
        <v>3380</v>
      </c>
      <c r="B489" t="s" s="1800">
        <v>3381</v>
      </c>
      <c r="C489" s="1801">
        <v>50314003</v>
      </c>
      <c r="D489" s="1801">
        <v>0</v>
      </c>
      <c r="E489" s="1789"/>
      <c r="F489" s="1836" cm="1">
        <f t="array" ref="F489">C489-D489</f>
        <v>50314003</v>
      </c>
      <c r="G489" t="s" s="1837">
        <v>2452</v>
      </c>
      <c r="H489" s="1789"/>
      <c r="I489" s="1789"/>
      <c r="J489" s="1789"/>
    </row>
    <row r="490" ht="15" customHeight="1">
      <c r="A490" t="s" s="1799">
        <v>3382</v>
      </c>
      <c r="B490" t="s" s="1800">
        <v>3383</v>
      </c>
      <c r="C490" s="1801">
        <v>44900000</v>
      </c>
      <c r="D490" s="1801">
        <v>0</v>
      </c>
      <c r="E490" s="1789"/>
      <c r="F490" s="1836" cm="1">
        <f t="array" ref="F490">C490-D490</f>
        <v>44900000</v>
      </c>
      <c r="G490" t="s" s="1837">
        <v>2452</v>
      </c>
      <c r="H490" s="1789"/>
      <c r="I490" s="1789"/>
      <c r="J490" s="1789"/>
    </row>
    <row r="491" ht="15" customHeight="1">
      <c r="A491" t="s" s="1799">
        <v>3384</v>
      </c>
      <c r="B491" t="s" s="1800">
        <v>3385</v>
      </c>
      <c r="C491" s="1801">
        <v>-2560000</v>
      </c>
      <c r="D491" s="1801">
        <v>0</v>
      </c>
      <c r="E491" s="1789"/>
      <c r="F491" s="1836" cm="1">
        <f t="array" ref="F491">C491-D491</f>
        <v>-2560000</v>
      </c>
      <c r="G491" t="s" s="1837">
        <v>2452</v>
      </c>
      <c r="H491" s="1789"/>
      <c r="I491" s="1789"/>
      <c r="J491" s="1789"/>
    </row>
    <row r="492" ht="15" customHeight="1">
      <c r="A492" t="s" s="1799">
        <v>3386</v>
      </c>
      <c r="B492" t="s" s="1800">
        <v>3387</v>
      </c>
      <c r="C492" s="1801">
        <v>9000000</v>
      </c>
      <c r="D492" s="1801">
        <v>0</v>
      </c>
      <c r="E492" s="1789"/>
      <c r="F492" s="1836" cm="1">
        <f t="array" ref="F492">C492-D492</f>
        <v>9000000</v>
      </c>
      <c r="G492" t="s" s="1837">
        <v>2452</v>
      </c>
      <c r="H492" s="1789"/>
      <c r="I492" s="1789"/>
      <c r="J492" s="1789"/>
    </row>
    <row r="493" ht="15" customHeight="1">
      <c r="A493" t="s" s="1799">
        <v>3388</v>
      </c>
      <c r="B493" t="s" s="1800">
        <v>3389</v>
      </c>
      <c r="C493" s="1801">
        <v>5740000</v>
      </c>
      <c r="D493" s="1801">
        <v>0</v>
      </c>
      <c r="E493" s="1789"/>
      <c r="F493" s="1836" cm="1">
        <f t="array" ref="F493">C493-D493</f>
        <v>5740000</v>
      </c>
      <c r="G493" t="s" s="1837">
        <v>2452</v>
      </c>
      <c r="H493" s="1789"/>
      <c r="I493" s="1789"/>
      <c r="J493" s="1789"/>
    </row>
    <row r="494" ht="15" customHeight="1">
      <c r="A494" t="s" s="1799">
        <v>3390</v>
      </c>
      <c r="B494" t="s" s="1800">
        <v>3391</v>
      </c>
      <c r="C494" s="1801">
        <v>500000</v>
      </c>
      <c r="D494" s="1801">
        <v>0</v>
      </c>
      <c r="E494" s="1789"/>
      <c r="F494" s="1836" cm="1">
        <f t="array" ref="F494">C494-D494</f>
        <v>500000</v>
      </c>
      <c r="G494" t="s" s="1837">
        <v>2452</v>
      </c>
      <c r="H494" s="1789"/>
      <c r="I494" s="1789"/>
      <c r="J494" s="1789"/>
    </row>
    <row r="495" ht="15" customHeight="1">
      <c r="A495" t="s" s="1799">
        <v>3392</v>
      </c>
      <c r="B495" t="s" s="1800">
        <v>3393</v>
      </c>
      <c r="C495" s="1801">
        <v>61000000</v>
      </c>
      <c r="D495" s="1801">
        <v>0</v>
      </c>
      <c r="E495" s="1789"/>
      <c r="F495" s="1836" cm="1">
        <f t="array" ref="F495">C495-D495</f>
        <v>61000000</v>
      </c>
      <c r="G495" t="s" s="1837">
        <v>2452</v>
      </c>
      <c r="H495" s="1789"/>
      <c r="I495" s="1789"/>
      <c r="J495" s="1789"/>
    </row>
    <row r="496" ht="15" customHeight="1">
      <c r="A496" t="s" s="1799">
        <v>3394</v>
      </c>
      <c r="B496" t="s" s="1800">
        <v>3395</v>
      </c>
      <c r="C496" s="1801">
        <v>2500000</v>
      </c>
      <c r="D496" s="1801">
        <v>0</v>
      </c>
      <c r="E496" s="1789"/>
      <c r="F496" s="1836" cm="1">
        <f t="array" ref="F496">C496-D496</f>
        <v>2500000</v>
      </c>
      <c r="G496" t="s" s="1837">
        <v>2452</v>
      </c>
      <c r="H496" s="1789"/>
      <c r="I496" s="1789"/>
      <c r="J496" s="1789"/>
    </row>
    <row r="497" ht="15" customHeight="1">
      <c r="A497" t="s" s="1799">
        <v>3399</v>
      </c>
      <c r="B497" t="s" s="1800">
        <v>3176</v>
      </c>
      <c r="C497" s="1801">
        <v>58500000</v>
      </c>
      <c r="D497" s="1801">
        <v>0</v>
      </c>
      <c r="E497" s="1789"/>
      <c r="F497" s="1836" cm="1">
        <f t="array" ref="F497">C497-D497</f>
        <v>58500000</v>
      </c>
      <c r="G497" t="s" s="1837">
        <v>2452</v>
      </c>
      <c r="H497" s="1789"/>
      <c r="I497" s="1789"/>
      <c r="J497" s="1789"/>
    </row>
    <row r="498" ht="15" customHeight="1">
      <c r="A498" t="s" s="1799">
        <v>3402</v>
      </c>
      <c r="B498" t="s" s="1800">
        <v>3403</v>
      </c>
      <c r="C498" s="1801">
        <v>33500000</v>
      </c>
      <c r="D498" s="1801">
        <v>0</v>
      </c>
      <c r="E498" s="1789"/>
      <c r="F498" s="1836" cm="1">
        <f t="array" ref="F498">C498-D498</f>
        <v>33500000</v>
      </c>
      <c r="G498" t="s" s="1837">
        <v>2452</v>
      </c>
      <c r="H498" s="1789"/>
      <c r="I498" s="1789"/>
      <c r="J498" s="1789"/>
    </row>
    <row r="499" ht="15" customHeight="1">
      <c r="A499" t="s" s="1799">
        <v>3404</v>
      </c>
      <c r="B499" t="s" s="1800">
        <v>3405</v>
      </c>
      <c r="C499" s="1801">
        <v>151000000</v>
      </c>
      <c r="D499" s="1801">
        <v>0</v>
      </c>
      <c r="E499" s="1789"/>
      <c r="F499" s="1836" cm="1">
        <f t="array" ref="F499">C499-D499</f>
        <v>151000000</v>
      </c>
      <c r="G499" t="s" s="1837">
        <v>2452</v>
      </c>
      <c r="H499" s="1789"/>
      <c r="I499" s="1789"/>
      <c r="J499" s="1789"/>
    </row>
    <row r="500" ht="15" customHeight="1">
      <c r="A500" t="s" s="1799">
        <v>3406</v>
      </c>
      <c r="B500" t="s" s="1800">
        <v>3407</v>
      </c>
      <c r="C500" s="1801">
        <v>1500000</v>
      </c>
      <c r="D500" s="1801">
        <v>0</v>
      </c>
      <c r="E500" s="1789"/>
      <c r="F500" s="1836" cm="1">
        <f t="array" ref="F500">C500-D500</f>
        <v>1500000</v>
      </c>
      <c r="G500" t="s" s="1837">
        <v>2452</v>
      </c>
      <c r="H500" s="1789"/>
      <c r="I500" s="1789"/>
      <c r="J500" s="1789"/>
    </row>
    <row r="501" ht="15" customHeight="1">
      <c r="A501" t="s" s="1799">
        <v>3408</v>
      </c>
      <c r="B501" t="s" s="1800">
        <v>3409</v>
      </c>
      <c r="C501" s="1801">
        <v>10000000</v>
      </c>
      <c r="D501" s="1801">
        <v>0</v>
      </c>
      <c r="E501" s="1789"/>
      <c r="F501" s="1836" cm="1">
        <f t="array" ref="F501">C501-D501</f>
        <v>10000000</v>
      </c>
      <c r="G501" t="s" s="1837">
        <v>2452</v>
      </c>
      <c r="H501" s="1789"/>
      <c r="I501" s="1789"/>
      <c r="J501" s="1789"/>
    </row>
    <row r="502" ht="15" customHeight="1">
      <c r="A502" t="s" s="1799">
        <v>3410</v>
      </c>
      <c r="B502" t="s" s="1800">
        <v>3411</v>
      </c>
      <c r="C502" s="1801">
        <v>24000000</v>
      </c>
      <c r="D502" s="1801">
        <v>0</v>
      </c>
      <c r="E502" s="1789"/>
      <c r="F502" s="1836" cm="1">
        <f t="array" ref="F502">C502-D502</f>
        <v>24000000</v>
      </c>
      <c r="G502" t="s" s="1837">
        <v>2452</v>
      </c>
      <c r="H502" s="1789"/>
      <c r="I502" s="1789"/>
      <c r="J502" s="1789"/>
    </row>
    <row r="503" ht="15" customHeight="1">
      <c r="A503" t="s" s="1799">
        <v>3412</v>
      </c>
      <c r="B503" t="s" s="1800">
        <v>3413</v>
      </c>
      <c r="C503" s="1801">
        <v>13000000</v>
      </c>
      <c r="D503" s="1801">
        <v>0</v>
      </c>
      <c r="E503" s="1789"/>
      <c r="F503" s="1836" cm="1">
        <f t="array" ref="F503">C503-D503</f>
        <v>13000000</v>
      </c>
      <c r="G503" t="s" s="1837">
        <v>2452</v>
      </c>
      <c r="H503" s="1789"/>
      <c r="I503" s="1789"/>
      <c r="J503" s="1789"/>
    </row>
    <row r="504" ht="15" customHeight="1">
      <c r="A504" t="s" s="1799">
        <v>3417</v>
      </c>
      <c r="B504" t="s" s="1800">
        <v>3704</v>
      </c>
      <c r="C504" s="1801">
        <v>1500000</v>
      </c>
      <c r="D504" s="1801">
        <v>0</v>
      </c>
      <c r="E504" s="1789"/>
      <c r="F504" s="1836" cm="1">
        <f t="array" ref="F504">C504-D504</f>
        <v>1500000</v>
      </c>
      <c r="G504" t="s" s="1837">
        <v>2452</v>
      </c>
      <c r="H504" s="1789"/>
      <c r="I504" s="1789"/>
      <c r="J504" s="1789"/>
    </row>
    <row r="505" ht="15" customHeight="1">
      <c r="A505" t="s" s="1799">
        <v>3420</v>
      </c>
      <c r="B505" t="s" s="1800">
        <v>3421</v>
      </c>
      <c r="C505" s="1801">
        <v>85000000</v>
      </c>
      <c r="D505" s="1801">
        <v>0</v>
      </c>
      <c r="E505" s="1789"/>
      <c r="F505" s="1836" cm="1">
        <f t="array" ref="F505">C505-D505</f>
        <v>85000000</v>
      </c>
      <c r="G505" t="s" s="1837">
        <v>2452</v>
      </c>
      <c r="H505" s="1789"/>
      <c r="I505" s="1789"/>
      <c r="J505" s="1789"/>
    </row>
    <row r="506" ht="15" customHeight="1">
      <c r="A506" t="s" s="1799">
        <v>3467</v>
      </c>
      <c r="B506" t="s" s="1800">
        <v>3705</v>
      </c>
      <c r="C506" s="1801">
        <v>10000000</v>
      </c>
      <c r="D506" s="1801">
        <v>0</v>
      </c>
      <c r="E506" s="1789"/>
      <c r="F506" s="1836" cm="1">
        <f t="array" ref="F506">C506-D506</f>
        <v>10000000</v>
      </c>
      <c r="G506" t="s" s="1837">
        <v>2452</v>
      </c>
      <c r="H506" s="1789"/>
      <c r="I506" s="1789"/>
      <c r="J506" s="1789"/>
    </row>
    <row r="507" ht="15" customHeight="1">
      <c r="A507" t="s" s="1799">
        <v>3469</v>
      </c>
      <c r="B507" t="s" s="1800">
        <v>3470</v>
      </c>
      <c r="C507" s="1801">
        <v>62282500</v>
      </c>
      <c r="D507" s="1801">
        <v>0</v>
      </c>
      <c r="E507" s="1789"/>
      <c r="F507" s="1836" cm="1">
        <f t="array" ref="F507">C507-D507</f>
        <v>62282500</v>
      </c>
      <c r="G507" t="s" s="1837">
        <v>2452</v>
      </c>
      <c r="H507" s="1789"/>
      <c r="I507" s="1789"/>
      <c r="J507" s="1789"/>
    </row>
    <row r="508" ht="15" customHeight="1">
      <c r="A508" t="s" s="1799">
        <v>3471</v>
      </c>
      <c r="B508" t="s" s="1800">
        <v>3472</v>
      </c>
      <c r="C508" s="1801">
        <v>1717826127</v>
      </c>
      <c r="D508" s="1801">
        <v>0</v>
      </c>
      <c r="E508" s="1789"/>
      <c r="F508" s="1836" cm="1">
        <f t="array" ref="F508">C508-D508</f>
        <v>1717826127</v>
      </c>
      <c r="G508" t="s" s="1837">
        <v>2452</v>
      </c>
      <c r="H508" s="1789"/>
      <c r="I508" s="1789"/>
      <c r="J508" s="1789"/>
    </row>
    <row r="509" ht="15" customHeight="1">
      <c r="A509" t="s" s="1799">
        <v>3473</v>
      </c>
      <c r="B509" t="s" s="1800">
        <v>3474</v>
      </c>
      <c r="C509" s="1801">
        <v>19000000</v>
      </c>
      <c r="D509" s="1801">
        <v>0</v>
      </c>
      <c r="E509" s="1789"/>
      <c r="F509" s="1836" cm="1">
        <f t="array" ref="F509">C509-D509</f>
        <v>19000000</v>
      </c>
      <c r="G509" t="s" s="1837">
        <v>2452</v>
      </c>
      <c r="H509" s="1789"/>
      <c r="I509" s="1789"/>
      <c r="J509" s="1789"/>
    </row>
    <row r="510" ht="15" customHeight="1">
      <c r="A510" t="s" s="1799">
        <v>3706</v>
      </c>
      <c r="B510" t="s" s="1800">
        <v>3707</v>
      </c>
      <c r="C510" s="1801">
        <v>118300000</v>
      </c>
      <c r="D510" s="1801">
        <v>0</v>
      </c>
      <c r="E510" s="1789"/>
      <c r="F510" s="1836" cm="1">
        <f t="array" ref="F510">C510-D510</f>
        <v>118300000</v>
      </c>
      <c r="G510" t="s" s="1837">
        <v>2452</v>
      </c>
      <c r="H510" s="1789"/>
      <c r="I510" s="1789"/>
      <c r="J510" s="1789"/>
    </row>
    <row r="511" ht="15" customHeight="1">
      <c r="A511" t="s" s="1799">
        <v>3475</v>
      </c>
      <c r="B511" t="s" s="1800">
        <v>3476</v>
      </c>
      <c r="C511" s="1801">
        <v>25000000</v>
      </c>
      <c r="D511" s="1801">
        <v>0</v>
      </c>
      <c r="E511" s="1789"/>
      <c r="F511" s="1836" cm="1">
        <f t="array" ref="F511">C511-D511</f>
        <v>25000000</v>
      </c>
      <c r="G511" t="s" s="1837">
        <v>2452</v>
      </c>
      <c r="H511" s="1789"/>
      <c r="I511" s="1789"/>
      <c r="J511" s="1789"/>
    </row>
    <row r="512" ht="15" customHeight="1">
      <c r="A512" t="s" s="1799">
        <v>3708</v>
      </c>
      <c r="B512" t="s" s="1800">
        <v>3709</v>
      </c>
      <c r="C512" s="1801">
        <v>37000000</v>
      </c>
      <c r="D512" s="1801">
        <v>0</v>
      </c>
      <c r="E512" s="1789"/>
      <c r="F512" s="1836" cm="1">
        <f t="array" ref="F512">C512-D512</f>
        <v>37000000</v>
      </c>
      <c r="G512" t="s" s="1837">
        <v>2452</v>
      </c>
      <c r="H512" s="1789"/>
      <c r="I512" s="1789"/>
      <c r="J512" s="1789"/>
    </row>
    <row r="513" ht="15" customHeight="1">
      <c r="A513" t="s" s="1799">
        <v>3479</v>
      </c>
      <c r="B513" t="s" s="1800">
        <v>3480</v>
      </c>
      <c r="C513" s="1801">
        <v>485946180</v>
      </c>
      <c r="D513" s="1801">
        <v>0</v>
      </c>
      <c r="E513" s="1789"/>
      <c r="F513" s="1836" cm="1">
        <f t="array" ref="F513">C513-D513</f>
        <v>485946180</v>
      </c>
      <c r="G513" t="s" s="1837">
        <v>2275</v>
      </c>
      <c r="H513" s="1789"/>
      <c r="I513" s="1789"/>
      <c r="J513" s="1789"/>
    </row>
    <row r="514" ht="15" customHeight="1">
      <c r="A514" s="1789"/>
      <c r="B514" t="s" s="1800">
        <v>3593</v>
      </c>
      <c r="C514" s="1801">
        <v>33351937543.56</v>
      </c>
      <c r="D514" s="1801">
        <v>3497513508.66</v>
      </c>
      <c r="E514" s="1801"/>
      <c r="F514" s="1836" cm="1">
        <f t="array" ref="F514">C514-D514</f>
        <v>29854424034.9</v>
      </c>
      <c r="G514" s="1836"/>
      <c r="H514" s="1789"/>
      <c r="I514" s="1789"/>
      <c r="J514" s="1789"/>
    </row>
    <row r="515" ht="15" customHeight="1">
      <c r="A515" s="1789"/>
      <c r="B515" t="s" s="1800">
        <v>3126</v>
      </c>
      <c r="C515" s="1801">
        <v>34972271969.74</v>
      </c>
      <c r="D515" s="1801">
        <v>3587713508.66</v>
      </c>
      <c r="E515" s="1801"/>
      <c r="F515" s="1836" cm="1">
        <f t="array" ref="F515">C515-D515</f>
        <v>31384558461.08</v>
      </c>
      <c r="G515" s="1836"/>
      <c r="H515" s="1789"/>
      <c r="I515" s="1789"/>
      <c r="J515" s="1789"/>
    </row>
    <row r="516" ht="15" customHeight="1">
      <c r="A516" s="1789"/>
      <c r="B516" t="s" s="1800">
        <v>3594</v>
      </c>
      <c r="C516" s="1801">
        <v>0</v>
      </c>
      <c r="D516" s="1801">
        <v>0</v>
      </c>
      <c r="E516" s="1789"/>
      <c r="F516" s="1836" cm="1">
        <f t="array" ref="F516">C516-D516</f>
        <v>0</v>
      </c>
      <c r="G516" s="1836"/>
      <c r="H516" s="1789"/>
      <c r="I516" s="1789"/>
      <c r="J516" s="1789"/>
    </row>
    <row r="517" ht="15" customHeight="1">
      <c r="A517" s="1789"/>
      <c r="B517" t="s" s="1796">
        <v>3595</v>
      </c>
      <c r="C517" s="1838">
        <v>34972271969.74</v>
      </c>
      <c r="D517" s="1838">
        <v>3587713508.66</v>
      </c>
      <c r="E517" s="1839"/>
      <c r="F517" s="1838" cm="1">
        <f t="array" ref="F517">C517-D517</f>
        <v>31384558461.08</v>
      </c>
      <c r="G517" s="1839"/>
      <c r="H517" s="1789"/>
      <c r="I517" s="1789"/>
      <c r="J517" s="1789"/>
    </row>
    <row r="518" ht="15" customHeight="1">
      <c r="A518" s="1789"/>
      <c r="B518" s="1832"/>
      <c r="C518" s="1832"/>
      <c r="D518" s="1832"/>
      <c r="E518" s="1832"/>
      <c r="F518" s="1840"/>
      <c r="G518" s="1840"/>
      <c r="H518" s="1789"/>
      <c r="I518" s="1789"/>
      <c r="J518" s="1789"/>
    </row>
    <row r="519" ht="15" customHeight="1">
      <c r="A519" s="1789"/>
      <c r="B519" t="s" s="1794">
        <v>3596</v>
      </c>
      <c r="C519" s="1795">
        <v>16963403092.22</v>
      </c>
      <c r="D519" s="1795">
        <v>5660248550.2</v>
      </c>
      <c r="E519" s="1789"/>
      <c r="F519" s="1795" cm="1">
        <f t="array" ref="F519">C519-D519</f>
        <v>11303154542.02</v>
      </c>
      <c r="G519" s="1795"/>
      <c r="H519" s="1789"/>
      <c r="I519" s="1789"/>
      <c r="J519" s="1789"/>
    </row>
    <row r="520" ht="15" customHeight="1">
      <c r="A520" s="1789"/>
      <c r="B520" t="s" s="1797">
        <v>3597</v>
      </c>
      <c r="C520" s="1798">
        <v>11199591302.02</v>
      </c>
      <c r="D520" s="1798">
        <v>-4375000</v>
      </c>
      <c r="E520" s="1789"/>
      <c r="F520" s="1835" cm="1">
        <f t="array" ref="F520">C520-D520</f>
        <v>11203966302.02</v>
      </c>
      <c r="G520" s="1835"/>
      <c r="H520" s="1789"/>
      <c r="I520" s="1789"/>
      <c r="J520" s="1789"/>
    </row>
    <row r="521" ht="15" customHeight="1">
      <c r="A521" s="1789"/>
      <c r="B521" t="s" s="1800">
        <v>3598</v>
      </c>
      <c r="C521" s="1801">
        <v>11203966302.02</v>
      </c>
      <c r="D521" s="1801">
        <v>0</v>
      </c>
      <c r="E521" s="1789"/>
      <c r="F521" s="1836" cm="1">
        <f t="array" ref="F521">C521-D521</f>
        <v>11203966302.02</v>
      </c>
      <c r="G521" s="1836"/>
      <c r="H521" s="1789"/>
      <c r="I521" s="1789"/>
      <c r="J521" s="1789"/>
    </row>
    <row r="522" ht="15" customHeight="1">
      <c r="A522" s="1789"/>
      <c r="B522" t="s" s="1800">
        <v>3599</v>
      </c>
      <c r="C522" s="1801">
        <v>11203966302.02</v>
      </c>
      <c r="D522" s="1801">
        <v>0</v>
      </c>
      <c r="E522" s="1789"/>
      <c r="F522" s="1836" cm="1">
        <f t="array" ref="F522">C522-D522</f>
        <v>11203966302.02</v>
      </c>
      <c r="G522" s="1836"/>
      <c r="H522" s="1789"/>
      <c r="I522" s="1789"/>
      <c r="J522" s="1789"/>
    </row>
    <row r="523" ht="15" customHeight="1">
      <c r="A523" s="1789"/>
      <c r="B523" t="s" s="1800">
        <v>3600</v>
      </c>
      <c r="C523" s="1801">
        <v>0</v>
      </c>
      <c r="D523" s="1801">
        <v>0</v>
      </c>
      <c r="E523" s="1789"/>
      <c r="F523" s="1836" cm="1">
        <f t="array" ref="F523">C523-D523</f>
        <v>0</v>
      </c>
      <c r="G523" s="1836"/>
      <c r="H523" s="1789"/>
      <c r="I523" s="1789"/>
      <c r="J523" s="1789"/>
    </row>
    <row r="524" ht="15" customHeight="1">
      <c r="A524" s="1789"/>
      <c r="B524" t="s" s="1800">
        <v>3601</v>
      </c>
      <c r="C524" s="1801">
        <v>11203966302.02</v>
      </c>
      <c r="D524" s="1801">
        <v>0</v>
      </c>
      <c r="E524" s="1801"/>
      <c r="F524" s="1836" cm="1">
        <f t="array" ref="F524">C524-D524</f>
        <v>11203966302.02</v>
      </c>
      <c r="G524" s="1836"/>
      <c r="H524" s="1789"/>
      <c r="I524" s="1789"/>
      <c r="J524" s="1789"/>
    </row>
    <row r="525" ht="15" customHeight="1">
      <c r="A525" s="1789"/>
      <c r="B525" t="s" s="1800">
        <v>3602</v>
      </c>
      <c r="C525" s="1801">
        <v>-4374999.99999809</v>
      </c>
      <c r="D525" s="1801">
        <v>-4375000</v>
      </c>
      <c r="E525" s="1789"/>
      <c r="F525" s="1836" cm="1">
        <f t="array" ref="F525">C525-D525</f>
        <v>1.91e-06</v>
      </c>
      <c r="G525" s="1836"/>
      <c r="H525" s="1789"/>
      <c r="I525" s="1789"/>
      <c r="J525" s="1789"/>
    </row>
    <row r="526" ht="15" customHeight="1">
      <c r="A526" s="1789"/>
      <c r="B526" t="s" s="1800">
        <v>3603</v>
      </c>
      <c r="C526" s="1801">
        <v>11199591302.02</v>
      </c>
      <c r="D526" s="1801">
        <v>-4375000</v>
      </c>
      <c r="E526" s="1801"/>
      <c r="F526" s="1836" cm="1">
        <f t="array" ref="F526">C526-D526</f>
        <v>11203966302.02</v>
      </c>
      <c r="G526" s="1836"/>
      <c r="H526" s="1789"/>
      <c r="I526" s="1789"/>
      <c r="J526" s="1789"/>
    </row>
    <row r="527" ht="15" customHeight="1">
      <c r="A527" s="1789"/>
      <c r="B527" t="s" s="1800">
        <v>3604</v>
      </c>
      <c r="C527" s="1801">
        <v>5763811790.2</v>
      </c>
      <c r="D527" s="1801">
        <v>5664623550.2</v>
      </c>
      <c r="E527" s="1789"/>
      <c r="F527" s="1836" cm="1">
        <f t="array" ref="F527">C527-D527</f>
        <v>99188240</v>
      </c>
      <c r="G527" s="1836"/>
      <c r="H527" s="1789"/>
      <c r="I527" s="1789"/>
      <c r="J527" s="1789"/>
    </row>
    <row r="528" ht="15" customHeight="1">
      <c r="A528" t="s" s="1799">
        <v>3605</v>
      </c>
      <c r="B528" t="s" s="1800">
        <v>3606</v>
      </c>
      <c r="C528" s="1801">
        <v>804216230</v>
      </c>
      <c r="D528" s="1801">
        <v>709253000</v>
      </c>
      <c r="E528" s="1789"/>
      <c r="F528" s="1836" cm="1">
        <f t="array" ref="F528">C528-D528</f>
        <v>94963230</v>
      </c>
      <c r="G528" s="1836"/>
      <c r="H528" s="1789"/>
      <c r="I528" s="1789"/>
      <c r="J528" s="1789"/>
    </row>
    <row r="529" ht="15" customHeight="1">
      <c r="A529" t="s" s="1799">
        <v>3607</v>
      </c>
      <c r="B529" t="s" s="1800">
        <v>3608</v>
      </c>
      <c r="C529" s="1801">
        <v>47474500</v>
      </c>
      <c r="D529" s="1801">
        <v>47474500</v>
      </c>
      <c r="E529" s="1789"/>
      <c r="F529" s="1836" cm="1">
        <f t="array" ref="F529">C529-D529</f>
        <v>0</v>
      </c>
      <c r="G529" s="1836"/>
      <c r="H529" s="1789"/>
      <c r="I529" s="1789"/>
      <c r="J529" s="1789"/>
    </row>
    <row r="530" ht="15" customHeight="1">
      <c r="A530" t="s" s="1799">
        <v>3609</v>
      </c>
      <c r="B530" t="s" s="1800">
        <v>3610</v>
      </c>
      <c r="C530" s="1801">
        <v>-2775000</v>
      </c>
      <c r="D530" s="1801">
        <v>0</v>
      </c>
      <c r="E530" s="1789"/>
      <c r="F530" s="1836" cm="1">
        <f t="array" ref="F530">C530-D530</f>
        <v>-2775000</v>
      </c>
      <c r="G530" s="1836"/>
      <c r="H530" s="1789"/>
      <c r="I530" s="1789"/>
      <c r="J530" s="1789"/>
    </row>
    <row r="531" ht="15" customHeight="1">
      <c r="A531" t="s" s="1799">
        <v>3611</v>
      </c>
      <c r="B531" t="s" s="1800">
        <v>3612</v>
      </c>
      <c r="C531" s="1801">
        <v>6263327.33</v>
      </c>
      <c r="D531" s="1801">
        <v>6263327.33</v>
      </c>
      <c r="E531" s="1789"/>
      <c r="F531" s="1836" cm="1">
        <f t="array" ref="F531">C531-D531</f>
        <v>0</v>
      </c>
      <c r="G531" s="1836"/>
      <c r="H531" s="1789"/>
      <c r="I531" s="1789"/>
      <c r="J531" s="1789"/>
    </row>
    <row r="532" ht="15" customHeight="1">
      <c r="A532" t="s" s="1799">
        <v>3613</v>
      </c>
      <c r="B532" t="s" s="1800">
        <v>3614</v>
      </c>
      <c r="C532" s="1801">
        <v>4908632732.87</v>
      </c>
      <c r="D532" s="1801">
        <v>4901632722.87</v>
      </c>
      <c r="E532" s="1789"/>
      <c r="F532" s="1836" cm="1">
        <f t="array" ref="F532">C532-D532</f>
        <v>7000010</v>
      </c>
      <c r="G532" s="1836"/>
      <c r="H532" s="1789"/>
      <c r="I532" s="1789"/>
      <c r="J532" s="1789"/>
    </row>
    <row r="533" ht="15" customHeight="1">
      <c r="A533" s="1789"/>
      <c r="B533" t="s" s="1800">
        <v>3615</v>
      </c>
      <c r="C533" s="1801">
        <v>5763811790.2</v>
      </c>
      <c r="D533" s="1801">
        <v>5664623550.2</v>
      </c>
      <c r="E533" s="1801"/>
      <c r="F533" s="1836" cm="1">
        <f t="array" ref="F533">C533-D533</f>
        <v>99188240</v>
      </c>
      <c r="G533" s="1836"/>
      <c r="H533" s="1789"/>
      <c r="I533" s="1789"/>
      <c r="J533" s="1789"/>
    </row>
    <row r="534" ht="15" customHeight="1">
      <c r="A534" s="1789"/>
      <c r="B534" t="s" s="1796">
        <v>3616</v>
      </c>
      <c r="C534" s="1838">
        <v>16963403092.22</v>
      </c>
      <c r="D534" s="1838">
        <v>5660248550.2</v>
      </c>
      <c r="E534" s="1839"/>
      <c r="F534" s="1838" cm="1">
        <f t="array" ref="F534">C534-D534</f>
        <v>11303154542.02</v>
      </c>
      <c r="G534" s="1839"/>
      <c r="H534" s="1789"/>
      <c r="I534" s="1789"/>
      <c r="J534" s="1789"/>
    </row>
    <row r="535" ht="15" customHeight="1">
      <c r="A535" s="1789"/>
      <c r="B535" s="1832"/>
      <c r="C535" s="1832"/>
      <c r="D535" s="1832"/>
      <c r="E535" s="1832"/>
      <c r="F535" s="1840"/>
      <c r="G535" s="1840"/>
      <c r="H535" s="1789"/>
      <c r="I535" s="1789"/>
      <c r="J535" s="1789"/>
    </row>
    <row r="536" ht="15" customHeight="1">
      <c r="A536" s="1789"/>
      <c r="B536" t="s" s="1794">
        <v>3617</v>
      </c>
      <c r="C536" s="1795">
        <v>51935675061.96</v>
      </c>
      <c r="D536" s="1795">
        <v>9247962058.860001</v>
      </c>
      <c r="E536" s="1789"/>
      <c r="F536" s="1795" cm="1">
        <f t="array" ref="F536">C536-D536</f>
        <v>42687713003.1</v>
      </c>
      <c r="G536" s="1795"/>
      <c r="H536" s="1789"/>
      <c r="I536" s="1789"/>
      <c r="J536" s="1789"/>
    </row>
    <row r="537" ht="15" customHeight="1">
      <c r="A537" s="1789"/>
      <c r="B537" s="1832"/>
      <c r="C537" s="1832"/>
      <c r="D537" s="1832"/>
      <c r="E537" s="1789"/>
      <c r="F537" s="1840"/>
      <c r="G537" s="1840"/>
      <c r="H537" s="1789"/>
      <c r="I537" s="1789"/>
      <c r="J537" s="178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4.xml><?xml version="1.0" encoding="utf-8"?>
<worksheet xmlns:r="http://schemas.openxmlformats.org/officeDocument/2006/relationships" xmlns="http://schemas.openxmlformats.org/spreadsheetml/2006/main">
  <dimension ref="A1:E137"/>
  <sheetViews>
    <sheetView workbookViewId="0" showGridLines="0" defaultGridColor="1"/>
  </sheetViews>
  <sheetFormatPr defaultColWidth="24.1667" defaultRowHeight="14.5" customHeight="1" outlineLevelRow="0" outlineLevelCol="0"/>
  <cols>
    <col min="1" max="1" width="10.8516" style="1841" customWidth="1"/>
    <col min="2" max="2" width="57.5" style="1841" customWidth="1"/>
    <col min="3" max="3" width="37.5" style="1841" customWidth="1"/>
    <col min="4" max="5" width="24.1719" style="1841" customWidth="1"/>
    <col min="6" max="16384" width="24.1719" style="1841" customWidth="1"/>
  </cols>
  <sheetData>
    <row r="1" ht="15.5" customHeight="1">
      <c r="A1" s="1789"/>
      <c r="B1" s="1789"/>
      <c r="C1" t="s" s="1843">
        <v>3711</v>
      </c>
      <c r="D1" s="1789"/>
      <c r="E1" s="1789"/>
    </row>
    <row r="2" ht="14.05" customHeight="1">
      <c r="A2" s="1789"/>
      <c r="B2" s="1789"/>
      <c r="C2" s="1793"/>
      <c r="D2" s="1789"/>
      <c r="E2" s="1789"/>
    </row>
    <row r="3" ht="15.5" customHeight="1">
      <c r="A3" t="s" s="1842">
        <v>2265</v>
      </c>
      <c r="B3" t="s" s="1842">
        <v>2266</v>
      </c>
      <c r="C3" t="s" s="1842">
        <v>1079</v>
      </c>
      <c r="D3" s="1789"/>
      <c r="E3" s="1789"/>
    </row>
    <row r="4" ht="14.05" customHeight="1">
      <c r="A4" s="1793"/>
      <c r="B4" s="1793"/>
      <c r="C4" s="1793"/>
      <c r="D4" s="1789"/>
      <c r="E4" s="1789"/>
    </row>
    <row r="5" ht="17.5" customHeight="1">
      <c r="A5" s="1789"/>
      <c r="B5" t="s" s="1844">
        <v>894</v>
      </c>
      <c r="C5" s="1845">
        <v>2845837644.55</v>
      </c>
      <c r="D5" s="1789"/>
      <c r="E5" s="1789"/>
    </row>
    <row r="6" ht="13.55" customHeight="1">
      <c r="A6" s="1789"/>
      <c r="B6" s="1832"/>
      <c r="C6" s="1832"/>
      <c r="D6" s="1789"/>
      <c r="E6" s="1789"/>
    </row>
    <row r="7" ht="17.5" customHeight="1">
      <c r="A7" s="1789"/>
      <c r="B7" t="s" s="1844">
        <v>546</v>
      </c>
      <c r="C7" s="1845">
        <v>32597901111.97</v>
      </c>
      <c r="D7" s="1789"/>
      <c r="E7" s="1789"/>
    </row>
    <row r="8" ht="16.5" customHeight="1">
      <c r="A8" s="1789"/>
      <c r="B8" t="s" s="1846">
        <v>3712</v>
      </c>
      <c r="C8" s="1847">
        <v>12290503941.98</v>
      </c>
      <c r="D8" s="1789"/>
      <c r="E8" s="1789"/>
    </row>
    <row r="9" ht="16" customHeight="1">
      <c r="A9" s="1789"/>
      <c r="B9" t="s" s="1848">
        <v>3713</v>
      </c>
      <c r="C9" s="1849">
        <v>32576012447.6</v>
      </c>
      <c r="D9" s="1789"/>
      <c r="E9" s="1789"/>
    </row>
    <row r="10" ht="16" customHeight="1">
      <c r="A10" t="s" s="1850">
        <v>3714</v>
      </c>
      <c r="B10" t="s" s="1848">
        <v>3715</v>
      </c>
      <c r="C10" s="1849">
        <v>339350000</v>
      </c>
      <c r="D10" s="1789"/>
      <c r="E10" s="1789"/>
    </row>
    <row r="11" ht="16" customHeight="1">
      <c r="A11" t="s" s="1850">
        <v>3716</v>
      </c>
      <c r="B11" t="s" s="1848">
        <v>3717</v>
      </c>
      <c r="C11" s="1849">
        <v>52828300</v>
      </c>
      <c r="D11" s="1789"/>
      <c r="E11" s="1789"/>
    </row>
    <row r="12" ht="16" customHeight="1">
      <c r="A12" t="s" s="1850">
        <v>3718</v>
      </c>
      <c r="B12" t="s" s="1848">
        <v>3719</v>
      </c>
      <c r="C12" s="1849">
        <v>7716841913</v>
      </c>
      <c r="D12" s="1789"/>
      <c r="E12" s="1789"/>
    </row>
    <row r="13" ht="16" customHeight="1">
      <c r="A13" t="s" s="1850">
        <v>3720</v>
      </c>
      <c r="B13" t="s" s="1848">
        <v>3721</v>
      </c>
      <c r="C13" s="1849">
        <v>4438032195</v>
      </c>
      <c r="D13" s="1789"/>
      <c r="E13" s="1789"/>
    </row>
    <row r="14" ht="16" customHeight="1">
      <c r="A14" t="s" s="1850">
        <v>3722</v>
      </c>
      <c r="B14" t="s" s="1848">
        <v>3723</v>
      </c>
      <c r="C14" s="1849">
        <v>16511905784.6</v>
      </c>
      <c r="D14" s="1789"/>
      <c r="E14" s="1789"/>
    </row>
    <row r="15" ht="16" customHeight="1">
      <c r="A15" t="s" s="1850">
        <v>3724</v>
      </c>
      <c r="B15" t="s" s="1848">
        <v>3725</v>
      </c>
      <c r="C15" s="1849">
        <v>0</v>
      </c>
      <c r="D15" s="1789"/>
      <c r="E15" s="1789"/>
    </row>
    <row r="16" ht="16" customHeight="1">
      <c r="A16" t="s" s="1850">
        <v>3726</v>
      </c>
      <c r="B16" t="s" s="1848">
        <v>3727</v>
      </c>
      <c r="C16" s="1849">
        <v>3740000</v>
      </c>
      <c r="D16" s="1789"/>
      <c r="E16" s="1789"/>
    </row>
    <row r="17" ht="16" customHeight="1">
      <c r="A17" t="s" s="1850">
        <v>3728</v>
      </c>
      <c r="B17" t="s" s="1848">
        <v>3729</v>
      </c>
      <c r="C17" s="1849">
        <v>14040000</v>
      </c>
      <c r="D17" s="1789"/>
      <c r="E17" s="1789"/>
    </row>
    <row r="18" ht="16" customHeight="1">
      <c r="A18" t="s" s="1850">
        <v>3730</v>
      </c>
      <c r="B18" t="s" s="1848">
        <v>3731</v>
      </c>
      <c r="C18" s="1849">
        <v>1788800000</v>
      </c>
      <c r="D18" s="1789"/>
      <c r="E18" s="1789"/>
    </row>
    <row r="19" ht="16" customHeight="1">
      <c r="A19" t="s" s="1850">
        <v>3732</v>
      </c>
      <c r="B19" t="s" s="1848">
        <v>3733</v>
      </c>
      <c r="C19" s="1849">
        <v>0</v>
      </c>
      <c r="D19" s="1789"/>
      <c r="E19" s="1789"/>
    </row>
    <row r="20" ht="16" customHeight="1">
      <c r="A20" t="s" s="1850">
        <v>3734</v>
      </c>
      <c r="B20" t="s" s="1848">
        <v>3735</v>
      </c>
      <c r="C20" s="1849">
        <v>159460000</v>
      </c>
      <c r="D20" s="1789"/>
      <c r="E20" s="1789"/>
    </row>
    <row r="21" ht="16" customHeight="1">
      <c r="A21" t="s" s="1850">
        <v>3736</v>
      </c>
      <c r="B21" t="s" s="1848">
        <v>3737</v>
      </c>
      <c r="C21" s="1849">
        <v>660042690</v>
      </c>
      <c r="D21" s="1789"/>
      <c r="E21" s="1789"/>
    </row>
    <row r="22" ht="16" customHeight="1">
      <c r="A22" t="s" s="1850">
        <v>3738</v>
      </c>
      <c r="B22" t="s" s="1848">
        <v>3739</v>
      </c>
      <c r="C22" s="1849">
        <v>490876542</v>
      </c>
      <c r="D22" s="1789"/>
      <c r="E22" s="1789"/>
    </row>
    <row r="23" ht="16" customHeight="1">
      <c r="A23" t="s" s="1850">
        <v>3740</v>
      </c>
      <c r="B23" t="s" s="1848">
        <v>3741</v>
      </c>
      <c r="C23" s="1849">
        <v>110000</v>
      </c>
      <c r="D23" s="1789"/>
      <c r="E23" s="1789"/>
    </row>
    <row r="24" ht="16" customHeight="1">
      <c r="A24" t="s" s="1850">
        <v>3742</v>
      </c>
      <c r="B24" t="s" s="1848">
        <v>3743</v>
      </c>
      <c r="C24" s="1849">
        <v>21100000</v>
      </c>
      <c r="D24" s="1789"/>
      <c r="E24" s="1789"/>
    </row>
    <row r="25" ht="16" customHeight="1">
      <c r="A25" t="s" s="1850">
        <v>3744</v>
      </c>
      <c r="B25" t="s" s="1848">
        <v>3745</v>
      </c>
      <c r="C25" s="1849">
        <v>378885023</v>
      </c>
      <c r="D25" s="1789"/>
      <c r="E25" s="1789"/>
    </row>
    <row r="26" ht="16" customHeight="1">
      <c r="A26" s="1789"/>
      <c r="B26" t="s" s="1851">
        <v>3746</v>
      </c>
      <c r="C26" s="1849">
        <v>32576012447.6</v>
      </c>
      <c r="D26" s="1789"/>
      <c r="E26" s="1789"/>
    </row>
    <row r="27" ht="16" customHeight="1">
      <c r="A27" s="1789"/>
      <c r="B27" t="s" s="1848">
        <v>3747</v>
      </c>
      <c r="C27" s="1849">
        <v>20285508505.62</v>
      </c>
      <c r="D27" s="1789"/>
      <c r="E27" s="1789"/>
    </row>
    <row r="28" ht="16" customHeight="1">
      <c r="A28" t="s" s="1850">
        <v>3748</v>
      </c>
      <c r="B28" t="s" s="1848">
        <v>3749</v>
      </c>
      <c r="C28" s="1849">
        <v>19236000</v>
      </c>
      <c r="D28" s="1789"/>
      <c r="E28" s="1789"/>
    </row>
    <row r="29" ht="16" customHeight="1">
      <c r="A29" t="s" s="1850">
        <v>3750</v>
      </c>
      <c r="B29" t="s" s="1848">
        <v>3751</v>
      </c>
      <c r="C29" s="1849">
        <v>587225000</v>
      </c>
      <c r="D29" s="1789"/>
      <c r="E29" s="1789"/>
    </row>
    <row r="30" ht="16" customHeight="1">
      <c r="A30" t="s" s="1850">
        <v>3752</v>
      </c>
      <c r="B30" t="s" s="1848">
        <v>3753</v>
      </c>
      <c r="C30" s="1849">
        <v>182150000</v>
      </c>
      <c r="D30" s="1789"/>
      <c r="E30" s="1789"/>
    </row>
    <row r="31" ht="16" customHeight="1">
      <c r="A31" t="s" s="1850">
        <v>3754</v>
      </c>
      <c r="B31" t="s" s="1848">
        <v>3755</v>
      </c>
      <c r="C31" s="1849">
        <v>519075000</v>
      </c>
      <c r="D31" s="1789"/>
      <c r="E31" s="1789"/>
    </row>
    <row r="32" ht="16" customHeight="1">
      <c r="A32" t="s" s="1850">
        <v>3756</v>
      </c>
      <c r="B32" t="s" s="1848">
        <v>3757</v>
      </c>
      <c r="C32" s="1849">
        <v>373650000</v>
      </c>
      <c r="D32" s="1789"/>
      <c r="E32" s="1789"/>
    </row>
    <row r="33" ht="16" customHeight="1">
      <c r="A33" t="s" s="1850">
        <v>3758</v>
      </c>
      <c r="B33" t="s" s="1848">
        <v>3759</v>
      </c>
      <c r="C33" s="1849">
        <v>48500000</v>
      </c>
      <c r="D33" s="1789"/>
      <c r="E33" s="1789"/>
    </row>
    <row r="34" ht="16" customHeight="1">
      <c r="A34" t="s" s="1850">
        <v>3760</v>
      </c>
      <c r="B34" t="s" s="1848">
        <v>3761</v>
      </c>
      <c r="C34" s="1849">
        <v>496475000</v>
      </c>
      <c r="D34" s="1789"/>
      <c r="E34" s="1789"/>
    </row>
    <row r="35" ht="16" customHeight="1">
      <c r="A35" t="s" s="1850">
        <v>3762</v>
      </c>
      <c r="B35" t="s" s="1848">
        <v>3763</v>
      </c>
      <c r="C35" s="1849">
        <v>8500000</v>
      </c>
      <c r="D35" s="1789"/>
      <c r="E35" s="1789"/>
    </row>
    <row r="36" ht="16" customHeight="1">
      <c r="A36" t="s" s="1850">
        <v>3764</v>
      </c>
      <c r="B36" t="s" s="1848">
        <v>3765</v>
      </c>
      <c r="C36" s="1849">
        <v>489125000</v>
      </c>
      <c r="D36" s="1789"/>
      <c r="E36" s="1789"/>
    </row>
    <row r="37" ht="16" customHeight="1">
      <c r="A37" t="s" s="1850">
        <v>3766</v>
      </c>
      <c r="B37" t="s" s="1848">
        <v>3767</v>
      </c>
      <c r="C37" s="1849">
        <v>3885000</v>
      </c>
      <c r="D37" s="1789"/>
      <c r="E37" s="1789"/>
    </row>
    <row r="38" ht="16" customHeight="1">
      <c r="A38" t="s" s="1850">
        <v>3768</v>
      </c>
      <c r="B38" t="s" s="1848">
        <v>3769</v>
      </c>
      <c r="C38" s="1849">
        <v>215950000</v>
      </c>
      <c r="D38" s="1789"/>
      <c r="E38" s="1789"/>
    </row>
    <row r="39" ht="16" customHeight="1">
      <c r="A39" t="s" s="1850">
        <v>3770</v>
      </c>
      <c r="B39" t="s" s="1848">
        <v>3771</v>
      </c>
      <c r="C39" s="1849">
        <v>5300000</v>
      </c>
      <c r="D39" s="1789"/>
      <c r="E39" s="1789"/>
    </row>
    <row r="40" ht="16" customHeight="1">
      <c r="A40" t="s" s="1850">
        <v>3772</v>
      </c>
      <c r="B40" t="s" s="1848">
        <v>3773</v>
      </c>
      <c r="C40" s="1849">
        <v>8400000</v>
      </c>
      <c r="D40" s="1789"/>
      <c r="E40" s="1789"/>
    </row>
    <row r="41" ht="16" customHeight="1">
      <c r="A41" t="s" s="1850">
        <v>3774</v>
      </c>
      <c r="B41" t="s" s="1848">
        <v>3775</v>
      </c>
      <c r="C41" s="1849">
        <v>437075000</v>
      </c>
      <c r="D41" s="1789"/>
      <c r="E41" s="1789"/>
    </row>
    <row r="42" ht="16" customHeight="1">
      <c r="A42" t="s" s="1850">
        <v>3776</v>
      </c>
      <c r="B42" t="s" s="1848">
        <v>3777</v>
      </c>
      <c r="C42" s="1849">
        <v>1304538080</v>
      </c>
      <c r="D42" s="1789"/>
      <c r="E42" s="1789"/>
    </row>
    <row r="43" ht="16" customHeight="1">
      <c r="A43" t="s" s="1850">
        <v>3778</v>
      </c>
      <c r="B43" t="s" s="1848">
        <v>3779</v>
      </c>
      <c r="C43" s="1849">
        <v>1417920000</v>
      </c>
      <c r="D43" s="1789"/>
      <c r="E43" s="1789"/>
    </row>
    <row r="44" ht="16" customHeight="1">
      <c r="A44" t="s" s="1850">
        <v>3780</v>
      </c>
      <c r="B44" t="s" s="1848">
        <v>3781</v>
      </c>
      <c r="C44" s="1849">
        <v>104550000</v>
      </c>
      <c r="D44" s="1789"/>
      <c r="E44" s="1789"/>
    </row>
    <row r="45" ht="16" customHeight="1">
      <c r="A45" t="s" s="1850">
        <v>3782</v>
      </c>
      <c r="B45" t="s" s="1848">
        <v>3783</v>
      </c>
      <c r="C45" s="1849">
        <v>2814850000</v>
      </c>
      <c r="D45" s="1789"/>
      <c r="E45" s="1789"/>
    </row>
    <row r="46" ht="16" customHeight="1">
      <c r="A46" t="s" s="1850">
        <v>3784</v>
      </c>
      <c r="B46" t="s" s="1848">
        <v>3785</v>
      </c>
      <c r="C46" s="1849">
        <v>497157505</v>
      </c>
      <c r="D46" s="1789"/>
      <c r="E46" s="1789"/>
    </row>
    <row r="47" ht="16" customHeight="1">
      <c r="A47" t="s" s="1850">
        <v>3786</v>
      </c>
      <c r="B47" t="s" s="1848">
        <v>3787</v>
      </c>
      <c r="C47" s="1849">
        <v>969031731</v>
      </c>
      <c r="D47" s="1789"/>
      <c r="E47" s="1789"/>
    </row>
    <row r="48" ht="16" customHeight="1">
      <c r="A48" t="s" s="1850">
        <v>3788</v>
      </c>
      <c r="B48" t="s" s="1848">
        <v>3789</v>
      </c>
      <c r="C48" s="1849">
        <v>1517080100</v>
      </c>
      <c r="D48" s="1789"/>
      <c r="E48" s="1789"/>
    </row>
    <row r="49" ht="16" customHeight="1">
      <c r="A49" t="s" s="1850">
        <v>3790</v>
      </c>
      <c r="B49" t="s" s="1848">
        <v>3791</v>
      </c>
      <c r="C49" s="1849">
        <v>460162500</v>
      </c>
      <c r="D49" s="1789"/>
      <c r="E49" s="1789"/>
    </row>
    <row r="50" ht="16" customHeight="1">
      <c r="A50" t="s" s="1850">
        <v>3792</v>
      </c>
      <c r="B50" t="s" s="1848">
        <v>3793</v>
      </c>
      <c r="C50" s="1849">
        <v>74181579.87</v>
      </c>
      <c r="D50" s="1789"/>
      <c r="E50" s="1789"/>
    </row>
    <row r="51" ht="16" customHeight="1">
      <c r="A51" t="s" s="1850">
        <v>3794</v>
      </c>
      <c r="B51" t="s" s="1848">
        <v>3795</v>
      </c>
      <c r="C51" s="1849">
        <v>205205000</v>
      </c>
      <c r="D51" s="1789"/>
      <c r="E51" s="1789"/>
    </row>
    <row r="52" ht="16" customHeight="1">
      <c r="A52" t="s" s="1850">
        <v>3796</v>
      </c>
      <c r="B52" t="s" s="1848">
        <v>3797</v>
      </c>
      <c r="C52" s="1849">
        <v>157587500</v>
      </c>
      <c r="D52" s="1789"/>
      <c r="E52" s="1789"/>
    </row>
    <row r="53" ht="16" customHeight="1">
      <c r="A53" t="s" s="1850">
        <v>3798</v>
      </c>
      <c r="B53" t="s" s="1848">
        <v>3799</v>
      </c>
      <c r="C53" s="1849">
        <v>483737500</v>
      </c>
      <c r="D53" s="1789"/>
      <c r="E53" s="1789"/>
    </row>
    <row r="54" ht="16" customHeight="1">
      <c r="A54" t="s" s="1850">
        <v>3800</v>
      </c>
      <c r="B54" t="s" s="1848">
        <v>3801</v>
      </c>
      <c r="C54" s="1849">
        <v>118260000</v>
      </c>
      <c r="D54" s="1789"/>
      <c r="E54" s="1789"/>
    </row>
    <row r="55" ht="16" customHeight="1">
      <c r="A55" t="s" s="1850">
        <v>3802</v>
      </c>
      <c r="B55" t="s" s="1848">
        <v>3803</v>
      </c>
      <c r="C55" s="1849">
        <v>735550000</v>
      </c>
      <c r="D55" s="1789"/>
      <c r="E55" s="1789"/>
    </row>
    <row r="56" ht="16" customHeight="1">
      <c r="A56" t="s" s="1850">
        <v>3804</v>
      </c>
      <c r="B56" t="s" s="1848">
        <v>3805</v>
      </c>
      <c r="C56" s="1849">
        <v>29700000</v>
      </c>
      <c r="D56" s="1789"/>
      <c r="E56" s="1789"/>
    </row>
    <row r="57" ht="16" customHeight="1">
      <c r="A57" t="s" s="1850">
        <v>3806</v>
      </c>
      <c r="B57" t="s" s="1848">
        <v>3807</v>
      </c>
      <c r="C57" s="1849">
        <v>30000000</v>
      </c>
      <c r="D57" s="1789"/>
      <c r="E57" s="1789"/>
    </row>
    <row r="58" ht="16" customHeight="1">
      <c r="A58" t="s" s="1850">
        <v>3808</v>
      </c>
      <c r="B58" t="s" s="1848">
        <v>3809</v>
      </c>
      <c r="C58" s="1849">
        <v>901276102</v>
      </c>
      <c r="D58" s="1789"/>
      <c r="E58" s="1789"/>
    </row>
    <row r="59" ht="16" customHeight="1">
      <c r="A59" t="s" s="1850">
        <v>3810</v>
      </c>
      <c r="B59" t="s" s="1848">
        <v>3811</v>
      </c>
      <c r="C59" s="1849">
        <v>898650000</v>
      </c>
      <c r="D59" s="1789"/>
      <c r="E59" s="1789"/>
    </row>
    <row r="60" ht="16" customHeight="1">
      <c r="A60" t="s" s="1850">
        <v>3812</v>
      </c>
      <c r="B60" t="s" s="1848">
        <v>3813</v>
      </c>
      <c r="C60" s="1849">
        <v>2590000</v>
      </c>
      <c r="D60" s="1789"/>
      <c r="E60" s="1789"/>
    </row>
    <row r="61" ht="16" customHeight="1">
      <c r="A61" t="s" s="1850">
        <v>3814</v>
      </c>
      <c r="B61" t="s" s="1848">
        <v>3815</v>
      </c>
      <c r="C61" s="1849">
        <v>12000000</v>
      </c>
      <c r="D61" s="1789"/>
      <c r="E61" s="1789"/>
    </row>
    <row r="62" ht="16" customHeight="1">
      <c r="A62" t="s" s="1850">
        <v>3816</v>
      </c>
      <c r="B62" t="s" s="1848">
        <v>3817</v>
      </c>
      <c r="C62" s="1849">
        <v>198000000</v>
      </c>
      <c r="D62" s="1789"/>
      <c r="E62" s="1789"/>
    </row>
    <row r="63" ht="16" customHeight="1">
      <c r="A63" t="s" s="1850">
        <v>3818</v>
      </c>
      <c r="B63" t="s" s="1848">
        <v>3819</v>
      </c>
      <c r="C63" s="1849">
        <v>1008218.75</v>
      </c>
      <c r="D63" s="1789"/>
      <c r="E63" s="1789"/>
    </row>
    <row r="64" ht="16" customHeight="1">
      <c r="A64" t="s" s="1850">
        <v>3820</v>
      </c>
      <c r="B64" t="s" s="1848">
        <v>3821</v>
      </c>
      <c r="C64" s="1849">
        <v>54775000</v>
      </c>
      <c r="D64" s="1789"/>
      <c r="E64" s="1789"/>
    </row>
    <row r="65" ht="16" customHeight="1">
      <c r="A65" t="s" s="1850">
        <v>3822</v>
      </c>
      <c r="B65" t="s" s="1848">
        <v>1086</v>
      </c>
      <c r="C65" s="1849">
        <v>508013339</v>
      </c>
      <c r="D65" s="1789"/>
      <c r="E65" s="1789"/>
    </row>
    <row r="66" ht="16" customHeight="1">
      <c r="A66" t="s" s="1850">
        <v>3823</v>
      </c>
      <c r="B66" t="s" s="1848">
        <v>3824</v>
      </c>
      <c r="C66" s="1849">
        <v>2008270000</v>
      </c>
      <c r="D66" s="1789"/>
      <c r="E66" s="1789"/>
    </row>
    <row r="67" ht="16" customHeight="1">
      <c r="A67" t="s" s="1850">
        <v>3825</v>
      </c>
      <c r="B67" t="s" s="1848">
        <v>3826</v>
      </c>
      <c r="C67" s="1849">
        <v>238198000</v>
      </c>
      <c r="D67" s="1789"/>
      <c r="E67" s="1789"/>
    </row>
    <row r="68" ht="16" customHeight="1">
      <c r="A68" t="s" s="1850">
        <v>3827</v>
      </c>
      <c r="B68" t="s" s="1848">
        <v>3828</v>
      </c>
      <c r="C68" s="1849">
        <v>549375370</v>
      </c>
      <c r="D68" s="1789"/>
      <c r="E68" s="1789"/>
    </row>
    <row r="69" ht="16" customHeight="1">
      <c r="A69" t="s" s="1850">
        <v>3829</v>
      </c>
      <c r="B69" t="s" s="1848">
        <v>3830</v>
      </c>
      <c r="C69" s="1849">
        <v>1465097</v>
      </c>
      <c r="D69" s="1789"/>
      <c r="E69" s="1789"/>
    </row>
    <row r="70" ht="16" customHeight="1">
      <c r="A70" t="s" s="1850">
        <v>3831</v>
      </c>
      <c r="B70" t="s" s="1848">
        <v>3832</v>
      </c>
      <c r="C70" s="1849">
        <v>312233492</v>
      </c>
      <c r="D70" s="1789"/>
      <c r="E70" s="1789"/>
    </row>
    <row r="71" ht="16" customHeight="1">
      <c r="A71" t="s" s="1850">
        <v>3833</v>
      </c>
      <c r="B71" t="s" s="1848">
        <v>3834</v>
      </c>
      <c r="C71" s="1849">
        <v>22486426</v>
      </c>
      <c r="D71" s="1789"/>
      <c r="E71" s="1789"/>
    </row>
    <row r="72" ht="16" customHeight="1">
      <c r="A72" t="s" s="1850">
        <v>3835</v>
      </c>
      <c r="B72" t="s" s="1848">
        <v>527</v>
      </c>
      <c r="C72" s="1849">
        <v>263109965</v>
      </c>
      <c r="D72" s="1789"/>
      <c r="E72" s="1789"/>
    </row>
    <row r="73" ht="16" customHeight="1">
      <c r="A73" s="1789"/>
      <c r="B73" t="s" s="1851">
        <v>3836</v>
      </c>
      <c r="C73" s="1849">
        <v>20285508505.62</v>
      </c>
      <c r="D73" s="1789"/>
      <c r="E73" s="1789"/>
    </row>
    <row r="74" ht="16" customHeight="1">
      <c r="A74" s="1789"/>
      <c r="B74" t="s" s="1851">
        <v>3837</v>
      </c>
      <c r="C74" s="1849">
        <v>12290503941.98</v>
      </c>
      <c r="D74" s="1789"/>
      <c r="E74" s="1789"/>
    </row>
    <row r="75" ht="16" customHeight="1">
      <c r="A75" s="1789"/>
      <c r="B75" t="s" s="1848">
        <v>1087</v>
      </c>
      <c r="C75" s="1849">
        <v>21888664.37</v>
      </c>
      <c r="D75" s="1789"/>
      <c r="E75" s="1789"/>
    </row>
    <row r="76" ht="16" customHeight="1">
      <c r="A76" t="s" s="1850">
        <v>3838</v>
      </c>
      <c r="B76" t="s" s="1848">
        <v>3839</v>
      </c>
      <c r="C76" s="1849">
        <v>46112164.3699971</v>
      </c>
      <c r="D76" s="1789"/>
      <c r="E76" s="1789"/>
    </row>
    <row r="77" ht="16" customHeight="1">
      <c r="A77" s="1789"/>
      <c r="B77" t="s" s="1851">
        <v>3840</v>
      </c>
      <c r="C77" s="1849">
        <v>46112164.3699971</v>
      </c>
      <c r="D77" s="1789"/>
      <c r="E77" s="1789"/>
    </row>
    <row r="78" ht="17" customHeight="1">
      <c r="A78" s="1789"/>
      <c r="B78" t="s" s="1852">
        <v>3841</v>
      </c>
      <c r="C78" s="1845">
        <v>32622124611.97</v>
      </c>
      <c r="D78" s="1789"/>
      <c r="E78" s="1789"/>
    </row>
    <row r="79" ht="13.55" customHeight="1">
      <c r="A79" s="1789"/>
      <c r="B79" s="1832"/>
      <c r="C79" s="1832"/>
      <c r="D79" s="1789"/>
      <c r="E79" s="1789"/>
    </row>
    <row r="80" ht="17.5" customHeight="1">
      <c r="A80" s="1789"/>
      <c r="B80" t="s" s="1844">
        <v>550</v>
      </c>
      <c r="C80" s="1845">
        <v>9490778461.799999</v>
      </c>
      <c r="D80" s="1789"/>
      <c r="E80" s="1789"/>
    </row>
    <row r="81" ht="16.5" customHeight="1">
      <c r="A81" s="1789"/>
      <c r="B81" t="s" s="1846">
        <v>550</v>
      </c>
      <c r="C81" s="1847">
        <v>8770815049.690001</v>
      </c>
      <c r="D81" s="1789"/>
      <c r="E81" s="1789"/>
    </row>
    <row r="82" ht="16" customHeight="1">
      <c r="A82" t="s" s="1850">
        <v>3842</v>
      </c>
      <c r="B82" t="s" s="1848">
        <v>1090</v>
      </c>
      <c r="C82" s="1849">
        <v>1154373480</v>
      </c>
      <c r="D82" s="1789"/>
      <c r="E82" s="1789"/>
    </row>
    <row r="83" ht="16" customHeight="1">
      <c r="A83" t="s" s="1850">
        <v>3843</v>
      </c>
      <c r="B83" t="s" s="1848">
        <v>1092</v>
      </c>
      <c r="C83" s="1849">
        <v>121184320</v>
      </c>
      <c r="D83" s="1789"/>
      <c r="E83" s="1789"/>
    </row>
    <row r="84" ht="16" customHeight="1">
      <c r="A84" t="s" s="1850">
        <v>3844</v>
      </c>
      <c r="B84" t="s" s="1848">
        <v>1094</v>
      </c>
      <c r="C84" s="1849">
        <v>25576324</v>
      </c>
      <c r="D84" s="1789"/>
      <c r="E84" s="1789"/>
    </row>
    <row r="85" ht="16" customHeight="1">
      <c r="A85" t="s" s="1850">
        <v>3845</v>
      </c>
      <c r="B85" t="s" s="1848">
        <v>1096</v>
      </c>
      <c r="C85" s="1849">
        <v>287806694.15</v>
      </c>
      <c r="D85" s="1789"/>
      <c r="E85" s="1789"/>
    </row>
    <row r="86" ht="16" customHeight="1">
      <c r="A86" t="s" s="1850">
        <v>3846</v>
      </c>
      <c r="B86" t="s" s="1848">
        <v>1102</v>
      </c>
      <c r="C86" s="1849">
        <v>12862000</v>
      </c>
      <c r="D86" s="1789"/>
      <c r="E86" s="1789"/>
    </row>
    <row r="87" ht="16" customHeight="1">
      <c r="A87" t="s" s="1850">
        <v>3847</v>
      </c>
      <c r="B87" t="s" s="1848">
        <v>1106</v>
      </c>
      <c r="C87" s="1849">
        <v>52340676</v>
      </c>
      <c r="D87" s="1789"/>
      <c r="E87" s="1789"/>
    </row>
    <row r="88" ht="16" customHeight="1">
      <c r="A88" t="s" s="1850">
        <v>3848</v>
      </c>
      <c r="B88" t="s" s="1848">
        <v>1108</v>
      </c>
      <c r="C88" s="1849">
        <v>4780000</v>
      </c>
      <c r="D88" s="1789"/>
      <c r="E88" s="1789"/>
    </row>
    <row r="89" ht="16" customHeight="1">
      <c r="A89" t="s" s="1850">
        <v>1111</v>
      </c>
      <c r="B89" t="s" s="1848">
        <v>1110</v>
      </c>
      <c r="C89" s="1849">
        <v>7381900</v>
      </c>
      <c r="D89" s="1789"/>
      <c r="E89" s="1789"/>
    </row>
    <row r="90" ht="16" customHeight="1">
      <c r="A90" t="s" s="1850">
        <v>3849</v>
      </c>
      <c r="B90" t="s" s="1848">
        <v>1113</v>
      </c>
      <c r="C90" s="1849">
        <v>15722500</v>
      </c>
      <c r="D90" s="1789"/>
      <c r="E90" s="1789"/>
    </row>
    <row r="91" ht="16" customHeight="1">
      <c r="A91" t="s" s="1850">
        <v>3850</v>
      </c>
      <c r="B91" t="s" s="1848">
        <v>1115</v>
      </c>
      <c r="C91" s="1849">
        <v>2791000</v>
      </c>
      <c r="D91" s="1789"/>
      <c r="E91" s="1789"/>
    </row>
    <row r="92" ht="16" customHeight="1">
      <c r="A92" t="s" s="1850">
        <v>3851</v>
      </c>
      <c r="B92" t="s" s="1848">
        <v>1116</v>
      </c>
      <c r="C92" s="1849">
        <v>674100566</v>
      </c>
      <c r="D92" s="1789"/>
      <c r="E92" s="1789"/>
    </row>
    <row r="93" ht="16" customHeight="1">
      <c r="A93" t="s" s="1850">
        <v>3852</v>
      </c>
      <c r="B93" t="s" s="1848">
        <v>1118</v>
      </c>
      <c r="C93" s="1849">
        <v>5948953.48</v>
      </c>
      <c r="D93" s="1789"/>
      <c r="E93" s="1789"/>
    </row>
    <row r="94" ht="16" customHeight="1">
      <c r="A94" t="s" s="1850">
        <v>3853</v>
      </c>
      <c r="B94" t="s" s="1848">
        <v>1120</v>
      </c>
      <c r="C94" s="1849">
        <v>166393921</v>
      </c>
      <c r="D94" s="1789"/>
      <c r="E94" s="1789"/>
    </row>
    <row r="95" ht="16" customHeight="1">
      <c r="A95" t="s" s="1850">
        <v>3854</v>
      </c>
      <c r="B95" t="s" s="1848">
        <v>1122</v>
      </c>
      <c r="C95" s="1849">
        <v>30000000</v>
      </c>
      <c r="D95" s="1789"/>
      <c r="E95" s="1789"/>
    </row>
    <row r="96" ht="16" customHeight="1">
      <c r="A96" t="s" s="1850">
        <v>3855</v>
      </c>
      <c r="B96" t="s" s="1848">
        <v>1124</v>
      </c>
      <c r="C96" s="1849">
        <v>14007200</v>
      </c>
      <c r="D96" s="1789"/>
      <c r="E96" s="1789"/>
    </row>
    <row r="97" ht="16" customHeight="1">
      <c r="A97" t="s" s="1850">
        <v>3856</v>
      </c>
      <c r="B97" t="s" s="1848">
        <v>1126</v>
      </c>
      <c r="C97" s="1849">
        <v>70400</v>
      </c>
      <c r="D97" s="1789"/>
      <c r="E97" s="1789"/>
    </row>
    <row r="98" ht="16" customHeight="1">
      <c r="A98" t="s" s="1850">
        <v>1130</v>
      </c>
      <c r="B98" t="s" s="1848">
        <v>1129</v>
      </c>
      <c r="C98" s="1849">
        <v>5000000</v>
      </c>
      <c r="D98" s="1789"/>
      <c r="E98" s="1789"/>
    </row>
    <row r="99" ht="16" customHeight="1">
      <c r="A99" t="s" s="1850">
        <v>3857</v>
      </c>
      <c r="B99" t="s" s="1848">
        <v>1132</v>
      </c>
      <c r="C99" s="1849">
        <v>5700000</v>
      </c>
      <c r="D99" s="1789"/>
      <c r="E99" s="1789"/>
    </row>
    <row r="100" ht="16" customHeight="1">
      <c r="A100" t="s" s="1850">
        <v>3858</v>
      </c>
      <c r="B100" t="s" s="1848">
        <v>1133</v>
      </c>
      <c r="C100" s="1849">
        <v>107581923</v>
      </c>
      <c r="D100" s="1789"/>
      <c r="E100" s="1789"/>
    </row>
    <row r="101" ht="16" customHeight="1">
      <c r="A101" t="s" s="1850">
        <v>3859</v>
      </c>
      <c r="B101" t="s" s="1848">
        <v>1135</v>
      </c>
      <c r="C101" s="1849">
        <v>64136263.51</v>
      </c>
      <c r="D101" s="1789"/>
      <c r="E101" s="1789"/>
    </row>
    <row r="102" ht="16" customHeight="1">
      <c r="A102" t="s" s="1850">
        <v>3860</v>
      </c>
      <c r="B102" t="s" s="1848">
        <v>1139</v>
      </c>
      <c r="C102" s="1849">
        <v>89599000</v>
      </c>
      <c r="D102" s="1789"/>
      <c r="E102" s="1789"/>
    </row>
    <row r="103" ht="16" customHeight="1">
      <c r="A103" t="s" s="1850">
        <v>3861</v>
      </c>
      <c r="B103" t="s" s="1848">
        <v>1141</v>
      </c>
      <c r="C103" s="1849">
        <v>278163167</v>
      </c>
      <c r="D103" s="1789"/>
      <c r="E103" s="1789"/>
    </row>
    <row r="104" ht="16" customHeight="1">
      <c r="A104" t="s" s="1850">
        <v>1144</v>
      </c>
      <c r="B104" t="s" s="1848">
        <v>1143</v>
      </c>
      <c r="C104" s="1849">
        <v>47010715.51</v>
      </c>
      <c r="D104" s="1789"/>
      <c r="E104" s="1789"/>
    </row>
    <row r="105" ht="16" customHeight="1">
      <c r="A105" t="s" s="1850">
        <v>3862</v>
      </c>
      <c r="B105" t="s" s="1848">
        <v>1145</v>
      </c>
      <c r="C105" s="1849">
        <v>7270150</v>
      </c>
      <c r="D105" s="1789"/>
      <c r="E105" s="1789"/>
    </row>
    <row r="106" ht="16" customHeight="1">
      <c r="A106" t="s" s="1850">
        <v>3863</v>
      </c>
      <c r="B106" t="s" s="1848">
        <v>1147</v>
      </c>
      <c r="C106" s="1849">
        <v>174569255.51</v>
      </c>
      <c r="D106" s="1789"/>
      <c r="E106" s="1789"/>
    </row>
    <row r="107" ht="16" customHeight="1">
      <c r="A107" t="s" s="1850">
        <v>3864</v>
      </c>
      <c r="B107" t="s" s="1848">
        <v>1150</v>
      </c>
      <c r="C107" s="1849">
        <v>270961269</v>
      </c>
      <c r="D107" s="1789"/>
      <c r="E107" s="1789"/>
    </row>
    <row r="108" ht="16" customHeight="1">
      <c r="A108" t="s" s="1850">
        <v>3865</v>
      </c>
      <c r="B108" t="s" s="1848">
        <v>1151</v>
      </c>
      <c r="C108" s="1849">
        <v>159181132</v>
      </c>
      <c r="D108" s="1789"/>
      <c r="E108" s="1789"/>
    </row>
    <row r="109" ht="16" customHeight="1">
      <c r="A109" t="s" s="1850">
        <v>3866</v>
      </c>
      <c r="B109" t="s" s="1848">
        <v>1153</v>
      </c>
      <c r="C109" s="1849">
        <v>31392270</v>
      </c>
      <c r="D109" s="1789"/>
      <c r="E109" s="1789"/>
    </row>
    <row r="110" ht="16" customHeight="1">
      <c r="A110" t="s" s="1850">
        <v>3867</v>
      </c>
      <c r="B110" t="s" s="1848">
        <v>1155</v>
      </c>
      <c r="C110" s="1849">
        <v>62150000</v>
      </c>
      <c r="D110" s="1789"/>
      <c r="E110" s="1789"/>
    </row>
    <row r="111" ht="16" customHeight="1">
      <c r="A111" t="s" s="1850">
        <v>3868</v>
      </c>
      <c r="B111" t="s" s="1848">
        <v>1157</v>
      </c>
      <c r="C111" s="1849">
        <v>115877205</v>
      </c>
      <c r="D111" s="1789"/>
      <c r="E111" s="1789"/>
    </row>
    <row r="112" ht="16" customHeight="1">
      <c r="A112" t="s" s="1850">
        <v>3869</v>
      </c>
      <c r="B112" t="s" s="1848">
        <v>1159</v>
      </c>
      <c r="C112" s="1849">
        <v>92031489.75</v>
      </c>
      <c r="D112" s="1789"/>
      <c r="E112" s="1789"/>
    </row>
    <row r="113" ht="16" customHeight="1">
      <c r="A113" t="s" s="1850">
        <v>3870</v>
      </c>
      <c r="B113" t="s" s="1848">
        <v>1161</v>
      </c>
      <c r="C113" s="1849">
        <v>2876207269</v>
      </c>
      <c r="D113" s="1789"/>
      <c r="E113" s="1789"/>
    </row>
    <row r="114" ht="16" customHeight="1">
      <c r="A114" t="s" s="1850">
        <v>3871</v>
      </c>
      <c r="B114" t="s" s="1848">
        <v>1162</v>
      </c>
      <c r="C114" s="1849">
        <v>1119606511.99</v>
      </c>
      <c r="D114" s="1789"/>
      <c r="E114" s="1789"/>
    </row>
    <row r="115" ht="16" customHeight="1">
      <c r="A115" t="s" s="1850">
        <v>1165</v>
      </c>
      <c r="B115" t="s" s="1848">
        <v>1164</v>
      </c>
      <c r="C115" s="1849">
        <v>16994907</v>
      </c>
      <c r="D115" s="1789"/>
      <c r="E115" s="1789"/>
    </row>
    <row r="116" ht="16" customHeight="1">
      <c r="A116" t="s" s="1850">
        <v>3872</v>
      </c>
      <c r="B116" t="s" s="1848">
        <v>1167</v>
      </c>
      <c r="C116" s="1849">
        <v>427994861.46</v>
      </c>
      <c r="D116" s="1789"/>
      <c r="E116" s="1789"/>
    </row>
    <row r="117" ht="16" customHeight="1">
      <c r="A117" t="s" s="1850">
        <v>1170</v>
      </c>
      <c r="B117" t="s" s="1848">
        <v>1169</v>
      </c>
      <c r="C117" s="1849">
        <v>44000000</v>
      </c>
      <c r="D117" s="1789"/>
      <c r="E117" s="1789"/>
    </row>
    <row r="118" ht="16" customHeight="1">
      <c r="A118" t="s" s="1850">
        <v>3873</v>
      </c>
      <c r="B118" t="s" s="1848">
        <v>3874</v>
      </c>
      <c r="C118" s="1849">
        <v>37500000</v>
      </c>
      <c r="D118" s="1789"/>
      <c r="E118" s="1789"/>
    </row>
    <row r="119" ht="16" customHeight="1">
      <c r="A119" t="s" s="1850">
        <v>3875</v>
      </c>
      <c r="B119" t="s" s="1848">
        <v>1179</v>
      </c>
      <c r="C119" s="1849">
        <v>419166.83</v>
      </c>
      <c r="D119" s="1789"/>
      <c r="E119" s="1789"/>
    </row>
    <row r="120" ht="16" customHeight="1">
      <c r="A120" t="s" s="1850">
        <v>1181</v>
      </c>
      <c r="B120" t="s" s="1848">
        <v>1180</v>
      </c>
      <c r="C120" s="1849">
        <v>2004850</v>
      </c>
      <c r="D120" s="1789"/>
      <c r="E120" s="1789"/>
    </row>
    <row r="121" ht="16" customHeight="1">
      <c r="A121" t="s" s="1850">
        <v>3876</v>
      </c>
      <c r="B121" t="s" s="1848">
        <v>3877</v>
      </c>
      <c r="C121" s="1849">
        <v>14712657.5</v>
      </c>
      <c r="D121" s="1789"/>
      <c r="E121" s="1789"/>
    </row>
    <row r="122" ht="16" customHeight="1">
      <c r="A122" t="s" s="1850">
        <v>3878</v>
      </c>
      <c r="B122" t="s" s="1848">
        <v>3879</v>
      </c>
      <c r="C122" s="1849">
        <v>9725000</v>
      </c>
      <c r="D122" s="1789"/>
      <c r="E122" s="1789"/>
    </row>
    <row r="123" ht="16" customHeight="1">
      <c r="A123" t="s" s="1850">
        <v>3880</v>
      </c>
      <c r="B123" t="s" s="1848">
        <v>1185</v>
      </c>
      <c r="C123" s="1849">
        <v>265000</v>
      </c>
      <c r="D123" s="1789"/>
      <c r="E123" s="1789"/>
    </row>
    <row r="124" ht="16" customHeight="1">
      <c r="A124" t="s" s="1850">
        <v>3881</v>
      </c>
      <c r="B124" t="s" s="1848">
        <v>1186</v>
      </c>
      <c r="C124" s="1849">
        <v>23143936</v>
      </c>
      <c r="D124" s="1789"/>
      <c r="E124" s="1789"/>
    </row>
    <row r="125" ht="16" customHeight="1">
      <c r="A125" t="s" s="1850">
        <v>3882</v>
      </c>
      <c r="B125" t="s" s="1848">
        <v>1187</v>
      </c>
      <c r="C125" s="1849">
        <v>37881110</v>
      </c>
      <c r="D125" s="1789"/>
      <c r="E125" s="1789"/>
    </row>
    <row r="126" ht="16" customHeight="1">
      <c r="A126" t="s" s="1850">
        <v>3883</v>
      </c>
      <c r="B126" t="s" s="1848">
        <v>1188</v>
      </c>
      <c r="C126" s="1849">
        <v>24671480</v>
      </c>
      <c r="D126" s="1789"/>
      <c r="E126" s="1789"/>
    </row>
    <row r="127" ht="16" customHeight="1">
      <c r="A127" t="s" s="1850">
        <v>3884</v>
      </c>
      <c r="B127" t="s" s="1848">
        <v>1189</v>
      </c>
      <c r="C127" s="1849">
        <v>22414187</v>
      </c>
      <c r="D127" s="1789"/>
      <c r="E127" s="1789"/>
    </row>
    <row r="128" ht="16" customHeight="1">
      <c r="A128" t="s" s="1850">
        <v>3885</v>
      </c>
      <c r="B128" t="s" s="1848">
        <v>1190</v>
      </c>
      <c r="C128" s="1849">
        <v>7310339</v>
      </c>
      <c r="D128" s="1789"/>
      <c r="E128" s="1789"/>
    </row>
    <row r="129" ht="16" customHeight="1">
      <c r="A129" t="s" s="1850">
        <v>1192</v>
      </c>
      <c r="B129" t="s" s="1848">
        <v>1191</v>
      </c>
      <c r="C129" s="1849">
        <v>19999999</v>
      </c>
      <c r="D129" s="1789"/>
      <c r="E129" s="1789"/>
    </row>
    <row r="130" ht="16" customHeight="1">
      <c r="A130" s="1789"/>
      <c r="B130" t="s" s="1851">
        <v>1199</v>
      </c>
      <c r="C130" s="1849">
        <v>8770815049.690001</v>
      </c>
      <c r="D130" s="1789"/>
      <c r="E130" s="1789"/>
    </row>
    <row r="131" ht="16" customHeight="1">
      <c r="A131" s="1789"/>
      <c r="B131" t="s" s="1848">
        <v>682</v>
      </c>
      <c r="C131" s="1849">
        <v>719963412.11</v>
      </c>
      <c r="D131" s="1789"/>
      <c r="E131" s="1789"/>
    </row>
    <row r="132" ht="16" customHeight="1">
      <c r="A132" t="s" s="1850">
        <v>1201</v>
      </c>
      <c r="B132" t="s" s="1848">
        <v>1200</v>
      </c>
      <c r="C132" s="1849">
        <v>175053865.49</v>
      </c>
      <c r="D132" s="1789"/>
      <c r="E132" s="1789"/>
    </row>
    <row r="133" ht="16" customHeight="1">
      <c r="A133" t="s" s="1850">
        <v>1204</v>
      </c>
      <c r="B133" t="s" s="1848">
        <v>1203</v>
      </c>
      <c r="C133" s="1849">
        <v>92922852.26000001</v>
      </c>
      <c r="D133" s="1789"/>
      <c r="E133" s="1789"/>
    </row>
    <row r="134" ht="16" customHeight="1">
      <c r="A134" t="s" s="1850">
        <v>1207</v>
      </c>
      <c r="B134" t="s" s="1848">
        <v>1206</v>
      </c>
      <c r="C134" s="1849">
        <v>311751274.42</v>
      </c>
      <c r="D134" s="1789"/>
      <c r="E134" s="1789"/>
    </row>
    <row r="135" ht="16" customHeight="1">
      <c r="A135" t="s" s="1850">
        <v>1209</v>
      </c>
      <c r="B135" t="s" s="1848">
        <v>1208</v>
      </c>
      <c r="C135" s="1849">
        <v>140235419.94</v>
      </c>
      <c r="D135" s="1789"/>
      <c r="E135" s="1789"/>
    </row>
    <row r="136" ht="16" customHeight="1">
      <c r="A136" s="1789"/>
      <c r="B136" t="s" s="1851">
        <v>1212</v>
      </c>
      <c r="C136" s="1849">
        <v>719963412.11</v>
      </c>
      <c r="D136" s="1789"/>
      <c r="E136" s="1789"/>
    </row>
    <row r="137" ht="17" customHeight="1">
      <c r="A137" s="1789"/>
      <c r="B137" t="s" s="1852">
        <v>1199</v>
      </c>
      <c r="C137" s="1845">
        <v>9490778461.799999</v>
      </c>
      <c r="D137" s="1789"/>
      <c r="E137" s="178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5.xml><?xml version="1.0" encoding="utf-8"?>
<worksheet xmlns:r="http://schemas.openxmlformats.org/officeDocument/2006/relationships" xmlns="http://schemas.openxmlformats.org/spreadsheetml/2006/main">
  <dimension ref="A1:X173"/>
  <sheetViews>
    <sheetView workbookViewId="0" showGridLines="0" defaultGridColor="1"/>
  </sheetViews>
  <sheetFormatPr defaultColWidth="8.83333" defaultRowHeight="14.5" customHeight="1" outlineLevelRow="0" outlineLevelCol="0"/>
  <cols>
    <col min="1" max="1" width="14.1719" style="1853" customWidth="1"/>
    <col min="2" max="2" width="55" style="1853" customWidth="1"/>
    <col min="3" max="24" width="22" style="1853" customWidth="1"/>
    <col min="25" max="16384" width="8.85156" style="1853" customWidth="1"/>
  </cols>
  <sheetData>
    <row r="1" ht="19.5" customHeight="1">
      <c r="A1" s="1789"/>
      <c r="B1" s="1789"/>
      <c r="C1" t="s" s="1854">
        <v>3887</v>
      </c>
      <c r="D1" t="s" s="1854">
        <v>3888</v>
      </c>
      <c r="E1" t="s" s="1854">
        <v>3889</v>
      </c>
      <c r="F1" t="s" s="1854">
        <v>3890</v>
      </c>
      <c r="G1" t="s" s="1854">
        <v>3891</v>
      </c>
      <c r="H1" t="s" s="1854">
        <v>3892</v>
      </c>
      <c r="I1" t="s" s="1854">
        <v>3893</v>
      </c>
      <c r="J1" t="s" s="1854">
        <v>3894</v>
      </c>
      <c r="K1" t="s" s="1854">
        <v>3895</v>
      </c>
      <c r="L1" t="s" s="1854">
        <v>3896</v>
      </c>
      <c r="M1" t="s" s="1854">
        <v>3897</v>
      </c>
      <c r="N1" t="s" s="1854">
        <v>3898</v>
      </c>
      <c r="O1" t="s" s="1854">
        <v>3899</v>
      </c>
      <c r="P1" t="s" s="1854">
        <v>3900</v>
      </c>
      <c r="Q1" t="s" s="1854">
        <v>3901</v>
      </c>
      <c r="R1" t="s" s="1854">
        <v>3902</v>
      </c>
      <c r="S1" t="s" s="1854">
        <v>3903</v>
      </c>
      <c r="T1" t="s" s="1854">
        <v>3904</v>
      </c>
      <c r="U1" t="s" s="1854">
        <v>3905</v>
      </c>
      <c r="V1" t="s" s="1854">
        <v>3906</v>
      </c>
      <c r="W1" t="s" s="1854">
        <v>3907</v>
      </c>
      <c r="X1" t="s" s="1854">
        <v>3908</v>
      </c>
    </row>
    <row r="2" ht="11" customHeight="1">
      <c r="A2" s="1789"/>
      <c r="B2" s="1789"/>
      <c r="C2" s="1793"/>
      <c r="D2" s="1793"/>
      <c r="E2" s="1793"/>
      <c r="F2" s="1793"/>
      <c r="G2" s="1793"/>
      <c r="H2" s="1793"/>
      <c r="I2" s="1793"/>
      <c r="J2" s="1793"/>
      <c r="K2" s="1793"/>
      <c r="L2" s="1793"/>
      <c r="M2" s="1793"/>
      <c r="N2" s="1793"/>
      <c r="O2" s="1793"/>
      <c r="P2" s="1793"/>
      <c r="Q2" s="1793"/>
      <c r="R2" s="1793"/>
      <c r="S2" s="1793"/>
      <c r="T2" s="1793"/>
      <c r="U2" s="1793"/>
      <c r="V2" s="1793"/>
      <c r="W2" s="1793"/>
      <c r="X2" s="1793"/>
    </row>
    <row r="3" ht="19" customHeight="1">
      <c r="A3" s="1789"/>
      <c r="B3" t="s" s="1799">
        <v>3909</v>
      </c>
      <c r="C3" s="1801" cm="1">
        <f t="array" ref="C3">C7-C22-C26</f>
        <v>7520717684</v>
      </c>
      <c r="D3" s="1801" cm="1">
        <f t="array" ref="D3">D7-D22-D26</f>
        <v>6629482016</v>
      </c>
      <c r="E3" s="1801" cm="1">
        <f t="array" ref="E3">E7-E22-E26</f>
        <v>8760754939</v>
      </c>
      <c r="F3" s="1801" cm="1">
        <f t="array" ref="F3">F7-F22-F26</f>
        <v>8731533991.07</v>
      </c>
      <c r="G3" s="1801" cm="1">
        <f t="array" ref="G3">G7-G22-G26</f>
        <v>7609095968.6</v>
      </c>
      <c r="H3" s="1801" cm="1">
        <f t="array" ref="H3">H7-H22-H26</f>
        <v>6566418044</v>
      </c>
      <c r="I3" s="1801" cm="1">
        <f t="array" ref="I3">I7-I22-I26</f>
        <v>7792038676</v>
      </c>
      <c r="J3" s="1801" cm="1">
        <f t="array" ref="J3">J7-J22-J26</f>
        <v>3373592687</v>
      </c>
      <c r="K3" s="1801" cm="1">
        <f t="array" ref="K3">K7-K22-K26</f>
        <v>2566707657</v>
      </c>
      <c r="L3" s="1801" cm="1">
        <f t="array" ref="L3">L7-L22-L26</f>
        <v>3842685701</v>
      </c>
      <c r="M3" s="1801" cm="1">
        <f t="array" ref="M3">M7-M22-M26</f>
        <v>4488455471.74</v>
      </c>
      <c r="N3" s="1801" cm="1">
        <f t="array" ref="N3">N7-N22-N26</f>
        <v>4911125874.26</v>
      </c>
      <c r="O3" s="1801" cm="1">
        <f t="array" ref="O3">O7-O22-O26</f>
        <v>6389720759.3</v>
      </c>
      <c r="P3" s="1801" cm="1">
        <f t="array" ref="P3">P7-P22-P26</f>
        <v>7906513280</v>
      </c>
      <c r="Q3" s="1801" cm="1">
        <f t="array" ref="Q3">Q7-Q22-Q26</f>
        <v>9391429067</v>
      </c>
      <c r="R3" s="1801" cm="1">
        <f t="array" ref="R3">R7-R22-R26</f>
        <v>8963471097.700001</v>
      </c>
      <c r="S3" s="1801" cm="1">
        <f t="array" ref="S3">S7-S22-S26</f>
        <v>6876775442</v>
      </c>
      <c r="T3" s="1801" cm="1">
        <f t="array" ref="T3">T7-T22-T26</f>
        <v>5724432492</v>
      </c>
      <c r="U3" s="1801" cm="1">
        <f t="array" ref="U3">U7-U22-U26</f>
        <v>4302222806</v>
      </c>
      <c r="V3" s="1801" cm="1">
        <f t="array" ref="V3">V7-V22-V26</f>
        <v>2751412547</v>
      </c>
      <c r="W3" s="1801" cm="1">
        <f t="array" ref="W3">W7-W22-W26</f>
        <v>2375116503.96</v>
      </c>
      <c r="X3" s="1801" cm="1">
        <f t="array" ref="X3">X7-X22-X26</f>
        <v>3253795455.94</v>
      </c>
    </row>
    <row r="4" ht="21.5" customHeight="1">
      <c r="A4" s="1789"/>
      <c r="B4" t="s" s="1799">
        <v>3910</v>
      </c>
      <c r="C4" s="1855" cm="1">
        <f t="array" ref="C4">(C3-D3)/D3</f>
        <v>0.134435189031215</v>
      </c>
      <c r="D4" s="1855" cm="1">
        <f t="array" ref="D4">(D3-E3)/E3</f>
        <v>-0.24327503027305</v>
      </c>
      <c r="E4" s="1855" cm="1">
        <f t="array" ref="E4">(E3-F3)/F3</f>
        <v>0.00334659957344095</v>
      </c>
      <c r="F4" s="1855" cm="1">
        <f t="array" ref="F4">(F3-G3)/G3</f>
        <v>0.147512664724154</v>
      </c>
      <c r="G4" s="1855" cm="1">
        <f t="array" ref="G4">(G3-H3)/H3</f>
        <v>0.158789452272649</v>
      </c>
      <c r="H4" s="1855" cm="1">
        <f t="array" ref="H4">(H3-I3)/I3</f>
        <v>-0.157291394840607</v>
      </c>
      <c r="I4" s="1855" cm="1">
        <f t="array" ref="I4">(I3-J3)/J3</f>
        <v>1.30971530914989</v>
      </c>
      <c r="J4" s="1855" cm="1">
        <f t="array" ref="J4">(J3-K3)/K3</f>
        <v>0.314365770406084</v>
      </c>
      <c r="K4" s="1855" cm="1">
        <f t="array" ref="K4">(K3-L3)/L3</f>
        <v>-0.332053710161085</v>
      </c>
      <c r="L4" s="1855" cm="1">
        <f t="array" ref="L4">(L3-M3)/M3</f>
        <v>-0.143873493856821</v>
      </c>
      <c r="M4" s="1855" cm="1">
        <f t="array" ref="M4">(M3-N3)/N3</f>
        <v>-0.0860638503963589</v>
      </c>
      <c r="N4" s="1855" cm="1">
        <f t="array" ref="N4">(N3-O3)/O3</f>
        <v>-0.231402112977779</v>
      </c>
      <c r="O4" s="1855" cm="1">
        <f t="array" ref="O4">(O3-P3)/P3</f>
        <v>-0.191840886998422</v>
      </c>
      <c r="P4" s="1855" cm="1">
        <f t="array" ref="P4">(P3-Q3)/Q3</f>
        <v>-0.158113933077316</v>
      </c>
      <c r="Q4" s="1855" cm="1">
        <f t="array" ref="Q4">(Q3-R3)/R3</f>
        <v>0.0477446699649439</v>
      </c>
      <c r="R4" s="1855" cm="1">
        <f t="array" ref="R4">(R3-S3)/S3</f>
        <v>0.303441005642772</v>
      </c>
      <c r="S4" s="1855" cm="1">
        <f t="array" ref="S4">(S3-T3)/T3</f>
        <v>0.201302566081515</v>
      </c>
      <c r="T4" s="1855" cm="1">
        <f t="array" ref="T4">(T3-U3)/U3</f>
        <v>0.330575553645559</v>
      </c>
      <c r="U4" s="1855" cm="1">
        <f t="array" ref="U4">(U3-V3)/V3</f>
        <v>0.563641486875868</v>
      </c>
      <c r="V4" s="1855" cm="1">
        <f t="array" ref="V4">(V3-W3)/W3</f>
        <v>0.158432667371309</v>
      </c>
      <c r="W4" s="1855" cm="1">
        <f t="array" ref="W4">(W3-X3)/X3</f>
        <v>-0.270047384317265</v>
      </c>
      <c r="X4" s="1789"/>
    </row>
    <row r="5" ht="11" customHeight="1">
      <c r="A5" s="1789"/>
      <c r="B5" s="1789"/>
      <c r="C5" s="1789"/>
      <c r="D5" s="1789"/>
      <c r="E5" s="1789"/>
      <c r="F5" s="1789"/>
      <c r="G5" s="1789"/>
      <c r="H5" s="1789"/>
      <c r="I5" s="1789"/>
      <c r="J5" s="1789"/>
      <c r="K5" s="1789"/>
      <c r="L5" s="1789"/>
      <c r="M5" s="1789"/>
      <c r="N5" s="1789"/>
      <c r="O5" s="1789"/>
      <c r="P5" s="1789"/>
      <c r="Q5" s="1789"/>
      <c r="R5" s="1789"/>
      <c r="S5" s="1789"/>
      <c r="T5" s="1789"/>
      <c r="U5" s="1789"/>
      <c r="V5" s="1789"/>
      <c r="W5" s="1789"/>
      <c r="X5" s="1789"/>
    </row>
    <row r="6" ht="19.5" customHeight="1">
      <c r="A6" t="s" s="1854">
        <v>2265</v>
      </c>
      <c r="B6" t="s" s="1854">
        <v>2266</v>
      </c>
      <c r="C6" t="s" s="1854">
        <v>1079</v>
      </c>
      <c r="D6" t="s" s="1854">
        <v>1079</v>
      </c>
      <c r="E6" t="s" s="1854">
        <v>1079</v>
      </c>
      <c r="F6" t="s" s="1854">
        <v>1079</v>
      </c>
      <c r="G6" t="s" s="1854">
        <v>1079</v>
      </c>
      <c r="H6" t="s" s="1854">
        <v>1079</v>
      </c>
      <c r="I6" t="s" s="1854">
        <v>1079</v>
      </c>
      <c r="J6" t="s" s="1854">
        <v>1079</v>
      </c>
      <c r="K6" t="s" s="1854">
        <v>1079</v>
      </c>
      <c r="L6" t="s" s="1854">
        <v>1079</v>
      </c>
      <c r="M6" t="s" s="1854">
        <v>1079</v>
      </c>
      <c r="N6" t="s" s="1854">
        <v>1079</v>
      </c>
      <c r="O6" t="s" s="1854">
        <v>1079</v>
      </c>
      <c r="P6" t="s" s="1854">
        <v>1079</v>
      </c>
      <c r="Q6" t="s" s="1854">
        <v>1079</v>
      </c>
      <c r="R6" t="s" s="1854">
        <v>1079</v>
      </c>
      <c r="S6" t="s" s="1854">
        <v>1079</v>
      </c>
      <c r="T6" t="s" s="1854">
        <v>1079</v>
      </c>
      <c r="U6" t="s" s="1854">
        <v>1079</v>
      </c>
      <c r="V6" t="s" s="1854">
        <v>1079</v>
      </c>
      <c r="W6" t="s" s="1854">
        <v>1079</v>
      </c>
      <c r="X6" t="s" s="1854">
        <v>1079</v>
      </c>
    </row>
    <row r="7" ht="20.5" customHeight="1">
      <c r="A7" s="1793"/>
      <c r="B7" t="s" s="1856">
        <v>3911</v>
      </c>
      <c r="C7" s="1857">
        <v>8701033398.76</v>
      </c>
      <c r="D7" s="1857">
        <v>7261459504.07</v>
      </c>
      <c r="E7" s="1857">
        <v>9386194970.469999</v>
      </c>
      <c r="F7" s="1857">
        <v>8914512889.370001</v>
      </c>
      <c r="G7" s="1857">
        <v>8113540613.23</v>
      </c>
      <c r="H7" s="1857">
        <v>7081396810.05</v>
      </c>
      <c r="I7" s="1857">
        <v>8263089386.6</v>
      </c>
      <c r="J7" s="1857">
        <v>3619961845.2</v>
      </c>
      <c r="K7" s="1857">
        <v>2772131377.1</v>
      </c>
      <c r="L7" s="1857">
        <v>4273218371.73</v>
      </c>
      <c r="M7" s="1857">
        <v>4753405486.74</v>
      </c>
      <c r="N7" s="1857">
        <v>5434169040.26</v>
      </c>
      <c r="O7" s="1857">
        <v>6806506066.48</v>
      </c>
      <c r="P7" s="1857">
        <v>8051523158</v>
      </c>
      <c r="Q7" s="1857">
        <v>9542824695</v>
      </c>
      <c r="R7" s="1857">
        <v>9083554873.700001</v>
      </c>
      <c r="S7" s="1857">
        <v>6946080592</v>
      </c>
      <c r="T7" s="1857">
        <v>5724432492</v>
      </c>
      <c r="U7" s="1857">
        <v>4302222806</v>
      </c>
      <c r="V7" s="1857">
        <v>2751412547</v>
      </c>
      <c r="W7" s="1857">
        <v>2375116503.96</v>
      </c>
      <c r="X7" s="1857">
        <v>3253795455.94</v>
      </c>
    </row>
    <row r="8" ht="19" customHeight="1">
      <c r="A8" t="s" s="1858">
        <v>3714</v>
      </c>
      <c r="B8" t="s" s="1859">
        <v>3715</v>
      </c>
      <c r="C8" s="1860">
        <v>64600000</v>
      </c>
      <c r="D8" s="1860">
        <v>70900000</v>
      </c>
      <c r="E8" s="1860">
        <v>80200000</v>
      </c>
      <c r="F8" s="1860">
        <v>102020000</v>
      </c>
      <c r="G8" s="1860">
        <v>86400000</v>
      </c>
      <c r="H8" s="1860">
        <v>69700000</v>
      </c>
      <c r="I8" s="1860">
        <v>75600000</v>
      </c>
      <c r="J8" s="1860">
        <v>34500000</v>
      </c>
      <c r="K8" s="1860">
        <v>17250000</v>
      </c>
      <c r="L8" s="1860">
        <v>56100000</v>
      </c>
      <c r="M8" s="1860">
        <v>66785000</v>
      </c>
      <c r="N8" s="1860">
        <v>61549999</v>
      </c>
      <c r="O8" s="1860">
        <v>86641898</v>
      </c>
      <c r="P8" s="1860">
        <v>84944000</v>
      </c>
      <c r="Q8" s="1860">
        <v>98960000</v>
      </c>
      <c r="R8" s="1860">
        <v>90430000</v>
      </c>
      <c r="S8" s="1860">
        <v>92838000</v>
      </c>
      <c r="T8" s="1860">
        <v>65260000</v>
      </c>
      <c r="U8" s="1860">
        <v>57180000</v>
      </c>
      <c r="V8" s="1860">
        <v>23390000</v>
      </c>
      <c r="W8" s="1860">
        <v>40430000</v>
      </c>
      <c r="X8" s="1860">
        <v>44028000</v>
      </c>
    </row>
    <row r="9" ht="19" customHeight="1">
      <c r="A9" t="s" s="1858">
        <v>3716</v>
      </c>
      <c r="B9" t="s" s="1861">
        <v>3717</v>
      </c>
      <c r="C9" s="1862">
        <v>56831005</v>
      </c>
      <c r="D9" s="1862">
        <v>45031956</v>
      </c>
      <c r="E9" s="1862">
        <v>61796500</v>
      </c>
      <c r="F9" s="1862">
        <v>67477550</v>
      </c>
      <c r="G9" s="1862">
        <v>43368350</v>
      </c>
      <c r="H9" s="1862">
        <v>13304950</v>
      </c>
      <c r="I9" s="1862">
        <v>105000</v>
      </c>
      <c r="J9" s="1862">
        <v>0</v>
      </c>
      <c r="K9" s="1862">
        <v>0</v>
      </c>
      <c r="L9" s="1862">
        <v>0</v>
      </c>
      <c r="M9" s="1862">
        <v>0</v>
      </c>
      <c r="N9" s="1862">
        <v>0</v>
      </c>
      <c r="O9" s="1862">
        <v>0</v>
      </c>
      <c r="P9" s="1862">
        <v>0</v>
      </c>
      <c r="Q9" s="1862">
        <v>0</v>
      </c>
      <c r="R9" s="1862">
        <v>0</v>
      </c>
      <c r="S9" s="1862">
        <v>0</v>
      </c>
      <c r="T9" s="1862">
        <v>0</v>
      </c>
      <c r="U9" s="1862">
        <v>0</v>
      </c>
      <c r="V9" s="1862">
        <v>0</v>
      </c>
      <c r="W9" s="1862">
        <v>0</v>
      </c>
      <c r="X9" s="1862">
        <v>0</v>
      </c>
    </row>
    <row r="10" ht="19" customHeight="1">
      <c r="A10" t="s" s="1858">
        <v>3718</v>
      </c>
      <c r="B10" t="s" s="1861">
        <v>3719</v>
      </c>
      <c r="C10" s="1862">
        <v>1574891497</v>
      </c>
      <c r="D10" s="1862">
        <v>1675712071</v>
      </c>
      <c r="E10" s="1862">
        <v>2328695175</v>
      </c>
      <c r="F10" s="1862">
        <v>2059995694</v>
      </c>
      <c r="G10" s="1862">
        <v>1712155695</v>
      </c>
      <c r="H10" s="1862">
        <v>1787681041</v>
      </c>
      <c r="I10" s="1862">
        <v>1652285889</v>
      </c>
      <c r="J10" s="1862">
        <v>975280185</v>
      </c>
      <c r="K10" s="1862">
        <v>775494437</v>
      </c>
      <c r="L10" s="1862">
        <v>748762766</v>
      </c>
      <c r="M10" s="1862">
        <v>729805233</v>
      </c>
      <c r="N10" s="1862">
        <v>1405011648.25</v>
      </c>
      <c r="O10" s="1862">
        <v>1933402602</v>
      </c>
      <c r="P10" s="1862">
        <v>2484894354</v>
      </c>
      <c r="Q10" s="1862">
        <v>2755374491</v>
      </c>
      <c r="R10" s="1862">
        <v>2792429356</v>
      </c>
      <c r="S10" s="1862">
        <v>2563236499</v>
      </c>
      <c r="T10" s="1862">
        <v>2292998978</v>
      </c>
      <c r="U10" s="1862">
        <v>1476635000</v>
      </c>
      <c r="V10" s="1862">
        <v>983517640</v>
      </c>
      <c r="W10" s="1862">
        <v>765444779.96</v>
      </c>
      <c r="X10" s="1862">
        <v>772670759.9400001</v>
      </c>
    </row>
    <row r="11" ht="19" customHeight="1">
      <c r="A11" t="s" s="1858">
        <v>3720</v>
      </c>
      <c r="B11" t="s" s="1861">
        <v>3721</v>
      </c>
      <c r="C11" s="1862">
        <v>1138782828</v>
      </c>
      <c r="D11" s="1862">
        <v>1253569057</v>
      </c>
      <c r="E11" s="1862">
        <v>1509437483</v>
      </c>
      <c r="F11" s="1862">
        <v>1218409451</v>
      </c>
      <c r="G11" s="1862">
        <v>1087336564</v>
      </c>
      <c r="H11" s="1862">
        <v>1099428349</v>
      </c>
      <c r="I11" s="1862">
        <v>1079778256</v>
      </c>
      <c r="J11" s="1862">
        <v>501048309</v>
      </c>
      <c r="K11" s="1862">
        <v>309190212</v>
      </c>
      <c r="L11" s="1862">
        <v>357500505</v>
      </c>
      <c r="M11" s="1862">
        <v>447928772</v>
      </c>
      <c r="N11" s="1862">
        <v>545013119</v>
      </c>
      <c r="O11" s="1862">
        <v>806804999.3</v>
      </c>
      <c r="P11" s="1862">
        <v>783411466</v>
      </c>
      <c r="Q11" s="1862">
        <v>726253717</v>
      </c>
      <c r="R11" s="1862">
        <v>529204640</v>
      </c>
      <c r="S11" s="1862">
        <v>0</v>
      </c>
      <c r="T11" s="1862">
        <v>0</v>
      </c>
      <c r="U11" s="1862">
        <v>0</v>
      </c>
      <c r="V11" s="1862">
        <v>0</v>
      </c>
      <c r="W11" s="1862">
        <v>0</v>
      </c>
      <c r="X11" s="1862">
        <v>0</v>
      </c>
    </row>
    <row r="12" ht="19" customHeight="1">
      <c r="A12" t="s" s="1858">
        <v>3722</v>
      </c>
      <c r="B12" t="s" s="1861">
        <v>3723</v>
      </c>
      <c r="C12" s="1862">
        <v>3936902843</v>
      </c>
      <c r="D12" s="1862">
        <v>2908887688</v>
      </c>
      <c r="E12" s="1862">
        <v>3961165865</v>
      </c>
      <c r="F12" s="1862">
        <v>4485261953.1</v>
      </c>
      <c r="G12" s="1862">
        <v>3980438683.6</v>
      </c>
      <c r="H12" s="1862">
        <v>2979280935</v>
      </c>
      <c r="I12" s="1862">
        <v>4329891823</v>
      </c>
      <c r="J12" s="1862">
        <v>1568325992</v>
      </c>
      <c r="K12" s="1862">
        <v>1270159780</v>
      </c>
      <c r="L12" s="1862">
        <v>2377742721</v>
      </c>
      <c r="M12" s="1862">
        <v>2454115561</v>
      </c>
      <c r="N12" s="1862">
        <v>2518671344</v>
      </c>
      <c r="O12" s="1862">
        <v>3335498087</v>
      </c>
      <c r="P12" s="1862">
        <v>3982466113</v>
      </c>
      <c r="Q12" s="1862">
        <v>5299145334</v>
      </c>
      <c r="R12" s="1862">
        <v>5070823633.7</v>
      </c>
      <c r="S12" s="1862">
        <v>3788552112</v>
      </c>
      <c r="T12" s="1862">
        <v>2977149021</v>
      </c>
      <c r="U12" s="1862">
        <v>2520258553</v>
      </c>
      <c r="V12" s="1862">
        <v>1471022745</v>
      </c>
      <c r="W12" s="1862">
        <v>1363850928</v>
      </c>
      <c r="X12" s="1862">
        <v>2030719000</v>
      </c>
    </row>
    <row r="13" ht="19" customHeight="1">
      <c r="A13" t="s" s="1858">
        <v>3724</v>
      </c>
      <c r="B13" t="s" s="1861">
        <v>3725</v>
      </c>
      <c r="C13" s="1862">
        <v>0</v>
      </c>
      <c r="D13" s="1862">
        <v>0</v>
      </c>
      <c r="E13" s="1862">
        <v>0</v>
      </c>
      <c r="F13" s="1862">
        <v>0</v>
      </c>
      <c r="G13" s="1862">
        <v>0</v>
      </c>
      <c r="H13" s="1862">
        <v>0</v>
      </c>
      <c r="I13" s="1862">
        <v>0</v>
      </c>
      <c r="J13" s="1862">
        <v>0</v>
      </c>
      <c r="K13" s="1862">
        <v>0</v>
      </c>
      <c r="L13" s="1862">
        <v>0</v>
      </c>
      <c r="M13" s="1862">
        <v>0</v>
      </c>
      <c r="N13" s="1862">
        <v>0</v>
      </c>
      <c r="O13" s="1862">
        <v>0</v>
      </c>
      <c r="P13" s="1862">
        <v>94959950</v>
      </c>
      <c r="Q13" s="1862">
        <v>0</v>
      </c>
      <c r="R13" s="1862">
        <v>0</v>
      </c>
      <c r="S13" s="1862">
        <v>0</v>
      </c>
      <c r="T13" s="1862">
        <v>63300000</v>
      </c>
      <c r="U13" s="1862">
        <v>21200000</v>
      </c>
      <c r="V13" s="1862">
        <v>9000000</v>
      </c>
      <c r="W13" s="1862">
        <v>0</v>
      </c>
      <c r="X13" s="1862">
        <v>4936000</v>
      </c>
    </row>
    <row r="14" ht="19" customHeight="1">
      <c r="A14" t="s" s="1858">
        <v>3726</v>
      </c>
      <c r="B14" t="s" s="1861">
        <v>3727</v>
      </c>
      <c r="C14" s="1862">
        <v>0</v>
      </c>
      <c r="D14" s="1862">
        <v>0</v>
      </c>
      <c r="E14" s="1862">
        <v>0</v>
      </c>
      <c r="F14" s="1862">
        <v>0</v>
      </c>
      <c r="G14" s="1862">
        <v>0</v>
      </c>
      <c r="H14" s="1862">
        <v>0</v>
      </c>
      <c r="I14" s="1862">
        <v>3440000</v>
      </c>
      <c r="J14" s="1862">
        <v>300000</v>
      </c>
      <c r="K14" s="1862">
        <v>0</v>
      </c>
      <c r="L14" s="1862">
        <v>0</v>
      </c>
      <c r="M14" s="1862">
        <v>0</v>
      </c>
      <c r="N14" s="1862">
        <v>0</v>
      </c>
      <c r="O14" s="1862">
        <v>0</v>
      </c>
      <c r="P14" s="1862">
        <v>0</v>
      </c>
      <c r="Q14" s="1862">
        <v>0</v>
      </c>
      <c r="R14" s="1862">
        <v>2590000</v>
      </c>
      <c r="S14" s="1862">
        <v>0</v>
      </c>
      <c r="T14" s="1862">
        <v>2040000</v>
      </c>
      <c r="U14" s="1862">
        <v>2340000</v>
      </c>
      <c r="V14" s="1862">
        <v>5200000</v>
      </c>
      <c r="W14" s="1862">
        <v>0</v>
      </c>
      <c r="X14" s="1862">
        <v>3900000</v>
      </c>
    </row>
    <row r="15" ht="19" customHeight="1">
      <c r="A15" t="s" s="1858">
        <v>3728</v>
      </c>
      <c r="B15" t="s" s="1861">
        <v>3729</v>
      </c>
      <c r="C15" s="1862">
        <v>4720000</v>
      </c>
      <c r="D15" s="1862">
        <v>0</v>
      </c>
      <c r="E15" s="1862">
        <v>9370000</v>
      </c>
      <c r="F15" s="1862">
        <v>7260000</v>
      </c>
      <c r="G15" s="1862">
        <v>14040000</v>
      </c>
      <c r="H15" s="1862">
        <v>0</v>
      </c>
      <c r="I15" s="1862">
        <v>0</v>
      </c>
      <c r="J15" s="1862">
        <v>0</v>
      </c>
      <c r="K15" s="1862">
        <v>0</v>
      </c>
      <c r="L15" s="1862">
        <v>0</v>
      </c>
      <c r="M15" s="1862">
        <v>0</v>
      </c>
      <c r="N15" s="1862">
        <v>0</v>
      </c>
      <c r="O15" s="1862">
        <v>0</v>
      </c>
      <c r="P15" s="1862">
        <v>0</v>
      </c>
      <c r="Q15" s="1862">
        <v>0</v>
      </c>
      <c r="R15" s="1862">
        <v>12950000</v>
      </c>
      <c r="S15" s="1862">
        <v>0</v>
      </c>
      <c r="T15" s="1862">
        <v>0</v>
      </c>
      <c r="U15" s="1862">
        <v>0</v>
      </c>
      <c r="V15" s="1862">
        <v>0</v>
      </c>
      <c r="W15" s="1862">
        <v>0</v>
      </c>
      <c r="X15" s="1862">
        <v>0</v>
      </c>
    </row>
    <row r="16" ht="19" customHeight="1">
      <c r="A16" t="s" s="1858">
        <v>3730</v>
      </c>
      <c r="B16" t="s" s="1861">
        <v>3731</v>
      </c>
      <c r="C16" s="1862">
        <v>413000000</v>
      </c>
      <c r="D16" s="1862">
        <v>424250000</v>
      </c>
      <c r="E16" s="1862">
        <v>530250000</v>
      </c>
      <c r="F16" s="1862">
        <v>496600000</v>
      </c>
      <c r="G16" s="1862">
        <v>435250000</v>
      </c>
      <c r="H16" s="1862">
        <v>419000000</v>
      </c>
      <c r="I16" s="1862">
        <v>420700000</v>
      </c>
      <c r="J16" s="1862">
        <v>207450000</v>
      </c>
      <c r="K16" s="1862">
        <v>135900000</v>
      </c>
      <c r="L16" s="1862">
        <v>168700000</v>
      </c>
      <c r="M16" s="1862">
        <v>218500000</v>
      </c>
      <c r="N16" s="1862">
        <v>292750000</v>
      </c>
      <c r="O16" s="1862">
        <v>169900000</v>
      </c>
      <c r="P16" s="1862">
        <v>397750000</v>
      </c>
      <c r="Q16" s="1862">
        <v>417500000</v>
      </c>
      <c r="R16" s="1862">
        <v>403100000</v>
      </c>
      <c r="S16" s="1862">
        <v>346700000</v>
      </c>
      <c r="T16" s="1862">
        <v>275550000</v>
      </c>
      <c r="U16" s="1862">
        <v>181100000</v>
      </c>
      <c r="V16" s="1862">
        <v>136800000</v>
      </c>
      <c r="W16" s="1862">
        <v>127200000</v>
      </c>
      <c r="X16" s="1862">
        <v>145750000</v>
      </c>
    </row>
    <row r="17" ht="19" customHeight="1">
      <c r="A17" t="s" s="1858">
        <v>3732</v>
      </c>
      <c r="B17" t="s" s="1861">
        <v>3733</v>
      </c>
      <c r="C17" s="1862">
        <v>0</v>
      </c>
      <c r="D17" s="1862">
        <v>0</v>
      </c>
      <c r="E17" s="1862">
        <v>0</v>
      </c>
      <c r="F17" s="1862">
        <v>0</v>
      </c>
      <c r="G17" s="1862">
        <v>0</v>
      </c>
      <c r="H17" s="1862">
        <v>0</v>
      </c>
      <c r="I17" s="1862">
        <v>0</v>
      </c>
      <c r="J17" s="1862">
        <v>0</v>
      </c>
      <c r="K17" s="1862">
        <v>0</v>
      </c>
      <c r="L17" s="1862">
        <v>0</v>
      </c>
      <c r="M17" s="1862">
        <v>0</v>
      </c>
      <c r="N17" s="1862">
        <v>0</v>
      </c>
      <c r="O17" s="1862">
        <v>0</v>
      </c>
      <c r="P17" s="1862">
        <v>0</v>
      </c>
      <c r="Q17" s="1862">
        <v>0</v>
      </c>
      <c r="R17" s="1862">
        <v>0</v>
      </c>
      <c r="S17" s="1862">
        <v>0</v>
      </c>
      <c r="T17" s="1862">
        <v>0</v>
      </c>
      <c r="U17" s="1862">
        <v>864000</v>
      </c>
      <c r="V17" s="1862">
        <v>3720000</v>
      </c>
      <c r="W17" s="1862">
        <v>0</v>
      </c>
      <c r="X17" s="1862">
        <v>0</v>
      </c>
    </row>
    <row r="18" ht="19" customHeight="1">
      <c r="A18" t="s" s="1858">
        <v>3912</v>
      </c>
      <c r="B18" t="s" s="1861">
        <v>3913</v>
      </c>
      <c r="C18" s="1862">
        <v>0</v>
      </c>
      <c r="D18" s="1862">
        <v>0</v>
      </c>
      <c r="E18" s="1862">
        <v>0</v>
      </c>
      <c r="F18" s="1862">
        <v>0</v>
      </c>
      <c r="G18" s="1862">
        <v>0</v>
      </c>
      <c r="H18" s="1862">
        <v>0</v>
      </c>
      <c r="I18" s="1862">
        <v>0</v>
      </c>
      <c r="J18" s="1862">
        <v>0</v>
      </c>
      <c r="K18" s="1862">
        <v>0</v>
      </c>
      <c r="L18" s="1862">
        <v>0</v>
      </c>
      <c r="M18" s="1862">
        <v>0</v>
      </c>
      <c r="N18" s="1862">
        <v>0</v>
      </c>
      <c r="O18" s="1862">
        <v>0</v>
      </c>
      <c r="P18" s="1862">
        <v>0</v>
      </c>
      <c r="Q18" s="1862">
        <v>3000000</v>
      </c>
      <c r="R18" s="1862">
        <v>0</v>
      </c>
      <c r="S18" s="1862">
        <v>1500000</v>
      </c>
      <c r="T18" s="1862">
        <v>0</v>
      </c>
      <c r="U18" s="1862">
        <v>3700000</v>
      </c>
      <c r="V18" s="1862">
        <v>0</v>
      </c>
      <c r="W18" s="1862">
        <v>24350000</v>
      </c>
      <c r="X18" s="1862">
        <v>144629500</v>
      </c>
    </row>
    <row r="19" ht="19" customHeight="1">
      <c r="A19" t="s" s="1858">
        <v>3734</v>
      </c>
      <c r="B19" t="s" s="1861">
        <v>3735</v>
      </c>
      <c r="C19" s="1862">
        <v>67800000</v>
      </c>
      <c r="D19" s="1862">
        <v>57980000</v>
      </c>
      <c r="E19" s="1862">
        <v>61200000</v>
      </c>
      <c r="F19" s="1862">
        <v>45400000</v>
      </c>
      <c r="G19" s="1862">
        <v>43980000</v>
      </c>
      <c r="H19" s="1862">
        <v>43600000</v>
      </c>
      <c r="I19" s="1862">
        <v>41190000</v>
      </c>
      <c r="J19" s="1862">
        <v>16090000</v>
      </c>
      <c r="K19" s="1862">
        <v>8400000</v>
      </c>
      <c r="L19" s="1862">
        <v>12000000</v>
      </c>
      <c r="M19" s="1862">
        <v>18500000</v>
      </c>
      <c r="N19" s="1862">
        <v>13100000</v>
      </c>
      <c r="O19" s="1862">
        <v>17900000</v>
      </c>
      <c r="P19" s="1862">
        <v>25360000</v>
      </c>
      <c r="Q19" s="1862">
        <v>35300000</v>
      </c>
      <c r="R19" s="1862">
        <v>33855000</v>
      </c>
      <c r="S19" s="1862">
        <v>42000000</v>
      </c>
      <c r="T19" s="1862">
        <v>33100000</v>
      </c>
      <c r="U19" s="1862">
        <v>20500000</v>
      </c>
      <c r="V19" s="1862">
        <v>12000000</v>
      </c>
      <c r="W19" s="1862">
        <v>20800000</v>
      </c>
      <c r="X19" s="1862">
        <v>24150000</v>
      </c>
    </row>
    <row r="20" ht="19" customHeight="1">
      <c r="A20" t="s" s="1858">
        <v>3736</v>
      </c>
      <c r="B20" t="s" s="1861">
        <v>3737</v>
      </c>
      <c r="C20" s="1862">
        <v>257625000</v>
      </c>
      <c r="D20" s="1862">
        <v>187858000</v>
      </c>
      <c r="E20" s="1862">
        <v>214466750</v>
      </c>
      <c r="F20" s="1862">
        <v>244329500</v>
      </c>
      <c r="G20" s="1862">
        <v>202445750</v>
      </c>
      <c r="H20" s="1862">
        <v>149629500</v>
      </c>
      <c r="I20" s="1862">
        <v>167931000</v>
      </c>
      <c r="J20" s="1862">
        <v>58911410</v>
      </c>
      <c r="K20" s="1862">
        <v>42075530</v>
      </c>
      <c r="L20" s="1862">
        <v>60232350</v>
      </c>
      <c r="M20" s="1862">
        <v>44314000</v>
      </c>
      <c r="N20" s="1862">
        <v>62160000</v>
      </c>
      <c r="O20" s="1862">
        <v>36395000</v>
      </c>
      <c r="P20" s="1862">
        <v>50220850</v>
      </c>
      <c r="Q20" s="1862">
        <v>52270000</v>
      </c>
      <c r="R20" s="1862">
        <v>25950000</v>
      </c>
      <c r="S20" s="1862">
        <v>38280000</v>
      </c>
      <c r="T20" s="1862">
        <v>32500001</v>
      </c>
      <c r="U20" s="1862">
        <v>14980000</v>
      </c>
      <c r="V20" s="1862">
        <v>9300000</v>
      </c>
      <c r="W20" s="1862">
        <v>26300000</v>
      </c>
      <c r="X20" s="1862">
        <v>21800000</v>
      </c>
    </row>
    <row r="21" ht="19" customHeight="1">
      <c r="A21" t="s" s="1858">
        <v>3914</v>
      </c>
      <c r="B21" t="s" s="1861">
        <v>3915</v>
      </c>
      <c r="C21" s="1862">
        <v>0</v>
      </c>
      <c r="D21" s="1862">
        <v>0</v>
      </c>
      <c r="E21" s="1862">
        <v>0</v>
      </c>
      <c r="F21" s="1862">
        <v>0</v>
      </c>
      <c r="G21" s="1862">
        <v>0</v>
      </c>
      <c r="H21" s="1862">
        <v>0</v>
      </c>
      <c r="I21" s="1862">
        <v>0</v>
      </c>
      <c r="J21" s="1862">
        <v>0</v>
      </c>
      <c r="K21" s="1862">
        <v>0</v>
      </c>
      <c r="L21" s="1862">
        <v>0</v>
      </c>
      <c r="M21" s="1862">
        <v>0</v>
      </c>
      <c r="N21" s="1862">
        <v>0</v>
      </c>
      <c r="O21" s="1862">
        <v>0</v>
      </c>
      <c r="P21" s="1862">
        <v>0</v>
      </c>
      <c r="Q21" s="1862">
        <v>0</v>
      </c>
      <c r="R21" s="1862">
        <v>0</v>
      </c>
      <c r="S21" s="1862">
        <v>0</v>
      </c>
      <c r="T21" s="1862">
        <v>0</v>
      </c>
      <c r="U21" s="1862">
        <v>0</v>
      </c>
      <c r="V21" s="1862">
        <v>0</v>
      </c>
      <c r="W21" s="1862">
        <v>0</v>
      </c>
      <c r="X21" s="1862">
        <v>0</v>
      </c>
    </row>
    <row r="22" ht="19" customHeight="1">
      <c r="A22" t="s" s="1858">
        <v>3738</v>
      </c>
      <c r="B22" t="s" s="1861">
        <v>3739</v>
      </c>
      <c r="C22" s="1862">
        <v>741040641.3099999</v>
      </c>
      <c r="D22" s="1862">
        <v>188951755.42</v>
      </c>
      <c r="E22" s="1862">
        <v>169139266.67</v>
      </c>
      <c r="F22" s="1862">
        <v>94486144</v>
      </c>
      <c r="G22" s="1862">
        <v>159024525</v>
      </c>
      <c r="H22" s="1862">
        <v>214514137.5</v>
      </c>
      <c r="I22" s="1862">
        <v>143126077.5</v>
      </c>
      <c r="J22" s="1862">
        <v>97715528.5</v>
      </c>
      <c r="K22" s="1862">
        <v>93655631.5</v>
      </c>
      <c r="L22" s="1862">
        <v>274845671.78</v>
      </c>
      <c r="M22" s="1862">
        <v>264950015</v>
      </c>
      <c r="N22" s="1862">
        <v>523043166</v>
      </c>
      <c r="O22" s="1862">
        <v>416785307.18</v>
      </c>
      <c r="P22" s="1862">
        <v>145009878</v>
      </c>
      <c r="Q22" s="1862">
        <v>151395628</v>
      </c>
      <c r="R22" s="1862">
        <v>120083776</v>
      </c>
      <c r="S22" s="1862">
        <v>69305150</v>
      </c>
      <c r="T22" s="1862">
        <v>0</v>
      </c>
      <c r="U22" s="1862">
        <v>0</v>
      </c>
      <c r="V22" s="1862">
        <v>0</v>
      </c>
      <c r="W22" s="1862">
        <v>0</v>
      </c>
      <c r="X22" s="1862">
        <v>0</v>
      </c>
    </row>
    <row r="23" ht="19" customHeight="1">
      <c r="A23" t="s" s="1858">
        <v>3740</v>
      </c>
      <c r="B23" t="s" s="1861">
        <v>3741</v>
      </c>
      <c r="C23" s="1862">
        <v>0</v>
      </c>
      <c r="D23" s="1862">
        <v>0</v>
      </c>
      <c r="E23" s="1862">
        <v>0</v>
      </c>
      <c r="F23" s="1862">
        <v>0</v>
      </c>
      <c r="G23" s="1862">
        <v>0</v>
      </c>
      <c r="H23" s="1862">
        <v>0</v>
      </c>
      <c r="I23" s="1862">
        <v>0</v>
      </c>
      <c r="J23" s="1862">
        <v>0</v>
      </c>
      <c r="K23" s="1862">
        <v>110000</v>
      </c>
      <c r="L23" s="1862">
        <v>0</v>
      </c>
      <c r="M23" s="1862">
        <v>0</v>
      </c>
      <c r="N23" s="1862">
        <v>0</v>
      </c>
      <c r="O23" s="1862">
        <v>0</v>
      </c>
      <c r="P23" s="1862">
        <v>370000</v>
      </c>
      <c r="Q23" s="1862">
        <v>1995000</v>
      </c>
      <c r="R23" s="1862">
        <v>960000</v>
      </c>
      <c r="S23" s="1862">
        <v>0</v>
      </c>
      <c r="T23" s="1862">
        <v>1285000</v>
      </c>
      <c r="U23" s="1862">
        <v>2495000</v>
      </c>
      <c r="V23" s="1862">
        <v>88662162</v>
      </c>
      <c r="W23" s="1862">
        <v>1655000</v>
      </c>
      <c r="X23" s="1862">
        <v>63012196</v>
      </c>
    </row>
    <row r="24" ht="19" customHeight="1">
      <c r="A24" t="s" s="1858">
        <v>3742</v>
      </c>
      <c r="B24" t="s" s="1861">
        <v>3743</v>
      </c>
      <c r="C24" s="1862">
        <v>0</v>
      </c>
      <c r="D24" s="1862">
        <v>0</v>
      </c>
      <c r="E24" s="1862">
        <v>0</v>
      </c>
      <c r="F24" s="1862">
        <v>0</v>
      </c>
      <c r="G24" s="1862">
        <v>0</v>
      </c>
      <c r="H24" s="1862">
        <v>0</v>
      </c>
      <c r="I24" s="1862">
        <v>0</v>
      </c>
      <c r="J24" s="1862">
        <v>0</v>
      </c>
      <c r="K24" s="1862">
        <v>0</v>
      </c>
      <c r="L24" s="1862">
        <v>21100000</v>
      </c>
      <c r="M24" s="1862">
        <v>1922070</v>
      </c>
      <c r="N24" s="1862">
        <v>0</v>
      </c>
      <c r="O24" s="1862">
        <v>0</v>
      </c>
      <c r="P24" s="1862">
        <v>0</v>
      </c>
      <c r="Q24" s="1862">
        <v>0</v>
      </c>
      <c r="R24" s="1862">
        <v>0</v>
      </c>
      <c r="S24" s="1862">
        <v>0</v>
      </c>
      <c r="T24" s="1862">
        <v>-22500000</v>
      </c>
      <c r="U24" s="1862">
        <v>0</v>
      </c>
      <c r="V24" s="1862">
        <v>0</v>
      </c>
      <c r="W24" s="1862">
        <v>0</v>
      </c>
      <c r="X24" s="1862">
        <v>-1800000</v>
      </c>
    </row>
    <row r="25" ht="19" customHeight="1">
      <c r="A25" t="s" s="1858">
        <v>3744</v>
      </c>
      <c r="B25" t="s" s="1861">
        <v>3745</v>
      </c>
      <c r="C25" s="1862">
        <v>4811811</v>
      </c>
      <c r="D25" s="1862">
        <v>5293244</v>
      </c>
      <c r="E25" s="1862">
        <v>4173166</v>
      </c>
      <c r="F25" s="1862">
        <v>4764842.97</v>
      </c>
      <c r="G25" s="1862">
        <v>3680926</v>
      </c>
      <c r="H25" s="1862">
        <v>4793269</v>
      </c>
      <c r="I25" s="1862">
        <v>21116708</v>
      </c>
      <c r="J25" s="1862">
        <v>11686791</v>
      </c>
      <c r="K25" s="1862">
        <v>8127698</v>
      </c>
      <c r="L25" s="1862">
        <v>40547359</v>
      </c>
      <c r="M25" s="1862">
        <v>506504835.74</v>
      </c>
      <c r="N25" s="1862">
        <v>12869764.01</v>
      </c>
      <c r="O25" s="1862">
        <v>3178173</v>
      </c>
      <c r="P25" s="1862">
        <v>2136547</v>
      </c>
      <c r="Q25" s="1862">
        <v>1630525</v>
      </c>
      <c r="R25" s="1862">
        <v>1178468</v>
      </c>
      <c r="S25" s="1862">
        <v>3668831</v>
      </c>
      <c r="T25" s="1862">
        <v>3749492</v>
      </c>
      <c r="U25" s="1862">
        <v>970253</v>
      </c>
      <c r="V25" s="1862">
        <v>8800000</v>
      </c>
      <c r="W25" s="1862">
        <v>5085796</v>
      </c>
      <c r="X25" s="1862">
        <v>0</v>
      </c>
    </row>
    <row r="26" ht="19" customHeight="1">
      <c r="A26" t="s" s="1858">
        <v>3916</v>
      </c>
      <c r="B26" t="s" s="1861">
        <v>3917</v>
      </c>
      <c r="C26" s="1862">
        <v>439275073.45</v>
      </c>
      <c r="D26" s="1862">
        <v>443025732.65</v>
      </c>
      <c r="E26" s="1862">
        <v>456300764.8</v>
      </c>
      <c r="F26" s="1862">
        <v>88492754.3</v>
      </c>
      <c r="G26" s="1862">
        <v>345420119.63</v>
      </c>
      <c r="H26" s="1862">
        <v>300464628.55</v>
      </c>
      <c r="I26" s="1862">
        <v>327924633.1</v>
      </c>
      <c r="J26" s="1862">
        <v>148653629.7</v>
      </c>
      <c r="K26" s="1862">
        <v>111768088.6</v>
      </c>
      <c r="L26" s="1862">
        <v>155686998.95</v>
      </c>
      <c r="M26" s="1862">
        <v>0</v>
      </c>
      <c r="N26" s="1862">
        <v>0</v>
      </c>
      <c r="O26" s="1862">
        <v>0</v>
      </c>
      <c r="P26" s="1862">
        <v>0</v>
      </c>
      <c r="Q26" s="1862">
        <v>0</v>
      </c>
      <c r="R26" s="1862">
        <v>0</v>
      </c>
      <c r="S26" s="1862">
        <v>0</v>
      </c>
      <c r="T26" s="1862">
        <v>0</v>
      </c>
      <c r="U26" s="1862">
        <v>0</v>
      </c>
      <c r="V26" s="1862">
        <v>0</v>
      </c>
      <c r="W26" s="1862">
        <v>0</v>
      </c>
      <c r="X26" s="1862">
        <v>0</v>
      </c>
    </row>
    <row r="27" ht="19" customHeight="1">
      <c r="A27" t="s" s="1858">
        <v>3918</v>
      </c>
      <c r="B27" t="s" s="1861">
        <v>3919</v>
      </c>
      <c r="C27" s="1862">
        <v>752700</v>
      </c>
      <c r="D27" s="1862">
        <v>0</v>
      </c>
      <c r="E27" s="1862">
        <v>0</v>
      </c>
      <c r="F27" s="1862">
        <v>15000</v>
      </c>
      <c r="G27" s="1862">
        <v>0</v>
      </c>
      <c r="H27" s="1862">
        <v>0</v>
      </c>
      <c r="I27" s="1862">
        <v>0</v>
      </c>
      <c r="J27" s="1862">
        <v>0</v>
      </c>
      <c r="K27" s="1862">
        <v>0</v>
      </c>
      <c r="L27" s="1862">
        <v>0</v>
      </c>
      <c r="M27" s="1862">
        <v>80000</v>
      </c>
      <c r="N27" s="1862">
        <v>0</v>
      </c>
      <c r="O27" s="1862">
        <v>0</v>
      </c>
      <c r="P27" s="1862">
        <v>0</v>
      </c>
      <c r="Q27" s="1862">
        <v>0</v>
      </c>
      <c r="R27" s="1862">
        <v>0</v>
      </c>
      <c r="S27" s="1862">
        <v>0</v>
      </c>
      <c r="T27" s="1862">
        <v>0</v>
      </c>
      <c r="U27" s="1862">
        <v>0</v>
      </c>
      <c r="V27" s="1862">
        <v>0</v>
      </c>
      <c r="W27" s="1862">
        <v>0</v>
      </c>
      <c r="X27" s="1862">
        <v>0</v>
      </c>
    </row>
    <row r="28" ht="20.5" customHeight="1">
      <c r="A28" s="1789"/>
      <c r="B28" t="s" s="1863">
        <v>662</v>
      </c>
      <c r="C28" s="1864">
        <v>8701033398.76</v>
      </c>
      <c r="D28" s="1864">
        <v>7261459504.07</v>
      </c>
      <c r="E28" s="1864">
        <v>9386194970.469999</v>
      </c>
      <c r="F28" s="1864">
        <v>8914512889.370001</v>
      </c>
      <c r="G28" s="1864">
        <v>8113540613.23</v>
      </c>
      <c r="H28" s="1864">
        <v>7081396810.05</v>
      </c>
      <c r="I28" s="1864">
        <v>8263089386.6</v>
      </c>
      <c r="J28" s="1864">
        <v>3619961845.2</v>
      </c>
      <c r="K28" s="1864">
        <v>2772131377.1</v>
      </c>
      <c r="L28" s="1864">
        <v>4273218371.73</v>
      </c>
      <c r="M28" s="1864">
        <v>4753405486.74</v>
      </c>
      <c r="N28" s="1864">
        <v>5434169040.26</v>
      </c>
      <c r="O28" s="1864">
        <v>6806506066.48</v>
      </c>
      <c r="P28" s="1864">
        <v>8051523158</v>
      </c>
      <c r="Q28" s="1864">
        <v>9542824695</v>
      </c>
      <c r="R28" s="1864">
        <v>9083554873.700001</v>
      </c>
      <c r="S28" s="1864">
        <v>6946080592</v>
      </c>
      <c r="T28" s="1864">
        <v>5724432492</v>
      </c>
      <c r="U28" s="1864">
        <v>4302222806</v>
      </c>
      <c r="V28" s="1864">
        <v>2751412547</v>
      </c>
      <c r="W28" s="1864">
        <v>2375116503.96</v>
      </c>
      <c r="X28" s="1864">
        <v>3253795455.94</v>
      </c>
    </row>
    <row r="29" ht="20.5" customHeight="1">
      <c r="A29" s="1789"/>
      <c r="B29" t="s" s="1865">
        <v>3920</v>
      </c>
      <c r="C29" s="1866">
        <v>4534161814</v>
      </c>
      <c r="D29" s="1866">
        <v>4000555536.51</v>
      </c>
      <c r="E29" s="1866">
        <v>5175931751.11</v>
      </c>
      <c r="F29" s="1866">
        <v>5108236819</v>
      </c>
      <c r="G29" s="1866">
        <v>4373094696.68</v>
      </c>
      <c r="H29" s="1866">
        <v>3810459862</v>
      </c>
      <c r="I29" s="1866">
        <v>4598426369.81</v>
      </c>
      <c r="J29" s="1866">
        <v>2445202987</v>
      </c>
      <c r="K29" s="1866">
        <v>1878971088</v>
      </c>
      <c r="L29" s="1866">
        <v>2665798783.38</v>
      </c>
      <c r="M29" s="1866">
        <v>2879712622.91</v>
      </c>
      <c r="N29" s="1866">
        <v>2969402866.99</v>
      </c>
      <c r="O29" s="1866">
        <v>3983023329.5</v>
      </c>
      <c r="P29" s="1866">
        <v>4803789383.32</v>
      </c>
      <c r="Q29" s="1866">
        <v>5587409603</v>
      </c>
      <c r="R29" s="1866">
        <v>5578845810</v>
      </c>
      <c r="S29" s="1866">
        <v>4589890113</v>
      </c>
      <c r="T29" s="1866">
        <v>3512687827.17</v>
      </c>
      <c r="U29" s="1866">
        <v>3091639359</v>
      </c>
      <c r="V29" s="1866">
        <v>1954887840</v>
      </c>
      <c r="W29" s="1866">
        <v>1899057545</v>
      </c>
      <c r="X29" s="1866">
        <v>2250510896</v>
      </c>
    </row>
    <row r="30" ht="19" customHeight="1">
      <c r="A30" t="s" s="1858">
        <v>3748</v>
      </c>
      <c r="B30" t="s" s="1859">
        <v>3749</v>
      </c>
      <c r="C30" s="1860">
        <v>0</v>
      </c>
      <c r="D30" s="1860">
        <v>0</v>
      </c>
      <c r="E30" s="1860">
        <v>0</v>
      </c>
      <c r="F30" s="1860">
        <v>0</v>
      </c>
      <c r="G30" s="1860">
        <v>0</v>
      </c>
      <c r="H30" s="1860">
        <v>0</v>
      </c>
      <c r="I30" s="1860">
        <v>13838000</v>
      </c>
      <c r="J30" s="1860">
        <v>5398000</v>
      </c>
      <c r="K30" s="1860">
        <v>0</v>
      </c>
      <c r="L30" s="1860">
        <v>0</v>
      </c>
      <c r="M30" s="1860">
        <v>0</v>
      </c>
      <c r="N30" s="1860">
        <v>0</v>
      </c>
      <c r="O30" s="1860">
        <v>0</v>
      </c>
      <c r="P30" s="1860">
        <v>0</v>
      </c>
      <c r="Q30" s="1860">
        <v>0</v>
      </c>
      <c r="R30" s="1860">
        <v>0</v>
      </c>
      <c r="S30" s="1860">
        <v>0</v>
      </c>
      <c r="T30" s="1860">
        <v>13975000</v>
      </c>
      <c r="U30" s="1860">
        <v>4560000</v>
      </c>
      <c r="V30" s="1860">
        <v>82225000</v>
      </c>
      <c r="W30" s="1860">
        <v>52000000</v>
      </c>
      <c r="X30" s="1860">
        <v>90025000</v>
      </c>
    </row>
    <row r="31" ht="19" customHeight="1">
      <c r="A31" t="s" s="1858">
        <v>3921</v>
      </c>
      <c r="B31" t="s" s="1861">
        <v>3922</v>
      </c>
      <c r="C31" s="1862">
        <v>0</v>
      </c>
      <c r="D31" s="1862">
        <v>0</v>
      </c>
      <c r="E31" s="1862">
        <v>0</v>
      </c>
      <c r="F31" s="1862">
        <v>0</v>
      </c>
      <c r="G31" s="1862">
        <v>0</v>
      </c>
      <c r="H31" s="1862">
        <v>0</v>
      </c>
      <c r="I31" s="1862">
        <v>0</v>
      </c>
      <c r="J31" s="1862">
        <v>0</v>
      </c>
      <c r="K31" s="1862">
        <v>0</v>
      </c>
      <c r="L31" s="1862">
        <v>0</v>
      </c>
      <c r="M31" s="1862">
        <v>0</v>
      </c>
      <c r="N31" s="1862">
        <v>0</v>
      </c>
      <c r="O31" s="1862">
        <v>0</v>
      </c>
      <c r="P31" s="1862">
        <v>0</v>
      </c>
      <c r="Q31" s="1862">
        <v>0</v>
      </c>
      <c r="R31" s="1862">
        <v>0</v>
      </c>
      <c r="S31" s="1862">
        <v>0</v>
      </c>
      <c r="T31" s="1862">
        <v>0</v>
      </c>
      <c r="U31" s="1862">
        <v>0</v>
      </c>
      <c r="V31" s="1862">
        <v>0</v>
      </c>
      <c r="W31" s="1862">
        <v>0</v>
      </c>
      <c r="X31" s="1862">
        <v>24750000</v>
      </c>
    </row>
    <row r="32" ht="19" customHeight="1">
      <c r="A32" t="s" s="1858">
        <v>3750</v>
      </c>
      <c r="B32" t="s" s="1861">
        <v>3751</v>
      </c>
      <c r="C32" s="1862">
        <v>124675000</v>
      </c>
      <c r="D32" s="1862">
        <v>131650000</v>
      </c>
      <c r="E32" s="1862">
        <v>136725000</v>
      </c>
      <c r="F32" s="1862">
        <v>163225000</v>
      </c>
      <c r="G32" s="1862">
        <v>121600000</v>
      </c>
      <c r="H32" s="1862">
        <v>91825000</v>
      </c>
      <c r="I32" s="1862">
        <v>153950000</v>
      </c>
      <c r="J32" s="1862">
        <v>85650000</v>
      </c>
      <c r="K32" s="1862">
        <v>50100000</v>
      </c>
      <c r="L32" s="1862">
        <v>77925000</v>
      </c>
      <c r="M32" s="1862">
        <v>78425000</v>
      </c>
      <c r="N32" s="1862">
        <v>170250000</v>
      </c>
      <c r="O32" s="1862">
        <v>165190000</v>
      </c>
      <c r="P32" s="1862">
        <v>164575000</v>
      </c>
      <c r="Q32" s="1862">
        <v>141875000</v>
      </c>
      <c r="R32" s="1862">
        <v>175925000</v>
      </c>
      <c r="S32" s="1862">
        <v>192950000</v>
      </c>
      <c r="T32" s="1862">
        <v>158900000</v>
      </c>
      <c r="U32" s="1862">
        <v>161974000</v>
      </c>
      <c r="V32" s="1862">
        <v>91725000</v>
      </c>
      <c r="W32" s="1862">
        <v>150780000</v>
      </c>
      <c r="X32" s="1862">
        <v>176664000</v>
      </c>
    </row>
    <row r="33" ht="19" customHeight="1">
      <c r="A33" t="s" s="1858">
        <v>3752</v>
      </c>
      <c r="B33" t="s" s="1861">
        <v>3753</v>
      </c>
      <c r="C33" s="1862">
        <v>137600000</v>
      </c>
      <c r="D33" s="1862">
        <v>115600000</v>
      </c>
      <c r="E33" s="1862">
        <v>140100000</v>
      </c>
      <c r="F33" s="1862">
        <v>142500000</v>
      </c>
      <c r="G33" s="1862">
        <v>133550000</v>
      </c>
      <c r="H33" s="1862">
        <v>43100000</v>
      </c>
      <c r="I33" s="1862">
        <v>0</v>
      </c>
      <c r="J33" s="1862">
        <v>0</v>
      </c>
      <c r="K33" s="1862">
        <v>0</v>
      </c>
      <c r="L33" s="1862">
        <v>0</v>
      </c>
      <c r="M33" s="1862">
        <v>46150000</v>
      </c>
      <c r="N33" s="1862">
        <v>45100000</v>
      </c>
      <c r="O33" s="1862">
        <v>89200000</v>
      </c>
      <c r="P33" s="1862">
        <v>89200000</v>
      </c>
      <c r="Q33" s="1862">
        <v>112700000</v>
      </c>
      <c r="R33" s="1862">
        <v>122500000</v>
      </c>
      <c r="S33" s="1862">
        <v>117600000</v>
      </c>
      <c r="T33" s="1862">
        <v>98000000</v>
      </c>
      <c r="U33" s="1862">
        <v>133400000</v>
      </c>
      <c r="V33" s="1862">
        <v>93019000</v>
      </c>
      <c r="W33" s="1862">
        <v>50959000</v>
      </c>
      <c r="X33" s="1862">
        <v>77208000</v>
      </c>
    </row>
    <row r="34" ht="19" customHeight="1">
      <c r="A34" t="s" s="1858">
        <v>3754</v>
      </c>
      <c r="B34" t="s" s="1861">
        <v>3755</v>
      </c>
      <c r="C34" s="1862">
        <v>107850000</v>
      </c>
      <c r="D34" s="1862">
        <v>106950000</v>
      </c>
      <c r="E34" s="1862">
        <v>113025000</v>
      </c>
      <c r="F34" s="1862">
        <v>139625000</v>
      </c>
      <c r="G34" s="1862">
        <v>74750000</v>
      </c>
      <c r="H34" s="1862">
        <v>120200000</v>
      </c>
      <c r="I34" s="1862">
        <v>160425000</v>
      </c>
      <c r="J34" s="1862">
        <v>42025000</v>
      </c>
      <c r="K34" s="1862">
        <v>24625000</v>
      </c>
      <c r="L34" s="1862">
        <v>97050000</v>
      </c>
      <c r="M34" s="1862">
        <v>67825000</v>
      </c>
      <c r="N34" s="1862">
        <v>103150000</v>
      </c>
      <c r="O34" s="1862">
        <v>131175000</v>
      </c>
      <c r="P34" s="1862">
        <v>165225000</v>
      </c>
      <c r="Q34" s="1862">
        <v>165875000</v>
      </c>
      <c r="R34" s="1862">
        <v>175985000</v>
      </c>
      <c r="S34" s="1862">
        <v>171335000</v>
      </c>
      <c r="T34" s="1862">
        <v>79510000</v>
      </c>
      <c r="U34" s="1862">
        <v>1000000</v>
      </c>
      <c r="V34" s="1862">
        <v>0</v>
      </c>
      <c r="W34" s="1862">
        <v>34831000</v>
      </c>
      <c r="X34" s="1862">
        <v>22802000</v>
      </c>
    </row>
    <row r="35" ht="19" customHeight="1">
      <c r="A35" t="s" s="1858">
        <v>3756</v>
      </c>
      <c r="B35" t="s" s="1861">
        <v>3757</v>
      </c>
      <c r="C35" s="1862">
        <v>73250000</v>
      </c>
      <c r="D35" s="1862">
        <v>67975000</v>
      </c>
      <c r="E35" s="1862">
        <v>94825000</v>
      </c>
      <c r="F35" s="1862">
        <v>89075000</v>
      </c>
      <c r="G35" s="1862">
        <v>81100000</v>
      </c>
      <c r="H35" s="1862">
        <v>53650000</v>
      </c>
      <c r="I35" s="1862">
        <v>108825000</v>
      </c>
      <c r="J35" s="1862">
        <v>62700000</v>
      </c>
      <c r="K35" s="1862">
        <v>20800000</v>
      </c>
      <c r="L35" s="1862">
        <v>46575000</v>
      </c>
      <c r="M35" s="1862">
        <v>65575000</v>
      </c>
      <c r="N35" s="1862">
        <v>49750000</v>
      </c>
      <c r="O35" s="1862">
        <v>98600000</v>
      </c>
      <c r="P35" s="1862">
        <v>84275000</v>
      </c>
      <c r="Q35" s="1862">
        <v>133125000</v>
      </c>
      <c r="R35" s="1862">
        <v>121000000</v>
      </c>
      <c r="S35" s="1862">
        <v>140075000</v>
      </c>
      <c r="T35" s="1862">
        <v>93625000</v>
      </c>
      <c r="U35" s="1862">
        <v>132825000</v>
      </c>
      <c r="V35" s="1862">
        <v>64047000</v>
      </c>
      <c r="W35" s="1862">
        <v>94085000</v>
      </c>
      <c r="X35" s="1862">
        <v>72691000</v>
      </c>
    </row>
    <row r="36" ht="19" customHeight="1">
      <c r="A36" t="s" s="1858">
        <v>3923</v>
      </c>
      <c r="B36" t="s" s="1861">
        <v>3924</v>
      </c>
      <c r="C36" s="1862">
        <v>0</v>
      </c>
      <c r="D36" s="1862">
        <v>0</v>
      </c>
      <c r="E36" s="1862">
        <v>0</v>
      </c>
      <c r="F36" s="1862">
        <v>0</v>
      </c>
      <c r="G36" s="1862">
        <v>0</v>
      </c>
      <c r="H36" s="1862">
        <v>0</v>
      </c>
      <c r="I36" s="1862">
        <v>0</v>
      </c>
      <c r="J36" s="1862">
        <v>0</v>
      </c>
      <c r="K36" s="1862">
        <v>0</v>
      </c>
      <c r="L36" s="1862">
        <v>0</v>
      </c>
      <c r="M36" s="1862">
        <v>0</v>
      </c>
      <c r="N36" s="1862">
        <v>0</v>
      </c>
      <c r="O36" s="1862">
        <v>0</v>
      </c>
      <c r="P36" s="1862">
        <v>0</v>
      </c>
      <c r="Q36" s="1862">
        <v>0</v>
      </c>
      <c r="R36" s="1862">
        <v>0</v>
      </c>
      <c r="S36" s="1862">
        <v>0</v>
      </c>
      <c r="T36" s="1862">
        <v>0</v>
      </c>
      <c r="U36" s="1862">
        <v>0</v>
      </c>
      <c r="V36" s="1862">
        <v>0</v>
      </c>
      <c r="W36" s="1862">
        <v>0</v>
      </c>
      <c r="X36" s="1862">
        <v>114825000</v>
      </c>
    </row>
    <row r="37" ht="19" customHeight="1">
      <c r="A37" t="s" s="1858">
        <v>3925</v>
      </c>
      <c r="B37" t="s" s="1861">
        <v>3926</v>
      </c>
      <c r="C37" s="1862">
        <v>0</v>
      </c>
      <c r="D37" s="1862">
        <v>0</v>
      </c>
      <c r="E37" s="1862">
        <v>0</v>
      </c>
      <c r="F37" s="1862">
        <v>7700000</v>
      </c>
      <c r="G37" s="1862">
        <v>0</v>
      </c>
      <c r="H37" s="1862">
        <v>0</v>
      </c>
      <c r="I37" s="1862">
        <v>0</v>
      </c>
      <c r="J37" s="1862">
        <v>0</v>
      </c>
      <c r="K37" s="1862">
        <v>0</v>
      </c>
      <c r="L37" s="1862">
        <v>0</v>
      </c>
      <c r="M37" s="1862">
        <v>0</v>
      </c>
      <c r="N37" s="1862">
        <v>0</v>
      </c>
      <c r="O37" s="1862">
        <v>0</v>
      </c>
      <c r="P37" s="1862">
        <v>0</v>
      </c>
      <c r="Q37" s="1862">
        <v>0</v>
      </c>
      <c r="R37" s="1862">
        <v>0</v>
      </c>
      <c r="S37" s="1862">
        <v>6000000</v>
      </c>
      <c r="T37" s="1862">
        <v>33000000</v>
      </c>
      <c r="U37" s="1862">
        <v>51000000</v>
      </c>
      <c r="V37" s="1862">
        <v>33000000</v>
      </c>
      <c r="W37" s="1862">
        <v>0</v>
      </c>
      <c r="X37" s="1862">
        <v>6000000</v>
      </c>
    </row>
    <row r="38" ht="19" customHeight="1">
      <c r="A38" t="s" s="1858">
        <v>3927</v>
      </c>
      <c r="B38" t="s" s="1861">
        <v>3928</v>
      </c>
      <c r="C38" s="1862">
        <v>0</v>
      </c>
      <c r="D38" s="1862">
        <v>0</v>
      </c>
      <c r="E38" s="1862">
        <v>0</v>
      </c>
      <c r="F38" s="1862">
        <v>0</v>
      </c>
      <c r="G38" s="1862">
        <v>0</v>
      </c>
      <c r="H38" s="1862">
        <v>0</v>
      </c>
      <c r="I38" s="1862">
        <v>0</v>
      </c>
      <c r="J38" s="1862">
        <v>0</v>
      </c>
      <c r="K38" s="1862">
        <v>0</v>
      </c>
      <c r="L38" s="1862">
        <v>0</v>
      </c>
      <c r="M38" s="1862">
        <v>0</v>
      </c>
      <c r="N38" s="1862">
        <v>0</v>
      </c>
      <c r="O38" s="1862">
        <v>0</v>
      </c>
      <c r="P38" s="1862">
        <v>0</v>
      </c>
      <c r="Q38" s="1862">
        <v>2500000</v>
      </c>
      <c r="R38" s="1862">
        <v>7500000</v>
      </c>
      <c r="S38" s="1862">
        <v>2500000</v>
      </c>
      <c r="T38" s="1862">
        <v>2500000</v>
      </c>
      <c r="U38" s="1862">
        <v>2500000</v>
      </c>
      <c r="V38" s="1862">
        <v>5000000</v>
      </c>
      <c r="W38" s="1862">
        <v>0</v>
      </c>
      <c r="X38" s="1862">
        <v>5000000</v>
      </c>
    </row>
    <row r="39" ht="19" customHeight="1">
      <c r="A39" t="s" s="1858">
        <v>3929</v>
      </c>
      <c r="B39" t="s" s="1861">
        <v>3930</v>
      </c>
      <c r="C39" s="1862">
        <v>0</v>
      </c>
      <c r="D39" s="1862">
        <v>0</v>
      </c>
      <c r="E39" s="1862">
        <v>0</v>
      </c>
      <c r="F39" s="1862">
        <v>0</v>
      </c>
      <c r="G39" s="1862">
        <v>0</v>
      </c>
      <c r="H39" s="1862">
        <v>0</v>
      </c>
      <c r="I39" s="1862">
        <v>0</v>
      </c>
      <c r="J39" s="1862">
        <v>0</v>
      </c>
      <c r="K39" s="1862">
        <v>0</v>
      </c>
      <c r="L39" s="1862">
        <v>0</v>
      </c>
      <c r="M39" s="1862">
        <v>0</v>
      </c>
      <c r="N39" s="1862">
        <v>0</v>
      </c>
      <c r="O39" s="1862">
        <v>0</v>
      </c>
      <c r="P39" s="1862">
        <v>0</v>
      </c>
      <c r="Q39" s="1862">
        <v>9600000</v>
      </c>
      <c r="R39" s="1862">
        <v>9200000</v>
      </c>
      <c r="S39" s="1862">
        <v>17000000</v>
      </c>
      <c r="T39" s="1862">
        <v>26800000</v>
      </c>
      <c r="U39" s="1862">
        <v>27600000</v>
      </c>
      <c r="V39" s="1862">
        <v>16000000</v>
      </c>
      <c r="W39" s="1862">
        <v>0</v>
      </c>
      <c r="X39" s="1862">
        <v>0</v>
      </c>
    </row>
    <row r="40" ht="19" customHeight="1">
      <c r="A40" t="s" s="1858">
        <v>3931</v>
      </c>
      <c r="B40" t="s" s="1861">
        <v>3932</v>
      </c>
      <c r="C40" s="1862">
        <v>0</v>
      </c>
      <c r="D40" s="1862">
        <v>0</v>
      </c>
      <c r="E40" s="1862">
        <v>0</v>
      </c>
      <c r="F40" s="1862">
        <v>0</v>
      </c>
      <c r="G40" s="1862">
        <v>0</v>
      </c>
      <c r="H40" s="1862">
        <v>0</v>
      </c>
      <c r="I40" s="1862">
        <v>0</v>
      </c>
      <c r="J40" s="1862">
        <v>0</v>
      </c>
      <c r="K40" s="1862">
        <v>0</v>
      </c>
      <c r="L40" s="1862">
        <v>0</v>
      </c>
      <c r="M40" s="1862">
        <v>0</v>
      </c>
      <c r="N40" s="1862">
        <v>0</v>
      </c>
      <c r="O40" s="1862">
        <v>0</v>
      </c>
      <c r="P40" s="1862">
        <v>0</v>
      </c>
      <c r="Q40" s="1862">
        <v>0</v>
      </c>
      <c r="R40" s="1862">
        <v>8000000</v>
      </c>
      <c r="S40" s="1862">
        <v>16000000</v>
      </c>
      <c r="T40" s="1862">
        <v>8000000</v>
      </c>
      <c r="U40" s="1862">
        <v>0</v>
      </c>
      <c r="V40" s="1862">
        <v>0</v>
      </c>
      <c r="W40" s="1862">
        <v>0</v>
      </c>
      <c r="X40" s="1862">
        <v>0</v>
      </c>
    </row>
    <row r="41" ht="19" customHeight="1">
      <c r="A41" t="s" s="1858">
        <v>3758</v>
      </c>
      <c r="B41" t="s" s="1861">
        <v>3759</v>
      </c>
      <c r="C41" s="1862">
        <v>0</v>
      </c>
      <c r="D41" s="1862">
        <v>0</v>
      </c>
      <c r="E41" s="1862">
        <v>0</v>
      </c>
      <c r="F41" s="1862">
        <v>0</v>
      </c>
      <c r="G41" s="1862">
        <v>15500000</v>
      </c>
      <c r="H41" s="1862">
        <v>0</v>
      </c>
      <c r="I41" s="1862">
        <v>0</v>
      </c>
      <c r="J41" s="1862">
        <v>0</v>
      </c>
      <c r="K41" s="1862">
        <v>16500000</v>
      </c>
      <c r="L41" s="1862">
        <v>16500000</v>
      </c>
      <c r="M41" s="1862">
        <v>0</v>
      </c>
      <c r="N41" s="1862">
        <v>0</v>
      </c>
      <c r="O41" s="1862">
        <v>0</v>
      </c>
      <c r="P41" s="1862">
        <v>0</v>
      </c>
      <c r="Q41" s="1862">
        <v>64000000</v>
      </c>
      <c r="R41" s="1862">
        <v>64000000</v>
      </c>
      <c r="S41" s="1862">
        <v>48000000</v>
      </c>
      <c r="T41" s="1862">
        <v>16000000</v>
      </c>
      <c r="U41" s="1862">
        <v>80000000</v>
      </c>
      <c r="V41" s="1862">
        <v>64000000</v>
      </c>
      <c r="W41" s="1862">
        <v>65500000</v>
      </c>
      <c r="X41" s="1862">
        <v>40000000</v>
      </c>
    </row>
    <row r="42" ht="19" customHeight="1">
      <c r="A42" t="s" s="1858">
        <v>3760</v>
      </c>
      <c r="B42" t="s" s="1861">
        <v>3761</v>
      </c>
      <c r="C42" s="1862">
        <v>131950000</v>
      </c>
      <c r="D42" s="1862">
        <v>100775000</v>
      </c>
      <c r="E42" s="1862">
        <v>148675000</v>
      </c>
      <c r="F42" s="1862">
        <v>159750000</v>
      </c>
      <c r="G42" s="1862">
        <v>108950000</v>
      </c>
      <c r="H42" s="1862">
        <v>84650000</v>
      </c>
      <c r="I42" s="1862">
        <v>119600000</v>
      </c>
      <c r="J42" s="1862">
        <v>42625000</v>
      </c>
      <c r="K42" s="1862">
        <v>21625000</v>
      </c>
      <c r="L42" s="1862">
        <v>119025000</v>
      </c>
      <c r="M42" s="1862">
        <v>138260000</v>
      </c>
      <c r="N42" s="1862">
        <v>114150000</v>
      </c>
      <c r="O42" s="1862">
        <v>131175000</v>
      </c>
      <c r="P42" s="1862">
        <v>164275000</v>
      </c>
      <c r="Q42" s="1862">
        <v>170612500</v>
      </c>
      <c r="R42" s="1862">
        <v>169950000</v>
      </c>
      <c r="S42" s="1862">
        <v>157700000</v>
      </c>
      <c r="T42" s="1862">
        <v>170310000</v>
      </c>
      <c r="U42" s="1862">
        <v>147590000</v>
      </c>
      <c r="V42" s="1862">
        <v>136892000</v>
      </c>
      <c r="W42" s="1862">
        <v>150015000</v>
      </c>
      <c r="X42" s="1862">
        <v>146469000</v>
      </c>
    </row>
    <row r="43" ht="19" customHeight="1">
      <c r="A43" t="s" s="1858">
        <v>3762</v>
      </c>
      <c r="B43" t="s" s="1861">
        <v>3763</v>
      </c>
      <c r="C43" s="1862">
        <v>0</v>
      </c>
      <c r="D43" s="1862">
        <v>0</v>
      </c>
      <c r="E43" s="1862">
        <v>0</v>
      </c>
      <c r="F43" s="1862">
        <v>8000000</v>
      </c>
      <c r="G43" s="1862">
        <v>0</v>
      </c>
      <c r="H43" s="1862">
        <v>0</v>
      </c>
      <c r="I43" s="1862">
        <v>0</v>
      </c>
      <c r="J43" s="1862">
        <v>0</v>
      </c>
      <c r="K43" s="1862">
        <v>0</v>
      </c>
      <c r="L43" s="1862">
        <v>8500000</v>
      </c>
      <c r="M43" s="1862">
        <v>0</v>
      </c>
      <c r="N43" s="1862">
        <v>0</v>
      </c>
      <c r="O43" s="1862">
        <v>0</v>
      </c>
      <c r="P43" s="1862">
        <v>7500000</v>
      </c>
      <c r="Q43" s="1862">
        <v>15000000</v>
      </c>
      <c r="R43" s="1862">
        <v>30000000</v>
      </c>
      <c r="S43" s="1862">
        <v>7500000</v>
      </c>
      <c r="T43" s="1862">
        <v>7500000</v>
      </c>
      <c r="U43" s="1862">
        <v>37500000</v>
      </c>
      <c r="V43" s="1862">
        <v>0</v>
      </c>
      <c r="W43" s="1862">
        <v>7500000</v>
      </c>
      <c r="X43" s="1862">
        <v>22518000</v>
      </c>
    </row>
    <row r="44" ht="19" customHeight="1">
      <c r="A44" t="s" s="1858">
        <v>3764</v>
      </c>
      <c r="B44" t="s" s="1861">
        <v>3765</v>
      </c>
      <c r="C44" s="1862">
        <v>42450000</v>
      </c>
      <c r="D44" s="1862">
        <v>78225000</v>
      </c>
      <c r="E44" s="1862">
        <v>136125000</v>
      </c>
      <c r="F44" s="1862">
        <v>141525000</v>
      </c>
      <c r="G44" s="1862">
        <v>131625000</v>
      </c>
      <c r="H44" s="1862">
        <v>68275000</v>
      </c>
      <c r="I44" s="1862">
        <v>140100000</v>
      </c>
      <c r="J44" s="1862">
        <v>35175000</v>
      </c>
      <c r="K44" s="1862">
        <v>31925000</v>
      </c>
      <c r="L44" s="1862">
        <v>82025000</v>
      </c>
      <c r="M44" s="1862">
        <v>118350000</v>
      </c>
      <c r="N44" s="1862">
        <v>66750000</v>
      </c>
      <c r="O44" s="1862">
        <v>160507500</v>
      </c>
      <c r="P44" s="1862">
        <v>173550000</v>
      </c>
      <c r="Q44" s="1862">
        <v>180885000</v>
      </c>
      <c r="R44" s="1862">
        <v>199650000</v>
      </c>
      <c r="S44" s="1862">
        <v>186900000</v>
      </c>
      <c r="T44" s="1862">
        <v>180225000</v>
      </c>
      <c r="U44" s="1862">
        <v>196575000</v>
      </c>
      <c r="V44" s="1862">
        <v>147697000</v>
      </c>
      <c r="W44" s="1862">
        <v>139256000</v>
      </c>
      <c r="X44" s="1862">
        <v>134338000</v>
      </c>
    </row>
    <row r="45" ht="19" customHeight="1">
      <c r="A45" t="s" s="1858">
        <v>3933</v>
      </c>
      <c r="B45" t="s" s="1861">
        <v>3934</v>
      </c>
      <c r="C45" s="1862">
        <v>0</v>
      </c>
      <c r="D45" s="1862">
        <v>0</v>
      </c>
      <c r="E45" s="1862">
        <v>0</v>
      </c>
      <c r="F45" s="1862">
        <v>0</v>
      </c>
      <c r="G45" s="1862">
        <v>0</v>
      </c>
      <c r="H45" s="1862">
        <v>0</v>
      </c>
      <c r="I45" s="1862">
        <v>0</v>
      </c>
      <c r="J45" s="1862">
        <v>0</v>
      </c>
      <c r="K45" s="1862">
        <v>0</v>
      </c>
      <c r="L45" s="1862">
        <v>0</v>
      </c>
      <c r="M45" s="1862">
        <v>0</v>
      </c>
      <c r="N45" s="1862">
        <v>0</v>
      </c>
      <c r="O45" s="1862">
        <v>0</v>
      </c>
      <c r="P45" s="1862">
        <v>0</v>
      </c>
      <c r="Q45" s="1862">
        <v>0</v>
      </c>
      <c r="R45" s="1862">
        <v>0</v>
      </c>
      <c r="S45" s="1862">
        <v>0</v>
      </c>
      <c r="T45" s="1862">
        <v>0</v>
      </c>
      <c r="U45" s="1862">
        <v>0</v>
      </c>
      <c r="V45" s="1862">
        <v>0</v>
      </c>
      <c r="W45" s="1862">
        <v>23500000</v>
      </c>
      <c r="X45" s="1862">
        <v>16500000</v>
      </c>
    </row>
    <row r="46" ht="19" customHeight="1">
      <c r="A46" t="s" s="1858">
        <v>3766</v>
      </c>
      <c r="B46" t="s" s="1861">
        <v>3767</v>
      </c>
      <c r="C46" s="1862">
        <v>0</v>
      </c>
      <c r="D46" s="1862">
        <v>0</v>
      </c>
      <c r="E46" s="1862">
        <v>0</v>
      </c>
      <c r="F46" s="1862">
        <v>0</v>
      </c>
      <c r="G46" s="1862">
        <v>0</v>
      </c>
      <c r="H46" s="1862">
        <v>0</v>
      </c>
      <c r="I46" s="1862">
        <v>3885000</v>
      </c>
      <c r="J46" s="1862">
        <v>0</v>
      </c>
      <c r="K46" s="1862">
        <v>0</v>
      </c>
      <c r="L46" s="1862">
        <v>0</v>
      </c>
      <c r="M46" s="1862">
        <v>0</v>
      </c>
      <c r="N46" s="1862">
        <v>0</v>
      </c>
      <c r="O46" s="1862">
        <v>0</v>
      </c>
      <c r="P46" s="1862">
        <v>0</v>
      </c>
      <c r="Q46" s="1862">
        <v>0</v>
      </c>
      <c r="R46" s="1862">
        <v>0</v>
      </c>
      <c r="S46" s="1862">
        <v>0</v>
      </c>
      <c r="T46" s="1862">
        <v>0</v>
      </c>
      <c r="U46" s="1862">
        <v>3800000</v>
      </c>
      <c r="V46" s="1862">
        <v>78975000</v>
      </c>
      <c r="W46" s="1862">
        <v>80450000</v>
      </c>
      <c r="X46" s="1862">
        <v>89775000</v>
      </c>
    </row>
    <row r="47" ht="19" customHeight="1">
      <c r="A47" t="s" s="1858">
        <v>3768</v>
      </c>
      <c r="B47" t="s" s="1861">
        <v>3769</v>
      </c>
      <c r="C47" s="1862">
        <v>54220000</v>
      </c>
      <c r="D47" s="1862">
        <v>52275000</v>
      </c>
      <c r="E47" s="1862">
        <v>118525000</v>
      </c>
      <c r="F47" s="1862">
        <v>92650000</v>
      </c>
      <c r="G47" s="1862">
        <v>75900000</v>
      </c>
      <c r="H47" s="1862">
        <v>22350000</v>
      </c>
      <c r="I47" s="1862">
        <v>74375000</v>
      </c>
      <c r="J47" s="1862">
        <v>16000000</v>
      </c>
      <c r="K47" s="1862">
        <v>0</v>
      </c>
      <c r="L47" s="1862">
        <v>27325000</v>
      </c>
      <c r="M47" s="1862">
        <v>46000000</v>
      </c>
      <c r="N47" s="1862">
        <v>57075000</v>
      </c>
      <c r="O47" s="1862">
        <v>90900000</v>
      </c>
      <c r="P47" s="1862">
        <v>158600000</v>
      </c>
      <c r="Q47" s="1862">
        <v>158300000</v>
      </c>
      <c r="R47" s="1862">
        <v>152025000</v>
      </c>
      <c r="S47" s="1862">
        <v>139475000</v>
      </c>
      <c r="T47" s="1862">
        <v>168450000</v>
      </c>
      <c r="U47" s="1862">
        <v>129625000</v>
      </c>
      <c r="V47" s="1862">
        <v>72061000</v>
      </c>
      <c r="W47" s="1862">
        <v>28231000</v>
      </c>
      <c r="X47" s="1862">
        <v>28071000</v>
      </c>
    </row>
    <row r="48" ht="19" customHeight="1">
      <c r="A48" t="s" s="1858">
        <v>3770</v>
      </c>
      <c r="B48" t="s" s="1861">
        <v>3771</v>
      </c>
      <c r="C48" s="1862">
        <v>6500000</v>
      </c>
      <c r="D48" s="1862">
        <v>6500000</v>
      </c>
      <c r="E48" s="1862">
        <v>0</v>
      </c>
      <c r="F48" s="1862">
        <v>0</v>
      </c>
      <c r="G48" s="1862">
        <v>0</v>
      </c>
      <c r="H48" s="1862">
        <v>0</v>
      </c>
      <c r="I48" s="1862">
        <v>0</v>
      </c>
      <c r="J48" s="1862">
        <v>0</v>
      </c>
      <c r="K48" s="1862">
        <v>0</v>
      </c>
      <c r="L48" s="1862">
        <v>5300000</v>
      </c>
      <c r="M48" s="1862">
        <v>33000000</v>
      </c>
      <c r="N48" s="1862">
        <v>17400000</v>
      </c>
      <c r="O48" s="1862">
        <v>34200000</v>
      </c>
      <c r="P48" s="1862">
        <v>33800000</v>
      </c>
      <c r="Q48" s="1862">
        <v>73300000</v>
      </c>
      <c r="R48" s="1862">
        <v>110200000</v>
      </c>
      <c r="S48" s="1862">
        <v>5300000</v>
      </c>
      <c r="T48" s="1862">
        <v>0</v>
      </c>
      <c r="U48" s="1862">
        <v>37100000</v>
      </c>
      <c r="V48" s="1862">
        <v>0</v>
      </c>
      <c r="W48" s="1862">
        <v>10600000</v>
      </c>
      <c r="X48" s="1862">
        <v>42400000</v>
      </c>
    </row>
    <row r="49" ht="19" customHeight="1">
      <c r="A49" t="s" s="1858">
        <v>3935</v>
      </c>
      <c r="B49" t="s" s="1861">
        <v>3936</v>
      </c>
      <c r="C49" s="1862">
        <v>0</v>
      </c>
      <c r="D49" s="1862">
        <v>0</v>
      </c>
      <c r="E49" s="1862">
        <v>0</v>
      </c>
      <c r="F49" s="1862">
        <v>0</v>
      </c>
      <c r="G49" s="1862">
        <v>0</v>
      </c>
      <c r="H49" s="1862">
        <v>0</v>
      </c>
      <c r="I49" s="1862">
        <v>0</v>
      </c>
      <c r="J49" s="1862">
        <v>0</v>
      </c>
      <c r="K49" s="1862">
        <v>0</v>
      </c>
      <c r="L49" s="1862">
        <v>0</v>
      </c>
      <c r="M49" s="1862">
        <v>0</v>
      </c>
      <c r="N49" s="1862">
        <v>0</v>
      </c>
      <c r="O49" s="1862">
        <v>0</v>
      </c>
      <c r="P49" s="1862">
        <v>0</v>
      </c>
      <c r="Q49" s="1862">
        <v>18000000</v>
      </c>
      <c r="R49" s="1862">
        <v>0</v>
      </c>
      <c r="S49" s="1862">
        <v>0</v>
      </c>
      <c r="T49" s="1862">
        <v>27000000</v>
      </c>
      <c r="U49" s="1862">
        <v>27000000</v>
      </c>
      <c r="V49" s="1862">
        <v>9000000</v>
      </c>
      <c r="W49" s="1862">
        <v>18000000</v>
      </c>
      <c r="X49" s="1862">
        <v>36410000</v>
      </c>
    </row>
    <row r="50" ht="19" customHeight="1">
      <c r="A50" t="s" s="1858">
        <v>3772</v>
      </c>
      <c r="B50" t="s" s="1861">
        <v>3773</v>
      </c>
      <c r="C50" s="1862">
        <v>700000</v>
      </c>
      <c r="D50" s="1862">
        <v>6378000</v>
      </c>
      <c r="E50" s="1862">
        <v>5150000</v>
      </c>
      <c r="F50" s="1862">
        <v>3100000</v>
      </c>
      <c r="G50" s="1862">
        <v>2500000</v>
      </c>
      <c r="H50" s="1862">
        <v>1400000</v>
      </c>
      <c r="I50" s="1862">
        <v>900000</v>
      </c>
      <c r="J50" s="1862">
        <v>600000</v>
      </c>
      <c r="K50" s="1862">
        <v>0</v>
      </c>
      <c r="L50" s="1862">
        <v>3000000</v>
      </c>
      <c r="M50" s="1862">
        <v>1800000</v>
      </c>
      <c r="N50" s="1862">
        <v>2800000</v>
      </c>
      <c r="O50" s="1862">
        <v>600000</v>
      </c>
      <c r="P50" s="1862">
        <v>600000</v>
      </c>
      <c r="Q50" s="1862">
        <v>5000000</v>
      </c>
      <c r="R50" s="1862">
        <v>0</v>
      </c>
      <c r="S50" s="1862">
        <v>6265000</v>
      </c>
      <c r="T50" s="1862">
        <v>3330000</v>
      </c>
      <c r="U50" s="1862">
        <v>6820000</v>
      </c>
      <c r="V50" s="1862">
        <v>820000</v>
      </c>
      <c r="W50" s="1862">
        <v>14143374</v>
      </c>
      <c r="X50" s="1862">
        <v>1590000</v>
      </c>
    </row>
    <row r="51" ht="19" customHeight="1">
      <c r="A51" t="s" s="1858">
        <v>3774</v>
      </c>
      <c r="B51" t="s" s="1861">
        <v>3775</v>
      </c>
      <c r="C51" s="1862">
        <v>16750000</v>
      </c>
      <c r="D51" s="1862">
        <v>13750000</v>
      </c>
      <c r="E51" s="1862">
        <v>130650000</v>
      </c>
      <c r="F51" s="1862">
        <v>116400000</v>
      </c>
      <c r="G51" s="1862">
        <v>59200000</v>
      </c>
      <c r="H51" s="1862">
        <v>78425000</v>
      </c>
      <c r="I51" s="1862">
        <v>133925000</v>
      </c>
      <c r="J51" s="1862">
        <v>28100000</v>
      </c>
      <c r="K51" s="1862">
        <v>37150000</v>
      </c>
      <c r="L51" s="1862">
        <v>100275000</v>
      </c>
      <c r="M51" s="1862">
        <v>70400000</v>
      </c>
      <c r="N51" s="1862">
        <v>59400000</v>
      </c>
      <c r="O51" s="1862">
        <v>115080000</v>
      </c>
      <c r="P51" s="1862">
        <v>153525000</v>
      </c>
      <c r="Q51" s="1862">
        <v>180225000</v>
      </c>
      <c r="R51" s="1862">
        <v>186900000</v>
      </c>
      <c r="S51" s="1862">
        <v>166875000</v>
      </c>
      <c r="T51" s="1862">
        <v>186900000</v>
      </c>
      <c r="U51" s="1862">
        <v>109560000</v>
      </c>
      <c r="V51" s="1862">
        <v>36250000</v>
      </c>
      <c r="W51" s="1862">
        <v>29000000</v>
      </c>
      <c r="X51" s="1862">
        <v>0</v>
      </c>
    </row>
    <row r="52" ht="19" customHeight="1">
      <c r="A52" t="s" s="1858">
        <v>3776</v>
      </c>
      <c r="B52" t="s" s="1861">
        <v>3777</v>
      </c>
      <c r="C52" s="1862">
        <v>305334000</v>
      </c>
      <c r="D52" s="1862">
        <v>323860000</v>
      </c>
      <c r="E52" s="1862">
        <v>394445000</v>
      </c>
      <c r="F52" s="1862">
        <v>359939000</v>
      </c>
      <c r="G52" s="1862">
        <v>337413000</v>
      </c>
      <c r="H52" s="1862">
        <v>279979080</v>
      </c>
      <c r="I52" s="1862">
        <v>303034000</v>
      </c>
      <c r="J52" s="1862">
        <v>168235000</v>
      </c>
      <c r="K52" s="1862">
        <v>89450000</v>
      </c>
      <c r="L52" s="1862">
        <v>126413000</v>
      </c>
      <c r="M52" s="1862">
        <v>215276000</v>
      </c>
      <c r="N52" s="1862">
        <v>188198000</v>
      </c>
      <c r="O52" s="1862">
        <v>131082000</v>
      </c>
      <c r="P52" s="1862">
        <v>274056000</v>
      </c>
      <c r="Q52" s="1862">
        <v>253954000</v>
      </c>
      <c r="R52" s="1862">
        <v>290355000</v>
      </c>
      <c r="S52" s="1862">
        <v>300503000</v>
      </c>
      <c r="T52" s="1862">
        <v>232555000</v>
      </c>
      <c r="U52" s="1862">
        <v>146249000</v>
      </c>
      <c r="V52" s="1862">
        <v>81093000</v>
      </c>
      <c r="W52" s="1862">
        <v>103377000</v>
      </c>
      <c r="X52" s="1862">
        <v>124298000</v>
      </c>
    </row>
    <row r="53" ht="19" customHeight="1">
      <c r="A53" t="s" s="1858">
        <v>3778</v>
      </c>
      <c r="B53" t="s" s="1861">
        <v>3779</v>
      </c>
      <c r="C53" s="1862">
        <v>317280000</v>
      </c>
      <c r="D53" s="1862">
        <v>297120000</v>
      </c>
      <c r="E53" s="1862">
        <v>378720000</v>
      </c>
      <c r="F53" s="1862">
        <v>396480000</v>
      </c>
      <c r="G53" s="1862">
        <v>334080000</v>
      </c>
      <c r="H53" s="1862">
        <v>297120000</v>
      </c>
      <c r="I53" s="1862">
        <v>327840000</v>
      </c>
      <c r="J53" s="1862">
        <v>193440000</v>
      </c>
      <c r="K53" s="1862">
        <v>117600000</v>
      </c>
      <c r="L53" s="1862">
        <v>147840000</v>
      </c>
      <c r="M53" s="1862">
        <v>184800000</v>
      </c>
      <c r="N53" s="1862">
        <v>206400000</v>
      </c>
      <c r="O53" s="1862">
        <v>284640000</v>
      </c>
      <c r="P53" s="1862">
        <v>313440000</v>
      </c>
      <c r="Q53" s="1862">
        <v>362880000</v>
      </c>
      <c r="R53" s="1862">
        <v>365280000</v>
      </c>
      <c r="S53" s="1862">
        <v>296640000</v>
      </c>
      <c r="T53" s="1862">
        <v>266400000</v>
      </c>
      <c r="U53" s="1862">
        <v>197830000</v>
      </c>
      <c r="V53" s="1862">
        <v>126720000</v>
      </c>
      <c r="W53" s="1862">
        <v>127400000</v>
      </c>
      <c r="X53" s="1862">
        <v>125700000</v>
      </c>
    </row>
    <row r="54" ht="19" customHeight="1">
      <c r="A54" t="s" s="1858">
        <v>3780</v>
      </c>
      <c r="B54" t="s" s="1861">
        <v>3781</v>
      </c>
      <c r="C54" s="1862">
        <v>36110000</v>
      </c>
      <c r="D54" s="1862">
        <v>27900000</v>
      </c>
      <c r="E54" s="1862">
        <v>23325000</v>
      </c>
      <c r="F54" s="1862">
        <v>28050000</v>
      </c>
      <c r="G54" s="1862">
        <v>22050000</v>
      </c>
      <c r="H54" s="1862">
        <v>15300000</v>
      </c>
      <c r="I54" s="1862">
        <v>26850000</v>
      </c>
      <c r="J54" s="1862">
        <v>12900000</v>
      </c>
      <c r="K54" s="1862">
        <v>8250000</v>
      </c>
      <c r="L54" s="1862">
        <v>19200000</v>
      </c>
      <c r="M54" s="1862">
        <v>21450000</v>
      </c>
      <c r="N54" s="1862">
        <v>24300000</v>
      </c>
      <c r="O54" s="1862">
        <v>35100000</v>
      </c>
      <c r="P54" s="1862">
        <v>31950000</v>
      </c>
      <c r="Q54" s="1862">
        <v>31650000</v>
      </c>
      <c r="R54" s="1862">
        <v>37050000</v>
      </c>
      <c r="S54" s="1862">
        <v>32400000</v>
      </c>
      <c r="T54" s="1862">
        <v>22050000</v>
      </c>
      <c r="U54" s="1862">
        <v>21600000</v>
      </c>
      <c r="V54" s="1862">
        <v>12550000</v>
      </c>
      <c r="W54" s="1862">
        <v>8475000</v>
      </c>
      <c r="X54" s="1862">
        <v>17700000</v>
      </c>
    </row>
    <row r="55" ht="19" customHeight="1">
      <c r="A55" t="s" s="1858">
        <v>3937</v>
      </c>
      <c r="B55" t="s" s="1861">
        <v>3938</v>
      </c>
      <c r="C55" s="1862">
        <v>0</v>
      </c>
      <c r="D55" s="1862">
        <v>0</v>
      </c>
      <c r="E55" s="1862">
        <v>0</v>
      </c>
      <c r="F55" s="1862">
        <v>0</v>
      </c>
      <c r="G55" s="1862">
        <v>0</v>
      </c>
      <c r="H55" s="1862">
        <v>0</v>
      </c>
      <c r="I55" s="1862">
        <v>0</v>
      </c>
      <c r="J55" s="1862">
        <v>0</v>
      </c>
      <c r="K55" s="1862">
        <v>0</v>
      </c>
      <c r="L55" s="1862">
        <v>0</v>
      </c>
      <c r="M55" s="1862">
        <v>0</v>
      </c>
      <c r="N55" s="1862">
        <v>0</v>
      </c>
      <c r="O55" s="1862">
        <v>0</v>
      </c>
      <c r="P55" s="1862">
        <v>0</v>
      </c>
      <c r="Q55" s="1862">
        <v>0</v>
      </c>
      <c r="R55" s="1862">
        <v>0</v>
      </c>
      <c r="S55" s="1862">
        <v>0</v>
      </c>
      <c r="T55" s="1862">
        <v>0</v>
      </c>
      <c r="U55" s="1862">
        <v>0</v>
      </c>
      <c r="V55" s="1862">
        <v>250000</v>
      </c>
      <c r="W55" s="1862">
        <v>0</v>
      </c>
      <c r="X55" s="1862">
        <v>0</v>
      </c>
    </row>
    <row r="56" ht="19" customHeight="1">
      <c r="A56" t="s" s="1858">
        <v>3939</v>
      </c>
      <c r="B56" t="s" s="1861">
        <v>3940</v>
      </c>
      <c r="C56" s="1862">
        <v>0</v>
      </c>
      <c r="D56" s="1862">
        <v>0</v>
      </c>
      <c r="E56" s="1862">
        <v>0</v>
      </c>
      <c r="F56" s="1862">
        <v>0</v>
      </c>
      <c r="G56" s="1862">
        <v>0</v>
      </c>
      <c r="H56" s="1862">
        <v>0</v>
      </c>
      <c r="I56" s="1862">
        <v>0</v>
      </c>
      <c r="J56" s="1862">
        <v>0</v>
      </c>
      <c r="K56" s="1862">
        <v>0</v>
      </c>
      <c r="L56" s="1862">
        <v>0</v>
      </c>
      <c r="M56" s="1862">
        <v>0</v>
      </c>
      <c r="N56" s="1862">
        <v>0</v>
      </c>
      <c r="O56" s="1862">
        <v>0</v>
      </c>
      <c r="P56" s="1862">
        <v>0</v>
      </c>
      <c r="Q56" s="1862">
        <v>0</v>
      </c>
      <c r="R56" s="1862">
        <v>0</v>
      </c>
      <c r="S56" s="1862">
        <v>0</v>
      </c>
      <c r="T56" s="1862">
        <v>0</v>
      </c>
      <c r="U56" s="1862">
        <v>83000000</v>
      </c>
      <c r="V56" s="1862">
        <v>25000000</v>
      </c>
      <c r="W56" s="1862">
        <v>26350000</v>
      </c>
      <c r="X56" s="1862">
        <v>0</v>
      </c>
    </row>
    <row r="57" ht="19" customHeight="1">
      <c r="A57" t="s" s="1858">
        <v>3782</v>
      </c>
      <c r="B57" t="s" s="1861">
        <v>3783</v>
      </c>
      <c r="C57" s="1862">
        <v>558478750</v>
      </c>
      <c r="D57" s="1862">
        <v>510858750</v>
      </c>
      <c r="E57" s="1862">
        <v>624680000</v>
      </c>
      <c r="F57" s="1862">
        <v>638311250</v>
      </c>
      <c r="G57" s="1862">
        <v>617160000</v>
      </c>
      <c r="H57" s="1862">
        <v>613700000</v>
      </c>
      <c r="I57" s="1862">
        <v>617445000</v>
      </c>
      <c r="J57" s="1862">
        <v>358815500</v>
      </c>
      <c r="K57" s="1862">
        <v>336315000</v>
      </c>
      <c r="L57" s="1862">
        <v>271414500</v>
      </c>
      <c r="M57" s="1862">
        <v>296370000</v>
      </c>
      <c r="N57" s="1862">
        <v>333000000</v>
      </c>
      <c r="O57" s="1862">
        <v>473650000</v>
      </c>
      <c r="P57" s="1862">
        <v>549060000</v>
      </c>
      <c r="Q57" s="1862">
        <v>601647500</v>
      </c>
      <c r="R57" s="1862">
        <v>702775000</v>
      </c>
      <c r="S57" s="1862">
        <v>542625000</v>
      </c>
      <c r="T57" s="1862">
        <v>371348000</v>
      </c>
      <c r="U57" s="1862">
        <v>208028100</v>
      </c>
      <c r="V57" s="1862">
        <v>120000</v>
      </c>
      <c r="W57" s="1862">
        <v>0</v>
      </c>
      <c r="X57" s="1862">
        <v>28800000</v>
      </c>
    </row>
    <row r="58" ht="19" customHeight="1">
      <c r="A58" t="s" s="1858">
        <v>3784</v>
      </c>
      <c r="B58" t="s" s="1861">
        <v>3785</v>
      </c>
      <c r="C58" s="1862">
        <v>124465006</v>
      </c>
      <c r="D58" s="1862">
        <v>32890744</v>
      </c>
      <c r="E58" s="1862">
        <v>74851348</v>
      </c>
      <c r="F58" s="1862">
        <v>145798077</v>
      </c>
      <c r="G58" s="1862">
        <v>42452251</v>
      </c>
      <c r="H58" s="1862">
        <v>141133835</v>
      </c>
      <c r="I58" s="1862">
        <v>61665999</v>
      </c>
      <c r="J58" s="1862">
        <v>36020689</v>
      </c>
      <c r="K58" s="1862">
        <v>40241047</v>
      </c>
      <c r="L58" s="1862">
        <v>110943684</v>
      </c>
      <c r="M58" s="1862">
        <v>27875018</v>
      </c>
      <c r="N58" s="1862">
        <v>25435507</v>
      </c>
      <c r="O58" s="1862">
        <v>39901297</v>
      </c>
      <c r="P58" s="1862">
        <v>15494858</v>
      </c>
      <c r="Q58" s="1862">
        <v>108489343</v>
      </c>
      <c r="R58" s="1862">
        <v>29807415</v>
      </c>
      <c r="S58" s="1862">
        <v>113308375</v>
      </c>
      <c r="T58" s="1862">
        <v>76869806</v>
      </c>
      <c r="U58" s="1862">
        <v>84377530</v>
      </c>
      <c r="V58" s="1862">
        <v>178025960</v>
      </c>
      <c r="W58" s="1862">
        <v>127740553</v>
      </c>
      <c r="X58" s="1862">
        <v>145855747</v>
      </c>
    </row>
    <row r="59" ht="19" customHeight="1">
      <c r="A59" t="s" s="1858">
        <v>3786</v>
      </c>
      <c r="B59" t="s" s="1861">
        <v>3787</v>
      </c>
      <c r="C59" s="1862">
        <v>185959580</v>
      </c>
      <c r="D59" s="1862">
        <v>199122820</v>
      </c>
      <c r="E59" s="1862">
        <v>257452786</v>
      </c>
      <c r="F59" s="1862">
        <v>199987920</v>
      </c>
      <c r="G59" s="1862">
        <v>215222079</v>
      </c>
      <c r="H59" s="1862">
        <v>214024115</v>
      </c>
      <c r="I59" s="1862">
        <v>206275500</v>
      </c>
      <c r="J59" s="1862">
        <v>111433561</v>
      </c>
      <c r="K59" s="1862">
        <v>134072484</v>
      </c>
      <c r="L59" s="1862">
        <v>86433992</v>
      </c>
      <c r="M59" s="1862">
        <v>135579974</v>
      </c>
      <c r="N59" s="1862">
        <v>137657778</v>
      </c>
      <c r="O59" s="1862">
        <v>170126025</v>
      </c>
      <c r="P59" s="1862">
        <v>176061607</v>
      </c>
      <c r="Q59" s="1862">
        <v>191437637</v>
      </c>
      <c r="R59" s="1862">
        <v>188121734</v>
      </c>
      <c r="S59" s="1862">
        <v>188163045</v>
      </c>
      <c r="T59" s="1862">
        <v>112781197.17</v>
      </c>
      <c r="U59" s="1862">
        <v>73912500</v>
      </c>
      <c r="V59" s="1862">
        <v>72794127</v>
      </c>
      <c r="W59" s="1862">
        <v>68737170</v>
      </c>
      <c r="X59" s="1862">
        <v>71617999</v>
      </c>
    </row>
    <row r="60" ht="19" customHeight="1">
      <c r="A60" t="s" s="1858">
        <v>3941</v>
      </c>
      <c r="B60" t="s" s="1861">
        <v>3942</v>
      </c>
      <c r="C60" s="1862">
        <v>0</v>
      </c>
      <c r="D60" s="1862">
        <v>0</v>
      </c>
      <c r="E60" s="1862">
        <v>0</v>
      </c>
      <c r="F60" s="1862">
        <v>0</v>
      </c>
      <c r="G60" s="1862">
        <v>0</v>
      </c>
      <c r="H60" s="1862">
        <v>0</v>
      </c>
      <c r="I60" s="1862">
        <v>0</v>
      </c>
      <c r="J60" s="1862">
        <v>0</v>
      </c>
      <c r="K60" s="1862">
        <v>0</v>
      </c>
      <c r="L60" s="1862">
        <v>0</v>
      </c>
      <c r="M60" s="1862">
        <v>0</v>
      </c>
      <c r="N60" s="1862">
        <v>0</v>
      </c>
      <c r="O60" s="1862">
        <v>0</v>
      </c>
      <c r="P60" s="1862">
        <v>0</v>
      </c>
      <c r="Q60" s="1862">
        <v>0</v>
      </c>
      <c r="R60" s="1862">
        <v>0</v>
      </c>
      <c r="S60" s="1862">
        <v>0</v>
      </c>
      <c r="T60" s="1862">
        <v>0</v>
      </c>
      <c r="U60" s="1862">
        <v>0</v>
      </c>
      <c r="V60" s="1862">
        <v>0</v>
      </c>
      <c r="W60" s="1862">
        <v>2792898</v>
      </c>
      <c r="X60" s="1862">
        <v>16922550</v>
      </c>
    </row>
    <row r="61" ht="19" customHeight="1">
      <c r="A61" t="s" s="1858">
        <v>3788</v>
      </c>
      <c r="B61" t="s" s="1861">
        <v>3789</v>
      </c>
      <c r="C61" s="1862">
        <v>391245750</v>
      </c>
      <c r="D61" s="1862">
        <v>362748617</v>
      </c>
      <c r="E61" s="1862">
        <v>460480137</v>
      </c>
      <c r="F61" s="1862">
        <v>414149750</v>
      </c>
      <c r="G61" s="1862">
        <v>356073875</v>
      </c>
      <c r="H61" s="1862">
        <v>284726375</v>
      </c>
      <c r="I61" s="1862">
        <v>358472125</v>
      </c>
      <c r="J61" s="1862">
        <v>197209675</v>
      </c>
      <c r="K61" s="1862">
        <v>122099750</v>
      </c>
      <c r="L61" s="1862">
        <v>198498300</v>
      </c>
      <c r="M61" s="1862">
        <v>235222790</v>
      </c>
      <c r="N61" s="1862">
        <v>249688620</v>
      </c>
      <c r="O61" s="1862">
        <v>358921375</v>
      </c>
      <c r="P61" s="1862">
        <v>417349500</v>
      </c>
      <c r="Q61" s="1862">
        <v>486609875</v>
      </c>
      <c r="R61" s="1862">
        <v>469765000</v>
      </c>
      <c r="S61" s="1862">
        <v>372025000</v>
      </c>
      <c r="T61" s="1862">
        <v>317975000</v>
      </c>
      <c r="U61" s="1862">
        <v>254100000</v>
      </c>
      <c r="V61" s="1862">
        <v>159000000</v>
      </c>
      <c r="W61" s="1862">
        <v>153275000</v>
      </c>
      <c r="X61" s="1862">
        <v>189250000</v>
      </c>
    </row>
    <row r="62" ht="19" customHeight="1">
      <c r="A62" t="s" s="1858">
        <v>3790</v>
      </c>
      <c r="B62" t="s" s="1861">
        <v>3791</v>
      </c>
      <c r="C62" s="1862">
        <v>102175000</v>
      </c>
      <c r="D62" s="1862">
        <v>64900000</v>
      </c>
      <c r="E62" s="1862">
        <v>107500000</v>
      </c>
      <c r="F62" s="1862">
        <v>89800000</v>
      </c>
      <c r="G62" s="1862">
        <v>82100000</v>
      </c>
      <c r="H62" s="1862">
        <v>112075000</v>
      </c>
      <c r="I62" s="1862">
        <v>132300000</v>
      </c>
      <c r="J62" s="1862">
        <v>62700000</v>
      </c>
      <c r="K62" s="1862">
        <v>30250000</v>
      </c>
      <c r="L62" s="1862">
        <v>31237500</v>
      </c>
      <c r="M62" s="1862">
        <v>51925000</v>
      </c>
      <c r="N62" s="1862">
        <v>29250000</v>
      </c>
      <c r="O62" s="1862">
        <v>15800000</v>
      </c>
      <c r="P62" s="1862">
        <v>57750000</v>
      </c>
      <c r="Q62" s="1862">
        <v>120150000</v>
      </c>
      <c r="R62" s="1862">
        <v>0</v>
      </c>
      <c r="S62" s="1862">
        <v>30800000</v>
      </c>
      <c r="T62" s="1862">
        <v>15800000</v>
      </c>
      <c r="U62" s="1862">
        <v>17800000</v>
      </c>
      <c r="V62" s="1862">
        <v>12000000</v>
      </c>
      <c r="W62" s="1862">
        <v>0</v>
      </c>
      <c r="X62" s="1862">
        <v>17400000</v>
      </c>
    </row>
    <row r="63" ht="19" customHeight="1">
      <c r="A63" t="s" s="1858">
        <v>3792</v>
      </c>
      <c r="B63" t="s" s="1861">
        <v>3793</v>
      </c>
      <c r="C63" s="1862">
        <v>666000</v>
      </c>
      <c r="D63" s="1862">
        <v>741998.51</v>
      </c>
      <c r="E63" s="1862">
        <v>2338074.11</v>
      </c>
      <c r="F63" s="1862">
        <v>205560</v>
      </c>
      <c r="G63" s="1862">
        <v>-0.32</v>
      </c>
      <c r="H63" s="1862">
        <v>0</v>
      </c>
      <c r="I63" s="1862">
        <v>1770789.81</v>
      </c>
      <c r="J63" s="1862">
        <v>19226400</v>
      </c>
      <c r="K63" s="1862">
        <v>52966000</v>
      </c>
      <c r="L63" s="1862">
        <v>218390.38</v>
      </c>
      <c r="M63" s="1862">
        <v>35133986.91</v>
      </c>
      <c r="N63" s="1862">
        <v>1837350.99</v>
      </c>
      <c r="O63" s="1862">
        <v>53492740.5</v>
      </c>
      <c r="P63" s="1862">
        <v>24352000.32</v>
      </c>
      <c r="Q63" s="1862">
        <v>43140000</v>
      </c>
      <c r="R63" s="1862">
        <v>41136000</v>
      </c>
      <c r="S63" s="1862">
        <v>20162000</v>
      </c>
      <c r="T63" s="1862">
        <v>17370000</v>
      </c>
      <c r="U63" s="1862">
        <v>17469800</v>
      </c>
      <c r="V63" s="1862">
        <v>5050000</v>
      </c>
      <c r="W63" s="1862">
        <v>4780000</v>
      </c>
      <c r="X63" s="1862">
        <v>11967500</v>
      </c>
    </row>
    <row r="64" ht="19" customHeight="1">
      <c r="A64" t="s" s="1858">
        <v>3943</v>
      </c>
      <c r="B64" t="s" s="1861">
        <v>3944</v>
      </c>
      <c r="C64" s="1862">
        <v>0</v>
      </c>
      <c r="D64" s="1862">
        <v>0</v>
      </c>
      <c r="E64" s="1862">
        <v>0</v>
      </c>
      <c r="F64" s="1862">
        <v>0</v>
      </c>
      <c r="G64" s="1862">
        <v>0</v>
      </c>
      <c r="H64" s="1862">
        <v>0</v>
      </c>
      <c r="I64" s="1862">
        <v>0</v>
      </c>
      <c r="J64" s="1862">
        <v>0</v>
      </c>
      <c r="K64" s="1862">
        <v>0</v>
      </c>
      <c r="L64" s="1862">
        <v>0</v>
      </c>
      <c r="M64" s="1862">
        <v>0</v>
      </c>
      <c r="N64" s="1862">
        <v>0</v>
      </c>
      <c r="O64" s="1862">
        <v>0</v>
      </c>
      <c r="P64" s="1862">
        <v>0</v>
      </c>
      <c r="Q64" s="1862">
        <v>15400000</v>
      </c>
      <c r="R64" s="1862">
        <v>77000000</v>
      </c>
      <c r="S64" s="1862">
        <v>0</v>
      </c>
      <c r="T64" s="1862">
        <v>46200000</v>
      </c>
      <c r="U64" s="1862">
        <v>24000000</v>
      </c>
      <c r="V64" s="1862">
        <v>0</v>
      </c>
      <c r="W64" s="1862">
        <v>38000000</v>
      </c>
      <c r="X64" s="1862">
        <v>0</v>
      </c>
    </row>
    <row r="65" ht="19" customHeight="1">
      <c r="A65" t="s" s="1858">
        <v>3794</v>
      </c>
      <c r="B65" t="s" s="1861">
        <v>3795</v>
      </c>
      <c r="C65" s="1862">
        <v>71360000</v>
      </c>
      <c r="D65" s="1862">
        <v>0</v>
      </c>
      <c r="E65" s="1862">
        <v>40250000</v>
      </c>
      <c r="F65" s="1862">
        <v>0</v>
      </c>
      <c r="G65" s="1862">
        <v>19975000</v>
      </c>
      <c r="H65" s="1862">
        <v>57950000</v>
      </c>
      <c r="I65" s="1862">
        <v>0</v>
      </c>
      <c r="J65" s="1862">
        <v>127280000</v>
      </c>
      <c r="K65" s="1862">
        <v>0</v>
      </c>
      <c r="L65" s="1862">
        <v>0</v>
      </c>
      <c r="M65" s="1862">
        <v>32400000</v>
      </c>
      <c r="N65" s="1862">
        <v>0</v>
      </c>
      <c r="O65" s="1862">
        <v>0</v>
      </c>
      <c r="P65" s="1862">
        <v>0</v>
      </c>
      <c r="Q65" s="1862">
        <v>47100000</v>
      </c>
      <c r="R65" s="1862">
        <v>39780000</v>
      </c>
      <c r="S65" s="1862">
        <v>41310000</v>
      </c>
      <c r="T65" s="1862">
        <v>0</v>
      </c>
      <c r="U65" s="1862">
        <v>52070000</v>
      </c>
      <c r="V65" s="1862">
        <v>49570000</v>
      </c>
      <c r="W65" s="1862">
        <v>0</v>
      </c>
      <c r="X65" s="1862">
        <v>0</v>
      </c>
    </row>
    <row r="66" ht="19" customHeight="1">
      <c r="A66" t="s" s="1858">
        <v>3945</v>
      </c>
      <c r="B66" t="s" s="1861">
        <v>3946</v>
      </c>
      <c r="C66" s="1862">
        <v>0</v>
      </c>
      <c r="D66" s="1862">
        <v>0</v>
      </c>
      <c r="E66" s="1862">
        <v>0</v>
      </c>
      <c r="F66" s="1862">
        <v>0</v>
      </c>
      <c r="G66" s="1862">
        <v>0</v>
      </c>
      <c r="H66" s="1862">
        <v>0</v>
      </c>
      <c r="I66" s="1862">
        <v>0</v>
      </c>
      <c r="J66" s="1862">
        <v>0</v>
      </c>
      <c r="K66" s="1862">
        <v>0</v>
      </c>
      <c r="L66" s="1862">
        <v>0</v>
      </c>
      <c r="M66" s="1862">
        <v>0</v>
      </c>
      <c r="N66" s="1862">
        <v>0</v>
      </c>
      <c r="O66" s="1862">
        <v>0</v>
      </c>
      <c r="P66" s="1862">
        <v>0</v>
      </c>
      <c r="Q66" s="1862">
        <v>0</v>
      </c>
      <c r="R66" s="1862">
        <v>37740000</v>
      </c>
      <c r="S66" s="1862">
        <v>0</v>
      </c>
      <c r="T66" s="1862">
        <v>47175000</v>
      </c>
      <c r="U66" s="1862">
        <v>17000000</v>
      </c>
      <c r="V66" s="1862">
        <v>0</v>
      </c>
      <c r="W66" s="1862">
        <v>0</v>
      </c>
      <c r="X66" s="1862">
        <v>0</v>
      </c>
    </row>
    <row r="67" ht="19" customHeight="1">
      <c r="A67" t="s" s="1858">
        <v>3796</v>
      </c>
      <c r="B67" t="s" s="1861">
        <v>3797</v>
      </c>
      <c r="C67" s="1862">
        <v>24000000</v>
      </c>
      <c r="D67" s="1862">
        <v>0</v>
      </c>
      <c r="E67" s="1862">
        <v>73600000</v>
      </c>
      <c r="F67" s="1862">
        <v>24000000</v>
      </c>
      <c r="G67" s="1862">
        <v>49587500</v>
      </c>
      <c r="H67" s="1862">
        <v>12000000</v>
      </c>
      <c r="I67" s="1862">
        <v>72000000</v>
      </c>
      <c r="J67" s="1862">
        <v>0</v>
      </c>
      <c r="K67" s="1862">
        <v>0</v>
      </c>
      <c r="L67" s="1862">
        <v>24000000</v>
      </c>
      <c r="M67" s="1862">
        <v>0</v>
      </c>
      <c r="N67" s="1862">
        <v>25000000</v>
      </c>
      <c r="O67" s="1862">
        <v>0</v>
      </c>
      <c r="P67" s="1862">
        <v>50000000</v>
      </c>
      <c r="Q67" s="1862">
        <v>108000000</v>
      </c>
      <c r="R67" s="1862">
        <v>0</v>
      </c>
      <c r="S67" s="1862">
        <v>123000000</v>
      </c>
      <c r="T67" s="1862">
        <v>100000000</v>
      </c>
      <c r="U67" s="1862">
        <v>64050000</v>
      </c>
      <c r="V67" s="1862">
        <v>0</v>
      </c>
      <c r="W67" s="1862">
        <v>0</v>
      </c>
      <c r="X67" s="1862">
        <v>0</v>
      </c>
    </row>
    <row r="68" ht="19" customHeight="1">
      <c r="A68" t="s" s="1858">
        <v>3798</v>
      </c>
      <c r="B68" t="s" s="1861">
        <v>3799</v>
      </c>
      <c r="C68" s="1862">
        <v>102862500</v>
      </c>
      <c r="D68" s="1862">
        <v>136925000</v>
      </c>
      <c r="E68" s="1862">
        <v>68600000</v>
      </c>
      <c r="F68" s="1862">
        <v>34237500</v>
      </c>
      <c r="G68" s="1862">
        <v>52087500</v>
      </c>
      <c r="H68" s="1862">
        <v>53262500</v>
      </c>
      <c r="I68" s="1862">
        <v>85837500</v>
      </c>
      <c r="J68" s="1862">
        <v>0</v>
      </c>
      <c r="K68" s="1862">
        <v>103287500</v>
      </c>
      <c r="L68" s="1862">
        <v>85912500</v>
      </c>
      <c r="M68" s="1862">
        <v>0</v>
      </c>
      <c r="N68" s="1862">
        <v>34362500</v>
      </c>
      <c r="O68" s="1862">
        <v>205450000</v>
      </c>
      <c r="P68" s="1862">
        <v>198387500</v>
      </c>
      <c r="Q68" s="1862">
        <v>188781250</v>
      </c>
      <c r="R68" s="1862">
        <v>325296250</v>
      </c>
      <c r="S68" s="1862">
        <v>141960000</v>
      </c>
      <c r="T68" s="1862">
        <v>35000000</v>
      </c>
      <c r="U68" s="1862">
        <v>34250000</v>
      </c>
      <c r="V68" s="1862">
        <v>0</v>
      </c>
      <c r="W68" s="1862">
        <v>0</v>
      </c>
      <c r="X68" s="1862">
        <v>0</v>
      </c>
    </row>
    <row r="69" ht="19" customHeight="1">
      <c r="A69" t="s" s="1858">
        <v>3800</v>
      </c>
      <c r="B69" t="s" s="1861">
        <v>3801</v>
      </c>
      <c r="C69" s="1862">
        <v>0</v>
      </c>
      <c r="D69" s="1862">
        <v>0</v>
      </c>
      <c r="E69" s="1862">
        <v>0</v>
      </c>
      <c r="F69" s="1862">
        <v>0</v>
      </c>
      <c r="G69" s="1862">
        <v>0</v>
      </c>
      <c r="H69" s="1862">
        <v>0</v>
      </c>
      <c r="I69" s="1862">
        <v>59000000</v>
      </c>
      <c r="J69" s="1862">
        <v>0</v>
      </c>
      <c r="K69" s="1862">
        <v>39760000</v>
      </c>
      <c r="L69" s="1862">
        <v>19500000</v>
      </c>
      <c r="M69" s="1862">
        <v>0</v>
      </c>
      <c r="N69" s="1862">
        <v>36000000</v>
      </c>
      <c r="O69" s="1862">
        <v>18000000</v>
      </c>
      <c r="P69" s="1862">
        <v>0</v>
      </c>
      <c r="Q69" s="1862">
        <v>90000000</v>
      </c>
      <c r="R69" s="1862">
        <v>18000000</v>
      </c>
      <c r="S69" s="1862">
        <v>0</v>
      </c>
      <c r="T69" s="1862">
        <v>0</v>
      </c>
      <c r="U69" s="1862">
        <v>0</v>
      </c>
      <c r="V69" s="1862">
        <v>0</v>
      </c>
      <c r="W69" s="1862">
        <v>0</v>
      </c>
      <c r="X69" s="1862">
        <v>0</v>
      </c>
    </row>
    <row r="70" ht="19" customHeight="1">
      <c r="A70" t="s" s="1858">
        <v>3947</v>
      </c>
      <c r="B70" t="s" s="1861">
        <v>3948</v>
      </c>
      <c r="C70" s="1862">
        <v>0</v>
      </c>
      <c r="D70" s="1862">
        <v>0</v>
      </c>
      <c r="E70" s="1862">
        <v>0</v>
      </c>
      <c r="F70" s="1862">
        <v>0</v>
      </c>
      <c r="G70" s="1862">
        <v>0</v>
      </c>
      <c r="H70" s="1862">
        <v>0</v>
      </c>
      <c r="I70" s="1862">
        <v>0</v>
      </c>
      <c r="J70" s="1862">
        <v>0</v>
      </c>
      <c r="K70" s="1862">
        <v>0</v>
      </c>
      <c r="L70" s="1862">
        <v>0</v>
      </c>
      <c r="M70" s="1862">
        <v>0</v>
      </c>
      <c r="N70" s="1862">
        <v>0</v>
      </c>
      <c r="O70" s="1862">
        <v>0</v>
      </c>
      <c r="P70" s="1862">
        <v>0</v>
      </c>
      <c r="Q70" s="1862">
        <v>0</v>
      </c>
      <c r="R70" s="1862">
        <v>0</v>
      </c>
      <c r="S70" s="1862">
        <v>600000</v>
      </c>
      <c r="T70" s="1862">
        <v>0</v>
      </c>
      <c r="U70" s="1862">
        <v>0</v>
      </c>
      <c r="V70" s="1862">
        <v>0</v>
      </c>
      <c r="W70" s="1862">
        <v>0</v>
      </c>
      <c r="X70" s="1862">
        <v>0</v>
      </c>
    </row>
    <row r="71" ht="19" customHeight="1">
      <c r="A71" t="s" s="1858">
        <v>3802</v>
      </c>
      <c r="B71" t="s" s="1861">
        <v>3803</v>
      </c>
      <c r="C71" s="1862">
        <v>119500000</v>
      </c>
      <c r="D71" s="1862">
        <v>104815000</v>
      </c>
      <c r="E71" s="1862">
        <v>151900000</v>
      </c>
      <c r="F71" s="1862">
        <v>191950000</v>
      </c>
      <c r="G71" s="1862">
        <v>128350000</v>
      </c>
      <c r="H71" s="1862">
        <v>127650000</v>
      </c>
      <c r="I71" s="1862">
        <v>208800000</v>
      </c>
      <c r="J71" s="1862">
        <v>119000000</v>
      </c>
      <c r="K71" s="1862">
        <v>70000000</v>
      </c>
      <c r="L71" s="1862">
        <v>81750000</v>
      </c>
      <c r="M71" s="1862">
        <v>155300000</v>
      </c>
      <c r="N71" s="1862">
        <v>125250000</v>
      </c>
      <c r="O71" s="1862">
        <v>191600000</v>
      </c>
      <c r="P71" s="1862">
        <v>193700000</v>
      </c>
      <c r="Q71" s="1862">
        <v>257250000</v>
      </c>
      <c r="R71" s="1862">
        <v>212950000</v>
      </c>
      <c r="S71" s="1862">
        <v>0</v>
      </c>
      <c r="T71" s="1862">
        <v>0</v>
      </c>
      <c r="U71" s="1862">
        <v>0</v>
      </c>
      <c r="V71" s="1862">
        <v>0</v>
      </c>
      <c r="W71" s="1862">
        <v>0</v>
      </c>
      <c r="X71" s="1862">
        <v>0</v>
      </c>
    </row>
    <row r="72" ht="19" customHeight="1">
      <c r="A72" t="s" s="1858">
        <v>3804</v>
      </c>
      <c r="B72" t="s" s="1861">
        <v>3805</v>
      </c>
      <c r="C72" s="1862">
        <v>0</v>
      </c>
      <c r="D72" s="1862">
        <v>0</v>
      </c>
      <c r="E72" s="1862">
        <v>0</v>
      </c>
      <c r="F72" s="1862">
        <v>0</v>
      </c>
      <c r="G72" s="1862">
        <v>0</v>
      </c>
      <c r="H72" s="1862">
        <v>0</v>
      </c>
      <c r="I72" s="1862">
        <v>0</v>
      </c>
      <c r="J72" s="1862">
        <v>0</v>
      </c>
      <c r="K72" s="1862">
        <v>0</v>
      </c>
      <c r="L72" s="1862">
        <v>29700000</v>
      </c>
      <c r="M72" s="1862">
        <v>0</v>
      </c>
      <c r="N72" s="1862">
        <v>0</v>
      </c>
      <c r="O72" s="1862">
        <v>0</v>
      </c>
      <c r="P72" s="1862">
        <v>29700000</v>
      </c>
      <c r="Q72" s="1862">
        <v>29700000</v>
      </c>
      <c r="R72" s="1862">
        <v>0</v>
      </c>
      <c r="S72" s="1862">
        <v>0</v>
      </c>
      <c r="T72" s="1862">
        <v>0</v>
      </c>
      <c r="U72" s="1862">
        <v>0</v>
      </c>
      <c r="V72" s="1862">
        <v>0</v>
      </c>
      <c r="W72" s="1862">
        <v>0</v>
      </c>
      <c r="X72" s="1862">
        <v>0</v>
      </c>
    </row>
    <row r="73" ht="19" customHeight="1">
      <c r="A73" t="s" s="1858">
        <v>3806</v>
      </c>
      <c r="B73" t="s" s="1861">
        <v>3807</v>
      </c>
      <c r="C73" s="1862">
        <v>0</v>
      </c>
      <c r="D73" s="1862">
        <v>0</v>
      </c>
      <c r="E73" s="1862">
        <v>0</v>
      </c>
      <c r="F73" s="1862">
        <v>0</v>
      </c>
      <c r="G73" s="1862">
        <v>0</v>
      </c>
      <c r="H73" s="1862">
        <v>30000000</v>
      </c>
      <c r="I73" s="1862">
        <v>0</v>
      </c>
      <c r="J73" s="1862">
        <v>0</v>
      </c>
      <c r="K73" s="1862">
        <v>0</v>
      </c>
      <c r="L73" s="1862">
        <v>0</v>
      </c>
      <c r="M73" s="1862">
        <v>0</v>
      </c>
      <c r="N73" s="1862">
        <v>14500000</v>
      </c>
      <c r="O73" s="1862">
        <v>0</v>
      </c>
      <c r="P73" s="1862">
        <v>0</v>
      </c>
      <c r="Q73" s="1862">
        <v>0</v>
      </c>
      <c r="R73" s="1862">
        <v>1000000</v>
      </c>
      <c r="S73" s="1862">
        <v>108000000</v>
      </c>
      <c r="T73" s="1862">
        <v>0</v>
      </c>
      <c r="U73" s="1862">
        <v>36000000</v>
      </c>
      <c r="V73" s="1862">
        <v>0</v>
      </c>
      <c r="W73" s="1862">
        <v>0</v>
      </c>
      <c r="X73" s="1862">
        <v>0</v>
      </c>
    </row>
    <row r="74" ht="19" customHeight="1">
      <c r="A74" t="s" s="1858">
        <v>3808</v>
      </c>
      <c r="B74" t="s" s="1861">
        <v>3809</v>
      </c>
      <c r="C74" s="1862">
        <v>114800000</v>
      </c>
      <c r="D74" s="1862">
        <v>127900000</v>
      </c>
      <c r="E74" s="1862">
        <v>50400000</v>
      </c>
      <c r="F74" s="1862">
        <v>124900000</v>
      </c>
      <c r="G74" s="1862">
        <v>238500000</v>
      </c>
      <c r="H74" s="1862">
        <v>94600000</v>
      </c>
      <c r="I74" s="1862">
        <v>112000000</v>
      </c>
      <c r="J74" s="1862">
        <v>15600000</v>
      </c>
      <c r="K74" s="1862">
        <v>15600000</v>
      </c>
      <c r="L74" s="1862">
        <v>105526102</v>
      </c>
      <c r="M74" s="1862">
        <v>121675000</v>
      </c>
      <c r="N74" s="1862">
        <v>129000000</v>
      </c>
      <c r="O74" s="1862">
        <v>78800000</v>
      </c>
      <c r="P74" s="1862">
        <v>182800000</v>
      </c>
      <c r="Q74" s="1862">
        <v>90600000</v>
      </c>
      <c r="R74" s="1862">
        <v>126860000</v>
      </c>
      <c r="S74" s="1862">
        <v>127850000</v>
      </c>
      <c r="T74" s="1862">
        <v>0</v>
      </c>
      <c r="U74" s="1862">
        <v>0</v>
      </c>
      <c r="V74" s="1862">
        <v>0</v>
      </c>
      <c r="W74" s="1862">
        <v>0</v>
      </c>
      <c r="X74" s="1862">
        <v>0</v>
      </c>
    </row>
    <row r="75" ht="19" customHeight="1">
      <c r="A75" t="s" s="1858">
        <v>3810</v>
      </c>
      <c r="B75" t="s" s="1861">
        <v>3811</v>
      </c>
      <c r="C75" s="1862">
        <v>180300000</v>
      </c>
      <c r="D75" s="1862">
        <v>164500000</v>
      </c>
      <c r="E75" s="1862">
        <v>195000000</v>
      </c>
      <c r="F75" s="1862">
        <v>204250000</v>
      </c>
      <c r="G75" s="1862">
        <v>128650000</v>
      </c>
      <c r="H75" s="1862">
        <v>127650000</v>
      </c>
      <c r="I75" s="1862">
        <v>206800000</v>
      </c>
      <c r="J75" s="1862">
        <v>154800000</v>
      </c>
      <c r="K75" s="1862">
        <v>118300000</v>
      </c>
      <c r="L75" s="1862">
        <v>162450000</v>
      </c>
      <c r="M75" s="1862">
        <v>184650000</v>
      </c>
      <c r="N75" s="1862">
        <v>162350000</v>
      </c>
      <c r="O75" s="1862">
        <v>198800000</v>
      </c>
      <c r="P75" s="1862">
        <v>206500000</v>
      </c>
      <c r="Q75" s="1862">
        <v>156500000</v>
      </c>
      <c r="R75" s="1862">
        <v>183660000</v>
      </c>
      <c r="S75" s="1862">
        <v>0</v>
      </c>
      <c r="T75" s="1862">
        <v>0</v>
      </c>
      <c r="U75" s="1862">
        <v>0</v>
      </c>
      <c r="V75" s="1862">
        <v>0</v>
      </c>
      <c r="W75" s="1862">
        <v>0</v>
      </c>
      <c r="X75" s="1862">
        <v>0</v>
      </c>
    </row>
    <row r="76" ht="19" customHeight="1">
      <c r="A76" t="s" s="1858">
        <v>3812</v>
      </c>
      <c r="B76" t="s" s="1861">
        <v>3813</v>
      </c>
      <c r="C76" s="1862">
        <v>2370000</v>
      </c>
      <c r="D76" s="1862">
        <v>0</v>
      </c>
      <c r="E76" s="1862">
        <v>0</v>
      </c>
      <c r="F76" s="1862">
        <v>0</v>
      </c>
      <c r="G76" s="1862">
        <v>0</v>
      </c>
      <c r="H76" s="1862">
        <v>0</v>
      </c>
      <c r="I76" s="1862">
        <v>0</v>
      </c>
      <c r="J76" s="1862">
        <v>190000</v>
      </c>
      <c r="K76" s="1862">
        <v>710000</v>
      </c>
      <c r="L76" s="1862">
        <v>190000</v>
      </c>
      <c r="M76" s="1862">
        <v>1140000</v>
      </c>
      <c r="N76" s="1862">
        <v>2252500</v>
      </c>
      <c r="O76" s="1862">
        <v>3480000</v>
      </c>
      <c r="P76" s="1862">
        <v>5940000</v>
      </c>
      <c r="Q76" s="1862">
        <v>3150000</v>
      </c>
      <c r="R76" s="1862">
        <v>16905000</v>
      </c>
      <c r="S76" s="1862">
        <v>0</v>
      </c>
      <c r="T76" s="1862">
        <v>0</v>
      </c>
      <c r="U76" s="1862">
        <v>0</v>
      </c>
      <c r="V76" s="1862">
        <v>0</v>
      </c>
      <c r="W76" s="1862">
        <v>0</v>
      </c>
      <c r="X76" s="1862">
        <v>0</v>
      </c>
    </row>
    <row r="77" ht="19" customHeight="1">
      <c r="A77" t="s" s="1858">
        <v>3949</v>
      </c>
      <c r="B77" t="s" s="1861">
        <v>3950</v>
      </c>
      <c r="C77" s="1862">
        <v>0</v>
      </c>
      <c r="D77" s="1862">
        <v>0</v>
      </c>
      <c r="E77" s="1862">
        <v>0</v>
      </c>
      <c r="F77" s="1862">
        <v>0</v>
      </c>
      <c r="G77" s="1862">
        <v>0</v>
      </c>
      <c r="H77" s="1862">
        <v>0</v>
      </c>
      <c r="I77" s="1862">
        <v>0</v>
      </c>
      <c r="J77" s="1862">
        <v>0</v>
      </c>
      <c r="K77" s="1862">
        <v>0</v>
      </c>
      <c r="L77" s="1862">
        <v>0</v>
      </c>
      <c r="M77" s="1862">
        <v>0</v>
      </c>
      <c r="N77" s="1862">
        <v>0</v>
      </c>
      <c r="O77" s="1862">
        <v>0</v>
      </c>
      <c r="P77" s="1862">
        <v>0</v>
      </c>
      <c r="Q77" s="1862">
        <v>11000000</v>
      </c>
      <c r="R77" s="1862">
        <v>0</v>
      </c>
      <c r="S77" s="1862">
        <v>0</v>
      </c>
      <c r="T77" s="1862">
        <v>0</v>
      </c>
      <c r="U77" s="1862">
        <v>0</v>
      </c>
      <c r="V77" s="1862">
        <v>0</v>
      </c>
      <c r="W77" s="1862">
        <v>0</v>
      </c>
      <c r="X77" s="1862">
        <v>0</v>
      </c>
    </row>
    <row r="78" ht="19" customHeight="1">
      <c r="A78" t="s" s="1858">
        <v>3814</v>
      </c>
      <c r="B78" t="s" s="1861">
        <v>3815</v>
      </c>
      <c r="C78" s="1862">
        <v>0</v>
      </c>
      <c r="D78" s="1862">
        <v>0</v>
      </c>
      <c r="E78" s="1862">
        <v>0</v>
      </c>
      <c r="F78" s="1862">
        <v>0</v>
      </c>
      <c r="G78" s="1862">
        <v>0</v>
      </c>
      <c r="H78" s="1862">
        <v>0</v>
      </c>
      <c r="I78" s="1862">
        <v>12000000</v>
      </c>
      <c r="J78" s="1862">
        <v>0</v>
      </c>
      <c r="K78" s="1862">
        <v>0</v>
      </c>
      <c r="L78" s="1862">
        <v>0</v>
      </c>
      <c r="M78" s="1862">
        <v>0</v>
      </c>
      <c r="N78" s="1862">
        <v>0</v>
      </c>
      <c r="O78" s="1862">
        <v>0</v>
      </c>
      <c r="P78" s="1862">
        <v>0</v>
      </c>
      <c r="Q78" s="1862">
        <v>24000000</v>
      </c>
      <c r="R78" s="1862">
        <v>0</v>
      </c>
      <c r="S78" s="1862">
        <v>0</v>
      </c>
      <c r="T78" s="1862">
        <v>0</v>
      </c>
      <c r="U78" s="1862">
        <v>0</v>
      </c>
      <c r="V78" s="1862">
        <v>0</v>
      </c>
      <c r="W78" s="1862">
        <v>0</v>
      </c>
      <c r="X78" s="1862">
        <v>0</v>
      </c>
    </row>
    <row r="79" ht="19" customHeight="1">
      <c r="A79" t="s" s="1858">
        <v>3816</v>
      </c>
      <c r="B79" t="s" s="1861">
        <v>3817</v>
      </c>
      <c r="C79" s="1862">
        <v>66000000</v>
      </c>
      <c r="D79" s="1862">
        <v>0</v>
      </c>
      <c r="E79" s="1862">
        <v>0</v>
      </c>
      <c r="F79" s="1862">
        <v>0</v>
      </c>
      <c r="G79" s="1862">
        <v>33000000</v>
      </c>
      <c r="H79" s="1862">
        <v>0</v>
      </c>
      <c r="I79" s="1862">
        <v>0</v>
      </c>
      <c r="J79" s="1862">
        <v>33000000</v>
      </c>
      <c r="K79" s="1862">
        <v>33000000</v>
      </c>
      <c r="L79" s="1862">
        <v>99000000</v>
      </c>
      <c r="M79" s="1862">
        <v>33000000</v>
      </c>
      <c r="N79" s="1862">
        <v>0</v>
      </c>
      <c r="O79" s="1862">
        <v>0</v>
      </c>
      <c r="P79" s="1862">
        <v>89000000</v>
      </c>
      <c r="Q79" s="1862">
        <v>66000000</v>
      </c>
      <c r="R79" s="1862">
        <v>0</v>
      </c>
      <c r="S79" s="1862">
        <v>0</v>
      </c>
      <c r="T79" s="1862">
        <v>0</v>
      </c>
      <c r="U79" s="1862">
        <v>0</v>
      </c>
      <c r="V79" s="1862">
        <v>0</v>
      </c>
      <c r="W79" s="1862">
        <v>0</v>
      </c>
      <c r="X79" s="1862">
        <v>0</v>
      </c>
    </row>
    <row r="80" ht="19" customHeight="1">
      <c r="A80" t="s" s="1858">
        <v>3820</v>
      </c>
      <c r="B80" t="s" s="1861">
        <v>3821</v>
      </c>
      <c r="C80" s="1862">
        <v>0</v>
      </c>
      <c r="D80" s="1862">
        <v>0</v>
      </c>
      <c r="E80" s="1862">
        <v>0</v>
      </c>
      <c r="F80" s="1862">
        <v>9100000</v>
      </c>
      <c r="G80" s="1862">
        <v>0</v>
      </c>
      <c r="H80" s="1862">
        <v>18375000</v>
      </c>
      <c r="I80" s="1862">
        <v>9100000</v>
      </c>
      <c r="J80" s="1862">
        <v>0</v>
      </c>
      <c r="K80" s="1862">
        <v>0</v>
      </c>
      <c r="L80" s="1862">
        <v>27300000</v>
      </c>
      <c r="M80" s="1862">
        <v>0</v>
      </c>
      <c r="N80" s="1862">
        <v>0</v>
      </c>
      <c r="O80" s="1862">
        <v>0</v>
      </c>
      <c r="P80" s="1862">
        <v>0</v>
      </c>
      <c r="Q80" s="1862">
        <v>0</v>
      </c>
      <c r="R80" s="1862">
        <v>0</v>
      </c>
      <c r="S80" s="1862">
        <v>0</v>
      </c>
      <c r="T80" s="1862">
        <v>0</v>
      </c>
      <c r="U80" s="1862">
        <v>0</v>
      </c>
      <c r="V80" s="1862">
        <v>0</v>
      </c>
      <c r="W80" s="1862">
        <v>0</v>
      </c>
      <c r="X80" s="1862">
        <v>0</v>
      </c>
    </row>
    <row r="81" ht="19" customHeight="1">
      <c r="A81" t="s" s="1858">
        <v>3951</v>
      </c>
      <c r="B81" t="s" s="1861">
        <v>3952</v>
      </c>
      <c r="C81" s="1862">
        <v>145400000</v>
      </c>
      <c r="D81" s="1862">
        <v>87400000</v>
      </c>
      <c r="E81" s="1862">
        <v>156200000</v>
      </c>
      <c r="F81" s="1862">
        <v>86200000</v>
      </c>
      <c r="G81" s="1862">
        <v>0</v>
      </c>
      <c r="H81" s="1862">
        <v>0</v>
      </c>
      <c r="I81" s="1862">
        <v>0</v>
      </c>
      <c r="J81" s="1862">
        <v>0</v>
      </c>
      <c r="K81" s="1862">
        <v>0</v>
      </c>
      <c r="L81" s="1862">
        <v>0</v>
      </c>
      <c r="M81" s="1862">
        <v>0</v>
      </c>
      <c r="N81" s="1862">
        <v>0</v>
      </c>
      <c r="O81" s="1862">
        <v>0</v>
      </c>
      <c r="P81" s="1862">
        <v>0</v>
      </c>
      <c r="Q81" s="1862">
        <v>0</v>
      </c>
      <c r="R81" s="1862">
        <v>0</v>
      </c>
      <c r="S81" s="1862">
        <v>0</v>
      </c>
      <c r="T81" s="1862">
        <v>0</v>
      </c>
      <c r="U81" s="1862">
        <v>0</v>
      </c>
      <c r="V81" s="1862">
        <v>0</v>
      </c>
      <c r="W81" s="1862">
        <v>0</v>
      </c>
      <c r="X81" s="1862">
        <v>0</v>
      </c>
    </row>
    <row r="82" ht="19" customHeight="1">
      <c r="A82" t="s" s="1858">
        <v>3953</v>
      </c>
      <c r="B82" t="s" s="1861">
        <v>3954</v>
      </c>
      <c r="C82" s="1862">
        <v>23000000</v>
      </c>
      <c r="D82" s="1862">
        <v>0</v>
      </c>
      <c r="E82" s="1862">
        <v>23000000</v>
      </c>
      <c r="F82" s="1862">
        <v>0</v>
      </c>
      <c r="G82" s="1862">
        <v>0</v>
      </c>
      <c r="H82" s="1862">
        <v>0</v>
      </c>
      <c r="I82" s="1862">
        <v>0</v>
      </c>
      <c r="J82" s="1862">
        <v>0</v>
      </c>
      <c r="K82" s="1862">
        <v>0</v>
      </c>
      <c r="L82" s="1862">
        <v>0</v>
      </c>
      <c r="M82" s="1862">
        <v>0</v>
      </c>
      <c r="N82" s="1862">
        <v>0</v>
      </c>
      <c r="O82" s="1862">
        <v>0</v>
      </c>
      <c r="P82" s="1862">
        <v>0</v>
      </c>
      <c r="Q82" s="1862">
        <v>0</v>
      </c>
      <c r="R82" s="1862">
        <v>0</v>
      </c>
      <c r="S82" s="1862">
        <v>0</v>
      </c>
      <c r="T82" s="1862">
        <v>0</v>
      </c>
      <c r="U82" s="1862">
        <v>0</v>
      </c>
      <c r="V82" s="1862">
        <v>0</v>
      </c>
      <c r="W82" s="1862">
        <v>0</v>
      </c>
      <c r="X82" s="1862">
        <v>0</v>
      </c>
    </row>
    <row r="83" ht="19" customHeight="1">
      <c r="A83" t="s" s="1858">
        <v>3955</v>
      </c>
      <c r="B83" t="s" s="1861">
        <v>3956</v>
      </c>
      <c r="C83" s="1862">
        <v>2300000</v>
      </c>
      <c r="D83" s="1862">
        <v>0</v>
      </c>
      <c r="E83" s="1862">
        <v>0</v>
      </c>
      <c r="F83" s="1862">
        <v>0</v>
      </c>
      <c r="G83" s="1862">
        <v>0</v>
      </c>
      <c r="H83" s="1862">
        <v>0</v>
      </c>
      <c r="I83" s="1862">
        <v>0</v>
      </c>
      <c r="J83" s="1862">
        <v>0</v>
      </c>
      <c r="K83" s="1862">
        <v>0</v>
      </c>
      <c r="L83" s="1862">
        <v>0</v>
      </c>
      <c r="M83" s="1862">
        <v>0</v>
      </c>
      <c r="N83" s="1862">
        <v>0</v>
      </c>
      <c r="O83" s="1862">
        <v>0</v>
      </c>
      <c r="P83" s="1862">
        <v>0</v>
      </c>
      <c r="Q83" s="1862">
        <v>0</v>
      </c>
      <c r="R83" s="1862">
        <v>0</v>
      </c>
      <c r="S83" s="1862">
        <v>0</v>
      </c>
      <c r="T83" s="1862">
        <v>0</v>
      </c>
      <c r="U83" s="1862">
        <v>0</v>
      </c>
      <c r="V83" s="1862">
        <v>0</v>
      </c>
      <c r="W83" s="1862">
        <v>0</v>
      </c>
      <c r="X83" s="1862">
        <v>0</v>
      </c>
    </row>
    <row r="84" ht="19" customHeight="1">
      <c r="A84" t="s" s="1858">
        <v>3822</v>
      </c>
      <c r="B84" t="s" s="1861">
        <v>1086</v>
      </c>
      <c r="C84" s="1862">
        <v>86244274</v>
      </c>
      <c r="D84" s="1862">
        <v>73239000</v>
      </c>
      <c r="E84" s="1862">
        <v>92652000</v>
      </c>
      <c r="F84" s="1862">
        <v>94510500</v>
      </c>
      <c r="G84" s="1862">
        <v>87026000</v>
      </c>
      <c r="H84" s="1862">
        <v>88588839</v>
      </c>
      <c r="I84" s="1862">
        <v>93370500</v>
      </c>
      <c r="J84" s="1862">
        <v>80063000</v>
      </c>
      <c r="K84" s="1862">
        <v>77994500</v>
      </c>
      <c r="L84" s="1862">
        <v>80970500</v>
      </c>
      <c r="M84" s="1862">
        <v>71552000</v>
      </c>
      <c r="N84" s="1862">
        <v>58326000</v>
      </c>
      <c r="O84" s="1862">
        <v>65689000</v>
      </c>
      <c r="P84" s="1862">
        <v>70222500</v>
      </c>
      <c r="Q84" s="1862">
        <v>74387209</v>
      </c>
      <c r="R84" s="1862">
        <v>83388065</v>
      </c>
      <c r="S84" s="1862">
        <v>95585500</v>
      </c>
      <c r="T84" s="1862">
        <v>70500000</v>
      </c>
      <c r="U84" s="1862">
        <v>62300000</v>
      </c>
      <c r="V84" s="1862">
        <v>55100000</v>
      </c>
      <c r="W84" s="1862">
        <v>54800000</v>
      </c>
      <c r="X84" s="1862">
        <v>55700000</v>
      </c>
    </row>
    <row r="85" ht="19" customHeight="1">
      <c r="A85" t="s" s="1858">
        <v>3823</v>
      </c>
      <c r="B85" t="s" s="1861">
        <v>3824</v>
      </c>
      <c r="C85" s="1862">
        <v>468106000</v>
      </c>
      <c r="D85" s="1862">
        <v>446015000</v>
      </c>
      <c r="E85" s="1862">
        <v>552825000</v>
      </c>
      <c r="F85" s="1862">
        <v>552350000</v>
      </c>
      <c r="G85" s="1862">
        <v>456310000</v>
      </c>
      <c r="H85" s="1862">
        <v>387265000</v>
      </c>
      <c r="I85" s="1862">
        <v>460380000</v>
      </c>
      <c r="J85" s="1862">
        <v>275900000</v>
      </c>
      <c r="K85" s="1862">
        <v>175627500</v>
      </c>
      <c r="L85" s="1862">
        <v>253587500</v>
      </c>
      <c r="M85" s="1862">
        <v>286525000</v>
      </c>
      <c r="N85" s="1862">
        <v>343060000</v>
      </c>
      <c r="O85" s="1862">
        <v>433140000</v>
      </c>
      <c r="P85" s="1862">
        <v>490745000</v>
      </c>
      <c r="Q85" s="1862">
        <v>552960000</v>
      </c>
      <c r="R85" s="1862">
        <v>546630000</v>
      </c>
      <c r="S85" s="1862">
        <v>416686000</v>
      </c>
      <c r="T85" s="1862">
        <v>364530000</v>
      </c>
      <c r="U85" s="1862">
        <v>292880000</v>
      </c>
      <c r="V85" s="1862">
        <v>189201500</v>
      </c>
      <c r="W85" s="1862">
        <v>181380000</v>
      </c>
      <c r="X85" s="1862">
        <v>219424600</v>
      </c>
    </row>
    <row r="86" ht="19" customHeight="1">
      <c r="A86" t="s" s="1858">
        <v>3825</v>
      </c>
      <c r="B86" t="s" s="1861">
        <v>3826</v>
      </c>
      <c r="C86" s="1862">
        <v>56180000</v>
      </c>
      <c r="D86" s="1862">
        <v>59655000</v>
      </c>
      <c r="E86" s="1862">
        <v>46978000</v>
      </c>
      <c r="F86" s="1862">
        <v>58291000</v>
      </c>
      <c r="G86" s="1862">
        <v>53828000</v>
      </c>
      <c r="H86" s="1862">
        <v>50300000</v>
      </c>
      <c r="I86" s="1862">
        <v>42930000</v>
      </c>
      <c r="J86" s="1862">
        <v>27560000</v>
      </c>
      <c r="K86" s="1862">
        <v>35900000</v>
      </c>
      <c r="L86" s="1862">
        <v>27680000</v>
      </c>
      <c r="M86" s="1862">
        <v>24140000</v>
      </c>
      <c r="N86" s="1862">
        <v>31200000</v>
      </c>
      <c r="O86" s="1862">
        <v>40990000</v>
      </c>
      <c r="P86" s="1862">
        <v>42500000</v>
      </c>
      <c r="Q86" s="1862">
        <v>43220000</v>
      </c>
      <c r="R86" s="1862">
        <v>43220000</v>
      </c>
      <c r="S86" s="1862">
        <v>40390035</v>
      </c>
      <c r="T86" s="1862">
        <v>33500000</v>
      </c>
      <c r="U86" s="1862">
        <v>22575000</v>
      </c>
      <c r="V86" s="1862">
        <v>15660000</v>
      </c>
      <c r="W86" s="1862">
        <v>0</v>
      </c>
      <c r="X86" s="1862">
        <v>23220000</v>
      </c>
    </row>
    <row r="87" ht="19" customHeight="1">
      <c r="A87" t="s" s="1858">
        <v>3827</v>
      </c>
      <c r="B87" t="s" s="1861">
        <v>3828</v>
      </c>
      <c r="C87" s="1862">
        <v>134660714</v>
      </c>
      <c r="D87" s="1862">
        <v>122213428</v>
      </c>
      <c r="E87" s="1862">
        <v>162929308</v>
      </c>
      <c r="F87" s="1862">
        <v>176402828</v>
      </c>
      <c r="G87" s="1862">
        <v>141951570</v>
      </c>
      <c r="H87" s="1862">
        <v>109421500</v>
      </c>
      <c r="I87" s="1862">
        <v>142568841</v>
      </c>
      <c r="J87" s="1862">
        <v>73839959</v>
      </c>
      <c r="K87" s="1862">
        <v>34045000</v>
      </c>
      <c r="L87" s="1862">
        <v>45958500</v>
      </c>
      <c r="M87" s="1862">
        <v>39905000</v>
      </c>
      <c r="N87" s="1862">
        <v>56847966</v>
      </c>
      <c r="O87" s="1862">
        <v>78210600</v>
      </c>
      <c r="P87" s="1862">
        <v>97491615</v>
      </c>
      <c r="Q87" s="1862">
        <v>93237740</v>
      </c>
      <c r="R87" s="1862">
        <v>116091640</v>
      </c>
      <c r="S87" s="1862">
        <v>141733100</v>
      </c>
      <c r="T87" s="1862">
        <v>48347335</v>
      </c>
      <c r="U87" s="1862">
        <v>44235867</v>
      </c>
      <c r="V87" s="1862">
        <v>6882000</v>
      </c>
      <c r="W87" s="1862">
        <v>25862000</v>
      </c>
      <c r="X87" s="1862">
        <v>10436000</v>
      </c>
    </row>
    <row r="88" ht="19" customHeight="1">
      <c r="A88" t="s" s="1858">
        <v>3829</v>
      </c>
      <c r="B88" t="s" s="1861">
        <v>3830</v>
      </c>
      <c r="C88" s="1862">
        <v>0</v>
      </c>
      <c r="D88" s="1862">
        <v>0</v>
      </c>
      <c r="E88" s="1862">
        <v>0</v>
      </c>
      <c r="F88" s="1862">
        <v>0</v>
      </c>
      <c r="G88" s="1862">
        <v>0</v>
      </c>
      <c r="H88" s="1862">
        <v>237162</v>
      </c>
      <c r="I88" s="1862">
        <v>0</v>
      </c>
      <c r="J88" s="1862">
        <v>0</v>
      </c>
      <c r="K88" s="1862">
        <v>1227935</v>
      </c>
      <c r="L88" s="1862">
        <v>0</v>
      </c>
      <c r="M88" s="1862">
        <v>0</v>
      </c>
      <c r="N88" s="1862">
        <v>0</v>
      </c>
      <c r="O88" s="1862">
        <v>0</v>
      </c>
      <c r="P88" s="1862">
        <v>0</v>
      </c>
      <c r="Q88" s="1862">
        <v>0</v>
      </c>
      <c r="R88" s="1862">
        <v>0</v>
      </c>
      <c r="S88" s="1862">
        <v>0</v>
      </c>
      <c r="T88" s="1862">
        <v>0</v>
      </c>
      <c r="U88" s="1862">
        <v>0</v>
      </c>
      <c r="V88" s="1862">
        <v>3350000</v>
      </c>
      <c r="W88" s="1862">
        <v>2710000</v>
      </c>
      <c r="X88" s="1862">
        <v>9901500</v>
      </c>
    </row>
    <row r="89" ht="19" customHeight="1">
      <c r="A89" t="s" s="1858">
        <v>3957</v>
      </c>
      <c r="B89" t="s" s="1861">
        <v>527</v>
      </c>
      <c r="C89" s="1862">
        <v>0</v>
      </c>
      <c r="D89" s="1862">
        <v>0</v>
      </c>
      <c r="E89" s="1862">
        <v>0</v>
      </c>
      <c r="F89" s="1862">
        <v>0</v>
      </c>
      <c r="G89" s="1862">
        <v>0</v>
      </c>
      <c r="H89" s="1862">
        <v>0</v>
      </c>
      <c r="I89" s="1862">
        <v>0</v>
      </c>
      <c r="J89" s="1862">
        <v>0</v>
      </c>
      <c r="K89" s="1862">
        <v>0</v>
      </c>
      <c r="L89" s="1862">
        <v>0</v>
      </c>
      <c r="M89" s="1862">
        <v>0</v>
      </c>
      <c r="N89" s="1862">
        <v>0</v>
      </c>
      <c r="O89" s="1862">
        <v>0</v>
      </c>
      <c r="P89" s="1862">
        <v>0</v>
      </c>
      <c r="Q89" s="1862">
        <v>0</v>
      </c>
      <c r="R89" s="1862">
        <v>0</v>
      </c>
      <c r="S89" s="1862">
        <v>0</v>
      </c>
      <c r="T89" s="1862">
        <v>0</v>
      </c>
      <c r="U89" s="1862">
        <v>1421900</v>
      </c>
      <c r="V89" s="1862">
        <v>22231835</v>
      </c>
      <c r="W89" s="1862">
        <v>21102550</v>
      </c>
      <c r="X89" s="1862">
        <v>29273000</v>
      </c>
    </row>
    <row r="90" ht="19" customHeight="1">
      <c r="A90" t="s" s="1858">
        <v>3831</v>
      </c>
      <c r="B90" t="s" s="1861">
        <v>3832</v>
      </c>
      <c r="C90" s="1862">
        <v>133509472</v>
      </c>
      <c r="D90" s="1862">
        <v>94633004</v>
      </c>
      <c r="E90" s="1862">
        <v>106205851</v>
      </c>
      <c r="F90" s="1862">
        <v>95391943</v>
      </c>
      <c r="G90" s="1862">
        <v>81876312</v>
      </c>
      <c r="H90" s="1862">
        <v>75792541</v>
      </c>
      <c r="I90" s="1862">
        <v>85609118</v>
      </c>
      <c r="J90" s="1862">
        <v>29667012</v>
      </c>
      <c r="K90" s="1862">
        <v>21749903</v>
      </c>
      <c r="L90" s="1862">
        <v>17541106</v>
      </c>
      <c r="M90" s="1862">
        <v>19924498</v>
      </c>
      <c r="N90" s="1862">
        <v>27052747</v>
      </c>
      <c r="O90" s="1862">
        <v>27240450</v>
      </c>
      <c r="P90" s="1862">
        <v>18277320</v>
      </c>
      <c r="Q90" s="1862">
        <v>19376660</v>
      </c>
      <c r="R90" s="1862">
        <v>16909200</v>
      </c>
      <c r="S90" s="1862">
        <v>9425000</v>
      </c>
      <c r="T90" s="1862">
        <v>5939000</v>
      </c>
      <c r="U90" s="1862">
        <v>8495717</v>
      </c>
      <c r="V90" s="1862">
        <v>2475000</v>
      </c>
      <c r="W90" s="1862">
        <v>3425000</v>
      </c>
      <c r="X90" s="1862">
        <v>5008000</v>
      </c>
    </row>
    <row r="91" ht="19" customHeight="1">
      <c r="A91" t="s" s="1858">
        <v>3833</v>
      </c>
      <c r="B91" t="s" s="1861">
        <v>3834</v>
      </c>
      <c r="C91" s="1862">
        <v>3973858</v>
      </c>
      <c r="D91" s="1862">
        <v>2936580</v>
      </c>
      <c r="E91" s="1862">
        <v>8480247</v>
      </c>
      <c r="F91" s="1862">
        <v>10717641</v>
      </c>
      <c r="G91" s="1862">
        <v>5283960</v>
      </c>
      <c r="H91" s="1862">
        <v>2108600</v>
      </c>
      <c r="I91" s="1862">
        <v>9919997</v>
      </c>
      <c r="J91" s="1862">
        <v>2009191</v>
      </c>
      <c r="K91" s="1862">
        <v>1073469</v>
      </c>
      <c r="L91" s="1862">
        <v>2091209</v>
      </c>
      <c r="M91" s="1862">
        <v>4089156</v>
      </c>
      <c r="N91" s="1862">
        <v>3153898</v>
      </c>
      <c r="O91" s="1862">
        <v>1792342</v>
      </c>
      <c r="P91" s="1862">
        <v>6096483</v>
      </c>
      <c r="Q91" s="1862">
        <v>11635889</v>
      </c>
      <c r="R91" s="1862">
        <v>7715506</v>
      </c>
      <c r="S91" s="1862">
        <v>6595058</v>
      </c>
      <c r="T91" s="1862">
        <v>6270289</v>
      </c>
      <c r="U91" s="1862">
        <v>3553530</v>
      </c>
      <c r="V91" s="1862">
        <v>4826418</v>
      </c>
      <c r="W91" s="1862">
        <v>0</v>
      </c>
      <c r="X91" s="1862">
        <v>0</v>
      </c>
    </row>
    <row r="92" ht="19" customHeight="1">
      <c r="A92" t="s" s="1858">
        <v>3958</v>
      </c>
      <c r="B92" t="s" s="1861">
        <v>3959</v>
      </c>
      <c r="C92" s="1862">
        <v>0</v>
      </c>
      <c r="D92" s="1862">
        <v>0</v>
      </c>
      <c r="E92" s="1862">
        <v>0</v>
      </c>
      <c r="F92" s="1862">
        <v>0</v>
      </c>
      <c r="G92" s="1862">
        <v>0</v>
      </c>
      <c r="H92" s="1862">
        <v>0</v>
      </c>
      <c r="I92" s="1862">
        <v>0</v>
      </c>
      <c r="J92" s="1862">
        <v>0</v>
      </c>
      <c r="K92" s="1862">
        <v>0</v>
      </c>
      <c r="L92" s="1862">
        <v>0</v>
      </c>
      <c r="M92" s="1862">
        <v>0</v>
      </c>
      <c r="N92" s="1862">
        <v>0</v>
      </c>
      <c r="O92" s="1862">
        <v>0</v>
      </c>
      <c r="P92" s="1862">
        <v>0</v>
      </c>
      <c r="Q92" s="1862">
        <v>0</v>
      </c>
      <c r="R92" s="1862">
        <v>0</v>
      </c>
      <c r="S92" s="1862">
        <v>0</v>
      </c>
      <c r="T92" s="1862">
        <v>0</v>
      </c>
      <c r="U92" s="1862">
        <v>0</v>
      </c>
      <c r="V92" s="1862">
        <v>2277000</v>
      </c>
      <c r="W92" s="1862">
        <v>0</v>
      </c>
      <c r="X92" s="1862">
        <v>0</v>
      </c>
    </row>
    <row r="93" ht="19" customHeight="1">
      <c r="A93" t="s" s="1858">
        <v>3835</v>
      </c>
      <c r="B93" t="s" s="1861">
        <v>527</v>
      </c>
      <c r="C93" s="1862">
        <v>81935910</v>
      </c>
      <c r="D93" s="1862">
        <v>80102595</v>
      </c>
      <c r="E93" s="1862">
        <v>99319000</v>
      </c>
      <c r="F93" s="1862">
        <v>109663850</v>
      </c>
      <c r="G93" s="1862">
        <v>85442650</v>
      </c>
      <c r="H93" s="1862">
        <v>53325315</v>
      </c>
      <c r="I93" s="1862">
        <v>52634000</v>
      </c>
      <c r="J93" s="1862">
        <v>28040000</v>
      </c>
      <c r="K93" s="1862">
        <v>16726000</v>
      </c>
      <c r="L93" s="1862">
        <v>26942000</v>
      </c>
      <c r="M93" s="1862">
        <v>35994200</v>
      </c>
      <c r="N93" s="1862">
        <v>39455000</v>
      </c>
      <c r="O93" s="1862">
        <v>60490000</v>
      </c>
      <c r="P93" s="1862">
        <v>67790000</v>
      </c>
      <c r="Q93" s="1862">
        <v>74155000</v>
      </c>
      <c r="R93" s="1862">
        <v>68575000</v>
      </c>
      <c r="S93" s="1862">
        <v>58654000</v>
      </c>
      <c r="T93" s="1862">
        <v>48052200</v>
      </c>
      <c r="U93" s="1862">
        <v>34011415</v>
      </c>
      <c r="V93" s="1862">
        <v>0</v>
      </c>
      <c r="W93" s="1862">
        <v>0</v>
      </c>
      <c r="X93" s="1862">
        <v>0</v>
      </c>
    </row>
    <row r="94" ht="20.5" customHeight="1">
      <c r="A94" s="1789"/>
      <c r="B94" t="s" s="1863">
        <v>3960</v>
      </c>
      <c r="C94" s="1864">
        <v>4534161814</v>
      </c>
      <c r="D94" s="1864">
        <v>4000555536.51</v>
      </c>
      <c r="E94" s="1864">
        <v>5175931751.11</v>
      </c>
      <c r="F94" s="1864">
        <v>5108236819</v>
      </c>
      <c r="G94" s="1864">
        <v>4373094696.68</v>
      </c>
      <c r="H94" s="1864">
        <v>3810459862</v>
      </c>
      <c r="I94" s="1864">
        <v>4598426369.81</v>
      </c>
      <c r="J94" s="1864">
        <v>2445202987</v>
      </c>
      <c r="K94" s="1864">
        <v>1878971088</v>
      </c>
      <c r="L94" s="1864">
        <v>2665798783.38</v>
      </c>
      <c r="M94" s="1864">
        <v>2879712622.91</v>
      </c>
      <c r="N94" s="1864">
        <v>2969402866.99</v>
      </c>
      <c r="O94" s="1864">
        <v>3983023329.5</v>
      </c>
      <c r="P94" s="1864">
        <v>4803789383.32</v>
      </c>
      <c r="Q94" s="1864">
        <v>5587409603</v>
      </c>
      <c r="R94" s="1864">
        <v>5578845810</v>
      </c>
      <c r="S94" s="1864">
        <v>4589890113</v>
      </c>
      <c r="T94" s="1864">
        <v>3512687827.17</v>
      </c>
      <c r="U94" s="1864">
        <v>3091639359</v>
      </c>
      <c r="V94" s="1864">
        <v>1954887840</v>
      </c>
      <c r="W94" s="1864">
        <v>1899057545</v>
      </c>
      <c r="X94" s="1864">
        <v>2250510896</v>
      </c>
    </row>
    <row r="95" ht="13.55" customHeight="1">
      <c r="A95" s="1789"/>
      <c r="B95" s="1832"/>
      <c r="C95" s="1832"/>
      <c r="D95" s="1832"/>
      <c r="E95" s="1832"/>
      <c r="F95" s="1832"/>
      <c r="G95" s="1832"/>
      <c r="H95" s="1832"/>
      <c r="I95" s="1832"/>
      <c r="J95" s="1832"/>
      <c r="K95" s="1832"/>
      <c r="L95" s="1832"/>
      <c r="M95" s="1832"/>
      <c r="N95" s="1832"/>
      <c r="O95" s="1832"/>
      <c r="P95" s="1832"/>
      <c r="Q95" s="1832"/>
      <c r="R95" s="1832"/>
      <c r="S95" s="1832"/>
      <c r="T95" s="1832"/>
      <c r="U95" s="1832"/>
      <c r="V95" s="1832"/>
      <c r="W95" s="1832"/>
      <c r="X95" s="1832"/>
    </row>
    <row r="96" ht="21" customHeight="1">
      <c r="A96" s="1789"/>
      <c r="B96" t="s" s="1867">
        <v>3712</v>
      </c>
      <c r="C96" s="1864">
        <v>4166871584.76</v>
      </c>
      <c r="D96" s="1864">
        <v>3260903967.56</v>
      </c>
      <c r="E96" s="1864">
        <v>4210263219.36</v>
      </c>
      <c r="F96" s="1864">
        <v>3806276070.37</v>
      </c>
      <c r="G96" s="1864">
        <v>3740445916.55</v>
      </c>
      <c r="H96" s="1864">
        <v>3270936948.05</v>
      </c>
      <c r="I96" s="1864">
        <v>3664663016.79</v>
      </c>
      <c r="J96" s="1864">
        <v>1174758858.2</v>
      </c>
      <c r="K96" s="1864">
        <v>893160289.1</v>
      </c>
      <c r="L96" s="1864">
        <v>1607419588.35</v>
      </c>
      <c r="M96" s="1864">
        <v>1873692863.83</v>
      </c>
      <c r="N96" s="1864">
        <v>2464766173.27</v>
      </c>
      <c r="O96" s="1864">
        <v>2823482736.98</v>
      </c>
      <c r="P96" s="1864">
        <v>3247733774.68</v>
      </c>
      <c r="Q96" s="1864">
        <v>3955415092</v>
      </c>
      <c r="R96" s="1864">
        <v>3504709063.7</v>
      </c>
      <c r="S96" s="1864">
        <v>2356190479</v>
      </c>
      <c r="T96" s="1864">
        <v>2211744664.83</v>
      </c>
      <c r="U96" s="1864">
        <v>1210583447</v>
      </c>
      <c r="V96" s="1864">
        <v>796524707</v>
      </c>
      <c r="W96" s="1864">
        <v>476058958.96</v>
      </c>
      <c r="X96" s="1864">
        <v>1003284559.94</v>
      </c>
    </row>
    <row r="97" ht="21" customHeight="1">
      <c r="A97" s="1789"/>
      <c r="B97" t="s" s="1865">
        <v>3961</v>
      </c>
      <c r="C97" s="1866">
        <v>2291442224.55</v>
      </c>
      <c r="D97" s="1866">
        <v>2305374040.66</v>
      </c>
      <c r="E97" s="1866">
        <v>2450671558.52</v>
      </c>
      <c r="F97" s="1866">
        <v>1990618187.89</v>
      </c>
      <c r="G97" s="1866">
        <v>2243425246.67</v>
      </c>
      <c r="H97" s="1866">
        <v>2073800774.95</v>
      </c>
      <c r="I97" s="1866">
        <v>1581521866.61</v>
      </c>
      <c r="J97" s="1866">
        <v>1129638585.5</v>
      </c>
      <c r="K97" s="1866">
        <v>1067958573.94</v>
      </c>
      <c r="L97" s="1866">
        <v>1370588638.16</v>
      </c>
      <c r="M97" s="1866">
        <v>1278064976.46</v>
      </c>
      <c r="N97" s="1866">
        <v>1570716444.17</v>
      </c>
      <c r="O97" s="1866">
        <v>1678611583.79</v>
      </c>
      <c r="P97" s="1866">
        <v>1404761768.33</v>
      </c>
      <c r="Q97" s="1866">
        <v>1456131097.41</v>
      </c>
      <c r="R97" s="1866">
        <v>1260993836.16</v>
      </c>
      <c r="S97" s="1866">
        <v>908261803.91</v>
      </c>
      <c r="T97" s="1866">
        <v>800104014.6900001</v>
      </c>
      <c r="U97" s="1866">
        <v>736133353.92</v>
      </c>
      <c r="V97" s="1866">
        <v>989132513.39</v>
      </c>
      <c r="W97" s="1866">
        <v>486225418.07</v>
      </c>
      <c r="X97" s="1866">
        <v>1171499572.94</v>
      </c>
    </row>
    <row r="98" ht="19" customHeight="1">
      <c r="A98" t="s" s="1858">
        <v>3842</v>
      </c>
      <c r="B98" t="s" s="1859">
        <v>1090</v>
      </c>
      <c r="C98" s="1860">
        <v>214700000</v>
      </c>
      <c r="D98" s="1860">
        <v>367342928</v>
      </c>
      <c r="E98" s="1860">
        <v>332450000</v>
      </c>
      <c r="F98" s="1860">
        <v>343950000</v>
      </c>
      <c r="G98" s="1860">
        <v>302143300</v>
      </c>
      <c r="H98" s="1860">
        <v>266868182</v>
      </c>
      <c r="I98" s="1860">
        <v>194812500</v>
      </c>
      <c r="J98" s="1860">
        <v>142306492</v>
      </c>
      <c r="K98" s="1860">
        <v>100100150</v>
      </c>
      <c r="L98" s="1860">
        <v>137809523</v>
      </c>
      <c r="M98" s="1860">
        <v>180900000</v>
      </c>
      <c r="N98" s="1860">
        <v>161800000</v>
      </c>
      <c r="O98" s="1860">
        <v>180900000</v>
      </c>
      <c r="P98" s="1860">
        <v>216764320</v>
      </c>
      <c r="Q98" s="1860">
        <v>349200000</v>
      </c>
      <c r="R98" s="1860">
        <v>294000000</v>
      </c>
      <c r="S98" s="1860">
        <v>139600000</v>
      </c>
      <c r="T98" s="1860">
        <v>108300000</v>
      </c>
      <c r="U98" s="1860">
        <v>124399000</v>
      </c>
      <c r="V98" s="1860">
        <v>46300000</v>
      </c>
      <c r="W98" s="1860">
        <v>23500000</v>
      </c>
      <c r="X98" s="1860">
        <v>61850000</v>
      </c>
    </row>
    <row r="99" ht="19" customHeight="1">
      <c r="A99" t="s" s="1858">
        <v>3843</v>
      </c>
      <c r="B99" t="s" s="1861">
        <v>1092</v>
      </c>
      <c r="C99" s="1862">
        <v>16378560</v>
      </c>
      <c r="D99" s="1862">
        <v>17074220</v>
      </c>
      <c r="E99" s="1862">
        <v>17067220</v>
      </c>
      <c r="F99" s="1862">
        <v>16924220</v>
      </c>
      <c r="G99" s="1862">
        <v>16313720</v>
      </c>
      <c r="H99" s="1862">
        <v>14389400</v>
      </c>
      <c r="I99" s="1862">
        <v>13639400</v>
      </c>
      <c r="J99" s="1862">
        <v>13489400</v>
      </c>
      <c r="K99" s="1862">
        <v>46685600</v>
      </c>
      <c r="L99" s="1862">
        <v>11835600</v>
      </c>
      <c r="M99" s="1862">
        <v>11685600</v>
      </c>
      <c r="N99" s="1862">
        <v>11685600</v>
      </c>
      <c r="O99" s="1862">
        <v>11535600</v>
      </c>
      <c r="P99" s="1862">
        <v>10635600</v>
      </c>
      <c r="Q99" s="1862">
        <v>5985600</v>
      </c>
      <c r="R99" s="1862">
        <v>5535600</v>
      </c>
      <c r="S99" s="1862">
        <v>5835600</v>
      </c>
      <c r="T99" s="1862">
        <v>5235600</v>
      </c>
      <c r="U99" s="1862">
        <v>4635600</v>
      </c>
      <c r="V99" s="1862">
        <v>4485600</v>
      </c>
      <c r="W99" s="1862">
        <v>3135600</v>
      </c>
      <c r="X99" s="1862">
        <v>3135600</v>
      </c>
    </row>
    <row r="100" ht="19" customHeight="1">
      <c r="A100" t="s" s="1858">
        <v>3844</v>
      </c>
      <c r="B100" t="s" s="1861">
        <v>1094</v>
      </c>
      <c r="C100" s="1862">
        <v>3615216</v>
      </c>
      <c r="D100" s="1862">
        <v>4851136</v>
      </c>
      <c r="E100" s="1862">
        <v>5037857</v>
      </c>
      <c r="F100" s="1862">
        <v>2487500</v>
      </c>
      <c r="G100" s="1862">
        <v>3523452</v>
      </c>
      <c r="H100" s="1862">
        <v>3893750</v>
      </c>
      <c r="I100" s="1862">
        <v>2831818</v>
      </c>
      <c r="J100" s="1862">
        <v>3518750</v>
      </c>
      <c r="K100" s="1862">
        <v>2993750</v>
      </c>
      <c r="L100" s="1862">
        <v>3214675</v>
      </c>
      <c r="M100" s="1862">
        <v>2188636</v>
      </c>
      <c r="N100" s="1862">
        <v>1485714</v>
      </c>
      <c r="O100" s="1862">
        <v>1141304</v>
      </c>
      <c r="P100" s="1862">
        <v>1961310</v>
      </c>
      <c r="Q100" s="1862">
        <v>2054349</v>
      </c>
      <c r="R100" s="1862">
        <v>2263791</v>
      </c>
      <c r="S100" s="1862">
        <v>0</v>
      </c>
      <c r="T100" s="1862">
        <v>0</v>
      </c>
      <c r="U100" s="1862">
        <v>0</v>
      </c>
      <c r="V100" s="1862">
        <v>0</v>
      </c>
      <c r="W100" s="1862">
        <v>0</v>
      </c>
      <c r="X100" s="1862">
        <v>0</v>
      </c>
    </row>
    <row r="101" ht="19" customHeight="1">
      <c r="A101" t="s" s="1858">
        <v>3845</v>
      </c>
      <c r="B101" t="s" s="1861">
        <v>1096</v>
      </c>
      <c r="C101" s="1862">
        <v>1450000</v>
      </c>
      <c r="D101" s="1862">
        <v>66614361.92</v>
      </c>
      <c r="E101" s="1862">
        <v>127941843.9</v>
      </c>
      <c r="F101" s="1862">
        <v>3610700</v>
      </c>
      <c r="G101" s="1862">
        <v>5235000</v>
      </c>
      <c r="H101" s="1862">
        <v>18273864</v>
      </c>
      <c r="I101" s="1862">
        <v>10025000</v>
      </c>
      <c r="J101" s="1862">
        <v>5315000</v>
      </c>
      <c r="K101" s="1862">
        <v>7140000</v>
      </c>
      <c r="L101" s="1862">
        <v>3930000</v>
      </c>
      <c r="M101" s="1862">
        <v>5075000</v>
      </c>
      <c r="N101" s="1862">
        <v>1600000</v>
      </c>
      <c r="O101" s="1862">
        <v>11100000</v>
      </c>
      <c r="P101" s="1862">
        <v>5000000</v>
      </c>
      <c r="Q101" s="1862">
        <v>4002500</v>
      </c>
      <c r="R101" s="1862">
        <v>300000</v>
      </c>
      <c r="S101" s="1862">
        <v>0</v>
      </c>
      <c r="T101" s="1862">
        <v>0</v>
      </c>
      <c r="U101" s="1862">
        <v>300000</v>
      </c>
      <c r="V101" s="1862">
        <v>0</v>
      </c>
      <c r="W101" s="1862">
        <v>0</v>
      </c>
      <c r="X101" s="1862">
        <v>0</v>
      </c>
    </row>
    <row r="102" ht="19" customHeight="1">
      <c r="A102" t="s" s="1858">
        <v>3962</v>
      </c>
      <c r="B102" t="s" s="1861">
        <v>1099</v>
      </c>
      <c r="C102" s="1862">
        <v>0</v>
      </c>
      <c r="D102" s="1862">
        <v>0</v>
      </c>
      <c r="E102" s="1862">
        <v>0</v>
      </c>
      <c r="F102" s="1862">
        <v>0</v>
      </c>
      <c r="G102" s="1862">
        <v>0</v>
      </c>
      <c r="H102" s="1862">
        <v>0</v>
      </c>
      <c r="I102" s="1862">
        <v>0</v>
      </c>
      <c r="J102" s="1862">
        <v>0</v>
      </c>
      <c r="K102" s="1862">
        <v>0</v>
      </c>
      <c r="L102" s="1862">
        <v>0</v>
      </c>
      <c r="M102" s="1862">
        <v>37500</v>
      </c>
      <c r="N102" s="1862">
        <v>12500</v>
      </c>
      <c r="O102" s="1862">
        <v>41432</v>
      </c>
      <c r="P102" s="1862">
        <v>0</v>
      </c>
      <c r="Q102" s="1862">
        <v>0</v>
      </c>
      <c r="R102" s="1862">
        <v>0</v>
      </c>
      <c r="S102" s="1862">
        <v>0</v>
      </c>
      <c r="T102" s="1862">
        <v>0</v>
      </c>
      <c r="U102" s="1862">
        <v>167500</v>
      </c>
      <c r="V102" s="1862">
        <v>0</v>
      </c>
      <c r="W102" s="1862">
        <v>416536</v>
      </c>
      <c r="X102" s="1862">
        <v>0</v>
      </c>
    </row>
    <row r="103" ht="19" customHeight="1">
      <c r="A103" t="s" s="1858">
        <v>3963</v>
      </c>
      <c r="B103" t="s" s="1861">
        <v>1100</v>
      </c>
      <c r="C103" s="1862">
        <v>0</v>
      </c>
      <c r="D103" s="1862">
        <v>0</v>
      </c>
      <c r="E103" s="1862">
        <v>0</v>
      </c>
      <c r="F103" s="1862">
        <v>0</v>
      </c>
      <c r="G103" s="1862">
        <v>0</v>
      </c>
      <c r="H103" s="1862">
        <v>0</v>
      </c>
      <c r="I103" s="1862">
        <v>0</v>
      </c>
      <c r="J103" s="1862">
        <v>0</v>
      </c>
      <c r="K103" s="1862">
        <v>0</v>
      </c>
      <c r="L103" s="1862">
        <v>0</v>
      </c>
      <c r="M103" s="1862">
        <v>1404816</v>
      </c>
      <c r="N103" s="1862">
        <v>1962069</v>
      </c>
      <c r="O103" s="1862">
        <v>2163776</v>
      </c>
      <c r="P103" s="1862">
        <v>0</v>
      </c>
      <c r="Q103" s="1862">
        <v>0</v>
      </c>
      <c r="R103" s="1862">
        <v>0</v>
      </c>
      <c r="S103" s="1862">
        <v>0</v>
      </c>
      <c r="T103" s="1862">
        <v>0</v>
      </c>
      <c r="U103" s="1862">
        <v>0</v>
      </c>
      <c r="V103" s="1862">
        <v>0</v>
      </c>
      <c r="W103" s="1862">
        <v>0</v>
      </c>
      <c r="X103" s="1862">
        <v>0</v>
      </c>
    </row>
    <row r="104" ht="19" customHeight="1">
      <c r="A104" t="s" s="1858">
        <v>3964</v>
      </c>
      <c r="B104" t="s" s="1861">
        <v>1101</v>
      </c>
      <c r="C104" s="1862">
        <v>0</v>
      </c>
      <c r="D104" s="1862">
        <v>0</v>
      </c>
      <c r="E104" s="1862">
        <v>0</v>
      </c>
      <c r="F104" s="1862">
        <v>0</v>
      </c>
      <c r="G104" s="1862">
        <v>0</v>
      </c>
      <c r="H104" s="1862">
        <v>0</v>
      </c>
      <c r="I104" s="1862">
        <v>0</v>
      </c>
      <c r="J104" s="1862">
        <v>0</v>
      </c>
      <c r="K104" s="1862">
        <v>0</v>
      </c>
      <c r="L104" s="1862">
        <v>0</v>
      </c>
      <c r="M104" s="1862">
        <v>616478</v>
      </c>
      <c r="N104" s="1862">
        <v>1094468</v>
      </c>
      <c r="O104" s="1862">
        <v>1461763</v>
      </c>
      <c r="P104" s="1862">
        <v>0</v>
      </c>
      <c r="Q104" s="1862">
        <v>2067133</v>
      </c>
      <c r="R104" s="1862">
        <v>677183</v>
      </c>
      <c r="S104" s="1862">
        <v>3424080</v>
      </c>
      <c r="T104" s="1862">
        <v>0</v>
      </c>
      <c r="U104" s="1862">
        <v>0</v>
      </c>
      <c r="V104" s="1862">
        <v>0</v>
      </c>
      <c r="W104" s="1862">
        <v>0</v>
      </c>
      <c r="X104" s="1862">
        <v>0</v>
      </c>
    </row>
    <row r="105" ht="19" customHeight="1">
      <c r="A105" t="s" s="1858">
        <v>3846</v>
      </c>
      <c r="B105" t="s" s="1861">
        <v>1102</v>
      </c>
      <c r="C105" s="1862">
        <v>0</v>
      </c>
      <c r="D105" s="1862">
        <v>0</v>
      </c>
      <c r="E105" s="1862">
        <v>0</v>
      </c>
      <c r="F105" s="1862">
        <v>0</v>
      </c>
      <c r="G105" s="1862">
        <v>3100000</v>
      </c>
      <c r="H105" s="1862">
        <v>0</v>
      </c>
      <c r="I105" s="1862">
        <v>1100000</v>
      </c>
      <c r="J105" s="1862">
        <v>1300000</v>
      </c>
      <c r="K105" s="1862">
        <v>5290000</v>
      </c>
      <c r="L105" s="1862">
        <v>2072000</v>
      </c>
      <c r="M105" s="1862">
        <v>0</v>
      </c>
      <c r="N105" s="1862">
        <v>4970500</v>
      </c>
      <c r="O105" s="1862">
        <v>3566000</v>
      </c>
      <c r="P105" s="1862">
        <v>253110</v>
      </c>
      <c r="Q105" s="1862">
        <v>0</v>
      </c>
      <c r="R105" s="1862">
        <v>0</v>
      </c>
      <c r="S105" s="1862">
        <v>0</v>
      </c>
      <c r="T105" s="1862">
        <v>0</v>
      </c>
      <c r="U105" s="1862">
        <v>12746400</v>
      </c>
      <c r="V105" s="1862">
        <v>0</v>
      </c>
      <c r="W105" s="1862">
        <v>0</v>
      </c>
      <c r="X105" s="1862">
        <v>0</v>
      </c>
    </row>
    <row r="106" ht="19" customHeight="1">
      <c r="A106" t="s" s="1858">
        <v>3965</v>
      </c>
      <c r="B106" t="s" s="1861">
        <v>1104</v>
      </c>
      <c r="C106" s="1862">
        <v>0</v>
      </c>
      <c r="D106" s="1862">
        <v>0</v>
      </c>
      <c r="E106" s="1862">
        <v>0</v>
      </c>
      <c r="F106" s="1862">
        <v>0</v>
      </c>
      <c r="G106" s="1862">
        <v>0</v>
      </c>
      <c r="H106" s="1862">
        <v>0</v>
      </c>
      <c r="I106" s="1862">
        <v>0</v>
      </c>
      <c r="J106" s="1862">
        <v>0</v>
      </c>
      <c r="K106" s="1862">
        <v>0</v>
      </c>
      <c r="L106" s="1862">
        <v>0</v>
      </c>
      <c r="M106" s="1862">
        <v>0</v>
      </c>
      <c r="N106" s="1862">
        <v>0</v>
      </c>
      <c r="O106" s="1862">
        <v>0</v>
      </c>
      <c r="P106" s="1862">
        <v>0</v>
      </c>
      <c r="Q106" s="1862">
        <v>0</v>
      </c>
      <c r="R106" s="1862">
        <v>0</v>
      </c>
      <c r="S106" s="1862">
        <v>0</v>
      </c>
      <c r="T106" s="1862">
        <v>0</v>
      </c>
      <c r="U106" s="1862">
        <v>0</v>
      </c>
      <c r="V106" s="1862">
        <v>0</v>
      </c>
      <c r="W106" s="1862">
        <v>1766700</v>
      </c>
      <c r="X106" s="1862">
        <v>4982325</v>
      </c>
    </row>
    <row r="107" ht="19" customHeight="1">
      <c r="A107" t="s" s="1858">
        <v>3847</v>
      </c>
      <c r="B107" t="s" s="1861">
        <v>1106</v>
      </c>
      <c r="C107" s="1862">
        <v>9457276</v>
      </c>
      <c r="D107" s="1862">
        <v>8196766</v>
      </c>
      <c r="E107" s="1862">
        <v>6896838</v>
      </c>
      <c r="F107" s="1862">
        <v>6882777</v>
      </c>
      <c r="G107" s="1862">
        <v>5892562</v>
      </c>
      <c r="H107" s="1862">
        <v>6244897</v>
      </c>
      <c r="I107" s="1862">
        <v>5213977</v>
      </c>
      <c r="J107" s="1862">
        <v>4699532</v>
      </c>
      <c r="K107" s="1862">
        <v>3706614</v>
      </c>
      <c r="L107" s="1862">
        <v>4409631</v>
      </c>
      <c r="M107" s="1862">
        <v>27021833</v>
      </c>
      <c r="N107" s="1862">
        <v>3514049</v>
      </c>
      <c r="O107" s="1862">
        <v>709560</v>
      </c>
      <c r="P107" s="1862">
        <v>207060</v>
      </c>
      <c r="Q107" s="1862">
        <v>720120</v>
      </c>
      <c r="R107" s="1862">
        <v>0</v>
      </c>
      <c r="S107" s="1862">
        <v>513060</v>
      </c>
      <c r="T107" s="1862">
        <v>512805</v>
      </c>
      <c r="U107" s="1862">
        <v>0</v>
      </c>
      <c r="V107" s="1862">
        <v>512805</v>
      </c>
      <c r="W107" s="1862">
        <v>2500000</v>
      </c>
      <c r="X107" s="1862">
        <v>2500000</v>
      </c>
    </row>
    <row r="108" ht="19" customHeight="1">
      <c r="A108" t="s" s="1858">
        <v>3848</v>
      </c>
      <c r="B108" t="s" s="1861">
        <v>1108</v>
      </c>
      <c r="C108" s="1862">
        <v>0</v>
      </c>
      <c r="D108" s="1862">
        <v>0</v>
      </c>
      <c r="E108" s="1862">
        <v>0</v>
      </c>
      <c r="F108" s="1862">
        <v>0</v>
      </c>
      <c r="G108" s="1862">
        <v>0</v>
      </c>
      <c r="H108" s="1862">
        <v>0</v>
      </c>
      <c r="I108" s="1862">
        <v>0</v>
      </c>
      <c r="J108" s="1862">
        <v>0</v>
      </c>
      <c r="K108" s="1862">
        <v>0</v>
      </c>
      <c r="L108" s="1862">
        <v>4780000</v>
      </c>
      <c r="M108" s="1862">
        <v>0</v>
      </c>
      <c r="N108" s="1862">
        <v>0</v>
      </c>
      <c r="O108" s="1862">
        <v>0</v>
      </c>
      <c r="P108" s="1862">
        <v>8423314</v>
      </c>
      <c r="Q108" s="1862">
        <v>51251879</v>
      </c>
      <c r="R108" s="1862">
        <v>1643671</v>
      </c>
      <c r="S108" s="1862">
        <v>0</v>
      </c>
      <c r="T108" s="1862">
        <v>0</v>
      </c>
      <c r="U108" s="1862">
        <v>0</v>
      </c>
      <c r="V108" s="1862">
        <v>0</v>
      </c>
      <c r="W108" s="1862">
        <v>1969330</v>
      </c>
      <c r="X108" s="1862">
        <v>0</v>
      </c>
    </row>
    <row r="109" ht="19" customHeight="1">
      <c r="A109" t="s" s="1858">
        <v>1111</v>
      </c>
      <c r="B109" t="s" s="1861">
        <v>1110</v>
      </c>
      <c r="C109" s="1862">
        <v>421950</v>
      </c>
      <c r="D109" s="1862">
        <v>1335271</v>
      </c>
      <c r="E109" s="1862">
        <v>1048027</v>
      </c>
      <c r="F109" s="1862">
        <v>1083932</v>
      </c>
      <c r="G109" s="1862">
        <v>1311334</v>
      </c>
      <c r="H109" s="1862">
        <v>1037650</v>
      </c>
      <c r="I109" s="1862">
        <v>895450</v>
      </c>
      <c r="J109" s="1862">
        <v>1191649</v>
      </c>
      <c r="K109" s="1862">
        <v>1514798</v>
      </c>
      <c r="L109" s="1862">
        <v>1431019</v>
      </c>
      <c r="M109" s="1862">
        <v>1570900</v>
      </c>
      <c r="N109" s="1862">
        <v>1227621</v>
      </c>
      <c r="O109" s="1862">
        <v>0</v>
      </c>
      <c r="P109" s="1862">
        <v>0</v>
      </c>
      <c r="Q109" s="1862">
        <v>0</v>
      </c>
      <c r="R109" s="1862">
        <v>0</v>
      </c>
      <c r="S109" s="1862">
        <v>0</v>
      </c>
      <c r="T109" s="1862">
        <v>0</v>
      </c>
      <c r="U109" s="1862">
        <v>0</v>
      </c>
      <c r="V109" s="1862">
        <v>0</v>
      </c>
      <c r="W109" s="1862">
        <v>0</v>
      </c>
      <c r="X109" s="1862">
        <v>0</v>
      </c>
    </row>
    <row r="110" ht="19" customHeight="1">
      <c r="A110" t="s" s="1858">
        <v>3849</v>
      </c>
      <c r="B110" t="s" s="1861">
        <v>1113</v>
      </c>
      <c r="C110" s="1862">
        <v>0</v>
      </c>
      <c r="D110" s="1862">
        <v>0</v>
      </c>
      <c r="E110" s="1862">
        <v>0</v>
      </c>
      <c r="F110" s="1862">
        <v>0</v>
      </c>
      <c r="G110" s="1862">
        <v>0</v>
      </c>
      <c r="H110" s="1862">
        <v>0</v>
      </c>
      <c r="I110" s="1862">
        <v>0</v>
      </c>
      <c r="J110" s="1862">
        <v>7332000</v>
      </c>
      <c r="K110" s="1862">
        <v>0</v>
      </c>
      <c r="L110" s="1862">
        <v>0</v>
      </c>
      <c r="M110" s="1862">
        <v>0</v>
      </c>
      <c r="N110" s="1862">
        <v>5854000</v>
      </c>
      <c r="O110" s="1862">
        <v>5878618</v>
      </c>
      <c r="P110" s="1862">
        <v>0</v>
      </c>
      <c r="Q110" s="1862">
        <v>0</v>
      </c>
      <c r="R110" s="1862">
        <v>0</v>
      </c>
      <c r="S110" s="1862">
        <v>0</v>
      </c>
      <c r="T110" s="1862">
        <v>0</v>
      </c>
      <c r="U110" s="1862">
        <v>0</v>
      </c>
      <c r="V110" s="1862">
        <v>0</v>
      </c>
      <c r="W110" s="1862">
        <v>0</v>
      </c>
      <c r="X110" s="1862">
        <v>0</v>
      </c>
    </row>
    <row r="111" ht="19" customHeight="1">
      <c r="A111" t="s" s="1858">
        <v>3850</v>
      </c>
      <c r="B111" t="s" s="1861">
        <v>1115</v>
      </c>
      <c r="C111" s="1862">
        <v>387000</v>
      </c>
      <c r="D111" s="1862">
        <v>121500</v>
      </c>
      <c r="E111" s="1862">
        <v>244500</v>
      </c>
      <c r="F111" s="1862">
        <v>0</v>
      </c>
      <c r="G111" s="1862">
        <v>0</v>
      </c>
      <c r="H111" s="1862">
        <v>0</v>
      </c>
      <c r="I111" s="1862">
        <v>2139000</v>
      </c>
      <c r="J111" s="1862">
        <v>0</v>
      </c>
      <c r="K111" s="1862">
        <v>152000</v>
      </c>
      <c r="L111" s="1862">
        <v>500000</v>
      </c>
      <c r="M111" s="1862">
        <v>173000</v>
      </c>
      <c r="N111" s="1862">
        <v>527000</v>
      </c>
      <c r="O111" s="1862">
        <v>271000</v>
      </c>
      <c r="P111" s="1862">
        <v>0</v>
      </c>
      <c r="Q111" s="1862">
        <v>0</v>
      </c>
      <c r="R111" s="1862">
        <v>0</v>
      </c>
      <c r="S111" s="1862">
        <v>0</v>
      </c>
      <c r="T111" s="1862">
        <v>0</v>
      </c>
      <c r="U111" s="1862">
        <v>0</v>
      </c>
      <c r="V111" s="1862">
        <v>0</v>
      </c>
      <c r="W111" s="1862">
        <v>0</v>
      </c>
      <c r="X111" s="1862">
        <v>0</v>
      </c>
    </row>
    <row r="112" ht="19" customHeight="1">
      <c r="A112" t="s" s="1858">
        <v>3851</v>
      </c>
      <c r="B112" t="s" s="1861">
        <v>1116</v>
      </c>
      <c r="C112" s="1862">
        <v>79014040.43000001</v>
      </c>
      <c r="D112" s="1862">
        <v>140441243.23</v>
      </c>
      <c r="E112" s="1862">
        <v>61263842</v>
      </c>
      <c r="F112" s="1862">
        <v>174988962</v>
      </c>
      <c r="G112" s="1862">
        <v>178526081</v>
      </c>
      <c r="H112" s="1862">
        <v>101847414</v>
      </c>
      <c r="I112" s="1862">
        <v>140435416</v>
      </c>
      <c r="J112" s="1862">
        <v>84681963</v>
      </c>
      <c r="K112" s="1862">
        <v>32245300</v>
      </c>
      <c r="L112" s="1862">
        <v>118890392</v>
      </c>
      <c r="M112" s="1862">
        <v>73090000</v>
      </c>
      <c r="N112" s="1862">
        <v>60959465</v>
      </c>
      <c r="O112" s="1862">
        <v>56050000</v>
      </c>
      <c r="P112" s="1862">
        <v>56110000</v>
      </c>
      <c r="Q112" s="1862">
        <v>3384000</v>
      </c>
      <c r="R112" s="1862">
        <v>55498531</v>
      </c>
      <c r="S112" s="1862">
        <v>71100000</v>
      </c>
      <c r="T112" s="1862">
        <v>30000000</v>
      </c>
      <c r="U112" s="1862">
        <v>80000000</v>
      </c>
      <c r="V112" s="1862">
        <v>88316125</v>
      </c>
      <c r="W112" s="1862">
        <v>101000000</v>
      </c>
      <c r="X112" s="1862">
        <v>50000000</v>
      </c>
    </row>
    <row r="113" ht="19" customHeight="1">
      <c r="A113" t="s" s="1858">
        <v>3852</v>
      </c>
      <c r="B113" t="s" s="1861">
        <v>1118</v>
      </c>
      <c r="C113" s="1862">
        <v>4183756</v>
      </c>
      <c r="D113" s="1862">
        <v>4502081</v>
      </c>
      <c r="E113" s="1862">
        <v>8220783</v>
      </c>
      <c r="F113" s="1862">
        <v>7922791.72</v>
      </c>
      <c r="G113" s="1862">
        <v>3674023</v>
      </c>
      <c r="H113" s="1862">
        <v>2243936</v>
      </c>
      <c r="I113" s="1862">
        <v>2037232</v>
      </c>
      <c r="J113" s="1862">
        <v>1880497.02</v>
      </c>
      <c r="K113" s="1862">
        <v>1020496.79</v>
      </c>
      <c r="L113" s="1862">
        <v>1071302.67</v>
      </c>
      <c r="M113" s="1862">
        <v>179587.03</v>
      </c>
      <c r="N113" s="1862">
        <v>212533</v>
      </c>
      <c r="O113" s="1862">
        <v>365940.96</v>
      </c>
      <c r="P113" s="1862">
        <v>240206.78</v>
      </c>
      <c r="Q113" s="1862">
        <v>236641.08</v>
      </c>
      <c r="R113" s="1862">
        <v>687609.63</v>
      </c>
      <c r="S113" s="1862">
        <v>360825.41</v>
      </c>
      <c r="T113" s="1862">
        <v>2436886.94</v>
      </c>
      <c r="U113" s="1862">
        <v>317288.92</v>
      </c>
      <c r="V113" s="1862">
        <v>250632.58</v>
      </c>
      <c r="W113" s="1862">
        <v>1532384.07</v>
      </c>
      <c r="X113" s="1862">
        <v>294698.94</v>
      </c>
    </row>
    <row r="114" ht="19" customHeight="1">
      <c r="A114" t="s" s="1858">
        <v>3966</v>
      </c>
      <c r="B114" t="s" s="1861">
        <v>1119</v>
      </c>
      <c r="C114" s="1862">
        <v>0</v>
      </c>
      <c r="D114" s="1862">
        <v>0</v>
      </c>
      <c r="E114" s="1862">
        <v>0</v>
      </c>
      <c r="F114" s="1862">
        <v>0</v>
      </c>
      <c r="G114" s="1862">
        <v>0</v>
      </c>
      <c r="H114" s="1862">
        <v>0</v>
      </c>
      <c r="I114" s="1862">
        <v>0</v>
      </c>
      <c r="J114" s="1862">
        <v>0</v>
      </c>
      <c r="K114" s="1862">
        <v>0</v>
      </c>
      <c r="L114" s="1862">
        <v>0</v>
      </c>
      <c r="M114" s="1862">
        <v>0</v>
      </c>
      <c r="N114" s="1862">
        <v>0</v>
      </c>
      <c r="O114" s="1862">
        <v>150000</v>
      </c>
      <c r="P114" s="1862">
        <v>0</v>
      </c>
      <c r="Q114" s="1862">
        <v>0</v>
      </c>
      <c r="R114" s="1862">
        <v>0</v>
      </c>
      <c r="S114" s="1862">
        <v>0</v>
      </c>
      <c r="T114" s="1862">
        <v>0</v>
      </c>
      <c r="U114" s="1862">
        <v>0</v>
      </c>
      <c r="V114" s="1862">
        <v>510000</v>
      </c>
      <c r="W114" s="1862">
        <v>1448747</v>
      </c>
      <c r="X114" s="1862">
        <v>0</v>
      </c>
    </row>
    <row r="115" ht="19" customHeight="1">
      <c r="A115" t="s" s="1858">
        <v>3853</v>
      </c>
      <c r="B115" t="s" s="1861">
        <v>1120</v>
      </c>
      <c r="C115" s="1862">
        <v>17336675</v>
      </c>
      <c r="D115" s="1862">
        <v>18441125</v>
      </c>
      <c r="E115" s="1862">
        <v>15680000</v>
      </c>
      <c r="F115" s="1862">
        <v>17311700</v>
      </c>
      <c r="G115" s="1862">
        <v>18399500</v>
      </c>
      <c r="H115" s="1862">
        <v>35015000</v>
      </c>
      <c r="I115" s="1862">
        <v>20453600</v>
      </c>
      <c r="J115" s="1862">
        <v>17957721</v>
      </c>
      <c r="K115" s="1862">
        <v>35408400</v>
      </c>
      <c r="L115" s="1862">
        <v>19959700</v>
      </c>
      <c r="M115" s="1862">
        <v>13915709</v>
      </c>
      <c r="N115" s="1862">
        <v>10878000</v>
      </c>
      <c r="O115" s="1862">
        <v>16860900</v>
      </c>
      <c r="P115" s="1862">
        <v>7614600</v>
      </c>
      <c r="Q115" s="1862">
        <v>10878000</v>
      </c>
      <c r="R115" s="1862">
        <v>14141400</v>
      </c>
      <c r="S115" s="1862">
        <v>18492600</v>
      </c>
      <c r="T115" s="1862">
        <v>46920000</v>
      </c>
      <c r="U115" s="1862">
        <v>0</v>
      </c>
      <c r="V115" s="1862">
        <v>8720000</v>
      </c>
      <c r="W115" s="1862">
        <v>15260000</v>
      </c>
      <c r="X115" s="1862">
        <v>17440000</v>
      </c>
    </row>
    <row r="116" ht="19" customHeight="1">
      <c r="A116" t="s" s="1858">
        <v>3854</v>
      </c>
      <c r="B116" t="s" s="1861">
        <v>1122</v>
      </c>
      <c r="C116" s="1862">
        <v>5000000</v>
      </c>
      <c r="D116" s="1862">
        <v>5000000</v>
      </c>
      <c r="E116" s="1862">
        <v>5000000</v>
      </c>
      <c r="F116" s="1862">
        <v>5120000</v>
      </c>
      <c r="G116" s="1862">
        <v>5000000</v>
      </c>
      <c r="H116" s="1862">
        <v>5000000</v>
      </c>
      <c r="I116" s="1862">
        <v>5000000</v>
      </c>
      <c r="J116" s="1862">
        <v>5000000</v>
      </c>
      <c r="K116" s="1862">
        <v>5000000</v>
      </c>
      <c r="L116" s="1862">
        <v>5000000</v>
      </c>
      <c r="M116" s="1862">
        <v>5000000</v>
      </c>
      <c r="N116" s="1862">
        <v>5000000</v>
      </c>
      <c r="O116" s="1862">
        <v>5000000</v>
      </c>
      <c r="P116" s="1862">
        <v>5000000</v>
      </c>
      <c r="Q116" s="1862">
        <v>5000000</v>
      </c>
      <c r="R116" s="1862">
        <v>5060000</v>
      </c>
      <c r="S116" s="1862">
        <v>2560000</v>
      </c>
      <c r="T116" s="1862">
        <v>2500000</v>
      </c>
      <c r="U116" s="1862">
        <v>2500000</v>
      </c>
      <c r="V116" s="1862">
        <v>2500000</v>
      </c>
      <c r="W116" s="1862">
        <v>2500000</v>
      </c>
      <c r="X116" s="1862">
        <v>5000000</v>
      </c>
    </row>
    <row r="117" ht="19" customHeight="1">
      <c r="A117" t="s" s="1858">
        <v>3855</v>
      </c>
      <c r="B117" t="s" s="1861">
        <v>1124</v>
      </c>
      <c r="C117" s="1862">
        <v>1079000</v>
      </c>
      <c r="D117" s="1862">
        <v>1577000</v>
      </c>
      <c r="E117" s="1862">
        <v>1328500</v>
      </c>
      <c r="F117" s="1862">
        <v>1629495</v>
      </c>
      <c r="G117" s="1862">
        <v>2478495</v>
      </c>
      <c r="H117" s="1862">
        <v>1977000</v>
      </c>
      <c r="I117" s="1862">
        <v>777000</v>
      </c>
      <c r="J117" s="1862">
        <v>2277000</v>
      </c>
      <c r="K117" s="1862">
        <v>1479000</v>
      </c>
      <c r="L117" s="1862">
        <v>1279000</v>
      </c>
      <c r="M117" s="1862">
        <v>2978000</v>
      </c>
      <c r="N117" s="1862">
        <v>1077000</v>
      </c>
      <c r="O117" s="1862">
        <v>2977000</v>
      </c>
      <c r="P117" s="1862">
        <v>4032800</v>
      </c>
      <c r="Q117" s="1862">
        <v>1500000</v>
      </c>
      <c r="R117" s="1862">
        <v>1400000</v>
      </c>
      <c r="S117" s="1862">
        <v>7046530</v>
      </c>
      <c r="T117" s="1862">
        <v>2249500</v>
      </c>
      <c r="U117" s="1862">
        <v>300000</v>
      </c>
      <c r="V117" s="1862">
        <v>4750000</v>
      </c>
      <c r="W117" s="1862">
        <v>0</v>
      </c>
      <c r="X117" s="1862">
        <v>2400000</v>
      </c>
    </row>
    <row r="118" ht="19" customHeight="1">
      <c r="A118" t="s" s="1858">
        <v>3856</v>
      </c>
      <c r="B118" t="s" s="1861">
        <v>1126</v>
      </c>
      <c r="C118" s="1862">
        <v>0</v>
      </c>
      <c r="D118" s="1862">
        <v>0</v>
      </c>
      <c r="E118" s="1862">
        <v>0</v>
      </c>
      <c r="F118" s="1862">
        <v>0</v>
      </c>
      <c r="G118" s="1862">
        <v>0</v>
      </c>
      <c r="H118" s="1862">
        <v>0</v>
      </c>
      <c r="I118" s="1862">
        <v>0</v>
      </c>
      <c r="J118" s="1862">
        <v>0</v>
      </c>
      <c r="K118" s="1862">
        <v>70400</v>
      </c>
      <c r="L118" s="1862">
        <v>0</v>
      </c>
      <c r="M118" s="1862">
        <v>0</v>
      </c>
      <c r="N118" s="1862">
        <v>0</v>
      </c>
      <c r="O118" s="1862">
        <v>0</v>
      </c>
      <c r="P118" s="1862">
        <v>823500</v>
      </c>
      <c r="Q118" s="1862">
        <v>0</v>
      </c>
      <c r="R118" s="1862">
        <v>6000000</v>
      </c>
      <c r="S118" s="1862">
        <v>0</v>
      </c>
      <c r="T118" s="1862">
        <v>0</v>
      </c>
      <c r="U118" s="1862">
        <v>5227750</v>
      </c>
      <c r="V118" s="1862">
        <v>6779750</v>
      </c>
      <c r="W118" s="1862">
        <v>3883500</v>
      </c>
      <c r="X118" s="1862">
        <v>1751000</v>
      </c>
    </row>
    <row r="119" ht="19" customHeight="1">
      <c r="A119" t="s" s="1858">
        <v>3967</v>
      </c>
      <c r="B119" t="s" s="1861">
        <v>1127</v>
      </c>
      <c r="C119" s="1862">
        <v>0</v>
      </c>
      <c r="D119" s="1862">
        <v>0</v>
      </c>
      <c r="E119" s="1862">
        <v>0</v>
      </c>
      <c r="F119" s="1862">
        <v>0</v>
      </c>
      <c r="G119" s="1862">
        <v>0</v>
      </c>
      <c r="H119" s="1862">
        <v>0</v>
      </c>
      <c r="I119" s="1862">
        <v>0</v>
      </c>
      <c r="J119" s="1862">
        <v>0</v>
      </c>
      <c r="K119" s="1862">
        <v>0</v>
      </c>
      <c r="L119" s="1862">
        <v>0</v>
      </c>
      <c r="M119" s="1862">
        <v>0</v>
      </c>
      <c r="N119" s="1862">
        <v>6494280</v>
      </c>
      <c r="O119" s="1862">
        <v>9575000</v>
      </c>
      <c r="P119" s="1862">
        <v>0</v>
      </c>
      <c r="Q119" s="1862">
        <v>0</v>
      </c>
      <c r="R119" s="1862">
        <v>2250000</v>
      </c>
      <c r="S119" s="1862">
        <v>0</v>
      </c>
      <c r="T119" s="1862">
        <v>0</v>
      </c>
      <c r="U119" s="1862">
        <v>0</v>
      </c>
      <c r="V119" s="1862">
        <v>0</v>
      </c>
      <c r="W119" s="1862">
        <v>0</v>
      </c>
      <c r="X119" s="1862">
        <v>225000</v>
      </c>
    </row>
    <row r="120" ht="19" customHeight="1">
      <c r="A120" t="s" s="1858">
        <v>1130</v>
      </c>
      <c r="B120" t="s" s="1861">
        <v>1129</v>
      </c>
      <c r="C120" s="1862">
        <v>0</v>
      </c>
      <c r="D120" s="1862">
        <v>0</v>
      </c>
      <c r="E120" s="1862">
        <v>0</v>
      </c>
      <c r="F120" s="1862">
        <v>0</v>
      </c>
      <c r="G120" s="1862">
        <v>0</v>
      </c>
      <c r="H120" s="1862">
        <v>0</v>
      </c>
      <c r="I120" s="1862">
        <v>0</v>
      </c>
      <c r="J120" s="1862">
        <v>0</v>
      </c>
      <c r="K120" s="1862">
        <v>0</v>
      </c>
      <c r="L120" s="1862">
        <v>0</v>
      </c>
      <c r="M120" s="1862">
        <v>0</v>
      </c>
      <c r="N120" s="1862">
        <v>0</v>
      </c>
      <c r="O120" s="1862">
        <v>0</v>
      </c>
      <c r="P120" s="1862">
        <v>0</v>
      </c>
      <c r="Q120" s="1862">
        <v>0</v>
      </c>
      <c r="R120" s="1862">
        <v>0</v>
      </c>
      <c r="S120" s="1862">
        <v>0</v>
      </c>
      <c r="T120" s="1862">
        <v>0</v>
      </c>
      <c r="U120" s="1862">
        <v>0</v>
      </c>
      <c r="V120" s="1862">
        <v>0</v>
      </c>
      <c r="W120" s="1862">
        <v>0</v>
      </c>
      <c r="X120" s="1862">
        <v>2250000</v>
      </c>
    </row>
    <row r="121" ht="19" customHeight="1">
      <c r="A121" t="s" s="1858">
        <v>3857</v>
      </c>
      <c r="B121" t="s" s="1861">
        <v>1132</v>
      </c>
      <c r="C121" s="1862">
        <v>0</v>
      </c>
      <c r="D121" s="1862">
        <v>0</v>
      </c>
      <c r="E121" s="1862">
        <v>0</v>
      </c>
      <c r="F121" s="1862">
        <v>0</v>
      </c>
      <c r="G121" s="1862">
        <v>0</v>
      </c>
      <c r="H121" s="1862">
        <v>0</v>
      </c>
      <c r="I121" s="1862">
        <v>0</v>
      </c>
      <c r="J121" s="1862">
        <v>1000000</v>
      </c>
      <c r="K121" s="1862">
        <v>0</v>
      </c>
      <c r="L121" s="1862">
        <v>0</v>
      </c>
      <c r="M121" s="1862">
        <v>0</v>
      </c>
      <c r="N121" s="1862">
        <v>0</v>
      </c>
      <c r="O121" s="1862">
        <v>0</v>
      </c>
      <c r="P121" s="1862">
        <v>0</v>
      </c>
      <c r="Q121" s="1862">
        <v>0</v>
      </c>
      <c r="R121" s="1862">
        <v>0</v>
      </c>
      <c r="S121" s="1862">
        <v>0</v>
      </c>
      <c r="T121" s="1862">
        <v>0</v>
      </c>
      <c r="U121" s="1862">
        <v>0</v>
      </c>
      <c r="V121" s="1862">
        <v>0</v>
      </c>
      <c r="W121" s="1862">
        <v>0</v>
      </c>
      <c r="X121" s="1862">
        <v>0</v>
      </c>
    </row>
    <row r="122" ht="19" customHeight="1">
      <c r="A122" t="s" s="1858">
        <v>3858</v>
      </c>
      <c r="B122" t="s" s="1861">
        <v>1133</v>
      </c>
      <c r="C122" s="1862">
        <v>2236700</v>
      </c>
      <c r="D122" s="1862">
        <v>9495189</v>
      </c>
      <c r="E122" s="1862">
        <v>67286774</v>
      </c>
      <c r="F122" s="1862">
        <v>41608000</v>
      </c>
      <c r="G122" s="1862">
        <v>0</v>
      </c>
      <c r="H122" s="1862">
        <v>35185003</v>
      </c>
      <c r="I122" s="1862">
        <v>28414650</v>
      </c>
      <c r="J122" s="1862">
        <v>20182270</v>
      </c>
      <c r="K122" s="1862">
        <v>15100000</v>
      </c>
      <c r="L122" s="1862">
        <v>8700000</v>
      </c>
      <c r="M122" s="1862">
        <v>54941380</v>
      </c>
      <c r="N122" s="1862">
        <v>22631851</v>
      </c>
      <c r="O122" s="1862">
        <v>2246950</v>
      </c>
      <c r="P122" s="1862">
        <v>63413355</v>
      </c>
      <c r="Q122" s="1862">
        <v>71285735</v>
      </c>
      <c r="R122" s="1862">
        <v>11559625</v>
      </c>
      <c r="S122" s="1862">
        <v>46304510</v>
      </c>
      <c r="T122" s="1862">
        <v>3700000</v>
      </c>
      <c r="U122" s="1862">
        <v>12089000</v>
      </c>
      <c r="V122" s="1862">
        <v>10000000</v>
      </c>
      <c r="W122" s="1862">
        <v>738363</v>
      </c>
      <c r="X122" s="1862">
        <v>0</v>
      </c>
    </row>
    <row r="123" ht="19" customHeight="1">
      <c r="A123" t="s" s="1858">
        <v>3859</v>
      </c>
      <c r="B123" t="s" s="1861">
        <v>1135</v>
      </c>
      <c r="C123" s="1862">
        <v>3358000</v>
      </c>
      <c r="D123" s="1862">
        <v>4286500</v>
      </c>
      <c r="E123" s="1862">
        <v>5390590</v>
      </c>
      <c r="F123" s="1862">
        <v>7144662</v>
      </c>
      <c r="G123" s="1862">
        <v>3847500.16</v>
      </c>
      <c r="H123" s="1862">
        <v>5415404</v>
      </c>
      <c r="I123" s="1862">
        <v>3961990.6</v>
      </c>
      <c r="J123" s="1862">
        <v>2605240</v>
      </c>
      <c r="K123" s="1862">
        <v>1221500</v>
      </c>
      <c r="L123" s="1862">
        <v>2032977</v>
      </c>
      <c r="M123" s="1862">
        <v>3608239.8</v>
      </c>
      <c r="N123" s="1862">
        <v>2506000</v>
      </c>
      <c r="O123" s="1862">
        <v>2259041</v>
      </c>
      <c r="P123" s="1862">
        <v>2452601</v>
      </c>
      <c r="Q123" s="1862">
        <v>2586130</v>
      </c>
      <c r="R123" s="1862">
        <v>2518800</v>
      </c>
      <c r="S123" s="1862">
        <v>1802000</v>
      </c>
      <c r="T123" s="1862">
        <v>473997</v>
      </c>
      <c r="U123" s="1862">
        <v>2265500</v>
      </c>
      <c r="V123" s="1862">
        <v>2625500</v>
      </c>
      <c r="W123" s="1862">
        <v>563000</v>
      </c>
      <c r="X123" s="1862">
        <v>373000</v>
      </c>
    </row>
    <row r="124" ht="19" customHeight="1">
      <c r="A124" t="s" s="1858">
        <v>3968</v>
      </c>
      <c r="B124" t="s" s="1861">
        <v>1137</v>
      </c>
      <c r="C124" s="1862">
        <v>0</v>
      </c>
      <c r="D124" s="1862">
        <v>638700</v>
      </c>
      <c r="E124" s="1862">
        <v>0</v>
      </c>
      <c r="F124" s="1862">
        <v>0</v>
      </c>
      <c r="G124" s="1862">
        <v>0</v>
      </c>
      <c r="H124" s="1862">
        <v>0</v>
      </c>
      <c r="I124" s="1862">
        <v>0</v>
      </c>
      <c r="J124" s="1862">
        <v>0</v>
      </c>
      <c r="K124" s="1862">
        <v>0</v>
      </c>
      <c r="L124" s="1862">
        <v>0</v>
      </c>
      <c r="M124" s="1862">
        <v>0</v>
      </c>
      <c r="N124" s="1862">
        <v>0</v>
      </c>
      <c r="O124" s="1862">
        <v>0</v>
      </c>
      <c r="P124" s="1862">
        <v>0</v>
      </c>
      <c r="Q124" s="1862">
        <v>814924</v>
      </c>
      <c r="R124" s="1862">
        <v>0</v>
      </c>
      <c r="S124" s="1862">
        <v>150000</v>
      </c>
      <c r="T124" s="1862">
        <v>0</v>
      </c>
      <c r="U124" s="1862">
        <v>0</v>
      </c>
      <c r="V124" s="1862">
        <v>0</v>
      </c>
      <c r="W124" s="1862">
        <v>0</v>
      </c>
      <c r="X124" s="1862">
        <v>0</v>
      </c>
    </row>
    <row r="125" ht="19" customHeight="1">
      <c r="A125" t="s" s="1858">
        <v>3860</v>
      </c>
      <c r="B125" t="s" s="1861">
        <v>1139</v>
      </c>
      <c r="C125" s="1862">
        <v>49205268.82</v>
      </c>
      <c r="D125" s="1862">
        <v>2000000</v>
      </c>
      <c r="E125" s="1862">
        <v>4165000</v>
      </c>
      <c r="F125" s="1862">
        <v>15300000</v>
      </c>
      <c r="G125" s="1862">
        <v>250000</v>
      </c>
      <c r="H125" s="1862">
        <v>9500000</v>
      </c>
      <c r="I125" s="1862">
        <v>0</v>
      </c>
      <c r="J125" s="1862">
        <v>25459000</v>
      </c>
      <c r="K125" s="1862">
        <v>19340000</v>
      </c>
      <c r="L125" s="1862">
        <v>2500000</v>
      </c>
      <c r="M125" s="1862">
        <v>14000000</v>
      </c>
      <c r="N125" s="1862">
        <v>47766250</v>
      </c>
      <c r="O125" s="1862">
        <v>29640000</v>
      </c>
      <c r="P125" s="1862">
        <v>6500000</v>
      </c>
      <c r="Q125" s="1862">
        <v>0</v>
      </c>
      <c r="R125" s="1862">
        <v>0</v>
      </c>
      <c r="S125" s="1862">
        <v>784000</v>
      </c>
      <c r="T125" s="1862">
        <v>35264000</v>
      </c>
      <c r="U125" s="1862">
        <v>2058000</v>
      </c>
      <c r="V125" s="1862">
        <v>0</v>
      </c>
      <c r="W125" s="1862">
        <v>0</v>
      </c>
      <c r="X125" s="1862">
        <v>0</v>
      </c>
    </row>
    <row r="126" ht="19" customHeight="1">
      <c r="A126" t="s" s="1858">
        <v>3861</v>
      </c>
      <c r="B126" t="s" s="1861">
        <v>1141</v>
      </c>
      <c r="C126" s="1862">
        <v>69603117</v>
      </c>
      <c r="D126" s="1862">
        <v>55070846</v>
      </c>
      <c r="E126" s="1862">
        <v>97005297</v>
      </c>
      <c r="F126" s="1862">
        <v>62994474.17</v>
      </c>
      <c r="G126" s="1862">
        <v>105195863</v>
      </c>
      <c r="H126" s="1862">
        <v>43291929</v>
      </c>
      <c r="I126" s="1862">
        <v>31431037</v>
      </c>
      <c r="J126" s="1862">
        <v>14555258</v>
      </c>
      <c r="K126" s="1862">
        <v>18918631</v>
      </c>
      <c r="L126" s="1862">
        <v>12210519</v>
      </c>
      <c r="M126" s="1862">
        <v>47268150</v>
      </c>
      <c r="N126" s="1862">
        <v>13439761</v>
      </c>
      <c r="O126" s="1862">
        <v>14333393</v>
      </c>
      <c r="P126" s="1862">
        <v>9195242</v>
      </c>
      <c r="Q126" s="1862">
        <v>16960800</v>
      </c>
      <c r="R126" s="1862">
        <v>11253330</v>
      </c>
      <c r="S126" s="1862">
        <v>15105100</v>
      </c>
      <c r="T126" s="1862">
        <v>8036000</v>
      </c>
      <c r="U126" s="1862">
        <v>20705925</v>
      </c>
      <c r="V126" s="1862">
        <v>37791646</v>
      </c>
      <c r="W126" s="1862">
        <v>3993416</v>
      </c>
      <c r="X126" s="1862">
        <v>8005310</v>
      </c>
    </row>
    <row r="127" ht="19" customHeight="1">
      <c r="A127" t="s" s="1858">
        <v>1144</v>
      </c>
      <c r="B127" t="s" s="1861">
        <v>1143</v>
      </c>
      <c r="C127" s="1862">
        <v>6339450</v>
      </c>
      <c r="D127" s="1862">
        <v>3170000</v>
      </c>
      <c r="E127" s="1862">
        <v>9472000</v>
      </c>
      <c r="F127" s="1862">
        <v>4708000</v>
      </c>
      <c r="G127" s="1862">
        <v>12214310</v>
      </c>
      <c r="H127" s="1862">
        <v>11665276.83</v>
      </c>
      <c r="I127" s="1862">
        <v>4652254</v>
      </c>
      <c r="J127" s="1862">
        <v>1137701.68</v>
      </c>
      <c r="K127" s="1862">
        <v>1499979</v>
      </c>
      <c r="L127" s="1862">
        <v>1204044</v>
      </c>
      <c r="M127" s="1862">
        <v>2243923</v>
      </c>
      <c r="N127" s="1862">
        <v>1766390</v>
      </c>
      <c r="O127" s="1862">
        <v>3005707</v>
      </c>
      <c r="P127" s="1862">
        <v>223000</v>
      </c>
      <c r="Q127" s="1862">
        <v>0</v>
      </c>
      <c r="R127" s="1862">
        <v>0</v>
      </c>
      <c r="S127" s="1862">
        <v>0</v>
      </c>
      <c r="T127" s="1862">
        <v>0</v>
      </c>
      <c r="U127" s="1862">
        <v>342000</v>
      </c>
      <c r="V127" s="1862">
        <v>0</v>
      </c>
      <c r="W127" s="1862">
        <v>0</v>
      </c>
      <c r="X127" s="1862">
        <v>0</v>
      </c>
    </row>
    <row r="128" ht="19" customHeight="1">
      <c r="A128" t="s" s="1858">
        <v>3862</v>
      </c>
      <c r="B128" t="s" s="1861">
        <v>1145</v>
      </c>
      <c r="C128" s="1862">
        <v>158000</v>
      </c>
      <c r="D128" s="1862">
        <v>17648400</v>
      </c>
      <c r="E128" s="1862">
        <v>955512</v>
      </c>
      <c r="F128" s="1862">
        <v>5905070</v>
      </c>
      <c r="G128" s="1862">
        <v>3387400</v>
      </c>
      <c r="H128" s="1862">
        <v>599800</v>
      </c>
      <c r="I128" s="1862">
        <v>574700</v>
      </c>
      <c r="J128" s="1862">
        <v>548750</v>
      </c>
      <c r="K128" s="1862">
        <v>10000</v>
      </c>
      <c r="L128" s="1862">
        <v>59500</v>
      </c>
      <c r="M128" s="1862">
        <v>9761500</v>
      </c>
      <c r="N128" s="1862">
        <v>5289000</v>
      </c>
      <c r="O128" s="1862">
        <v>58000</v>
      </c>
      <c r="P128" s="1862">
        <v>351500</v>
      </c>
      <c r="Q128" s="1862">
        <v>0</v>
      </c>
      <c r="R128" s="1862">
        <v>0</v>
      </c>
      <c r="S128" s="1862">
        <v>0</v>
      </c>
      <c r="T128" s="1862">
        <v>405000</v>
      </c>
      <c r="U128" s="1862">
        <v>22900</v>
      </c>
      <c r="V128" s="1862">
        <v>347000</v>
      </c>
      <c r="W128" s="1862">
        <v>540000</v>
      </c>
      <c r="X128" s="1862">
        <v>779000</v>
      </c>
    </row>
    <row r="129" ht="19" customHeight="1">
      <c r="A129" t="s" s="1858">
        <v>3863</v>
      </c>
      <c r="B129" t="s" s="1861">
        <v>1147</v>
      </c>
      <c r="C129" s="1862">
        <v>12195030</v>
      </c>
      <c r="D129" s="1862">
        <v>4431428</v>
      </c>
      <c r="E129" s="1862">
        <v>14603663</v>
      </c>
      <c r="F129" s="1862">
        <v>22918578.33</v>
      </c>
      <c r="G129" s="1862">
        <v>12909067.96</v>
      </c>
      <c r="H129" s="1862">
        <v>10744725.73</v>
      </c>
      <c r="I129" s="1862">
        <v>2197901.33</v>
      </c>
      <c r="J129" s="1862">
        <v>3960236.83</v>
      </c>
      <c r="K129" s="1862">
        <v>80660236.83</v>
      </c>
      <c r="L129" s="1862">
        <v>59951586.83</v>
      </c>
      <c r="M129" s="1862">
        <v>7523136.83</v>
      </c>
      <c r="N129" s="1862">
        <v>3960236.83</v>
      </c>
      <c r="O129" s="1862">
        <v>39577107.83</v>
      </c>
      <c r="P129" s="1862">
        <v>43522451.83</v>
      </c>
      <c r="Q129" s="1862">
        <v>11227188.83</v>
      </c>
      <c r="R129" s="1862">
        <v>21591683.83</v>
      </c>
      <c r="S129" s="1862">
        <v>28057022.5</v>
      </c>
      <c r="T129" s="1862">
        <v>9333165</v>
      </c>
      <c r="U129" s="1862">
        <v>9085554</v>
      </c>
      <c r="V129" s="1862">
        <v>12470410.52</v>
      </c>
      <c r="W129" s="1862">
        <v>34870434</v>
      </c>
      <c r="X129" s="1862">
        <v>23447330</v>
      </c>
    </row>
    <row r="130" ht="19" customHeight="1">
      <c r="A130" t="s" s="1858">
        <v>3864</v>
      </c>
      <c r="B130" t="s" s="1861">
        <v>1150</v>
      </c>
      <c r="C130" s="1862">
        <v>61470312</v>
      </c>
      <c r="D130" s="1862">
        <v>68421199</v>
      </c>
      <c r="E130" s="1862">
        <v>81069811</v>
      </c>
      <c r="F130" s="1862">
        <v>116119283</v>
      </c>
      <c r="G130" s="1862">
        <v>76400607.59999999</v>
      </c>
      <c r="H130" s="1862">
        <v>50735747</v>
      </c>
      <c r="I130" s="1862">
        <v>54415876</v>
      </c>
      <c r="J130" s="1862">
        <v>22701023</v>
      </c>
      <c r="K130" s="1862">
        <v>24385916</v>
      </c>
      <c r="L130" s="1862">
        <v>34995567</v>
      </c>
      <c r="M130" s="1862">
        <v>26562994</v>
      </c>
      <c r="N130" s="1862">
        <v>18253263.98</v>
      </c>
      <c r="O130" s="1862">
        <v>34092246</v>
      </c>
      <c r="P130" s="1862">
        <v>34822221</v>
      </c>
      <c r="Q130" s="1862">
        <v>58778907.5</v>
      </c>
      <c r="R130" s="1862">
        <v>48432135.7</v>
      </c>
      <c r="S130" s="1862">
        <v>28317678</v>
      </c>
      <c r="T130" s="1862">
        <v>33419188.22</v>
      </c>
      <c r="U130" s="1862">
        <v>39141949</v>
      </c>
      <c r="V130" s="1862">
        <v>14481890</v>
      </c>
      <c r="W130" s="1862">
        <v>10706849</v>
      </c>
      <c r="X130" s="1862">
        <v>38811464</v>
      </c>
    </row>
    <row r="131" ht="19" customHeight="1">
      <c r="A131" t="s" s="1858">
        <v>3865</v>
      </c>
      <c r="B131" t="s" s="1861">
        <v>1151</v>
      </c>
      <c r="C131" s="1862">
        <v>0</v>
      </c>
      <c r="D131" s="1862">
        <v>0</v>
      </c>
      <c r="E131" s="1862">
        <v>0</v>
      </c>
      <c r="F131" s="1862">
        <v>0</v>
      </c>
      <c r="G131" s="1862">
        <v>102655488</v>
      </c>
      <c r="H131" s="1862">
        <v>11810000</v>
      </c>
      <c r="I131" s="1862">
        <v>25000000</v>
      </c>
      <c r="J131" s="1862">
        <v>0</v>
      </c>
      <c r="K131" s="1862">
        <v>0</v>
      </c>
      <c r="L131" s="1862">
        <v>15000000</v>
      </c>
      <c r="M131" s="1862">
        <v>0</v>
      </c>
      <c r="N131" s="1862">
        <v>0</v>
      </c>
      <c r="O131" s="1862">
        <v>2346472</v>
      </c>
      <c r="P131" s="1862">
        <v>28673960</v>
      </c>
      <c r="Q131" s="1862">
        <v>23502920</v>
      </c>
      <c r="R131" s="1862">
        <v>4325900</v>
      </c>
      <c r="S131" s="1862">
        <v>6399680</v>
      </c>
      <c r="T131" s="1862">
        <v>0</v>
      </c>
      <c r="U131" s="1862">
        <v>25500000</v>
      </c>
      <c r="V131" s="1862">
        <v>37351800</v>
      </c>
      <c r="W131" s="1862">
        <v>0</v>
      </c>
      <c r="X131" s="1862">
        <v>0</v>
      </c>
    </row>
    <row r="132" ht="19" customHeight="1">
      <c r="A132" t="s" s="1858">
        <v>3866</v>
      </c>
      <c r="B132" t="s" s="1861">
        <v>1153</v>
      </c>
      <c r="C132" s="1862">
        <v>20880000</v>
      </c>
      <c r="D132" s="1862">
        <v>23962840</v>
      </c>
      <c r="E132" s="1862">
        <v>27000000</v>
      </c>
      <c r="F132" s="1862">
        <v>9269160</v>
      </c>
      <c r="G132" s="1862">
        <v>4928900</v>
      </c>
      <c r="H132" s="1862">
        <v>18600600</v>
      </c>
      <c r="I132" s="1862">
        <v>0</v>
      </c>
      <c r="J132" s="1862">
        <v>0</v>
      </c>
      <c r="K132" s="1862">
        <v>0</v>
      </c>
      <c r="L132" s="1862">
        <v>0</v>
      </c>
      <c r="M132" s="1862">
        <v>36443650</v>
      </c>
      <c r="N132" s="1862">
        <v>0</v>
      </c>
      <c r="O132" s="1862">
        <v>0</v>
      </c>
      <c r="P132" s="1862">
        <v>43800000</v>
      </c>
      <c r="Q132" s="1862">
        <v>0</v>
      </c>
      <c r="R132" s="1862">
        <v>0</v>
      </c>
      <c r="S132" s="1862">
        <v>0</v>
      </c>
      <c r="T132" s="1862">
        <v>0</v>
      </c>
      <c r="U132" s="1862">
        <v>0</v>
      </c>
      <c r="V132" s="1862">
        <v>37000000</v>
      </c>
      <c r="W132" s="1862">
        <v>0</v>
      </c>
      <c r="X132" s="1862">
        <v>0</v>
      </c>
    </row>
    <row r="133" ht="19" customHeight="1">
      <c r="A133" t="s" s="1858">
        <v>3867</v>
      </c>
      <c r="B133" t="s" s="1861">
        <v>1155</v>
      </c>
      <c r="C133" s="1862">
        <v>4750000</v>
      </c>
      <c r="D133" s="1862">
        <v>19000000</v>
      </c>
      <c r="E133" s="1862">
        <v>21001680</v>
      </c>
      <c r="F133" s="1862">
        <v>28143680</v>
      </c>
      <c r="G133" s="1862">
        <v>21000000</v>
      </c>
      <c r="H133" s="1862">
        <v>15000000</v>
      </c>
      <c r="I133" s="1862">
        <v>15500000</v>
      </c>
      <c r="J133" s="1862">
        <v>10500000</v>
      </c>
      <c r="K133" s="1862">
        <v>0</v>
      </c>
      <c r="L133" s="1862">
        <v>0</v>
      </c>
      <c r="M133" s="1862">
        <v>0</v>
      </c>
      <c r="N133" s="1862">
        <v>0</v>
      </c>
      <c r="O133" s="1862">
        <v>0</v>
      </c>
      <c r="P133" s="1862">
        <v>0</v>
      </c>
      <c r="Q133" s="1862">
        <v>0</v>
      </c>
      <c r="R133" s="1862">
        <v>0</v>
      </c>
      <c r="S133" s="1862">
        <v>0</v>
      </c>
      <c r="T133" s="1862">
        <v>0</v>
      </c>
      <c r="U133" s="1862">
        <v>516500</v>
      </c>
      <c r="V133" s="1862">
        <v>6741000</v>
      </c>
      <c r="W133" s="1862">
        <v>895000</v>
      </c>
      <c r="X133" s="1862">
        <v>9672000</v>
      </c>
    </row>
    <row r="134" ht="19" customHeight="1">
      <c r="A134" t="s" s="1858">
        <v>3868</v>
      </c>
      <c r="B134" t="s" s="1861">
        <v>1157</v>
      </c>
      <c r="C134" s="1862">
        <v>28519230</v>
      </c>
      <c r="D134" s="1862">
        <v>44936982</v>
      </c>
      <c r="E134" s="1862">
        <v>39282050</v>
      </c>
      <c r="F134" s="1862">
        <v>28525451</v>
      </c>
      <c r="G134" s="1862">
        <v>33834552</v>
      </c>
      <c r="H134" s="1862">
        <v>28188580</v>
      </c>
      <c r="I134" s="1862">
        <v>14500000</v>
      </c>
      <c r="J134" s="1862">
        <v>12939400</v>
      </c>
      <c r="K134" s="1862">
        <v>11765900</v>
      </c>
      <c r="L134" s="1862">
        <v>14648773</v>
      </c>
      <c r="M134" s="1862">
        <v>9348062</v>
      </c>
      <c r="N134" s="1862">
        <v>22601230</v>
      </c>
      <c r="O134" s="1862">
        <v>20013480</v>
      </c>
      <c r="P134" s="1862">
        <v>15728000</v>
      </c>
      <c r="Q134" s="1862">
        <v>16966810</v>
      </c>
      <c r="R134" s="1862">
        <v>13777000</v>
      </c>
      <c r="S134" s="1862">
        <v>8570000</v>
      </c>
      <c r="T134" s="1862">
        <v>4120944</v>
      </c>
      <c r="U134" s="1862">
        <v>36620000</v>
      </c>
      <c r="V134" s="1862">
        <v>6143000</v>
      </c>
      <c r="W134" s="1862">
        <v>3000000</v>
      </c>
      <c r="X134" s="1862">
        <v>9596500</v>
      </c>
    </row>
    <row r="135" ht="19" customHeight="1">
      <c r="A135" t="s" s="1858">
        <v>3869</v>
      </c>
      <c r="B135" t="s" s="1861">
        <v>1159</v>
      </c>
      <c r="C135" s="1862">
        <v>18219200</v>
      </c>
      <c r="D135" s="1862">
        <v>350000</v>
      </c>
      <c r="E135" s="1862">
        <v>4740358.61</v>
      </c>
      <c r="F135" s="1862">
        <v>3598250</v>
      </c>
      <c r="G135" s="1862">
        <v>17688260</v>
      </c>
      <c r="H135" s="1862">
        <v>22578551.75</v>
      </c>
      <c r="I135" s="1862">
        <v>4087500</v>
      </c>
      <c r="J135" s="1862">
        <v>1662500</v>
      </c>
      <c r="K135" s="1862">
        <v>1915000</v>
      </c>
      <c r="L135" s="1862">
        <v>1282500</v>
      </c>
      <c r="M135" s="1862">
        <v>3050000</v>
      </c>
      <c r="N135" s="1862">
        <v>334000</v>
      </c>
      <c r="O135" s="1862">
        <v>2012500</v>
      </c>
      <c r="P135" s="1862">
        <v>2167500</v>
      </c>
      <c r="Q135" s="1862">
        <v>1485000</v>
      </c>
      <c r="R135" s="1862">
        <v>3337500</v>
      </c>
      <c r="S135" s="1862">
        <v>0</v>
      </c>
      <c r="T135" s="1862">
        <v>1485000</v>
      </c>
      <c r="U135" s="1862">
        <v>1917500</v>
      </c>
      <c r="V135" s="1862">
        <v>4358261</v>
      </c>
      <c r="W135" s="1862">
        <v>1835500</v>
      </c>
      <c r="X135" s="1862">
        <v>498000</v>
      </c>
    </row>
    <row r="136" ht="19" customHeight="1">
      <c r="A136" t="s" s="1858">
        <v>3870</v>
      </c>
      <c r="B136" t="s" s="1861">
        <v>1161</v>
      </c>
      <c r="C136" s="1862">
        <v>428566667</v>
      </c>
      <c r="D136" s="1862">
        <v>426000000</v>
      </c>
      <c r="E136" s="1862">
        <v>426500000</v>
      </c>
      <c r="F136" s="1862">
        <v>427321178</v>
      </c>
      <c r="G136" s="1862">
        <v>418500000</v>
      </c>
      <c r="H136" s="1862">
        <v>404381720</v>
      </c>
      <c r="I136" s="1862">
        <v>354201923</v>
      </c>
      <c r="J136" s="1862">
        <v>357000000</v>
      </c>
      <c r="K136" s="1862">
        <v>354500000</v>
      </c>
      <c r="L136" s="1862">
        <v>343247545</v>
      </c>
      <c r="M136" s="1862">
        <v>353748095</v>
      </c>
      <c r="N136" s="1862">
        <v>351653846</v>
      </c>
      <c r="O136" s="1862">
        <v>350500000</v>
      </c>
      <c r="P136" s="1862">
        <v>341847342</v>
      </c>
      <c r="Q136" s="1862">
        <v>325086957</v>
      </c>
      <c r="R136" s="1862">
        <v>320919355</v>
      </c>
      <c r="S136" s="1862">
        <v>344500000</v>
      </c>
      <c r="T136" s="1862">
        <v>339561887</v>
      </c>
      <c r="U136" s="1862">
        <v>346252727</v>
      </c>
      <c r="V136" s="1862">
        <v>233400000</v>
      </c>
      <c r="W136" s="1862">
        <v>264450000</v>
      </c>
      <c r="X136" s="1862">
        <v>264584222</v>
      </c>
    </row>
    <row r="137" ht="19" customHeight="1">
      <c r="A137" t="s" s="1858">
        <v>3871</v>
      </c>
      <c r="B137" t="s" s="1861">
        <v>1162</v>
      </c>
      <c r="C137" s="1862">
        <v>113122223</v>
      </c>
      <c r="D137" s="1862">
        <v>269314012</v>
      </c>
      <c r="E137" s="1862">
        <v>283633757</v>
      </c>
      <c r="F137" s="1862">
        <v>261154036</v>
      </c>
      <c r="G137" s="1862">
        <v>159977681</v>
      </c>
      <c r="H137" s="1862">
        <v>458134365.2</v>
      </c>
      <c r="I137" s="1862">
        <v>147852266.66</v>
      </c>
      <c r="J137" s="1862">
        <v>63301588.13</v>
      </c>
      <c r="K137" s="1862">
        <v>116495831</v>
      </c>
      <c r="L137" s="1862">
        <v>173844780</v>
      </c>
      <c r="M137" s="1862">
        <v>89918845</v>
      </c>
      <c r="N137" s="1862">
        <v>270274506</v>
      </c>
      <c r="O137" s="1862">
        <v>401832762</v>
      </c>
      <c r="P137" s="1862">
        <v>471128309</v>
      </c>
      <c r="Q137" s="1862">
        <v>477105637</v>
      </c>
      <c r="R137" s="1862">
        <v>402348534</v>
      </c>
      <c r="S137" s="1862">
        <v>163014714</v>
      </c>
      <c r="T137" s="1862">
        <v>35000000</v>
      </c>
      <c r="U137" s="1862">
        <v>0</v>
      </c>
      <c r="V137" s="1862">
        <v>136782162</v>
      </c>
      <c r="W137" s="1862">
        <v>0</v>
      </c>
      <c r="X137" s="1862">
        <v>157530491</v>
      </c>
    </row>
    <row r="138" ht="19" customHeight="1">
      <c r="A138" t="s" s="1858">
        <v>1165</v>
      </c>
      <c r="B138" t="s" s="1861">
        <v>1164</v>
      </c>
      <c r="C138" s="1862">
        <v>1311000</v>
      </c>
      <c r="D138" s="1862">
        <v>1160000</v>
      </c>
      <c r="E138" s="1862">
        <v>500000</v>
      </c>
      <c r="F138" s="1862">
        <v>2298000</v>
      </c>
      <c r="G138" s="1862">
        <v>0</v>
      </c>
      <c r="H138" s="1862">
        <v>0</v>
      </c>
      <c r="I138" s="1862">
        <v>2000000</v>
      </c>
      <c r="J138" s="1862">
        <v>6494907</v>
      </c>
      <c r="K138" s="1862">
        <v>0</v>
      </c>
      <c r="L138" s="1862">
        <v>0</v>
      </c>
      <c r="M138" s="1862">
        <v>6800000</v>
      </c>
      <c r="N138" s="1862">
        <v>1500000</v>
      </c>
      <c r="O138" s="1862">
        <v>1000000</v>
      </c>
      <c r="P138" s="1862">
        <v>2550000</v>
      </c>
      <c r="Q138" s="1862">
        <v>0</v>
      </c>
      <c r="R138" s="1862">
        <v>0</v>
      </c>
      <c r="S138" s="1862">
        <v>0</v>
      </c>
      <c r="T138" s="1862">
        <v>0</v>
      </c>
      <c r="U138" s="1862">
        <v>0</v>
      </c>
      <c r="V138" s="1862">
        <v>0</v>
      </c>
      <c r="W138" s="1862">
        <v>0</v>
      </c>
      <c r="X138" s="1862">
        <v>500000</v>
      </c>
    </row>
    <row r="139" ht="19" customHeight="1">
      <c r="A139" t="s" s="1858">
        <v>3872</v>
      </c>
      <c r="B139" t="s" s="1861">
        <v>1167</v>
      </c>
      <c r="C139" s="1862">
        <v>693343233.08</v>
      </c>
      <c r="D139" s="1862">
        <v>276820949.13</v>
      </c>
      <c r="E139" s="1862">
        <v>300274910.99</v>
      </c>
      <c r="F139" s="1862">
        <v>257926647.5</v>
      </c>
      <c r="G139" s="1862">
        <v>355073800.6</v>
      </c>
      <c r="H139" s="1862">
        <v>162849145.44</v>
      </c>
      <c r="I139" s="1862">
        <v>139150726.24</v>
      </c>
      <c r="J139" s="1862">
        <v>113951503.84</v>
      </c>
      <c r="K139" s="1862">
        <v>55009691.24</v>
      </c>
      <c r="L139" s="1862">
        <v>219552461.52</v>
      </c>
      <c r="M139" s="1862">
        <v>241843214</v>
      </c>
      <c r="N139" s="1862">
        <v>516484794</v>
      </c>
      <c r="O139" s="1862">
        <v>449909105</v>
      </c>
      <c r="P139" s="1862">
        <v>0</v>
      </c>
      <c r="Q139" s="1862">
        <v>0</v>
      </c>
      <c r="R139" s="1862">
        <v>0</v>
      </c>
      <c r="S139" s="1862">
        <v>0</v>
      </c>
      <c r="T139" s="1862">
        <v>0</v>
      </c>
      <c r="U139" s="1862">
        <v>0</v>
      </c>
      <c r="V139" s="1862">
        <v>0</v>
      </c>
      <c r="W139" s="1862">
        <v>0</v>
      </c>
      <c r="X139" s="1862">
        <v>130000000</v>
      </c>
    </row>
    <row r="140" ht="19" customHeight="1">
      <c r="A140" t="s" s="1858">
        <v>1170</v>
      </c>
      <c r="B140" t="s" s="1861">
        <v>1169</v>
      </c>
      <c r="C140" s="1862">
        <v>0</v>
      </c>
      <c r="D140" s="1862">
        <v>0</v>
      </c>
      <c r="E140" s="1862">
        <v>0</v>
      </c>
      <c r="F140" s="1862">
        <v>0</v>
      </c>
      <c r="G140" s="1862">
        <v>1500000</v>
      </c>
      <c r="H140" s="1862">
        <v>0</v>
      </c>
      <c r="I140" s="1862">
        <v>0</v>
      </c>
      <c r="J140" s="1862">
        <v>0</v>
      </c>
      <c r="K140" s="1862">
        <v>0</v>
      </c>
      <c r="L140" s="1862">
        <v>0</v>
      </c>
      <c r="M140" s="1862">
        <v>0</v>
      </c>
      <c r="N140" s="1862">
        <v>0</v>
      </c>
      <c r="O140" s="1862">
        <v>0</v>
      </c>
      <c r="P140" s="1862">
        <v>0</v>
      </c>
      <c r="Q140" s="1862">
        <v>0</v>
      </c>
      <c r="R140" s="1862">
        <v>0</v>
      </c>
      <c r="S140" s="1862">
        <v>0</v>
      </c>
      <c r="T140" s="1862">
        <v>0</v>
      </c>
      <c r="U140" s="1862">
        <v>0</v>
      </c>
      <c r="V140" s="1862">
        <v>0</v>
      </c>
      <c r="W140" s="1862">
        <v>0</v>
      </c>
      <c r="X140" s="1862">
        <v>0</v>
      </c>
    </row>
    <row r="141" ht="19" customHeight="1">
      <c r="A141" t="s" s="1858">
        <v>3969</v>
      </c>
      <c r="B141" t="s" s="1861">
        <v>1172</v>
      </c>
      <c r="C141" s="1862">
        <v>0</v>
      </c>
      <c r="D141" s="1862">
        <v>0</v>
      </c>
      <c r="E141" s="1862">
        <v>0</v>
      </c>
      <c r="F141" s="1862">
        <v>0</v>
      </c>
      <c r="G141" s="1862">
        <v>0</v>
      </c>
      <c r="H141" s="1862">
        <v>0</v>
      </c>
      <c r="I141" s="1862">
        <v>0</v>
      </c>
      <c r="J141" s="1862">
        <v>0</v>
      </c>
      <c r="K141" s="1862">
        <v>0</v>
      </c>
      <c r="L141" s="1862">
        <v>0</v>
      </c>
      <c r="M141" s="1862">
        <v>0</v>
      </c>
      <c r="N141" s="1862">
        <v>0</v>
      </c>
      <c r="O141" s="1862">
        <v>0</v>
      </c>
      <c r="P141" s="1862">
        <v>0</v>
      </c>
      <c r="Q141" s="1862">
        <v>0</v>
      </c>
      <c r="R141" s="1862">
        <v>22400000</v>
      </c>
      <c r="S141" s="1862">
        <v>0</v>
      </c>
      <c r="T141" s="1862">
        <v>0</v>
      </c>
      <c r="U141" s="1862">
        <v>0</v>
      </c>
      <c r="V141" s="1862">
        <v>0</v>
      </c>
      <c r="W141" s="1862">
        <v>0</v>
      </c>
      <c r="X141" s="1862">
        <v>0</v>
      </c>
    </row>
    <row r="142" ht="19" customHeight="1">
      <c r="A142" t="s" s="1858">
        <v>1175</v>
      </c>
      <c r="B142" t="s" s="1861">
        <v>1174</v>
      </c>
      <c r="C142" s="1862">
        <v>0</v>
      </c>
      <c r="D142" s="1862">
        <v>0</v>
      </c>
      <c r="E142" s="1862">
        <v>0</v>
      </c>
      <c r="F142" s="1862">
        <v>0</v>
      </c>
      <c r="G142" s="1862">
        <v>0</v>
      </c>
      <c r="H142" s="1862">
        <v>0</v>
      </c>
      <c r="I142" s="1862">
        <v>0</v>
      </c>
      <c r="J142" s="1862">
        <v>0</v>
      </c>
      <c r="K142" s="1862">
        <v>0</v>
      </c>
      <c r="L142" s="1862">
        <v>0</v>
      </c>
      <c r="M142" s="1862">
        <v>32651000</v>
      </c>
      <c r="N142" s="1862">
        <v>0</v>
      </c>
      <c r="O142" s="1862">
        <v>0</v>
      </c>
      <c r="P142" s="1862">
        <v>0</v>
      </c>
      <c r="Q142" s="1862">
        <v>0</v>
      </c>
      <c r="R142" s="1862">
        <v>0</v>
      </c>
      <c r="S142" s="1862">
        <v>0</v>
      </c>
      <c r="T142" s="1862">
        <v>0</v>
      </c>
      <c r="U142" s="1862">
        <v>0</v>
      </c>
      <c r="V142" s="1862">
        <v>0</v>
      </c>
      <c r="W142" s="1862">
        <v>0</v>
      </c>
      <c r="X142" s="1862">
        <v>371939148</v>
      </c>
    </row>
    <row r="143" ht="19" customHeight="1">
      <c r="A143" t="s" s="1858">
        <v>1177</v>
      </c>
      <c r="B143" t="s" s="1861">
        <v>1176</v>
      </c>
      <c r="C143" s="1862">
        <v>11960000</v>
      </c>
      <c r="D143" s="1862">
        <v>0</v>
      </c>
      <c r="E143" s="1862">
        <v>0</v>
      </c>
      <c r="F143" s="1862">
        <v>0</v>
      </c>
      <c r="G143" s="1862">
        <v>0</v>
      </c>
      <c r="H143" s="1862">
        <v>0</v>
      </c>
      <c r="I143" s="1862">
        <v>0</v>
      </c>
      <c r="J143" s="1862">
        <v>0</v>
      </c>
      <c r="K143" s="1862">
        <v>0</v>
      </c>
      <c r="L143" s="1862">
        <v>0</v>
      </c>
      <c r="M143" s="1862">
        <v>0</v>
      </c>
      <c r="N143" s="1862">
        <v>0</v>
      </c>
      <c r="O143" s="1862">
        <v>0</v>
      </c>
      <c r="P143" s="1862">
        <v>0</v>
      </c>
      <c r="Q143" s="1862">
        <v>0</v>
      </c>
      <c r="R143" s="1862">
        <v>0</v>
      </c>
      <c r="S143" s="1862">
        <v>0</v>
      </c>
      <c r="T143" s="1862">
        <v>0</v>
      </c>
      <c r="U143" s="1862">
        <v>0</v>
      </c>
      <c r="V143" s="1862">
        <v>0</v>
      </c>
      <c r="W143" s="1862">
        <v>0</v>
      </c>
      <c r="X143" s="1862">
        <v>0</v>
      </c>
    </row>
    <row r="144" ht="19" customHeight="1">
      <c r="A144" t="s" s="1858">
        <v>3875</v>
      </c>
      <c r="B144" t="s" s="1861">
        <v>1179</v>
      </c>
      <c r="C144" s="1862">
        <v>8590.719999999999</v>
      </c>
      <c r="D144" s="1862">
        <v>25.48</v>
      </c>
      <c r="E144" s="1862">
        <v>26.22</v>
      </c>
      <c r="F144" s="1862">
        <v>20.87</v>
      </c>
      <c r="G144" s="1862">
        <v>378588.72</v>
      </c>
      <c r="H144" s="1862">
        <v>304.45</v>
      </c>
      <c r="I144" s="1862">
        <v>753.6799999999999</v>
      </c>
      <c r="J144" s="1862">
        <v>1089.3</v>
      </c>
      <c r="K144" s="1862">
        <v>10.48</v>
      </c>
      <c r="L144" s="1862">
        <v>917.1900000000001</v>
      </c>
      <c r="M144" s="1862">
        <v>230011.8</v>
      </c>
      <c r="N144" s="1862">
        <v>2.36</v>
      </c>
      <c r="O144" s="1862">
        <v>0</v>
      </c>
      <c r="P144" s="1862">
        <v>2.72</v>
      </c>
      <c r="Q144" s="1862">
        <v>0</v>
      </c>
      <c r="R144" s="1862">
        <v>0</v>
      </c>
      <c r="S144" s="1862">
        <v>0</v>
      </c>
      <c r="T144" s="1862">
        <v>0</v>
      </c>
      <c r="U144" s="1862">
        <v>0</v>
      </c>
      <c r="V144" s="1862">
        <v>0</v>
      </c>
      <c r="W144" s="1862">
        <v>0</v>
      </c>
      <c r="X144" s="1862">
        <v>0</v>
      </c>
    </row>
    <row r="145" ht="19" customHeight="1">
      <c r="A145" t="s" s="1858">
        <v>1181</v>
      </c>
      <c r="B145" t="s" s="1861">
        <v>1180</v>
      </c>
      <c r="C145" s="1862">
        <v>1300000</v>
      </c>
      <c r="D145" s="1862">
        <v>0</v>
      </c>
      <c r="E145" s="1862">
        <v>0</v>
      </c>
      <c r="F145" s="1862">
        <v>0</v>
      </c>
      <c r="G145" s="1862">
        <v>0</v>
      </c>
      <c r="H145" s="1862">
        <v>0</v>
      </c>
      <c r="I145" s="1862">
        <v>0</v>
      </c>
      <c r="J145" s="1862">
        <v>0</v>
      </c>
      <c r="K145" s="1862">
        <v>0</v>
      </c>
      <c r="L145" s="1862">
        <v>0</v>
      </c>
      <c r="M145" s="1862">
        <v>0</v>
      </c>
      <c r="N145" s="1862">
        <v>0</v>
      </c>
      <c r="O145" s="1862">
        <v>0</v>
      </c>
      <c r="P145" s="1862">
        <v>0</v>
      </c>
      <c r="Q145" s="1862">
        <v>0</v>
      </c>
      <c r="R145" s="1862">
        <v>0</v>
      </c>
      <c r="S145" s="1862">
        <v>0</v>
      </c>
      <c r="T145" s="1862">
        <v>0</v>
      </c>
      <c r="U145" s="1862">
        <v>0</v>
      </c>
      <c r="V145" s="1862">
        <v>0</v>
      </c>
      <c r="W145" s="1862">
        <v>0</v>
      </c>
      <c r="X145" s="1862">
        <v>0</v>
      </c>
    </row>
    <row r="146" ht="19" customHeight="1">
      <c r="A146" t="s" s="1858">
        <v>3970</v>
      </c>
      <c r="B146" t="s" s="1861">
        <v>1182</v>
      </c>
      <c r="C146" s="1862">
        <v>0</v>
      </c>
      <c r="D146" s="1862">
        <v>0</v>
      </c>
      <c r="E146" s="1862">
        <v>0</v>
      </c>
      <c r="F146" s="1862">
        <v>-218</v>
      </c>
      <c r="G146" s="1862">
        <v>0</v>
      </c>
      <c r="H146" s="1862">
        <v>0</v>
      </c>
      <c r="I146" s="1862">
        <v>0</v>
      </c>
      <c r="J146" s="1862">
        <v>0</v>
      </c>
      <c r="K146" s="1862">
        <v>0</v>
      </c>
      <c r="L146" s="1862">
        <v>0</v>
      </c>
      <c r="M146" s="1862">
        <v>775649</v>
      </c>
      <c r="N146" s="1862">
        <v>1194053</v>
      </c>
      <c r="O146" s="1862">
        <v>1033675</v>
      </c>
      <c r="P146" s="1862">
        <v>657178</v>
      </c>
      <c r="Q146" s="1862">
        <v>395607</v>
      </c>
      <c r="R146" s="1862">
        <v>0</v>
      </c>
      <c r="S146" s="1862">
        <v>0</v>
      </c>
      <c r="T146" s="1862">
        <v>0</v>
      </c>
      <c r="U146" s="1862">
        <v>0</v>
      </c>
      <c r="V146" s="1862">
        <v>0</v>
      </c>
      <c r="W146" s="1862">
        <v>0</v>
      </c>
      <c r="X146" s="1862">
        <v>0</v>
      </c>
    </row>
    <row r="147" ht="19" customHeight="1">
      <c r="A147" t="s" s="1858">
        <v>3971</v>
      </c>
      <c r="B147" t="s" s="1861">
        <v>1184</v>
      </c>
      <c r="C147" s="1862">
        <v>0</v>
      </c>
      <c r="D147" s="1862">
        <v>0</v>
      </c>
      <c r="E147" s="1862">
        <v>0</v>
      </c>
      <c r="F147" s="1862">
        <v>0</v>
      </c>
      <c r="G147" s="1862">
        <v>0</v>
      </c>
      <c r="H147" s="1862">
        <v>0</v>
      </c>
      <c r="I147" s="1862">
        <v>0</v>
      </c>
      <c r="J147" s="1862">
        <v>0</v>
      </c>
      <c r="K147" s="1862">
        <v>0</v>
      </c>
      <c r="L147" s="1862">
        <v>0</v>
      </c>
      <c r="M147" s="1862">
        <v>0</v>
      </c>
      <c r="N147" s="1862">
        <v>0</v>
      </c>
      <c r="O147" s="1862">
        <v>0</v>
      </c>
      <c r="P147" s="1862">
        <v>0</v>
      </c>
      <c r="Q147" s="1862">
        <v>0</v>
      </c>
      <c r="R147" s="1862">
        <v>0</v>
      </c>
      <c r="S147" s="1862">
        <v>0</v>
      </c>
      <c r="T147" s="1862">
        <v>119480793.53</v>
      </c>
      <c r="U147" s="1862">
        <v>0</v>
      </c>
      <c r="V147" s="1862">
        <v>257973214.29</v>
      </c>
      <c r="W147" s="1862">
        <v>0</v>
      </c>
      <c r="X147" s="1862">
        <v>0</v>
      </c>
    </row>
    <row r="148" ht="19" customHeight="1">
      <c r="A148" t="s" s="1858">
        <v>3880</v>
      </c>
      <c r="B148" t="s" s="1861">
        <v>1185</v>
      </c>
      <c r="C148" s="1862">
        <v>0</v>
      </c>
      <c r="D148" s="1862">
        <v>0</v>
      </c>
      <c r="E148" s="1862">
        <v>0</v>
      </c>
      <c r="F148" s="1862">
        <v>0</v>
      </c>
      <c r="G148" s="1862">
        <v>0</v>
      </c>
      <c r="H148" s="1862">
        <v>0</v>
      </c>
      <c r="I148" s="1862">
        <v>0</v>
      </c>
      <c r="J148" s="1862">
        <v>0</v>
      </c>
      <c r="K148" s="1862">
        <v>0</v>
      </c>
      <c r="L148" s="1862">
        <v>0</v>
      </c>
      <c r="M148" s="1862">
        <v>0</v>
      </c>
      <c r="N148" s="1862">
        <v>209000</v>
      </c>
      <c r="O148" s="1862">
        <v>635000</v>
      </c>
      <c r="P148" s="1862">
        <v>1690850</v>
      </c>
      <c r="Q148" s="1862">
        <v>0</v>
      </c>
      <c r="R148" s="1862">
        <v>0</v>
      </c>
      <c r="S148" s="1862">
        <v>0</v>
      </c>
      <c r="T148" s="1862">
        <v>0</v>
      </c>
      <c r="U148" s="1862">
        <v>0</v>
      </c>
      <c r="V148" s="1862">
        <v>0</v>
      </c>
      <c r="W148" s="1862">
        <v>0</v>
      </c>
      <c r="X148" s="1862">
        <v>0</v>
      </c>
    </row>
    <row r="149" ht="19" customHeight="1">
      <c r="A149" t="s" s="1858">
        <v>3881</v>
      </c>
      <c r="B149" t="s" s="1861">
        <v>1186</v>
      </c>
      <c r="C149" s="1862">
        <v>6641227</v>
      </c>
      <c r="D149" s="1862">
        <v>6647577</v>
      </c>
      <c r="E149" s="1862">
        <v>6488287</v>
      </c>
      <c r="F149" s="1862">
        <v>5532469</v>
      </c>
      <c r="G149" s="1862">
        <v>4645830</v>
      </c>
      <c r="H149" s="1862">
        <v>6019821</v>
      </c>
      <c r="I149" s="1862">
        <v>3352855</v>
      </c>
      <c r="J149" s="1862">
        <v>3201487</v>
      </c>
      <c r="K149" s="1862">
        <v>1612130</v>
      </c>
      <c r="L149" s="1862">
        <v>1198441</v>
      </c>
      <c r="M149" s="1862">
        <v>3653072</v>
      </c>
      <c r="N149" s="1862">
        <v>1313218</v>
      </c>
      <c r="O149" s="1862">
        <v>4396836</v>
      </c>
      <c r="P149" s="1862">
        <v>3393920</v>
      </c>
      <c r="Q149" s="1862">
        <v>3698872</v>
      </c>
      <c r="R149" s="1862">
        <v>1157424</v>
      </c>
      <c r="S149" s="1862">
        <v>2794896</v>
      </c>
      <c r="T149" s="1862">
        <v>3101932</v>
      </c>
      <c r="U149" s="1862">
        <v>1219712</v>
      </c>
      <c r="V149" s="1862">
        <v>3249242</v>
      </c>
      <c r="W149" s="1862">
        <v>1434628</v>
      </c>
      <c r="X149" s="1862">
        <v>227621</v>
      </c>
    </row>
    <row r="150" ht="19" customHeight="1">
      <c r="A150" t="s" s="1858">
        <v>3882</v>
      </c>
      <c r="B150" t="s" s="1861">
        <v>1187</v>
      </c>
      <c r="C150" s="1862">
        <v>9003272</v>
      </c>
      <c r="D150" s="1862">
        <v>13157971</v>
      </c>
      <c r="E150" s="1862">
        <v>10403714</v>
      </c>
      <c r="F150" s="1862">
        <v>9682869</v>
      </c>
      <c r="G150" s="1862">
        <v>10094668</v>
      </c>
      <c r="H150" s="1862">
        <v>5736368</v>
      </c>
      <c r="I150" s="1862">
        <v>16613213</v>
      </c>
      <c r="J150" s="1862">
        <v>2011299</v>
      </c>
      <c r="K150" s="1862">
        <v>1229016</v>
      </c>
      <c r="L150" s="1862">
        <v>2076546</v>
      </c>
      <c r="M150" s="1862">
        <v>3393182</v>
      </c>
      <c r="N150" s="1862">
        <v>3268215</v>
      </c>
      <c r="O150" s="1862">
        <v>4432746</v>
      </c>
      <c r="P150" s="1862">
        <v>8929292</v>
      </c>
      <c r="Q150" s="1862">
        <v>2723410</v>
      </c>
      <c r="R150" s="1862">
        <v>2188688</v>
      </c>
      <c r="S150" s="1862">
        <v>7568296</v>
      </c>
      <c r="T150" s="1862">
        <v>602028</v>
      </c>
      <c r="U150" s="1862">
        <v>2387260</v>
      </c>
      <c r="V150" s="1862">
        <v>1033397</v>
      </c>
      <c r="W150" s="1862">
        <v>87500</v>
      </c>
      <c r="X150" s="1862">
        <v>1056404</v>
      </c>
    </row>
    <row r="151" ht="19" customHeight="1">
      <c r="A151" t="s" s="1858">
        <v>3883</v>
      </c>
      <c r="B151" t="s" s="1861">
        <v>1188</v>
      </c>
      <c r="C151" s="1862">
        <v>4665164</v>
      </c>
      <c r="D151" s="1862">
        <v>4665164</v>
      </c>
      <c r="E151" s="1862">
        <v>4665164</v>
      </c>
      <c r="F151" s="1862">
        <v>4665164</v>
      </c>
      <c r="G151" s="1862">
        <v>4665164</v>
      </c>
      <c r="H151" s="1862">
        <v>4665164</v>
      </c>
      <c r="I151" s="1862">
        <v>3835288</v>
      </c>
      <c r="J151" s="1862">
        <v>3835288</v>
      </c>
      <c r="K151" s="1862">
        <v>3835288</v>
      </c>
      <c r="L151" s="1862">
        <v>3835288</v>
      </c>
      <c r="M151" s="1862">
        <v>3835288</v>
      </c>
      <c r="N151" s="1862">
        <v>3835288</v>
      </c>
      <c r="O151" s="1862">
        <v>3835288</v>
      </c>
      <c r="P151" s="1862">
        <v>3835288</v>
      </c>
      <c r="Q151" s="1862">
        <v>3835288</v>
      </c>
      <c r="R151" s="1862">
        <v>3835288</v>
      </c>
      <c r="S151" s="1862">
        <v>3835288</v>
      </c>
      <c r="T151" s="1862">
        <v>3835288</v>
      </c>
      <c r="U151" s="1862">
        <v>3835288</v>
      </c>
      <c r="V151" s="1862">
        <v>3835288</v>
      </c>
      <c r="W151" s="1862">
        <v>3835288</v>
      </c>
      <c r="X151" s="1862">
        <v>1143887</v>
      </c>
    </row>
    <row r="152" ht="19" customHeight="1">
      <c r="A152" t="s" s="1858">
        <v>3884</v>
      </c>
      <c r="B152" t="s" s="1861">
        <v>1189</v>
      </c>
      <c r="C152" s="1862">
        <v>9896311</v>
      </c>
      <c r="D152" s="1862">
        <v>7364367</v>
      </c>
      <c r="E152" s="1862">
        <v>7752788</v>
      </c>
      <c r="F152" s="1862">
        <v>5398581</v>
      </c>
      <c r="G152" s="1862">
        <v>3259979</v>
      </c>
      <c r="H152" s="1862">
        <v>4132209</v>
      </c>
      <c r="I152" s="1862">
        <v>2493906</v>
      </c>
      <c r="J152" s="1862">
        <v>2986411</v>
      </c>
      <c r="K152" s="1862">
        <v>5884847</v>
      </c>
      <c r="L152" s="1862">
        <v>2377351</v>
      </c>
      <c r="M152" s="1862">
        <v>628525</v>
      </c>
      <c r="N152" s="1862">
        <v>2080740</v>
      </c>
      <c r="O152" s="1862">
        <v>1703381</v>
      </c>
      <c r="P152" s="1862">
        <v>2813935</v>
      </c>
      <c r="Q152" s="1862">
        <v>3396689</v>
      </c>
      <c r="R152" s="1862">
        <v>1890787</v>
      </c>
      <c r="S152" s="1862">
        <v>2125924</v>
      </c>
      <c r="T152" s="1862">
        <v>4130000</v>
      </c>
      <c r="U152" s="1862">
        <v>1580000</v>
      </c>
      <c r="V152" s="1862">
        <v>423790</v>
      </c>
      <c r="W152" s="1862">
        <v>40000</v>
      </c>
      <c r="X152" s="1862">
        <v>1441068</v>
      </c>
    </row>
    <row r="153" ht="19" customHeight="1">
      <c r="A153" t="s" s="1858">
        <v>3885</v>
      </c>
      <c r="B153" t="s" s="1861">
        <v>1190</v>
      </c>
      <c r="C153" s="1862">
        <v>0</v>
      </c>
      <c r="D153" s="1862">
        <v>0</v>
      </c>
      <c r="E153" s="1862">
        <v>0</v>
      </c>
      <c r="F153" s="1862">
        <v>0</v>
      </c>
      <c r="G153" s="1862">
        <v>0</v>
      </c>
      <c r="H153" s="1862">
        <v>2992000</v>
      </c>
      <c r="I153" s="1862">
        <v>0</v>
      </c>
      <c r="J153" s="1862">
        <v>0</v>
      </c>
      <c r="K153" s="1862">
        <v>0</v>
      </c>
      <c r="L153" s="1862">
        <v>0</v>
      </c>
      <c r="M153" s="1862">
        <v>0</v>
      </c>
      <c r="N153" s="1862">
        <v>0</v>
      </c>
      <c r="O153" s="1862">
        <v>0</v>
      </c>
      <c r="P153" s="1862">
        <v>0</v>
      </c>
      <c r="Q153" s="1862">
        <v>0</v>
      </c>
      <c r="R153" s="1862">
        <v>0</v>
      </c>
      <c r="S153" s="1862">
        <v>0</v>
      </c>
      <c r="T153" s="1862">
        <v>0</v>
      </c>
      <c r="U153" s="1862">
        <v>0</v>
      </c>
      <c r="V153" s="1862">
        <v>0</v>
      </c>
      <c r="W153" s="1862">
        <v>0</v>
      </c>
      <c r="X153" s="1862">
        <v>65504</v>
      </c>
    </row>
    <row r="154" ht="19" customHeight="1">
      <c r="A154" t="s" s="1858">
        <v>1192</v>
      </c>
      <c r="B154" t="s" s="1861">
        <v>1191</v>
      </c>
      <c r="C154" s="1862">
        <v>0</v>
      </c>
      <c r="D154" s="1862">
        <v>0</v>
      </c>
      <c r="E154" s="1862">
        <v>0</v>
      </c>
      <c r="F154" s="1862">
        <v>0</v>
      </c>
      <c r="G154" s="1862">
        <v>0</v>
      </c>
      <c r="H154" s="1862">
        <v>0</v>
      </c>
      <c r="I154" s="1862">
        <v>0</v>
      </c>
      <c r="J154" s="1862">
        <v>19999999</v>
      </c>
      <c r="K154" s="1862">
        <v>0</v>
      </c>
      <c r="L154" s="1862">
        <v>0</v>
      </c>
      <c r="M154" s="1862">
        <v>0</v>
      </c>
      <c r="N154" s="1862">
        <v>0</v>
      </c>
      <c r="O154" s="1862">
        <v>0</v>
      </c>
      <c r="P154" s="1862">
        <v>0</v>
      </c>
      <c r="Q154" s="1862">
        <v>0</v>
      </c>
      <c r="R154" s="1862">
        <v>0</v>
      </c>
      <c r="S154" s="1862">
        <v>0</v>
      </c>
      <c r="T154" s="1862">
        <v>0</v>
      </c>
      <c r="U154" s="1862">
        <v>0</v>
      </c>
      <c r="V154" s="1862">
        <v>20000000</v>
      </c>
      <c r="W154" s="1862">
        <v>0</v>
      </c>
      <c r="X154" s="1862">
        <v>0</v>
      </c>
    </row>
    <row r="155" ht="19" customHeight="1">
      <c r="A155" t="s" s="1858">
        <v>3972</v>
      </c>
      <c r="B155" t="s" s="1861">
        <v>1194</v>
      </c>
      <c r="C155" s="1862">
        <v>0</v>
      </c>
      <c r="D155" s="1862">
        <v>0</v>
      </c>
      <c r="E155" s="1862">
        <v>0</v>
      </c>
      <c r="F155" s="1862">
        <v>0</v>
      </c>
      <c r="G155" s="1862">
        <v>0</v>
      </c>
      <c r="H155" s="1862">
        <v>0</v>
      </c>
      <c r="I155" s="1862">
        <v>0</v>
      </c>
      <c r="J155" s="1862">
        <v>0</v>
      </c>
      <c r="K155" s="1862">
        <v>0</v>
      </c>
      <c r="L155" s="1862">
        <v>0</v>
      </c>
      <c r="M155" s="1862">
        <v>0</v>
      </c>
      <c r="N155" s="1862">
        <v>0</v>
      </c>
      <c r="O155" s="1862">
        <v>0</v>
      </c>
      <c r="P155" s="1862">
        <v>0</v>
      </c>
      <c r="Q155" s="1862">
        <v>0</v>
      </c>
      <c r="R155" s="1862">
        <v>0</v>
      </c>
      <c r="S155" s="1862">
        <v>0</v>
      </c>
      <c r="T155" s="1862">
        <v>0</v>
      </c>
      <c r="U155" s="1862">
        <v>0</v>
      </c>
      <c r="V155" s="1862">
        <v>0</v>
      </c>
      <c r="W155" s="1862">
        <v>322643</v>
      </c>
      <c r="X155" s="1862">
        <v>0</v>
      </c>
    </row>
    <row r="156" ht="19" customHeight="1">
      <c r="A156" t="s" s="1858">
        <v>1196</v>
      </c>
      <c r="B156" t="s" s="1861">
        <v>1195</v>
      </c>
      <c r="C156" s="1862">
        <v>0</v>
      </c>
      <c r="D156" s="1862">
        <v>0</v>
      </c>
      <c r="E156" s="1862">
        <v>0</v>
      </c>
      <c r="F156" s="1862">
        <v>0</v>
      </c>
      <c r="G156" s="1862">
        <v>0</v>
      </c>
      <c r="H156" s="1862">
        <v>4318339</v>
      </c>
      <c r="I156" s="1862">
        <v>0</v>
      </c>
      <c r="J156" s="1862">
        <v>0</v>
      </c>
      <c r="K156" s="1862">
        <v>0</v>
      </c>
      <c r="L156" s="1862">
        <v>0</v>
      </c>
      <c r="M156" s="1862">
        <v>0</v>
      </c>
      <c r="N156" s="1862">
        <v>0</v>
      </c>
      <c r="O156" s="1862">
        <v>0</v>
      </c>
      <c r="P156" s="1862">
        <v>0</v>
      </c>
      <c r="Q156" s="1862">
        <v>0</v>
      </c>
      <c r="R156" s="1862">
        <v>0</v>
      </c>
      <c r="S156" s="1862">
        <v>0</v>
      </c>
      <c r="T156" s="1862">
        <v>0</v>
      </c>
      <c r="U156" s="1862">
        <v>0</v>
      </c>
      <c r="V156" s="1862">
        <v>0</v>
      </c>
      <c r="W156" s="1862">
        <v>0</v>
      </c>
      <c r="X156" s="1862">
        <v>0</v>
      </c>
    </row>
    <row r="157" ht="19" customHeight="1">
      <c r="A157" t="s" s="1858">
        <v>1198</v>
      </c>
      <c r="B157" t="s" s="1861">
        <v>1197</v>
      </c>
      <c r="C157" s="1862">
        <v>381666755.5</v>
      </c>
      <c r="D157" s="1862">
        <v>411334258.9</v>
      </c>
      <c r="E157" s="1862">
        <v>456300764.8</v>
      </c>
      <c r="F157" s="1862">
        <v>88492754.3</v>
      </c>
      <c r="G157" s="1862">
        <v>345420119.63</v>
      </c>
      <c r="H157" s="1862">
        <v>300464628.55</v>
      </c>
      <c r="I157" s="1862">
        <v>327924633.1</v>
      </c>
      <c r="J157" s="1862">
        <v>148653629.7</v>
      </c>
      <c r="K157" s="1862">
        <v>111768088.6</v>
      </c>
      <c r="L157" s="1862">
        <v>155686998.95</v>
      </c>
      <c r="M157" s="1862">
        <v>0</v>
      </c>
      <c r="N157" s="1862">
        <v>0</v>
      </c>
      <c r="O157" s="1862">
        <v>0</v>
      </c>
      <c r="P157" s="1862">
        <v>0</v>
      </c>
      <c r="Q157" s="1862">
        <v>0</v>
      </c>
      <c r="R157" s="1862">
        <v>0</v>
      </c>
      <c r="S157" s="1862">
        <v>0</v>
      </c>
      <c r="T157" s="1862">
        <v>0</v>
      </c>
      <c r="U157" s="1862">
        <v>0</v>
      </c>
      <c r="V157" s="1862">
        <v>0</v>
      </c>
      <c r="W157" s="1862">
        <v>0</v>
      </c>
      <c r="X157" s="1862">
        <v>0</v>
      </c>
    </row>
    <row r="158" ht="20.5" customHeight="1">
      <c r="A158" s="1789"/>
      <c r="B158" t="s" s="1863">
        <v>3973</v>
      </c>
      <c r="C158" s="1864">
        <v>2291442224.55</v>
      </c>
      <c r="D158" s="1864">
        <v>2305374040.66</v>
      </c>
      <c r="E158" s="1864">
        <v>2450671558.52</v>
      </c>
      <c r="F158" s="1864">
        <v>1990618187.89</v>
      </c>
      <c r="G158" s="1864">
        <v>2243425246.67</v>
      </c>
      <c r="H158" s="1864">
        <v>2073800774.95</v>
      </c>
      <c r="I158" s="1864">
        <v>1581521866.61</v>
      </c>
      <c r="J158" s="1864">
        <v>1129638585.5</v>
      </c>
      <c r="K158" s="1864">
        <v>1067958573.94</v>
      </c>
      <c r="L158" s="1864">
        <v>1370588638.16</v>
      </c>
      <c r="M158" s="1864">
        <v>1278064976.46</v>
      </c>
      <c r="N158" s="1864">
        <v>1570716444.17</v>
      </c>
      <c r="O158" s="1864">
        <v>1678611583.79</v>
      </c>
      <c r="P158" s="1864">
        <v>1404761768.33</v>
      </c>
      <c r="Q158" s="1864">
        <v>1456131097.41</v>
      </c>
      <c r="R158" s="1864">
        <v>1260993836.16</v>
      </c>
      <c r="S158" s="1864">
        <v>908261803.91</v>
      </c>
      <c r="T158" s="1864">
        <v>800104014.6900001</v>
      </c>
      <c r="U158" s="1864">
        <v>736133353.92</v>
      </c>
      <c r="V158" s="1864">
        <v>989132513.39</v>
      </c>
      <c r="W158" s="1864">
        <v>486225418.07</v>
      </c>
      <c r="X158" s="1864">
        <v>1171499572.94</v>
      </c>
    </row>
    <row r="159" ht="13.55" customHeight="1">
      <c r="A159" s="1789"/>
      <c r="B159" s="1832"/>
      <c r="C159" s="1832"/>
      <c r="D159" s="1832"/>
      <c r="E159" s="1832"/>
      <c r="F159" s="1832"/>
      <c r="G159" s="1832"/>
      <c r="H159" s="1832"/>
      <c r="I159" s="1832"/>
      <c r="J159" s="1832"/>
      <c r="K159" s="1832"/>
      <c r="L159" s="1832"/>
      <c r="M159" s="1832"/>
      <c r="N159" s="1832"/>
      <c r="O159" s="1832"/>
      <c r="P159" s="1832"/>
      <c r="Q159" s="1832"/>
      <c r="R159" s="1832"/>
      <c r="S159" s="1832"/>
      <c r="T159" s="1832"/>
      <c r="U159" s="1832"/>
      <c r="V159" s="1832"/>
      <c r="W159" s="1832"/>
      <c r="X159" s="1832"/>
    </row>
    <row r="160" ht="21" customHeight="1">
      <c r="A160" s="1789"/>
      <c r="B160" t="s" s="1867">
        <v>3974</v>
      </c>
      <c r="C160" s="1864">
        <v>1875429360.21</v>
      </c>
      <c r="D160" s="1864">
        <v>955529926.9</v>
      </c>
      <c r="E160" s="1864">
        <v>1759591660.84</v>
      </c>
      <c r="F160" s="1864">
        <v>1815657882.48</v>
      </c>
      <c r="G160" s="1864">
        <v>1497020669.88</v>
      </c>
      <c r="H160" s="1864">
        <v>1197136173.1</v>
      </c>
      <c r="I160" s="1864">
        <v>2083141150.18</v>
      </c>
      <c r="J160" s="1864">
        <v>45120272.6999998</v>
      </c>
      <c r="K160" s="1864">
        <v>-174798284.84</v>
      </c>
      <c r="L160" s="1864">
        <v>236830950.19</v>
      </c>
      <c r="M160" s="1864">
        <v>595627887.37</v>
      </c>
      <c r="N160" s="1864">
        <v>894049729.1</v>
      </c>
      <c r="O160" s="1864">
        <v>1144871153.19</v>
      </c>
      <c r="P160" s="1864">
        <v>1842972006.35</v>
      </c>
      <c r="Q160" s="1864">
        <v>2499283994.59</v>
      </c>
      <c r="R160" s="1864">
        <v>2243715227.54</v>
      </c>
      <c r="S160" s="1864">
        <v>1447928675.09</v>
      </c>
      <c r="T160" s="1864">
        <v>1411640650.14</v>
      </c>
      <c r="U160" s="1864">
        <v>474450093.08</v>
      </c>
      <c r="V160" s="1864">
        <v>-192607806.39</v>
      </c>
      <c r="W160" s="1864">
        <v>-10166459.1099999</v>
      </c>
      <c r="X160" s="1864">
        <v>-168215013</v>
      </c>
    </row>
    <row r="161" ht="21" customHeight="1">
      <c r="A161" s="1789"/>
      <c r="B161" t="s" s="1865">
        <v>3975</v>
      </c>
      <c r="C161" s="1866">
        <v>4297690</v>
      </c>
      <c r="D161" s="1866">
        <v>7989379.98</v>
      </c>
      <c r="E161" s="1866">
        <v>4938459</v>
      </c>
      <c r="F161" s="1866">
        <v>6426917.56</v>
      </c>
      <c r="G161" s="1866">
        <v>6774057</v>
      </c>
      <c r="H161" s="1866">
        <v>3787038</v>
      </c>
      <c r="I161" s="1866">
        <v>2550430</v>
      </c>
      <c r="J161" s="1866">
        <v>2699543.09</v>
      </c>
      <c r="K161" s="1866">
        <v>2714330.95</v>
      </c>
      <c r="L161" s="1866">
        <v>2235149.33</v>
      </c>
      <c r="M161" s="1866">
        <v>4933721.16</v>
      </c>
      <c r="N161" s="1866">
        <v>10733318.04</v>
      </c>
      <c r="O161" s="1866">
        <v>10815300.08</v>
      </c>
      <c r="P161" s="1866">
        <v>4203006.24</v>
      </c>
      <c r="Q161" s="1866">
        <v>13441110.39</v>
      </c>
      <c r="R161" s="1866">
        <v>20335365.16</v>
      </c>
      <c r="S161" s="1866">
        <v>19173553.06</v>
      </c>
      <c r="T161" s="1866">
        <v>210758.26</v>
      </c>
      <c r="U161" s="1866">
        <v>457798.59</v>
      </c>
      <c r="V161" s="1866">
        <v>422030.88</v>
      </c>
      <c r="W161" s="1866">
        <v>256920.34</v>
      </c>
      <c r="X161" s="1866">
        <v>4702231.7</v>
      </c>
    </row>
    <row r="162" ht="19" customHeight="1">
      <c r="A162" t="s" s="1858">
        <v>3838</v>
      </c>
      <c r="B162" t="s" s="1859">
        <v>3839</v>
      </c>
      <c r="C162" s="1860">
        <v>4297690</v>
      </c>
      <c r="D162" s="1860">
        <v>7989377.98</v>
      </c>
      <c r="E162" s="1860">
        <v>4938459</v>
      </c>
      <c r="F162" s="1860">
        <v>6426917.56</v>
      </c>
      <c r="G162" s="1860">
        <v>6774057</v>
      </c>
      <c r="H162" s="1860">
        <v>3787038</v>
      </c>
      <c r="I162" s="1860">
        <v>2550430</v>
      </c>
      <c r="J162" s="1860">
        <v>2699542.09</v>
      </c>
      <c r="K162" s="1860">
        <v>2714330.95</v>
      </c>
      <c r="L162" s="1860">
        <v>2235149.33</v>
      </c>
      <c r="M162" s="1860">
        <v>4933721.16</v>
      </c>
      <c r="N162" s="1860">
        <v>6179978</v>
      </c>
      <c r="O162" s="1860">
        <v>6880300</v>
      </c>
      <c r="P162" s="1860">
        <v>4203005.88</v>
      </c>
      <c r="Q162" s="1860">
        <v>3641110.39</v>
      </c>
      <c r="R162" s="1860">
        <v>1041075.16</v>
      </c>
      <c r="S162" s="1860">
        <v>635053.0600000001</v>
      </c>
      <c r="T162" s="1860">
        <v>210758.26</v>
      </c>
      <c r="U162" s="1860">
        <v>169105.59</v>
      </c>
      <c r="V162" s="1860">
        <v>284042.88</v>
      </c>
      <c r="W162" s="1860">
        <v>256920.34</v>
      </c>
      <c r="X162" s="1860">
        <v>178966.7</v>
      </c>
    </row>
    <row r="163" ht="19" customHeight="1">
      <c r="A163" t="s" s="1858">
        <v>3976</v>
      </c>
      <c r="B163" t="s" s="1861">
        <v>1087</v>
      </c>
      <c r="C163" s="1862">
        <v>0</v>
      </c>
      <c r="D163" s="1862">
        <v>2</v>
      </c>
      <c r="E163" s="1862">
        <v>0</v>
      </c>
      <c r="F163" s="1862">
        <v>0</v>
      </c>
      <c r="G163" s="1862">
        <v>0</v>
      </c>
      <c r="H163" s="1862">
        <v>0</v>
      </c>
      <c r="I163" s="1862">
        <v>0</v>
      </c>
      <c r="J163" s="1862">
        <v>1</v>
      </c>
      <c r="K163" s="1862">
        <v>0</v>
      </c>
      <c r="L163" s="1862">
        <v>0</v>
      </c>
      <c r="M163" s="1862">
        <v>0</v>
      </c>
      <c r="N163" s="1862">
        <v>4344340.04</v>
      </c>
      <c r="O163" s="1862">
        <v>3300000.08</v>
      </c>
      <c r="P163" s="1862">
        <v>0.36</v>
      </c>
      <c r="Q163" s="1862">
        <v>9800000</v>
      </c>
      <c r="R163" s="1862">
        <v>19294290</v>
      </c>
      <c r="S163" s="1862">
        <v>18538500</v>
      </c>
      <c r="T163" s="1862">
        <v>0</v>
      </c>
      <c r="U163" s="1862">
        <v>288693</v>
      </c>
      <c r="V163" s="1862">
        <v>137988</v>
      </c>
      <c r="W163" s="1862">
        <v>0</v>
      </c>
      <c r="X163" s="1862">
        <v>4523265</v>
      </c>
    </row>
    <row r="164" ht="19" customHeight="1">
      <c r="A164" t="s" s="1858">
        <v>3977</v>
      </c>
      <c r="B164" t="s" s="1861">
        <v>3919</v>
      </c>
      <c r="C164" s="1862">
        <v>0</v>
      </c>
      <c r="D164" s="1862">
        <v>0</v>
      </c>
      <c r="E164" s="1862">
        <v>0</v>
      </c>
      <c r="F164" s="1862">
        <v>0</v>
      </c>
      <c r="G164" s="1862">
        <v>0</v>
      </c>
      <c r="H164" s="1862">
        <v>0</v>
      </c>
      <c r="I164" s="1862">
        <v>0</v>
      </c>
      <c r="J164" s="1862">
        <v>0</v>
      </c>
      <c r="K164" s="1862">
        <v>0</v>
      </c>
      <c r="L164" s="1862">
        <v>0</v>
      </c>
      <c r="M164" s="1862">
        <v>0</v>
      </c>
      <c r="N164" s="1862">
        <v>209000</v>
      </c>
      <c r="O164" s="1862">
        <v>635000</v>
      </c>
      <c r="P164" s="1862">
        <v>0</v>
      </c>
      <c r="Q164" s="1862">
        <v>0</v>
      </c>
      <c r="R164" s="1862">
        <v>0</v>
      </c>
      <c r="S164" s="1862">
        <v>0</v>
      </c>
      <c r="T164" s="1862">
        <v>0</v>
      </c>
      <c r="U164" s="1862">
        <v>0</v>
      </c>
      <c r="V164" s="1862">
        <v>0</v>
      </c>
      <c r="W164" s="1862">
        <v>0</v>
      </c>
      <c r="X164" s="1862">
        <v>0</v>
      </c>
    </row>
    <row r="165" ht="20.5" customHeight="1">
      <c r="A165" s="1789"/>
      <c r="B165" t="s" s="1863">
        <v>3978</v>
      </c>
      <c r="C165" s="1864">
        <v>4297690</v>
      </c>
      <c r="D165" s="1864">
        <v>7989379.98</v>
      </c>
      <c r="E165" s="1864">
        <v>4938459</v>
      </c>
      <c r="F165" s="1864">
        <v>6426917.56</v>
      </c>
      <c r="G165" s="1864">
        <v>6774057</v>
      </c>
      <c r="H165" s="1864">
        <v>3787038</v>
      </c>
      <c r="I165" s="1864">
        <v>2550430</v>
      </c>
      <c r="J165" s="1864">
        <v>2699543.09</v>
      </c>
      <c r="K165" s="1864">
        <v>2714330.95</v>
      </c>
      <c r="L165" s="1864">
        <v>2235149.33</v>
      </c>
      <c r="M165" s="1864">
        <v>4933721.16</v>
      </c>
      <c r="N165" s="1864">
        <v>10733318.04</v>
      </c>
      <c r="O165" s="1864">
        <v>10815300.08</v>
      </c>
      <c r="P165" s="1864">
        <v>4203006.24</v>
      </c>
      <c r="Q165" s="1864">
        <v>13441110.39</v>
      </c>
      <c r="R165" s="1864">
        <v>20335365.16</v>
      </c>
      <c r="S165" s="1864">
        <v>19173553.06</v>
      </c>
      <c r="T165" s="1864">
        <v>210758.26</v>
      </c>
      <c r="U165" s="1864">
        <v>457798.59</v>
      </c>
      <c r="V165" s="1864">
        <v>422030.88</v>
      </c>
      <c r="W165" s="1864">
        <v>256920.34</v>
      </c>
      <c r="X165" s="1864">
        <v>4702231.7</v>
      </c>
    </row>
    <row r="166" ht="20.5" customHeight="1">
      <c r="A166" s="1789"/>
      <c r="B166" t="s" s="1865">
        <v>3979</v>
      </c>
      <c r="C166" s="1866">
        <v>128339267.87</v>
      </c>
      <c r="D166" s="1866">
        <v>127631619.09</v>
      </c>
      <c r="E166" s="1866">
        <v>122537686.56</v>
      </c>
      <c r="F166" s="1866">
        <v>120735188</v>
      </c>
      <c r="G166" s="1866">
        <v>122849067.08</v>
      </c>
      <c r="H166" s="1866">
        <v>115587220.74</v>
      </c>
      <c r="I166" s="1866">
        <v>98572336.47</v>
      </c>
      <c r="J166" s="1866">
        <v>91907878.52</v>
      </c>
      <c r="K166" s="1866">
        <v>89802321.75</v>
      </c>
      <c r="L166" s="1866">
        <v>67630741.27</v>
      </c>
      <c r="M166" s="1866">
        <v>55296297.3</v>
      </c>
      <c r="N166" s="1866">
        <v>54953347.37</v>
      </c>
      <c r="O166" s="1866">
        <v>39260073.78</v>
      </c>
      <c r="P166" s="1866">
        <v>37409726.46</v>
      </c>
      <c r="Q166" s="1866">
        <v>36220783.07</v>
      </c>
      <c r="R166" s="1866">
        <v>37506082.68</v>
      </c>
      <c r="S166" s="1866">
        <v>34411839.89</v>
      </c>
      <c r="T166" s="1866">
        <v>30889936.36</v>
      </c>
      <c r="U166" s="1866">
        <v>14496932.67</v>
      </c>
      <c r="V166" s="1866">
        <v>21484029.65</v>
      </c>
      <c r="W166" s="1866">
        <v>0</v>
      </c>
      <c r="X166" s="1866">
        <v>18657043.91</v>
      </c>
    </row>
    <row r="167" ht="19" customHeight="1">
      <c r="A167" t="s" s="1858">
        <v>1201</v>
      </c>
      <c r="B167" t="s" s="1859">
        <v>1200</v>
      </c>
      <c r="C167" s="1860">
        <v>18208333.34</v>
      </c>
      <c r="D167" s="1860">
        <v>18208333.33</v>
      </c>
      <c r="E167" s="1860">
        <v>15000000</v>
      </c>
      <c r="F167" s="1860">
        <v>15000000</v>
      </c>
      <c r="G167" s="1860">
        <v>15000000</v>
      </c>
      <c r="H167" s="1860">
        <v>15000000</v>
      </c>
      <c r="I167" s="1860">
        <v>15000000</v>
      </c>
      <c r="J167" s="1860">
        <v>9193548.390000001</v>
      </c>
      <c r="K167" s="1860">
        <v>7500000</v>
      </c>
      <c r="L167" s="1860">
        <v>7500000</v>
      </c>
      <c r="M167" s="1860">
        <v>7500000</v>
      </c>
      <c r="N167" s="1860">
        <v>7500000</v>
      </c>
      <c r="O167" s="1860">
        <v>7500000</v>
      </c>
      <c r="P167" s="1860">
        <v>7500000</v>
      </c>
      <c r="Q167" s="1860">
        <v>7500000</v>
      </c>
      <c r="R167" s="1860">
        <v>7500000</v>
      </c>
      <c r="S167" s="1860">
        <v>7500000</v>
      </c>
      <c r="T167" s="1860">
        <v>5806451.61</v>
      </c>
      <c r="U167" s="1860">
        <v>0</v>
      </c>
      <c r="V167" s="1860">
        <v>2100000</v>
      </c>
      <c r="W167" s="1860">
        <v>0</v>
      </c>
      <c r="X167" s="1860">
        <v>0</v>
      </c>
    </row>
    <row r="168" ht="19" customHeight="1">
      <c r="A168" t="s" s="1858">
        <v>1204</v>
      </c>
      <c r="B168" t="s" s="1861">
        <v>1203</v>
      </c>
      <c r="C168" s="1862">
        <v>15696563.58</v>
      </c>
      <c r="D168" s="1862">
        <v>15696563.58</v>
      </c>
      <c r="E168" s="1862">
        <v>15696563.58</v>
      </c>
      <c r="F168" s="1862">
        <v>15696563.58</v>
      </c>
      <c r="G168" s="1862">
        <v>15696563.58</v>
      </c>
      <c r="H168" s="1862">
        <v>15696563.58</v>
      </c>
      <c r="I168" s="1862">
        <v>15477535.55</v>
      </c>
      <c r="J168" s="1862">
        <v>15350729.85</v>
      </c>
      <c r="K168" s="1862">
        <v>15350729.85</v>
      </c>
      <c r="L168" s="1862">
        <v>15350729.85</v>
      </c>
      <c r="M168" s="1862">
        <v>15350729.85</v>
      </c>
      <c r="N168" s="1862">
        <v>15350729.85</v>
      </c>
      <c r="O168" s="1862">
        <v>495184.83</v>
      </c>
      <c r="P168" s="1862">
        <v>0</v>
      </c>
      <c r="Q168" s="1862">
        <v>0</v>
      </c>
      <c r="R168" s="1862">
        <v>0</v>
      </c>
      <c r="S168" s="1862">
        <v>0</v>
      </c>
      <c r="T168" s="1862">
        <v>0</v>
      </c>
      <c r="U168" s="1862">
        <v>0</v>
      </c>
      <c r="V168" s="1862">
        <v>0</v>
      </c>
      <c r="W168" s="1862">
        <v>0</v>
      </c>
      <c r="X168" s="1862">
        <v>0</v>
      </c>
    </row>
    <row r="169" ht="19" customHeight="1">
      <c r="A169" t="s" s="1858">
        <v>1207</v>
      </c>
      <c r="B169" t="s" s="1861">
        <v>1206</v>
      </c>
      <c r="C169" s="1862">
        <v>65348178.41</v>
      </c>
      <c r="D169" s="1862">
        <v>65348178.41</v>
      </c>
      <c r="E169" s="1862">
        <v>65348178.41</v>
      </c>
      <c r="F169" s="1862">
        <v>65348178.39</v>
      </c>
      <c r="G169" s="1862">
        <v>65348178.41</v>
      </c>
      <c r="H169" s="1862">
        <v>65348178.41</v>
      </c>
      <c r="I169" s="1862">
        <v>50782062.95</v>
      </c>
      <c r="J169" s="1862">
        <v>50782062.96</v>
      </c>
      <c r="K169" s="1862">
        <v>50782062.96</v>
      </c>
      <c r="L169" s="1862">
        <v>28708728.73</v>
      </c>
      <c r="M169" s="1862">
        <v>16462910.67</v>
      </c>
      <c r="N169" s="1862">
        <v>16462910.66</v>
      </c>
      <c r="O169" s="1862">
        <v>16462910.66</v>
      </c>
      <c r="P169" s="1862">
        <v>16462910.68</v>
      </c>
      <c r="Q169" s="1862">
        <v>16462910.66</v>
      </c>
      <c r="R169" s="1862">
        <v>16462910.67</v>
      </c>
      <c r="S169" s="1862">
        <v>16462910.66</v>
      </c>
      <c r="T169" s="1862">
        <v>1923838.38</v>
      </c>
      <c r="U169" s="1862">
        <v>1923838.39</v>
      </c>
      <c r="V169" s="1862">
        <v>6888124.09</v>
      </c>
      <c r="W169" s="1862">
        <v>0</v>
      </c>
      <c r="X169" s="1862">
        <v>1923838.38</v>
      </c>
    </row>
    <row r="170" ht="19" customHeight="1">
      <c r="A170" t="s" s="1858">
        <v>1209</v>
      </c>
      <c r="B170" t="s" s="1861">
        <v>1208</v>
      </c>
      <c r="C170" s="1862">
        <v>29086192.54</v>
      </c>
      <c r="D170" s="1862">
        <v>28378543.77</v>
      </c>
      <c r="E170" s="1862">
        <v>26492944.57</v>
      </c>
      <c r="F170" s="1862">
        <v>24690446.03</v>
      </c>
      <c r="G170" s="1862">
        <v>26804325.09</v>
      </c>
      <c r="H170" s="1862">
        <v>19542478.75</v>
      </c>
      <c r="I170" s="1862">
        <v>17312737.97</v>
      </c>
      <c r="J170" s="1862">
        <v>16581537.32</v>
      </c>
      <c r="K170" s="1862">
        <v>16169528.94</v>
      </c>
      <c r="L170" s="1862">
        <v>16071282.69</v>
      </c>
      <c r="M170" s="1862">
        <v>15982656.78</v>
      </c>
      <c r="N170" s="1862">
        <v>15639706.86</v>
      </c>
      <c r="O170" s="1862">
        <v>14801978.29</v>
      </c>
      <c r="P170" s="1862">
        <v>13446815.78</v>
      </c>
      <c r="Q170" s="1862">
        <v>12257872.41</v>
      </c>
      <c r="R170" s="1862">
        <v>13543172.01</v>
      </c>
      <c r="S170" s="1862">
        <v>10448929.23</v>
      </c>
      <c r="T170" s="1862">
        <v>23159646.37</v>
      </c>
      <c r="U170" s="1862">
        <v>12573094.28</v>
      </c>
      <c r="V170" s="1862">
        <v>12495905.56</v>
      </c>
      <c r="W170" s="1862">
        <v>0</v>
      </c>
      <c r="X170" s="1862">
        <v>16733205.53</v>
      </c>
    </row>
    <row r="171" ht="20.5" customHeight="1">
      <c r="A171" s="1789"/>
      <c r="B171" t="s" s="1863">
        <v>3980</v>
      </c>
      <c r="C171" s="1864">
        <v>128339267.87</v>
      </c>
      <c r="D171" s="1864">
        <v>127631619.09</v>
      </c>
      <c r="E171" s="1864">
        <v>122537686.56</v>
      </c>
      <c r="F171" s="1864">
        <v>120735188</v>
      </c>
      <c r="G171" s="1864">
        <v>122849067.08</v>
      </c>
      <c r="H171" s="1864">
        <v>115587220.74</v>
      </c>
      <c r="I171" s="1864">
        <v>98572336.47</v>
      </c>
      <c r="J171" s="1864">
        <v>91907878.52</v>
      </c>
      <c r="K171" s="1864">
        <v>89802321.75</v>
      </c>
      <c r="L171" s="1864">
        <v>67630741.27</v>
      </c>
      <c r="M171" s="1864">
        <v>55296297.3</v>
      </c>
      <c r="N171" s="1864">
        <v>54953347.37</v>
      </c>
      <c r="O171" s="1864">
        <v>39260073.78</v>
      </c>
      <c r="P171" s="1864">
        <v>37409726.46</v>
      </c>
      <c r="Q171" s="1864">
        <v>36220783.07</v>
      </c>
      <c r="R171" s="1864">
        <v>37506082.68</v>
      </c>
      <c r="S171" s="1864">
        <v>34411839.89</v>
      </c>
      <c r="T171" s="1864">
        <v>30889936.36</v>
      </c>
      <c r="U171" s="1864">
        <v>14496932.67</v>
      </c>
      <c r="V171" s="1864">
        <v>21484029.65</v>
      </c>
      <c r="W171" s="1864">
        <v>0</v>
      </c>
      <c r="X171" s="1864">
        <v>18657043.91</v>
      </c>
    </row>
    <row r="172" ht="13.55" customHeight="1">
      <c r="A172" s="1789"/>
      <c r="B172" s="1832"/>
      <c r="C172" s="1832"/>
      <c r="D172" s="1832"/>
      <c r="E172" s="1832"/>
      <c r="F172" s="1832"/>
      <c r="G172" s="1832"/>
      <c r="H172" s="1832"/>
      <c r="I172" s="1832"/>
      <c r="J172" s="1832"/>
      <c r="K172" s="1832"/>
      <c r="L172" s="1832"/>
      <c r="M172" s="1832"/>
      <c r="N172" s="1832"/>
      <c r="O172" s="1832"/>
      <c r="P172" s="1832"/>
      <c r="Q172" s="1832"/>
      <c r="R172" s="1832"/>
      <c r="S172" s="1832"/>
      <c r="T172" s="1832"/>
      <c r="U172" s="1832"/>
      <c r="V172" s="1832"/>
      <c r="W172" s="1832"/>
      <c r="X172" s="1832"/>
    </row>
    <row r="173" ht="21" customHeight="1">
      <c r="A173" s="1789"/>
      <c r="B173" t="s" s="1867">
        <v>894</v>
      </c>
      <c r="C173" s="1864">
        <v>1</v>
      </c>
      <c r="D173" s="1864">
        <v>835887687.789999</v>
      </c>
      <c r="E173" s="1864">
        <v>1641992433.28</v>
      </c>
      <c r="F173" s="1864">
        <v>1701349612.04</v>
      </c>
      <c r="G173" s="1864">
        <v>1380945659.8</v>
      </c>
      <c r="H173" s="1864">
        <v>1085335990.36</v>
      </c>
      <c r="I173" s="1864">
        <v>1987119243.71</v>
      </c>
      <c r="J173" s="1864">
        <v>-44088062.73</v>
      </c>
      <c r="K173" s="1864">
        <v>-261886275.64</v>
      </c>
      <c r="L173" s="1864">
        <v>171435358.25</v>
      </c>
      <c r="M173" s="1864">
        <v>545265311.23</v>
      </c>
      <c r="N173" s="1864">
        <v>849829699.77</v>
      </c>
      <c r="O173" s="1864">
        <v>1116426379.49</v>
      </c>
      <c r="P173" s="1864">
        <v>1809765286.13</v>
      </c>
      <c r="Q173" s="1864">
        <v>2476504321.91</v>
      </c>
      <c r="R173" s="1864">
        <v>2226544510.02</v>
      </c>
      <c r="S173" s="1864">
        <v>1432690388.26</v>
      </c>
      <c r="T173" s="1864">
        <v>1380961472.04</v>
      </c>
      <c r="U173" s="1864">
        <v>460410959</v>
      </c>
      <c r="V173" s="1864">
        <v>-213669805.16</v>
      </c>
      <c r="W173" s="1864">
        <v>-9909538.7699998</v>
      </c>
      <c r="X173" s="1864">
        <v>-182169825.21</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6.xml><?xml version="1.0" encoding="utf-8"?>
<worksheet xmlns:r="http://schemas.openxmlformats.org/officeDocument/2006/relationships" xmlns="http://schemas.openxmlformats.org/spreadsheetml/2006/main">
  <dimension ref="A1:R164"/>
  <sheetViews>
    <sheetView workbookViewId="0" showGridLines="0" defaultGridColor="1"/>
  </sheetViews>
  <sheetFormatPr defaultColWidth="8.83333" defaultRowHeight="14.5" customHeight="1" outlineLevelRow="0" outlineLevelCol="0"/>
  <cols>
    <col min="1" max="1" width="47.5" style="1868" customWidth="1"/>
    <col min="2" max="2" width="9.35156" style="1868" customWidth="1"/>
    <col min="3" max="13" width="17.1719" style="1868" customWidth="1"/>
    <col min="14" max="14" width="8.85156" style="1868" customWidth="1"/>
    <col min="15" max="15" width="58.1719" style="1868" customWidth="1"/>
    <col min="16" max="16" width="23.8516" style="1868" customWidth="1"/>
    <col min="17" max="18" width="8.85156" style="1868" customWidth="1"/>
    <col min="19" max="16384" width="8.85156" style="1868" customWidth="1"/>
  </cols>
  <sheetData>
    <row r="1" ht="15.5" customHeight="1">
      <c r="A1" s="1789"/>
      <c r="B1" s="1789"/>
      <c r="C1" t="s" s="1790">
        <v>3898</v>
      </c>
      <c r="D1" t="s" s="1790">
        <v>3899</v>
      </c>
      <c r="E1" t="s" s="1790">
        <v>3900</v>
      </c>
      <c r="F1" t="s" s="1790">
        <v>3901</v>
      </c>
      <c r="G1" t="s" s="1790">
        <v>3902</v>
      </c>
      <c r="H1" t="s" s="1790">
        <v>3903</v>
      </c>
      <c r="I1" t="s" s="1790">
        <v>3904</v>
      </c>
      <c r="J1" t="s" s="1790">
        <v>3905</v>
      </c>
      <c r="K1" t="s" s="1790">
        <v>3906</v>
      </c>
      <c r="L1" t="s" s="1790">
        <v>3907</v>
      </c>
      <c r="M1" t="s" s="1790">
        <v>3908</v>
      </c>
      <c r="N1" s="1789"/>
      <c r="O1" s="1869"/>
      <c r="P1" t="s" s="1842">
        <v>488</v>
      </c>
      <c r="Q1" s="1789"/>
      <c r="R1" s="1789"/>
    </row>
    <row r="2" ht="10" customHeight="1" hidden="1">
      <c r="A2" s="1789"/>
      <c r="B2" s="1789"/>
      <c r="C2" s="1870"/>
      <c r="D2" s="1870"/>
      <c r="E2" s="1870"/>
      <c r="F2" s="1870"/>
      <c r="G2" s="1870"/>
      <c r="H2" s="1870"/>
      <c r="I2" s="1870"/>
      <c r="J2" s="1870"/>
      <c r="K2" s="1870"/>
      <c r="L2" s="1870"/>
      <c r="M2" s="1870"/>
      <c r="N2" s="1789"/>
      <c r="O2" s="1869"/>
      <c r="P2" s="1871"/>
      <c r="Q2" s="1789"/>
      <c r="R2" s="1789"/>
    </row>
    <row r="3" ht="15.5" customHeight="1" hidden="1">
      <c r="A3" s="1789"/>
      <c r="B3" t="s" s="1872">
        <v>1078</v>
      </c>
      <c r="C3" t="s" s="1873">
        <v>1079</v>
      </c>
      <c r="D3" t="s" s="1873">
        <v>1079</v>
      </c>
      <c r="E3" t="s" s="1873">
        <v>1079</v>
      </c>
      <c r="F3" t="s" s="1873">
        <v>1079</v>
      </c>
      <c r="G3" t="s" s="1873">
        <v>1079</v>
      </c>
      <c r="H3" t="s" s="1873">
        <v>1079</v>
      </c>
      <c r="I3" t="s" s="1873">
        <v>1079</v>
      </c>
      <c r="J3" t="s" s="1873">
        <v>1079</v>
      </c>
      <c r="K3" t="s" s="1873">
        <v>1079</v>
      </c>
      <c r="L3" t="s" s="1873">
        <v>1079</v>
      </c>
      <c r="M3" t="s" s="1873">
        <v>1079</v>
      </c>
      <c r="N3" s="1789"/>
      <c r="O3" t="s" s="1874">
        <v>2266</v>
      </c>
      <c r="P3" t="s" s="1875">
        <v>1079</v>
      </c>
      <c r="Q3" s="1789"/>
      <c r="R3" s="1789"/>
    </row>
    <row r="4" ht="15.5" customHeight="1">
      <c r="A4" s="1789"/>
      <c r="B4" s="1789"/>
      <c r="C4" s="1834"/>
      <c r="D4" s="1834"/>
      <c r="E4" s="1834"/>
      <c r="F4" s="1834"/>
      <c r="G4" s="1834"/>
      <c r="H4" s="1834"/>
      <c r="I4" s="1834"/>
      <c r="J4" s="1834"/>
      <c r="K4" s="1834"/>
      <c r="L4" s="1834"/>
      <c r="M4" s="1834"/>
      <c r="N4" s="1789"/>
      <c r="O4" s="1789"/>
      <c r="P4" s="1793"/>
      <c r="Q4" s="1789"/>
      <c r="R4" s="1789"/>
    </row>
    <row r="5" ht="17.5" customHeight="1">
      <c r="A5" t="s" s="1876">
        <v>894</v>
      </c>
      <c r="B5" s="1877"/>
      <c r="C5" s="1878">
        <v>1823562766.39</v>
      </c>
      <c r="D5" s="1878">
        <v>1058590120.16</v>
      </c>
      <c r="E5" s="1878">
        <v>1695651877</v>
      </c>
      <c r="F5" s="1878">
        <v>2475871340.61</v>
      </c>
      <c r="G5" s="1878">
        <v>2292937247.73</v>
      </c>
      <c r="H5" s="1878">
        <v>1418446522.79</v>
      </c>
      <c r="I5" s="1878">
        <v>1378392811.74</v>
      </c>
      <c r="J5" s="1878">
        <v>763831692.62</v>
      </c>
      <c r="K5" s="1878">
        <v>-200602018.16</v>
      </c>
      <c r="L5" s="1878">
        <v>19761609.2300002</v>
      </c>
      <c r="M5" s="1878">
        <v>439512581.79</v>
      </c>
      <c r="N5" s="1789"/>
      <c r="O5" t="s" s="1844">
        <v>894</v>
      </c>
      <c r="P5" s="1845">
        <v>11203966302.02</v>
      </c>
      <c r="Q5" s="1789"/>
      <c r="R5" s="1789"/>
    </row>
    <row r="6" ht="15" customHeight="1">
      <c r="A6" s="1832"/>
      <c r="B6" s="1832"/>
      <c r="C6" s="1879"/>
      <c r="D6" s="1879"/>
      <c r="E6" s="1879"/>
      <c r="F6" s="1879"/>
      <c r="G6" s="1879"/>
      <c r="H6" s="1879"/>
      <c r="I6" s="1879"/>
      <c r="J6" s="1879"/>
      <c r="K6" s="1879"/>
      <c r="L6" s="1879"/>
      <c r="M6" s="1879"/>
      <c r="N6" s="1789"/>
      <c r="O6" s="1832"/>
      <c r="P6" s="1832"/>
      <c r="Q6" s="1789"/>
      <c r="R6" s="1789"/>
    </row>
    <row r="7" ht="17.5" customHeight="1">
      <c r="A7" t="s" s="1876">
        <v>546</v>
      </c>
      <c r="B7" s="1877"/>
      <c r="C7" s="1878">
        <v>4210347974.27</v>
      </c>
      <c r="D7" s="1878">
        <v>6815789820.25</v>
      </c>
      <c r="E7" s="1878">
        <v>8067622875.88</v>
      </c>
      <c r="F7" s="1878">
        <v>9561937244.389999</v>
      </c>
      <c r="G7" s="1878">
        <v>9190809370.860001</v>
      </c>
      <c r="H7" s="1878">
        <v>6990033814.06</v>
      </c>
      <c r="I7" s="1878">
        <v>5780882260.26</v>
      </c>
      <c r="J7" s="1878">
        <v>4584816273.59</v>
      </c>
      <c r="K7" s="1878">
        <v>2783649577.88</v>
      </c>
      <c r="L7" s="1878">
        <v>2435947628.3</v>
      </c>
      <c r="M7" s="1878">
        <v>3349504185.64</v>
      </c>
      <c r="N7" s="1789"/>
      <c r="O7" t="s" s="1844">
        <v>546</v>
      </c>
      <c r="P7" s="1845">
        <v>69161452176.92</v>
      </c>
      <c r="Q7" s="1789"/>
      <c r="R7" s="1789"/>
    </row>
    <row r="8" ht="16.5" customHeight="1">
      <c r="A8" t="s" s="1797">
        <v>3712</v>
      </c>
      <c r="B8" s="1832"/>
      <c r="C8" s="1880">
        <v>2607094552.27</v>
      </c>
      <c r="D8" s="1880">
        <v>2754046169.77</v>
      </c>
      <c r="E8" s="1880">
        <v>3118040177</v>
      </c>
      <c r="F8" s="1880">
        <v>3963453067</v>
      </c>
      <c r="G8" s="1880">
        <v>3560903095.7</v>
      </c>
      <c r="H8" s="1880">
        <v>2327668147.95</v>
      </c>
      <c r="I8" s="1880">
        <v>2209175341.83</v>
      </c>
      <c r="J8" s="1880">
        <v>1482274873</v>
      </c>
      <c r="K8" s="1880">
        <v>794486707</v>
      </c>
      <c r="L8" s="1880">
        <v>536533162.96</v>
      </c>
      <c r="M8" s="1880">
        <v>1085351057.94</v>
      </c>
      <c r="N8" s="1789"/>
      <c r="O8" t="s" s="1846">
        <v>3712</v>
      </c>
      <c r="P8" s="1847">
        <v>25644315613.29</v>
      </c>
      <c r="Q8" s="1789"/>
      <c r="R8" s="1789"/>
    </row>
    <row r="9" ht="16" customHeight="1">
      <c r="A9" t="s" s="1800">
        <v>3713</v>
      </c>
      <c r="B9" s="1789"/>
      <c r="C9" s="1881">
        <v>4208513974.27</v>
      </c>
      <c r="D9" s="1881">
        <v>6810777893.48</v>
      </c>
      <c r="E9" s="1881">
        <v>8066705761</v>
      </c>
      <c r="F9" s="1881">
        <v>9550474170</v>
      </c>
      <c r="G9" s="1881">
        <v>9163346405.700001</v>
      </c>
      <c r="H9" s="1881">
        <v>6970860261</v>
      </c>
      <c r="I9" s="1881">
        <v>5780671502</v>
      </c>
      <c r="J9" s="1881">
        <v>4584358475</v>
      </c>
      <c r="K9" s="1881">
        <v>2783227547</v>
      </c>
      <c r="L9" s="1881">
        <v>2434690707.96</v>
      </c>
      <c r="M9" s="1881">
        <v>3344801953.94</v>
      </c>
      <c r="N9" s="1789"/>
      <c r="O9" t="s" s="1848">
        <v>3713</v>
      </c>
      <c r="P9" s="1849">
        <v>69084623031.33</v>
      </c>
      <c r="Q9" s="1789"/>
      <c r="R9" s="1789"/>
    </row>
    <row r="10" ht="16" customHeight="1">
      <c r="A10" t="s" s="1800">
        <v>3715</v>
      </c>
      <c r="B10" t="s" s="1799">
        <v>3714</v>
      </c>
      <c r="C10" s="1881">
        <v>44900000</v>
      </c>
      <c r="D10" s="1881">
        <v>91641898</v>
      </c>
      <c r="E10" s="1881">
        <v>84944000</v>
      </c>
      <c r="F10" s="1881">
        <v>98960000</v>
      </c>
      <c r="G10" s="1881">
        <v>90430000</v>
      </c>
      <c r="H10" s="1881">
        <v>72000000</v>
      </c>
      <c r="I10" s="1881">
        <v>65960002</v>
      </c>
      <c r="J10" s="1881">
        <v>60400000</v>
      </c>
      <c r="K10" s="1881">
        <v>23390000</v>
      </c>
      <c r="L10" s="1881">
        <v>41690000</v>
      </c>
      <c r="M10" s="1881">
        <v>44028000</v>
      </c>
      <c r="N10" s="1789"/>
      <c r="O10" t="s" s="1848">
        <v>3715</v>
      </c>
      <c r="P10" s="1849">
        <v>797178899</v>
      </c>
      <c r="Q10" s="1789"/>
      <c r="R10" s="1789"/>
    </row>
    <row r="11" ht="16" customHeight="1">
      <c r="A11" t="s" s="1800">
        <v>3719</v>
      </c>
      <c r="B11" t="s" s="1799">
        <v>3718</v>
      </c>
      <c r="C11" s="1881">
        <v>1158344294.27</v>
      </c>
      <c r="D11" s="1881">
        <v>1943482602</v>
      </c>
      <c r="E11" s="1881">
        <v>2500644354</v>
      </c>
      <c r="F11" s="1881">
        <v>2763354491</v>
      </c>
      <c r="G11" s="1881">
        <v>2792429356</v>
      </c>
      <c r="H11" s="1881">
        <v>2568066499</v>
      </c>
      <c r="I11" s="1881">
        <v>2295798978</v>
      </c>
      <c r="J11" s="1881">
        <v>1478978805</v>
      </c>
      <c r="K11" s="1881">
        <v>1011647640</v>
      </c>
      <c r="L11" s="1881">
        <v>784164779.96</v>
      </c>
      <c r="M11" s="1881">
        <v>808284759.9400001</v>
      </c>
      <c r="N11" s="1789"/>
      <c r="O11" t="s" s="1848">
        <v>3719</v>
      </c>
      <c r="P11" s="1849">
        <v>21010656341.15</v>
      </c>
      <c r="Q11" s="1789"/>
      <c r="R11" s="1789"/>
    </row>
    <row r="12" ht="16" customHeight="1">
      <c r="A12" t="s" s="1800">
        <v>3721</v>
      </c>
      <c r="B12" t="s" s="1799">
        <v>3720</v>
      </c>
      <c r="C12" s="1881">
        <v>456004863</v>
      </c>
      <c r="D12" s="1881">
        <v>806804999.3</v>
      </c>
      <c r="E12" s="1881">
        <v>779211466</v>
      </c>
      <c r="F12" s="1881">
        <v>726253717</v>
      </c>
      <c r="G12" s="1881">
        <v>529204640</v>
      </c>
      <c r="H12" s="1881">
        <v>0</v>
      </c>
      <c r="I12" s="1881">
        <v>0</v>
      </c>
      <c r="J12" s="1881">
        <v>0</v>
      </c>
      <c r="K12" s="1881">
        <v>0</v>
      </c>
      <c r="L12" s="1881">
        <v>0</v>
      </c>
      <c r="M12" s="1881">
        <v>4174998</v>
      </c>
      <c r="N12" s="1789"/>
      <c r="O12" t="s" s="1848">
        <v>3721</v>
      </c>
      <c r="P12" s="1849">
        <v>3838616713.3</v>
      </c>
      <c r="Q12" s="1789"/>
      <c r="R12" s="1789"/>
    </row>
    <row r="13" ht="16" customHeight="1">
      <c r="A13" t="s" s="1800">
        <v>3723</v>
      </c>
      <c r="B13" t="s" s="1799">
        <v>3722</v>
      </c>
      <c r="C13" s="1881">
        <v>2312689817</v>
      </c>
      <c r="D13" s="1881">
        <v>3326668087</v>
      </c>
      <c r="E13" s="1881">
        <v>3982466113</v>
      </c>
      <c r="F13" s="1881">
        <v>5299145334</v>
      </c>
      <c r="G13" s="1881">
        <v>5149993633.7</v>
      </c>
      <c r="H13" s="1881">
        <v>3835508612</v>
      </c>
      <c r="I13" s="1881">
        <v>3010637521</v>
      </c>
      <c r="J13" s="1881">
        <v>2789300669</v>
      </c>
      <c r="K13" s="1881">
        <v>1499057745</v>
      </c>
      <c r="L13" s="1881">
        <v>1399130928</v>
      </c>
      <c r="M13" s="1881">
        <v>2070936500</v>
      </c>
      <c r="N13" s="1789"/>
      <c r="O13" t="s" s="1848">
        <v>3723</v>
      </c>
      <c r="P13" s="1849">
        <v>37326780347.7</v>
      </c>
      <c r="Q13" s="1789"/>
      <c r="R13" s="1789"/>
    </row>
    <row r="14" ht="16" customHeight="1">
      <c r="A14" t="s" s="1800">
        <v>3725</v>
      </c>
      <c r="B14" t="s" s="1799">
        <v>3724</v>
      </c>
      <c r="C14" s="1881">
        <v>0</v>
      </c>
      <c r="D14" s="1881">
        <v>0</v>
      </c>
      <c r="E14" s="1881">
        <v>94959950</v>
      </c>
      <c r="F14" s="1881">
        <v>0</v>
      </c>
      <c r="G14" s="1881">
        <v>0</v>
      </c>
      <c r="H14" s="1881">
        <v>0</v>
      </c>
      <c r="I14" s="1881">
        <v>63300000</v>
      </c>
      <c r="J14" s="1881">
        <v>22800000</v>
      </c>
      <c r="K14" s="1881">
        <v>9000000</v>
      </c>
      <c r="L14" s="1881">
        <v>0</v>
      </c>
      <c r="M14" s="1881">
        <v>4936000</v>
      </c>
      <c r="N14" s="1789"/>
      <c r="O14" t="s" s="1848">
        <v>3725</v>
      </c>
      <c r="P14" s="1849">
        <v>194995950</v>
      </c>
      <c r="Q14" s="1789"/>
      <c r="R14" s="1789"/>
    </row>
    <row r="15" ht="16" customHeight="1">
      <c r="A15" t="s" s="1800">
        <v>3727</v>
      </c>
      <c r="B15" t="s" s="1799">
        <v>3726</v>
      </c>
      <c r="C15" s="1881">
        <v>0</v>
      </c>
      <c r="D15" s="1881">
        <v>0</v>
      </c>
      <c r="E15" s="1881">
        <v>0</v>
      </c>
      <c r="F15" s="1881">
        <v>0</v>
      </c>
      <c r="G15" s="1881">
        <v>2590000</v>
      </c>
      <c r="H15" s="1881">
        <v>0</v>
      </c>
      <c r="I15" s="1881">
        <v>2040000</v>
      </c>
      <c r="J15" s="1881">
        <v>2340000</v>
      </c>
      <c r="K15" s="1881">
        <v>5200000</v>
      </c>
      <c r="L15" s="1881">
        <v>0</v>
      </c>
      <c r="M15" s="1881">
        <v>3900000</v>
      </c>
      <c r="N15" s="1789"/>
      <c r="O15" t="s" s="1848">
        <v>3727</v>
      </c>
      <c r="P15" s="1849">
        <v>16070000</v>
      </c>
      <c r="Q15" s="1789"/>
      <c r="R15" s="1789"/>
    </row>
    <row r="16" ht="16" customHeight="1">
      <c r="A16" t="s" s="1800">
        <v>3729</v>
      </c>
      <c r="B16" t="s" s="1799">
        <v>3728</v>
      </c>
      <c r="C16" s="1881">
        <v>0</v>
      </c>
      <c r="D16" s="1881">
        <v>0</v>
      </c>
      <c r="E16" s="1881">
        <v>0</v>
      </c>
      <c r="F16" s="1881">
        <v>0</v>
      </c>
      <c r="G16" s="1881">
        <v>12950000</v>
      </c>
      <c r="H16" s="1881">
        <v>0</v>
      </c>
      <c r="I16" s="1881">
        <v>0</v>
      </c>
      <c r="J16" s="1881">
        <v>0</v>
      </c>
      <c r="K16" s="1881">
        <v>0</v>
      </c>
      <c r="L16" s="1881">
        <v>0</v>
      </c>
      <c r="M16" s="1881">
        <v>0</v>
      </c>
      <c r="N16" s="1789"/>
      <c r="O16" t="s" s="1848">
        <v>3729</v>
      </c>
      <c r="P16" s="1849">
        <v>12950000</v>
      </c>
      <c r="Q16" s="1789"/>
      <c r="R16" s="1789"/>
    </row>
    <row r="17" ht="16" customHeight="1">
      <c r="A17" t="s" s="1800">
        <v>3731</v>
      </c>
      <c r="B17" t="s" s="1799">
        <v>3730</v>
      </c>
      <c r="C17" s="1881">
        <v>187500000</v>
      </c>
      <c r="D17" s="1881">
        <v>171100000</v>
      </c>
      <c r="E17" s="1881">
        <v>400850000</v>
      </c>
      <c r="F17" s="1881">
        <v>418800000</v>
      </c>
      <c r="G17" s="1881">
        <v>404900000</v>
      </c>
      <c r="H17" s="1881">
        <v>346700000</v>
      </c>
      <c r="I17" s="1881">
        <v>276050000</v>
      </c>
      <c r="J17" s="1881">
        <v>188500000</v>
      </c>
      <c r="K17" s="1881">
        <v>121250000</v>
      </c>
      <c r="L17" s="1881">
        <v>131700000</v>
      </c>
      <c r="M17" s="1881">
        <v>148050000</v>
      </c>
      <c r="N17" s="1789"/>
      <c r="O17" t="s" s="1848">
        <v>3731</v>
      </c>
      <c r="P17" s="1849">
        <v>3135800000</v>
      </c>
      <c r="Q17" s="1789"/>
      <c r="R17" s="1789"/>
    </row>
    <row r="18" ht="16" customHeight="1">
      <c r="A18" t="s" s="1800">
        <v>3733</v>
      </c>
      <c r="B18" t="s" s="1799">
        <v>3732</v>
      </c>
      <c r="C18" s="1881">
        <v>0</v>
      </c>
      <c r="D18" s="1881">
        <v>0</v>
      </c>
      <c r="E18" s="1881">
        <v>0</v>
      </c>
      <c r="F18" s="1881">
        <v>0</v>
      </c>
      <c r="G18" s="1881">
        <v>0</v>
      </c>
      <c r="H18" s="1881">
        <v>0</v>
      </c>
      <c r="I18" s="1881">
        <v>0</v>
      </c>
      <c r="J18" s="1881">
        <v>864000</v>
      </c>
      <c r="K18" s="1881">
        <v>3720000</v>
      </c>
      <c r="L18" s="1881">
        <v>0</v>
      </c>
      <c r="M18" s="1881">
        <v>0</v>
      </c>
      <c r="N18" s="1789"/>
      <c r="O18" t="s" s="1848">
        <v>3733</v>
      </c>
      <c r="P18" s="1849">
        <v>4584000</v>
      </c>
      <c r="Q18" s="1789"/>
      <c r="R18" s="1789"/>
    </row>
    <row r="19" ht="16" customHeight="1">
      <c r="A19" t="s" s="1800">
        <v>3913</v>
      </c>
      <c r="B19" t="s" s="1799">
        <v>3912</v>
      </c>
      <c r="C19" s="1881">
        <v>0</v>
      </c>
      <c r="D19" s="1881">
        <v>0</v>
      </c>
      <c r="E19" s="1881">
        <v>0</v>
      </c>
      <c r="F19" s="1881">
        <v>3000000</v>
      </c>
      <c r="G19" s="1881">
        <v>0</v>
      </c>
      <c r="H19" s="1881">
        <v>1500000</v>
      </c>
      <c r="I19" s="1881">
        <v>0</v>
      </c>
      <c r="J19" s="1881">
        <v>3700000</v>
      </c>
      <c r="K19" s="1881">
        <v>0</v>
      </c>
      <c r="L19" s="1881">
        <v>24350000</v>
      </c>
      <c r="M19" s="1881">
        <v>152129500</v>
      </c>
      <c r="N19" s="1789"/>
      <c r="O19" t="s" s="1848">
        <v>3913</v>
      </c>
      <c r="P19" s="1849">
        <v>180179500</v>
      </c>
      <c r="Q19" s="1789"/>
      <c r="R19" s="1789"/>
    </row>
    <row r="20" ht="16" customHeight="1">
      <c r="A20" t="s" s="1800">
        <v>3735</v>
      </c>
      <c r="B20" t="s" s="1799">
        <v>3734</v>
      </c>
      <c r="C20" s="1881">
        <v>12100000</v>
      </c>
      <c r="D20" s="1881">
        <v>17900000</v>
      </c>
      <c r="E20" s="1881">
        <v>25360000</v>
      </c>
      <c r="F20" s="1881">
        <v>35990000</v>
      </c>
      <c r="G20" s="1881">
        <v>33855000</v>
      </c>
      <c r="H20" s="1881">
        <v>39500000</v>
      </c>
      <c r="I20" s="1881">
        <v>33100000</v>
      </c>
      <c r="J20" s="1881">
        <v>20000000</v>
      </c>
      <c r="K20" s="1881">
        <v>12000000</v>
      </c>
      <c r="L20" s="1881">
        <v>20800000</v>
      </c>
      <c r="M20" s="1881">
        <v>24150000</v>
      </c>
      <c r="N20" s="1789"/>
      <c r="O20" t="s" s="1848">
        <v>3735</v>
      </c>
      <c r="P20" s="1849">
        <v>296755000</v>
      </c>
      <c r="Q20" s="1789"/>
      <c r="R20" s="1789"/>
    </row>
    <row r="21" ht="16" customHeight="1">
      <c r="A21" t="s" s="1800">
        <v>3737</v>
      </c>
      <c r="B21" t="s" s="1799">
        <v>3736</v>
      </c>
      <c r="C21" s="1881">
        <v>36975000</v>
      </c>
      <c r="D21" s="1881">
        <v>36395000</v>
      </c>
      <c r="E21" s="1881">
        <v>52890000</v>
      </c>
      <c r="F21" s="1881">
        <v>51580000</v>
      </c>
      <c r="G21" s="1881">
        <v>25950000</v>
      </c>
      <c r="H21" s="1881">
        <v>38280000</v>
      </c>
      <c r="I21" s="1881">
        <v>32500001</v>
      </c>
      <c r="J21" s="1881">
        <v>14980001</v>
      </c>
      <c r="K21" s="1881">
        <v>9300000</v>
      </c>
      <c r="L21" s="1881">
        <v>31200000</v>
      </c>
      <c r="M21" s="1881">
        <v>23000000</v>
      </c>
      <c r="N21" s="1789"/>
      <c r="O21" t="s" s="1848">
        <v>3737</v>
      </c>
      <c r="P21" s="1849">
        <v>420769002</v>
      </c>
      <c r="Q21" s="1789"/>
      <c r="R21" s="1789"/>
    </row>
    <row r="22" ht="16" customHeight="1">
      <c r="A22" t="s" s="1800">
        <v>3915</v>
      </c>
      <c r="B22" t="s" s="1799">
        <v>3914</v>
      </c>
      <c r="C22" s="1881">
        <v>0</v>
      </c>
      <c r="D22" s="1881">
        <v>0</v>
      </c>
      <c r="E22" s="1881">
        <v>0</v>
      </c>
      <c r="F22" s="1881">
        <v>0</v>
      </c>
      <c r="G22" s="1881">
        <v>0</v>
      </c>
      <c r="H22" s="1881">
        <v>0</v>
      </c>
      <c r="I22" s="1881">
        <v>0</v>
      </c>
      <c r="J22" s="1881">
        <v>0</v>
      </c>
      <c r="K22" s="1881">
        <v>0</v>
      </c>
      <c r="L22" s="1881">
        <v>0</v>
      </c>
      <c r="M22" s="1881">
        <v>0</v>
      </c>
      <c r="N22" s="1789"/>
      <c r="O22" t="s" s="1848">
        <v>3915</v>
      </c>
      <c r="P22" s="1849">
        <v>0</v>
      </c>
      <c r="Q22" s="1789"/>
      <c r="R22" s="1789"/>
    </row>
    <row r="23" ht="16" customHeight="1">
      <c r="A23" t="s" s="1800">
        <v>3739</v>
      </c>
      <c r="B23" t="s" s="1799">
        <v>3738</v>
      </c>
      <c r="C23" s="1881">
        <v>0</v>
      </c>
      <c r="D23" s="1881">
        <v>416785307.18</v>
      </c>
      <c r="E23" s="1881">
        <v>145009878</v>
      </c>
      <c r="F23" s="1881">
        <v>151395628</v>
      </c>
      <c r="G23" s="1881">
        <v>120083776</v>
      </c>
      <c r="H23" s="1881">
        <v>69305150</v>
      </c>
      <c r="I23" s="1881">
        <v>0</v>
      </c>
      <c r="J23" s="1881">
        <v>0</v>
      </c>
      <c r="K23" s="1881">
        <v>0</v>
      </c>
      <c r="L23" s="1881">
        <v>0</v>
      </c>
      <c r="M23" s="1881">
        <v>0</v>
      </c>
      <c r="N23" s="1789"/>
      <c r="O23" t="s" s="1848">
        <v>3739</v>
      </c>
      <c r="P23" s="1849">
        <v>1690572920.18</v>
      </c>
      <c r="Q23" s="1789"/>
      <c r="R23" s="1789"/>
    </row>
    <row r="24" ht="16" customHeight="1">
      <c r="A24" t="s" s="1800">
        <v>3741</v>
      </c>
      <c r="B24" t="s" s="1799">
        <v>3740</v>
      </c>
      <c r="C24" s="1881">
        <v>0</v>
      </c>
      <c r="D24" s="1881">
        <v>0</v>
      </c>
      <c r="E24" s="1881">
        <v>370000</v>
      </c>
      <c r="F24" s="1881">
        <v>1995000</v>
      </c>
      <c r="G24" s="1881">
        <v>960000</v>
      </c>
      <c r="H24" s="1881">
        <v>0</v>
      </c>
      <c r="I24" s="1881">
        <v>1285000</v>
      </c>
      <c r="J24" s="1881">
        <v>2495000</v>
      </c>
      <c r="K24" s="1881">
        <v>88662162</v>
      </c>
      <c r="L24" s="1881">
        <v>1655000</v>
      </c>
      <c r="M24" s="1881">
        <v>63012196</v>
      </c>
      <c r="N24" s="1789"/>
      <c r="O24" t="s" s="1848">
        <v>3741</v>
      </c>
      <c r="P24" s="1849">
        <v>160434358</v>
      </c>
      <c r="Q24" s="1789"/>
      <c r="R24" s="1789"/>
    </row>
    <row r="25" ht="16" customHeight="1">
      <c r="A25" t="s" s="1800">
        <v>3743</v>
      </c>
      <c r="B25" t="s" s="1799">
        <v>3742</v>
      </c>
      <c r="C25" s="1881">
        <v>0</v>
      </c>
      <c r="D25" s="1881">
        <v>0</v>
      </c>
      <c r="E25" s="1881">
        <v>0</v>
      </c>
      <c r="F25" s="1881">
        <v>0</v>
      </c>
      <c r="G25" s="1881">
        <v>0</v>
      </c>
      <c r="H25" s="1881">
        <v>0</v>
      </c>
      <c r="I25" s="1881">
        <v>0</v>
      </c>
      <c r="J25" s="1881">
        <v>0</v>
      </c>
      <c r="K25" s="1881">
        <v>0</v>
      </c>
      <c r="L25" s="1881">
        <v>0</v>
      </c>
      <c r="M25" s="1881">
        <v>-1800000</v>
      </c>
      <c r="N25" s="1789"/>
      <c r="O25" t="s" s="1848">
        <v>3743</v>
      </c>
      <c r="P25" s="1849">
        <v>-1800000</v>
      </c>
      <c r="Q25" s="1789"/>
      <c r="R25" s="1789"/>
    </row>
    <row r="26" ht="16" customHeight="1">
      <c r="A26" t="s" s="1800">
        <v>3746</v>
      </c>
      <c r="B26" s="1789"/>
      <c r="C26" s="1881">
        <v>4208513974.27</v>
      </c>
      <c r="D26" s="1881">
        <v>6810777893.48</v>
      </c>
      <c r="E26" s="1881">
        <v>8066705761</v>
      </c>
      <c r="F26" s="1881">
        <v>9550474170</v>
      </c>
      <c r="G26" s="1881">
        <v>9163346405.700001</v>
      </c>
      <c r="H26" s="1881">
        <v>6970860261</v>
      </c>
      <c r="I26" s="1881">
        <v>5780671502</v>
      </c>
      <c r="J26" s="1881">
        <v>4584358475</v>
      </c>
      <c r="K26" s="1881">
        <v>2783227547</v>
      </c>
      <c r="L26" s="1881">
        <v>2434690707.96</v>
      </c>
      <c r="M26" s="1881">
        <v>3344801953.94</v>
      </c>
      <c r="N26" s="1789"/>
      <c r="O26" t="s" s="1848">
        <v>3919</v>
      </c>
      <c r="P26" s="1849">
        <v>80000</v>
      </c>
      <c r="Q26" s="1789"/>
      <c r="R26" s="1789"/>
    </row>
    <row r="27" ht="16" customHeight="1">
      <c r="A27" t="s" s="1800">
        <v>3747</v>
      </c>
      <c r="B27" s="1789"/>
      <c r="C27" s="1881">
        <v>1601419422</v>
      </c>
      <c r="D27" s="1881">
        <v>4056731723.71</v>
      </c>
      <c r="E27" s="1881">
        <v>4948665584</v>
      </c>
      <c r="F27" s="1881">
        <v>5587021103</v>
      </c>
      <c r="G27" s="1881">
        <v>5602443310</v>
      </c>
      <c r="H27" s="1881">
        <v>4643192113.05</v>
      </c>
      <c r="I27" s="1881">
        <v>3571496160.17</v>
      </c>
      <c r="J27" s="1881">
        <v>3102083602</v>
      </c>
      <c r="K27" s="1881">
        <v>1988740840</v>
      </c>
      <c r="L27" s="1881">
        <v>1898157545</v>
      </c>
      <c r="M27" s="1881">
        <v>2259450896</v>
      </c>
      <c r="N27" s="1789"/>
      <c r="O27" t="s" s="1848">
        <v>3746</v>
      </c>
      <c r="P27" s="1849">
        <v>69084623031.33</v>
      </c>
      <c r="Q27" s="1789"/>
      <c r="R27" s="1789"/>
    </row>
    <row r="28" ht="16" customHeight="1">
      <c r="A28" t="s" s="1800">
        <v>3749</v>
      </c>
      <c r="B28" t="s" s="1799">
        <v>3748</v>
      </c>
      <c r="C28" s="1881">
        <v>2946960</v>
      </c>
      <c r="D28" s="1881">
        <v>0</v>
      </c>
      <c r="E28" s="1881">
        <v>0</v>
      </c>
      <c r="F28" s="1881">
        <v>0</v>
      </c>
      <c r="G28" s="1881">
        <v>0</v>
      </c>
      <c r="H28" s="1881">
        <v>0</v>
      </c>
      <c r="I28" s="1881">
        <v>14015000</v>
      </c>
      <c r="J28" s="1881">
        <v>4560000</v>
      </c>
      <c r="K28" s="1881">
        <v>78650000</v>
      </c>
      <c r="L28" s="1881">
        <v>52000000</v>
      </c>
      <c r="M28" s="1881">
        <v>90025000</v>
      </c>
      <c r="N28" s="1789"/>
      <c r="O28" t="s" s="1848">
        <v>3747</v>
      </c>
      <c r="P28" s="1849">
        <v>43440307418.04</v>
      </c>
      <c r="Q28" s="1789"/>
      <c r="R28" s="1882" cm="1">
        <f t="array" ref="R28">P28/P27</f>
        <v>0.628798501199605</v>
      </c>
    </row>
    <row r="29" ht="16" customHeight="1">
      <c r="A29" t="s" s="1800">
        <v>3922</v>
      </c>
      <c r="B29" t="s" s="1799">
        <v>3921</v>
      </c>
      <c r="C29" s="1881">
        <v>0</v>
      </c>
      <c r="D29" s="1881">
        <v>0</v>
      </c>
      <c r="E29" s="1881">
        <v>0</v>
      </c>
      <c r="F29" s="1881">
        <v>0</v>
      </c>
      <c r="G29" s="1881">
        <v>0</v>
      </c>
      <c r="H29" s="1881">
        <v>0</v>
      </c>
      <c r="I29" s="1881">
        <v>0</v>
      </c>
      <c r="J29" s="1881">
        <v>0</v>
      </c>
      <c r="K29" s="1881">
        <v>0</v>
      </c>
      <c r="L29" s="1881">
        <v>0</v>
      </c>
      <c r="M29" s="1881">
        <v>24750000</v>
      </c>
      <c r="N29" s="1789"/>
      <c r="O29" t="s" s="1848">
        <v>3749</v>
      </c>
      <c r="P29" s="1849">
        <v>239210000</v>
      </c>
      <c r="Q29" s="1789"/>
      <c r="R29" s="1789"/>
    </row>
    <row r="30" ht="16" customHeight="1">
      <c r="A30" t="s" s="1800">
        <v>3751</v>
      </c>
      <c r="B30" t="s" s="1799">
        <v>3750</v>
      </c>
      <c r="C30" s="1881">
        <v>56750000</v>
      </c>
      <c r="D30" s="1881">
        <v>165190000</v>
      </c>
      <c r="E30" s="1881">
        <v>164575000</v>
      </c>
      <c r="F30" s="1881">
        <v>141875000</v>
      </c>
      <c r="G30" s="1881">
        <v>175925000</v>
      </c>
      <c r="H30" s="1881">
        <v>192950000</v>
      </c>
      <c r="I30" s="1881">
        <v>158900000</v>
      </c>
      <c r="J30" s="1881">
        <v>161974000</v>
      </c>
      <c r="K30" s="1881">
        <v>91725000</v>
      </c>
      <c r="L30" s="1881">
        <v>150780000</v>
      </c>
      <c r="M30" s="1881">
        <v>176664000</v>
      </c>
      <c r="N30" s="1789"/>
      <c r="O30" t="s" s="1848">
        <v>3922</v>
      </c>
      <c r="P30" s="1849">
        <v>24750000</v>
      </c>
      <c r="Q30" s="1789"/>
      <c r="R30" s="1789"/>
    </row>
    <row r="31" ht="16" customHeight="1">
      <c r="A31" t="s" s="1800">
        <v>3753</v>
      </c>
      <c r="B31" t="s" s="1799">
        <v>3752</v>
      </c>
      <c r="C31" s="1881">
        <v>15700000</v>
      </c>
      <c r="D31" s="1881">
        <v>89200000</v>
      </c>
      <c r="E31" s="1881">
        <v>89200000</v>
      </c>
      <c r="F31" s="1881">
        <v>112700000</v>
      </c>
      <c r="G31" s="1881">
        <v>122500000</v>
      </c>
      <c r="H31" s="1881">
        <v>117600000</v>
      </c>
      <c r="I31" s="1881">
        <v>98000000</v>
      </c>
      <c r="J31" s="1881">
        <v>133400000</v>
      </c>
      <c r="K31" s="1881">
        <v>93019000</v>
      </c>
      <c r="L31" s="1881">
        <v>50959000</v>
      </c>
      <c r="M31" s="1881">
        <v>77208000</v>
      </c>
      <c r="N31" s="1789"/>
      <c r="O31" t="s" s="1848">
        <v>3751</v>
      </c>
      <c r="P31" s="1849">
        <v>1829233000</v>
      </c>
      <c r="Q31" s="1789"/>
      <c r="R31" s="1789"/>
    </row>
    <row r="32" ht="16" customHeight="1">
      <c r="A32" t="s" s="1800">
        <v>3755</v>
      </c>
      <c r="B32" t="s" s="1799">
        <v>3754</v>
      </c>
      <c r="C32" s="1881">
        <v>57750000</v>
      </c>
      <c r="D32" s="1881">
        <v>131175000</v>
      </c>
      <c r="E32" s="1881">
        <v>165225000</v>
      </c>
      <c r="F32" s="1881">
        <v>165875000</v>
      </c>
      <c r="G32" s="1881">
        <v>175985000</v>
      </c>
      <c r="H32" s="1881">
        <v>171335000</v>
      </c>
      <c r="I32" s="1881">
        <v>79510000</v>
      </c>
      <c r="J32" s="1881">
        <v>1000000</v>
      </c>
      <c r="K32" s="1881">
        <v>0</v>
      </c>
      <c r="L32" s="1881">
        <v>34831000</v>
      </c>
      <c r="M32" s="1881">
        <v>22802000</v>
      </c>
      <c r="N32" s="1789"/>
      <c r="O32" t="s" s="1848">
        <v>3753</v>
      </c>
      <c r="P32" s="1849">
        <v>1075036000</v>
      </c>
      <c r="Q32" s="1789"/>
      <c r="R32" s="1789"/>
    </row>
    <row r="33" ht="16" customHeight="1">
      <c r="A33" t="s" s="1800">
        <v>3757</v>
      </c>
      <c r="B33" t="s" s="1799">
        <v>3756</v>
      </c>
      <c r="C33" s="1881">
        <v>14925000</v>
      </c>
      <c r="D33" s="1881">
        <v>98600000</v>
      </c>
      <c r="E33" s="1881">
        <v>84275000</v>
      </c>
      <c r="F33" s="1881">
        <v>133125000</v>
      </c>
      <c r="G33" s="1881">
        <v>121000000</v>
      </c>
      <c r="H33" s="1881">
        <v>140075000</v>
      </c>
      <c r="I33" s="1881">
        <v>93625000</v>
      </c>
      <c r="J33" s="1881">
        <v>132825000</v>
      </c>
      <c r="K33" s="1881">
        <v>64047000</v>
      </c>
      <c r="L33" s="1881">
        <v>94085000</v>
      </c>
      <c r="M33" s="1881">
        <v>72691000</v>
      </c>
      <c r="N33" s="1789"/>
      <c r="O33" t="s" s="1848">
        <v>3755</v>
      </c>
      <c r="P33" s="1849">
        <v>1118713000</v>
      </c>
      <c r="Q33" s="1789"/>
      <c r="R33" s="1789"/>
    </row>
    <row r="34" ht="16" customHeight="1">
      <c r="A34" t="s" s="1800">
        <v>3924</v>
      </c>
      <c r="B34" t="s" s="1799">
        <v>3923</v>
      </c>
      <c r="C34" s="1881">
        <v>0</v>
      </c>
      <c r="D34" s="1881">
        <v>0</v>
      </c>
      <c r="E34" s="1881">
        <v>0</v>
      </c>
      <c r="F34" s="1881">
        <v>0</v>
      </c>
      <c r="G34" s="1881">
        <v>0</v>
      </c>
      <c r="H34" s="1881">
        <v>0</v>
      </c>
      <c r="I34" s="1881">
        <v>0</v>
      </c>
      <c r="J34" s="1881">
        <v>4850000</v>
      </c>
      <c r="K34" s="1881">
        <v>0</v>
      </c>
      <c r="L34" s="1881">
        <v>0</v>
      </c>
      <c r="M34" s="1881">
        <v>114825000</v>
      </c>
      <c r="N34" s="1789"/>
      <c r="O34" t="s" s="1848">
        <v>3757</v>
      </c>
      <c r="P34" s="1849">
        <v>1149673000</v>
      </c>
      <c r="Q34" s="1789"/>
      <c r="R34" s="1789"/>
    </row>
    <row r="35" ht="16" customHeight="1">
      <c r="A35" t="s" s="1800">
        <v>3926</v>
      </c>
      <c r="B35" t="s" s="1799">
        <v>3925</v>
      </c>
      <c r="C35" s="1881">
        <v>0</v>
      </c>
      <c r="D35" s="1881">
        <v>0</v>
      </c>
      <c r="E35" s="1881">
        <v>0</v>
      </c>
      <c r="F35" s="1881">
        <v>0</v>
      </c>
      <c r="G35" s="1881">
        <v>0</v>
      </c>
      <c r="H35" s="1881">
        <v>6000000</v>
      </c>
      <c r="I35" s="1881">
        <v>33000000</v>
      </c>
      <c r="J35" s="1881">
        <v>77000000</v>
      </c>
      <c r="K35" s="1881">
        <v>85000000</v>
      </c>
      <c r="L35" s="1881">
        <v>0</v>
      </c>
      <c r="M35" s="1881">
        <v>6000000</v>
      </c>
      <c r="N35" s="1789"/>
      <c r="O35" t="s" s="1848">
        <v>3924</v>
      </c>
      <c r="P35" s="1849">
        <v>119675000</v>
      </c>
      <c r="Q35" s="1789"/>
      <c r="R35" s="1789"/>
    </row>
    <row r="36" ht="16" customHeight="1">
      <c r="A36" t="s" s="1800">
        <v>3928</v>
      </c>
      <c r="B36" t="s" s="1799">
        <v>3927</v>
      </c>
      <c r="C36" s="1881">
        <v>0</v>
      </c>
      <c r="D36" s="1881">
        <v>0</v>
      </c>
      <c r="E36" s="1881">
        <v>0</v>
      </c>
      <c r="F36" s="1881">
        <v>2500000</v>
      </c>
      <c r="G36" s="1881">
        <v>7500000</v>
      </c>
      <c r="H36" s="1881">
        <v>2500000</v>
      </c>
      <c r="I36" s="1881">
        <v>2500000</v>
      </c>
      <c r="J36" s="1881">
        <v>2500000</v>
      </c>
      <c r="K36" s="1881">
        <v>5000000</v>
      </c>
      <c r="L36" s="1881">
        <v>0</v>
      </c>
      <c r="M36" s="1881">
        <v>5000000</v>
      </c>
      <c r="N36" s="1789"/>
      <c r="O36" t="s" s="1848">
        <v>3926</v>
      </c>
      <c r="P36" s="1849">
        <v>207000000</v>
      </c>
      <c r="Q36" s="1789"/>
      <c r="R36" s="1789"/>
    </row>
    <row r="37" ht="16" customHeight="1">
      <c r="A37" t="s" s="1800">
        <v>3930</v>
      </c>
      <c r="B37" t="s" s="1799">
        <v>3929</v>
      </c>
      <c r="C37" s="1881">
        <v>0</v>
      </c>
      <c r="D37" s="1881">
        <v>0</v>
      </c>
      <c r="E37" s="1881">
        <v>0</v>
      </c>
      <c r="F37" s="1881">
        <v>9600000</v>
      </c>
      <c r="G37" s="1881">
        <v>9200000</v>
      </c>
      <c r="H37" s="1881">
        <v>17000000</v>
      </c>
      <c r="I37" s="1881">
        <v>26800000</v>
      </c>
      <c r="J37" s="1881">
        <v>27600000</v>
      </c>
      <c r="K37" s="1881">
        <v>16000000</v>
      </c>
      <c r="L37" s="1881">
        <v>0</v>
      </c>
      <c r="M37" s="1881">
        <v>0</v>
      </c>
      <c r="N37" s="1789"/>
      <c r="O37" t="s" s="1848">
        <v>3928</v>
      </c>
      <c r="P37" s="1849">
        <v>27500000</v>
      </c>
      <c r="Q37" s="1789"/>
      <c r="R37" s="1789"/>
    </row>
    <row r="38" ht="16" customHeight="1">
      <c r="A38" t="s" s="1800">
        <v>3932</v>
      </c>
      <c r="B38" t="s" s="1799">
        <v>3931</v>
      </c>
      <c r="C38" s="1881">
        <v>0</v>
      </c>
      <c r="D38" s="1881">
        <v>0</v>
      </c>
      <c r="E38" s="1881">
        <v>0</v>
      </c>
      <c r="F38" s="1881">
        <v>0</v>
      </c>
      <c r="G38" s="1881">
        <v>8000000</v>
      </c>
      <c r="H38" s="1881">
        <v>16000000</v>
      </c>
      <c r="I38" s="1881">
        <v>8000000</v>
      </c>
      <c r="J38" s="1881">
        <v>0</v>
      </c>
      <c r="K38" s="1881">
        <v>0</v>
      </c>
      <c r="L38" s="1881">
        <v>0</v>
      </c>
      <c r="M38" s="1881">
        <v>0</v>
      </c>
      <c r="N38" s="1789"/>
      <c r="O38" t="s" s="1848">
        <v>3930</v>
      </c>
      <c r="P38" s="1849">
        <v>106200000</v>
      </c>
      <c r="Q38" s="1789"/>
      <c r="R38" s="1789"/>
    </row>
    <row r="39" ht="16" customHeight="1">
      <c r="A39" t="s" s="1800">
        <v>3759</v>
      </c>
      <c r="B39" t="s" s="1799">
        <v>3758</v>
      </c>
      <c r="C39" s="1881">
        <v>0</v>
      </c>
      <c r="D39" s="1881">
        <v>0</v>
      </c>
      <c r="E39" s="1881">
        <v>0</v>
      </c>
      <c r="F39" s="1881">
        <v>64000000</v>
      </c>
      <c r="G39" s="1881">
        <v>64000000</v>
      </c>
      <c r="H39" s="1881">
        <v>64000000</v>
      </c>
      <c r="I39" s="1881">
        <v>16000000</v>
      </c>
      <c r="J39" s="1881">
        <v>80000000</v>
      </c>
      <c r="K39" s="1881">
        <v>64000000</v>
      </c>
      <c r="L39" s="1881">
        <v>65500000</v>
      </c>
      <c r="M39" s="1881">
        <v>40000000</v>
      </c>
      <c r="N39" s="1789"/>
      <c r="O39" t="s" s="1848">
        <v>3932</v>
      </c>
      <c r="P39" s="1849">
        <v>32000000</v>
      </c>
      <c r="Q39" s="1789"/>
      <c r="R39" s="1789"/>
    </row>
    <row r="40" ht="16" customHeight="1">
      <c r="A40" t="s" s="1800">
        <v>3761</v>
      </c>
      <c r="B40" t="s" s="1799">
        <v>3760</v>
      </c>
      <c r="C40" s="1881">
        <v>85775000</v>
      </c>
      <c r="D40" s="1881">
        <v>131175000</v>
      </c>
      <c r="E40" s="1881">
        <v>164275000</v>
      </c>
      <c r="F40" s="1881">
        <v>170612500</v>
      </c>
      <c r="G40" s="1881">
        <v>169950000</v>
      </c>
      <c r="H40" s="1881">
        <v>157700000</v>
      </c>
      <c r="I40" s="1881">
        <v>170310000</v>
      </c>
      <c r="J40" s="1881">
        <v>147590000</v>
      </c>
      <c r="K40" s="1881">
        <v>136892000</v>
      </c>
      <c r="L40" s="1881">
        <v>150015000</v>
      </c>
      <c r="M40" s="1881">
        <v>146469000</v>
      </c>
      <c r="N40" s="1789"/>
      <c r="O40" t="s" s="1848">
        <v>3759</v>
      </c>
      <c r="P40" s="1849">
        <v>457500000</v>
      </c>
      <c r="Q40" s="1789"/>
      <c r="R40" s="1789"/>
    </row>
    <row r="41" ht="16" customHeight="1">
      <c r="A41" t="s" s="1800">
        <v>3763</v>
      </c>
      <c r="B41" t="s" s="1799">
        <v>3762</v>
      </c>
      <c r="C41" s="1881">
        <v>0</v>
      </c>
      <c r="D41" s="1881">
        <v>0</v>
      </c>
      <c r="E41" s="1881">
        <v>7500000</v>
      </c>
      <c r="F41" s="1881">
        <v>15000000</v>
      </c>
      <c r="G41" s="1881">
        <v>30000000</v>
      </c>
      <c r="H41" s="1881">
        <v>7500000</v>
      </c>
      <c r="I41" s="1881">
        <v>7500000</v>
      </c>
      <c r="J41" s="1881">
        <v>37500000</v>
      </c>
      <c r="K41" s="1881">
        <v>0</v>
      </c>
      <c r="L41" s="1881">
        <v>7500000</v>
      </c>
      <c r="M41" s="1881">
        <v>22518000</v>
      </c>
      <c r="N41" s="1789"/>
      <c r="O41" t="s" s="1848">
        <v>3761</v>
      </c>
      <c r="P41" s="1849">
        <v>1797398500</v>
      </c>
      <c r="Q41" s="1789"/>
      <c r="R41" s="1789"/>
    </row>
    <row r="42" ht="16" customHeight="1">
      <c r="A42" t="s" s="1800">
        <v>3765</v>
      </c>
      <c r="B42" t="s" s="1799">
        <v>3764</v>
      </c>
      <c r="C42" s="1881">
        <v>60075000</v>
      </c>
      <c r="D42" s="1881">
        <v>160507500</v>
      </c>
      <c r="E42" s="1881">
        <v>173550000</v>
      </c>
      <c r="F42" s="1881">
        <v>180885000</v>
      </c>
      <c r="G42" s="1881">
        <v>199650000</v>
      </c>
      <c r="H42" s="1881">
        <v>186900000</v>
      </c>
      <c r="I42" s="1881">
        <v>180225000</v>
      </c>
      <c r="J42" s="1881">
        <v>196575000</v>
      </c>
      <c r="K42" s="1881">
        <v>147697000</v>
      </c>
      <c r="L42" s="1881">
        <v>139256000</v>
      </c>
      <c r="M42" s="1881">
        <v>134338000</v>
      </c>
      <c r="N42" s="1789"/>
      <c r="O42" t="s" s="1848">
        <v>3763</v>
      </c>
      <c r="P42" s="1849">
        <v>135018000</v>
      </c>
      <c r="Q42" s="1789"/>
      <c r="R42" s="1789"/>
    </row>
    <row r="43" ht="16" customHeight="1">
      <c r="A43" t="s" s="1800">
        <v>3934</v>
      </c>
      <c r="B43" t="s" s="1799">
        <v>3933</v>
      </c>
      <c r="C43" s="1881">
        <v>0</v>
      </c>
      <c r="D43" s="1881">
        <v>0</v>
      </c>
      <c r="E43" s="1881">
        <v>0</v>
      </c>
      <c r="F43" s="1881">
        <v>0</v>
      </c>
      <c r="G43" s="1881">
        <v>0</v>
      </c>
      <c r="H43" s="1881">
        <v>0</v>
      </c>
      <c r="I43" s="1881">
        <v>0</v>
      </c>
      <c r="J43" s="1881">
        <v>0</v>
      </c>
      <c r="K43" s="1881">
        <v>0</v>
      </c>
      <c r="L43" s="1881">
        <v>23500000</v>
      </c>
      <c r="M43" s="1881">
        <v>16500000</v>
      </c>
      <c r="N43" s="1789"/>
      <c r="O43" t="s" s="1848">
        <v>3765</v>
      </c>
      <c r="P43" s="1849">
        <v>1884683500</v>
      </c>
      <c r="Q43" s="1789"/>
      <c r="R43" s="1789"/>
    </row>
    <row r="44" ht="16" customHeight="1">
      <c r="A44" t="s" s="1800">
        <v>3767</v>
      </c>
      <c r="B44" t="s" s="1799">
        <v>3766</v>
      </c>
      <c r="C44" s="1881">
        <v>0</v>
      </c>
      <c r="D44" s="1881">
        <v>0</v>
      </c>
      <c r="E44" s="1881">
        <v>0</v>
      </c>
      <c r="F44" s="1881">
        <v>0</v>
      </c>
      <c r="G44" s="1881">
        <v>0</v>
      </c>
      <c r="H44" s="1881">
        <v>0</v>
      </c>
      <c r="I44" s="1881">
        <v>0</v>
      </c>
      <c r="J44" s="1881">
        <v>3800000</v>
      </c>
      <c r="K44" s="1881">
        <v>78975000</v>
      </c>
      <c r="L44" s="1881">
        <v>80450000</v>
      </c>
      <c r="M44" s="1881">
        <v>89775000</v>
      </c>
      <c r="N44" s="1789"/>
      <c r="O44" t="s" s="1848">
        <v>3934</v>
      </c>
      <c r="P44" s="1849">
        <v>40000000</v>
      </c>
      <c r="Q44" s="1789"/>
      <c r="R44" s="1789"/>
    </row>
    <row r="45" ht="16" customHeight="1">
      <c r="A45" t="s" s="1800">
        <v>3769</v>
      </c>
      <c r="B45" t="s" s="1799">
        <v>3768</v>
      </c>
      <c r="C45" s="1881">
        <v>34050000</v>
      </c>
      <c r="D45" s="1881">
        <v>90900000</v>
      </c>
      <c r="E45" s="1881">
        <v>158600000</v>
      </c>
      <c r="F45" s="1881">
        <v>158300000</v>
      </c>
      <c r="G45" s="1881">
        <v>152025000</v>
      </c>
      <c r="H45" s="1881">
        <v>139475000</v>
      </c>
      <c r="I45" s="1881">
        <v>168450000</v>
      </c>
      <c r="J45" s="1881">
        <v>129625000</v>
      </c>
      <c r="K45" s="1881">
        <v>72061000</v>
      </c>
      <c r="L45" s="1881">
        <v>28231000</v>
      </c>
      <c r="M45" s="1881">
        <v>28071000</v>
      </c>
      <c r="N45" s="1789"/>
      <c r="O45" t="s" s="1848">
        <v>3767</v>
      </c>
      <c r="P45" s="1849">
        <v>253000000</v>
      </c>
      <c r="Q45" s="1789"/>
      <c r="R45" s="1789"/>
    </row>
    <row r="46" ht="16" customHeight="1">
      <c r="A46" t="s" s="1800">
        <v>3771</v>
      </c>
      <c r="B46" t="s" s="1799">
        <v>3770</v>
      </c>
      <c r="C46" s="1881">
        <v>11000000</v>
      </c>
      <c r="D46" s="1881">
        <v>34200000</v>
      </c>
      <c r="E46" s="1881">
        <v>33800000</v>
      </c>
      <c r="F46" s="1881">
        <v>73300000</v>
      </c>
      <c r="G46" s="1881">
        <v>110200000</v>
      </c>
      <c r="H46" s="1881">
        <v>5300000</v>
      </c>
      <c r="I46" s="1881">
        <v>0</v>
      </c>
      <c r="J46" s="1881">
        <v>37100000</v>
      </c>
      <c r="K46" s="1881">
        <v>0</v>
      </c>
      <c r="L46" s="1881">
        <v>10600000</v>
      </c>
      <c r="M46" s="1881">
        <v>42400000</v>
      </c>
      <c r="N46" s="1789"/>
      <c r="O46" t="s" s="1848">
        <v>3769</v>
      </c>
      <c r="P46" s="1849">
        <v>1234813000</v>
      </c>
      <c r="Q46" s="1789"/>
      <c r="R46" s="1789"/>
    </row>
    <row r="47" ht="16" customHeight="1">
      <c r="A47" t="s" s="1800">
        <v>3936</v>
      </c>
      <c r="B47" t="s" s="1799">
        <v>3935</v>
      </c>
      <c r="C47" s="1881">
        <v>0</v>
      </c>
      <c r="D47" s="1881">
        <v>0</v>
      </c>
      <c r="E47" s="1881">
        <v>0</v>
      </c>
      <c r="F47" s="1881">
        <v>18000000</v>
      </c>
      <c r="G47" s="1881">
        <v>0</v>
      </c>
      <c r="H47" s="1881">
        <v>0</v>
      </c>
      <c r="I47" s="1881">
        <v>18000000</v>
      </c>
      <c r="J47" s="1881">
        <v>27000000</v>
      </c>
      <c r="K47" s="1881">
        <v>9000000</v>
      </c>
      <c r="L47" s="1881">
        <v>18000000</v>
      </c>
      <c r="M47" s="1881">
        <v>36410000</v>
      </c>
      <c r="N47" s="1789"/>
      <c r="O47" t="s" s="1848">
        <v>3771</v>
      </c>
      <c r="P47" s="1849">
        <v>397300000</v>
      </c>
      <c r="Q47" s="1789"/>
      <c r="R47" s="1789"/>
    </row>
    <row r="48" ht="16" customHeight="1">
      <c r="A48" t="s" s="1800">
        <v>3773</v>
      </c>
      <c r="B48" t="s" s="1799">
        <v>3772</v>
      </c>
      <c r="C48" s="1881">
        <v>2200000</v>
      </c>
      <c r="D48" s="1881">
        <v>600000</v>
      </c>
      <c r="E48" s="1881">
        <v>600000</v>
      </c>
      <c r="F48" s="1881">
        <v>5000000</v>
      </c>
      <c r="G48" s="1881">
        <v>0</v>
      </c>
      <c r="H48" s="1881">
        <v>6265000</v>
      </c>
      <c r="I48" s="1881">
        <v>3330000</v>
      </c>
      <c r="J48" s="1881">
        <v>7110000</v>
      </c>
      <c r="K48" s="1881">
        <v>820000</v>
      </c>
      <c r="L48" s="1881">
        <v>14143374</v>
      </c>
      <c r="M48" s="1881">
        <v>1590000</v>
      </c>
      <c r="N48" s="1789"/>
      <c r="O48" t="s" s="1848">
        <v>3936</v>
      </c>
      <c r="P48" s="1849">
        <v>126410000</v>
      </c>
      <c r="Q48" s="1789"/>
      <c r="R48" s="1789"/>
    </row>
    <row r="49" ht="16" customHeight="1">
      <c r="A49" t="s" s="1800">
        <v>3775</v>
      </c>
      <c r="B49" t="s" s="1799">
        <v>3774</v>
      </c>
      <c r="C49" s="1881">
        <v>33375000</v>
      </c>
      <c r="D49" s="1881">
        <v>115080000</v>
      </c>
      <c r="E49" s="1881">
        <v>153525000</v>
      </c>
      <c r="F49" s="1881">
        <v>180225000</v>
      </c>
      <c r="G49" s="1881">
        <v>186900000</v>
      </c>
      <c r="H49" s="1881">
        <v>166875000</v>
      </c>
      <c r="I49" s="1881">
        <v>186900000</v>
      </c>
      <c r="J49" s="1881">
        <v>109560000</v>
      </c>
      <c r="K49" s="1881">
        <v>36250000</v>
      </c>
      <c r="L49" s="1881">
        <v>29000000</v>
      </c>
      <c r="M49" s="1881">
        <v>0</v>
      </c>
      <c r="N49" s="1789"/>
      <c r="O49" t="s" s="1848">
        <v>3773</v>
      </c>
      <c r="P49" s="1849">
        <v>44058374</v>
      </c>
      <c r="Q49" s="1789"/>
      <c r="R49" s="1789"/>
    </row>
    <row r="50" ht="16" customHeight="1">
      <c r="A50" t="s" s="1800">
        <v>3777</v>
      </c>
      <c r="B50" t="s" s="1799">
        <v>3776</v>
      </c>
      <c r="C50" s="1881">
        <v>79439000</v>
      </c>
      <c r="D50" s="1881">
        <v>131082000</v>
      </c>
      <c r="E50" s="1881">
        <v>269930000</v>
      </c>
      <c r="F50" s="1881">
        <v>253954000</v>
      </c>
      <c r="G50" s="1881">
        <v>290355000</v>
      </c>
      <c r="H50" s="1881">
        <v>299703000</v>
      </c>
      <c r="I50" s="1881">
        <v>226243000</v>
      </c>
      <c r="J50" s="1881">
        <v>146249000</v>
      </c>
      <c r="K50" s="1881">
        <v>65589000</v>
      </c>
      <c r="L50" s="1881">
        <v>103377000</v>
      </c>
      <c r="M50" s="1881">
        <v>126698000</v>
      </c>
      <c r="N50" s="1789"/>
      <c r="O50" t="s" s="1848">
        <v>3775</v>
      </c>
      <c r="P50" s="1849">
        <v>1294115000</v>
      </c>
      <c r="Q50" s="1789"/>
      <c r="R50" s="1789"/>
    </row>
    <row r="51" ht="16" customHeight="1">
      <c r="A51" t="s" s="1800">
        <v>3779</v>
      </c>
      <c r="B51" t="s" s="1799">
        <v>3778</v>
      </c>
      <c r="C51" s="1881">
        <v>102720000</v>
      </c>
      <c r="D51" s="1881">
        <v>284640000</v>
      </c>
      <c r="E51" s="1881">
        <v>313440000</v>
      </c>
      <c r="F51" s="1881">
        <v>362880000</v>
      </c>
      <c r="G51" s="1881">
        <v>365280000</v>
      </c>
      <c r="H51" s="1881">
        <v>296640000</v>
      </c>
      <c r="I51" s="1881">
        <v>266400000</v>
      </c>
      <c r="J51" s="1881">
        <v>197830000</v>
      </c>
      <c r="K51" s="1881">
        <v>126720000</v>
      </c>
      <c r="L51" s="1881">
        <v>127400000</v>
      </c>
      <c r="M51" s="1881">
        <v>125700000</v>
      </c>
      <c r="N51" s="1789"/>
      <c r="O51" t="s" s="1848">
        <v>3777</v>
      </c>
      <c r="P51" s="1849">
        <v>2333358000</v>
      </c>
      <c r="Q51" s="1789"/>
      <c r="R51" s="1789"/>
    </row>
    <row r="52" ht="16" customHeight="1">
      <c r="A52" t="s" s="1800">
        <v>3781</v>
      </c>
      <c r="B52" t="s" s="1799">
        <v>3780</v>
      </c>
      <c r="C52" s="1881">
        <v>15750000</v>
      </c>
      <c r="D52" s="1881">
        <v>35100000</v>
      </c>
      <c r="E52" s="1881">
        <v>31950000</v>
      </c>
      <c r="F52" s="1881">
        <v>31650000</v>
      </c>
      <c r="G52" s="1881">
        <v>37050000</v>
      </c>
      <c r="H52" s="1881">
        <v>32400000</v>
      </c>
      <c r="I52" s="1881">
        <v>22050000</v>
      </c>
      <c r="J52" s="1881">
        <v>21600000</v>
      </c>
      <c r="K52" s="1881">
        <v>12550000</v>
      </c>
      <c r="L52" s="1881">
        <v>8475000</v>
      </c>
      <c r="M52" s="1881">
        <v>17700000</v>
      </c>
      <c r="N52" s="1789"/>
      <c r="O52" t="s" s="1848">
        <v>3779</v>
      </c>
      <c r="P52" s="1849">
        <v>2858130000</v>
      </c>
      <c r="Q52" s="1789"/>
      <c r="R52" s="1789"/>
    </row>
    <row r="53" ht="16" customHeight="1">
      <c r="A53" t="s" s="1800">
        <v>3938</v>
      </c>
      <c r="B53" t="s" s="1799">
        <v>3937</v>
      </c>
      <c r="C53" s="1881">
        <v>0</v>
      </c>
      <c r="D53" s="1881">
        <v>0</v>
      </c>
      <c r="E53" s="1881">
        <v>0</v>
      </c>
      <c r="F53" s="1881">
        <v>0</v>
      </c>
      <c r="G53" s="1881">
        <v>0</v>
      </c>
      <c r="H53" s="1881">
        <v>0</v>
      </c>
      <c r="I53" s="1881">
        <v>0</v>
      </c>
      <c r="J53" s="1881">
        <v>0</v>
      </c>
      <c r="K53" s="1881">
        <v>250000</v>
      </c>
      <c r="L53" s="1881">
        <v>0</v>
      </c>
      <c r="M53" s="1881">
        <v>0</v>
      </c>
      <c r="N53" s="1789"/>
      <c r="O53" t="s" s="1848">
        <v>3781</v>
      </c>
      <c r="P53" s="1849">
        <v>296725000</v>
      </c>
      <c r="Q53" s="1789"/>
      <c r="R53" s="1789"/>
    </row>
    <row r="54" ht="16" customHeight="1">
      <c r="A54" t="s" s="1800">
        <v>3940</v>
      </c>
      <c r="B54" t="s" s="1799">
        <v>3939</v>
      </c>
      <c r="C54" s="1881">
        <v>0</v>
      </c>
      <c r="D54" s="1881">
        <v>0</v>
      </c>
      <c r="E54" s="1881">
        <v>0</v>
      </c>
      <c r="F54" s="1881">
        <v>0</v>
      </c>
      <c r="G54" s="1881">
        <v>0</v>
      </c>
      <c r="H54" s="1881">
        <v>0</v>
      </c>
      <c r="I54" s="1881">
        <v>0</v>
      </c>
      <c r="J54" s="1881">
        <v>83000000</v>
      </c>
      <c r="K54" s="1881">
        <v>25000000</v>
      </c>
      <c r="L54" s="1881">
        <v>26350000</v>
      </c>
      <c r="M54" s="1881">
        <v>0</v>
      </c>
      <c r="N54" s="1789"/>
      <c r="O54" t="s" s="1848">
        <v>3938</v>
      </c>
      <c r="P54" s="1849">
        <v>250000</v>
      </c>
      <c r="Q54" s="1789"/>
      <c r="R54" s="1789"/>
    </row>
    <row r="55" ht="16" customHeight="1">
      <c r="A55" t="s" s="1800">
        <v>3783</v>
      </c>
      <c r="B55" t="s" s="1799">
        <v>3782</v>
      </c>
      <c r="C55" s="1881">
        <v>164940000</v>
      </c>
      <c r="D55" s="1881">
        <v>473590000</v>
      </c>
      <c r="E55" s="1881">
        <v>549088500</v>
      </c>
      <c r="F55" s="1881">
        <v>601931000</v>
      </c>
      <c r="G55" s="1881">
        <v>703062500</v>
      </c>
      <c r="H55" s="1881">
        <v>542680000</v>
      </c>
      <c r="I55" s="1881">
        <v>415548000</v>
      </c>
      <c r="J55" s="1881">
        <v>208118100</v>
      </c>
      <c r="K55" s="1881">
        <v>120000</v>
      </c>
      <c r="L55" s="1881">
        <v>0</v>
      </c>
      <c r="M55" s="1881">
        <v>33840000</v>
      </c>
      <c r="N55" s="1789"/>
      <c r="O55" t="s" s="1848">
        <v>3940</v>
      </c>
      <c r="P55" s="1849">
        <v>134350000</v>
      </c>
      <c r="Q55" s="1789"/>
      <c r="R55" s="1789"/>
    </row>
    <row r="56" ht="16" customHeight="1">
      <c r="A56" t="s" s="1800">
        <v>3785</v>
      </c>
      <c r="B56" t="s" s="1799">
        <v>3784</v>
      </c>
      <c r="C56" s="1881">
        <v>14755218</v>
      </c>
      <c r="D56" s="1881">
        <v>39011297</v>
      </c>
      <c r="E56" s="1881">
        <v>15494858</v>
      </c>
      <c r="F56" s="1881">
        <v>108489343</v>
      </c>
      <c r="G56" s="1881">
        <v>29807415</v>
      </c>
      <c r="H56" s="1881">
        <v>113308375</v>
      </c>
      <c r="I56" s="1881">
        <v>74169806</v>
      </c>
      <c r="J56" s="1881">
        <v>115467530</v>
      </c>
      <c r="K56" s="1881">
        <v>185018960</v>
      </c>
      <c r="L56" s="1881">
        <v>126840553</v>
      </c>
      <c r="M56" s="1881">
        <v>145855747</v>
      </c>
      <c r="N56" s="1789"/>
      <c r="O56" t="s" s="1848">
        <v>3783</v>
      </c>
      <c r="P56" s="1849">
        <v>4156963600</v>
      </c>
      <c r="Q56" s="1789"/>
      <c r="R56" s="1789"/>
    </row>
    <row r="57" ht="16" customHeight="1">
      <c r="A57" t="s" s="1800">
        <v>3787</v>
      </c>
      <c r="B57" t="s" s="1799">
        <v>3786</v>
      </c>
      <c r="C57" s="1881">
        <v>99232014</v>
      </c>
      <c r="D57" s="1881">
        <v>180331025</v>
      </c>
      <c r="E57" s="1881">
        <v>276256607</v>
      </c>
      <c r="F57" s="1881">
        <v>191437637</v>
      </c>
      <c r="G57" s="1881">
        <v>188121734</v>
      </c>
      <c r="H57" s="1881">
        <v>188163045</v>
      </c>
      <c r="I57" s="1881">
        <v>119009530.17</v>
      </c>
      <c r="J57" s="1881">
        <v>78102733</v>
      </c>
      <c r="K57" s="1881">
        <v>64465127</v>
      </c>
      <c r="L57" s="1881">
        <v>68737170</v>
      </c>
      <c r="M57" s="1881">
        <v>71617999</v>
      </c>
      <c r="N57" s="1789"/>
      <c r="O57" t="s" s="1848">
        <v>3785</v>
      </c>
      <c r="P57" s="1849">
        <v>1007374409</v>
      </c>
      <c r="Q57" s="1789"/>
      <c r="R57" s="1789"/>
    </row>
    <row r="58" ht="16" customHeight="1">
      <c r="A58" t="s" s="1800">
        <v>3942</v>
      </c>
      <c r="B58" t="s" s="1799">
        <v>3941</v>
      </c>
      <c r="C58" s="1881">
        <v>0</v>
      </c>
      <c r="D58" s="1881">
        <v>0</v>
      </c>
      <c r="E58" s="1881">
        <v>0</v>
      </c>
      <c r="F58" s="1881">
        <v>0</v>
      </c>
      <c r="G58" s="1881">
        <v>0</v>
      </c>
      <c r="H58" s="1881">
        <v>0</v>
      </c>
      <c r="I58" s="1881">
        <v>0</v>
      </c>
      <c r="J58" s="1881">
        <v>0</v>
      </c>
      <c r="K58" s="1881">
        <v>0</v>
      </c>
      <c r="L58" s="1881">
        <v>2792898</v>
      </c>
      <c r="M58" s="1881">
        <v>16922550</v>
      </c>
      <c r="N58" s="1789"/>
      <c r="O58" t="s" s="1848">
        <v>3787</v>
      </c>
      <c r="P58" s="1849">
        <v>1588632489.17</v>
      </c>
      <c r="Q58" s="1789"/>
      <c r="R58" s="1789"/>
    </row>
    <row r="59" ht="16" customHeight="1">
      <c r="A59" t="s" s="1800">
        <v>3789</v>
      </c>
      <c r="B59" t="s" s="1799">
        <v>3788</v>
      </c>
      <c r="C59" s="1881">
        <v>144926995</v>
      </c>
      <c r="D59" s="1881">
        <v>358921375</v>
      </c>
      <c r="E59" s="1881">
        <v>417349500</v>
      </c>
      <c r="F59" s="1881">
        <v>486609875</v>
      </c>
      <c r="G59" s="1881">
        <v>468805000</v>
      </c>
      <c r="H59" s="1881">
        <v>372025000</v>
      </c>
      <c r="I59" s="1881">
        <v>318100000</v>
      </c>
      <c r="J59" s="1881">
        <v>254100004</v>
      </c>
      <c r="K59" s="1881">
        <v>159000000</v>
      </c>
      <c r="L59" s="1881">
        <v>153275000</v>
      </c>
      <c r="M59" s="1881">
        <v>189250000</v>
      </c>
      <c r="N59" s="1789"/>
      <c r="O59" t="s" s="1848">
        <v>3942</v>
      </c>
      <c r="P59" s="1849">
        <v>19715448</v>
      </c>
      <c r="Q59" s="1789"/>
      <c r="R59" s="1789"/>
    </row>
    <row r="60" ht="16" customHeight="1">
      <c r="A60" t="s" s="1800">
        <v>3791</v>
      </c>
      <c r="B60" t="s" s="1799">
        <v>3790</v>
      </c>
      <c r="C60" s="1881">
        <v>19750000</v>
      </c>
      <c r="D60" s="1881">
        <v>15800000</v>
      </c>
      <c r="E60" s="1881">
        <v>57750000</v>
      </c>
      <c r="F60" s="1881">
        <v>120150000</v>
      </c>
      <c r="G60" s="1881">
        <v>0</v>
      </c>
      <c r="H60" s="1881">
        <v>30800000</v>
      </c>
      <c r="I60" s="1881">
        <v>20000000</v>
      </c>
      <c r="J60" s="1881">
        <v>17800000</v>
      </c>
      <c r="K60" s="1881">
        <v>12000000</v>
      </c>
      <c r="L60" s="1881">
        <v>0</v>
      </c>
      <c r="M60" s="1881">
        <v>18400000</v>
      </c>
      <c r="N60" s="1789"/>
      <c r="O60" t="s" s="1848">
        <v>3789</v>
      </c>
      <c r="P60" s="1849">
        <v>3666007164</v>
      </c>
      <c r="Q60" s="1789"/>
      <c r="R60" s="1789"/>
    </row>
    <row r="61" ht="16" customHeight="1">
      <c r="A61" t="s" s="1800">
        <v>3793</v>
      </c>
      <c r="B61" t="s" s="1799">
        <v>3792</v>
      </c>
      <c r="C61" s="1881">
        <v>790000</v>
      </c>
      <c r="D61" s="1881">
        <v>53465812.5</v>
      </c>
      <c r="E61" s="1881">
        <v>54025000</v>
      </c>
      <c r="F61" s="1881">
        <v>72840000</v>
      </c>
      <c r="G61" s="1881">
        <v>41136000</v>
      </c>
      <c r="H61" s="1881">
        <v>20162000</v>
      </c>
      <c r="I61" s="1881">
        <v>17370000</v>
      </c>
      <c r="J61" s="1881">
        <v>17469800</v>
      </c>
      <c r="K61" s="1881">
        <v>5050000</v>
      </c>
      <c r="L61" s="1881">
        <v>4780000</v>
      </c>
      <c r="M61" s="1881">
        <v>11967500</v>
      </c>
      <c r="N61" s="1789"/>
      <c r="O61" t="s" s="1848">
        <v>3791</v>
      </c>
      <c r="P61" s="1849">
        <v>374187500</v>
      </c>
      <c r="Q61" s="1789"/>
      <c r="R61" s="1789"/>
    </row>
    <row r="62" ht="16" customHeight="1">
      <c r="A62" t="s" s="1800">
        <v>3944</v>
      </c>
      <c r="B62" t="s" s="1799">
        <v>3943</v>
      </c>
      <c r="C62" s="1881">
        <v>0</v>
      </c>
      <c r="D62" s="1881">
        <v>0</v>
      </c>
      <c r="E62" s="1881">
        <v>0</v>
      </c>
      <c r="F62" s="1881">
        <v>15400000</v>
      </c>
      <c r="G62" s="1881">
        <v>77000000</v>
      </c>
      <c r="H62" s="1881">
        <v>0</v>
      </c>
      <c r="I62" s="1881">
        <v>46200000</v>
      </c>
      <c r="J62" s="1881">
        <v>24000000</v>
      </c>
      <c r="K62" s="1881">
        <v>0</v>
      </c>
      <c r="L62" s="1881">
        <v>38000000</v>
      </c>
      <c r="M62" s="1881">
        <v>0</v>
      </c>
      <c r="N62" s="1789"/>
      <c r="O62" t="s" s="1848">
        <v>3793</v>
      </c>
      <c r="P62" s="1849">
        <v>275170932.66</v>
      </c>
      <c r="Q62" s="1789"/>
      <c r="R62" s="1789"/>
    </row>
    <row r="63" ht="16" customHeight="1">
      <c r="A63" t="s" s="1800">
        <v>3795</v>
      </c>
      <c r="B63" t="s" s="1799">
        <v>3794</v>
      </c>
      <c r="C63" s="1881">
        <v>0</v>
      </c>
      <c r="D63" s="1881">
        <v>0</v>
      </c>
      <c r="E63" s="1881">
        <v>0</v>
      </c>
      <c r="F63" s="1881">
        <v>47100000</v>
      </c>
      <c r="G63" s="1881">
        <v>39780000</v>
      </c>
      <c r="H63" s="1881">
        <v>41310000</v>
      </c>
      <c r="I63" s="1881">
        <v>0</v>
      </c>
      <c r="J63" s="1881">
        <v>52070000</v>
      </c>
      <c r="K63" s="1881">
        <v>49570000</v>
      </c>
      <c r="L63" s="1881">
        <v>0</v>
      </c>
      <c r="M63" s="1881">
        <v>0</v>
      </c>
      <c r="N63" s="1789"/>
      <c r="O63" t="s" s="1848">
        <v>3944</v>
      </c>
      <c r="P63" s="1849">
        <v>200600000</v>
      </c>
      <c r="Q63" s="1789"/>
      <c r="R63" s="1789"/>
    </row>
    <row r="64" ht="16" customHeight="1">
      <c r="A64" t="s" s="1800">
        <v>3946</v>
      </c>
      <c r="B64" t="s" s="1799">
        <v>3945</v>
      </c>
      <c r="C64" s="1881">
        <v>0</v>
      </c>
      <c r="D64" s="1881">
        <v>0</v>
      </c>
      <c r="E64" s="1881">
        <v>0</v>
      </c>
      <c r="F64" s="1881">
        <v>0</v>
      </c>
      <c r="G64" s="1881">
        <v>37740000</v>
      </c>
      <c r="H64" s="1881">
        <v>0</v>
      </c>
      <c r="I64" s="1881">
        <v>47175000</v>
      </c>
      <c r="J64" s="1881">
        <v>17000000</v>
      </c>
      <c r="K64" s="1881">
        <v>0</v>
      </c>
      <c r="L64" s="1881">
        <v>0</v>
      </c>
      <c r="M64" s="1881">
        <v>0</v>
      </c>
      <c r="N64" s="1789"/>
      <c r="O64" t="s" s="1848">
        <v>3795</v>
      </c>
      <c r="P64" s="1849">
        <v>262230000</v>
      </c>
      <c r="Q64" s="1789"/>
      <c r="R64" s="1789"/>
    </row>
    <row r="65" ht="16" customHeight="1">
      <c r="A65" t="s" s="1800">
        <v>3797</v>
      </c>
      <c r="B65" t="s" s="1799">
        <v>3796</v>
      </c>
      <c r="C65" s="1881">
        <v>0</v>
      </c>
      <c r="D65" s="1881">
        <v>0</v>
      </c>
      <c r="E65" s="1881">
        <v>50000000</v>
      </c>
      <c r="F65" s="1881">
        <v>108000000</v>
      </c>
      <c r="G65" s="1881">
        <v>0</v>
      </c>
      <c r="H65" s="1881">
        <v>123000000</v>
      </c>
      <c r="I65" s="1881">
        <v>125000000</v>
      </c>
      <c r="J65" s="1881">
        <v>77600000</v>
      </c>
      <c r="K65" s="1881">
        <v>0</v>
      </c>
      <c r="L65" s="1881">
        <v>0</v>
      </c>
      <c r="M65" s="1881">
        <v>0</v>
      </c>
      <c r="N65" s="1789"/>
      <c r="O65" t="s" s="1848">
        <v>3946</v>
      </c>
      <c r="P65" s="1849">
        <v>101915000</v>
      </c>
      <c r="Q65" s="1789"/>
      <c r="R65" s="1789"/>
    </row>
    <row r="66" ht="16" customHeight="1">
      <c r="A66" t="s" s="1800">
        <v>3799</v>
      </c>
      <c r="B66" t="s" s="1799">
        <v>3798</v>
      </c>
      <c r="C66" s="1881">
        <v>34362500</v>
      </c>
      <c r="D66" s="1881">
        <v>205450000</v>
      </c>
      <c r="E66" s="1881">
        <v>198387500</v>
      </c>
      <c r="F66" s="1881">
        <v>188781250</v>
      </c>
      <c r="G66" s="1881">
        <v>325296250</v>
      </c>
      <c r="H66" s="1881">
        <v>159210000</v>
      </c>
      <c r="I66" s="1881">
        <v>18000000</v>
      </c>
      <c r="J66" s="1881">
        <v>0</v>
      </c>
      <c r="K66" s="1881">
        <v>0</v>
      </c>
      <c r="L66" s="1881">
        <v>0</v>
      </c>
      <c r="M66" s="1881">
        <v>0</v>
      </c>
      <c r="N66" s="1789"/>
      <c r="O66" t="s" s="1848">
        <v>3797</v>
      </c>
      <c r="P66" s="1849">
        <v>508600000</v>
      </c>
      <c r="Q66" s="1789"/>
      <c r="R66" s="1789"/>
    </row>
    <row r="67" ht="16" customHeight="1">
      <c r="A67" t="s" s="1800">
        <v>3801</v>
      </c>
      <c r="B67" t="s" s="1799">
        <v>3800</v>
      </c>
      <c r="C67" s="1881">
        <v>36000000</v>
      </c>
      <c r="D67" s="1881">
        <v>18000000</v>
      </c>
      <c r="E67" s="1881">
        <v>0</v>
      </c>
      <c r="F67" s="1881">
        <v>90000000</v>
      </c>
      <c r="G67" s="1881">
        <v>18000000</v>
      </c>
      <c r="H67" s="1881">
        <v>0</v>
      </c>
      <c r="I67" s="1881">
        <v>0</v>
      </c>
      <c r="J67" s="1881">
        <v>0</v>
      </c>
      <c r="K67" s="1881">
        <v>0</v>
      </c>
      <c r="L67" s="1881">
        <v>0</v>
      </c>
      <c r="M67" s="1881">
        <v>0</v>
      </c>
      <c r="N67" s="1789"/>
      <c r="O67" t="s" s="1848">
        <v>3799</v>
      </c>
      <c r="P67" s="1849">
        <v>1129487500</v>
      </c>
      <c r="Q67" s="1789"/>
      <c r="R67" s="1789"/>
    </row>
    <row r="68" ht="16" customHeight="1">
      <c r="A68" t="s" s="1800">
        <v>3948</v>
      </c>
      <c r="B68" t="s" s="1799">
        <v>3947</v>
      </c>
      <c r="C68" s="1881">
        <v>0</v>
      </c>
      <c r="D68" s="1881">
        <v>0</v>
      </c>
      <c r="E68" s="1881">
        <v>0</v>
      </c>
      <c r="F68" s="1881">
        <v>0</v>
      </c>
      <c r="G68" s="1881">
        <v>0</v>
      </c>
      <c r="H68" s="1881">
        <v>600000</v>
      </c>
      <c r="I68" s="1881">
        <v>10000000</v>
      </c>
      <c r="J68" s="1881">
        <v>0</v>
      </c>
      <c r="K68" s="1881">
        <v>0</v>
      </c>
      <c r="L68" s="1881">
        <v>0</v>
      </c>
      <c r="M68" s="1881">
        <v>0</v>
      </c>
      <c r="N68" s="1789"/>
      <c r="O68" t="s" s="1848">
        <v>3801</v>
      </c>
      <c r="P68" s="1849">
        <v>180000000</v>
      </c>
      <c r="Q68" s="1789"/>
      <c r="R68" s="1789"/>
    </row>
    <row r="69" ht="16" customHeight="1">
      <c r="A69" t="s" s="1800">
        <v>3803</v>
      </c>
      <c r="B69" t="s" s="1799">
        <v>3802</v>
      </c>
      <c r="C69" s="1881">
        <v>96050000</v>
      </c>
      <c r="D69" s="1881">
        <v>221200000</v>
      </c>
      <c r="E69" s="1881">
        <v>193700000</v>
      </c>
      <c r="F69" s="1881">
        <v>257250000</v>
      </c>
      <c r="G69" s="1881">
        <v>212950000</v>
      </c>
      <c r="H69" s="1881">
        <v>0</v>
      </c>
      <c r="I69" s="1881">
        <v>0</v>
      </c>
      <c r="J69" s="1881">
        <v>0</v>
      </c>
      <c r="K69" s="1881">
        <v>0</v>
      </c>
      <c r="L69" s="1881">
        <v>0</v>
      </c>
      <c r="M69" s="1881">
        <v>0</v>
      </c>
      <c r="N69" s="1789"/>
      <c r="O69" t="s" s="1848">
        <v>3948</v>
      </c>
      <c r="P69" s="1849">
        <v>10600000</v>
      </c>
      <c r="Q69" s="1789"/>
      <c r="R69" s="1789"/>
    </row>
    <row r="70" ht="16" customHeight="1">
      <c r="A70" t="s" s="1800">
        <v>3807</v>
      </c>
      <c r="B70" t="s" s="1799">
        <v>3806</v>
      </c>
      <c r="C70" s="1881">
        <v>0</v>
      </c>
      <c r="D70" s="1881">
        <v>0</v>
      </c>
      <c r="E70" s="1881">
        <v>0</v>
      </c>
      <c r="F70" s="1881">
        <v>0</v>
      </c>
      <c r="G70" s="1881">
        <v>27000000</v>
      </c>
      <c r="H70" s="1881">
        <v>108000000</v>
      </c>
      <c r="I70" s="1881">
        <v>0</v>
      </c>
      <c r="J70" s="1881">
        <v>0</v>
      </c>
      <c r="K70" s="1881">
        <v>0</v>
      </c>
      <c r="L70" s="1881">
        <v>0</v>
      </c>
      <c r="M70" s="1881">
        <v>0</v>
      </c>
      <c r="N70" s="1789"/>
      <c r="O70" t="s" s="1848">
        <v>3803</v>
      </c>
      <c r="P70" s="1849">
        <v>1136050000</v>
      </c>
      <c r="Q70" s="1789"/>
      <c r="R70" s="1789"/>
    </row>
    <row r="71" ht="16" customHeight="1">
      <c r="A71" t="s" s="1800">
        <v>3809</v>
      </c>
      <c r="B71" t="s" s="1799">
        <v>3808</v>
      </c>
      <c r="C71" s="1881">
        <v>66600000</v>
      </c>
      <c r="D71" s="1881">
        <v>78800000</v>
      </c>
      <c r="E71" s="1881">
        <v>228900000</v>
      </c>
      <c r="F71" s="1881">
        <v>90600000</v>
      </c>
      <c r="G71" s="1881">
        <v>126860000</v>
      </c>
      <c r="H71" s="1881">
        <v>127850000</v>
      </c>
      <c r="I71" s="1881">
        <v>0</v>
      </c>
      <c r="J71" s="1881">
        <v>0</v>
      </c>
      <c r="K71" s="1881">
        <v>0</v>
      </c>
      <c r="L71" s="1881">
        <v>0</v>
      </c>
      <c r="M71" s="1881">
        <v>0</v>
      </c>
      <c r="N71" s="1789"/>
      <c r="O71" t="s" s="1848">
        <v>3805</v>
      </c>
      <c r="P71" s="1849">
        <v>89100000</v>
      </c>
      <c r="Q71" s="1789"/>
      <c r="R71" s="1789"/>
    </row>
    <row r="72" ht="16" customHeight="1">
      <c r="A72" t="s" s="1800">
        <v>3811</v>
      </c>
      <c r="B72" t="s" s="1799">
        <v>3810</v>
      </c>
      <c r="C72" s="1881">
        <v>110450000</v>
      </c>
      <c r="D72" s="1881">
        <v>228400000</v>
      </c>
      <c r="E72" s="1881">
        <v>206500000</v>
      </c>
      <c r="F72" s="1881">
        <v>156500000</v>
      </c>
      <c r="G72" s="1881">
        <v>183660000</v>
      </c>
      <c r="H72" s="1881">
        <v>0</v>
      </c>
      <c r="I72" s="1881">
        <v>0</v>
      </c>
      <c r="J72" s="1881">
        <v>0</v>
      </c>
      <c r="K72" s="1881">
        <v>0</v>
      </c>
      <c r="L72" s="1881">
        <v>0</v>
      </c>
      <c r="M72" s="1881">
        <v>0</v>
      </c>
      <c r="N72" s="1789"/>
      <c r="O72" t="s" s="1848">
        <v>3807</v>
      </c>
      <c r="P72" s="1849">
        <v>164000000</v>
      </c>
      <c r="Q72" s="1789"/>
      <c r="R72" s="1789"/>
    </row>
    <row r="73" ht="16" customHeight="1">
      <c r="A73" t="s" s="1800">
        <v>3813</v>
      </c>
      <c r="B73" t="s" s="1799">
        <v>3812</v>
      </c>
      <c r="C73" s="1881">
        <v>475000</v>
      </c>
      <c r="D73" s="1881">
        <v>4380000</v>
      </c>
      <c r="E73" s="1881">
        <v>5940000</v>
      </c>
      <c r="F73" s="1881">
        <v>3150000</v>
      </c>
      <c r="G73" s="1881">
        <v>16105000</v>
      </c>
      <c r="H73" s="1881">
        <v>0</v>
      </c>
      <c r="I73" s="1881">
        <v>0</v>
      </c>
      <c r="J73" s="1881">
        <v>0</v>
      </c>
      <c r="K73" s="1881">
        <v>0</v>
      </c>
      <c r="L73" s="1881">
        <v>0</v>
      </c>
      <c r="M73" s="1881">
        <v>0</v>
      </c>
      <c r="N73" s="1789"/>
      <c r="O73" t="s" s="1848">
        <v>3809</v>
      </c>
      <c r="P73" s="1849">
        <v>903685000</v>
      </c>
      <c r="Q73" s="1789"/>
      <c r="R73" s="1789"/>
    </row>
    <row r="74" ht="16" customHeight="1">
      <c r="A74" t="s" s="1800">
        <v>3950</v>
      </c>
      <c r="B74" t="s" s="1799">
        <v>3949</v>
      </c>
      <c r="C74" s="1881">
        <v>0</v>
      </c>
      <c r="D74" s="1881">
        <v>0</v>
      </c>
      <c r="E74" s="1881">
        <v>0</v>
      </c>
      <c r="F74" s="1881">
        <v>11000000</v>
      </c>
      <c r="G74" s="1881">
        <v>0</v>
      </c>
      <c r="H74" s="1881">
        <v>0</v>
      </c>
      <c r="I74" s="1881">
        <v>0</v>
      </c>
      <c r="J74" s="1881">
        <v>0</v>
      </c>
      <c r="K74" s="1881">
        <v>0</v>
      </c>
      <c r="L74" s="1881">
        <v>0</v>
      </c>
      <c r="M74" s="1881">
        <v>0</v>
      </c>
      <c r="N74" s="1789"/>
      <c r="O74" t="s" s="1848">
        <v>3811</v>
      </c>
      <c r="P74" s="1849">
        <v>1092460000</v>
      </c>
      <c r="Q74" s="1789"/>
      <c r="R74" s="1789"/>
    </row>
    <row r="75" ht="16" customHeight="1">
      <c r="A75" t="s" s="1800">
        <v>3815</v>
      </c>
      <c r="B75" t="s" s="1799">
        <v>3814</v>
      </c>
      <c r="C75" s="1881">
        <v>0</v>
      </c>
      <c r="D75" s="1881">
        <v>0</v>
      </c>
      <c r="E75" s="1881">
        <v>0</v>
      </c>
      <c r="F75" s="1881">
        <v>24000000</v>
      </c>
      <c r="G75" s="1881">
        <v>0</v>
      </c>
      <c r="H75" s="1881">
        <v>0</v>
      </c>
      <c r="I75" s="1881">
        <v>0</v>
      </c>
      <c r="J75" s="1881">
        <v>0</v>
      </c>
      <c r="K75" s="1881">
        <v>0</v>
      </c>
      <c r="L75" s="1881">
        <v>0</v>
      </c>
      <c r="M75" s="1881">
        <v>0</v>
      </c>
      <c r="N75" s="1789"/>
      <c r="O75" t="s" s="1848">
        <v>3813</v>
      </c>
      <c r="P75" s="1849">
        <v>34167500</v>
      </c>
      <c r="Q75" s="1789"/>
      <c r="R75" s="1789"/>
    </row>
    <row r="76" ht="16" customHeight="1">
      <c r="A76" t="s" s="1800">
        <v>3817</v>
      </c>
      <c r="B76" t="s" s="1799">
        <v>3816</v>
      </c>
      <c r="C76" s="1881">
        <v>0</v>
      </c>
      <c r="D76" s="1881">
        <v>0</v>
      </c>
      <c r="E76" s="1881">
        <v>89000000</v>
      </c>
      <c r="F76" s="1881">
        <v>66000000</v>
      </c>
      <c r="G76" s="1881">
        <v>0</v>
      </c>
      <c r="H76" s="1881">
        <v>0</v>
      </c>
      <c r="I76" s="1881">
        <v>0</v>
      </c>
      <c r="J76" s="1881">
        <v>0</v>
      </c>
      <c r="K76" s="1881">
        <v>0</v>
      </c>
      <c r="L76" s="1881">
        <v>0</v>
      </c>
      <c r="M76" s="1881">
        <v>0</v>
      </c>
      <c r="N76" s="1789"/>
      <c r="O76" t="s" s="1848">
        <v>3950</v>
      </c>
      <c r="P76" s="1849">
        <v>11000000</v>
      </c>
      <c r="Q76" s="1789"/>
      <c r="R76" s="1789"/>
    </row>
    <row r="77" ht="16" customHeight="1">
      <c r="A77" t="s" s="1800">
        <v>1086</v>
      </c>
      <c r="B77" t="s" s="1799">
        <v>3822</v>
      </c>
      <c r="C77" s="1881">
        <v>1081500</v>
      </c>
      <c r="D77" s="1881">
        <v>65689000</v>
      </c>
      <c r="E77" s="1881">
        <v>70222500</v>
      </c>
      <c r="F77" s="1881">
        <v>74387209</v>
      </c>
      <c r="G77" s="1881">
        <v>83388065</v>
      </c>
      <c r="H77" s="1881">
        <v>95585500</v>
      </c>
      <c r="I77" s="1881">
        <v>70500000</v>
      </c>
      <c r="J77" s="1881">
        <v>62300000</v>
      </c>
      <c r="K77" s="1881">
        <v>55100000</v>
      </c>
      <c r="L77" s="1881">
        <v>54800000</v>
      </c>
      <c r="M77" s="1881">
        <v>55700000</v>
      </c>
      <c r="N77" s="1789"/>
      <c r="O77" t="s" s="1848">
        <v>3815</v>
      </c>
      <c r="P77" s="1849">
        <v>24000000</v>
      </c>
      <c r="Q77" s="1789"/>
      <c r="R77" s="1789"/>
    </row>
    <row r="78" ht="16" customHeight="1">
      <c r="A78" t="s" s="1800">
        <v>3824</v>
      </c>
      <c r="B78" t="s" s="1799">
        <v>3823</v>
      </c>
      <c r="C78" s="1881">
        <v>175930000</v>
      </c>
      <c r="D78" s="1881">
        <v>435740000</v>
      </c>
      <c r="E78" s="1881">
        <v>490745000</v>
      </c>
      <c r="F78" s="1881">
        <v>552260000</v>
      </c>
      <c r="G78" s="1881">
        <v>545790000</v>
      </c>
      <c r="H78" s="1881">
        <v>417526000</v>
      </c>
      <c r="I78" s="1881">
        <v>365230000</v>
      </c>
      <c r="J78" s="1881">
        <v>292180006</v>
      </c>
      <c r="K78" s="1881">
        <v>190401500</v>
      </c>
      <c r="L78" s="1881">
        <v>181380000</v>
      </c>
      <c r="M78" s="1881">
        <v>219424600</v>
      </c>
      <c r="N78" s="1789"/>
      <c r="O78" t="s" s="1848">
        <v>3817</v>
      </c>
      <c r="P78" s="1849">
        <v>188000000</v>
      </c>
      <c r="Q78" s="1789"/>
      <c r="R78" s="1789"/>
    </row>
    <row r="79" ht="16" customHeight="1">
      <c r="A79" t="s" s="1800">
        <v>3826</v>
      </c>
      <c r="B79" t="s" s="1799">
        <v>3825</v>
      </c>
      <c r="C79" s="1881">
        <v>100000</v>
      </c>
      <c r="D79" s="1881">
        <v>40990000</v>
      </c>
      <c r="E79" s="1881">
        <v>42500000</v>
      </c>
      <c r="F79" s="1881">
        <v>43220000</v>
      </c>
      <c r="G79" s="1881">
        <v>43220000</v>
      </c>
      <c r="H79" s="1881">
        <v>45070035</v>
      </c>
      <c r="I79" s="1881">
        <v>36379000</v>
      </c>
      <c r="J79" s="1881">
        <v>22575000</v>
      </c>
      <c r="K79" s="1881">
        <v>15660000</v>
      </c>
      <c r="L79" s="1881">
        <v>0</v>
      </c>
      <c r="M79" s="1881">
        <v>23220000</v>
      </c>
      <c r="N79" s="1789"/>
      <c r="O79" t="s" s="1848">
        <v>1086</v>
      </c>
      <c r="P79" s="1849">
        <v>817550274</v>
      </c>
      <c r="Q79" s="1789"/>
      <c r="R79" s="1789"/>
    </row>
    <row r="80" ht="16" customHeight="1">
      <c r="A80" t="s" s="1800">
        <v>3828</v>
      </c>
      <c r="B80" t="s" s="1799">
        <v>3827</v>
      </c>
      <c r="C80" s="1881">
        <v>28863000</v>
      </c>
      <c r="D80" s="1881">
        <v>78820600</v>
      </c>
      <c r="E80" s="1881">
        <v>97406615</v>
      </c>
      <c r="F80" s="1881">
        <v>93237740</v>
      </c>
      <c r="G80" s="1881">
        <v>116001640</v>
      </c>
      <c r="H80" s="1881">
        <v>142702100</v>
      </c>
      <c r="I80" s="1881">
        <v>48747335</v>
      </c>
      <c r="J80" s="1881">
        <v>45164756</v>
      </c>
      <c r="K80" s="1881">
        <v>6952000</v>
      </c>
      <c r="L80" s="1881">
        <v>25862000</v>
      </c>
      <c r="M80" s="1881">
        <v>10436000</v>
      </c>
      <c r="N80" s="1789"/>
      <c r="O80" t="s" s="1848">
        <v>3824</v>
      </c>
      <c r="P80" s="1849">
        <v>4322902106</v>
      </c>
      <c r="Q80" s="1789"/>
      <c r="R80" s="1789"/>
    </row>
    <row r="81" ht="16" customHeight="1">
      <c r="A81" t="s" s="1800">
        <v>3830</v>
      </c>
      <c r="B81" t="s" s="1799">
        <v>3829</v>
      </c>
      <c r="C81" s="1881">
        <v>0</v>
      </c>
      <c r="D81" s="1881">
        <v>0</v>
      </c>
      <c r="E81" s="1881">
        <v>0</v>
      </c>
      <c r="F81" s="1881">
        <v>0</v>
      </c>
      <c r="G81" s="1881">
        <v>0</v>
      </c>
      <c r="H81" s="1881">
        <v>0</v>
      </c>
      <c r="I81" s="1881">
        <v>0</v>
      </c>
      <c r="J81" s="1881">
        <v>0</v>
      </c>
      <c r="K81" s="1881">
        <v>3350000</v>
      </c>
      <c r="L81" s="1881">
        <v>2710000</v>
      </c>
      <c r="M81" s="1881">
        <v>9901500</v>
      </c>
      <c r="N81" s="1789"/>
      <c r="O81" t="s" s="1848">
        <v>3826</v>
      </c>
      <c r="P81" s="1849">
        <v>368174035</v>
      </c>
      <c r="Q81" s="1789"/>
      <c r="R81" s="1789"/>
    </row>
    <row r="82" ht="16" customHeight="1">
      <c r="A82" t="s" s="1800">
        <v>527</v>
      </c>
      <c r="B82" t="s" s="1799">
        <v>3957</v>
      </c>
      <c r="C82" s="1881">
        <v>0</v>
      </c>
      <c r="D82" s="1881">
        <v>0</v>
      </c>
      <c r="E82" s="1881">
        <v>0</v>
      </c>
      <c r="F82" s="1881">
        <v>0</v>
      </c>
      <c r="G82" s="1881">
        <v>0</v>
      </c>
      <c r="H82" s="1881">
        <v>0</v>
      </c>
      <c r="I82" s="1881">
        <v>0</v>
      </c>
      <c r="J82" s="1881">
        <v>1421900</v>
      </c>
      <c r="K82" s="1881">
        <v>22231835</v>
      </c>
      <c r="L82" s="1881">
        <v>21102550</v>
      </c>
      <c r="M82" s="1881">
        <v>29273000</v>
      </c>
      <c r="N82" s="1789"/>
      <c r="O82" t="s" s="1848">
        <v>3828</v>
      </c>
      <c r="P82" s="1849">
        <v>760904863</v>
      </c>
      <c r="Q82" s="1789"/>
      <c r="R82" s="1789"/>
    </row>
    <row r="83" ht="16" customHeight="1">
      <c r="A83" t="s" s="1800">
        <v>3832</v>
      </c>
      <c r="B83" t="s" s="1799">
        <v>3831</v>
      </c>
      <c r="C83" s="1881">
        <v>10862235</v>
      </c>
      <c r="D83" s="1881">
        <v>29863114.21</v>
      </c>
      <c r="E83" s="1881">
        <v>23750504</v>
      </c>
      <c r="F83" s="1881">
        <v>31040549</v>
      </c>
      <c r="G83" s="1881">
        <v>24624706</v>
      </c>
      <c r="H83" s="1881">
        <v>15328058.05</v>
      </c>
      <c r="I83" s="1881">
        <v>12257289</v>
      </c>
      <c r="J83" s="1881">
        <v>12454358</v>
      </c>
      <c r="K83" s="1881">
        <v>2475000</v>
      </c>
      <c r="L83" s="1881">
        <v>3425000</v>
      </c>
      <c r="M83" s="1881">
        <v>5008000</v>
      </c>
      <c r="N83" s="1789"/>
      <c r="O83" t="s" s="1848">
        <v>3830</v>
      </c>
      <c r="P83" s="1849">
        <v>15961500</v>
      </c>
      <c r="Q83" s="1789"/>
      <c r="R83" s="1789"/>
    </row>
    <row r="84" ht="16" customHeight="1">
      <c r="A84" t="s" s="1800">
        <v>3834</v>
      </c>
      <c r="B84" t="s" s="1799">
        <v>3833</v>
      </c>
      <c r="C84" s="1881">
        <v>0</v>
      </c>
      <c r="D84" s="1881">
        <v>0</v>
      </c>
      <c r="E84" s="1881">
        <v>864000</v>
      </c>
      <c r="F84" s="1881">
        <v>0</v>
      </c>
      <c r="G84" s="1881">
        <v>0</v>
      </c>
      <c r="H84" s="1881">
        <v>0</v>
      </c>
      <c r="I84" s="1881">
        <v>0</v>
      </c>
      <c r="J84" s="1881">
        <v>0</v>
      </c>
      <c r="K84" s="1881">
        <v>4826418</v>
      </c>
      <c r="L84" s="1881">
        <v>0</v>
      </c>
      <c r="M84" s="1881">
        <v>0</v>
      </c>
      <c r="N84" s="1789"/>
      <c r="O84" t="s" s="1848">
        <v>527</v>
      </c>
      <c r="P84" s="1849">
        <v>74029285</v>
      </c>
      <c r="Q84" s="1789"/>
      <c r="R84" s="1789"/>
    </row>
    <row r="85" ht="16" customHeight="1">
      <c r="A85" t="s" s="1800">
        <v>3959</v>
      </c>
      <c r="B85" t="s" s="1799">
        <v>3958</v>
      </c>
      <c r="C85" s="1881">
        <v>0</v>
      </c>
      <c r="D85" s="1881">
        <v>0</v>
      </c>
      <c r="E85" s="1881">
        <v>0</v>
      </c>
      <c r="F85" s="1881">
        <v>0</v>
      </c>
      <c r="G85" s="1881">
        <v>0</v>
      </c>
      <c r="H85" s="1881">
        <v>0</v>
      </c>
      <c r="I85" s="1881">
        <v>0</v>
      </c>
      <c r="J85" s="1881">
        <v>0</v>
      </c>
      <c r="K85" s="1881">
        <v>3275000</v>
      </c>
      <c r="L85" s="1881">
        <v>0</v>
      </c>
      <c r="M85" s="1881">
        <v>0</v>
      </c>
      <c r="N85" s="1789"/>
      <c r="O85" t="s" s="1848">
        <v>3832</v>
      </c>
      <c r="P85" s="1849">
        <v>164929054.21</v>
      </c>
      <c r="Q85" s="1789"/>
      <c r="R85" s="1789"/>
    </row>
    <row r="86" ht="16" customHeight="1">
      <c r="A86" t="s" s="1800">
        <v>527</v>
      </c>
      <c r="B86" t="s" s="1799">
        <v>3835</v>
      </c>
      <c r="C86" s="1881">
        <v>22295000</v>
      </c>
      <c r="D86" s="1881">
        <v>59830000</v>
      </c>
      <c r="E86" s="1881">
        <v>67790000</v>
      </c>
      <c r="F86" s="1881">
        <v>74155000</v>
      </c>
      <c r="G86" s="1881">
        <v>68575000</v>
      </c>
      <c r="H86" s="1881">
        <v>58654000</v>
      </c>
      <c r="I86" s="1881">
        <v>48052200</v>
      </c>
      <c r="J86" s="1881">
        <v>34011415</v>
      </c>
      <c r="K86" s="1881">
        <v>0</v>
      </c>
      <c r="L86" s="1881">
        <v>0</v>
      </c>
      <c r="M86" s="1881">
        <v>0</v>
      </c>
      <c r="N86" s="1789"/>
      <c r="O86" t="s" s="1848">
        <v>3834</v>
      </c>
      <c r="P86" s="1849">
        <v>56508569</v>
      </c>
      <c r="Q86" s="1789"/>
      <c r="R86" s="1789"/>
    </row>
    <row r="87" ht="16" customHeight="1">
      <c r="A87" t="s" s="1800">
        <v>1164</v>
      </c>
      <c r="B87" t="s" s="1799">
        <v>1165</v>
      </c>
      <c r="C87" s="1881">
        <v>1500000</v>
      </c>
      <c r="D87" s="1881">
        <v>1000000</v>
      </c>
      <c r="E87" s="1881">
        <v>2550000</v>
      </c>
      <c r="F87" s="1881">
        <v>0</v>
      </c>
      <c r="G87" s="1881">
        <v>0</v>
      </c>
      <c r="H87" s="1881">
        <v>15000000</v>
      </c>
      <c r="I87" s="1881">
        <v>0</v>
      </c>
      <c r="J87" s="1881">
        <v>0</v>
      </c>
      <c r="K87" s="1881">
        <v>0</v>
      </c>
      <c r="L87" s="1881">
        <v>0</v>
      </c>
      <c r="M87" s="1881">
        <v>500000</v>
      </c>
      <c r="N87" s="1789"/>
      <c r="O87" t="s" s="1848">
        <v>3959</v>
      </c>
      <c r="P87" s="1849">
        <v>3275000</v>
      </c>
      <c r="Q87" s="1789"/>
      <c r="R87" s="1789"/>
    </row>
    <row r="88" ht="16" customHeight="1">
      <c r="A88" t="s" s="1800">
        <v>3836</v>
      </c>
      <c r="B88" s="1789"/>
      <c r="C88" s="1881">
        <v>1601419422</v>
      </c>
      <c r="D88" s="1881">
        <v>4056731723.71</v>
      </c>
      <c r="E88" s="1881">
        <v>4948665584</v>
      </c>
      <c r="F88" s="1881">
        <v>5587021103</v>
      </c>
      <c r="G88" s="1881">
        <v>5602443310</v>
      </c>
      <c r="H88" s="1881">
        <v>4643192113.05</v>
      </c>
      <c r="I88" s="1881">
        <v>3571496160.17</v>
      </c>
      <c r="J88" s="1881">
        <v>3102083602</v>
      </c>
      <c r="K88" s="1881">
        <v>1988740840</v>
      </c>
      <c r="L88" s="1881">
        <v>1898157545</v>
      </c>
      <c r="M88" s="1881">
        <v>2259450896</v>
      </c>
      <c r="N88" s="1789"/>
      <c r="O88" t="s" s="1848">
        <v>527</v>
      </c>
      <c r="P88" s="1849">
        <v>487176815</v>
      </c>
      <c r="Q88" s="1789"/>
      <c r="R88" s="1789"/>
    </row>
    <row r="89" ht="16" customHeight="1">
      <c r="A89" t="s" s="1800">
        <v>3837</v>
      </c>
      <c r="B89" s="1789"/>
      <c r="C89" s="1881">
        <v>2607094552.27</v>
      </c>
      <c r="D89" s="1881">
        <v>2754046169.77</v>
      </c>
      <c r="E89" s="1881">
        <v>3118040177</v>
      </c>
      <c r="F89" s="1881">
        <v>3963453067</v>
      </c>
      <c r="G89" s="1881">
        <v>3560903095.7</v>
      </c>
      <c r="H89" s="1881">
        <v>2327668147.95</v>
      </c>
      <c r="I89" s="1881">
        <v>2209175341.83</v>
      </c>
      <c r="J89" s="1881">
        <v>1482274873</v>
      </c>
      <c r="K89" s="1881">
        <v>794486707</v>
      </c>
      <c r="L89" s="1881">
        <v>536533162.96</v>
      </c>
      <c r="M89" s="1881">
        <v>1085351057.94</v>
      </c>
      <c r="N89" s="1789"/>
      <c r="O89" t="s" s="1848">
        <v>1164</v>
      </c>
      <c r="P89" s="1849">
        <v>28850000</v>
      </c>
      <c r="Q89" s="1789"/>
      <c r="R89" s="1789"/>
    </row>
    <row r="90" ht="16" customHeight="1">
      <c r="A90" t="s" s="1800">
        <v>1087</v>
      </c>
      <c r="B90" s="1789"/>
      <c r="C90" s="1881">
        <v>1834000</v>
      </c>
      <c r="D90" s="1881">
        <v>5011926.77</v>
      </c>
      <c r="E90" s="1881">
        <v>917114.88</v>
      </c>
      <c r="F90" s="1881">
        <v>11463074.39</v>
      </c>
      <c r="G90" s="1881">
        <v>27462965.16</v>
      </c>
      <c r="H90" s="1881">
        <v>19173553.06</v>
      </c>
      <c r="I90" s="1881">
        <v>210758.26</v>
      </c>
      <c r="J90" s="1881">
        <v>457798.59</v>
      </c>
      <c r="K90" s="1881">
        <v>422030.88</v>
      </c>
      <c r="L90" s="1881">
        <v>1256920.34</v>
      </c>
      <c r="M90" s="1881">
        <v>4702231.7</v>
      </c>
      <c r="N90" s="1789"/>
      <c r="O90" t="s" s="1848">
        <v>3836</v>
      </c>
      <c r="P90" s="1849">
        <v>43440307418.04</v>
      </c>
      <c r="Q90" s="1789"/>
      <c r="R90" s="1789"/>
    </row>
    <row r="91" ht="16" customHeight="1">
      <c r="A91" t="s" s="1883">
        <v>3841</v>
      </c>
      <c r="B91" s="1877"/>
      <c r="C91" s="1878">
        <v>4210347974.27</v>
      </c>
      <c r="D91" s="1878">
        <v>6815789820.25</v>
      </c>
      <c r="E91" s="1878">
        <v>8067622875.88</v>
      </c>
      <c r="F91" s="1878">
        <v>9561937244.389999</v>
      </c>
      <c r="G91" s="1878">
        <v>9190809370.860001</v>
      </c>
      <c r="H91" s="1878">
        <v>6990033814.06</v>
      </c>
      <c r="I91" s="1878">
        <v>5780882260.26</v>
      </c>
      <c r="J91" s="1878">
        <v>4584816273.59</v>
      </c>
      <c r="K91" s="1878">
        <v>2783649577.88</v>
      </c>
      <c r="L91" s="1878">
        <v>2435947628.3</v>
      </c>
      <c r="M91" s="1878">
        <v>3349504185.64</v>
      </c>
      <c r="N91" s="1789"/>
      <c r="O91" t="s" s="1848">
        <v>3837</v>
      </c>
      <c r="P91" s="1849">
        <v>25644315613.29</v>
      </c>
      <c r="Q91" s="1789"/>
      <c r="R91" s="1789"/>
    </row>
    <row r="92" ht="16" customHeight="1">
      <c r="A92" s="1832"/>
      <c r="B92" s="1832"/>
      <c r="C92" s="1879"/>
      <c r="D92" s="1879"/>
      <c r="E92" s="1879"/>
      <c r="F92" s="1879"/>
      <c r="G92" s="1879"/>
      <c r="H92" s="1879"/>
      <c r="I92" s="1879"/>
      <c r="J92" s="1879"/>
      <c r="K92" s="1879"/>
      <c r="L92" s="1879"/>
      <c r="M92" s="1879"/>
      <c r="N92" s="1789"/>
      <c r="O92" t="s" s="1848">
        <v>1087</v>
      </c>
      <c r="P92" s="1849">
        <v>76829145.59</v>
      </c>
      <c r="Q92" s="1789"/>
      <c r="R92" s="1789"/>
    </row>
    <row r="93" ht="16.5" customHeight="1">
      <c r="A93" t="s" s="1876">
        <v>550</v>
      </c>
      <c r="B93" s="1877"/>
      <c r="C93" s="1878">
        <v>785365785.88</v>
      </c>
      <c r="D93" s="1878">
        <v>1700467976.38</v>
      </c>
      <c r="E93" s="1878">
        <v>1423305414.88</v>
      </c>
      <c r="F93" s="1878">
        <v>1499044800.78</v>
      </c>
      <c r="G93" s="1878">
        <v>1295428813.13</v>
      </c>
      <c r="H93" s="1878">
        <v>928395178.22</v>
      </c>
      <c r="I93" s="1878">
        <v>830993288.35</v>
      </c>
      <c r="J93" s="1878">
        <v>718900978.97</v>
      </c>
      <c r="K93" s="1878">
        <v>995510756.04</v>
      </c>
      <c r="L93" s="1878">
        <v>518028474.07</v>
      </c>
      <c r="M93" s="1878">
        <v>650540707.85</v>
      </c>
      <c r="N93" s="1789"/>
      <c r="O93" t="s" s="1848">
        <v>3839</v>
      </c>
      <c r="P93" s="1849">
        <v>8465468.42</v>
      </c>
      <c r="Q93" s="1789"/>
      <c r="R93" s="1789"/>
    </row>
    <row r="94" ht="16.5" customHeight="1">
      <c r="A94" t="s" s="1797">
        <v>550</v>
      </c>
      <c r="B94" s="1832"/>
      <c r="C94" s="1880">
        <v>785365785.88</v>
      </c>
      <c r="D94" s="1880">
        <v>1668409050.96</v>
      </c>
      <c r="E94" s="1880">
        <v>1393395786.3</v>
      </c>
      <c r="F94" s="1880">
        <v>1470324115.58</v>
      </c>
      <c r="G94" s="1880">
        <v>1265422828.33</v>
      </c>
      <c r="H94" s="1880">
        <v>901483436.21</v>
      </c>
      <c r="I94" s="1880">
        <v>805881732.3</v>
      </c>
      <c r="J94" s="1880">
        <v>704427536.92</v>
      </c>
      <c r="K94" s="1880">
        <v>976126726.39</v>
      </c>
      <c r="L94" s="1880">
        <v>518028474.07</v>
      </c>
      <c r="M94" s="1880">
        <v>631883663.9400001</v>
      </c>
      <c r="N94" s="1789"/>
      <c r="O94" t="s" s="1848">
        <v>1087</v>
      </c>
      <c r="P94" s="1849">
        <v>68354677.17</v>
      </c>
      <c r="Q94" s="1789"/>
      <c r="R94" s="1789"/>
    </row>
    <row r="95" ht="16" customHeight="1">
      <c r="A95" t="s" s="1800">
        <v>1090</v>
      </c>
      <c r="B95" t="s" s="1799">
        <v>3842</v>
      </c>
      <c r="C95" s="1881">
        <v>50600000</v>
      </c>
      <c r="D95" s="1881">
        <v>179900000</v>
      </c>
      <c r="E95" s="1881">
        <v>216764320</v>
      </c>
      <c r="F95" s="1881">
        <v>349200000</v>
      </c>
      <c r="G95" s="1881">
        <v>294000000</v>
      </c>
      <c r="H95" s="1881">
        <v>140007813</v>
      </c>
      <c r="I95" s="1881">
        <v>107800000</v>
      </c>
      <c r="J95" s="1881">
        <v>125399000</v>
      </c>
      <c r="K95" s="1881">
        <v>46300000</v>
      </c>
      <c r="L95" s="1881">
        <v>23500000</v>
      </c>
      <c r="M95" s="1881">
        <v>31350000</v>
      </c>
      <c r="N95" s="1789"/>
      <c r="O95" t="s" s="1848">
        <v>3919</v>
      </c>
      <c r="P95" s="1849">
        <v>9000</v>
      </c>
      <c r="Q95" s="1789"/>
      <c r="R95" s="1789"/>
    </row>
    <row r="96" ht="16" customHeight="1">
      <c r="A96" t="s" s="1800">
        <v>1092</v>
      </c>
      <c r="B96" t="s" s="1799">
        <v>3843</v>
      </c>
      <c r="C96" s="1881">
        <v>4936800</v>
      </c>
      <c r="D96" s="1881">
        <v>11535600</v>
      </c>
      <c r="E96" s="1881">
        <v>10635600</v>
      </c>
      <c r="F96" s="1881">
        <v>5985600</v>
      </c>
      <c r="G96" s="1881">
        <v>5535600</v>
      </c>
      <c r="H96" s="1881">
        <v>5835600</v>
      </c>
      <c r="I96" s="1881">
        <v>5235600</v>
      </c>
      <c r="J96" s="1881">
        <v>4635600</v>
      </c>
      <c r="K96" s="1881">
        <v>4485600</v>
      </c>
      <c r="L96" s="1881">
        <v>3135600</v>
      </c>
      <c r="M96" s="1881">
        <v>4035600</v>
      </c>
      <c r="N96" s="1789"/>
      <c r="O96" t="s" s="1848">
        <v>3840</v>
      </c>
      <c r="P96" s="1849">
        <v>76829145.59</v>
      </c>
      <c r="Q96" s="1789"/>
      <c r="R96" s="1789"/>
    </row>
    <row r="97" ht="17" customHeight="1">
      <c r="A97" t="s" s="1800">
        <v>1094</v>
      </c>
      <c r="B97" t="s" s="1799">
        <v>3844</v>
      </c>
      <c r="C97" s="1881">
        <v>0</v>
      </c>
      <c r="D97" s="1881">
        <v>1141304</v>
      </c>
      <c r="E97" s="1881">
        <v>1961310</v>
      </c>
      <c r="F97" s="1881">
        <v>2054349</v>
      </c>
      <c r="G97" s="1881">
        <v>2263791</v>
      </c>
      <c r="H97" s="1881">
        <v>0</v>
      </c>
      <c r="I97" s="1881">
        <v>0</v>
      </c>
      <c r="J97" s="1881">
        <v>0</v>
      </c>
      <c r="K97" s="1881">
        <v>0</v>
      </c>
      <c r="L97" s="1881">
        <v>0</v>
      </c>
      <c r="M97" s="1881">
        <v>0</v>
      </c>
      <c r="N97" s="1789"/>
      <c r="O97" t="s" s="1852">
        <v>3841</v>
      </c>
      <c r="P97" s="1884">
        <v>69161452176.92</v>
      </c>
      <c r="Q97" s="1789"/>
      <c r="R97" s="1789"/>
    </row>
    <row r="98" ht="16" customHeight="1">
      <c r="A98" t="s" s="1800">
        <v>1096</v>
      </c>
      <c r="B98" t="s" s="1799">
        <v>3845</v>
      </c>
      <c r="C98" s="1881">
        <v>0</v>
      </c>
      <c r="D98" s="1881">
        <v>11100000</v>
      </c>
      <c r="E98" s="1881">
        <v>5000000</v>
      </c>
      <c r="F98" s="1881">
        <v>4002500</v>
      </c>
      <c r="G98" s="1881">
        <v>300000</v>
      </c>
      <c r="H98" s="1881">
        <v>0</v>
      </c>
      <c r="I98" s="1881">
        <v>0</v>
      </c>
      <c r="J98" s="1881">
        <v>0</v>
      </c>
      <c r="K98" s="1881">
        <v>0</v>
      </c>
      <c r="L98" s="1881">
        <v>0</v>
      </c>
      <c r="M98" s="1881">
        <v>0</v>
      </c>
      <c r="N98" s="1789"/>
      <c r="O98" s="1885"/>
      <c r="P98" s="1885"/>
      <c r="Q98" s="1789"/>
      <c r="R98" s="1789"/>
    </row>
    <row r="99" ht="17.5" customHeight="1">
      <c r="A99" t="s" s="1800">
        <v>1099</v>
      </c>
      <c r="B99" t="s" s="1799">
        <v>3962</v>
      </c>
      <c r="C99" s="1881">
        <v>0</v>
      </c>
      <c r="D99" s="1881">
        <v>41432</v>
      </c>
      <c r="E99" s="1881">
        <v>0</v>
      </c>
      <c r="F99" s="1881">
        <v>0</v>
      </c>
      <c r="G99" s="1881">
        <v>0</v>
      </c>
      <c r="H99" s="1881">
        <v>0</v>
      </c>
      <c r="I99" s="1881">
        <v>0</v>
      </c>
      <c r="J99" s="1881">
        <v>167500</v>
      </c>
      <c r="K99" s="1881">
        <v>0</v>
      </c>
      <c r="L99" s="1881">
        <v>416536</v>
      </c>
      <c r="M99" s="1881">
        <v>0</v>
      </c>
      <c r="N99" s="1789"/>
      <c r="O99" t="s" s="1844">
        <v>550</v>
      </c>
      <c r="P99" s="1845">
        <v>14517178456.86</v>
      </c>
      <c r="Q99" s="1789"/>
      <c r="R99" s="1789"/>
    </row>
    <row r="100" ht="16.5" customHeight="1">
      <c r="A100" t="s" s="1800">
        <v>1100</v>
      </c>
      <c r="B100" t="s" s="1799">
        <v>3963</v>
      </c>
      <c r="C100" s="1881">
        <v>0</v>
      </c>
      <c r="D100" s="1881">
        <v>2163776</v>
      </c>
      <c r="E100" s="1881">
        <v>0</v>
      </c>
      <c r="F100" s="1881">
        <v>0</v>
      </c>
      <c r="G100" s="1881">
        <v>0</v>
      </c>
      <c r="H100" s="1881">
        <v>0</v>
      </c>
      <c r="I100" s="1881">
        <v>0</v>
      </c>
      <c r="J100" s="1881">
        <v>0</v>
      </c>
      <c r="K100" s="1881">
        <v>0</v>
      </c>
      <c r="L100" s="1881">
        <v>0</v>
      </c>
      <c r="M100" s="1881">
        <v>0</v>
      </c>
      <c r="N100" s="1789"/>
      <c r="O100" t="s" s="1846">
        <v>550</v>
      </c>
      <c r="P100" s="1847">
        <v>14191276803.9</v>
      </c>
      <c r="Q100" s="1789"/>
      <c r="R100" s="1789"/>
    </row>
    <row r="101" ht="16" customHeight="1">
      <c r="A101" t="s" s="1800">
        <v>1101</v>
      </c>
      <c r="B101" t="s" s="1799">
        <v>3964</v>
      </c>
      <c r="C101" s="1881">
        <v>0</v>
      </c>
      <c r="D101" s="1881">
        <v>1461763</v>
      </c>
      <c r="E101" s="1881">
        <v>0</v>
      </c>
      <c r="F101" s="1881">
        <v>0</v>
      </c>
      <c r="G101" s="1881">
        <v>0</v>
      </c>
      <c r="H101" s="1881">
        <v>0</v>
      </c>
      <c r="I101" s="1881">
        <v>0</v>
      </c>
      <c r="J101" s="1881">
        <v>0</v>
      </c>
      <c r="K101" s="1881">
        <v>0</v>
      </c>
      <c r="L101" s="1881">
        <v>0</v>
      </c>
      <c r="M101" s="1881">
        <v>0</v>
      </c>
      <c r="N101" s="1789"/>
      <c r="O101" t="s" s="1848">
        <v>1090</v>
      </c>
      <c r="P101" s="1849">
        <v>1858321133</v>
      </c>
      <c r="Q101" s="1789"/>
      <c r="R101" s="1789"/>
    </row>
    <row r="102" ht="16" customHeight="1">
      <c r="A102" t="s" s="1800">
        <v>1102</v>
      </c>
      <c r="B102" t="s" s="1799">
        <v>3846</v>
      </c>
      <c r="C102" s="1881">
        <v>2000000</v>
      </c>
      <c r="D102" s="1881">
        <v>3566000</v>
      </c>
      <c r="E102" s="1881">
        <v>0</v>
      </c>
      <c r="F102" s="1881">
        <v>0</v>
      </c>
      <c r="G102" s="1881">
        <v>0</v>
      </c>
      <c r="H102" s="1881">
        <v>0</v>
      </c>
      <c r="I102" s="1881">
        <v>0</v>
      </c>
      <c r="J102" s="1881">
        <v>12746400</v>
      </c>
      <c r="K102" s="1881">
        <v>0</v>
      </c>
      <c r="L102" s="1881">
        <v>0</v>
      </c>
      <c r="M102" s="1881">
        <v>0</v>
      </c>
      <c r="N102" s="1789"/>
      <c r="O102" t="s" s="1848">
        <v>1092</v>
      </c>
      <c r="P102" s="1849">
        <v>85027200</v>
      </c>
      <c r="Q102" s="1789"/>
      <c r="R102" s="1789"/>
    </row>
    <row r="103" ht="16" customHeight="1">
      <c r="A103" t="s" s="1800">
        <v>1104</v>
      </c>
      <c r="B103" t="s" s="1799">
        <v>3965</v>
      </c>
      <c r="C103" s="1881">
        <v>0</v>
      </c>
      <c r="D103" s="1881">
        <v>0</v>
      </c>
      <c r="E103" s="1881">
        <v>0</v>
      </c>
      <c r="F103" s="1881">
        <v>0</v>
      </c>
      <c r="G103" s="1881">
        <v>0</v>
      </c>
      <c r="H103" s="1881">
        <v>0</v>
      </c>
      <c r="I103" s="1881">
        <v>0</v>
      </c>
      <c r="J103" s="1881">
        <v>0</v>
      </c>
      <c r="K103" s="1881">
        <v>0</v>
      </c>
      <c r="L103" s="1881">
        <v>1766700</v>
      </c>
      <c r="M103" s="1881">
        <v>4982325</v>
      </c>
      <c r="N103" s="1789"/>
      <c r="O103" t="s" s="1848">
        <v>1094</v>
      </c>
      <c r="P103" s="1849">
        <v>11726892</v>
      </c>
      <c r="Q103" s="1789"/>
      <c r="R103" s="1789"/>
    </row>
    <row r="104" ht="16" customHeight="1">
      <c r="A104" t="s" s="1800">
        <v>1106</v>
      </c>
      <c r="B104" t="s" s="1799">
        <v>3847</v>
      </c>
      <c r="C104" s="1881">
        <v>3011549</v>
      </c>
      <c r="D104" s="1881">
        <v>709560</v>
      </c>
      <c r="E104" s="1881">
        <v>207060</v>
      </c>
      <c r="F104" s="1881">
        <v>720120</v>
      </c>
      <c r="G104" s="1881">
        <v>0</v>
      </c>
      <c r="H104" s="1881">
        <v>513060</v>
      </c>
      <c r="I104" s="1881">
        <v>512805</v>
      </c>
      <c r="J104" s="1881">
        <v>0</v>
      </c>
      <c r="K104" s="1881">
        <v>512805</v>
      </c>
      <c r="L104" s="1881">
        <v>2500000</v>
      </c>
      <c r="M104" s="1881">
        <v>2500000</v>
      </c>
      <c r="N104" s="1789"/>
      <c r="O104" t="s" s="1848">
        <v>1096</v>
      </c>
      <c r="P104" s="1849">
        <v>138826230</v>
      </c>
      <c r="Q104" s="1789"/>
      <c r="R104" s="1789"/>
    </row>
    <row r="105" ht="16" customHeight="1">
      <c r="A105" t="s" s="1800">
        <v>1108</v>
      </c>
      <c r="B105" t="s" s="1799">
        <v>3848</v>
      </c>
      <c r="C105" s="1881">
        <v>0</v>
      </c>
      <c r="D105" s="1881">
        <v>0</v>
      </c>
      <c r="E105" s="1881">
        <v>8423314</v>
      </c>
      <c r="F105" s="1881">
        <v>51251879</v>
      </c>
      <c r="G105" s="1881">
        <v>1643671</v>
      </c>
      <c r="H105" s="1881">
        <v>0</v>
      </c>
      <c r="I105" s="1881">
        <v>0</v>
      </c>
      <c r="J105" s="1881">
        <v>0</v>
      </c>
      <c r="K105" s="1881">
        <v>0</v>
      </c>
      <c r="L105" s="1881">
        <v>1969330</v>
      </c>
      <c r="M105" s="1881">
        <v>0</v>
      </c>
      <c r="N105" s="1789"/>
      <c r="O105" t="s" s="1848">
        <v>1099</v>
      </c>
      <c r="P105" s="1849">
        <v>675468</v>
      </c>
      <c r="Q105" s="1789"/>
      <c r="R105" s="1789"/>
    </row>
    <row r="106" ht="16" customHeight="1">
      <c r="A106" t="s" s="1800">
        <v>1110</v>
      </c>
      <c r="B106" t="s" s="1799">
        <v>1111</v>
      </c>
      <c r="C106" s="1881">
        <v>2455242</v>
      </c>
      <c r="D106" s="1881">
        <v>0</v>
      </c>
      <c r="E106" s="1881">
        <v>0</v>
      </c>
      <c r="F106" s="1881">
        <v>0</v>
      </c>
      <c r="G106" s="1881">
        <v>0</v>
      </c>
      <c r="H106" s="1881">
        <v>0</v>
      </c>
      <c r="I106" s="1881">
        <v>0</v>
      </c>
      <c r="J106" s="1881">
        <v>0</v>
      </c>
      <c r="K106" s="1881">
        <v>0</v>
      </c>
      <c r="L106" s="1881">
        <v>0</v>
      </c>
      <c r="M106" s="1881">
        <v>0</v>
      </c>
      <c r="N106" s="1789"/>
      <c r="O106" t="s" s="1848">
        <v>1100</v>
      </c>
      <c r="P106" s="1849">
        <v>5530661</v>
      </c>
      <c r="Q106" s="1789"/>
      <c r="R106" s="1789"/>
    </row>
    <row r="107" ht="16" customHeight="1">
      <c r="A107" t="s" s="1800">
        <v>1113</v>
      </c>
      <c r="B107" t="s" s="1799">
        <v>3849</v>
      </c>
      <c r="C107" s="1881">
        <v>5854000</v>
      </c>
      <c r="D107" s="1881">
        <v>5878618</v>
      </c>
      <c r="E107" s="1881">
        <v>0</v>
      </c>
      <c r="F107" s="1881">
        <v>0</v>
      </c>
      <c r="G107" s="1881">
        <v>0</v>
      </c>
      <c r="H107" s="1881">
        <v>0</v>
      </c>
      <c r="I107" s="1881">
        <v>0</v>
      </c>
      <c r="J107" s="1881">
        <v>0</v>
      </c>
      <c r="K107" s="1881">
        <v>0</v>
      </c>
      <c r="L107" s="1881">
        <v>0</v>
      </c>
      <c r="M107" s="1881">
        <v>0</v>
      </c>
      <c r="N107" s="1789"/>
      <c r="O107" t="s" s="1848">
        <v>1101</v>
      </c>
      <c r="P107" s="1849">
        <v>9341105</v>
      </c>
      <c r="Q107" s="1789"/>
      <c r="R107" s="1789"/>
    </row>
    <row r="108" ht="16" customHeight="1">
      <c r="A108" t="s" s="1800">
        <v>1116</v>
      </c>
      <c r="B108" t="s" s="1799">
        <v>3851</v>
      </c>
      <c r="C108" s="1881">
        <v>8959465</v>
      </c>
      <c r="D108" s="1881">
        <v>56050000</v>
      </c>
      <c r="E108" s="1881">
        <v>51110000</v>
      </c>
      <c r="F108" s="1881">
        <v>3384000</v>
      </c>
      <c r="G108" s="1881">
        <v>55498531</v>
      </c>
      <c r="H108" s="1881">
        <v>71100000</v>
      </c>
      <c r="I108" s="1881">
        <v>30000000</v>
      </c>
      <c r="J108" s="1881">
        <v>80000000</v>
      </c>
      <c r="K108" s="1881">
        <v>88316125</v>
      </c>
      <c r="L108" s="1881">
        <v>101000000</v>
      </c>
      <c r="M108" s="1881">
        <v>50000000</v>
      </c>
      <c r="N108" s="1789"/>
      <c r="O108" t="s" s="1848">
        <v>1102</v>
      </c>
      <c r="P108" s="1849">
        <v>21282900</v>
      </c>
      <c r="Q108" s="1789"/>
      <c r="R108" s="1789"/>
    </row>
    <row r="109" ht="16" customHeight="1">
      <c r="A109" t="s" s="1800">
        <v>1118</v>
      </c>
      <c r="B109" t="s" s="1799">
        <v>3852</v>
      </c>
      <c r="C109" s="1881">
        <v>15000</v>
      </c>
      <c r="D109" s="1881">
        <v>352743.96</v>
      </c>
      <c r="E109" s="1881">
        <v>240206.78</v>
      </c>
      <c r="F109" s="1881">
        <v>230991.08</v>
      </c>
      <c r="G109" s="1881">
        <v>670773.63</v>
      </c>
      <c r="H109" s="1881">
        <v>353233.41</v>
      </c>
      <c r="I109" s="1881">
        <v>2436888.05</v>
      </c>
      <c r="J109" s="1881">
        <v>301253.92</v>
      </c>
      <c r="K109" s="1881">
        <v>246308.58</v>
      </c>
      <c r="L109" s="1881">
        <v>1532384.07</v>
      </c>
      <c r="M109" s="1881">
        <v>250388.94</v>
      </c>
      <c r="N109" s="1789"/>
      <c r="O109" t="s" s="1848">
        <v>1104</v>
      </c>
      <c r="P109" s="1849">
        <v>6749025</v>
      </c>
      <c r="Q109" s="1789"/>
      <c r="R109" s="1789"/>
    </row>
    <row r="110" ht="16" customHeight="1">
      <c r="A110" t="s" s="1800">
        <v>1119</v>
      </c>
      <c r="B110" t="s" s="1799">
        <v>3966</v>
      </c>
      <c r="C110" s="1881">
        <v>0</v>
      </c>
      <c r="D110" s="1881">
        <v>150000</v>
      </c>
      <c r="E110" s="1881">
        <v>0</v>
      </c>
      <c r="F110" s="1881">
        <v>0</v>
      </c>
      <c r="G110" s="1881">
        <v>0</v>
      </c>
      <c r="H110" s="1881">
        <v>0</v>
      </c>
      <c r="I110" s="1881">
        <v>0</v>
      </c>
      <c r="J110" s="1881">
        <v>0</v>
      </c>
      <c r="K110" s="1881">
        <v>1722232</v>
      </c>
      <c r="L110" s="1881">
        <v>1448747</v>
      </c>
      <c r="M110" s="1881">
        <v>0</v>
      </c>
      <c r="N110" s="1789"/>
      <c r="O110" t="s" s="1848">
        <v>1106</v>
      </c>
      <c r="P110" s="1849">
        <v>41833612</v>
      </c>
      <c r="Q110" s="1789"/>
      <c r="R110" s="1789"/>
    </row>
    <row r="111" ht="16" customHeight="1">
      <c r="A111" t="s" s="1800">
        <v>1120</v>
      </c>
      <c r="B111" t="s" s="1799">
        <v>3853</v>
      </c>
      <c r="C111" s="1881">
        <v>0</v>
      </c>
      <c r="D111" s="1881">
        <v>16860900</v>
      </c>
      <c r="E111" s="1881">
        <v>7614600</v>
      </c>
      <c r="F111" s="1881">
        <v>31588000</v>
      </c>
      <c r="G111" s="1881">
        <v>14141400</v>
      </c>
      <c r="H111" s="1881">
        <v>18492600</v>
      </c>
      <c r="I111" s="1881">
        <v>23435000</v>
      </c>
      <c r="J111" s="1881">
        <v>4360000</v>
      </c>
      <c r="K111" s="1881">
        <v>8720000</v>
      </c>
      <c r="L111" s="1881">
        <v>15260000</v>
      </c>
      <c r="M111" s="1881">
        <v>17440000</v>
      </c>
      <c r="N111" s="1789"/>
      <c r="O111" t="s" s="1848">
        <v>1108</v>
      </c>
      <c r="P111" s="1849">
        <v>63288194</v>
      </c>
      <c r="Q111" s="1789"/>
      <c r="R111" s="1789"/>
    </row>
    <row r="112" ht="16" customHeight="1">
      <c r="A112" t="s" s="1800">
        <v>1200</v>
      </c>
      <c r="B112" t="s" s="1799">
        <v>1201</v>
      </c>
      <c r="C112" s="1881">
        <v>0</v>
      </c>
      <c r="D112" s="1881">
        <v>0</v>
      </c>
      <c r="E112" s="1881">
        <v>7500000</v>
      </c>
      <c r="F112" s="1881">
        <v>7500000</v>
      </c>
      <c r="G112" s="1881">
        <v>7500000</v>
      </c>
      <c r="H112" s="1881">
        <v>7500000</v>
      </c>
      <c r="I112" s="1881">
        <v>5806451.61</v>
      </c>
      <c r="J112" s="1881">
        <v>0</v>
      </c>
      <c r="K112" s="1881">
        <v>2100000</v>
      </c>
      <c r="L112" s="1881">
        <v>0</v>
      </c>
      <c r="M112" s="1881">
        <v>0</v>
      </c>
      <c r="N112" s="1789"/>
      <c r="O112" t="s" s="1848">
        <v>1110</v>
      </c>
      <c r="P112" s="1849">
        <v>2798521</v>
      </c>
      <c r="Q112" s="1789"/>
      <c r="R112" s="1789"/>
    </row>
    <row r="113" ht="16" customHeight="1">
      <c r="A113" t="s" s="1800">
        <v>1122</v>
      </c>
      <c r="B113" t="s" s="1799">
        <v>3854</v>
      </c>
      <c r="C113" s="1881">
        <v>0</v>
      </c>
      <c r="D113" s="1881">
        <v>5000000</v>
      </c>
      <c r="E113" s="1881">
        <v>5000000</v>
      </c>
      <c r="F113" s="1881">
        <v>5000000</v>
      </c>
      <c r="G113" s="1881">
        <v>5060000</v>
      </c>
      <c r="H113" s="1881">
        <v>2560000</v>
      </c>
      <c r="I113" s="1881">
        <v>2500000</v>
      </c>
      <c r="J113" s="1881">
        <v>2500000</v>
      </c>
      <c r="K113" s="1881">
        <v>2500000</v>
      </c>
      <c r="L113" s="1881">
        <v>2500000</v>
      </c>
      <c r="M113" s="1881">
        <v>5000000</v>
      </c>
      <c r="N113" s="1789"/>
      <c r="O113" t="s" s="1848">
        <v>1113</v>
      </c>
      <c r="P113" s="1849">
        <v>11732618</v>
      </c>
      <c r="Q113" s="1789"/>
      <c r="R113" s="1789"/>
    </row>
    <row r="114" ht="16" customHeight="1">
      <c r="A114" t="s" s="1800">
        <v>1124</v>
      </c>
      <c r="B114" t="s" s="1799">
        <v>3855</v>
      </c>
      <c r="C114" s="1881">
        <v>0</v>
      </c>
      <c r="D114" s="1881">
        <v>2977000</v>
      </c>
      <c r="E114" s="1881">
        <v>4032800</v>
      </c>
      <c r="F114" s="1881">
        <v>1500000</v>
      </c>
      <c r="G114" s="1881">
        <v>1400000</v>
      </c>
      <c r="H114" s="1881">
        <v>7046530</v>
      </c>
      <c r="I114" s="1881">
        <v>2249500</v>
      </c>
      <c r="J114" s="1881">
        <v>300000</v>
      </c>
      <c r="K114" s="1881">
        <v>4750000</v>
      </c>
      <c r="L114" s="1881">
        <v>0</v>
      </c>
      <c r="M114" s="1881">
        <v>2400000</v>
      </c>
      <c r="N114" s="1789"/>
      <c r="O114" t="s" s="1848">
        <v>1115</v>
      </c>
      <c r="P114" s="1849">
        <v>1178060</v>
      </c>
      <c r="Q114" s="1789"/>
      <c r="R114" s="1789"/>
    </row>
    <row r="115" ht="16" customHeight="1">
      <c r="A115" t="s" s="1800">
        <v>1126</v>
      </c>
      <c r="B115" t="s" s="1799">
        <v>3856</v>
      </c>
      <c r="C115" s="1881">
        <v>0</v>
      </c>
      <c r="D115" s="1881">
        <v>0</v>
      </c>
      <c r="E115" s="1881">
        <v>823500</v>
      </c>
      <c r="F115" s="1881">
        <v>0</v>
      </c>
      <c r="G115" s="1881">
        <v>6000000</v>
      </c>
      <c r="H115" s="1881">
        <v>0</v>
      </c>
      <c r="I115" s="1881">
        <v>0</v>
      </c>
      <c r="J115" s="1881">
        <v>5227750</v>
      </c>
      <c r="K115" s="1881">
        <v>6779750</v>
      </c>
      <c r="L115" s="1881">
        <v>3883500</v>
      </c>
      <c r="M115" s="1881">
        <v>1751000</v>
      </c>
      <c r="N115" s="1789"/>
      <c r="O115" t="s" s="1848">
        <v>1116</v>
      </c>
      <c r="P115" s="1849">
        <v>798883645</v>
      </c>
      <c r="Q115" s="1789"/>
      <c r="R115" s="1789"/>
    </row>
    <row r="116" ht="16" customHeight="1">
      <c r="A116" t="s" s="1800">
        <v>1127</v>
      </c>
      <c r="B116" t="s" s="1799">
        <v>3967</v>
      </c>
      <c r="C116" s="1881">
        <v>0</v>
      </c>
      <c r="D116" s="1881">
        <v>9575000</v>
      </c>
      <c r="E116" s="1881">
        <v>0</v>
      </c>
      <c r="F116" s="1881">
        <v>0</v>
      </c>
      <c r="G116" s="1881">
        <v>2250000</v>
      </c>
      <c r="H116" s="1881">
        <v>0</v>
      </c>
      <c r="I116" s="1881">
        <v>0</v>
      </c>
      <c r="J116" s="1881">
        <v>0</v>
      </c>
      <c r="K116" s="1881">
        <v>0</v>
      </c>
      <c r="L116" s="1881">
        <v>0</v>
      </c>
      <c r="M116" s="1881">
        <v>225000</v>
      </c>
      <c r="N116" s="1789"/>
      <c r="O116" t="s" s="1848">
        <v>1118</v>
      </c>
      <c r="P116" s="1849">
        <v>7300770.45</v>
      </c>
      <c r="Q116" s="1789"/>
      <c r="R116" s="1789"/>
    </row>
    <row r="117" ht="16" customHeight="1">
      <c r="A117" t="s" s="1800">
        <v>1133</v>
      </c>
      <c r="B117" t="s" s="1799">
        <v>3858</v>
      </c>
      <c r="C117" s="1881">
        <v>0</v>
      </c>
      <c r="D117" s="1881">
        <v>2246950</v>
      </c>
      <c r="E117" s="1881">
        <v>48413355</v>
      </c>
      <c r="F117" s="1881">
        <v>71285735</v>
      </c>
      <c r="G117" s="1881">
        <v>11559625</v>
      </c>
      <c r="H117" s="1881">
        <v>40004935</v>
      </c>
      <c r="I117" s="1881">
        <v>3700000</v>
      </c>
      <c r="J117" s="1881">
        <v>12089000</v>
      </c>
      <c r="K117" s="1881">
        <v>10000000</v>
      </c>
      <c r="L117" s="1881">
        <v>738363</v>
      </c>
      <c r="M117" s="1881">
        <v>0</v>
      </c>
      <c r="N117" s="1789"/>
      <c r="O117" t="s" s="1848">
        <v>1119</v>
      </c>
      <c r="P117" s="1849">
        <v>2108747</v>
      </c>
      <c r="Q117" s="1789"/>
      <c r="R117" s="1789"/>
    </row>
    <row r="118" ht="16" customHeight="1">
      <c r="A118" t="s" s="1800">
        <v>1135</v>
      </c>
      <c r="B118" t="s" s="1799">
        <v>3859</v>
      </c>
      <c r="C118" s="1881">
        <v>825500</v>
      </c>
      <c r="D118" s="1881">
        <v>1560241</v>
      </c>
      <c r="E118" s="1881">
        <v>2182800</v>
      </c>
      <c r="F118" s="1881">
        <v>2274630</v>
      </c>
      <c r="G118" s="1881">
        <v>2231300</v>
      </c>
      <c r="H118" s="1881">
        <v>1719000</v>
      </c>
      <c r="I118" s="1881">
        <v>385997</v>
      </c>
      <c r="J118" s="1881">
        <v>2213000</v>
      </c>
      <c r="K118" s="1881">
        <v>2625500</v>
      </c>
      <c r="L118" s="1881">
        <v>563000</v>
      </c>
      <c r="M118" s="1881">
        <v>373000</v>
      </c>
      <c r="N118" s="1789"/>
      <c r="O118" t="s" s="1848">
        <v>1120</v>
      </c>
      <c r="P118" s="1849">
        <v>183659709</v>
      </c>
      <c r="Q118" s="1789"/>
      <c r="R118" s="1789"/>
    </row>
    <row r="119" ht="16" customHeight="1">
      <c r="A119" t="s" s="1800">
        <v>1137</v>
      </c>
      <c r="B119" t="s" s="1799">
        <v>3968</v>
      </c>
      <c r="C119" s="1881">
        <v>0</v>
      </c>
      <c r="D119" s="1881">
        <v>0</v>
      </c>
      <c r="E119" s="1881">
        <v>0</v>
      </c>
      <c r="F119" s="1881">
        <v>814924</v>
      </c>
      <c r="G119" s="1881">
        <v>0</v>
      </c>
      <c r="H119" s="1881">
        <v>150000</v>
      </c>
      <c r="I119" s="1881">
        <v>0</v>
      </c>
      <c r="J119" s="1881">
        <v>0</v>
      </c>
      <c r="K119" s="1881">
        <v>0</v>
      </c>
      <c r="L119" s="1881">
        <v>0</v>
      </c>
      <c r="M119" s="1881">
        <v>0</v>
      </c>
      <c r="N119" s="1789"/>
      <c r="O119" t="s" s="1848">
        <v>1200</v>
      </c>
      <c r="P119" s="1849">
        <v>60406451.61</v>
      </c>
      <c r="Q119" s="1789"/>
      <c r="R119" s="1789"/>
    </row>
    <row r="120" ht="16" customHeight="1">
      <c r="A120" t="s" s="1800">
        <v>1139</v>
      </c>
      <c r="B120" t="s" s="1799">
        <v>3860</v>
      </c>
      <c r="C120" s="1881">
        <v>28694000</v>
      </c>
      <c r="D120" s="1881">
        <v>29640000</v>
      </c>
      <c r="E120" s="1881">
        <v>6500000</v>
      </c>
      <c r="F120" s="1881">
        <v>0</v>
      </c>
      <c r="G120" s="1881">
        <v>0</v>
      </c>
      <c r="H120" s="1881">
        <v>784000</v>
      </c>
      <c r="I120" s="1881">
        <v>40764000</v>
      </c>
      <c r="J120" s="1881">
        <v>2058000</v>
      </c>
      <c r="K120" s="1881">
        <v>11000000</v>
      </c>
      <c r="L120" s="1881">
        <v>0</v>
      </c>
      <c r="M120" s="1881">
        <v>0</v>
      </c>
      <c r="N120" s="1789"/>
      <c r="O120" t="s" s="1848">
        <v>1122</v>
      </c>
      <c r="P120" s="1849">
        <v>47620000</v>
      </c>
      <c r="Q120" s="1789"/>
      <c r="R120" s="1789"/>
    </row>
    <row r="121" ht="16" customHeight="1">
      <c r="A121" t="s" s="1800">
        <v>1141</v>
      </c>
      <c r="B121" t="s" s="1799">
        <v>3861</v>
      </c>
      <c r="C121" s="1881">
        <v>10985333</v>
      </c>
      <c r="D121" s="1881">
        <v>16299100</v>
      </c>
      <c r="E121" s="1881">
        <v>9223242</v>
      </c>
      <c r="F121" s="1881">
        <v>16960800</v>
      </c>
      <c r="G121" s="1881">
        <v>11253330</v>
      </c>
      <c r="H121" s="1881">
        <v>14326100</v>
      </c>
      <c r="I121" s="1881">
        <v>31521000</v>
      </c>
      <c r="J121" s="1881">
        <v>20725925</v>
      </c>
      <c r="K121" s="1881">
        <v>37791646</v>
      </c>
      <c r="L121" s="1881">
        <v>3993416</v>
      </c>
      <c r="M121" s="1881">
        <v>8005310</v>
      </c>
      <c r="N121" s="1789"/>
      <c r="O121" t="s" s="1848">
        <v>1124</v>
      </c>
      <c r="P121" s="1849">
        <v>30912330</v>
      </c>
      <c r="Q121" s="1789"/>
      <c r="R121" s="1789"/>
    </row>
    <row r="122" ht="16" customHeight="1">
      <c r="A122" t="s" s="1800">
        <v>1145</v>
      </c>
      <c r="B122" t="s" s="1799">
        <v>3862</v>
      </c>
      <c r="C122" s="1881">
        <v>0</v>
      </c>
      <c r="D122" s="1881">
        <v>58000</v>
      </c>
      <c r="E122" s="1881">
        <v>351500</v>
      </c>
      <c r="F122" s="1881">
        <v>0</v>
      </c>
      <c r="G122" s="1881">
        <v>0</v>
      </c>
      <c r="H122" s="1881">
        <v>0</v>
      </c>
      <c r="I122" s="1881">
        <v>405000</v>
      </c>
      <c r="J122" s="1881">
        <v>0</v>
      </c>
      <c r="K122" s="1881">
        <v>347000</v>
      </c>
      <c r="L122" s="1881">
        <v>540000</v>
      </c>
      <c r="M122" s="1881">
        <v>779000</v>
      </c>
      <c r="N122" s="1789"/>
      <c r="O122" t="s" s="1848">
        <v>1126</v>
      </c>
      <c r="P122" s="1849">
        <v>24465500</v>
      </c>
      <c r="Q122" s="1789"/>
      <c r="R122" s="1789"/>
    </row>
    <row r="123" ht="16" customHeight="1">
      <c r="A123" t="s" s="1800">
        <v>1147</v>
      </c>
      <c r="B123" t="s" s="1799">
        <v>3863</v>
      </c>
      <c r="C123" s="1881">
        <v>0</v>
      </c>
      <c r="D123" s="1881">
        <v>34308871</v>
      </c>
      <c r="E123" s="1881">
        <v>50214963.6</v>
      </c>
      <c r="F123" s="1881">
        <v>10740173</v>
      </c>
      <c r="G123" s="1881">
        <v>21104668</v>
      </c>
      <c r="H123" s="1881">
        <v>32634971.3</v>
      </c>
      <c r="I123" s="1881">
        <v>9333165</v>
      </c>
      <c r="J123" s="1881">
        <v>9085554</v>
      </c>
      <c r="K123" s="1881">
        <v>12470410.52</v>
      </c>
      <c r="L123" s="1881">
        <v>34870434</v>
      </c>
      <c r="M123" s="1881">
        <v>23447330</v>
      </c>
      <c r="N123" s="1789"/>
      <c r="O123" t="s" s="1848">
        <v>1127</v>
      </c>
      <c r="P123" s="1849">
        <v>18544280</v>
      </c>
      <c r="Q123" s="1789"/>
      <c r="R123" s="1789"/>
    </row>
    <row r="124" ht="16" customHeight="1">
      <c r="A124" t="s" s="1800">
        <v>1150</v>
      </c>
      <c r="B124" t="s" s="1799">
        <v>3864</v>
      </c>
      <c r="C124" s="1881">
        <v>5524312</v>
      </c>
      <c r="D124" s="1881">
        <v>33987819</v>
      </c>
      <c r="E124" s="1881">
        <v>30677413</v>
      </c>
      <c r="F124" s="1881">
        <v>55298040.5</v>
      </c>
      <c r="G124" s="1881">
        <v>49008550.7</v>
      </c>
      <c r="H124" s="1881">
        <v>30530579.5</v>
      </c>
      <c r="I124" s="1881">
        <v>30746561.11</v>
      </c>
      <c r="J124" s="1881">
        <v>28289567</v>
      </c>
      <c r="K124" s="1881">
        <v>6228195</v>
      </c>
      <c r="L124" s="1881">
        <v>10009905</v>
      </c>
      <c r="M124" s="1881">
        <v>11929013</v>
      </c>
      <c r="N124" s="1789"/>
      <c r="O124" t="s" s="1848">
        <v>1133</v>
      </c>
      <c r="P124" s="1849">
        <v>269640064</v>
      </c>
      <c r="Q124" s="1789"/>
      <c r="R124" s="1789"/>
    </row>
    <row r="125" ht="16" customHeight="1">
      <c r="A125" t="s" s="1800">
        <v>1151</v>
      </c>
      <c r="B125" t="s" s="1799">
        <v>3865</v>
      </c>
      <c r="C125" s="1881">
        <v>0</v>
      </c>
      <c r="D125" s="1881">
        <v>2346472</v>
      </c>
      <c r="E125" s="1881">
        <v>28673960</v>
      </c>
      <c r="F125" s="1881">
        <v>23502920</v>
      </c>
      <c r="G125" s="1881">
        <v>4325900</v>
      </c>
      <c r="H125" s="1881">
        <v>6399680</v>
      </c>
      <c r="I125" s="1881">
        <v>0</v>
      </c>
      <c r="J125" s="1881">
        <v>0</v>
      </c>
      <c r="K125" s="1881">
        <v>37351800</v>
      </c>
      <c r="L125" s="1881">
        <v>0</v>
      </c>
      <c r="M125" s="1881">
        <v>0</v>
      </c>
      <c r="N125" s="1789"/>
      <c r="O125" t="s" s="1848">
        <v>1135</v>
      </c>
      <c r="P125" s="1849">
        <v>27066781.8</v>
      </c>
      <c r="Q125" s="1789"/>
      <c r="R125" s="1789"/>
    </row>
    <row r="126" ht="16" customHeight="1">
      <c r="A126" t="s" s="1800">
        <v>1153</v>
      </c>
      <c r="B126" t="s" s="1799">
        <v>3866</v>
      </c>
      <c r="C126" s="1881">
        <v>0</v>
      </c>
      <c r="D126" s="1881">
        <v>0</v>
      </c>
      <c r="E126" s="1881">
        <v>43800000</v>
      </c>
      <c r="F126" s="1881">
        <v>0</v>
      </c>
      <c r="G126" s="1881">
        <v>0</v>
      </c>
      <c r="H126" s="1881">
        <v>0</v>
      </c>
      <c r="I126" s="1881">
        <v>0</v>
      </c>
      <c r="J126" s="1881">
        <v>0</v>
      </c>
      <c r="K126" s="1881">
        <v>37000000</v>
      </c>
      <c r="L126" s="1881">
        <v>0</v>
      </c>
      <c r="M126" s="1881">
        <v>0</v>
      </c>
      <c r="N126" s="1789"/>
      <c r="O126" t="s" s="1848">
        <v>1137</v>
      </c>
      <c r="P126" s="1849">
        <v>964924</v>
      </c>
      <c r="Q126" s="1789"/>
      <c r="R126" s="1789"/>
    </row>
    <row r="127" ht="16" customHeight="1">
      <c r="A127" t="s" s="1800">
        <v>1155</v>
      </c>
      <c r="B127" t="s" s="1799">
        <v>3867</v>
      </c>
      <c r="C127" s="1881">
        <v>0</v>
      </c>
      <c r="D127" s="1881">
        <v>0</v>
      </c>
      <c r="E127" s="1881">
        <v>0</v>
      </c>
      <c r="F127" s="1881">
        <v>0</v>
      </c>
      <c r="G127" s="1881">
        <v>0</v>
      </c>
      <c r="H127" s="1881">
        <v>0</v>
      </c>
      <c r="I127" s="1881">
        <v>0</v>
      </c>
      <c r="J127" s="1881">
        <v>516500</v>
      </c>
      <c r="K127" s="1881">
        <v>4681000</v>
      </c>
      <c r="L127" s="1881">
        <v>895000</v>
      </c>
      <c r="M127" s="1881">
        <v>9672000</v>
      </c>
      <c r="N127" s="1789"/>
      <c r="O127" t="s" s="1848">
        <v>1139</v>
      </c>
      <c r="P127" s="1849">
        <v>264327250</v>
      </c>
      <c r="Q127" s="1789"/>
      <c r="R127" s="1789"/>
    </row>
    <row r="128" ht="16" customHeight="1">
      <c r="A128" t="s" s="1800">
        <v>1157</v>
      </c>
      <c r="B128" t="s" s="1799">
        <v>3868</v>
      </c>
      <c r="C128" s="1881">
        <v>10465580</v>
      </c>
      <c r="D128" s="1881">
        <v>20013480</v>
      </c>
      <c r="E128" s="1881">
        <v>15728000</v>
      </c>
      <c r="F128" s="1881">
        <v>16966810</v>
      </c>
      <c r="G128" s="1881">
        <v>13777000</v>
      </c>
      <c r="H128" s="1881">
        <v>8570000</v>
      </c>
      <c r="I128" s="1881">
        <v>3120944</v>
      </c>
      <c r="J128" s="1881">
        <v>36620000</v>
      </c>
      <c r="K128" s="1881">
        <v>6143000</v>
      </c>
      <c r="L128" s="1881">
        <v>3000000</v>
      </c>
      <c r="M128" s="1881">
        <v>9596500</v>
      </c>
      <c r="N128" s="1789"/>
      <c r="O128" t="s" s="1848">
        <v>1141</v>
      </c>
      <c r="P128" s="1849">
        <v>244567603.8</v>
      </c>
      <c r="Q128" s="1789"/>
      <c r="R128" s="1789"/>
    </row>
    <row r="129" ht="16" customHeight="1">
      <c r="A129" t="s" s="1800">
        <v>1159</v>
      </c>
      <c r="B129" t="s" s="1799">
        <v>3869</v>
      </c>
      <c r="C129" s="1881">
        <v>0</v>
      </c>
      <c r="D129" s="1881">
        <v>2012500</v>
      </c>
      <c r="E129" s="1881">
        <v>2167500</v>
      </c>
      <c r="F129" s="1881">
        <v>1485000</v>
      </c>
      <c r="G129" s="1881">
        <v>3337500</v>
      </c>
      <c r="H129" s="1881">
        <v>0</v>
      </c>
      <c r="I129" s="1881">
        <v>0</v>
      </c>
      <c r="J129" s="1881">
        <v>1917500</v>
      </c>
      <c r="K129" s="1881">
        <v>4358261</v>
      </c>
      <c r="L129" s="1881">
        <v>1835500</v>
      </c>
      <c r="M129" s="1881">
        <v>498000</v>
      </c>
      <c r="N129" s="1789"/>
      <c r="O129" t="s" s="1848">
        <v>1143</v>
      </c>
      <c r="P129" s="1849">
        <v>5851740</v>
      </c>
      <c r="Q129" s="1789"/>
      <c r="R129" s="1789"/>
    </row>
    <row r="130" ht="16" customHeight="1">
      <c r="A130" t="s" s="1800">
        <v>1161</v>
      </c>
      <c r="B130" t="s" s="1799">
        <v>3870</v>
      </c>
      <c r="C130" s="1881">
        <v>0</v>
      </c>
      <c r="D130" s="1881">
        <v>351808000</v>
      </c>
      <c r="E130" s="1881">
        <v>349185140</v>
      </c>
      <c r="F130" s="1881">
        <v>325086957</v>
      </c>
      <c r="G130" s="1881">
        <v>320919355</v>
      </c>
      <c r="H130" s="1881">
        <v>344500000</v>
      </c>
      <c r="I130" s="1881">
        <v>342436887</v>
      </c>
      <c r="J130" s="1881">
        <v>346252727</v>
      </c>
      <c r="K130" s="1881">
        <v>236400000</v>
      </c>
      <c r="L130" s="1881">
        <v>296950000</v>
      </c>
      <c r="M130" s="1881">
        <v>286184222</v>
      </c>
      <c r="N130" s="1789"/>
      <c r="O130" t="s" s="1848">
        <v>1145</v>
      </c>
      <c r="P130" s="1849">
        <v>17635900</v>
      </c>
      <c r="Q130" s="1789"/>
      <c r="R130" s="1789"/>
    </row>
    <row r="131" ht="16" customHeight="1">
      <c r="A131" t="s" s="1800">
        <v>1162</v>
      </c>
      <c r="B131" t="s" s="1799">
        <v>3871</v>
      </c>
      <c r="C131" s="1881">
        <v>270274506</v>
      </c>
      <c r="D131" s="1881">
        <v>401832762</v>
      </c>
      <c r="E131" s="1881">
        <v>471128309</v>
      </c>
      <c r="F131" s="1881">
        <v>477105637</v>
      </c>
      <c r="G131" s="1881">
        <v>402348534</v>
      </c>
      <c r="H131" s="1881">
        <v>163014714</v>
      </c>
      <c r="I131" s="1881">
        <v>35000000</v>
      </c>
      <c r="J131" s="1881">
        <v>0</v>
      </c>
      <c r="K131" s="1881">
        <v>136782162</v>
      </c>
      <c r="L131" s="1881">
        <v>0</v>
      </c>
      <c r="M131" s="1881">
        <v>157530491</v>
      </c>
      <c r="N131" s="1789"/>
      <c r="O131" t="s" s="1848">
        <v>1147</v>
      </c>
      <c r="P131" s="1849">
        <v>278952440.42</v>
      </c>
      <c r="Q131" s="1789"/>
      <c r="R131" s="1789"/>
    </row>
    <row r="132" ht="16" customHeight="1">
      <c r="A132" t="s" s="1800">
        <v>1167</v>
      </c>
      <c r="B132" t="s" s="1799">
        <v>3872</v>
      </c>
      <c r="C132" s="1881">
        <v>374247208</v>
      </c>
      <c r="D132" s="1881">
        <v>449909105</v>
      </c>
      <c r="E132" s="1881">
        <v>0</v>
      </c>
      <c r="F132" s="1881">
        <v>0</v>
      </c>
      <c r="G132" s="1881">
        <v>0</v>
      </c>
      <c r="H132" s="1881">
        <v>0</v>
      </c>
      <c r="I132" s="1881">
        <v>0</v>
      </c>
      <c r="J132" s="1881">
        <v>0</v>
      </c>
      <c r="K132" s="1881">
        <v>0</v>
      </c>
      <c r="L132" s="1881">
        <v>0</v>
      </c>
      <c r="M132" s="1881">
        <v>0</v>
      </c>
      <c r="N132" s="1789"/>
      <c r="O132" t="s" s="1848">
        <v>1150</v>
      </c>
      <c r="P132" s="1849">
        <v>341774626.79</v>
      </c>
      <c r="Q132" s="1789"/>
      <c r="R132" s="1789"/>
    </row>
    <row r="133" ht="16" customHeight="1">
      <c r="A133" t="s" s="1800">
        <v>1172</v>
      </c>
      <c r="B133" t="s" s="1799">
        <v>3969</v>
      </c>
      <c r="C133" s="1881">
        <v>0</v>
      </c>
      <c r="D133" s="1881">
        <v>0</v>
      </c>
      <c r="E133" s="1881">
        <v>0</v>
      </c>
      <c r="F133" s="1881">
        <v>0</v>
      </c>
      <c r="G133" s="1881">
        <v>22400000</v>
      </c>
      <c r="H133" s="1881">
        <v>0</v>
      </c>
      <c r="I133" s="1881">
        <v>0</v>
      </c>
      <c r="J133" s="1881">
        <v>0</v>
      </c>
      <c r="K133" s="1881">
        <v>0</v>
      </c>
      <c r="L133" s="1881">
        <v>0</v>
      </c>
      <c r="M133" s="1881">
        <v>0</v>
      </c>
      <c r="N133" s="1789"/>
      <c r="O133" t="s" s="1848">
        <v>1151</v>
      </c>
      <c r="P133" s="1849">
        <v>142622770</v>
      </c>
      <c r="Q133" s="1789"/>
      <c r="R133" s="1789"/>
    </row>
    <row r="134" ht="16" customHeight="1">
      <c r="A134" t="s" s="1800">
        <v>1179</v>
      </c>
      <c r="B134" t="s" s="1799">
        <v>3875</v>
      </c>
      <c r="C134" s="1881">
        <v>0.88</v>
      </c>
      <c r="D134" s="1881">
        <v>0</v>
      </c>
      <c r="E134" s="1881">
        <v>1.92</v>
      </c>
      <c r="F134" s="1881">
        <v>0</v>
      </c>
      <c r="G134" s="1881">
        <v>0</v>
      </c>
      <c r="H134" s="1881">
        <v>0</v>
      </c>
      <c r="I134" s="1881">
        <v>0</v>
      </c>
      <c r="J134" s="1881">
        <v>0</v>
      </c>
      <c r="K134" s="1881">
        <v>0</v>
      </c>
      <c r="L134" s="1881">
        <v>0</v>
      </c>
      <c r="M134" s="1881">
        <v>0</v>
      </c>
      <c r="N134" s="1789"/>
      <c r="O134" t="s" s="1848">
        <v>1153</v>
      </c>
      <c r="P134" s="1849">
        <v>122313650</v>
      </c>
      <c r="Q134" s="1789"/>
      <c r="R134" s="1789"/>
    </row>
    <row r="135" ht="16" customHeight="1">
      <c r="A135" t="s" s="1800">
        <v>1184</v>
      </c>
      <c r="B135" t="s" s="1799">
        <v>3971</v>
      </c>
      <c r="C135" s="1881">
        <v>0</v>
      </c>
      <c r="D135" s="1881">
        <v>0</v>
      </c>
      <c r="E135" s="1881">
        <v>0</v>
      </c>
      <c r="F135" s="1881">
        <v>0</v>
      </c>
      <c r="G135" s="1881">
        <v>0</v>
      </c>
      <c r="H135" s="1881">
        <v>0</v>
      </c>
      <c r="I135" s="1881">
        <v>119480793.53</v>
      </c>
      <c r="J135" s="1881">
        <v>0</v>
      </c>
      <c r="K135" s="1881">
        <v>257973214.29</v>
      </c>
      <c r="L135" s="1881">
        <v>0</v>
      </c>
      <c r="M135" s="1881">
        <v>0</v>
      </c>
      <c r="N135" s="1789"/>
      <c r="O135" t="s" s="1848">
        <v>1155</v>
      </c>
      <c r="P135" s="1849">
        <v>15764500</v>
      </c>
      <c r="Q135" s="1789"/>
      <c r="R135" s="1789"/>
    </row>
    <row r="136" ht="16" customHeight="1">
      <c r="A136" t="s" s="1800">
        <v>1185</v>
      </c>
      <c r="B136" t="s" s="1799">
        <v>3880</v>
      </c>
      <c r="C136" s="1881">
        <v>2984000</v>
      </c>
      <c r="D136" s="1881">
        <v>635000</v>
      </c>
      <c r="E136" s="1881">
        <v>1690850</v>
      </c>
      <c r="F136" s="1881">
        <v>0</v>
      </c>
      <c r="G136" s="1881">
        <v>0</v>
      </c>
      <c r="H136" s="1881">
        <v>0</v>
      </c>
      <c r="I136" s="1881">
        <v>0</v>
      </c>
      <c r="J136" s="1881">
        <v>0</v>
      </c>
      <c r="K136" s="1881">
        <v>0</v>
      </c>
      <c r="L136" s="1881">
        <v>0</v>
      </c>
      <c r="M136" s="1881">
        <v>0</v>
      </c>
      <c r="N136" s="1789"/>
      <c r="O136" t="s" s="1848">
        <v>1157</v>
      </c>
      <c r="P136" s="1849">
        <v>166485026</v>
      </c>
      <c r="Q136" s="1789"/>
      <c r="R136" s="1789"/>
    </row>
    <row r="137" ht="16" customHeight="1">
      <c r="A137" t="s" s="1800">
        <v>1186</v>
      </c>
      <c r="B137" t="s" s="1799">
        <v>3881</v>
      </c>
      <c r="C137" s="1881">
        <v>779341</v>
      </c>
      <c r="D137" s="1881">
        <v>4396836</v>
      </c>
      <c r="E137" s="1881">
        <v>3327470</v>
      </c>
      <c r="F137" s="1881">
        <v>1262462</v>
      </c>
      <c r="G137" s="1881">
        <v>1157424</v>
      </c>
      <c r="H137" s="1881">
        <v>1129032</v>
      </c>
      <c r="I137" s="1881">
        <v>1038352</v>
      </c>
      <c r="J137" s="1881">
        <v>1219712</v>
      </c>
      <c r="K137" s="1881">
        <v>3249242</v>
      </c>
      <c r="L137" s="1881">
        <v>1434628</v>
      </c>
      <c r="M137" s="1881">
        <v>227621</v>
      </c>
      <c r="N137" s="1789"/>
      <c r="O137" t="s" s="1848">
        <v>1159</v>
      </c>
      <c r="P137" s="1849">
        <v>25173094.33</v>
      </c>
      <c r="Q137" s="1789"/>
      <c r="R137" s="1789"/>
    </row>
    <row r="138" ht="16" customHeight="1">
      <c r="A138" t="s" s="1800">
        <v>1187</v>
      </c>
      <c r="B138" t="s" s="1799">
        <v>3882</v>
      </c>
      <c r="C138" s="1881">
        <v>2402009</v>
      </c>
      <c r="D138" s="1881">
        <v>3351549</v>
      </c>
      <c r="E138" s="1881">
        <v>6241129</v>
      </c>
      <c r="F138" s="1881">
        <v>87500</v>
      </c>
      <c r="G138" s="1881">
        <v>87500</v>
      </c>
      <c r="H138" s="1881">
        <v>87500</v>
      </c>
      <c r="I138" s="1881">
        <v>87500</v>
      </c>
      <c r="J138" s="1881">
        <v>2387260</v>
      </c>
      <c r="K138" s="1881">
        <v>1033397</v>
      </c>
      <c r="L138" s="1881">
        <v>87500</v>
      </c>
      <c r="M138" s="1881">
        <v>1056404</v>
      </c>
      <c r="N138" s="1789"/>
      <c r="O138" t="s" s="1848">
        <v>1161</v>
      </c>
      <c r="P138" s="1849">
        <v>4185885229</v>
      </c>
      <c r="Q138" s="1789"/>
      <c r="R138" s="1789"/>
    </row>
    <row r="139" ht="16" customHeight="1">
      <c r="A139" t="s" s="1800">
        <v>1188</v>
      </c>
      <c r="B139" t="s" s="1799">
        <v>3883</v>
      </c>
      <c r="C139" s="1881">
        <v>0</v>
      </c>
      <c r="D139" s="1881">
        <v>3835288</v>
      </c>
      <c r="E139" s="1881">
        <v>3835288</v>
      </c>
      <c r="F139" s="1881">
        <v>3835288</v>
      </c>
      <c r="G139" s="1881">
        <v>3835288</v>
      </c>
      <c r="H139" s="1881">
        <v>3835288</v>
      </c>
      <c r="I139" s="1881">
        <v>3835288</v>
      </c>
      <c r="J139" s="1881">
        <v>3835288</v>
      </c>
      <c r="K139" s="1881">
        <v>3835288</v>
      </c>
      <c r="L139" s="1881">
        <v>3835288</v>
      </c>
      <c r="M139" s="1881">
        <v>1143887</v>
      </c>
      <c r="N139" s="1789"/>
      <c r="O139" t="s" s="1848">
        <v>1162</v>
      </c>
      <c r="P139" s="1849">
        <v>2604935960</v>
      </c>
      <c r="Q139" s="1789"/>
      <c r="R139" s="1789"/>
    </row>
    <row r="140" ht="16" customHeight="1">
      <c r="A140" t="s" s="1800">
        <v>1189</v>
      </c>
      <c r="B140" t="s" s="1799">
        <v>3884</v>
      </c>
      <c r="C140" s="1881">
        <v>351940</v>
      </c>
      <c r="D140" s="1881">
        <v>1703381</v>
      </c>
      <c r="E140" s="1881">
        <v>742154</v>
      </c>
      <c r="F140" s="1881">
        <v>1199800</v>
      </c>
      <c r="G140" s="1881">
        <v>1813087</v>
      </c>
      <c r="H140" s="1881">
        <v>388800</v>
      </c>
      <c r="I140" s="1881">
        <v>4050000</v>
      </c>
      <c r="J140" s="1881">
        <v>1580000</v>
      </c>
      <c r="K140" s="1881">
        <v>423790</v>
      </c>
      <c r="L140" s="1881">
        <v>40000</v>
      </c>
      <c r="M140" s="1881">
        <v>1441068</v>
      </c>
      <c r="N140" s="1789"/>
      <c r="O140" t="s" s="1848">
        <v>1167</v>
      </c>
      <c r="P140" s="1849">
        <v>1338237113</v>
      </c>
      <c r="Q140" s="1789"/>
      <c r="R140" s="1789"/>
    </row>
    <row r="141" ht="16" customHeight="1">
      <c r="A141" t="s" s="1800">
        <v>1190</v>
      </c>
      <c r="B141" t="s" s="1799">
        <v>3885</v>
      </c>
      <c r="C141" s="1881">
        <v>0</v>
      </c>
      <c r="D141" s="1881">
        <v>0</v>
      </c>
      <c r="E141" s="1881">
        <v>0</v>
      </c>
      <c r="F141" s="1881">
        <v>0</v>
      </c>
      <c r="G141" s="1881">
        <v>0</v>
      </c>
      <c r="H141" s="1881">
        <v>0</v>
      </c>
      <c r="I141" s="1881">
        <v>0</v>
      </c>
      <c r="J141" s="1881">
        <v>0</v>
      </c>
      <c r="K141" s="1881">
        <v>0</v>
      </c>
      <c r="L141" s="1881">
        <v>0</v>
      </c>
      <c r="M141" s="1881">
        <v>65504</v>
      </c>
      <c r="N141" s="1789"/>
      <c r="O141" t="s" s="1848">
        <v>1169</v>
      </c>
      <c r="P141" s="1849">
        <v>1400000</v>
      </c>
      <c r="Q141" s="1789"/>
      <c r="R141" s="1789"/>
    </row>
    <row r="142" ht="16" customHeight="1">
      <c r="A142" t="s" s="1800">
        <v>1194</v>
      </c>
      <c r="B142" t="s" s="1799">
        <v>3972</v>
      </c>
      <c r="C142" s="1881">
        <v>0</v>
      </c>
      <c r="D142" s="1881">
        <v>0</v>
      </c>
      <c r="E142" s="1881">
        <v>0</v>
      </c>
      <c r="F142" s="1881">
        <v>0</v>
      </c>
      <c r="G142" s="1881">
        <v>0</v>
      </c>
      <c r="H142" s="1881">
        <v>0</v>
      </c>
      <c r="I142" s="1881">
        <v>0</v>
      </c>
      <c r="J142" s="1881">
        <v>0</v>
      </c>
      <c r="K142" s="1881">
        <v>0</v>
      </c>
      <c r="L142" s="1881">
        <v>322643</v>
      </c>
      <c r="M142" s="1881">
        <v>0</v>
      </c>
      <c r="N142" s="1789"/>
      <c r="O142" t="s" s="1848">
        <v>1172</v>
      </c>
      <c r="P142" s="1849">
        <v>22400000</v>
      </c>
      <c r="Q142" s="1789"/>
      <c r="R142" s="1789"/>
    </row>
    <row r="143" ht="16" customHeight="1">
      <c r="A143" t="s" s="1800">
        <v>1199</v>
      </c>
      <c r="B143" s="1789"/>
      <c r="C143" s="1881">
        <v>785365785.88</v>
      </c>
      <c r="D143" s="1881">
        <v>1668409050.96</v>
      </c>
      <c r="E143" s="1881">
        <v>1393395786.3</v>
      </c>
      <c r="F143" s="1881">
        <v>1470324115.58</v>
      </c>
      <c r="G143" s="1881">
        <v>1265422828.33</v>
      </c>
      <c r="H143" s="1881">
        <v>901483436.21</v>
      </c>
      <c r="I143" s="1881">
        <v>805881732.3</v>
      </c>
      <c r="J143" s="1881">
        <v>704427536.92</v>
      </c>
      <c r="K143" s="1881">
        <v>976126726.39</v>
      </c>
      <c r="L143" s="1881">
        <v>518028474.07</v>
      </c>
      <c r="M143" s="1881">
        <v>631883663.9400001</v>
      </c>
      <c r="N143" s="1789"/>
      <c r="O143" t="s" s="1848">
        <v>3874</v>
      </c>
      <c r="P143" s="1849">
        <v>115875000</v>
      </c>
      <c r="Q143" s="1789"/>
      <c r="R143" s="1789"/>
    </row>
    <row r="144" ht="16" customHeight="1">
      <c r="A144" t="s" s="1800">
        <v>682</v>
      </c>
      <c r="B144" s="1789"/>
      <c r="C144" s="1881">
        <v>0</v>
      </c>
      <c r="D144" s="1881">
        <v>32058925.42</v>
      </c>
      <c r="E144" s="1881">
        <v>29909628.58</v>
      </c>
      <c r="F144" s="1881">
        <v>28720685.2</v>
      </c>
      <c r="G144" s="1881">
        <v>30005984.8</v>
      </c>
      <c r="H144" s="1881">
        <v>26911742.01</v>
      </c>
      <c r="I144" s="1881">
        <v>25111556.05</v>
      </c>
      <c r="J144" s="1881">
        <v>14473442.05</v>
      </c>
      <c r="K144" s="1881">
        <v>19384029.65</v>
      </c>
      <c r="L144" s="1881">
        <v>0</v>
      </c>
      <c r="M144" s="1881">
        <v>18657043.91</v>
      </c>
      <c r="N144" s="1789"/>
      <c r="O144" t="s" s="1848">
        <v>1179</v>
      </c>
      <c r="P144" s="1849">
        <v>232029.76</v>
      </c>
      <c r="Q144" s="1789"/>
      <c r="R144" s="1789"/>
    </row>
    <row r="145" ht="17" customHeight="1">
      <c r="A145" t="s" s="1852">
        <v>1199</v>
      </c>
      <c r="B145" s="1886"/>
      <c r="C145" s="1878">
        <v>785365785.88</v>
      </c>
      <c r="D145" s="1878">
        <v>1700467976.38</v>
      </c>
      <c r="E145" s="1878">
        <v>1423305414.88</v>
      </c>
      <c r="F145" s="1878">
        <v>1499044800.78</v>
      </c>
      <c r="G145" s="1878">
        <v>1295428813.13</v>
      </c>
      <c r="H145" s="1878">
        <v>928395178.22</v>
      </c>
      <c r="I145" s="1878">
        <v>830993288.35</v>
      </c>
      <c r="J145" s="1878">
        <v>718900978.97</v>
      </c>
      <c r="K145" s="1878">
        <v>995510756.04</v>
      </c>
      <c r="L145" s="1878">
        <v>518028474.07</v>
      </c>
      <c r="M145" s="1878">
        <v>650540707.85</v>
      </c>
      <c r="N145" s="1789"/>
      <c r="O145" t="s" s="1848">
        <v>1225</v>
      </c>
      <c r="P145" s="1849">
        <v>9729450</v>
      </c>
      <c r="Q145" s="1789"/>
      <c r="R145" s="1789"/>
    </row>
    <row r="146" ht="16" customHeight="1">
      <c r="A146" s="1832"/>
      <c r="B146" s="1832"/>
      <c r="C146" s="1832"/>
      <c r="D146" s="1832"/>
      <c r="E146" s="1832"/>
      <c r="F146" s="1832"/>
      <c r="G146" s="1832"/>
      <c r="H146" s="1832"/>
      <c r="I146" s="1832"/>
      <c r="J146" s="1832"/>
      <c r="K146" s="1832"/>
      <c r="L146" s="1832"/>
      <c r="M146" s="1832"/>
      <c r="N146" s="1789"/>
      <c r="O146" t="s" s="1848">
        <v>3982</v>
      </c>
      <c r="P146" s="1849">
        <v>0</v>
      </c>
      <c r="Q146" s="1789"/>
      <c r="R146" s="1789"/>
    </row>
    <row r="147" ht="16" customHeight="1">
      <c r="A147" s="1789"/>
      <c r="B147" s="1789"/>
      <c r="C147" s="1789"/>
      <c r="D147" s="1789"/>
      <c r="E147" s="1789"/>
      <c r="F147" s="1789"/>
      <c r="G147" s="1789"/>
      <c r="H147" s="1789"/>
      <c r="I147" s="1789"/>
      <c r="J147" s="1789"/>
      <c r="K147" s="1789"/>
      <c r="L147" s="1789"/>
      <c r="M147" s="1789"/>
      <c r="N147" s="1789"/>
      <c r="O147" t="s" s="1848">
        <v>3877</v>
      </c>
      <c r="P147" s="1849">
        <v>28154283.12</v>
      </c>
      <c r="Q147" s="1789"/>
      <c r="R147" s="1789"/>
    </row>
    <row r="148" ht="16" customHeight="1">
      <c r="A148" s="1789"/>
      <c r="B148" s="1789"/>
      <c r="C148" s="1789"/>
      <c r="D148" s="1789"/>
      <c r="E148" s="1789"/>
      <c r="F148" s="1789"/>
      <c r="G148" s="1789"/>
      <c r="H148" s="1789"/>
      <c r="I148" s="1789"/>
      <c r="J148" s="1789"/>
      <c r="K148" s="1789"/>
      <c r="L148" s="1789"/>
      <c r="M148" s="1789"/>
      <c r="N148" s="1789"/>
      <c r="O148" t="s" s="1848">
        <v>3879</v>
      </c>
      <c r="P148" s="1849">
        <v>3250000</v>
      </c>
      <c r="Q148" s="1789"/>
      <c r="R148" s="1789"/>
    </row>
    <row r="149" ht="16" customHeight="1">
      <c r="A149" s="1789"/>
      <c r="B149" s="1789"/>
      <c r="C149" s="1789"/>
      <c r="D149" s="1789"/>
      <c r="E149" s="1789"/>
      <c r="F149" s="1789"/>
      <c r="G149" s="1789"/>
      <c r="H149" s="1789"/>
      <c r="I149" s="1789"/>
      <c r="J149" s="1789"/>
      <c r="K149" s="1789"/>
      <c r="L149" s="1789"/>
      <c r="M149" s="1789"/>
      <c r="N149" s="1789"/>
      <c r="O149" t="s" s="1848">
        <v>1184</v>
      </c>
      <c r="P149" s="1849">
        <v>377454007.82</v>
      </c>
      <c r="Q149" s="1789"/>
      <c r="R149" s="1789"/>
    </row>
    <row r="150" ht="16" customHeight="1">
      <c r="A150" s="1789"/>
      <c r="B150" s="1789"/>
      <c r="C150" s="1789"/>
      <c r="D150" s="1789"/>
      <c r="E150" s="1789"/>
      <c r="F150" s="1789"/>
      <c r="G150" s="1789"/>
      <c r="H150" s="1789"/>
      <c r="I150" s="1789"/>
      <c r="J150" s="1789"/>
      <c r="K150" s="1789"/>
      <c r="L150" s="1789"/>
      <c r="M150" s="1789"/>
      <c r="N150" s="1789"/>
      <c r="O150" t="s" s="1848">
        <v>1185</v>
      </c>
      <c r="P150" s="1849">
        <v>2534850</v>
      </c>
      <c r="Q150" s="1789"/>
      <c r="R150" s="1789"/>
    </row>
    <row r="151" ht="16" customHeight="1">
      <c r="A151" s="1789"/>
      <c r="B151" s="1789"/>
      <c r="C151" s="1789"/>
      <c r="D151" s="1789"/>
      <c r="E151" s="1789"/>
      <c r="F151" s="1789"/>
      <c r="G151" s="1789"/>
      <c r="H151" s="1789"/>
      <c r="I151" s="1789"/>
      <c r="J151" s="1789"/>
      <c r="K151" s="1789"/>
      <c r="L151" s="1789"/>
      <c r="M151" s="1789"/>
      <c r="N151" s="1789"/>
      <c r="O151" t="s" s="1848">
        <v>1186</v>
      </c>
      <c r="P151" s="1849">
        <v>29549923</v>
      </c>
      <c r="Q151" s="1789"/>
      <c r="R151" s="1789"/>
    </row>
    <row r="152" ht="16" customHeight="1">
      <c r="A152" s="1789"/>
      <c r="B152" s="1789"/>
      <c r="C152" s="1789"/>
      <c r="D152" s="1789"/>
      <c r="E152" s="1789"/>
      <c r="F152" s="1789"/>
      <c r="G152" s="1789"/>
      <c r="H152" s="1789"/>
      <c r="I152" s="1789"/>
      <c r="J152" s="1789"/>
      <c r="K152" s="1789"/>
      <c r="L152" s="1789"/>
      <c r="M152" s="1789"/>
      <c r="N152" s="1789"/>
      <c r="O152" t="s" s="1848">
        <v>1187</v>
      </c>
      <c r="P152" s="1849">
        <v>32320627</v>
      </c>
      <c r="Q152" s="1789"/>
      <c r="R152" s="1789"/>
    </row>
    <row r="153" ht="16" customHeight="1">
      <c r="A153" s="1789"/>
      <c r="B153" s="1789"/>
      <c r="C153" s="1789"/>
      <c r="D153" s="1789"/>
      <c r="E153" s="1789"/>
      <c r="F153" s="1789"/>
      <c r="G153" s="1789"/>
      <c r="H153" s="1789"/>
      <c r="I153" s="1789"/>
      <c r="J153" s="1789"/>
      <c r="K153" s="1789"/>
      <c r="L153" s="1789"/>
      <c r="M153" s="1789"/>
      <c r="N153" s="1789"/>
      <c r="O153" t="s" s="1848">
        <v>1188</v>
      </c>
      <c r="P153" s="1849">
        <v>43332055</v>
      </c>
      <c r="Q153" s="1789"/>
      <c r="R153" s="1789"/>
    </row>
    <row r="154" ht="16" customHeight="1">
      <c r="A154" s="1789"/>
      <c r="B154" s="1789"/>
      <c r="C154" s="1789"/>
      <c r="D154" s="1789"/>
      <c r="E154" s="1789"/>
      <c r="F154" s="1789"/>
      <c r="G154" s="1789"/>
      <c r="H154" s="1789"/>
      <c r="I154" s="1789"/>
      <c r="J154" s="1789"/>
      <c r="K154" s="1789"/>
      <c r="L154" s="1789"/>
      <c r="M154" s="1789"/>
      <c r="N154" s="1789"/>
      <c r="O154" t="s" s="1848">
        <v>1189</v>
      </c>
      <c r="P154" s="1849">
        <v>20244706</v>
      </c>
      <c r="Q154" s="1789"/>
      <c r="R154" s="1789"/>
    </row>
    <row r="155" ht="16" customHeight="1">
      <c r="A155" s="1789"/>
      <c r="B155" s="1789"/>
      <c r="C155" s="1789"/>
      <c r="D155" s="1789"/>
      <c r="E155" s="1789"/>
      <c r="F155" s="1789"/>
      <c r="G155" s="1789"/>
      <c r="H155" s="1789"/>
      <c r="I155" s="1789"/>
      <c r="J155" s="1789"/>
      <c r="K155" s="1789"/>
      <c r="L155" s="1789"/>
      <c r="M155" s="1789"/>
      <c r="N155" s="1789"/>
      <c r="O155" t="s" s="1848">
        <v>1190</v>
      </c>
      <c r="P155" s="1849">
        <v>65504</v>
      </c>
      <c r="Q155" s="1789"/>
      <c r="R155" s="1789"/>
    </row>
    <row r="156" ht="16" customHeight="1">
      <c r="A156" s="1789"/>
      <c r="B156" s="1789"/>
      <c r="C156" s="1789"/>
      <c r="D156" s="1789"/>
      <c r="E156" s="1789"/>
      <c r="F156" s="1789"/>
      <c r="G156" s="1789"/>
      <c r="H156" s="1789"/>
      <c r="I156" s="1789"/>
      <c r="J156" s="1789"/>
      <c r="K156" s="1789"/>
      <c r="L156" s="1789"/>
      <c r="M156" s="1789"/>
      <c r="N156" s="1789"/>
      <c r="O156" t="s" s="1848">
        <v>1191</v>
      </c>
      <c r="P156" s="1849">
        <v>20000000</v>
      </c>
      <c r="Q156" s="1789"/>
      <c r="R156" s="1789"/>
    </row>
    <row r="157" ht="16" customHeight="1">
      <c r="A157" s="1789"/>
      <c r="B157" s="1789"/>
      <c r="C157" s="1789"/>
      <c r="D157" s="1789"/>
      <c r="E157" s="1789"/>
      <c r="F157" s="1789"/>
      <c r="G157" s="1789"/>
      <c r="H157" s="1789"/>
      <c r="I157" s="1789"/>
      <c r="J157" s="1789"/>
      <c r="K157" s="1789"/>
      <c r="L157" s="1789"/>
      <c r="M157" s="1789"/>
      <c r="N157" s="1789"/>
      <c r="O157" t="s" s="1848">
        <v>1194</v>
      </c>
      <c r="P157" s="1849">
        <v>322643</v>
      </c>
      <c r="Q157" s="1789"/>
      <c r="R157" s="1789"/>
    </row>
    <row r="158" ht="16" customHeight="1">
      <c r="A158" s="1789"/>
      <c r="B158" s="1789"/>
      <c r="C158" s="1789"/>
      <c r="D158" s="1789"/>
      <c r="E158" s="1789"/>
      <c r="F158" s="1789"/>
      <c r="G158" s="1789"/>
      <c r="H158" s="1789"/>
      <c r="I158" s="1789"/>
      <c r="J158" s="1789"/>
      <c r="K158" s="1789"/>
      <c r="L158" s="1789"/>
      <c r="M158" s="1789"/>
      <c r="N158" s="1789"/>
      <c r="O158" t="s" s="1848">
        <v>1199</v>
      </c>
      <c r="P158" s="1849">
        <v>14191276803.9</v>
      </c>
      <c r="Q158" s="1789"/>
      <c r="R158" s="1789"/>
    </row>
    <row r="159" ht="16" customHeight="1">
      <c r="A159" s="1789"/>
      <c r="B159" s="1789"/>
      <c r="C159" s="1789"/>
      <c r="D159" s="1789"/>
      <c r="E159" s="1789"/>
      <c r="F159" s="1789"/>
      <c r="G159" s="1789"/>
      <c r="H159" s="1789"/>
      <c r="I159" s="1789"/>
      <c r="J159" s="1789"/>
      <c r="K159" s="1789"/>
      <c r="L159" s="1789"/>
      <c r="M159" s="1789"/>
      <c r="N159" s="1789"/>
      <c r="O159" t="s" s="1848">
        <v>682</v>
      </c>
      <c r="P159" s="1849">
        <v>325901652.96</v>
      </c>
      <c r="Q159" s="1789"/>
      <c r="R159" s="1789"/>
    </row>
    <row r="160" ht="16" customHeight="1">
      <c r="A160" s="1789"/>
      <c r="B160" s="1789"/>
      <c r="C160" s="1789"/>
      <c r="D160" s="1789"/>
      <c r="E160" s="1789"/>
      <c r="F160" s="1789"/>
      <c r="G160" s="1789"/>
      <c r="H160" s="1789"/>
      <c r="I160" s="1789"/>
      <c r="J160" s="1789"/>
      <c r="K160" s="1789"/>
      <c r="L160" s="1789"/>
      <c r="M160" s="1789"/>
      <c r="N160" s="1789"/>
      <c r="O160" t="s" s="1848">
        <v>1203</v>
      </c>
      <c r="P160" s="1849">
        <v>31196644.53</v>
      </c>
      <c r="Q160" s="1789"/>
      <c r="R160" s="1789"/>
    </row>
    <row r="161" ht="16" customHeight="1">
      <c r="A161" s="1789"/>
      <c r="B161" s="1789"/>
      <c r="C161" s="1789"/>
      <c r="D161" s="1789"/>
      <c r="E161" s="1789"/>
      <c r="F161" s="1789"/>
      <c r="G161" s="1789"/>
      <c r="H161" s="1789"/>
      <c r="I161" s="1789"/>
      <c r="J161" s="1789"/>
      <c r="K161" s="1789"/>
      <c r="L161" s="1789"/>
      <c r="M161" s="1789"/>
      <c r="N161" s="1789"/>
      <c r="O161" t="s" s="1848">
        <v>1206</v>
      </c>
      <c r="P161" s="1849">
        <v>127900013.9</v>
      </c>
      <c r="Q161" s="1789"/>
      <c r="R161" s="1789"/>
    </row>
    <row r="162" ht="16" customHeight="1">
      <c r="A162" s="1789"/>
      <c r="B162" s="1789"/>
      <c r="C162" s="1789"/>
      <c r="D162" s="1789"/>
      <c r="E162" s="1789"/>
      <c r="F162" s="1789"/>
      <c r="G162" s="1789"/>
      <c r="H162" s="1789"/>
      <c r="I162" s="1789"/>
      <c r="J162" s="1789"/>
      <c r="K162" s="1789"/>
      <c r="L162" s="1789"/>
      <c r="M162" s="1789"/>
      <c r="N162" s="1789"/>
      <c r="O162" t="s" s="1848">
        <v>1208</v>
      </c>
      <c r="P162" s="1849">
        <v>166804994.53</v>
      </c>
      <c r="Q162" s="1789"/>
      <c r="R162" s="1789"/>
    </row>
    <row r="163" ht="16" customHeight="1">
      <c r="A163" s="1789"/>
      <c r="B163" s="1789"/>
      <c r="C163" s="1789"/>
      <c r="D163" s="1789"/>
      <c r="E163" s="1789"/>
      <c r="F163" s="1789"/>
      <c r="G163" s="1789"/>
      <c r="H163" s="1789"/>
      <c r="I163" s="1789"/>
      <c r="J163" s="1789"/>
      <c r="K163" s="1789"/>
      <c r="L163" s="1789"/>
      <c r="M163" s="1789"/>
      <c r="N163" s="1789"/>
      <c r="O163" t="s" s="1848">
        <v>1212</v>
      </c>
      <c r="P163" s="1849">
        <v>325901652.96</v>
      </c>
      <c r="Q163" s="1789"/>
      <c r="R163" s="1789"/>
    </row>
    <row r="164" ht="17" customHeight="1">
      <c r="A164" s="1789"/>
      <c r="B164" s="1789"/>
      <c r="C164" s="1789"/>
      <c r="D164" s="1789"/>
      <c r="E164" s="1789"/>
      <c r="F164" s="1789"/>
      <c r="G164" s="1789"/>
      <c r="H164" s="1789"/>
      <c r="I164" s="1789"/>
      <c r="J164" s="1789"/>
      <c r="K164" s="1789"/>
      <c r="L164" s="1789"/>
      <c r="M164" s="1789"/>
      <c r="N164" s="1789"/>
      <c r="O164" t="s" s="1852">
        <v>1199</v>
      </c>
      <c r="P164" s="1884">
        <v>14517178456.86</v>
      </c>
      <c r="Q164" s="1789"/>
      <c r="R164" s="178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AM155"/>
  <sheetViews>
    <sheetView workbookViewId="0" showGridLines="0" defaultGridColor="1"/>
  </sheetViews>
  <sheetFormatPr defaultColWidth="9.16667" defaultRowHeight="13" customHeight="1" outlineLevelRow="0" outlineLevelCol="0"/>
  <cols>
    <col min="1" max="1" width="31.8516" style="1887" customWidth="1"/>
    <col min="2" max="2" width="22.8516" style="1887" customWidth="1"/>
    <col min="3" max="3" width="6.85156" style="1887" customWidth="1"/>
    <col min="4" max="4" width="22.8516" style="1887" customWidth="1"/>
    <col min="5" max="5" width="6.85156" style="1887" customWidth="1"/>
    <col min="6" max="6" width="18.8516" style="1887" customWidth="1"/>
    <col min="7" max="7" width="6.35156" style="1887" customWidth="1"/>
    <col min="8" max="8" width="18.8516" style="1887" customWidth="1"/>
    <col min="9" max="9" width="6.67188" style="1887" customWidth="1"/>
    <col min="10" max="10" width="18.8516" style="1887" customWidth="1"/>
    <col min="11" max="11" width="6.35156" style="1887" customWidth="1"/>
    <col min="12" max="12" width="18.8516" style="1887" customWidth="1"/>
    <col min="13" max="13" width="6.35156" style="1887" customWidth="1"/>
    <col min="14" max="14" width="18.8516" style="1887" customWidth="1"/>
    <col min="15" max="15" width="6.35156" style="1887" customWidth="1"/>
    <col min="16" max="16" width="18.8516" style="1887" customWidth="1"/>
    <col min="17" max="17" width="6.35156" style="1887" customWidth="1"/>
    <col min="18" max="18" width="18.6719" style="1887" customWidth="1"/>
    <col min="19" max="19" width="6.17188" style="1887" customWidth="1"/>
    <col min="20" max="20" width="19.1719" style="1887" customWidth="1"/>
    <col min="21" max="21" width="6.35156" style="1887" customWidth="1"/>
    <col min="22" max="22" width="18.5" style="1887" customWidth="1"/>
    <col min="23" max="23" width="6.35156" style="1887" customWidth="1"/>
    <col min="24" max="24" width="18.1719" style="1887" customWidth="1"/>
    <col min="25" max="25" width="6.35156" style="1887" customWidth="1"/>
    <col min="26" max="26" width="21.6719" style="1887" customWidth="1"/>
    <col min="27" max="27" width="6.35156" style="1887" customWidth="1"/>
    <col min="28" max="28" width="7.17188" style="1887" customWidth="1"/>
    <col min="29" max="39" width="9.17188" style="1887" customWidth="1"/>
    <col min="40" max="16384" width="9.17188" style="1887" customWidth="1"/>
  </cols>
  <sheetData>
    <row r="1" ht="13.5" customHeight="1">
      <c r="A1" t="s" s="1888">
        <v>3984</v>
      </c>
      <c r="B1" s="1889"/>
      <c r="C1" s="1889"/>
      <c r="D1" s="1889"/>
      <c r="E1" s="1889"/>
      <c r="F1" s="1889"/>
      <c r="G1" s="1889"/>
      <c r="H1" s="1889"/>
      <c r="I1" s="1889"/>
      <c r="J1" s="1889"/>
      <c r="K1" s="1889"/>
      <c r="L1" s="1889"/>
      <c r="M1" s="1889"/>
      <c r="N1" s="1889"/>
      <c r="O1" s="1889"/>
      <c r="P1" s="1889"/>
      <c r="Q1" s="1889"/>
      <c r="R1" s="1889"/>
      <c r="S1" s="1889"/>
      <c r="T1" s="1889"/>
      <c r="U1" s="1889"/>
      <c r="V1" s="1889"/>
      <c r="W1" s="1889"/>
      <c r="X1" s="1889"/>
      <c r="Y1" s="1889"/>
      <c r="Z1" s="1889"/>
      <c r="AA1" s="1889"/>
      <c r="AB1" s="1889"/>
      <c r="AC1" s="1889"/>
      <c r="AD1" s="1889"/>
      <c r="AE1" s="1889"/>
      <c r="AF1" s="1889"/>
      <c r="AG1" s="1889"/>
      <c r="AH1" s="1889"/>
      <c r="AI1" s="1889"/>
      <c r="AJ1" s="1889"/>
      <c r="AK1" s="1889"/>
      <c r="AL1" s="1889"/>
      <c r="AM1" s="1890"/>
    </row>
    <row r="2" ht="13.5" customHeight="1">
      <c r="A2" t="s" s="1891">
        <v>3985</v>
      </c>
      <c r="B2" s="1652"/>
      <c r="C2" s="1652"/>
      <c r="D2" s="1652"/>
      <c r="E2" s="1652"/>
      <c r="F2" s="1652"/>
      <c r="G2" s="1652"/>
      <c r="H2" s="1652"/>
      <c r="I2" s="1652"/>
      <c r="J2" s="1652"/>
      <c r="K2" s="1652"/>
      <c r="L2" s="1652"/>
      <c r="M2" s="1652"/>
      <c r="N2" s="1652"/>
      <c r="O2" s="1652"/>
      <c r="P2" s="1652"/>
      <c r="Q2" s="1652"/>
      <c r="R2" s="1652"/>
      <c r="S2" s="1652"/>
      <c r="T2" s="1652"/>
      <c r="U2" s="1652"/>
      <c r="V2" s="1652"/>
      <c r="W2" s="1652"/>
      <c r="X2" s="1652"/>
      <c r="Y2" s="1652"/>
      <c r="Z2" s="1652"/>
      <c r="AA2" s="1652"/>
      <c r="AB2" s="1652"/>
      <c r="AC2" s="1652"/>
      <c r="AD2" s="1652"/>
      <c r="AE2" s="1652"/>
      <c r="AF2" s="1652"/>
      <c r="AG2" s="1652"/>
      <c r="AH2" s="1652"/>
      <c r="AI2" s="1652"/>
      <c r="AJ2" s="1652"/>
      <c r="AK2" s="1652"/>
      <c r="AL2" s="1652"/>
      <c r="AM2" s="1654"/>
    </row>
    <row r="3" ht="13.5" customHeight="1">
      <c r="A3" s="1657"/>
      <c r="B3" t="s" s="1892">
        <v>3986</v>
      </c>
      <c r="C3" s="1893"/>
      <c r="D3" s="1894">
        <v>44958</v>
      </c>
      <c r="E3" s="1893"/>
      <c r="F3" s="1894">
        <v>44986</v>
      </c>
      <c r="G3" s="1893"/>
      <c r="H3" s="1894">
        <v>45017</v>
      </c>
      <c r="I3" s="1893"/>
      <c r="J3" s="1894">
        <v>45047</v>
      </c>
      <c r="K3" s="1893"/>
      <c r="L3" s="1894">
        <v>45078</v>
      </c>
      <c r="M3" s="1893"/>
      <c r="N3" s="1894">
        <v>45108</v>
      </c>
      <c r="O3" s="1895"/>
      <c r="P3" s="1894">
        <v>45139</v>
      </c>
      <c r="Q3" s="1895"/>
      <c r="R3" s="1894">
        <v>45170</v>
      </c>
      <c r="S3" s="1895"/>
      <c r="T3" s="1894">
        <v>45200</v>
      </c>
      <c r="U3" s="1895"/>
      <c r="V3" s="1894">
        <v>45231</v>
      </c>
      <c r="W3" s="1895"/>
      <c r="X3" s="1894">
        <v>45261</v>
      </c>
      <c r="Y3" s="1895"/>
      <c r="Z3" t="s" s="1892">
        <v>890</v>
      </c>
      <c r="AA3" s="1896"/>
      <c r="AB3" s="1896"/>
      <c r="AC3" s="1652"/>
      <c r="AD3" s="1652"/>
      <c r="AE3" s="1652"/>
      <c r="AF3" s="1652"/>
      <c r="AG3" s="1652"/>
      <c r="AH3" s="1652"/>
      <c r="AI3" s="1652"/>
      <c r="AJ3" s="1652"/>
      <c r="AK3" s="1652"/>
      <c r="AL3" s="1652"/>
      <c r="AM3" s="1654"/>
    </row>
    <row r="4" ht="13.5" customHeight="1">
      <c r="A4" t="s" s="1897">
        <v>546</v>
      </c>
      <c r="B4" s="1898"/>
      <c r="C4" s="1895"/>
      <c r="D4" s="1898"/>
      <c r="E4" s="1895"/>
      <c r="F4" s="1898"/>
      <c r="G4" s="1895"/>
      <c r="H4" s="1898"/>
      <c r="I4" s="1895"/>
      <c r="J4" s="1898"/>
      <c r="K4" s="1895"/>
      <c r="L4" s="1898"/>
      <c r="M4" s="1895"/>
      <c r="N4" s="1898"/>
      <c r="O4" s="1895"/>
      <c r="P4" s="1898"/>
      <c r="Q4" s="1895"/>
      <c r="R4" s="1898"/>
      <c r="S4" s="1895"/>
      <c r="T4" s="1898"/>
      <c r="U4" s="1895"/>
      <c r="V4" s="1898"/>
      <c r="W4" s="1895"/>
      <c r="X4" s="1898"/>
      <c r="Y4" s="1895"/>
      <c r="Z4" s="1898"/>
      <c r="AA4" s="1899"/>
      <c r="AB4" s="1899"/>
      <c r="AC4" s="1652"/>
      <c r="AD4" s="1652"/>
      <c r="AE4" s="1652"/>
      <c r="AF4" s="1652"/>
      <c r="AG4" s="1652"/>
      <c r="AH4" s="1652"/>
      <c r="AI4" s="1652"/>
      <c r="AJ4" s="1652"/>
      <c r="AK4" s="1652"/>
      <c r="AL4" s="1652"/>
      <c r="AM4" s="1654"/>
    </row>
    <row r="5" ht="13.5" customHeight="1">
      <c r="A5" t="s" s="1900">
        <v>3839</v>
      </c>
      <c r="B5" s="1901">
        <v>222969.37</v>
      </c>
      <c r="C5" s="1895"/>
      <c r="D5" s="1901">
        <v>324670</v>
      </c>
      <c r="E5" s="1895"/>
      <c r="F5" s="1901">
        <v>186812.01</v>
      </c>
      <c r="G5" s="1895"/>
      <c r="H5" s="1901">
        <v>172627</v>
      </c>
      <c r="I5" s="1895"/>
      <c r="J5" s="1901">
        <v>254909</v>
      </c>
      <c r="K5" s="1895"/>
      <c r="L5" s="1901">
        <v>267571</v>
      </c>
      <c r="M5" s="1895"/>
      <c r="N5" s="1901">
        <v>264172</v>
      </c>
      <c r="O5" s="1895"/>
      <c r="P5" s="1901">
        <v>204293</v>
      </c>
      <c r="Q5" s="1895"/>
      <c r="R5" s="1901">
        <v>1699837</v>
      </c>
      <c r="S5" s="1895"/>
      <c r="T5" s="1901">
        <v>203359</v>
      </c>
      <c r="U5" s="1895"/>
      <c r="V5" s="1901">
        <v>298552</v>
      </c>
      <c r="W5" s="1895"/>
      <c r="X5" s="1901">
        <v>114211.06</v>
      </c>
      <c r="Y5" s="1895"/>
      <c r="Z5" s="1653" cm="1">
        <f t="array" ref="Z5">SUM(B5:X5)</f>
        <v>4213982.44</v>
      </c>
      <c r="AA5" s="1899"/>
      <c r="AB5" s="1899"/>
      <c r="AC5" s="1652"/>
      <c r="AD5" s="1652"/>
      <c r="AE5" s="1652"/>
      <c r="AF5" s="1652"/>
      <c r="AG5" s="1652"/>
      <c r="AH5" s="1652"/>
      <c r="AI5" s="1652"/>
      <c r="AJ5" s="1652"/>
      <c r="AK5" s="1652"/>
      <c r="AL5" s="1652"/>
      <c r="AM5" s="1654"/>
    </row>
    <row r="6" ht="13.5" customHeight="1">
      <c r="A6" t="s" s="1900">
        <v>3987</v>
      </c>
      <c r="B6" s="1901">
        <v>10000000</v>
      </c>
      <c r="C6" s="1895"/>
      <c r="D6" s="1901"/>
      <c r="E6" s="1895"/>
      <c r="F6" s="1901">
        <v>30150000</v>
      </c>
      <c r="G6" s="1895"/>
      <c r="H6" s="1901"/>
      <c r="I6" s="1895"/>
      <c r="J6" s="1901">
        <v>190744500</v>
      </c>
      <c r="K6" s="1895"/>
      <c r="L6" s="1901">
        <v>349611500</v>
      </c>
      <c r="M6" s="1895"/>
      <c r="N6" s="1901" cm="1">
        <f t="array" ref="N6">194126250+99750000</f>
        <v>293876250</v>
      </c>
      <c r="O6" s="1895"/>
      <c r="P6" s="1901">
        <v>224970000</v>
      </c>
      <c r="Q6" s="1895"/>
      <c r="R6" s="1901">
        <v>234798000</v>
      </c>
      <c r="S6" s="1895"/>
      <c r="T6" s="1901">
        <v>252049500</v>
      </c>
      <c r="U6" s="1895"/>
      <c r="V6" s="1901">
        <v>248270000</v>
      </c>
      <c r="W6" s="1895"/>
      <c r="X6" s="1901">
        <v>268673230</v>
      </c>
      <c r="Y6" s="1895"/>
      <c r="Z6" s="1653" cm="1">
        <f t="array" ref="Z6">SUM(B6:X6)</f>
        <v>2103142980</v>
      </c>
      <c r="AA6" s="1899"/>
      <c r="AB6" s="1899"/>
      <c r="AC6" s="1652"/>
      <c r="AD6" s="1652"/>
      <c r="AE6" s="1652"/>
      <c r="AF6" s="1652"/>
      <c r="AG6" s="1652"/>
      <c r="AH6" s="1652"/>
      <c r="AI6" s="1652"/>
      <c r="AJ6" s="1652"/>
      <c r="AK6" s="1652"/>
      <c r="AL6" s="1652"/>
      <c r="AM6" s="1654"/>
    </row>
    <row r="7" ht="13.5" customHeight="1">
      <c r="A7" t="s" s="1900">
        <v>3988</v>
      </c>
      <c r="B7" s="1901">
        <v>599361172</v>
      </c>
      <c r="C7" s="1895"/>
      <c r="D7" s="1901">
        <v>518199155</v>
      </c>
      <c r="E7" s="1895"/>
      <c r="F7" s="1901">
        <v>808674799</v>
      </c>
      <c r="G7" s="1895"/>
      <c r="H7" s="1901">
        <v>1151818563</v>
      </c>
      <c r="I7" s="1895"/>
      <c r="J7" s="1901">
        <v>1493052810</v>
      </c>
      <c r="K7" s="1895"/>
      <c r="L7" s="1901">
        <v>1507545566</v>
      </c>
      <c r="M7" s="1895"/>
      <c r="N7" s="1901">
        <v>1443495354</v>
      </c>
      <c r="O7" s="1895"/>
      <c r="P7" s="1901">
        <v>1850357063</v>
      </c>
      <c r="Q7" s="1895"/>
      <c r="R7" s="1901">
        <v>1579795000</v>
      </c>
      <c r="S7" s="1895"/>
      <c r="T7" s="1901" cm="1">
        <f t="array" ref="T7">1343081686-203178601</f>
        <v>1139903085</v>
      </c>
      <c r="U7" s="1895"/>
      <c r="V7" s="1901">
        <v>967425723</v>
      </c>
      <c r="W7" s="1895"/>
      <c r="X7" s="1901">
        <v>1912999294</v>
      </c>
      <c r="Y7" s="1895"/>
      <c r="Z7" s="1653" cm="1">
        <f t="array" ref="Z7">SUM(B7:X7)</f>
        <v>14972627584</v>
      </c>
      <c r="AA7" s="1899"/>
      <c r="AB7" s="1899"/>
      <c r="AC7" s="1652"/>
      <c r="AD7" s="1652"/>
      <c r="AE7" s="1652"/>
      <c r="AF7" s="1652"/>
      <c r="AG7" s="1652"/>
      <c r="AH7" s="1652"/>
      <c r="AI7" s="1652"/>
      <c r="AJ7" s="1652"/>
      <c r="AK7" s="1652"/>
      <c r="AL7" s="1652"/>
      <c r="AM7" s="1654"/>
    </row>
    <row r="8" ht="13.5" customHeight="1">
      <c r="A8" t="s" s="1900">
        <v>3989</v>
      </c>
      <c r="B8" s="1901"/>
      <c r="C8" s="1895"/>
      <c r="D8" s="1901"/>
      <c r="E8" s="1895"/>
      <c r="F8" s="1901"/>
      <c r="G8" s="1895"/>
      <c r="H8" s="1901">
        <v>400000</v>
      </c>
      <c r="I8" s="1895"/>
      <c r="J8" s="1901">
        <v>18607965</v>
      </c>
      <c r="K8" s="1895"/>
      <c r="L8" s="1901">
        <v>28050000</v>
      </c>
      <c r="M8" s="1895"/>
      <c r="N8" s="1901">
        <v>22600000</v>
      </c>
      <c r="O8" s="1895"/>
      <c r="P8" s="1901">
        <v>26300000</v>
      </c>
      <c r="Q8" s="1895"/>
      <c r="R8" s="1901">
        <v>22850000</v>
      </c>
      <c r="S8" s="1895"/>
      <c r="T8" s="1901">
        <v>31235000</v>
      </c>
      <c r="U8" s="1895"/>
      <c r="V8" s="1901">
        <v>19700000</v>
      </c>
      <c r="W8" s="1895"/>
      <c r="X8" s="1901">
        <v>24762000</v>
      </c>
      <c r="Y8" s="1895"/>
      <c r="Z8" s="1653" cm="1">
        <f t="array" ref="Z8">SUM(B8:X8)</f>
        <v>194504965</v>
      </c>
      <c r="AA8" s="1899"/>
      <c r="AB8" s="1899"/>
      <c r="AC8" s="1652"/>
      <c r="AD8" s="1652"/>
      <c r="AE8" s="1652"/>
      <c r="AF8" s="1652"/>
      <c r="AG8" s="1652"/>
      <c r="AH8" s="1652"/>
      <c r="AI8" s="1652"/>
      <c r="AJ8" s="1652"/>
      <c r="AK8" s="1652"/>
      <c r="AL8" s="1652"/>
      <c r="AM8" s="1654"/>
    </row>
    <row r="9" ht="13.5" customHeight="1">
      <c r="A9" t="s" s="1900">
        <v>3990</v>
      </c>
      <c r="B9" s="1901"/>
      <c r="C9" s="1895"/>
      <c r="D9" s="1901"/>
      <c r="E9" s="1895"/>
      <c r="F9" s="1901"/>
      <c r="G9" s="1895"/>
      <c r="H9" s="1901">
        <v>4400000</v>
      </c>
      <c r="I9" s="1895"/>
      <c r="J9" s="1901">
        <v>8600000</v>
      </c>
      <c r="K9" s="1895"/>
      <c r="L9" s="1901">
        <v>6830410</v>
      </c>
      <c r="M9" s="1895"/>
      <c r="N9" s="1901">
        <v>3600000</v>
      </c>
      <c r="O9" s="1895"/>
      <c r="P9" s="1901"/>
      <c r="Q9" s="1895"/>
      <c r="R9" s="1901"/>
      <c r="S9" s="1895"/>
      <c r="T9" s="1901"/>
      <c r="U9" s="1895"/>
      <c r="V9" s="1901"/>
      <c r="W9" s="1895"/>
      <c r="X9" s="1901"/>
      <c r="Y9" s="1895"/>
      <c r="Z9" s="1653" cm="1">
        <f t="array" ref="Z9">SUM(B9:X9)</f>
        <v>23430410</v>
      </c>
      <c r="AA9" s="1899"/>
      <c r="AB9" s="1899"/>
      <c r="AC9" s="1652"/>
      <c r="AD9" s="1652"/>
      <c r="AE9" s="1652"/>
      <c r="AF9" s="1652"/>
      <c r="AG9" s="1652"/>
      <c r="AH9" s="1652"/>
      <c r="AI9" s="1652"/>
      <c r="AJ9" s="1652"/>
      <c r="AK9" s="1652"/>
      <c r="AL9" s="1652"/>
      <c r="AM9" s="1654"/>
    </row>
    <row r="10" ht="13.5" customHeight="1">
      <c r="A10" t="s" s="1900">
        <v>3991</v>
      </c>
      <c r="B10" s="1901"/>
      <c r="C10" s="1895"/>
      <c r="D10" s="1901"/>
      <c r="E10" s="1895"/>
      <c r="F10" s="1901">
        <v>115200000</v>
      </c>
      <c r="G10" s="1895"/>
      <c r="H10" s="1901">
        <v>351778079</v>
      </c>
      <c r="I10" s="1895"/>
      <c r="J10" s="1901">
        <v>301104000</v>
      </c>
      <c r="K10" s="1895"/>
      <c r="L10" s="1901">
        <v>301776424</v>
      </c>
      <c r="M10" s="1895"/>
      <c r="N10" s="1901">
        <v>409552000</v>
      </c>
      <c r="O10" s="1895"/>
      <c r="P10" s="1901">
        <v>481705000</v>
      </c>
      <c r="Q10" s="1895"/>
      <c r="R10" s="1901">
        <v>270619500</v>
      </c>
      <c r="S10" s="1895"/>
      <c r="T10" s="1901">
        <v>348160000</v>
      </c>
      <c r="U10" s="1895"/>
      <c r="V10" s="1901">
        <v>109660000</v>
      </c>
      <c r="W10" s="1895"/>
      <c r="X10" s="1901">
        <v>236625000</v>
      </c>
      <c r="Y10" s="1895"/>
      <c r="Z10" s="1653" cm="1">
        <f t="array" ref="Z10">SUM(B10:X10)</f>
        <v>2926180003</v>
      </c>
      <c r="AA10" s="1899"/>
      <c r="AB10" s="1899"/>
      <c r="AC10" s="1652"/>
      <c r="AD10" s="1652"/>
      <c r="AE10" s="1652"/>
      <c r="AF10" s="1652"/>
      <c r="AG10" s="1652"/>
      <c r="AH10" s="1652"/>
      <c r="AI10" s="1652"/>
      <c r="AJ10" s="1652"/>
      <c r="AK10" s="1652"/>
      <c r="AL10" s="1652"/>
      <c r="AM10" s="1654"/>
    </row>
    <row r="11" ht="13.5" customHeight="1">
      <c r="A11" t="s" s="1900">
        <v>3992</v>
      </c>
      <c r="B11" s="1901"/>
      <c r="C11" s="1895"/>
      <c r="D11" s="1901">
        <v>58350000</v>
      </c>
      <c r="E11" s="1895"/>
      <c r="F11" s="1901">
        <v>148050000</v>
      </c>
      <c r="G11" s="1895"/>
      <c r="H11" s="1901">
        <v>269907500</v>
      </c>
      <c r="I11" s="1895"/>
      <c r="J11" s="1901">
        <v>378045000</v>
      </c>
      <c r="K11" s="1895"/>
      <c r="L11" s="1901">
        <v>350892389</v>
      </c>
      <c r="M11" s="1895"/>
      <c r="N11" s="1901">
        <v>771444333</v>
      </c>
      <c r="O11" s="1895"/>
      <c r="P11" s="1901">
        <v>345925000</v>
      </c>
      <c r="Q11" s="1895"/>
      <c r="R11" s="1901">
        <v>259269500</v>
      </c>
      <c r="S11" s="1895"/>
      <c r="T11" s="1901">
        <v>373286750</v>
      </c>
      <c r="U11" s="1895"/>
      <c r="V11" s="1901">
        <v>245632260</v>
      </c>
      <c r="W11" s="1895"/>
      <c r="X11" s="1901">
        <v>141143000</v>
      </c>
      <c r="Y11" s="1895"/>
      <c r="Z11" s="1653" cm="1">
        <f t="array" ref="Z11">SUM(B11:X11)</f>
        <v>3341945732</v>
      </c>
      <c r="AA11" s="1899"/>
      <c r="AB11" s="1899"/>
      <c r="AC11" s="1652"/>
      <c r="AD11" s="1652"/>
      <c r="AE11" s="1652"/>
      <c r="AF11" s="1652"/>
      <c r="AG11" s="1652"/>
      <c r="AH11" s="1652"/>
      <c r="AI11" s="1652"/>
      <c r="AJ11" s="1652"/>
      <c r="AK11" s="1652"/>
      <c r="AL11" s="1652"/>
      <c r="AM11" s="1654"/>
    </row>
    <row r="12" ht="13.5" customHeight="1">
      <c r="A12" t="s" s="1900">
        <v>3993</v>
      </c>
      <c r="B12" s="1901">
        <v>482031651.82</v>
      </c>
      <c r="C12" s="1895"/>
      <c r="D12" s="1901">
        <v>318561972</v>
      </c>
      <c r="E12" s="1895"/>
      <c r="F12" s="1901">
        <v>468120000</v>
      </c>
      <c r="G12" s="1895"/>
      <c r="H12" s="1901">
        <v>1034993932</v>
      </c>
      <c r="I12" s="1895"/>
      <c r="J12" s="1901">
        <v>1145368000</v>
      </c>
      <c r="K12" s="1895"/>
      <c r="L12" s="1901">
        <v>1186891000</v>
      </c>
      <c r="M12" s="1895"/>
      <c r="N12" s="1901">
        <v>601492000</v>
      </c>
      <c r="O12" s="1895"/>
      <c r="P12" s="1901">
        <v>1133546000</v>
      </c>
      <c r="Q12" s="1895"/>
      <c r="R12" s="1901">
        <v>1370809008</v>
      </c>
      <c r="S12" s="1895"/>
      <c r="T12" s="1901">
        <v>1189547002</v>
      </c>
      <c r="U12" s="1895"/>
      <c r="V12" s="1901">
        <v>834303000</v>
      </c>
      <c r="W12" s="1895"/>
      <c r="X12" s="1901">
        <v>870004800</v>
      </c>
      <c r="Y12" s="1895"/>
      <c r="Z12" s="1653" cm="1">
        <f t="array" ref="Z12">SUM(B12:X12)</f>
        <v>10635668365.82</v>
      </c>
      <c r="AA12" s="1899"/>
      <c r="AB12" s="1899"/>
      <c r="AC12" s="1652"/>
      <c r="AD12" s="1652"/>
      <c r="AE12" s="1652"/>
      <c r="AF12" s="1652"/>
      <c r="AG12" s="1652"/>
      <c r="AH12" s="1652"/>
      <c r="AI12" s="1652"/>
      <c r="AJ12" s="1652"/>
      <c r="AK12" s="1652"/>
      <c r="AL12" s="1652"/>
      <c r="AM12" s="1654"/>
    </row>
    <row r="13" ht="13.5" customHeight="1">
      <c r="A13" t="s" s="1900">
        <v>3994</v>
      </c>
      <c r="B13" s="1901">
        <v>123100000</v>
      </c>
      <c r="C13" s="1895"/>
      <c r="D13" s="1901"/>
      <c r="E13" s="1895"/>
      <c r="F13" s="1901"/>
      <c r="G13" s="1895"/>
      <c r="H13" s="1901">
        <v>245250000</v>
      </c>
      <c r="I13" s="1895"/>
      <c r="J13" s="1901">
        <v>320183103</v>
      </c>
      <c r="K13" s="1895"/>
      <c r="L13" s="1901">
        <v>335609235</v>
      </c>
      <c r="M13" s="1895"/>
      <c r="N13" s="1901">
        <v>567412787</v>
      </c>
      <c r="O13" s="1895"/>
      <c r="P13" s="1901">
        <v>431212500</v>
      </c>
      <c r="Q13" s="1895"/>
      <c r="R13" s="1901">
        <v>422075000</v>
      </c>
      <c r="S13" s="1895"/>
      <c r="T13" s="1901">
        <v>531505000</v>
      </c>
      <c r="U13" s="1895"/>
      <c r="V13" s="1901">
        <v>533274000</v>
      </c>
      <c r="W13" s="1895"/>
      <c r="X13" s="1901">
        <v>-12115000</v>
      </c>
      <c r="Y13" s="1895"/>
      <c r="Z13" s="1653" cm="1">
        <f t="array" ref="Z13">SUM(B13:X13)</f>
        <v>3497506625</v>
      </c>
      <c r="AA13" s="1899"/>
      <c r="AB13" s="1899"/>
      <c r="AC13" s="1652"/>
      <c r="AD13" s="1652"/>
      <c r="AE13" s="1652"/>
      <c r="AF13" s="1652"/>
      <c r="AG13" s="1652"/>
      <c r="AH13" s="1652"/>
      <c r="AI13" s="1652"/>
      <c r="AJ13" s="1652"/>
      <c r="AK13" s="1652"/>
      <c r="AL13" s="1652"/>
      <c r="AM13" s="1654"/>
    </row>
    <row r="14" ht="13.5" customHeight="1">
      <c r="A14" t="s" s="1900">
        <v>3995</v>
      </c>
      <c r="B14" s="1901">
        <v>22000000</v>
      </c>
      <c r="C14" s="1895"/>
      <c r="D14" s="1901">
        <v>189117622</v>
      </c>
      <c r="E14" s="1895"/>
      <c r="F14" s="1901">
        <v>256710000</v>
      </c>
      <c r="G14" s="1895"/>
      <c r="H14" s="1901">
        <v>282140000</v>
      </c>
      <c r="I14" s="1895"/>
      <c r="J14" s="1901">
        <v>236709000</v>
      </c>
      <c r="K14" s="1895"/>
      <c r="L14" s="1901">
        <v>307514000</v>
      </c>
      <c r="M14" s="1895"/>
      <c r="N14" s="1901">
        <v>317220000</v>
      </c>
      <c r="O14" s="1895"/>
      <c r="P14" s="1901">
        <v>312160000</v>
      </c>
      <c r="Q14" s="1895"/>
      <c r="R14" s="1901"/>
      <c r="S14" s="1895"/>
      <c r="T14" s="1901">
        <v>12023678</v>
      </c>
      <c r="U14" s="1895"/>
      <c r="V14" s="1901"/>
      <c r="W14" s="1895"/>
      <c r="X14" s="1901"/>
      <c r="Y14" s="1895"/>
      <c r="Z14" s="1653" cm="1">
        <f t="array" ref="Z14">SUM(B14:X14)</f>
        <v>1935594300</v>
      </c>
      <c r="AA14" s="1899"/>
      <c r="AB14" s="1899"/>
      <c r="AC14" s="1652"/>
      <c r="AD14" s="1652"/>
      <c r="AE14" s="1652"/>
      <c r="AF14" s="1652"/>
      <c r="AG14" s="1652"/>
      <c r="AH14" s="1652"/>
      <c r="AI14" s="1652"/>
      <c r="AJ14" s="1652"/>
      <c r="AK14" s="1652"/>
      <c r="AL14" s="1652"/>
      <c r="AM14" s="1654"/>
    </row>
    <row r="15" ht="13.5" customHeight="1">
      <c r="A15" t="s" s="1900">
        <v>3996</v>
      </c>
      <c r="B15" s="1901"/>
      <c r="C15" s="1895"/>
      <c r="D15" s="1901"/>
      <c r="E15" s="1895"/>
      <c r="F15" s="1901"/>
      <c r="G15" s="1895"/>
      <c r="H15" s="1901"/>
      <c r="I15" s="1895"/>
      <c r="J15" s="1901"/>
      <c r="K15" s="1895"/>
      <c r="L15" s="1901"/>
      <c r="M15" s="1895"/>
      <c r="N15" s="1901">
        <v>15700000</v>
      </c>
      <c r="O15" s="1895"/>
      <c r="P15" s="1901">
        <v>85350000</v>
      </c>
      <c r="Q15" s="1895"/>
      <c r="R15" s="1901">
        <v>143827000</v>
      </c>
      <c r="S15" s="1895"/>
      <c r="T15" s="1901">
        <v>203178601</v>
      </c>
      <c r="U15" s="1895"/>
      <c r="V15" s="1901"/>
      <c r="W15" s="1895"/>
      <c r="X15" s="1901"/>
      <c r="Y15" s="1895"/>
      <c r="Z15" s="1653" cm="1">
        <f t="array" ref="Z15">SUM(B15:X15)</f>
        <v>448055601</v>
      </c>
      <c r="AA15" s="1899"/>
      <c r="AB15" s="1899"/>
      <c r="AC15" s="1652"/>
      <c r="AD15" s="1652"/>
      <c r="AE15" s="1652"/>
      <c r="AF15" s="1652"/>
      <c r="AG15" s="1652"/>
      <c r="AH15" s="1652"/>
      <c r="AI15" s="1652"/>
      <c r="AJ15" s="1652"/>
      <c r="AK15" s="1652"/>
      <c r="AL15" s="1652"/>
      <c r="AM15" s="1654"/>
    </row>
    <row r="16" ht="13.5" customHeight="1">
      <c r="A16" t="s" s="1900">
        <v>3997</v>
      </c>
      <c r="B16" s="1901"/>
      <c r="C16" s="1895"/>
      <c r="D16" s="1901"/>
      <c r="E16" s="1895"/>
      <c r="F16" s="1901"/>
      <c r="G16" s="1895"/>
      <c r="H16" s="1901"/>
      <c r="I16" s="1895"/>
      <c r="J16" s="1901">
        <v>5813010</v>
      </c>
      <c r="K16" s="1895"/>
      <c r="L16" s="1901">
        <v>4818736</v>
      </c>
      <c r="M16" s="1895"/>
      <c r="N16" s="1901">
        <v>71320000</v>
      </c>
      <c r="O16" s="1895"/>
      <c r="P16" s="1901">
        <v>72835935</v>
      </c>
      <c r="Q16" s="1895"/>
      <c r="R16" s="1901">
        <v>80317766</v>
      </c>
      <c r="S16" s="1895"/>
      <c r="T16" s="1901">
        <v>30540743</v>
      </c>
      <c r="U16" s="1895"/>
      <c r="V16" s="1901">
        <v>21413737</v>
      </c>
      <c r="W16" s="1895"/>
      <c r="X16" s="1901">
        <v>84185988</v>
      </c>
      <c r="Y16" s="1895"/>
      <c r="Z16" s="1653" cm="1">
        <f t="array" ref="Z16">SUM(B16:X16)</f>
        <v>371245915</v>
      </c>
      <c r="AA16" s="1899"/>
      <c r="AB16" s="1899"/>
      <c r="AC16" s="1652"/>
      <c r="AD16" s="1652"/>
      <c r="AE16" s="1652"/>
      <c r="AF16" s="1652"/>
      <c r="AG16" s="1652"/>
      <c r="AH16" s="1652"/>
      <c r="AI16" s="1652"/>
      <c r="AJ16" s="1652"/>
      <c r="AK16" s="1652"/>
      <c r="AL16" s="1652"/>
      <c r="AM16" s="1654"/>
    </row>
    <row r="17" ht="13.5" customHeight="1">
      <c r="A17" t="s" s="1897">
        <v>3998</v>
      </c>
      <c r="B17" s="1898" cm="1">
        <f t="array" ref="B17">SUM(B5:B16)</f>
        <v>1236715793.19</v>
      </c>
      <c r="C17" s="1895"/>
      <c r="D17" s="1898" cm="1">
        <f t="array" ref="D17">SUM(D5:D16)</f>
        <v>1084553419</v>
      </c>
      <c r="E17" s="1895"/>
      <c r="F17" s="1898" cm="1">
        <f t="array" ref="F17">SUM(F5:F16)</f>
        <v>1827091611.01</v>
      </c>
      <c r="G17" s="1895"/>
      <c r="H17" s="1898" cm="1">
        <f t="array" ref="H17">SUM(H5:H16)</f>
        <v>3340860701</v>
      </c>
      <c r="I17" s="1895"/>
      <c r="J17" s="1898" cm="1">
        <f t="array" ref="J17">SUM(J5:J16)</f>
        <v>4098482297</v>
      </c>
      <c r="K17" s="1895"/>
      <c r="L17" s="1898" cm="1">
        <f t="array" ref="L17">SUM(L5:L16)</f>
        <v>4379806831</v>
      </c>
      <c r="M17" s="1895"/>
      <c r="N17" s="1898" cm="1">
        <f t="array" ref="N17">SUM(N5:N16)</f>
        <v>4517976896</v>
      </c>
      <c r="O17" s="1895"/>
      <c r="P17" s="1898" cm="1">
        <f t="array" ref="P17">SUM(P5:P16)</f>
        <v>4964565791</v>
      </c>
      <c r="Q17" s="1895"/>
      <c r="R17" s="1898" cm="1">
        <f t="array" ref="R17">SUM(R5:R16)</f>
        <v>4386060611</v>
      </c>
      <c r="S17" s="1895"/>
      <c r="T17" s="1898" cm="1">
        <f t="array" ref="T17">SUM(T5:T16)</f>
        <v>4111632718</v>
      </c>
      <c r="U17" s="1895"/>
      <c r="V17" s="1898" cm="1">
        <f t="array" ref="V17">SUM(V5:V16)</f>
        <v>2979977272</v>
      </c>
      <c r="W17" s="1895"/>
      <c r="X17" s="1898" cm="1">
        <f t="array" ref="X17">SUM(X5:X16)</f>
        <v>3526392523.06</v>
      </c>
      <c r="Y17" s="1895"/>
      <c r="Z17" s="1898" cm="1">
        <f t="array" ref="Z17">SUM(Z5:Z16)</f>
        <v>40454116463.26</v>
      </c>
      <c r="AA17" s="1899"/>
      <c r="AB17" s="1899"/>
      <c r="AC17" s="1652"/>
      <c r="AD17" s="1652"/>
      <c r="AE17" s="1652"/>
      <c r="AF17" s="1652"/>
      <c r="AG17" s="1652"/>
      <c r="AH17" s="1652"/>
      <c r="AI17" s="1652"/>
      <c r="AJ17" s="1652"/>
      <c r="AK17" s="1652"/>
      <c r="AL17" s="1652"/>
      <c r="AM17" s="1654"/>
    </row>
    <row r="18" ht="13.5" customHeight="1">
      <c r="A18" s="1902"/>
      <c r="B18" s="1652"/>
      <c r="C18" s="1903"/>
      <c r="D18" s="1652"/>
      <c r="E18" s="1903"/>
      <c r="F18" s="1652"/>
      <c r="G18" s="1903"/>
      <c r="H18" s="1904"/>
      <c r="I18" s="1903"/>
      <c r="J18" s="1653"/>
      <c r="K18" s="1903"/>
      <c r="L18" s="1904"/>
      <c r="M18" s="1903"/>
      <c r="N18" s="1904"/>
      <c r="O18" s="1903"/>
      <c r="P18" s="1904"/>
      <c r="Q18" s="1903"/>
      <c r="R18" s="1653"/>
      <c r="S18" s="1903"/>
      <c r="T18" s="1653"/>
      <c r="U18" s="1903"/>
      <c r="V18" s="1904"/>
      <c r="W18" s="1903"/>
      <c r="X18" s="1904"/>
      <c r="Y18" s="1903"/>
      <c r="Z18" s="1652"/>
      <c r="AA18" s="1652"/>
      <c r="AB18" s="1652"/>
      <c r="AC18" s="1652"/>
      <c r="AD18" s="1652"/>
      <c r="AE18" s="1652"/>
      <c r="AF18" s="1652"/>
      <c r="AG18" s="1652"/>
      <c r="AH18" s="1652"/>
      <c r="AI18" s="1652"/>
      <c r="AJ18" s="1652"/>
      <c r="AK18" s="1652"/>
      <c r="AL18" s="1652"/>
      <c r="AM18" s="1654"/>
    </row>
    <row r="19" ht="13.5" customHeight="1">
      <c r="A19" t="s" s="1897">
        <v>3999</v>
      </c>
      <c r="B19" s="1898"/>
      <c r="C19" s="1903"/>
      <c r="D19" s="1898"/>
      <c r="E19" s="1903"/>
      <c r="F19" s="1898"/>
      <c r="G19" s="1903"/>
      <c r="H19" s="1905"/>
      <c r="I19" s="1903"/>
      <c r="J19" s="1898"/>
      <c r="K19" s="1903"/>
      <c r="L19" s="1905"/>
      <c r="M19" s="1903"/>
      <c r="N19" s="1905"/>
      <c r="O19" s="1903"/>
      <c r="P19" s="1905"/>
      <c r="Q19" s="1903"/>
      <c r="R19" s="1898"/>
      <c r="S19" s="1903"/>
      <c r="T19" s="1898"/>
      <c r="U19" s="1903"/>
      <c r="V19" s="1905"/>
      <c r="W19" s="1903"/>
      <c r="X19" s="1905"/>
      <c r="Y19" s="1903"/>
      <c r="Z19" s="1898"/>
      <c r="AA19" s="1652"/>
      <c r="AB19" s="1652"/>
      <c r="AC19" s="1652"/>
      <c r="AD19" s="1652"/>
      <c r="AE19" s="1652"/>
      <c r="AF19" s="1652"/>
      <c r="AG19" s="1652"/>
      <c r="AH19" s="1652"/>
      <c r="AI19" s="1652"/>
      <c r="AJ19" s="1652"/>
      <c r="AK19" s="1652"/>
      <c r="AL19" s="1652"/>
      <c r="AM19" s="1654"/>
    </row>
    <row r="20" ht="13.5" customHeight="1">
      <c r="A20" t="s" s="1906">
        <v>4000</v>
      </c>
      <c r="B20" s="1901">
        <v>23500000</v>
      </c>
      <c r="C20" s="1903"/>
      <c r="D20" s="1653">
        <v>4700000</v>
      </c>
      <c r="E20" s="1903"/>
      <c r="F20" s="1653">
        <v>4700000</v>
      </c>
      <c r="G20" s="1903"/>
      <c r="H20" s="1904">
        <v>51700000</v>
      </c>
      <c r="I20" s="1903"/>
      <c r="J20" s="1653">
        <v>56400000</v>
      </c>
      <c r="K20" s="1903"/>
      <c r="L20" s="1904">
        <v>47000000</v>
      </c>
      <c r="M20" s="1903"/>
      <c r="N20" s="1904">
        <v>91100000</v>
      </c>
      <c r="O20" s="1903"/>
      <c r="P20" s="1904">
        <v>89300000</v>
      </c>
      <c r="Q20" s="1903"/>
      <c r="R20" s="1653">
        <v>51700000</v>
      </c>
      <c r="S20" s="1903"/>
      <c r="T20" s="1653">
        <v>31800000</v>
      </c>
      <c r="U20" s="1903"/>
      <c r="V20" s="1904">
        <v>11600000</v>
      </c>
      <c r="W20" s="1903"/>
      <c r="X20" s="1904">
        <v>53000000</v>
      </c>
      <c r="Y20" s="1903"/>
      <c r="Z20" s="1907" cm="1">
        <f t="array" ref="Z20">SUM(B20:X20)</f>
        <v>516500000</v>
      </c>
      <c r="AA20" s="1652"/>
      <c r="AB20" s="1652"/>
      <c r="AC20" s="1652"/>
      <c r="AD20" s="1652"/>
      <c r="AE20" s="1652"/>
      <c r="AF20" s="1652"/>
      <c r="AG20" s="1652"/>
      <c r="AH20" s="1652"/>
      <c r="AI20" s="1652"/>
      <c r="AJ20" s="1652"/>
      <c r="AK20" s="1652"/>
      <c r="AL20" s="1652"/>
      <c r="AM20" s="1654"/>
    </row>
    <row r="21" ht="13.5" customHeight="1">
      <c r="A21" t="s" s="1908">
        <v>4001</v>
      </c>
      <c r="B21" s="1901">
        <v>24600000</v>
      </c>
      <c r="C21" s="1899"/>
      <c r="D21" s="1904"/>
      <c r="E21" s="1899"/>
      <c r="F21" s="1904">
        <v>6000000</v>
      </c>
      <c r="G21" s="1899"/>
      <c r="H21" s="1904">
        <v>42500000</v>
      </c>
      <c r="I21" s="1899"/>
      <c r="J21" s="1904"/>
      <c r="K21" s="1899"/>
      <c r="L21" s="1904">
        <v>12500000</v>
      </c>
      <c r="M21" s="1899"/>
      <c r="N21" s="1904"/>
      <c r="O21" s="1899"/>
      <c r="P21" s="1904"/>
      <c r="Q21" s="1899"/>
      <c r="R21" s="1904"/>
      <c r="S21" s="1899"/>
      <c r="T21" s="1904"/>
      <c r="U21" s="1899"/>
      <c r="V21" s="1904"/>
      <c r="W21" s="1899"/>
      <c r="X21" s="1904"/>
      <c r="Y21" s="1899"/>
      <c r="Z21" s="1907" cm="1">
        <f t="array" ref="Z21">SUM(B21:X21)</f>
        <v>85600000</v>
      </c>
      <c r="AA21" s="1899"/>
      <c r="AB21" s="1899"/>
      <c r="AC21" s="1652"/>
      <c r="AD21" s="1652"/>
      <c r="AE21" s="1652"/>
      <c r="AF21" s="1652"/>
      <c r="AG21" s="1652"/>
      <c r="AH21" s="1652"/>
      <c r="AI21" s="1652"/>
      <c r="AJ21" s="1652"/>
      <c r="AK21" s="1652"/>
      <c r="AL21" s="1652"/>
      <c r="AM21" s="1654"/>
    </row>
    <row r="22" ht="13.5" customHeight="1">
      <c r="A22" t="s" s="1906">
        <v>4002</v>
      </c>
      <c r="B22" s="1901">
        <v>5300000</v>
      </c>
      <c r="C22" s="1899"/>
      <c r="D22" s="1904">
        <v>8400000</v>
      </c>
      <c r="E22" s="1899"/>
      <c r="F22" s="1904">
        <v>7500000</v>
      </c>
      <c r="G22" s="1899"/>
      <c r="H22" s="1904">
        <v>15500000</v>
      </c>
      <c r="I22" s="1899"/>
      <c r="J22" s="1904">
        <v>28700000</v>
      </c>
      <c r="K22" s="1899"/>
      <c r="L22" s="1904">
        <v>27200000</v>
      </c>
      <c r="M22" s="1899"/>
      <c r="N22" s="1904">
        <v>32100000</v>
      </c>
      <c r="O22" s="1899"/>
      <c r="P22" s="1904">
        <v>24500000</v>
      </c>
      <c r="Q22" s="1899"/>
      <c r="R22" s="1904">
        <v>17700000</v>
      </c>
      <c r="S22" s="1899"/>
      <c r="T22" s="1904">
        <v>26400000</v>
      </c>
      <c r="U22" s="1899"/>
      <c r="V22" s="1904">
        <v>4000000</v>
      </c>
      <c r="W22" s="1899"/>
      <c r="X22" s="1904">
        <v>25000000</v>
      </c>
      <c r="Y22" s="1899"/>
      <c r="Z22" s="1907" cm="1">
        <f t="array" ref="Z22">SUM(B22:X22)</f>
        <v>222300000</v>
      </c>
      <c r="AA22" s="1899"/>
      <c r="AB22" s="1899"/>
      <c r="AC22" s="1652"/>
      <c r="AD22" s="1652"/>
      <c r="AE22" s="1652"/>
      <c r="AF22" s="1652"/>
      <c r="AG22" s="1652"/>
      <c r="AH22" s="1652"/>
      <c r="AI22" s="1652"/>
      <c r="AJ22" s="1652"/>
      <c r="AK22" s="1652"/>
      <c r="AL22" s="1652"/>
      <c r="AM22" s="1654"/>
    </row>
    <row r="23" ht="13.5" customHeight="1">
      <c r="A23" t="s" s="1908">
        <v>4003</v>
      </c>
      <c r="B23" s="1901"/>
      <c r="C23" s="1899"/>
      <c r="D23" s="1904"/>
      <c r="E23" s="1899"/>
      <c r="F23" s="1904">
        <v>6500000</v>
      </c>
      <c r="G23" s="1899"/>
      <c r="H23" s="1904"/>
      <c r="I23" s="1899"/>
      <c r="J23" s="1904">
        <v>13600000</v>
      </c>
      <c r="K23" s="1899"/>
      <c r="L23" s="1904"/>
      <c r="M23" s="1899"/>
      <c r="N23" s="1904">
        <v>7000000</v>
      </c>
      <c r="O23" s="1899"/>
      <c r="P23" s="1904">
        <v>28000000</v>
      </c>
      <c r="Q23" s="1899"/>
      <c r="R23" s="1904">
        <v>7000000</v>
      </c>
      <c r="S23" s="1899"/>
      <c r="T23" s="1904">
        <v>8000000</v>
      </c>
      <c r="U23" s="1899"/>
      <c r="V23" s="1904"/>
      <c r="W23" s="1899"/>
      <c r="X23" s="1904">
        <v>9000000</v>
      </c>
      <c r="Y23" s="1899"/>
      <c r="Z23" s="1907" cm="1">
        <f t="array" ref="Z23">SUM(B23:X23)</f>
        <v>79100000</v>
      </c>
      <c r="AA23" s="1899"/>
      <c r="AB23" s="1899"/>
      <c r="AC23" s="1652"/>
      <c r="AD23" s="1652"/>
      <c r="AE23" s="1652"/>
      <c r="AF23" s="1652"/>
      <c r="AG23" s="1652"/>
      <c r="AH23" s="1652"/>
      <c r="AI23" s="1652"/>
      <c r="AJ23" s="1652"/>
      <c r="AK23" s="1652"/>
      <c r="AL23" s="1652"/>
      <c r="AM23" s="1654"/>
    </row>
    <row r="24" ht="13.5" customHeight="1">
      <c r="A24" t="s" s="1909">
        <v>4004</v>
      </c>
      <c r="B24" s="1901">
        <v>15000000</v>
      </c>
      <c r="C24" s="1899"/>
      <c r="D24" s="1904">
        <v>10000000</v>
      </c>
      <c r="E24" s="1899"/>
      <c r="F24" s="1904">
        <v>10000000</v>
      </c>
      <c r="G24" s="1899"/>
      <c r="H24" s="1904">
        <v>22000000</v>
      </c>
      <c r="I24" s="1899"/>
      <c r="J24" s="1904">
        <v>33000000</v>
      </c>
      <c r="K24" s="1899"/>
      <c r="L24" s="1904">
        <v>49500000</v>
      </c>
      <c r="M24" s="1899"/>
      <c r="N24" s="1904">
        <v>28000000</v>
      </c>
      <c r="O24" s="1899"/>
      <c r="P24" s="1904"/>
      <c r="Q24" s="1899"/>
      <c r="R24" s="1904">
        <v>3500000</v>
      </c>
      <c r="S24" s="1899"/>
      <c r="T24" s="1904"/>
      <c r="U24" s="1899"/>
      <c r="V24" s="1904"/>
      <c r="W24" s="1899"/>
      <c r="X24" s="1904">
        <v>19500000</v>
      </c>
      <c r="Y24" s="1899"/>
      <c r="Z24" s="1907" cm="1">
        <f t="array" ref="Z24">SUM(B24:X24)</f>
        <v>190500000</v>
      </c>
      <c r="AA24" s="1899"/>
      <c r="AB24" s="1899"/>
      <c r="AC24" s="1652"/>
      <c r="AD24" s="1652"/>
      <c r="AE24" s="1652"/>
      <c r="AF24" s="1652"/>
      <c r="AG24" s="1652"/>
      <c r="AH24" s="1652"/>
      <c r="AI24" s="1652"/>
      <c r="AJ24" s="1652"/>
      <c r="AK24" s="1652"/>
      <c r="AL24" s="1652"/>
      <c r="AM24" s="1654"/>
    </row>
    <row r="25" ht="13.5" customHeight="1">
      <c r="A25" t="s" s="1909">
        <v>4005</v>
      </c>
      <c r="B25" s="1901"/>
      <c r="C25" s="1899"/>
      <c r="D25" s="1904"/>
      <c r="E25" s="1899"/>
      <c r="F25" s="1904"/>
      <c r="G25" s="1899"/>
      <c r="H25" s="1904"/>
      <c r="I25" s="1899"/>
      <c r="J25" s="1904">
        <v>50000000</v>
      </c>
      <c r="K25" s="1899"/>
      <c r="L25" s="1904">
        <v>40000000</v>
      </c>
      <c r="M25" s="1899"/>
      <c r="N25" s="1904"/>
      <c r="O25" s="1899"/>
      <c r="P25" s="1904">
        <v>30000000</v>
      </c>
      <c r="Q25" s="1899"/>
      <c r="R25" s="1904"/>
      <c r="S25" s="1899"/>
      <c r="T25" s="1904"/>
      <c r="U25" s="1899"/>
      <c r="V25" s="1904"/>
      <c r="W25" s="1899"/>
      <c r="X25" s="1904"/>
      <c r="Y25" s="1899"/>
      <c r="Z25" s="1907" cm="1">
        <f t="array" ref="Z25">SUM(B25:X25)</f>
        <v>120000000</v>
      </c>
      <c r="AA25" s="1899"/>
      <c r="AB25" s="1899"/>
      <c r="AC25" s="1652"/>
      <c r="AD25" s="1652"/>
      <c r="AE25" s="1652"/>
      <c r="AF25" s="1652"/>
      <c r="AG25" s="1652"/>
      <c r="AH25" s="1652"/>
      <c r="AI25" s="1652"/>
      <c r="AJ25" s="1652"/>
      <c r="AK25" s="1652"/>
      <c r="AL25" s="1652"/>
      <c r="AM25" s="1654"/>
    </row>
    <row r="26" ht="13.5" customHeight="1">
      <c r="A26" t="s" s="1909">
        <v>4006</v>
      </c>
      <c r="B26" s="1901"/>
      <c r="C26" s="1899"/>
      <c r="D26" s="1904"/>
      <c r="E26" s="1899"/>
      <c r="F26" s="1904"/>
      <c r="G26" s="1899"/>
      <c r="H26" s="1904"/>
      <c r="I26" s="1899"/>
      <c r="J26" s="1904"/>
      <c r="K26" s="1899"/>
      <c r="L26" s="1904"/>
      <c r="M26" s="1899"/>
      <c r="N26" s="1904">
        <v>45500000</v>
      </c>
      <c r="O26" s="1899"/>
      <c r="P26" s="1904">
        <v>39000000</v>
      </c>
      <c r="Q26" s="1899"/>
      <c r="R26" s="1904">
        <v>6500000</v>
      </c>
      <c r="S26" s="1899"/>
      <c r="T26" s="1904"/>
      <c r="U26" s="1899"/>
      <c r="V26" s="1904"/>
      <c r="W26" s="1899"/>
      <c r="X26" s="1904">
        <v>22500000</v>
      </c>
      <c r="Y26" s="1899"/>
      <c r="Z26" s="1907" cm="1">
        <f t="array" ref="Z26">SUM(B26:X26)</f>
        <v>113500000</v>
      </c>
      <c r="AA26" s="1899"/>
      <c r="AB26" s="1899"/>
      <c r="AC26" s="1652"/>
      <c r="AD26" s="1652"/>
      <c r="AE26" s="1652"/>
      <c r="AF26" s="1652"/>
      <c r="AG26" s="1652"/>
      <c r="AH26" s="1652"/>
      <c r="AI26" s="1652"/>
      <c r="AJ26" s="1652"/>
      <c r="AK26" s="1652"/>
      <c r="AL26" s="1652"/>
      <c r="AM26" s="1654"/>
    </row>
    <row r="27" ht="13.5" customHeight="1">
      <c r="A27" t="s" s="1909">
        <v>4007</v>
      </c>
      <c r="B27" s="1901"/>
      <c r="C27" s="1899"/>
      <c r="D27" s="1904"/>
      <c r="E27" s="1899"/>
      <c r="F27" s="1904"/>
      <c r="G27" s="1899"/>
      <c r="H27" s="1904"/>
      <c r="I27" s="1899"/>
      <c r="J27" s="1904"/>
      <c r="K27" s="1899"/>
      <c r="L27" s="1904"/>
      <c r="M27" s="1899"/>
      <c r="N27" s="1904">
        <v>9500000</v>
      </c>
      <c r="O27" s="1899"/>
      <c r="P27" s="1904"/>
      <c r="Q27" s="1899"/>
      <c r="R27" s="1904"/>
      <c r="S27" s="1899"/>
      <c r="T27" s="1904"/>
      <c r="U27" s="1899"/>
      <c r="V27" s="1904"/>
      <c r="W27" s="1899"/>
      <c r="X27" s="1904">
        <v>17058000</v>
      </c>
      <c r="Y27" s="1899"/>
      <c r="Z27" s="1907" cm="1">
        <f t="array" ref="Z27">SUM(B27:X27)</f>
        <v>26558000</v>
      </c>
      <c r="AA27" s="1899"/>
      <c r="AB27" s="1899"/>
      <c r="AC27" s="1652"/>
      <c r="AD27" s="1652"/>
      <c r="AE27" s="1652"/>
      <c r="AF27" s="1652"/>
      <c r="AG27" s="1652"/>
      <c r="AH27" s="1652"/>
      <c r="AI27" s="1652"/>
      <c r="AJ27" s="1652"/>
      <c r="AK27" s="1652"/>
      <c r="AL27" s="1652"/>
      <c r="AM27" s="1654"/>
    </row>
    <row r="28" ht="13.5" customHeight="1">
      <c r="A28" t="s" s="1909">
        <v>4008</v>
      </c>
      <c r="B28" s="1901"/>
      <c r="C28" s="1899"/>
      <c r="D28" s="1904"/>
      <c r="E28" s="1899"/>
      <c r="F28" s="1904"/>
      <c r="G28" s="1899"/>
      <c r="H28" s="1904"/>
      <c r="I28" s="1899"/>
      <c r="J28" s="1904"/>
      <c r="K28" s="1899"/>
      <c r="L28" s="1904"/>
      <c r="M28" s="1899"/>
      <c r="N28" s="1904"/>
      <c r="O28" s="1899"/>
      <c r="P28" s="1904"/>
      <c r="Q28" s="1899"/>
      <c r="R28" s="1904">
        <v>3170000</v>
      </c>
      <c r="S28" s="1899"/>
      <c r="T28" s="1904"/>
      <c r="U28" s="1899"/>
      <c r="V28" s="1904"/>
      <c r="W28" s="1899"/>
      <c r="X28" s="1904"/>
      <c r="Y28" s="1899"/>
      <c r="Z28" s="1907" cm="1">
        <f t="array" ref="Z28">SUM(B28:X28)</f>
        <v>3170000</v>
      </c>
      <c r="AA28" s="1899"/>
      <c r="AB28" s="1899"/>
      <c r="AC28" s="1652"/>
      <c r="AD28" s="1652"/>
      <c r="AE28" s="1652"/>
      <c r="AF28" s="1652"/>
      <c r="AG28" s="1652"/>
      <c r="AH28" s="1652"/>
      <c r="AI28" s="1652"/>
      <c r="AJ28" s="1652"/>
      <c r="AK28" s="1652"/>
      <c r="AL28" s="1652"/>
      <c r="AM28" s="1654"/>
    </row>
    <row r="29" ht="13.5" customHeight="1">
      <c r="A29" t="s" s="1909">
        <v>4009</v>
      </c>
      <c r="B29" s="1901"/>
      <c r="C29" s="1899"/>
      <c r="D29" s="1904"/>
      <c r="E29" s="1899"/>
      <c r="F29" s="1904"/>
      <c r="G29" s="1899"/>
      <c r="H29" s="1904"/>
      <c r="I29" s="1899"/>
      <c r="J29" s="1904"/>
      <c r="K29" s="1899"/>
      <c r="L29" s="1904"/>
      <c r="M29" s="1899"/>
      <c r="N29" s="1904"/>
      <c r="O29" s="1899"/>
      <c r="P29" s="1904"/>
      <c r="Q29" s="1899"/>
      <c r="R29" s="1904"/>
      <c r="S29" s="1899"/>
      <c r="T29" s="1904">
        <v>48142000</v>
      </c>
      <c r="U29" s="1899"/>
      <c r="V29" s="1904">
        <v>10100000</v>
      </c>
      <c r="W29" s="1899"/>
      <c r="X29" s="1904">
        <v>23043000</v>
      </c>
      <c r="Y29" s="1899"/>
      <c r="Z29" s="1907" cm="1">
        <f t="array" ref="Z29">SUM(B29:X29)</f>
        <v>81285000</v>
      </c>
      <c r="AA29" s="1899"/>
      <c r="AB29" s="1899"/>
      <c r="AC29" s="1652"/>
      <c r="AD29" s="1652"/>
      <c r="AE29" s="1652"/>
      <c r="AF29" s="1652"/>
      <c r="AG29" s="1652"/>
      <c r="AH29" s="1652"/>
      <c r="AI29" s="1652"/>
      <c r="AJ29" s="1652"/>
      <c r="AK29" s="1652"/>
      <c r="AL29" s="1652"/>
      <c r="AM29" s="1654"/>
    </row>
    <row r="30" ht="13.5" customHeight="1">
      <c r="A30" t="s" s="1909">
        <v>4010</v>
      </c>
      <c r="B30" s="1901"/>
      <c r="C30" s="1899"/>
      <c r="D30" s="1904"/>
      <c r="E30" s="1899"/>
      <c r="F30" s="1904"/>
      <c r="G30" s="1899"/>
      <c r="H30" s="1904"/>
      <c r="I30" s="1899"/>
      <c r="J30" s="1904"/>
      <c r="K30" s="1899"/>
      <c r="L30" s="1904"/>
      <c r="M30" s="1899"/>
      <c r="N30" s="1904"/>
      <c r="O30" s="1899"/>
      <c r="P30" s="1904"/>
      <c r="Q30" s="1899"/>
      <c r="R30" s="1904"/>
      <c r="S30" s="1899"/>
      <c r="T30" s="1904">
        <v>103111000</v>
      </c>
      <c r="U30" s="1899"/>
      <c r="V30" s="1904">
        <v>87890000</v>
      </c>
      <c r="W30" s="1899"/>
      <c r="X30" s="1904">
        <v>103923000</v>
      </c>
      <c r="Y30" s="1899"/>
      <c r="Z30" s="1907" cm="1">
        <f t="array" ref="Z30">SUM(B30:X30)</f>
        <v>294924000</v>
      </c>
      <c r="AA30" s="1899"/>
      <c r="AB30" s="1899"/>
      <c r="AC30" s="1652"/>
      <c r="AD30" s="1652"/>
      <c r="AE30" s="1652"/>
      <c r="AF30" s="1652"/>
      <c r="AG30" s="1652"/>
      <c r="AH30" s="1652"/>
      <c r="AI30" s="1652"/>
      <c r="AJ30" s="1652"/>
      <c r="AK30" s="1652"/>
      <c r="AL30" s="1652"/>
      <c r="AM30" s="1654"/>
    </row>
    <row r="31" ht="13.5" customHeight="1">
      <c r="A31" t="s" s="1909">
        <v>4011</v>
      </c>
      <c r="B31" s="1901"/>
      <c r="C31" s="1899"/>
      <c r="D31" s="1904"/>
      <c r="E31" s="1899"/>
      <c r="F31" s="1904"/>
      <c r="G31" s="1899"/>
      <c r="H31" s="1904"/>
      <c r="I31" s="1899"/>
      <c r="J31" s="1904"/>
      <c r="K31" s="1899"/>
      <c r="L31" s="1904"/>
      <c r="M31" s="1899"/>
      <c r="N31" s="1904"/>
      <c r="O31" s="1899"/>
      <c r="P31" s="1904"/>
      <c r="Q31" s="1899"/>
      <c r="R31" s="1904"/>
      <c r="S31" s="1899"/>
      <c r="T31" s="1904">
        <v>134709000</v>
      </c>
      <c r="U31" s="1899"/>
      <c r="V31" s="1904">
        <v>113786000</v>
      </c>
      <c r="W31" s="1899"/>
      <c r="X31" s="1904">
        <v>146803000</v>
      </c>
      <c r="Y31" s="1899"/>
      <c r="Z31" s="1907" cm="1">
        <f t="array" ref="Z31">SUM(B31:X31)</f>
        <v>395298000</v>
      </c>
      <c r="AA31" s="1899"/>
      <c r="AB31" s="1899"/>
      <c r="AC31" s="1652"/>
      <c r="AD31" s="1652"/>
      <c r="AE31" s="1652"/>
      <c r="AF31" s="1652"/>
      <c r="AG31" s="1652"/>
      <c r="AH31" s="1652"/>
      <c r="AI31" s="1652"/>
      <c r="AJ31" s="1652"/>
      <c r="AK31" s="1652"/>
      <c r="AL31" s="1652"/>
      <c r="AM31" s="1654"/>
    </row>
    <row r="32" ht="13.5" customHeight="1">
      <c r="A32" t="s" s="1909">
        <v>4012</v>
      </c>
      <c r="B32" s="1901"/>
      <c r="C32" s="1899"/>
      <c r="D32" s="1904"/>
      <c r="E32" s="1899"/>
      <c r="F32" s="1904"/>
      <c r="G32" s="1899"/>
      <c r="H32" s="1904"/>
      <c r="I32" s="1899"/>
      <c r="J32" s="1904"/>
      <c r="K32" s="1899"/>
      <c r="L32" s="1904"/>
      <c r="M32" s="1899"/>
      <c r="N32" s="1904"/>
      <c r="O32" s="1899"/>
      <c r="P32" s="1904"/>
      <c r="Q32" s="1899"/>
      <c r="R32" s="1904"/>
      <c r="S32" s="1899"/>
      <c r="T32" s="1904">
        <v>203372000</v>
      </c>
      <c r="U32" s="1899"/>
      <c r="V32" s="1904">
        <v>156425000</v>
      </c>
      <c r="W32" s="1899"/>
      <c r="X32" s="1904">
        <v>94183000</v>
      </c>
      <c r="Y32" s="1899"/>
      <c r="Z32" s="1907" cm="1">
        <f t="array" ref="Z32">SUM(B32:X32)</f>
        <v>453980000</v>
      </c>
      <c r="AA32" s="1899"/>
      <c r="AB32" s="1899"/>
      <c r="AC32" s="1652"/>
      <c r="AD32" s="1652"/>
      <c r="AE32" s="1652"/>
      <c r="AF32" s="1652"/>
      <c r="AG32" s="1652"/>
      <c r="AH32" s="1652"/>
      <c r="AI32" s="1652"/>
      <c r="AJ32" s="1652"/>
      <c r="AK32" s="1652"/>
      <c r="AL32" s="1652"/>
      <c r="AM32" s="1654"/>
    </row>
    <row r="33" ht="13.5" customHeight="1">
      <c r="A33" t="s" s="1909">
        <v>4013</v>
      </c>
      <c r="B33" s="1901"/>
      <c r="C33" s="1899"/>
      <c r="D33" s="1904"/>
      <c r="E33" s="1899"/>
      <c r="F33" s="1904"/>
      <c r="G33" s="1899"/>
      <c r="H33" s="1904"/>
      <c r="I33" s="1899"/>
      <c r="J33" s="1904"/>
      <c r="K33" s="1899"/>
      <c r="L33" s="1904"/>
      <c r="M33" s="1899"/>
      <c r="N33" s="1904"/>
      <c r="O33" s="1899"/>
      <c r="P33" s="1904"/>
      <c r="Q33" s="1899"/>
      <c r="R33" s="1904"/>
      <c r="S33" s="1899"/>
      <c r="T33" s="1904">
        <v>101152000</v>
      </c>
      <c r="U33" s="1899"/>
      <c r="V33" s="1904">
        <v>90472000</v>
      </c>
      <c r="W33" s="1899"/>
      <c r="X33" s="1904">
        <v>163588000</v>
      </c>
      <c r="Y33" s="1899"/>
      <c r="Z33" s="1907" cm="1">
        <f t="array" ref="Z33">SUM(B33:X33)</f>
        <v>355212000</v>
      </c>
      <c r="AA33" s="1899"/>
      <c r="AB33" s="1899"/>
      <c r="AC33" s="1652"/>
      <c r="AD33" s="1652"/>
      <c r="AE33" s="1652"/>
      <c r="AF33" s="1652"/>
      <c r="AG33" s="1652"/>
      <c r="AH33" s="1652"/>
      <c r="AI33" s="1652"/>
      <c r="AJ33" s="1652"/>
      <c r="AK33" s="1652"/>
      <c r="AL33" s="1652"/>
      <c r="AM33" s="1654"/>
    </row>
    <row r="34" ht="13.5" customHeight="1">
      <c r="A34" t="s" s="1910">
        <v>4014</v>
      </c>
      <c r="B34" s="1901"/>
      <c r="C34" s="1899"/>
      <c r="D34" s="1904">
        <v>289900000</v>
      </c>
      <c r="E34" s="1899"/>
      <c r="F34" s="1904">
        <v>358350000</v>
      </c>
      <c r="G34" s="1899"/>
      <c r="H34" s="1904">
        <v>594550000</v>
      </c>
      <c r="I34" s="1899"/>
      <c r="J34" s="1904">
        <v>737600000</v>
      </c>
      <c r="K34" s="1899"/>
      <c r="L34" s="1904">
        <v>825696000</v>
      </c>
      <c r="M34" s="1899"/>
      <c r="N34" s="1904">
        <v>628950000</v>
      </c>
      <c r="O34" s="1899"/>
      <c r="P34" s="1904">
        <v>751500000</v>
      </c>
      <c r="Q34" s="1899"/>
      <c r="R34" s="1904">
        <v>872222000</v>
      </c>
      <c r="S34" s="1899"/>
      <c r="T34" s="1904" cm="1">
        <f t="array" ref="T34">188370000+145174000</f>
        <v>333544000</v>
      </c>
      <c r="U34" s="1899"/>
      <c r="V34" s="1904" cm="1">
        <f t="array" ref="V34">175930000+127010000</f>
        <v>302940000</v>
      </c>
      <c r="W34" s="1899"/>
      <c r="X34" s="1904">
        <v>171867000</v>
      </c>
      <c r="Y34" s="1899"/>
      <c r="Z34" s="1907" cm="1">
        <f t="array" ref="Z34">SUM(B34:X34)</f>
        <v>5867119000</v>
      </c>
      <c r="AA34" s="1899"/>
      <c r="AB34" s="1899"/>
      <c r="AC34" s="1652"/>
      <c r="AD34" s="1652"/>
      <c r="AE34" s="1652"/>
      <c r="AF34" s="1652"/>
      <c r="AG34" s="1652"/>
      <c r="AH34" s="1652"/>
      <c r="AI34" s="1652"/>
      <c r="AJ34" s="1652"/>
      <c r="AK34" s="1652"/>
      <c r="AL34" s="1652"/>
      <c r="AM34" s="1654"/>
    </row>
    <row r="35" ht="13.5" customHeight="1">
      <c r="A35" t="s" s="1910">
        <v>4015</v>
      </c>
      <c r="B35" s="1901"/>
      <c r="C35" s="1899"/>
      <c r="D35" s="1904"/>
      <c r="E35" s="1899"/>
      <c r="F35" s="1904"/>
      <c r="G35" s="1899"/>
      <c r="H35" s="1904"/>
      <c r="I35" s="1899"/>
      <c r="J35" s="1904"/>
      <c r="K35" s="1899"/>
      <c r="L35" s="1904"/>
      <c r="M35" s="1899"/>
      <c r="N35" s="1904"/>
      <c r="O35" s="1899"/>
      <c r="P35" s="1904"/>
      <c r="Q35" s="1899"/>
      <c r="R35" s="1904"/>
      <c r="S35" s="1899"/>
      <c r="T35" s="1904"/>
      <c r="U35" s="1899"/>
      <c r="V35" s="1904">
        <v>33516900</v>
      </c>
      <c r="W35" s="1899"/>
      <c r="X35" s="1904">
        <v>124931487</v>
      </c>
      <c r="Y35" s="1899"/>
      <c r="Z35" s="1907" cm="1">
        <f t="array" ref="Z35">SUM(B35:X35)</f>
        <v>158448387</v>
      </c>
      <c r="AA35" s="1899"/>
      <c r="AB35" s="1899"/>
      <c r="AC35" s="1652"/>
      <c r="AD35" s="1652"/>
      <c r="AE35" s="1652"/>
      <c r="AF35" s="1652"/>
      <c r="AG35" s="1652"/>
      <c r="AH35" s="1652"/>
      <c r="AI35" s="1652"/>
      <c r="AJ35" s="1652"/>
      <c r="AK35" s="1652"/>
      <c r="AL35" s="1652"/>
      <c r="AM35" s="1654"/>
    </row>
    <row r="36" ht="13.5" customHeight="1">
      <c r="A36" t="s" s="1909">
        <v>4016</v>
      </c>
      <c r="B36" s="1901"/>
      <c r="C36" s="1899"/>
      <c r="D36" s="1904"/>
      <c r="E36" s="1899"/>
      <c r="F36" s="1904"/>
      <c r="G36" s="1899"/>
      <c r="H36" s="1904"/>
      <c r="I36" s="1899"/>
      <c r="J36" s="1904"/>
      <c r="K36" s="1899"/>
      <c r="L36" s="1904"/>
      <c r="M36" s="1899"/>
      <c r="N36" s="1904"/>
      <c r="O36" s="1899"/>
      <c r="P36" s="1904"/>
      <c r="Q36" s="1899"/>
      <c r="R36" s="1904"/>
      <c r="S36" s="1899"/>
      <c r="T36" s="1904">
        <v>55860000</v>
      </c>
      <c r="U36" s="1899"/>
      <c r="V36" s="1904">
        <v>37727500</v>
      </c>
      <c r="W36" s="1899"/>
      <c r="X36" s="1904">
        <v>44921250</v>
      </c>
      <c r="Y36" s="1899"/>
      <c r="Z36" s="1907" cm="1">
        <f t="array" ref="Z36">SUM(B36:X36)</f>
        <v>138508750</v>
      </c>
      <c r="AA36" s="1899"/>
      <c r="AB36" s="1899"/>
      <c r="AC36" s="1652"/>
      <c r="AD36" s="1652"/>
      <c r="AE36" s="1652"/>
      <c r="AF36" s="1652"/>
      <c r="AG36" s="1652"/>
      <c r="AH36" s="1652"/>
      <c r="AI36" s="1652"/>
      <c r="AJ36" s="1652"/>
      <c r="AK36" s="1652"/>
      <c r="AL36" s="1652"/>
      <c r="AM36" s="1654"/>
    </row>
    <row r="37" ht="13.5" customHeight="1">
      <c r="A37" t="s" s="1909">
        <v>4017</v>
      </c>
      <c r="B37" s="1901"/>
      <c r="C37" s="1899"/>
      <c r="D37" s="1904"/>
      <c r="E37" s="1899"/>
      <c r="F37" s="1904"/>
      <c r="G37" s="1899"/>
      <c r="H37" s="1904"/>
      <c r="I37" s="1899"/>
      <c r="J37" s="1904"/>
      <c r="K37" s="1899"/>
      <c r="L37" s="1904"/>
      <c r="M37" s="1899"/>
      <c r="N37" s="1904"/>
      <c r="O37" s="1899"/>
      <c r="P37" s="1904"/>
      <c r="Q37" s="1899"/>
      <c r="R37" s="1904"/>
      <c r="S37" s="1899"/>
      <c r="T37" s="1904">
        <v>36116093</v>
      </c>
      <c r="U37" s="1899"/>
      <c r="V37" s="1904">
        <v>5292912</v>
      </c>
      <c r="W37" s="1899"/>
      <c r="X37" s="1904">
        <v>10183221.61</v>
      </c>
      <c r="Y37" s="1899"/>
      <c r="Z37" s="1907" cm="1">
        <f t="array" ref="Z37">SUM(B37:X37)</f>
        <v>51592226.61</v>
      </c>
      <c r="AA37" s="1899"/>
      <c r="AB37" s="1899"/>
      <c r="AC37" s="1652"/>
      <c r="AD37" s="1652"/>
      <c r="AE37" s="1652"/>
      <c r="AF37" s="1652"/>
      <c r="AG37" s="1652"/>
      <c r="AH37" s="1652"/>
      <c r="AI37" s="1652"/>
      <c r="AJ37" s="1652"/>
      <c r="AK37" s="1652"/>
      <c r="AL37" s="1652"/>
      <c r="AM37" s="1654"/>
    </row>
    <row r="38" ht="13.5" customHeight="1">
      <c r="A38" t="s" s="1909">
        <v>4018</v>
      </c>
      <c r="B38" s="1901">
        <v>4900000</v>
      </c>
      <c r="C38" s="1899"/>
      <c r="D38" s="1904">
        <v>20075000</v>
      </c>
      <c r="E38" s="1899"/>
      <c r="F38" s="1904">
        <v>28000000</v>
      </c>
      <c r="G38" s="1899"/>
      <c r="H38" s="1904">
        <v>27500000</v>
      </c>
      <c r="I38" s="1899"/>
      <c r="J38" s="1904">
        <v>58412000</v>
      </c>
      <c r="K38" s="1899"/>
      <c r="L38" s="1904">
        <v>76690000</v>
      </c>
      <c r="M38" s="1899"/>
      <c r="N38" s="1904">
        <v>62209949</v>
      </c>
      <c r="O38" s="1899"/>
      <c r="P38" s="1904">
        <v>47903000</v>
      </c>
      <c r="Q38" s="1899"/>
      <c r="R38" s="1904">
        <v>75866000</v>
      </c>
      <c r="S38" s="1899"/>
      <c r="T38" s="1904">
        <v>60276000</v>
      </c>
      <c r="U38" s="1899"/>
      <c r="V38" s="1904">
        <v>41704500</v>
      </c>
      <c r="W38" s="1899"/>
      <c r="X38" s="1904">
        <v>25580786</v>
      </c>
      <c r="Y38" s="1899"/>
      <c r="Z38" s="1907" cm="1">
        <f t="array" ref="Z38">SUM(B38:X38)</f>
        <v>529117235</v>
      </c>
      <c r="AA38" s="1899"/>
      <c r="AB38" s="1899"/>
      <c r="AC38" s="1652"/>
      <c r="AD38" s="1652"/>
      <c r="AE38" s="1652"/>
      <c r="AF38" s="1652"/>
      <c r="AG38" s="1652"/>
      <c r="AH38" s="1652"/>
      <c r="AI38" s="1652"/>
      <c r="AJ38" s="1652"/>
      <c r="AK38" s="1652"/>
      <c r="AL38" s="1652"/>
      <c r="AM38" s="1654"/>
    </row>
    <row r="39" ht="13.5" customHeight="1">
      <c r="A39" t="s" s="1909">
        <v>4019</v>
      </c>
      <c r="B39" s="1901">
        <v>97940000</v>
      </c>
      <c r="C39" s="1899"/>
      <c r="D39" s="1904">
        <v>75935000</v>
      </c>
      <c r="E39" s="1899"/>
      <c r="F39" s="1904">
        <v>115320000</v>
      </c>
      <c r="G39" s="1899"/>
      <c r="H39" s="1904">
        <v>199915000</v>
      </c>
      <c r="I39" s="1899"/>
      <c r="J39" s="1904">
        <v>228280000</v>
      </c>
      <c r="K39" s="1899"/>
      <c r="L39" s="1904">
        <v>243275000</v>
      </c>
      <c r="M39" s="1899"/>
      <c r="N39" s="1904">
        <v>220000000</v>
      </c>
      <c r="O39" s="1899"/>
      <c r="P39" s="1904">
        <v>227205000</v>
      </c>
      <c r="Q39" s="1899"/>
      <c r="R39" s="1904">
        <v>205080000</v>
      </c>
      <c r="S39" s="1899"/>
      <c r="T39" s="1904">
        <v>192050000</v>
      </c>
      <c r="U39" s="1899"/>
      <c r="V39" s="1904">
        <v>141870000</v>
      </c>
      <c r="W39" s="1899"/>
      <c r="X39" s="1904">
        <v>141840000</v>
      </c>
      <c r="Y39" s="1899"/>
      <c r="Z39" s="1907" cm="1">
        <f t="array" ref="Z39">SUM(B39:X39)</f>
        <v>2088710000</v>
      </c>
      <c r="AA39" s="1899"/>
      <c r="AB39" s="1899"/>
      <c r="AC39" s="1652"/>
      <c r="AD39" s="1652"/>
      <c r="AE39" s="1652"/>
      <c r="AF39" s="1652"/>
      <c r="AG39" s="1652"/>
      <c r="AH39" s="1652"/>
      <c r="AI39" s="1652"/>
      <c r="AJ39" s="1652"/>
      <c r="AK39" s="1652"/>
      <c r="AL39" s="1652"/>
      <c r="AM39" s="1654"/>
    </row>
    <row r="40" ht="13.5" customHeight="1">
      <c r="A40" t="s" s="1906">
        <v>4020</v>
      </c>
      <c r="B40" s="1901">
        <v>2770000</v>
      </c>
      <c r="C40" s="1899"/>
      <c r="D40" s="1904"/>
      <c r="E40" s="1899"/>
      <c r="F40" s="1904">
        <v>900000</v>
      </c>
      <c r="G40" s="1899"/>
      <c r="H40" s="1904">
        <v>1850000</v>
      </c>
      <c r="I40" s="1899"/>
      <c r="J40" s="1904">
        <v>3095000</v>
      </c>
      <c r="K40" s="1899"/>
      <c r="L40" s="1904">
        <v>5455000</v>
      </c>
      <c r="M40" s="1899"/>
      <c r="N40" s="1904">
        <v>1976000</v>
      </c>
      <c r="O40" s="1899"/>
      <c r="P40" s="1904">
        <v>3334000</v>
      </c>
      <c r="Q40" s="1899"/>
      <c r="R40" s="1904">
        <v>255000</v>
      </c>
      <c r="S40" s="1899"/>
      <c r="T40" s="1904"/>
      <c r="U40" s="1899"/>
      <c r="V40" s="1904"/>
      <c r="W40" s="1899"/>
      <c r="X40" s="1904"/>
      <c r="Y40" s="1899"/>
      <c r="Z40" s="1907" cm="1">
        <f t="array" ref="Z40">SUM(B40:X40)</f>
        <v>19635000</v>
      </c>
      <c r="AA40" s="1899"/>
      <c r="AB40" s="1899"/>
      <c r="AC40" s="1652"/>
      <c r="AD40" s="1652"/>
      <c r="AE40" s="1652"/>
      <c r="AF40" s="1652"/>
      <c r="AG40" s="1652"/>
      <c r="AH40" s="1652"/>
      <c r="AI40" s="1652"/>
      <c r="AJ40" s="1652"/>
      <c r="AK40" s="1652"/>
      <c r="AL40" s="1652"/>
      <c r="AM40" s="1654"/>
    </row>
    <row r="41" ht="13.5" customHeight="1">
      <c r="A41" t="s" s="1908">
        <v>4021</v>
      </c>
      <c r="B41" s="1901">
        <v>78440130</v>
      </c>
      <c r="C41" s="1899"/>
      <c r="D41" s="1904">
        <v>63787850</v>
      </c>
      <c r="E41" s="1899"/>
      <c r="F41" s="1904">
        <v>109377850</v>
      </c>
      <c r="G41" s="1899"/>
      <c r="H41" s="1904">
        <v>246784713</v>
      </c>
      <c r="I41" s="1899"/>
      <c r="J41" s="1904">
        <v>320254124</v>
      </c>
      <c r="K41" s="1899"/>
      <c r="L41" s="1904">
        <v>302370425</v>
      </c>
      <c r="M41" s="1899"/>
      <c r="N41" s="1904">
        <v>294510990</v>
      </c>
      <c r="O41" s="1899"/>
      <c r="P41" s="1904">
        <v>362705582</v>
      </c>
      <c r="Q41" s="1899"/>
      <c r="R41" s="1904">
        <v>271415256</v>
      </c>
      <c r="S41" s="1899"/>
      <c r="T41" s="1904">
        <v>258172965</v>
      </c>
      <c r="U41" s="1899"/>
      <c r="V41" s="1904" cm="1">
        <f t="array" ref="V41">98140150+118625000</f>
        <v>216765150</v>
      </c>
      <c r="W41" s="1899"/>
      <c r="X41" s="1904">
        <v>219707000</v>
      </c>
      <c r="Y41" s="1899"/>
      <c r="Z41" s="1907" cm="1">
        <f t="array" ref="Z41">SUM(B41:X41)</f>
        <v>2744292035</v>
      </c>
      <c r="AA41" s="1899"/>
      <c r="AB41" s="1899"/>
      <c r="AC41" s="1652"/>
      <c r="AD41" s="1652"/>
      <c r="AE41" s="1652"/>
      <c r="AF41" s="1652"/>
      <c r="AG41" s="1652"/>
      <c r="AH41" s="1652"/>
      <c r="AI41" s="1652"/>
      <c r="AJ41" s="1652"/>
      <c r="AK41" s="1652"/>
      <c r="AL41" s="1652"/>
      <c r="AM41" s="1654"/>
    </row>
    <row r="42" ht="13.5" customHeight="1">
      <c r="A42" t="s" s="1910">
        <v>4022</v>
      </c>
      <c r="B42" s="1901"/>
      <c r="C42" s="1899"/>
      <c r="D42" s="1904"/>
      <c r="E42" s="1899"/>
      <c r="F42" s="1904"/>
      <c r="G42" s="1899"/>
      <c r="H42" s="1904"/>
      <c r="I42" s="1899"/>
      <c r="J42" s="1904"/>
      <c r="K42" s="1899"/>
      <c r="L42" s="1904"/>
      <c r="M42" s="1899"/>
      <c r="N42" s="1904"/>
      <c r="O42" s="1899"/>
      <c r="P42" s="1904"/>
      <c r="Q42" s="1899"/>
      <c r="R42" s="1904"/>
      <c r="S42" s="1899"/>
      <c r="T42" s="1904"/>
      <c r="U42" s="1899"/>
      <c r="V42" s="1904"/>
      <c r="W42" s="1899"/>
      <c r="X42" s="1904">
        <v>28056000</v>
      </c>
      <c r="Y42" s="1899"/>
      <c r="Z42" s="1907" cm="1">
        <f t="array" ref="Z42">SUM(B42:X42)</f>
        <v>28056000</v>
      </c>
      <c r="AA42" s="1899"/>
      <c r="AB42" s="1899"/>
      <c r="AC42" s="1652"/>
      <c r="AD42" s="1652"/>
      <c r="AE42" s="1652"/>
      <c r="AF42" s="1652"/>
      <c r="AG42" s="1652"/>
      <c r="AH42" s="1652"/>
      <c r="AI42" s="1652"/>
      <c r="AJ42" s="1652"/>
      <c r="AK42" s="1652"/>
      <c r="AL42" s="1652"/>
      <c r="AM42" s="1654"/>
    </row>
    <row r="43" ht="13.5" customHeight="1">
      <c r="A43" t="s" s="1910">
        <v>4023</v>
      </c>
      <c r="B43" s="1901"/>
      <c r="C43" s="1899"/>
      <c r="D43" s="1904"/>
      <c r="E43" s="1899"/>
      <c r="F43" s="1904"/>
      <c r="G43" s="1899"/>
      <c r="H43" s="1904"/>
      <c r="I43" s="1899"/>
      <c r="J43" s="1904"/>
      <c r="K43" s="1899"/>
      <c r="L43" s="1904"/>
      <c r="M43" s="1899"/>
      <c r="N43" s="1904"/>
      <c r="O43" s="1899"/>
      <c r="P43" s="1904"/>
      <c r="Q43" s="1899"/>
      <c r="R43" s="1904"/>
      <c r="S43" s="1899"/>
      <c r="T43" s="1904"/>
      <c r="U43" s="1899"/>
      <c r="V43" s="1904">
        <v>3785500</v>
      </c>
      <c r="W43" s="1899"/>
      <c r="X43" s="1904"/>
      <c r="Y43" s="1899"/>
      <c r="Z43" s="1907" cm="1">
        <f t="array" ref="Z43">SUM(B43:X43)</f>
        <v>3785500</v>
      </c>
      <c r="AA43" s="1899"/>
      <c r="AB43" s="1899"/>
      <c r="AC43" s="1652"/>
      <c r="AD43" s="1652"/>
      <c r="AE43" s="1652"/>
      <c r="AF43" s="1652"/>
      <c r="AG43" s="1652"/>
      <c r="AH43" s="1652"/>
      <c r="AI43" s="1652"/>
      <c r="AJ43" s="1652"/>
      <c r="AK43" s="1652"/>
      <c r="AL43" s="1652"/>
      <c r="AM43" s="1654"/>
    </row>
    <row r="44" ht="13.5" customHeight="1">
      <c r="A44" t="s" s="1910">
        <v>4024</v>
      </c>
      <c r="B44" s="1901"/>
      <c r="C44" s="1899"/>
      <c r="D44" s="1904"/>
      <c r="E44" s="1899"/>
      <c r="F44" s="1904"/>
      <c r="G44" s="1899"/>
      <c r="H44" s="1904"/>
      <c r="I44" s="1899"/>
      <c r="J44" s="1904"/>
      <c r="K44" s="1899"/>
      <c r="L44" s="1904"/>
      <c r="M44" s="1899"/>
      <c r="N44" s="1904"/>
      <c r="O44" s="1899"/>
      <c r="P44" s="1904"/>
      <c r="Q44" s="1899"/>
      <c r="R44" s="1904"/>
      <c r="S44" s="1899"/>
      <c r="T44" s="1904"/>
      <c r="U44" s="1899"/>
      <c r="V44" s="1904"/>
      <c r="W44" s="1899"/>
      <c r="X44" s="1904">
        <v>17850000</v>
      </c>
      <c r="Y44" s="1899"/>
      <c r="Z44" s="1907" cm="1">
        <f t="array" ref="Z44">SUM(B44:X44)</f>
        <v>17850000</v>
      </c>
      <c r="AA44" s="1899"/>
      <c r="AB44" s="1899"/>
      <c r="AC44" s="1652"/>
      <c r="AD44" s="1652"/>
      <c r="AE44" s="1652"/>
      <c r="AF44" s="1652"/>
      <c r="AG44" s="1652"/>
      <c r="AH44" s="1652"/>
      <c r="AI44" s="1652"/>
      <c r="AJ44" s="1652"/>
      <c r="AK44" s="1652"/>
      <c r="AL44" s="1652"/>
      <c r="AM44" s="1654"/>
    </row>
    <row r="45" ht="13.65" customHeight="1">
      <c r="A45" t="s" s="1910">
        <v>4025</v>
      </c>
      <c r="B45" s="1901">
        <v>14400000</v>
      </c>
      <c r="C45" s="1903"/>
      <c r="D45" s="1653">
        <v>10400000</v>
      </c>
      <c r="E45" s="1903"/>
      <c r="F45" s="1653">
        <v>19350000</v>
      </c>
      <c r="G45" s="1903"/>
      <c r="H45" s="1904">
        <v>36000000</v>
      </c>
      <c r="I45" s="1903"/>
      <c r="J45" s="1653">
        <v>7600000</v>
      </c>
      <c r="K45" s="1903"/>
      <c r="L45" s="1904">
        <v>14900000</v>
      </c>
      <c r="M45" s="1903"/>
      <c r="N45" s="1904">
        <v>12750000</v>
      </c>
      <c r="O45" s="1903"/>
      <c r="P45" s="1904">
        <v>12464130</v>
      </c>
      <c r="Q45" s="1903"/>
      <c r="R45" s="1653">
        <v>10050000</v>
      </c>
      <c r="S45" s="1903"/>
      <c r="T45" s="1653">
        <v>1800000</v>
      </c>
      <c r="U45" s="1903"/>
      <c r="V45" s="1904">
        <v>2600000</v>
      </c>
      <c r="W45" s="1903"/>
      <c r="X45" s="1904"/>
      <c r="Y45" s="1903"/>
      <c r="Z45" s="1907" cm="1">
        <f t="array" ref="Z45">SUM(B45:X45)</f>
        <v>142314130</v>
      </c>
      <c r="AA45" s="1652"/>
      <c r="AB45" s="1652"/>
      <c r="AC45" s="1652"/>
      <c r="AD45" s="1652"/>
      <c r="AE45" s="1652"/>
      <c r="AF45" s="1652"/>
      <c r="AG45" s="1652"/>
      <c r="AH45" s="1652"/>
      <c r="AI45" s="1652"/>
      <c r="AJ45" s="1652"/>
      <c r="AK45" s="1652"/>
      <c r="AL45" s="1652"/>
      <c r="AM45" s="1654"/>
    </row>
    <row r="46" ht="13.65" customHeight="1">
      <c r="A46" t="s" s="1911">
        <v>4026</v>
      </c>
      <c r="B46" s="1901">
        <v>16150000</v>
      </c>
      <c r="C46" s="1903"/>
      <c r="D46" s="1652"/>
      <c r="E46" s="1903"/>
      <c r="F46" s="1653">
        <v>62050000</v>
      </c>
      <c r="G46" s="1903"/>
      <c r="H46" s="1904"/>
      <c r="I46" s="1903"/>
      <c r="J46" s="1653">
        <v>31410000</v>
      </c>
      <c r="K46" s="1903"/>
      <c r="L46" s="1904"/>
      <c r="M46" s="1903"/>
      <c r="N46" s="1904">
        <v>96900000</v>
      </c>
      <c r="O46" s="1903"/>
      <c r="P46" s="1904">
        <v>56910000</v>
      </c>
      <c r="Q46" s="1903"/>
      <c r="R46" s="1653">
        <v>53900000</v>
      </c>
      <c r="S46" s="1903"/>
      <c r="T46" s="1653">
        <v>18650000</v>
      </c>
      <c r="U46" s="1903"/>
      <c r="V46" s="1904"/>
      <c r="W46" s="1903"/>
      <c r="X46" s="1904"/>
      <c r="Y46" s="1903"/>
      <c r="Z46" s="1907" cm="1">
        <f t="array" ref="Z46">SUM(B46:X46)</f>
        <v>335970000</v>
      </c>
      <c r="AA46" s="1652"/>
      <c r="AB46" s="1652"/>
      <c r="AC46" s="1652"/>
      <c r="AD46" s="1652"/>
      <c r="AE46" s="1652"/>
      <c r="AF46" s="1652"/>
      <c r="AG46" s="1652"/>
      <c r="AH46" s="1652"/>
      <c r="AI46" s="1652"/>
      <c r="AJ46" s="1652"/>
      <c r="AK46" s="1652"/>
      <c r="AL46" s="1652"/>
      <c r="AM46" s="1654"/>
    </row>
    <row r="47" ht="13.5" customHeight="1">
      <c r="A47" t="s" s="1908">
        <v>4027</v>
      </c>
      <c r="B47" s="1901"/>
      <c r="C47" s="1903"/>
      <c r="D47" s="1652"/>
      <c r="E47" s="1903"/>
      <c r="F47" s="1653">
        <v>30600000</v>
      </c>
      <c r="G47" s="1903"/>
      <c r="H47" s="1904"/>
      <c r="I47" s="1903"/>
      <c r="J47" s="1653"/>
      <c r="K47" s="1903"/>
      <c r="L47" s="1904"/>
      <c r="M47" s="1903"/>
      <c r="N47" s="1904">
        <v>31950000</v>
      </c>
      <c r="O47" s="1903"/>
      <c r="P47" s="1904"/>
      <c r="Q47" s="1903"/>
      <c r="R47" s="1653"/>
      <c r="S47" s="1903"/>
      <c r="T47" s="1653"/>
      <c r="U47" s="1903"/>
      <c r="V47" s="1904"/>
      <c r="W47" s="1903"/>
      <c r="X47" s="1904"/>
      <c r="Y47" s="1903"/>
      <c r="Z47" s="1907" cm="1">
        <f t="array" ref="Z47">SUM(B47:X47)</f>
        <v>62550000</v>
      </c>
      <c r="AA47" s="1652"/>
      <c r="AB47" s="1652"/>
      <c r="AC47" s="1652"/>
      <c r="AD47" s="1652"/>
      <c r="AE47" s="1652"/>
      <c r="AF47" s="1652"/>
      <c r="AG47" s="1652"/>
      <c r="AH47" s="1652"/>
      <c r="AI47" s="1652"/>
      <c r="AJ47" s="1652"/>
      <c r="AK47" s="1652"/>
      <c r="AL47" s="1652"/>
      <c r="AM47" s="1654"/>
    </row>
    <row r="48" ht="13.5" customHeight="1">
      <c r="A48" t="s" s="1910">
        <v>4028</v>
      </c>
      <c r="B48" s="1901">
        <v>18500000</v>
      </c>
      <c r="C48" s="1899"/>
      <c r="D48" s="1904">
        <v>18500000</v>
      </c>
      <c r="E48" s="1899"/>
      <c r="F48" s="1904">
        <v>18700000</v>
      </c>
      <c r="G48" s="1899"/>
      <c r="H48" s="1904">
        <v>18500000</v>
      </c>
      <c r="I48" s="1899"/>
      <c r="J48" s="1904">
        <v>18500000</v>
      </c>
      <c r="K48" s="1899"/>
      <c r="L48" s="1904"/>
      <c r="M48" s="1899"/>
      <c r="N48" s="1904">
        <v>18500000</v>
      </c>
      <c r="O48" s="1899"/>
      <c r="P48" s="1904">
        <v>37000000</v>
      </c>
      <c r="Q48" s="1899"/>
      <c r="R48" s="1904"/>
      <c r="S48" s="1899"/>
      <c r="T48" s="1904"/>
      <c r="U48" s="1899"/>
      <c r="V48" s="1904"/>
      <c r="W48" s="1899"/>
      <c r="X48" s="1904"/>
      <c r="Y48" s="1899"/>
      <c r="Z48" s="1907" cm="1">
        <f t="array" ref="Z48">SUM(B48:X48)</f>
        <v>148200000</v>
      </c>
      <c r="AA48" s="1899"/>
      <c r="AB48" s="1899"/>
      <c r="AC48" s="1652"/>
      <c r="AD48" s="1652"/>
      <c r="AE48" s="1652"/>
      <c r="AF48" s="1652"/>
      <c r="AG48" s="1652"/>
      <c r="AH48" s="1652"/>
      <c r="AI48" s="1652"/>
      <c r="AJ48" s="1652"/>
      <c r="AK48" s="1652"/>
      <c r="AL48" s="1652"/>
      <c r="AM48" s="1654"/>
    </row>
    <row r="49" ht="13.5" customHeight="1">
      <c r="A49" t="s" s="1910">
        <v>4029</v>
      </c>
      <c r="B49" s="1901">
        <v>51000000</v>
      </c>
      <c r="C49" s="1903"/>
      <c r="D49" s="1904">
        <v>8500000</v>
      </c>
      <c r="E49" s="1903"/>
      <c r="F49" s="1904">
        <v>0</v>
      </c>
      <c r="G49" s="1903"/>
      <c r="H49" s="1904"/>
      <c r="I49" s="1903"/>
      <c r="J49" s="1904"/>
      <c r="K49" s="1903"/>
      <c r="L49" s="1904"/>
      <c r="M49" s="1903"/>
      <c r="N49" s="1904">
        <v>32000000</v>
      </c>
      <c r="O49" s="1903"/>
      <c r="P49" s="1904">
        <v>119500000</v>
      </c>
      <c r="Q49" s="1903"/>
      <c r="R49" s="1904">
        <v>16000000</v>
      </c>
      <c r="S49" s="1903"/>
      <c r="T49" s="1904"/>
      <c r="U49" s="1903"/>
      <c r="V49" s="1904">
        <v>32000000</v>
      </c>
      <c r="W49" s="1903"/>
      <c r="X49" s="1904">
        <v>48000000</v>
      </c>
      <c r="Y49" s="1903"/>
      <c r="Z49" s="1907" cm="1">
        <f t="array" ref="Z49">SUM(B49:X49)</f>
        <v>307000000</v>
      </c>
      <c r="AA49" s="1652"/>
      <c r="AB49" s="1652"/>
      <c r="AC49" s="1652"/>
      <c r="AD49" s="1652"/>
      <c r="AE49" s="1652"/>
      <c r="AF49" s="1652"/>
      <c r="AG49" s="1652"/>
      <c r="AH49" s="1652"/>
      <c r="AI49" s="1652"/>
      <c r="AJ49" s="1652"/>
      <c r="AK49" s="1652"/>
      <c r="AL49" s="1652"/>
      <c r="AM49" s="1654"/>
    </row>
    <row r="50" ht="13.5" customHeight="1">
      <c r="A50" t="s" s="1910">
        <v>4030</v>
      </c>
      <c r="B50" s="1901"/>
      <c r="C50" s="1903"/>
      <c r="D50" s="1904"/>
      <c r="E50" s="1903"/>
      <c r="F50" s="1904"/>
      <c r="G50" s="1903"/>
      <c r="H50" s="1904"/>
      <c r="I50" s="1903"/>
      <c r="J50" s="1904"/>
      <c r="K50" s="1903"/>
      <c r="L50" s="1904"/>
      <c r="M50" s="1903"/>
      <c r="N50" s="1904"/>
      <c r="O50" s="1903"/>
      <c r="P50" s="1904"/>
      <c r="Q50" s="1903"/>
      <c r="R50" s="1904">
        <v>55500000</v>
      </c>
      <c r="S50" s="1903"/>
      <c r="T50" s="1904"/>
      <c r="U50" s="1903"/>
      <c r="V50" s="1904"/>
      <c r="W50" s="1903"/>
      <c r="X50" s="1904"/>
      <c r="Y50" s="1903"/>
      <c r="Z50" s="1907" cm="1">
        <f t="array" ref="Z50">SUM(B50:X50)</f>
        <v>55500000</v>
      </c>
      <c r="AA50" s="1652"/>
      <c r="AB50" s="1652"/>
      <c r="AC50" s="1652"/>
      <c r="AD50" s="1652"/>
      <c r="AE50" s="1652"/>
      <c r="AF50" s="1652"/>
      <c r="AG50" s="1652"/>
      <c r="AH50" s="1652"/>
      <c r="AI50" s="1652"/>
      <c r="AJ50" s="1652"/>
      <c r="AK50" s="1652"/>
      <c r="AL50" s="1652"/>
      <c r="AM50" s="1654"/>
    </row>
    <row r="51" ht="13.5" customHeight="1">
      <c r="A51" t="s" s="1911">
        <v>4031</v>
      </c>
      <c r="B51" s="1901"/>
      <c r="C51" s="1903"/>
      <c r="D51" s="1904"/>
      <c r="E51" s="1903"/>
      <c r="F51" s="1904"/>
      <c r="G51" s="1903"/>
      <c r="H51" s="1904"/>
      <c r="I51" s="1903"/>
      <c r="J51" s="1904"/>
      <c r="K51" s="1903"/>
      <c r="L51" s="1904"/>
      <c r="M51" s="1903"/>
      <c r="N51" s="1904"/>
      <c r="O51" s="1903"/>
      <c r="P51" s="1904"/>
      <c r="Q51" s="1903"/>
      <c r="R51" s="1904"/>
      <c r="S51" s="1903"/>
      <c r="T51" s="1904"/>
      <c r="U51" s="1903"/>
      <c r="V51" s="1904">
        <v>16000000</v>
      </c>
      <c r="W51" s="1903"/>
      <c r="X51" s="1904">
        <v>18000000</v>
      </c>
      <c r="Y51" s="1903"/>
      <c r="Z51" s="1907" cm="1">
        <f t="array" ref="Z51">SUM(B51:X51)</f>
        <v>34000000</v>
      </c>
      <c r="AA51" s="1652"/>
      <c r="AB51" s="1652"/>
      <c r="AC51" s="1652"/>
      <c r="AD51" s="1652"/>
      <c r="AE51" s="1652"/>
      <c r="AF51" s="1652"/>
      <c r="AG51" s="1652"/>
      <c r="AH51" s="1652"/>
      <c r="AI51" s="1652"/>
      <c r="AJ51" s="1652"/>
      <c r="AK51" s="1652"/>
      <c r="AL51" s="1652"/>
      <c r="AM51" s="1654"/>
    </row>
    <row r="52" ht="13.5" customHeight="1">
      <c r="A52" t="s" s="1908">
        <v>4032</v>
      </c>
      <c r="B52" s="1901"/>
      <c r="C52" s="1903"/>
      <c r="D52" s="1904"/>
      <c r="E52" s="1903"/>
      <c r="F52" s="1904">
        <v>402500</v>
      </c>
      <c r="G52" s="1903"/>
      <c r="H52" s="1904">
        <v>2410000</v>
      </c>
      <c r="I52" s="1903"/>
      <c r="J52" s="1904">
        <v>22357500</v>
      </c>
      <c r="K52" s="1903"/>
      <c r="L52" s="1904">
        <v>6037500</v>
      </c>
      <c r="M52" s="1903"/>
      <c r="N52" s="1904">
        <v>6440000</v>
      </c>
      <c r="O52" s="1903"/>
      <c r="P52" s="1904">
        <v>10147500</v>
      </c>
      <c r="Q52" s="1903"/>
      <c r="R52" s="1904">
        <v>7840000</v>
      </c>
      <c r="S52" s="1903"/>
      <c r="T52" s="1904">
        <v>8855000</v>
      </c>
      <c r="U52" s="1903"/>
      <c r="V52" s="1904">
        <v>8050000</v>
      </c>
      <c r="W52" s="1903"/>
      <c r="X52" s="1904">
        <v>10975000</v>
      </c>
      <c r="Y52" s="1903"/>
      <c r="Z52" s="1907" cm="1">
        <f t="array" ref="Z52">SUM(B52:X52)</f>
        <v>83515000</v>
      </c>
      <c r="AA52" s="1652"/>
      <c r="AB52" s="1652"/>
      <c r="AC52" s="1652"/>
      <c r="AD52" s="1652"/>
      <c r="AE52" s="1652"/>
      <c r="AF52" s="1652"/>
      <c r="AG52" s="1652"/>
      <c r="AH52" s="1652"/>
      <c r="AI52" s="1652"/>
      <c r="AJ52" s="1652"/>
      <c r="AK52" s="1652"/>
      <c r="AL52" s="1652"/>
      <c r="AM52" s="1654"/>
    </row>
    <row r="53" ht="13.5" customHeight="1">
      <c r="A53" t="s" s="1910">
        <v>608</v>
      </c>
      <c r="B53" s="1901">
        <v>11250000</v>
      </c>
      <c r="C53" s="1903"/>
      <c r="D53" s="1904">
        <v>6600000</v>
      </c>
      <c r="E53" s="1903"/>
      <c r="F53" s="1904">
        <v>18100000</v>
      </c>
      <c r="G53" s="1903"/>
      <c r="H53" s="1904">
        <v>14400000</v>
      </c>
      <c r="I53" s="1903"/>
      <c r="J53" s="1904">
        <v>18600000</v>
      </c>
      <c r="K53" s="1903"/>
      <c r="L53" s="1904">
        <v>19800000</v>
      </c>
      <c r="M53" s="1903"/>
      <c r="N53" s="1904">
        <v>40600000</v>
      </c>
      <c r="O53" s="1903"/>
      <c r="P53" s="1904">
        <v>16800000</v>
      </c>
      <c r="Q53" s="1903"/>
      <c r="R53" s="1904">
        <v>14200000</v>
      </c>
      <c r="S53" s="1903"/>
      <c r="T53" s="1904">
        <v>-12100000</v>
      </c>
      <c r="U53" s="1903"/>
      <c r="V53" s="1904">
        <v>-4000000</v>
      </c>
      <c r="W53" s="1903"/>
      <c r="X53" s="1904">
        <v>900000</v>
      </c>
      <c r="Y53" s="1903"/>
      <c r="Z53" s="1907" cm="1">
        <f t="array" ref="Z53">SUM(B53:X53)</f>
        <v>145150000</v>
      </c>
      <c r="AA53" s="1652"/>
      <c r="AB53" s="1652"/>
      <c r="AC53" s="1652"/>
      <c r="AD53" s="1652"/>
      <c r="AE53" s="1652"/>
      <c r="AF53" s="1652"/>
      <c r="AG53" s="1652"/>
      <c r="AH53" s="1652"/>
      <c r="AI53" s="1652"/>
      <c r="AJ53" s="1652"/>
      <c r="AK53" s="1652"/>
      <c r="AL53" s="1652"/>
      <c r="AM53" s="1654"/>
    </row>
    <row r="54" ht="13.5" customHeight="1">
      <c r="A54" t="s" s="1910">
        <v>4033</v>
      </c>
      <c r="B54" s="1901">
        <v>33735000</v>
      </c>
      <c r="C54" s="1903"/>
      <c r="D54" s="1904">
        <v>79016000</v>
      </c>
      <c r="E54" s="1903"/>
      <c r="F54" s="1904">
        <v>114934300</v>
      </c>
      <c r="G54" s="1903"/>
      <c r="H54" s="1904">
        <v>116211800</v>
      </c>
      <c r="I54" s="1903"/>
      <c r="J54" s="1904">
        <v>147706000</v>
      </c>
      <c r="K54" s="1903"/>
      <c r="L54" s="1904">
        <v>132644000</v>
      </c>
      <c r="M54" s="1903"/>
      <c r="N54" s="1904">
        <v>140606000</v>
      </c>
      <c r="O54" s="1903"/>
      <c r="P54" s="1904">
        <v>132364000</v>
      </c>
      <c r="Q54" s="1903"/>
      <c r="R54" s="1904" cm="1">
        <f t="array" ref="R54">102120000+15680000+35562000+1081750</f>
        <v>154443750</v>
      </c>
      <c r="S54" s="1903"/>
      <c r="T54" s="1904">
        <v>-12881000</v>
      </c>
      <c r="U54" s="1903"/>
      <c r="V54" s="1904">
        <v>-998494</v>
      </c>
      <c r="W54" s="1903"/>
      <c r="X54" s="1904"/>
      <c r="Y54" s="1903"/>
      <c r="Z54" s="1907" cm="1">
        <f t="array" ref="Z54">SUM(B54:X54)</f>
        <v>1037781356</v>
      </c>
      <c r="AA54" s="1652"/>
      <c r="AB54" s="1652"/>
      <c r="AC54" s="1652"/>
      <c r="AD54" s="1652"/>
      <c r="AE54" s="1652"/>
      <c r="AF54" s="1652"/>
      <c r="AG54" s="1652"/>
      <c r="AH54" s="1652"/>
      <c r="AI54" s="1652"/>
      <c r="AJ54" s="1652"/>
      <c r="AK54" s="1652"/>
      <c r="AL54" s="1652"/>
      <c r="AM54" s="1654"/>
    </row>
    <row r="55" ht="13.5" customHeight="1">
      <c r="A55" t="s" s="1910">
        <v>4034</v>
      </c>
      <c r="B55" s="1901">
        <v>67723000</v>
      </c>
      <c r="C55" s="1903"/>
      <c r="D55" s="1904">
        <v>74247861</v>
      </c>
      <c r="E55" s="1903"/>
      <c r="F55" s="1904">
        <v>104765500</v>
      </c>
      <c r="G55" s="1903"/>
      <c r="H55" s="1904">
        <v>179809000</v>
      </c>
      <c r="I55" s="1903"/>
      <c r="J55" s="1904">
        <v>198735250</v>
      </c>
      <c r="K55" s="1903"/>
      <c r="L55" s="1904">
        <v>163863171</v>
      </c>
      <c r="M55" s="1903"/>
      <c r="N55" s="1904">
        <v>183629037</v>
      </c>
      <c r="O55" s="1903"/>
      <c r="P55" s="1904">
        <v>216816400</v>
      </c>
      <c r="Q55" s="1903"/>
      <c r="R55" s="1904">
        <v>144630504</v>
      </c>
      <c r="S55" s="1903"/>
      <c r="T55" s="1904">
        <v>215776720</v>
      </c>
      <c r="U55" s="1903"/>
      <c r="V55" s="1904">
        <v>113734000</v>
      </c>
      <c r="W55" s="1903"/>
      <c r="X55" s="1904">
        <v>109813415</v>
      </c>
      <c r="Y55" s="1903"/>
      <c r="Z55" s="1907" cm="1">
        <f t="array" ref="Z55">SUM(B55:X55)</f>
        <v>1773543858</v>
      </c>
      <c r="AA55" s="1652"/>
      <c r="AB55" s="1652"/>
      <c r="AC55" s="1652"/>
      <c r="AD55" s="1652"/>
      <c r="AE55" s="1652"/>
      <c r="AF55" s="1652"/>
      <c r="AG55" s="1652"/>
      <c r="AH55" s="1652"/>
      <c r="AI55" s="1652"/>
      <c r="AJ55" s="1652"/>
      <c r="AK55" s="1652"/>
      <c r="AL55" s="1652"/>
      <c r="AM55" s="1654"/>
    </row>
    <row r="56" ht="13.5" customHeight="1">
      <c r="A56" t="s" s="1910">
        <v>4035</v>
      </c>
      <c r="B56" s="1901">
        <v>24547636</v>
      </c>
      <c r="C56" s="1903"/>
      <c r="D56" s="1904">
        <v>1250000</v>
      </c>
      <c r="E56" s="1903"/>
      <c r="F56" s="1904">
        <v>0</v>
      </c>
      <c r="G56" s="1903"/>
      <c r="H56" s="1904">
        <v>104085700</v>
      </c>
      <c r="I56" s="1903"/>
      <c r="J56" s="1904">
        <v>117735499</v>
      </c>
      <c r="K56" s="1903"/>
      <c r="L56" s="1904">
        <v>160663850</v>
      </c>
      <c r="M56" s="1903"/>
      <c r="N56" s="1904">
        <v>221751910</v>
      </c>
      <c r="O56" s="1903"/>
      <c r="P56" s="1904">
        <v>270564025</v>
      </c>
      <c r="Q56" s="1903"/>
      <c r="R56" s="1904">
        <v>172710967</v>
      </c>
      <c r="S56" s="1903"/>
      <c r="T56" s="1904">
        <v>204662825</v>
      </c>
      <c r="U56" s="1903"/>
      <c r="V56" s="1904">
        <v>232842924</v>
      </c>
      <c r="W56" s="1903"/>
      <c r="X56" s="1904">
        <v>144610300</v>
      </c>
      <c r="Y56" s="1903"/>
      <c r="Z56" s="1907" cm="1">
        <f t="array" ref="Z56">SUM(B56:X56)</f>
        <v>1655425636</v>
      </c>
      <c r="AA56" s="1652"/>
      <c r="AB56" s="1652"/>
      <c r="AC56" s="1652"/>
      <c r="AD56" s="1652"/>
      <c r="AE56" s="1652"/>
      <c r="AF56" s="1652"/>
      <c r="AG56" s="1652"/>
      <c r="AH56" s="1652"/>
      <c r="AI56" s="1652"/>
      <c r="AJ56" s="1652"/>
      <c r="AK56" s="1652"/>
      <c r="AL56" s="1652"/>
      <c r="AM56" s="1654"/>
    </row>
    <row r="57" ht="13.5" customHeight="1">
      <c r="A57" t="s" s="1910">
        <v>3062</v>
      </c>
      <c r="B57" s="1901"/>
      <c r="C57" s="1903"/>
      <c r="D57" s="1904"/>
      <c r="E57" s="1903"/>
      <c r="F57" s="1904">
        <v>105765240</v>
      </c>
      <c r="G57" s="1903"/>
      <c r="H57" s="1904">
        <v>169942025</v>
      </c>
      <c r="I57" s="1903"/>
      <c r="J57" s="1904">
        <v>200298500</v>
      </c>
      <c r="K57" s="1903"/>
      <c r="L57" s="1904">
        <v>188770750</v>
      </c>
      <c r="M57" s="1903"/>
      <c r="N57" s="1904">
        <v>161843500</v>
      </c>
      <c r="O57" s="1903"/>
      <c r="P57" s="1904">
        <v>225721000</v>
      </c>
      <c r="Q57" s="1903"/>
      <c r="R57" s="1904">
        <v>168901297</v>
      </c>
      <c r="S57" s="1903"/>
      <c r="T57" s="1904">
        <v>143773000</v>
      </c>
      <c r="U57" s="1903"/>
      <c r="V57" s="1904">
        <v>103492550</v>
      </c>
      <c r="W57" s="1903"/>
      <c r="X57" s="1904">
        <v>166004300</v>
      </c>
      <c r="Y57" s="1903"/>
      <c r="Z57" s="1907" cm="1">
        <f t="array" ref="Z57">SUM(B57:X57)</f>
        <v>1634512162</v>
      </c>
      <c r="AA57" s="1652"/>
      <c r="AB57" s="1652"/>
      <c r="AC57" s="1652"/>
      <c r="AD57" s="1652"/>
      <c r="AE57" s="1652"/>
      <c r="AF57" s="1652"/>
      <c r="AG57" s="1652"/>
      <c r="AH57" s="1652"/>
      <c r="AI57" s="1652"/>
      <c r="AJ57" s="1652"/>
      <c r="AK57" s="1652"/>
      <c r="AL57" s="1652"/>
      <c r="AM57" s="1654"/>
    </row>
    <row r="58" ht="13.5" customHeight="1">
      <c r="A58" t="s" s="1910">
        <v>4036</v>
      </c>
      <c r="B58" s="1901">
        <v>2012500</v>
      </c>
      <c r="C58" s="1903"/>
      <c r="D58" s="1904">
        <v>1610000</v>
      </c>
      <c r="E58" s="1903"/>
      <c r="F58" s="1904">
        <v>2415000</v>
      </c>
      <c r="G58" s="1903"/>
      <c r="H58" s="1904">
        <v>2012500</v>
      </c>
      <c r="I58" s="1903"/>
      <c r="J58" s="1904">
        <v>1207500</v>
      </c>
      <c r="K58" s="1903"/>
      <c r="L58" s="1904">
        <v>402500</v>
      </c>
      <c r="M58" s="1903"/>
      <c r="N58" s="1904"/>
      <c r="O58" s="1903"/>
      <c r="P58" s="1904"/>
      <c r="Q58" s="1903"/>
      <c r="R58" s="1904" cm="1">
        <f t="array" ref="R58">27660000+268049000</f>
        <v>295709000</v>
      </c>
      <c r="S58" s="1903"/>
      <c r="T58" s="1904">
        <v>96710000</v>
      </c>
      <c r="U58" s="1903"/>
      <c r="V58" s="1904"/>
      <c r="W58" s="1903"/>
      <c r="X58" s="1904"/>
      <c r="Y58" s="1903"/>
      <c r="Z58" s="1907" cm="1">
        <f t="array" ref="Z58">SUM(B58:X58)</f>
        <v>402079000</v>
      </c>
      <c r="AA58" s="1652"/>
      <c r="AB58" s="1652"/>
      <c r="AC58" s="1652"/>
      <c r="AD58" s="1652"/>
      <c r="AE58" s="1652"/>
      <c r="AF58" s="1652"/>
      <c r="AG58" s="1652"/>
      <c r="AH58" s="1652"/>
      <c r="AI58" s="1652"/>
      <c r="AJ58" s="1652"/>
      <c r="AK58" s="1652"/>
      <c r="AL58" s="1652"/>
      <c r="AM58" s="1654"/>
    </row>
    <row r="59" ht="13.5" customHeight="1">
      <c r="A59" t="s" s="1910">
        <v>4037</v>
      </c>
      <c r="B59" s="1901"/>
      <c r="C59" s="1903"/>
      <c r="D59" s="1904"/>
      <c r="E59" s="1903"/>
      <c r="F59" s="1904"/>
      <c r="G59" s="1903"/>
      <c r="H59" s="1904"/>
      <c r="I59" s="1903"/>
      <c r="J59" s="1904"/>
      <c r="K59" s="1903"/>
      <c r="L59" s="1904"/>
      <c r="M59" s="1903"/>
      <c r="N59" s="1904"/>
      <c r="O59" s="1903"/>
      <c r="P59" s="1904"/>
      <c r="Q59" s="1903"/>
      <c r="R59" s="1904"/>
      <c r="S59" s="1903"/>
      <c r="T59" s="1904"/>
      <c r="U59" s="1903"/>
      <c r="V59" s="1904"/>
      <c r="W59" s="1903"/>
      <c r="X59" s="1904">
        <v>11000000</v>
      </c>
      <c r="Y59" s="1903"/>
      <c r="Z59" s="1907" cm="1">
        <f t="array" ref="Z59">SUM(B59:X59)</f>
        <v>11000000</v>
      </c>
      <c r="AA59" s="1652"/>
      <c r="AB59" s="1652"/>
      <c r="AC59" s="1652"/>
      <c r="AD59" s="1652"/>
      <c r="AE59" s="1652"/>
      <c r="AF59" s="1652"/>
      <c r="AG59" s="1652"/>
      <c r="AH59" s="1652"/>
      <c r="AI59" s="1652"/>
      <c r="AJ59" s="1652"/>
      <c r="AK59" s="1652"/>
      <c r="AL59" s="1652"/>
      <c r="AM59" s="1654"/>
    </row>
    <row r="60" ht="13.5" customHeight="1">
      <c r="A60" t="s" s="1910">
        <v>4038</v>
      </c>
      <c r="B60" s="1901">
        <v>34980000</v>
      </c>
      <c r="C60" s="1903"/>
      <c r="D60" s="1904">
        <v>56020000</v>
      </c>
      <c r="E60" s="1903"/>
      <c r="F60" s="1904">
        <v>59260000</v>
      </c>
      <c r="G60" s="1903"/>
      <c r="H60" s="1904">
        <v>72500000</v>
      </c>
      <c r="I60" s="1903"/>
      <c r="J60" s="1904">
        <v>75740000</v>
      </c>
      <c r="K60" s="1903"/>
      <c r="L60" s="1904">
        <v>104700000</v>
      </c>
      <c r="M60" s="1903"/>
      <c r="N60" s="1904">
        <v>104700000</v>
      </c>
      <c r="O60" s="1903"/>
      <c r="P60" s="1904">
        <v>113120000</v>
      </c>
      <c r="Q60" s="1903"/>
      <c r="R60" s="1904">
        <v>84240000</v>
      </c>
      <c r="S60" s="1903"/>
      <c r="T60" s="1904" cm="1">
        <f t="array" ref="T60">102479355+9580645</f>
        <v>112060000</v>
      </c>
      <c r="U60" s="1903"/>
      <c r="V60" s="1904" cm="1">
        <f t="array" ref="V60">72010000+11000000</f>
        <v>83010000</v>
      </c>
      <c r="W60" s="1903"/>
      <c r="X60" s="1904">
        <v>34580000</v>
      </c>
      <c r="Y60" s="1903"/>
      <c r="Z60" s="1907" cm="1">
        <f t="array" ref="Z60">SUM(B60:X60)</f>
        <v>934910000</v>
      </c>
      <c r="AA60" s="1652"/>
      <c r="AB60" s="1652"/>
      <c r="AC60" s="1652"/>
      <c r="AD60" s="1652"/>
      <c r="AE60" s="1652"/>
      <c r="AF60" s="1652"/>
      <c r="AG60" s="1652"/>
      <c r="AH60" s="1652"/>
      <c r="AI60" s="1652"/>
      <c r="AJ60" s="1652"/>
      <c r="AK60" s="1652"/>
      <c r="AL60" s="1652"/>
      <c r="AM60" s="1654"/>
    </row>
    <row r="61" ht="13.5" customHeight="1">
      <c r="A61" t="s" s="1910">
        <v>3828</v>
      </c>
      <c r="B61" s="1901">
        <v>20813900</v>
      </c>
      <c r="C61" s="1903"/>
      <c r="D61" s="1904">
        <v>13788876</v>
      </c>
      <c r="E61" s="1903"/>
      <c r="F61" s="1904">
        <v>16682500</v>
      </c>
      <c r="G61" s="1903"/>
      <c r="H61" s="1904">
        <v>31477133</v>
      </c>
      <c r="I61" s="1903"/>
      <c r="J61" s="1904">
        <v>37749050</v>
      </c>
      <c r="K61" s="1903"/>
      <c r="L61" s="1904">
        <v>65990600</v>
      </c>
      <c r="M61" s="1903"/>
      <c r="N61" s="1904">
        <v>40893040</v>
      </c>
      <c r="O61" s="1903"/>
      <c r="P61" s="1904">
        <v>40492978</v>
      </c>
      <c r="Q61" s="1903"/>
      <c r="R61" s="1904">
        <v>43861965</v>
      </c>
      <c r="S61" s="1903"/>
      <c r="T61" s="1904">
        <v>22924200</v>
      </c>
      <c r="U61" s="1903"/>
      <c r="V61" s="1904" cm="1">
        <f t="array" ref="V61">11550655+9997496</f>
        <v>21548151</v>
      </c>
      <c r="W61" s="1903"/>
      <c r="X61" s="1904">
        <v>5543200</v>
      </c>
      <c r="Y61" s="1903"/>
      <c r="Z61" s="1907" cm="1">
        <f t="array" ref="Z61">SUM(B61:X61)</f>
        <v>361765593</v>
      </c>
      <c r="AA61" s="1652"/>
      <c r="AB61" s="1652"/>
      <c r="AC61" s="1652"/>
      <c r="AD61" s="1652"/>
      <c r="AE61" s="1652"/>
      <c r="AF61" s="1652"/>
      <c r="AG61" s="1652"/>
      <c r="AH61" s="1652"/>
      <c r="AI61" s="1652"/>
      <c r="AJ61" s="1652"/>
      <c r="AK61" s="1652"/>
      <c r="AL61" s="1652"/>
      <c r="AM61" s="1654"/>
    </row>
    <row r="62" ht="13.5" customHeight="1">
      <c r="A62" t="s" s="1910">
        <v>4039</v>
      </c>
      <c r="B62" s="1901">
        <v>152550000</v>
      </c>
      <c r="C62" s="1903"/>
      <c r="D62" s="1904">
        <v>115750000</v>
      </c>
      <c r="E62" s="1903"/>
      <c r="F62" s="1904">
        <v>157335000</v>
      </c>
      <c r="G62" s="1903"/>
      <c r="H62" s="1904">
        <v>249740000</v>
      </c>
      <c r="I62" s="1903"/>
      <c r="J62" s="1904">
        <v>317700000</v>
      </c>
      <c r="K62" s="1903"/>
      <c r="L62" s="1904">
        <v>355850000</v>
      </c>
      <c r="M62" s="1903"/>
      <c r="N62" s="1904">
        <v>336238800</v>
      </c>
      <c r="O62" s="1903"/>
      <c r="P62" s="1904">
        <v>352350000</v>
      </c>
      <c r="Q62" s="1903"/>
      <c r="R62" s="1904"/>
      <c r="S62" s="1903"/>
      <c r="T62" s="1904">
        <v>335986975</v>
      </c>
      <c r="U62" s="1903"/>
      <c r="V62" s="1904">
        <v>249550000</v>
      </c>
      <c r="W62" s="1903"/>
      <c r="X62" s="1904">
        <v>233654400</v>
      </c>
      <c r="Y62" s="1903"/>
      <c r="Z62" s="1907" cm="1">
        <f t="array" ref="Z62">SUM(B62:X62)</f>
        <v>2856705175</v>
      </c>
      <c r="AA62" s="1652"/>
      <c r="AB62" s="1652"/>
      <c r="AC62" s="1652"/>
      <c r="AD62" s="1652"/>
      <c r="AE62" s="1652"/>
      <c r="AF62" s="1652"/>
      <c r="AG62" s="1652"/>
      <c r="AH62" s="1652"/>
      <c r="AI62" s="1652"/>
      <c r="AJ62" s="1652"/>
      <c r="AK62" s="1652"/>
      <c r="AL62" s="1652"/>
      <c r="AM62" s="1654"/>
    </row>
    <row r="63" ht="13.5" customHeight="1">
      <c r="A63" t="s" s="1910">
        <v>4040</v>
      </c>
      <c r="B63" s="1901"/>
      <c r="C63" s="1903"/>
      <c r="D63" s="1904"/>
      <c r="E63" s="1903"/>
      <c r="F63" s="1904"/>
      <c r="G63" s="1903"/>
      <c r="H63" s="1904"/>
      <c r="I63" s="1903"/>
      <c r="J63" s="1904">
        <v>4350000</v>
      </c>
      <c r="K63" s="1903"/>
      <c r="L63" s="1904">
        <v>2336000</v>
      </c>
      <c r="M63" s="1903"/>
      <c r="N63" s="1904">
        <v>1138365</v>
      </c>
      <c r="O63" s="1903"/>
      <c r="P63" s="1904"/>
      <c r="Q63" s="1903"/>
      <c r="R63" s="1904"/>
      <c r="S63" s="1903"/>
      <c r="T63" s="1904"/>
      <c r="U63" s="1903"/>
      <c r="V63" s="1904"/>
      <c r="W63" s="1903"/>
      <c r="X63" s="1904"/>
      <c r="Y63" s="1903"/>
      <c r="Z63" s="1907" cm="1">
        <f t="array" ref="Z63">SUM(B63:X63)</f>
        <v>7824365</v>
      </c>
      <c r="AA63" s="1652"/>
      <c r="AB63" s="1652"/>
      <c r="AC63" s="1652"/>
      <c r="AD63" s="1652"/>
      <c r="AE63" s="1652"/>
      <c r="AF63" s="1652"/>
      <c r="AG63" s="1652"/>
      <c r="AH63" s="1652"/>
      <c r="AI63" s="1652"/>
      <c r="AJ63" s="1652"/>
      <c r="AK63" s="1652"/>
      <c r="AL63" s="1652"/>
      <c r="AM63" s="1654"/>
    </row>
    <row r="64" ht="13.5" customHeight="1">
      <c r="A64" t="s" s="1897">
        <v>4041</v>
      </c>
      <c r="B64" s="1912" cm="1">
        <f t="array" ref="B64">SUM(B20:B63)</f>
        <v>700112166</v>
      </c>
      <c r="C64" s="1903" cm="1">
        <f t="array" ref="C64">B64/B17</f>
        <v>0.566105947587297</v>
      </c>
      <c r="D64" s="1912" cm="1">
        <f t="array" ref="D64">SUM(D20:D63)</f>
        <v>858480587</v>
      </c>
      <c r="E64" s="1903" cm="1">
        <f t="array" ref="E64">D64/D17</f>
        <v>0.791552146681306</v>
      </c>
      <c r="F64" s="1912" cm="1">
        <f t="array" ref="F64">SUM(F20:F63)</f>
        <v>1357007890</v>
      </c>
      <c r="G64" s="1903" cm="1">
        <f t="array" ref="G64">F64/F17</f>
        <v>0.742714750493468</v>
      </c>
      <c r="H64" s="1912" cm="1">
        <f t="array" ref="H64">SUM(H20:H63)</f>
        <v>2199387871</v>
      </c>
      <c r="I64" s="1903" cm="1">
        <f t="array" ref="I64">H64/H17</f>
        <v>0.6583297143582399</v>
      </c>
      <c r="J64" s="1912" cm="1">
        <f t="array" ref="J64">SUM(J20:J63)</f>
        <v>2729030423</v>
      </c>
      <c r="K64" s="1903" cm="1">
        <f t="array" ref="K64">J64/J17</f>
        <v>0.665863660066945</v>
      </c>
      <c r="L64" s="1912" cm="1">
        <f t="array" ref="L64">SUM(L20:L63)</f>
        <v>2845644796</v>
      </c>
      <c r="M64" s="1903" cm="1">
        <f t="array" ref="M64">L64/L17</f>
        <v>0.649719246944569</v>
      </c>
      <c r="N64" s="1912" cm="1">
        <f t="array" ref="N64">SUM(N20:N63)</f>
        <v>2850787591</v>
      </c>
      <c r="O64" s="1903" cm="1">
        <f t="array" ref="O64">N64/N17</f>
        <v>0.630987642615869</v>
      </c>
      <c r="P64" s="1912" cm="1">
        <f t="array" ref="P64">SUM(P20:P63)</f>
        <v>3207697615</v>
      </c>
      <c r="Q64" s="1903" cm="1">
        <f t="array" ref="Q64">P64/P17</f>
        <v>0.646118462326568</v>
      </c>
      <c r="R64" s="1912" cm="1">
        <f t="array" ref="R64">SUM(R20:R63)</f>
        <v>2736395739</v>
      </c>
      <c r="S64" s="1903" cm="1">
        <f t="array" ref="S64">R64/R17</f>
        <v>0.623884615761412</v>
      </c>
      <c r="T64" s="1912" cm="1">
        <f t="array" ref="T64">SUM(T20:T63)</f>
        <v>2728922778</v>
      </c>
      <c r="U64" s="1903" cm="1">
        <f t="array" ref="U64">R64/R17</f>
        <v>0.623884615761412</v>
      </c>
      <c r="V64" s="1912" cm="1">
        <f t="array" ref="V64">SUM(V20:V63)</f>
        <v>2115704593</v>
      </c>
      <c r="W64" s="1903" cm="1">
        <f t="array" ref="W64">R64/R17</f>
        <v>0.623884615761412</v>
      </c>
      <c r="X64" s="1912" cm="1">
        <f t="array" ref="X64">SUM(X20:X63)</f>
        <v>2245615359.61</v>
      </c>
      <c r="Y64" s="1903" cm="1">
        <f t="array" ref="Y64">T64/T17</f>
        <v>0.663707817591114</v>
      </c>
      <c r="Z64" s="1912" cm="1">
        <f t="array" ref="Z64">SUM(Z20:Z63)</f>
        <v>26574787408.61</v>
      </c>
      <c r="AA64" s="1903" cm="1">
        <f t="array" ref="AA64">Z64/Z17</f>
        <v>0.656911823367714</v>
      </c>
      <c r="AB64" s="1652"/>
      <c r="AC64" s="1652"/>
      <c r="AD64" s="1652"/>
      <c r="AE64" s="1652"/>
      <c r="AF64" s="1652"/>
      <c r="AG64" s="1652"/>
      <c r="AH64" s="1652"/>
      <c r="AI64" s="1652"/>
      <c r="AJ64" s="1652"/>
      <c r="AK64" s="1652"/>
      <c r="AL64" s="1652"/>
      <c r="AM64" s="1654"/>
    </row>
    <row r="65" ht="13.5" customHeight="1">
      <c r="A65" s="1902"/>
      <c r="B65" s="1913"/>
      <c r="C65" s="1903"/>
      <c r="D65" s="1913"/>
      <c r="E65" s="1903"/>
      <c r="F65" s="1913"/>
      <c r="G65" s="1903"/>
      <c r="H65" s="1904"/>
      <c r="I65" s="1903"/>
      <c r="J65" s="1653"/>
      <c r="K65" s="1903"/>
      <c r="L65" s="1904"/>
      <c r="M65" s="1903"/>
      <c r="N65" s="1904"/>
      <c r="O65" s="1903"/>
      <c r="P65" s="1904"/>
      <c r="Q65" s="1903"/>
      <c r="R65" s="1653"/>
      <c r="S65" s="1903"/>
      <c r="T65" s="1653"/>
      <c r="U65" s="1903"/>
      <c r="V65" s="1904"/>
      <c r="W65" s="1903"/>
      <c r="X65" s="1904"/>
      <c r="Y65" s="1903"/>
      <c r="Z65" s="1913"/>
      <c r="AA65" s="1903"/>
      <c r="AB65" s="1903"/>
      <c r="AC65" s="1652"/>
      <c r="AD65" s="1652"/>
      <c r="AE65" s="1652"/>
      <c r="AF65" s="1652"/>
      <c r="AG65" s="1652"/>
      <c r="AH65" s="1652"/>
      <c r="AI65" s="1652"/>
      <c r="AJ65" s="1652"/>
      <c r="AK65" s="1652"/>
      <c r="AL65" s="1652"/>
      <c r="AM65" s="1654"/>
    </row>
    <row r="66" ht="13.5" customHeight="1">
      <c r="A66" t="s" s="1897">
        <v>2189</v>
      </c>
      <c r="B66" s="1898"/>
      <c r="C66" s="1903"/>
      <c r="D66" s="1898"/>
      <c r="E66" s="1903"/>
      <c r="F66" s="1898"/>
      <c r="G66" s="1903"/>
      <c r="H66" s="1905"/>
      <c r="I66" s="1903"/>
      <c r="J66" s="1898"/>
      <c r="K66" s="1903"/>
      <c r="L66" s="1905"/>
      <c r="M66" s="1903"/>
      <c r="N66" s="1905"/>
      <c r="O66" s="1903"/>
      <c r="P66" s="1905"/>
      <c r="Q66" s="1903"/>
      <c r="R66" s="1898"/>
      <c r="S66" s="1903"/>
      <c r="T66" s="1898"/>
      <c r="U66" s="1903"/>
      <c r="V66" s="1905"/>
      <c r="W66" s="1903"/>
      <c r="X66" s="1905"/>
      <c r="Y66" s="1903"/>
      <c r="Z66" s="1898"/>
      <c r="AA66" s="1652"/>
      <c r="AB66" s="1652"/>
      <c r="AC66" s="1652"/>
      <c r="AD66" s="1652"/>
      <c r="AE66" s="1652"/>
      <c r="AF66" s="1652"/>
      <c r="AG66" s="1652"/>
      <c r="AH66" s="1652"/>
      <c r="AI66" s="1652"/>
      <c r="AJ66" s="1652"/>
      <c r="AK66" s="1652"/>
      <c r="AL66" s="1652"/>
      <c r="AM66" s="1654"/>
    </row>
    <row r="67" ht="13.5" customHeight="1">
      <c r="A67" t="s" s="1909">
        <v>4042</v>
      </c>
      <c r="B67" s="1901">
        <v>112504882</v>
      </c>
      <c r="C67" s="1903"/>
      <c r="D67" s="1653">
        <v>125000000</v>
      </c>
      <c r="E67" s="1903"/>
      <c r="F67" s="1653">
        <v>41500000</v>
      </c>
      <c r="G67" s="1903"/>
      <c r="H67" s="1904">
        <v>80000000</v>
      </c>
      <c r="I67" s="1903"/>
      <c r="J67" s="1653">
        <v>15000000</v>
      </c>
      <c r="K67" s="1903"/>
      <c r="L67" s="1904"/>
      <c r="M67" s="1903"/>
      <c r="N67" s="1904">
        <v>66000000</v>
      </c>
      <c r="O67" s="1903"/>
      <c r="P67" s="1904"/>
      <c r="Q67" s="1903"/>
      <c r="R67" s="1653"/>
      <c r="S67" s="1903"/>
      <c r="T67" s="1653"/>
      <c r="U67" s="1903"/>
      <c r="V67" s="1904">
        <v>181916576</v>
      </c>
      <c r="W67" s="1903"/>
      <c r="X67" s="1904">
        <v>76000000</v>
      </c>
      <c r="Y67" s="1903"/>
      <c r="Z67" s="1907" cm="1">
        <f t="array" ref="Z67">SUM(B67:X67)</f>
        <v>697921458</v>
      </c>
      <c r="AA67" s="1652"/>
      <c r="AB67" s="1652"/>
      <c r="AC67" s="1652"/>
      <c r="AD67" s="1652"/>
      <c r="AE67" s="1652"/>
      <c r="AF67" s="1652"/>
      <c r="AG67" s="1652"/>
      <c r="AH67" s="1652"/>
      <c r="AI67" s="1652"/>
      <c r="AJ67" s="1652"/>
      <c r="AK67" s="1652"/>
      <c r="AL67" s="1652"/>
      <c r="AM67" s="1654"/>
    </row>
    <row r="68" ht="13.5" customHeight="1">
      <c r="A68" t="s" s="1911">
        <v>4043</v>
      </c>
      <c r="B68" s="1901">
        <v>505050</v>
      </c>
      <c r="C68" s="1903"/>
      <c r="D68" s="1653">
        <v>53280</v>
      </c>
      <c r="E68" s="1903"/>
      <c r="F68" s="1653">
        <v>0</v>
      </c>
      <c r="G68" s="1903"/>
      <c r="H68" s="1904">
        <v>53280</v>
      </c>
      <c r="I68" s="1903"/>
      <c r="J68" s="1653">
        <v>267856</v>
      </c>
      <c r="K68" s="1903"/>
      <c r="L68" s="1904">
        <v>53280</v>
      </c>
      <c r="M68" s="1903"/>
      <c r="N68" s="1904">
        <v>53280</v>
      </c>
      <c r="O68" s="1903"/>
      <c r="P68" s="1904"/>
      <c r="Q68" s="1903"/>
      <c r="R68" s="1653"/>
      <c r="S68" s="1903"/>
      <c r="T68" s="1653"/>
      <c r="U68" s="1903"/>
      <c r="V68" s="1904"/>
      <c r="W68" s="1903"/>
      <c r="X68" s="1904"/>
      <c r="Y68" s="1903"/>
      <c r="Z68" s="1907" cm="1">
        <f t="array" ref="Z68">SUM(B68:X68)</f>
        <v>986026</v>
      </c>
      <c r="AA68" s="1652"/>
      <c r="AB68" s="1652"/>
      <c r="AC68" s="1652"/>
      <c r="AD68" s="1652"/>
      <c r="AE68" s="1652"/>
      <c r="AF68" s="1652"/>
      <c r="AG68" s="1652"/>
      <c r="AH68" s="1652"/>
      <c r="AI68" s="1652"/>
      <c r="AJ68" s="1652"/>
      <c r="AK68" s="1652"/>
      <c r="AL68" s="1652"/>
      <c r="AM68" s="1654"/>
    </row>
    <row r="69" ht="13.5" customHeight="1">
      <c r="A69" t="s" s="1914">
        <v>4044</v>
      </c>
      <c r="B69" s="1901">
        <v>331593.87</v>
      </c>
      <c r="C69" s="1903"/>
      <c r="D69" s="1653">
        <v>339433.77</v>
      </c>
      <c r="E69" s="1903"/>
      <c r="F69" s="1653">
        <v>538264.2</v>
      </c>
      <c r="G69" s="1903"/>
      <c r="H69" s="1904">
        <v>267765</v>
      </c>
      <c r="I69" s="1903"/>
      <c r="J69" s="1653"/>
      <c r="K69" s="1903"/>
      <c r="L69" s="1904">
        <v>467970</v>
      </c>
      <c r="M69" s="1903"/>
      <c r="N69" s="1904">
        <v>1654835</v>
      </c>
      <c r="O69" s="1903"/>
      <c r="P69" s="1904">
        <v>168359</v>
      </c>
      <c r="Q69" s="1903"/>
      <c r="R69" s="1653">
        <v>1331858</v>
      </c>
      <c r="S69" s="1903"/>
      <c r="T69" s="1653">
        <v>155837</v>
      </c>
      <c r="U69" s="1903"/>
      <c r="V69" s="1904">
        <v>957210</v>
      </c>
      <c r="W69" s="1903"/>
      <c r="X69" s="1904">
        <v>189841.01</v>
      </c>
      <c r="Y69" s="1903"/>
      <c r="Z69" s="1907" cm="1">
        <f t="array" ref="Z69">SUM(B69:X69)</f>
        <v>6402966.85</v>
      </c>
      <c r="AA69" s="1652"/>
      <c r="AB69" s="1652"/>
      <c r="AC69" s="1652"/>
      <c r="AD69" s="1652"/>
      <c r="AE69" s="1652"/>
      <c r="AF69" s="1652"/>
      <c r="AG69" s="1652"/>
      <c r="AH69" s="1652"/>
      <c r="AI69" s="1652"/>
      <c r="AJ69" s="1652"/>
      <c r="AK69" s="1652"/>
      <c r="AL69" s="1652"/>
      <c r="AM69" s="1654"/>
    </row>
    <row r="70" ht="13.5" customHeight="1">
      <c r="A70" t="s" s="1914">
        <v>4045</v>
      </c>
      <c r="B70" s="1901">
        <v>22700000</v>
      </c>
      <c r="C70" s="1903"/>
      <c r="D70" s="1653">
        <v>12800000</v>
      </c>
      <c r="E70" s="1903"/>
      <c r="F70" s="1653">
        <v>12100000</v>
      </c>
      <c r="G70" s="1903"/>
      <c r="H70" s="1904">
        <v>40200000</v>
      </c>
      <c r="I70" s="1903"/>
      <c r="J70" s="1653">
        <v>30600000</v>
      </c>
      <c r="K70" s="1903"/>
      <c r="L70" s="1904">
        <v>32000000</v>
      </c>
      <c r="M70" s="1903"/>
      <c r="N70" s="1904">
        <v>43900000</v>
      </c>
      <c r="O70" s="1903"/>
      <c r="P70" s="1904">
        <v>69300000</v>
      </c>
      <c r="Q70" s="1903"/>
      <c r="R70" s="1653">
        <v>70550000</v>
      </c>
      <c r="S70" s="1903"/>
      <c r="T70" s="1653">
        <v>36500000</v>
      </c>
      <c r="U70" s="1903"/>
      <c r="V70" s="1904">
        <v>96500000</v>
      </c>
      <c r="W70" s="1903"/>
      <c r="X70" s="1904">
        <v>44700000</v>
      </c>
      <c r="Y70" s="1903"/>
      <c r="Z70" s="1907" cm="1">
        <f t="array" ref="Z70">SUM(B70:X70)</f>
        <v>511850000</v>
      </c>
      <c r="AA70" s="1652"/>
      <c r="AB70" s="1652"/>
      <c r="AC70" s="1652"/>
      <c r="AD70" s="1652"/>
      <c r="AE70" s="1652"/>
      <c r="AF70" s="1652"/>
      <c r="AG70" s="1652"/>
      <c r="AH70" s="1652"/>
      <c r="AI70" s="1652"/>
      <c r="AJ70" s="1652"/>
      <c r="AK70" s="1652"/>
      <c r="AL70" s="1652"/>
      <c r="AM70" s="1654"/>
    </row>
    <row r="71" ht="13.5" customHeight="1">
      <c r="A71" t="s" s="1914">
        <v>4046</v>
      </c>
      <c r="B71" s="1901"/>
      <c r="C71" s="1903"/>
      <c r="D71" s="1652"/>
      <c r="E71" s="1903"/>
      <c r="F71" s="1652"/>
      <c r="G71" s="1903"/>
      <c r="H71" s="1904"/>
      <c r="I71" s="1903"/>
      <c r="J71" s="1653"/>
      <c r="K71" s="1903"/>
      <c r="L71" s="1904"/>
      <c r="M71" s="1903"/>
      <c r="N71" s="1904"/>
      <c r="O71" s="1903"/>
      <c r="P71" s="1904"/>
      <c r="Q71" s="1903"/>
      <c r="R71" s="1653"/>
      <c r="S71" s="1903"/>
      <c r="T71" s="1653"/>
      <c r="U71" s="1903"/>
      <c r="V71" s="1904"/>
      <c r="W71" s="1903"/>
      <c r="X71" s="1904">
        <v>3818920</v>
      </c>
      <c r="Y71" s="1903"/>
      <c r="Z71" s="1907" cm="1">
        <f t="array" ref="Z71">SUM(B71:X71)</f>
        <v>3818920</v>
      </c>
      <c r="AA71" s="1652"/>
      <c r="AB71" s="1652"/>
      <c r="AC71" s="1652"/>
      <c r="AD71" s="1652"/>
      <c r="AE71" s="1652"/>
      <c r="AF71" s="1652"/>
      <c r="AG71" s="1652"/>
      <c r="AH71" s="1652"/>
      <c r="AI71" s="1652"/>
      <c r="AJ71" s="1652"/>
      <c r="AK71" s="1652"/>
      <c r="AL71" s="1652"/>
      <c r="AM71" s="1654"/>
    </row>
    <row r="72" ht="13.5" customHeight="1">
      <c r="A72" t="s" s="1914">
        <v>4047</v>
      </c>
      <c r="B72" s="1901">
        <v>931499</v>
      </c>
      <c r="C72" s="1903"/>
      <c r="D72" s="1653">
        <v>496911</v>
      </c>
      <c r="E72" s="1903"/>
      <c r="F72" s="1653">
        <v>-371327</v>
      </c>
      <c r="G72" s="1903"/>
      <c r="H72" s="1904">
        <v>593498</v>
      </c>
      <c r="I72" s="1903"/>
      <c r="J72" s="1653">
        <v>41985</v>
      </c>
      <c r="K72" s="1903"/>
      <c r="L72" s="1904">
        <v>-2484306</v>
      </c>
      <c r="M72" s="1903"/>
      <c r="N72" s="1904">
        <v>3434935</v>
      </c>
      <c r="O72" s="1903"/>
      <c r="P72" s="1904">
        <v>-713016</v>
      </c>
      <c r="Q72" s="1903"/>
      <c r="R72" s="1653">
        <v>2484154</v>
      </c>
      <c r="S72" s="1903"/>
      <c r="T72" s="1653">
        <v>-68078</v>
      </c>
      <c r="U72" s="1903"/>
      <c r="V72" s="1904">
        <v>10876627</v>
      </c>
      <c r="W72" s="1903"/>
      <c r="X72" s="1904">
        <v>-3025957.61</v>
      </c>
      <c r="Y72" s="1903"/>
      <c r="Z72" s="1907" cm="1">
        <f t="array" ref="Z72">SUM(B72:X72)</f>
        <v>12196924.39</v>
      </c>
      <c r="AA72" s="1652"/>
      <c r="AB72" s="1652"/>
      <c r="AC72" s="1652"/>
      <c r="AD72" s="1652"/>
      <c r="AE72" s="1652"/>
      <c r="AF72" s="1652"/>
      <c r="AG72" s="1652"/>
      <c r="AH72" s="1652"/>
      <c r="AI72" s="1652"/>
      <c r="AJ72" s="1652"/>
      <c r="AK72" s="1652"/>
      <c r="AL72" s="1652"/>
      <c r="AM72" s="1654"/>
    </row>
    <row r="73" ht="13.5" customHeight="1">
      <c r="A73" t="s" s="1914">
        <v>4048</v>
      </c>
      <c r="B73" s="1901">
        <v>12775000</v>
      </c>
      <c r="C73" s="1903"/>
      <c r="D73" s="1653">
        <v>2100000</v>
      </c>
      <c r="E73" s="1903"/>
      <c r="F73" s="1653">
        <v>0</v>
      </c>
      <c r="G73" s="1903"/>
      <c r="H73" s="1904">
        <v>57060612</v>
      </c>
      <c r="I73" s="1903"/>
      <c r="J73" s="1653">
        <v>107636335</v>
      </c>
      <c r="K73" s="1903"/>
      <c r="L73" s="1904">
        <v>112657443</v>
      </c>
      <c r="M73" s="1903"/>
      <c r="N73" s="1904">
        <v>105975832</v>
      </c>
      <c r="O73" s="1903"/>
      <c r="P73" s="1904">
        <v>177356856</v>
      </c>
      <c r="Q73" s="1903"/>
      <c r="R73" s="1653">
        <v>115242038</v>
      </c>
      <c r="S73" s="1903"/>
      <c r="T73" s="1653">
        <v>124973711</v>
      </c>
      <c r="U73" s="1903"/>
      <c r="V73" s="1904">
        <v>145374019</v>
      </c>
      <c r="W73" s="1903"/>
      <c r="X73" s="1904">
        <v>167426454</v>
      </c>
      <c r="Y73" s="1903"/>
      <c r="Z73" s="1907" cm="1">
        <f t="array" ref="Z73">SUM(B73:X73)</f>
        <v>1128578300</v>
      </c>
      <c r="AA73" s="1652"/>
      <c r="AB73" s="1652"/>
      <c r="AC73" s="1652"/>
      <c r="AD73" s="1652"/>
      <c r="AE73" s="1652"/>
      <c r="AF73" s="1652"/>
      <c r="AG73" s="1652"/>
      <c r="AH73" s="1652"/>
      <c r="AI73" s="1652"/>
      <c r="AJ73" s="1652"/>
      <c r="AK73" s="1652"/>
      <c r="AL73" s="1652"/>
      <c r="AM73" s="1654"/>
    </row>
    <row r="74" ht="13.5" customHeight="1">
      <c r="A74" t="s" s="1914">
        <v>4049</v>
      </c>
      <c r="B74" s="1901">
        <v>81346989</v>
      </c>
      <c r="C74" s="1903"/>
      <c r="D74" s="1653">
        <v>400000</v>
      </c>
      <c r="E74" s="1903"/>
      <c r="F74" s="1653">
        <v>0</v>
      </c>
      <c r="G74" s="1903"/>
      <c r="H74" s="1904">
        <v>400000</v>
      </c>
      <c r="I74" s="1903"/>
      <c r="J74" s="1653"/>
      <c r="K74" s="1903"/>
      <c r="L74" s="1904">
        <v>6683613</v>
      </c>
      <c r="M74" s="1903"/>
      <c r="N74" s="1904">
        <v>49800000</v>
      </c>
      <c r="O74" s="1903"/>
      <c r="P74" s="1904">
        <v>19552933</v>
      </c>
      <c r="Q74" s="1903"/>
      <c r="R74" s="1653">
        <v>13780035</v>
      </c>
      <c r="S74" s="1903"/>
      <c r="T74" s="1653">
        <v>51500</v>
      </c>
      <c r="U74" s="1903"/>
      <c r="V74" s="1904">
        <v>1200000</v>
      </c>
      <c r="W74" s="1903"/>
      <c r="X74" s="1904"/>
      <c r="Y74" s="1903"/>
      <c r="Z74" s="1907" cm="1">
        <f t="array" ref="Z74">SUM(B74:X74)</f>
        <v>173215070</v>
      </c>
      <c r="AA74" s="1652"/>
      <c r="AB74" s="1652"/>
      <c r="AC74" s="1652"/>
      <c r="AD74" s="1652"/>
      <c r="AE74" s="1652"/>
      <c r="AF74" s="1652"/>
      <c r="AG74" s="1652"/>
      <c r="AH74" s="1652"/>
      <c r="AI74" s="1652"/>
      <c r="AJ74" s="1652"/>
      <c r="AK74" s="1652"/>
      <c r="AL74" s="1652"/>
      <c r="AM74" s="1654"/>
    </row>
    <row r="75" ht="13.5" customHeight="1">
      <c r="A75" t="s" s="1914">
        <v>4050</v>
      </c>
      <c r="B75" s="1901">
        <v>4360000</v>
      </c>
      <c r="C75" s="1903"/>
      <c r="D75" s="1653">
        <v>7670000</v>
      </c>
      <c r="E75" s="1903"/>
      <c r="F75" s="1653">
        <v>4360000</v>
      </c>
      <c r="G75" s="1903"/>
      <c r="H75" s="1904">
        <v>4360000</v>
      </c>
      <c r="I75" s="1903"/>
      <c r="J75" s="1653">
        <v>17985000</v>
      </c>
      <c r="K75" s="1903"/>
      <c r="L75" s="1904">
        <v>6540000</v>
      </c>
      <c r="M75" s="1903"/>
      <c r="N75" s="1904">
        <v>2180000</v>
      </c>
      <c r="O75" s="1903"/>
      <c r="P75" s="1904">
        <v>7630000</v>
      </c>
      <c r="Q75" s="1903"/>
      <c r="R75" s="1653">
        <v>11482500</v>
      </c>
      <c r="S75" s="1903"/>
      <c r="T75" s="1653">
        <v>8720000</v>
      </c>
      <c r="U75" s="1903"/>
      <c r="V75" s="1904">
        <v>15532500</v>
      </c>
      <c r="W75" s="1903"/>
      <c r="X75" s="1904">
        <v>40000000</v>
      </c>
      <c r="Y75" s="1903"/>
      <c r="Z75" s="1907" cm="1">
        <f t="array" ref="Z75">SUM(B75:X75)</f>
        <v>130820000</v>
      </c>
      <c r="AA75" s="1652"/>
      <c r="AB75" s="1652"/>
      <c r="AC75" s="1652"/>
      <c r="AD75" s="1652"/>
      <c r="AE75" s="1652"/>
      <c r="AF75" s="1652"/>
      <c r="AG75" s="1652"/>
      <c r="AH75" s="1652"/>
      <c r="AI75" s="1652"/>
      <c r="AJ75" s="1652"/>
      <c r="AK75" s="1652"/>
      <c r="AL75" s="1652"/>
      <c r="AM75" s="1654"/>
    </row>
    <row r="76" ht="13.5" customHeight="1">
      <c r="A76" t="s" s="1914">
        <v>4051</v>
      </c>
      <c r="B76" s="1901"/>
      <c r="C76" s="1903"/>
      <c r="D76" s="1652"/>
      <c r="E76" s="1903"/>
      <c r="F76" s="1652"/>
      <c r="G76" s="1903"/>
      <c r="H76" s="1904"/>
      <c r="I76" s="1903"/>
      <c r="J76" s="1653"/>
      <c r="K76" s="1903"/>
      <c r="L76" s="1904"/>
      <c r="M76" s="1903"/>
      <c r="N76" s="1904"/>
      <c r="O76" s="1903"/>
      <c r="P76" s="1904"/>
      <c r="Q76" s="1903"/>
      <c r="R76" s="1653"/>
      <c r="S76" s="1903"/>
      <c r="T76" s="1653"/>
      <c r="U76" s="1903"/>
      <c r="V76" s="1904"/>
      <c r="W76" s="1903"/>
      <c r="X76" s="1904">
        <v>2250000</v>
      </c>
      <c r="Y76" s="1903"/>
      <c r="Z76" s="1907" cm="1">
        <f t="array" ref="Z76">SUM(B76:X76)</f>
        <v>2250000</v>
      </c>
      <c r="AA76" s="1652"/>
      <c r="AB76" s="1652"/>
      <c r="AC76" s="1652"/>
      <c r="AD76" s="1652"/>
      <c r="AE76" s="1652"/>
      <c r="AF76" s="1652"/>
      <c r="AG76" s="1652"/>
      <c r="AH76" s="1652"/>
      <c r="AI76" s="1652"/>
      <c r="AJ76" s="1652"/>
      <c r="AK76" s="1652"/>
      <c r="AL76" s="1652"/>
      <c r="AM76" s="1654"/>
    </row>
    <row r="77" ht="13.5" customHeight="1">
      <c r="A77" t="s" s="1914">
        <v>4052</v>
      </c>
      <c r="B77" s="1901">
        <v>4595000</v>
      </c>
      <c r="C77" s="1903"/>
      <c r="D77" s="1652"/>
      <c r="E77" s="1903"/>
      <c r="F77" s="1653">
        <v>7213310</v>
      </c>
      <c r="G77" s="1903"/>
      <c r="H77" s="1904">
        <v>2838750</v>
      </c>
      <c r="I77" s="1903"/>
      <c r="J77" s="1653">
        <v>40705500</v>
      </c>
      <c r="K77" s="1903"/>
      <c r="L77" s="1904">
        <v>55093500</v>
      </c>
      <c r="M77" s="1903"/>
      <c r="N77" s="1904">
        <v>28760400</v>
      </c>
      <c r="O77" s="1903"/>
      <c r="P77" s="1904">
        <v>54687000</v>
      </c>
      <c r="Q77" s="1903"/>
      <c r="R77" s="1653">
        <v>3599100</v>
      </c>
      <c r="S77" s="1903"/>
      <c r="T77" s="1653"/>
      <c r="U77" s="1903"/>
      <c r="V77" s="1904">
        <v>9893500</v>
      </c>
      <c r="W77" s="1903"/>
      <c r="X77" s="1904">
        <v>2000000</v>
      </c>
      <c r="Y77" s="1903"/>
      <c r="Z77" s="1907" cm="1">
        <f t="array" ref="Z77">SUM(B77:X77)</f>
        <v>209386060</v>
      </c>
      <c r="AA77" s="1652"/>
      <c r="AB77" s="1652"/>
      <c r="AC77" s="1652"/>
      <c r="AD77" s="1652"/>
      <c r="AE77" s="1652"/>
      <c r="AF77" s="1652"/>
      <c r="AG77" s="1652"/>
      <c r="AH77" s="1652"/>
      <c r="AI77" s="1652"/>
      <c r="AJ77" s="1652"/>
      <c r="AK77" s="1652"/>
      <c r="AL77" s="1652"/>
      <c r="AM77" s="1654"/>
    </row>
    <row r="78" ht="13.5" customHeight="1">
      <c r="A78" t="s" s="1914">
        <v>4053</v>
      </c>
      <c r="B78" s="1901">
        <v>1000000</v>
      </c>
      <c r="C78" s="1903"/>
      <c r="D78" s="1652"/>
      <c r="E78" s="1903"/>
      <c r="F78" s="1652"/>
      <c r="G78" s="1903"/>
      <c r="H78" s="1904">
        <v>1000000</v>
      </c>
      <c r="I78" s="1903"/>
      <c r="J78" s="1653"/>
      <c r="K78" s="1903"/>
      <c r="L78" s="1904"/>
      <c r="M78" s="1903"/>
      <c r="N78" s="1904">
        <v>3000000</v>
      </c>
      <c r="O78" s="1903"/>
      <c r="P78" s="1904">
        <v>6600000</v>
      </c>
      <c r="Q78" s="1903"/>
      <c r="R78" s="1653"/>
      <c r="S78" s="1903"/>
      <c r="T78" s="1653"/>
      <c r="U78" s="1903"/>
      <c r="V78" s="1904">
        <v>4500000</v>
      </c>
      <c r="W78" s="1903"/>
      <c r="X78" s="1904">
        <v>6580000</v>
      </c>
      <c r="Y78" s="1903"/>
      <c r="Z78" s="1907" cm="1">
        <f t="array" ref="Z78">SUM(B78:X78)</f>
        <v>22680000</v>
      </c>
      <c r="AA78" s="1652"/>
      <c r="AB78" s="1652"/>
      <c r="AC78" s="1652"/>
      <c r="AD78" s="1652"/>
      <c r="AE78" s="1652"/>
      <c r="AF78" s="1652"/>
      <c r="AG78" s="1652"/>
      <c r="AH78" s="1652"/>
      <c r="AI78" s="1652"/>
      <c r="AJ78" s="1652"/>
      <c r="AK78" s="1652"/>
      <c r="AL78" s="1652"/>
      <c r="AM78" s="1654"/>
    </row>
    <row r="79" ht="13.5" customHeight="1">
      <c r="A79" t="s" s="1914">
        <v>1133</v>
      </c>
      <c r="B79" s="1901"/>
      <c r="C79" s="1903"/>
      <c r="D79" s="1652"/>
      <c r="E79" s="1903"/>
      <c r="F79" s="1652"/>
      <c r="G79" s="1903"/>
      <c r="H79" s="1904"/>
      <c r="I79" s="1903"/>
      <c r="J79" s="1653"/>
      <c r="K79" s="1903"/>
      <c r="L79" s="1904">
        <v>100000</v>
      </c>
      <c r="M79" s="1903"/>
      <c r="N79" s="1904">
        <v>14750000</v>
      </c>
      <c r="O79" s="1903"/>
      <c r="P79" s="1904">
        <v>715500</v>
      </c>
      <c r="Q79" s="1903"/>
      <c r="R79" s="1653">
        <v>36820050</v>
      </c>
      <c r="S79" s="1903"/>
      <c r="T79" s="1653">
        <v>2325750</v>
      </c>
      <c r="U79" s="1903"/>
      <c r="V79" s="1904">
        <v>16103600</v>
      </c>
      <c r="W79" s="1903"/>
      <c r="X79" s="1904">
        <v>30245276</v>
      </c>
      <c r="Y79" s="1903"/>
      <c r="Z79" s="1907" cm="1">
        <f t="array" ref="Z79">SUM(B79:X79)</f>
        <v>101060176</v>
      </c>
      <c r="AA79" s="1652"/>
      <c r="AB79" s="1652"/>
      <c r="AC79" s="1652"/>
      <c r="AD79" s="1652"/>
      <c r="AE79" s="1652"/>
      <c r="AF79" s="1652"/>
      <c r="AG79" s="1652"/>
      <c r="AH79" s="1652"/>
      <c r="AI79" s="1652"/>
      <c r="AJ79" s="1652"/>
      <c r="AK79" s="1652"/>
      <c r="AL79" s="1652"/>
      <c r="AM79" s="1654"/>
    </row>
    <row r="80" ht="13.5" customHeight="1">
      <c r="A80" t="s" s="1914">
        <v>4054</v>
      </c>
      <c r="B80" s="1901">
        <v>141800</v>
      </c>
      <c r="C80" s="1903"/>
      <c r="D80" s="1653">
        <v>50900</v>
      </c>
      <c r="E80" s="1903"/>
      <c r="F80" s="1653">
        <v>0</v>
      </c>
      <c r="G80" s="1903"/>
      <c r="H80" s="1904"/>
      <c r="I80" s="1903"/>
      <c r="J80" s="1653"/>
      <c r="K80" s="1903"/>
      <c r="L80" s="1904"/>
      <c r="M80" s="1903"/>
      <c r="N80" s="1904"/>
      <c r="O80" s="1903"/>
      <c r="P80" s="1904"/>
      <c r="Q80" s="1903"/>
      <c r="R80" s="1653"/>
      <c r="S80" s="1903"/>
      <c r="T80" s="1653"/>
      <c r="U80" s="1903"/>
      <c r="V80" s="1904"/>
      <c r="W80" s="1903"/>
      <c r="X80" s="1904"/>
      <c r="Y80" s="1903"/>
      <c r="Z80" s="1907" cm="1">
        <f t="array" ref="Z80">SUM(B80:X80)</f>
        <v>192700</v>
      </c>
      <c r="AA80" s="1652"/>
      <c r="AB80" s="1652"/>
      <c r="AC80" s="1652"/>
      <c r="AD80" s="1652"/>
      <c r="AE80" s="1652"/>
      <c r="AF80" s="1652"/>
      <c r="AG80" s="1652"/>
      <c r="AH80" s="1652"/>
      <c r="AI80" s="1652"/>
      <c r="AJ80" s="1652"/>
      <c r="AK80" s="1652"/>
      <c r="AL80" s="1652"/>
      <c r="AM80" s="1654"/>
    </row>
    <row r="81" ht="13.5" customHeight="1">
      <c r="A81" t="s" s="1914">
        <v>4055</v>
      </c>
      <c r="B81" s="1901">
        <v>2500000</v>
      </c>
      <c r="C81" s="1903"/>
      <c r="D81" s="1904">
        <v>2500000</v>
      </c>
      <c r="E81" s="1903"/>
      <c r="F81" s="1904">
        <v>2500000</v>
      </c>
      <c r="G81" s="1903"/>
      <c r="H81" s="1904">
        <v>8800000</v>
      </c>
      <c r="I81" s="1903"/>
      <c r="J81" s="1904">
        <v>3400000</v>
      </c>
      <c r="K81" s="1903"/>
      <c r="L81" s="1904">
        <v>2560000</v>
      </c>
      <c r="M81" s="1903"/>
      <c r="N81" s="1904">
        <v>12500000</v>
      </c>
      <c r="O81" s="1903"/>
      <c r="P81" s="1904">
        <v>2800000</v>
      </c>
      <c r="Q81" s="1903"/>
      <c r="R81" s="1904">
        <v>4000000</v>
      </c>
      <c r="S81" s="1903"/>
      <c r="T81" s="1904">
        <v>2500000</v>
      </c>
      <c r="U81" s="1903"/>
      <c r="V81" s="1904">
        <v>5660000</v>
      </c>
      <c r="W81" s="1903"/>
      <c r="X81" s="1904">
        <v>5300000</v>
      </c>
      <c r="Y81" s="1903"/>
      <c r="Z81" s="1907" cm="1">
        <f t="array" ref="Z81">SUM(B81:X81)</f>
        <v>55020000</v>
      </c>
      <c r="AA81" s="1652"/>
      <c r="AB81" s="1652"/>
      <c r="AC81" s="1652"/>
      <c r="AD81" s="1652"/>
      <c r="AE81" s="1652"/>
      <c r="AF81" s="1652"/>
      <c r="AG81" s="1652"/>
      <c r="AH81" s="1652"/>
      <c r="AI81" s="1652"/>
      <c r="AJ81" s="1652"/>
      <c r="AK81" s="1652"/>
      <c r="AL81" s="1652"/>
      <c r="AM81" s="1654"/>
    </row>
    <row r="82" ht="13.5" customHeight="1">
      <c r="A82" t="s" s="1914">
        <v>4056</v>
      </c>
      <c r="B82" s="1901">
        <v>2533600</v>
      </c>
      <c r="C82" s="1903"/>
      <c r="D82" s="1904"/>
      <c r="E82" s="1903"/>
      <c r="F82" s="1904"/>
      <c r="G82" s="1903"/>
      <c r="H82" s="1904">
        <v>1429000</v>
      </c>
      <c r="I82" s="1903"/>
      <c r="J82" s="1904"/>
      <c r="K82" s="1903"/>
      <c r="L82" s="1904"/>
      <c r="M82" s="1903"/>
      <c r="N82" s="1904"/>
      <c r="O82" s="1903"/>
      <c r="P82" s="1904"/>
      <c r="Q82" s="1903"/>
      <c r="R82" s="1904"/>
      <c r="S82" s="1903"/>
      <c r="T82" s="1904">
        <v>2210000</v>
      </c>
      <c r="U82" s="1903"/>
      <c r="V82" s="1904">
        <v>11220000</v>
      </c>
      <c r="W82" s="1903"/>
      <c r="X82" s="1904"/>
      <c r="Y82" s="1903"/>
      <c r="Z82" s="1907" cm="1">
        <f t="array" ref="Z82">SUM(B82:X82)</f>
        <v>17392600</v>
      </c>
      <c r="AA82" s="1652"/>
      <c r="AB82" s="1652"/>
      <c r="AC82" s="1652"/>
      <c r="AD82" s="1652"/>
      <c r="AE82" s="1652"/>
      <c r="AF82" s="1652"/>
      <c r="AG82" s="1652"/>
      <c r="AH82" s="1652"/>
      <c r="AI82" s="1652"/>
      <c r="AJ82" s="1652"/>
      <c r="AK82" s="1652"/>
      <c r="AL82" s="1652"/>
      <c r="AM82" s="1654"/>
    </row>
    <row r="83" ht="13.5" customHeight="1">
      <c r="A83" t="s" s="1914">
        <v>1141</v>
      </c>
      <c r="B83" s="1901"/>
      <c r="C83" s="1903"/>
      <c r="D83" s="1904"/>
      <c r="E83" s="1903"/>
      <c r="F83" s="1904"/>
      <c r="G83" s="1903"/>
      <c r="H83" s="1904"/>
      <c r="I83" s="1903"/>
      <c r="J83" s="1904"/>
      <c r="K83" s="1903"/>
      <c r="L83" s="1904"/>
      <c r="M83" s="1903"/>
      <c r="N83" s="1904"/>
      <c r="O83" s="1903"/>
      <c r="P83" s="1904"/>
      <c r="Q83" s="1903"/>
      <c r="R83" s="1904"/>
      <c r="S83" s="1903"/>
      <c r="T83" s="1904"/>
      <c r="U83" s="1903"/>
      <c r="V83" s="1904"/>
      <c r="W83" s="1903"/>
      <c r="X83" s="1904">
        <v>4706110</v>
      </c>
      <c r="Y83" s="1903"/>
      <c r="Z83" s="1907" cm="1">
        <f t="array" ref="Z83">SUM(B83:X83)</f>
        <v>4706110</v>
      </c>
      <c r="AA83" s="1652"/>
      <c r="AB83" s="1652"/>
      <c r="AC83" s="1652"/>
      <c r="AD83" s="1652"/>
      <c r="AE83" s="1652"/>
      <c r="AF83" s="1652"/>
      <c r="AG83" s="1652"/>
      <c r="AH83" s="1652"/>
      <c r="AI83" s="1652"/>
      <c r="AJ83" s="1652"/>
      <c r="AK83" s="1652"/>
      <c r="AL83" s="1652"/>
      <c r="AM83" s="1654"/>
    </row>
    <row r="84" ht="13.5" customHeight="1">
      <c r="A84" t="s" s="1914">
        <v>4057</v>
      </c>
      <c r="B84" s="1901"/>
      <c r="C84" s="1903"/>
      <c r="D84" s="1904"/>
      <c r="E84" s="1903"/>
      <c r="F84" s="1904"/>
      <c r="G84" s="1903"/>
      <c r="H84" s="1904">
        <v>8477850</v>
      </c>
      <c r="I84" s="1903"/>
      <c r="J84" s="1904">
        <v>2763040</v>
      </c>
      <c r="K84" s="1903"/>
      <c r="L84" s="1904"/>
      <c r="M84" s="1903"/>
      <c r="N84" s="1904">
        <v>26096400</v>
      </c>
      <c r="O84" s="1903"/>
      <c r="P84" s="1904">
        <v>3088399</v>
      </c>
      <c r="Q84" s="1903"/>
      <c r="R84" s="1904">
        <v>360000</v>
      </c>
      <c r="S84" s="1903"/>
      <c r="T84" s="1904">
        <v>1852500</v>
      </c>
      <c r="U84" s="1903"/>
      <c r="V84" s="1904"/>
      <c r="W84" s="1903"/>
      <c r="X84" s="1904"/>
      <c r="Y84" s="1903"/>
      <c r="Z84" s="1907" cm="1">
        <f t="array" ref="Z84">SUM(B84:X84)</f>
        <v>42638189</v>
      </c>
      <c r="AA84" s="1652"/>
      <c r="AB84" s="1652"/>
      <c r="AC84" s="1652"/>
      <c r="AD84" s="1652"/>
      <c r="AE84" s="1652"/>
      <c r="AF84" s="1652"/>
      <c r="AG84" s="1652"/>
      <c r="AH84" s="1652"/>
      <c r="AI84" s="1652"/>
      <c r="AJ84" s="1652"/>
      <c r="AK84" s="1652"/>
      <c r="AL84" s="1652"/>
      <c r="AM84" s="1654"/>
    </row>
    <row r="85" ht="13.5" customHeight="1">
      <c r="A85" t="s" s="1914">
        <v>4058</v>
      </c>
      <c r="B85" s="1901"/>
      <c r="C85" s="1903"/>
      <c r="D85" s="1904">
        <v>500000</v>
      </c>
      <c r="E85" s="1903"/>
      <c r="F85" s="1904">
        <v>16500000</v>
      </c>
      <c r="G85" s="1903"/>
      <c r="H85" s="1904">
        <v>19500000</v>
      </c>
      <c r="I85" s="1903"/>
      <c r="J85" s="1904">
        <v>50000000</v>
      </c>
      <c r="K85" s="1903"/>
      <c r="L85" s="1904"/>
      <c r="M85" s="1903"/>
      <c r="N85" s="1904"/>
      <c r="O85" s="1903"/>
      <c r="P85" s="1904">
        <v>26200000</v>
      </c>
      <c r="Q85" s="1903"/>
      <c r="R85" s="1904">
        <v>51250000</v>
      </c>
      <c r="S85" s="1903"/>
      <c r="T85" s="1904">
        <v>41925736</v>
      </c>
      <c r="U85" s="1903"/>
      <c r="V85" s="1904">
        <v>43240000</v>
      </c>
      <c r="W85" s="1903"/>
      <c r="X85" s="1904">
        <v>25000000</v>
      </c>
      <c r="Y85" s="1903"/>
      <c r="Z85" s="1907" cm="1">
        <f t="array" ref="Z85">SUM(B85:X85)</f>
        <v>274115736</v>
      </c>
      <c r="AA85" s="1652"/>
      <c r="AB85" s="1652"/>
      <c r="AC85" s="1652"/>
      <c r="AD85" s="1652"/>
      <c r="AE85" s="1652"/>
      <c r="AF85" s="1652"/>
      <c r="AG85" s="1652"/>
      <c r="AH85" s="1652"/>
      <c r="AI85" s="1652"/>
      <c r="AJ85" s="1652"/>
      <c r="AK85" s="1652"/>
      <c r="AL85" s="1652"/>
      <c r="AM85" s="1654"/>
    </row>
    <row r="86" ht="13.5" customHeight="1">
      <c r="A86" t="s" s="1914">
        <v>954</v>
      </c>
      <c r="B86" s="1901">
        <v>1083333.34</v>
      </c>
      <c r="C86" s="1903"/>
      <c r="D86" s="1904">
        <v>1083333.32</v>
      </c>
      <c r="E86" s="1903"/>
      <c r="F86" s="1904">
        <v>1083333.34</v>
      </c>
      <c r="G86" s="1903"/>
      <c r="H86" s="1904">
        <v>1083333</v>
      </c>
      <c r="I86" s="1903"/>
      <c r="J86" s="1904">
        <v>1083333</v>
      </c>
      <c r="K86" s="1903"/>
      <c r="L86" s="1904">
        <v>1083333</v>
      </c>
      <c r="M86" s="1903"/>
      <c r="N86" s="1904">
        <v>1083333</v>
      </c>
      <c r="O86" s="1903"/>
      <c r="P86" s="1904">
        <v>1083333</v>
      </c>
      <c r="Q86" s="1903"/>
      <c r="R86" s="1904">
        <v>541667</v>
      </c>
      <c r="S86" s="1903"/>
      <c r="T86" s="1904"/>
      <c r="U86" s="1903"/>
      <c r="V86" s="1904"/>
      <c r="W86" s="1903"/>
      <c r="X86" s="1904"/>
      <c r="Y86" s="1903"/>
      <c r="Z86" s="1907" cm="1">
        <f t="array" ref="Z86">SUM(B86:X86)</f>
        <v>9208332</v>
      </c>
      <c r="AA86" s="1652"/>
      <c r="AB86" s="1652"/>
      <c r="AC86" s="1652"/>
      <c r="AD86" s="1652"/>
      <c r="AE86" s="1652"/>
      <c r="AF86" s="1652"/>
      <c r="AG86" s="1652"/>
      <c r="AH86" s="1652"/>
      <c r="AI86" s="1652"/>
      <c r="AJ86" s="1652"/>
      <c r="AK86" s="1652"/>
      <c r="AL86" s="1652"/>
      <c r="AM86" s="1654"/>
    </row>
    <row r="87" ht="13.5" customHeight="1">
      <c r="A87" t="s" s="1914">
        <v>4059</v>
      </c>
      <c r="B87" s="1901"/>
      <c r="C87" s="1903"/>
      <c r="D87" s="1904"/>
      <c r="E87" s="1903"/>
      <c r="F87" s="1904"/>
      <c r="G87" s="1903"/>
      <c r="H87" s="1904"/>
      <c r="I87" s="1903"/>
      <c r="J87" s="1904">
        <v>29639500</v>
      </c>
      <c r="K87" s="1903"/>
      <c r="L87" s="1904">
        <v>165957640</v>
      </c>
      <c r="M87" s="1903"/>
      <c r="N87" s="1904">
        <v>18403354</v>
      </c>
      <c r="O87" s="1903"/>
      <c r="P87" s="1904" cm="1">
        <f t="array" ref="P87">21000+2836000</f>
        <v>2857000</v>
      </c>
      <c r="Q87" s="1903"/>
      <c r="R87" s="1904" cm="1">
        <f t="array" ref="R87">1520016+54116389</f>
        <v>55636405</v>
      </c>
      <c r="S87" s="1903"/>
      <c r="T87" s="1904">
        <v>1998032</v>
      </c>
      <c r="U87" s="1903"/>
      <c r="V87" s="1904">
        <v>8987708</v>
      </c>
      <c r="W87" s="1903"/>
      <c r="X87" s="1904">
        <v>1996524</v>
      </c>
      <c r="Y87" s="1903"/>
      <c r="Z87" s="1907" cm="1">
        <f t="array" ref="Z87">SUM(B87:X87)</f>
        <v>285476163</v>
      </c>
      <c r="AA87" s="1652"/>
      <c r="AB87" s="1652"/>
      <c r="AC87" s="1652"/>
      <c r="AD87" s="1652"/>
      <c r="AE87" s="1652"/>
      <c r="AF87" s="1652"/>
      <c r="AG87" s="1652"/>
      <c r="AH87" s="1652"/>
      <c r="AI87" s="1652"/>
      <c r="AJ87" s="1652"/>
      <c r="AK87" s="1652"/>
      <c r="AL87" s="1652"/>
      <c r="AM87" s="1654"/>
    </row>
    <row r="88" ht="13.5" customHeight="1">
      <c r="A88" t="s" s="1914">
        <v>4060</v>
      </c>
      <c r="B88" s="1901"/>
      <c r="C88" s="1903"/>
      <c r="D88" s="1904"/>
      <c r="E88" s="1903"/>
      <c r="F88" s="1904"/>
      <c r="G88" s="1903"/>
      <c r="H88" s="1904"/>
      <c r="I88" s="1903"/>
      <c r="J88" s="1904"/>
      <c r="K88" s="1903"/>
      <c r="L88" s="1904">
        <v>61367400</v>
      </c>
      <c r="M88" s="1903"/>
      <c r="N88" s="1904"/>
      <c r="O88" s="1903"/>
      <c r="P88" s="1904"/>
      <c r="Q88" s="1903"/>
      <c r="R88" s="1904"/>
      <c r="S88" s="1903"/>
      <c r="T88" s="1904"/>
      <c r="U88" s="1903"/>
      <c r="V88" s="1904"/>
      <c r="W88" s="1903"/>
      <c r="X88" s="1904"/>
      <c r="Y88" s="1903"/>
      <c r="Z88" s="1907" cm="1">
        <f t="array" ref="Z88">SUM(B88:X88)</f>
        <v>61367400</v>
      </c>
      <c r="AA88" s="1652"/>
      <c r="AB88" s="1652"/>
      <c r="AC88" s="1652"/>
      <c r="AD88" s="1652"/>
      <c r="AE88" s="1652"/>
      <c r="AF88" s="1652"/>
      <c r="AG88" s="1652"/>
      <c r="AH88" s="1652"/>
      <c r="AI88" s="1652"/>
      <c r="AJ88" s="1652"/>
      <c r="AK88" s="1652"/>
      <c r="AL88" s="1652"/>
      <c r="AM88" s="1654"/>
    </row>
    <row r="89" ht="13.5" customHeight="1">
      <c r="A89" t="s" s="1914">
        <v>4061</v>
      </c>
      <c r="B89" s="1901"/>
      <c r="C89" s="1903"/>
      <c r="D89" s="1904"/>
      <c r="E89" s="1903"/>
      <c r="F89" s="1904"/>
      <c r="G89" s="1903"/>
      <c r="H89" s="1904"/>
      <c r="I89" s="1903"/>
      <c r="J89" s="1904"/>
      <c r="K89" s="1903"/>
      <c r="L89" s="1904"/>
      <c r="M89" s="1903"/>
      <c r="N89" s="1904">
        <v>197522749</v>
      </c>
      <c r="O89" s="1903"/>
      <c r="P89" s="1904">
        <v>195319818</v>
      </c>
      <c r="Q89" s="1903"/>
      <c r="R89" s="1904">
        <v>89978954</v>
      </c>
      <c r="S89" s="1903"/>
      <c r="T89" s="1904" cm="1">
        <f t="array" ref="T89">5091500+3199710+2150000</f>
        <v>10441210</v>
      </c>
      <c r="U89" s="1903"/>
      <c r="V89" s="1904" cm="1">
        <f t="array" ref="V89">6319500+4754000</f>
        <v>11073500</v>
      </c>
      <c r="W89" s="1903"/>
      <c r="X89" s="1904"/>
      <c r="Y89" s="1903"/>
      <c r="Z89" s="1907" cm="1">
        <f t="array" ref="Z89">SUM(B89:X89)</f>
        <v>504336231</v>
      </c>
      <c r="AA89" s="1652"/>
      <c r="AB89" s="1652"/>
      <c r="AC89" s="1652"/>
      <c r="AD89" s="1652"/>
      <c r="AE89" s="1652"/>
      <c r="AF89" s="1652"/>
      <c r="AG89" s="1652"/>
      <c r="AH89" s="1652"/>
      <c r="AI89" s="1652"/>
      <c r="AJ89" s="1652"/>
      <c r="AK89" s="1652"/>
      <c r="AL89" s="1652"/>
      <c r="AM89" s="1654"/>
    </row>
    <row r="90" ht="13.5" customHeight="1">
      <c r="A90" t="s" s="1914">
        <v>4062</v>
      </c>
      <c r="B90" s="1901"/>
      <c r="C90" s="1903"/>
      <c r="D90" s="1904"/>
      <c r="E90" s="1903"/>
      <c r="F90" s="1904"/>
      <c r="G90" s="1903"/>
      <c r="H90" s="1904"/>
      <c r="I90" s="1903"/>
      <c r="J90" s="1904"/>
      <c r="K90" s="1903"/>
      <c r="L90" s="1904"/>
      <c r="M90" s="1903"/>
      <c r="N90" s="1904"/>
      <c r="O90" s="1903"/>
      <c r="P90" s="1904">
        <v>67100000</v>
      </c>
      <c r="Q90" s="1903"/>
      <c r="R90" s="1904">
        <v>6900000</v>
      </c>
      <c r="S90" s="1903"/>
      <c r="T90" s="1904">
        <v>35000000</v>
      </c>
      <c r="U90" s="1903"/>
      <c r="V90" s="1904"/>
      <c r="W90" s="1903"/>
      <c r="X90" s="1904">
        <v>308000</v>
      </c>
      <c r="Y90" s="1903"/>
      <c r="Z90" s="1907" cm="1">
        <f t="array" ref="Z90">SUM(B90:X90)</f>
        <v>109308000</v>
      </c>
      <c r="AA90" s="1652"/>
      <c r="AB90" s="1652"/>
      <c r="AC90" s="1652"/>
      <c r="AD90" s="1652"/>
      <c r="AE90" s="1652"/>
      <c r="AF90" s="1652"/>
      <c r="AG90" s="1652"/>
      <c r="AH90" s="1652"/>
      <c r="AI90" s="1652"/>
      <c r="AJ90" s="1652"/>
      <c r="AK90" s="1652"/>
      <c r="AL90" s="1652"/>
      <c r="AM90" s="1654"/>
    </row>
    <row r="91" ht="13.5" customHeight="1">
      <c r="A91" t="s" s="1914">
        <v>4063</v>
      </c>
      <c r="B91" s="1901"/>
      <c r="C91" s="1903"/>
      <c r="D91" s="1904"/>
      <c r="E91" s="1903"/>
      <c r="F91" s="1904"/>
      <c r="G91" s="1903"/>
      <c r="H91" s="1904"/>
      <c r="I91" s="1903"/>
      <c r="J91" s="1904"/>
      <c r="K91" s="1903"/>
      <c r="L91" s="1904"/>
      <c r="M91" s="1903"/>
      <c r="N91" s="1904">
        <v>45000000</v>
      </c>
      <c r="O91" s="1903"/>
      <c r="P91" s="1904"/>
      <c r="Q91" s="1903"/>
      <c r="R91" s="1904"/>
      <c r="S91" s="1903"/>
      <c r="T91" s="1904"/>
      <c r="U91" s="1903"/>
      <c r="V91" s="1904"/>
      <c r="W91" s="1903"/>
      <c r="X91" s="1904"/>
      <c r="Y91" s="1903"/>
      <c r="Z91" s="1907" cm="1">
        <f t="array" ref="Z91">SUM(B91:X91)</f>
        <v>45000000</v>
      </c>
      <c r="AA91" s="1652"/>
      <c r="AB91" s="1652"/>
      <c r="AC91" s="1652"/>
      <c r="AD91" s="1652"/>
      <c r="AE91" s="1652"/>
      <c r="AF91" s="1652"/>
      <c r="AG91" s="1652"/>
      <c r="AH91" s="1652"/>
      <c r="AI91" s="1652"/>
      <c r="AJ91" s="1652"/>
      <c r="AK91" s="1652"/>
      <c r="AL91" s="1652"/>
      <c r="AM91" s="1654"/>
    </row>
    <row r="92" ht="13.5" customHeight="1">
      <c r="A92" t="s" s="1914">
        <v>1137</v>
      </c>
      <c r="B92" s="1901"/>
      <c r="C92" s="1903"/>
      <c r="D92" s="1904">
        <v>600400</v>
      </c>
      <c r="E92" s="1903"/>
      <c r="F92" s="1904">
        <v>0</v>
      </c>
      <c r="G92" s="1903"/>
      <c r="H92" s="1904"/>
      <c r="I92" s="1903"/>
      <c r="J92" s="1904"/>
      <c r="K92" s="1903"/>
      <c r="L92" s="1904"/>
      <c r="M92" s="1903"/>
      <c r="N92" s="1904"/>
      <c r="O92" s="1903"/>
      <c r="P92" s="1904"/>
      <c r="Q92" s="1903"/>
      <c r="R92" s="1904"/>
      <c r="S92" s="1903"/>
      <c r="T92" s="1904"/>
      <c r="U92" s="1903"/>
      <c r="V92" s="1904"/>
      <c r="W92" s="1903"/>
      <c r="X92" s="1904"/>
      <c r="Y92" s="1903"/>
      <c r="Z92" s="1907" cm="1">
        <f t="array" ref="Z92">SUM(B92:X92)</f>
        <v>600400</v>
      </c>
      <c r="AA92" s="1652"/>
      <c r="AB92" s="1652"/>
      <c r="AC92" s="1652"/>
      <c r="AD92" s="1652"/>
      <c r="AE92" s="1652"/>
      <c r="AF92" s="1652"/>
      <c r="AG92" s="1652"/>
      <c r="AH92" s="1652"/>
      <c r="AI92" s="1652"/>
      <c r="AJ92" s="1652"/>
      <c r="AK92" s="1652"/>
      <c r="AL92" s="1652"/>
      <c r="AM92" s="1654"/>
    </row>
    <row r="93" ht="13.5" customHeight="1">
      <c r="A93" t="s" s="1914">
        <v>4064</v>
      </c>
      <c r="B93" s="1901"/>
      <c r="C93" s="1903"/>
      <c r="D93" s="1904"/>
      <c r="E93" s="1903"/>
      <c r="F93" s="1904"/>
      <c r="G93" s="1903"/>
      <c r="H93" s="1904"/>
      <c r="I93" s="1903"/>
      <c r="J93" s="1904"/>
      <c r="K93" s="1903"/>
      <c r="L93" s="1904"/>
      <c r="M93" s="1903"/>
      <c r="N93" s="1904"/>
      <c r="O93" s="1903"/>
      <c r="P93" s="1904"/>
      <c r="Q93" s="1903"/>
      <c r="R93" s="1904"/>
      <c r="S93" s="1903"/>
      <c r="T93" s="1904"/>
      <c r="U93" s="1903"/>
      <c r="V93" s="1904"/>
      <c r="W93" s="1903"/>
      <c r="X93" s="1904">
        <v>10050000</v>
      </c>
      <c r="Y93" s="1903"/>
      <c r="Z93" s="1907" cm="1">
        <f t="array" ref="Z93">SUM(B93:X93)</f>
        <v>10050000</v>
      </c>
      <c r="AA93" s="1652"/>
      <c r="AB93" s="1652"/>
      <c r="AC93" s="1652"/>
      <c r="AD93" s="1652"/>
      <c r="AE93" s="1652"/>
      <c r="AF93" s="1652"/>
      <c r="AG93" s="1652"/>
      <c r="AH93" s="1652"/>
      <c r="AI93" s="1652"/>
      <c r="AJ93" s="1652"/>
      <c r="AK93" s="1652"/>
      <c r="AL93" s="1652"/>
      <c r="AM93" s="1654"/>
    </row>
    <row r="94" ht="13.5" customHeight="1">
      <c r="A94" t="s" s="1914">
        <v>4065</v>
      </c>
      <c r="B94" s="1901"/>
      <c r="C94" s="1903"/>
      <c r="D94" s="1904"/>
      <c r="E94" s="1903"/>
      <c r="F94" s="1904"/>
      <c r="G94" s="1903"/>
      <c r="H94" s="1904"/>
      <c r="I94" s="1903"/>
      <c r="J94" s="1904"/>
      <c r="K94" s="1903"/>
      <c r="L94" s="1904"/>
      <c r="M94" s="1903"/>
      <c r="N94" s="1904">
        <v>4000000</v>
      </c>
      <c r="O94" s="1903"/>
      <c r="P94" s="1904"/>
      <c r="Q94" s="1903"/>
      <c r="R94" s="1904"/>
      <c r="S94" s="1903"/>
      <c r="T94" s="1904"/>
      <c r="U94" s="1903"/>
      <c r="V94" s="1904"/>
      <c r="W94" s="1903"/>
      <c r="X94" s="1904"/>
      <c r="Y94" s="1903"/>
      <c r="Z94" s="1907" cm="1">
        <f t="array" ref="Z94">SUM(B94:X94)</f>
        <v>4000000</v>
      </c>
      <c r="AA94" s="1652"/>
      <c r="AB94" s="1652"/>
      <c r="AC94" s="1652"/>
      <c r="AD94" s="1652"/>
      <c r="AE94" s="1652"/>
      <c r="AF94" s="1652"/>
      <c r="AG94" s="1652"/>
      <c r="AH94" s="1652"/>
      <c r="AI94" s="1652"/>
      <c r="AJ94" s="1652"/>
      <c r="AK94" s="1652"/>
      <c r="AL94" s="1652"/>
      <c r="AM94" s="1654"/>
    </row>
    <row r="95" ht="13.5" customHeight="1">
      <c r="A95" t="s" s="1914">
        <v>1147</v>
      </c>
      <c r="B95" s="1901">
        <v>1652592</v>
      </c>
      <c r="C95" s="1903"/>
      <c r="D95" s="1904">
        <v>2938199</v>
      </c>
      <c r="E95" s="1903"/>
      <c r="F95" s="1904">
        <v>2421468</v>
      </c>
      <c r="G95" s="1903"/>
      <c r="H95" s="1904">
        <v>14362980</v>
      </c>
      <c r="I95" s="1903"/>
      <c r="J95" s="1904">
        <v>11350122</v>
      </c>
      <c r="K95" s="1903"/>
      <c r="L95" s="1904">
        <v>16553142</v>
      </c>
      <c r="M95" s="1903"/>
      <c r="N95" s="1904">
        <v>17403312</v>
      </c>
      <c r="O95" s="1903"/>
      <c r="P95" s="1904">
        <v>2376737</v>
      </c>
      <c r="Q95" s="1903"/>
      <c r="R95" s="1904">
        <v>2988339</v>
      </c>
      <c r="S95" s="1903"/>
      <c r="T95" s="1904">
        <v>3334260</v>
      </c>
      <c r="U95" s="1903"/>
      <c r="V95" s="1904">
        <v>3877958</v>
      </c>
      <c r="W95" s="1903"/>
      <c r="X95" s="1904">
        <v>3930210</v>
      </c>
      <c r="Y95" s="1903"/>
      <c r="Z95" s="1907" cm="1">
        <f t="array" ref="Z95">SUM(B95:X95)</f>
        <v>83189319</v>
      </c>
      <c r="AA95" s="1652"/>
      <c r="AB95" s="1652"/>
      <c r="AC95" s="1652"/>
      <c r="AD95" s="1652"/>
      <c r="AE95" s="1652"/>
      <c r="AF95" s="1652"/>
      <c r="AG95" s="1652"/>
      <c r="AH95" s="1652"/>
      <c r="AI95" s="1652"/>
      <c r="AJ95" s="1652"/>
      <c r="AK95" s="1652"/>
      <c r="AL95" s="1652"/>
      <c r="AM95" s="1654"/>
    </row>
    <row r="96" ht="13.5" customHeight="1">
      <c r="A96" t="s" s="1914">
        <v>4066</v>
      </c>
      <c r="B96" s="1901">
        <v>200000</v>
      </c>
      <c r="C96" s="1903"/>
      <c r="D96" s="1904"/>
      <c r="E96" s="1903"/>
      <c r="F96" s="1904">
        <v>119000</v>
      </c>
      <c r="G96" s="1903"/>
      <c r="H96" s="1904">
        <v>78500</v>
      </c>
      <c r="I96" s="1903"/>
      <c r="J96" s="1904">
        <v>27000</v>
      </c>
      <c r="K96" s="1903"/>
      <c r="L96" s="1904">
        <v>50000</v>
      </c>
      <c r="M96" s="1903"/>
      <c r="N96" s="1904">
        <v>253500</v>
      </c>
      <c r="O96" s="1903"/>
      <c r="P96" s="1904">
        <v>1200000</v>
      </c>
      <c r="Q96" s="1903"/>
      <c r="R96" s="1904">
        <v>200000</v>
      </c>
      <c r="S96" s="1903"/>
      <c r="T96" s="1904">
        <v>576500</v>
      </c>
      <c r="U96" s="1903"/>
      <c r="V96" s="1904">
        <v>700000</v>
      </c>
      <c r="W96" s="1903"/>
      <c r="X96" s="1904">
        <v>1799675</v>
      </c>
      <c r="Y96" s="1903"/>
      <c r="Z96" s="1907" cm="1">
        <f t="array" ref="Z96">SUM(B96:X96)</f>
        <v>5204175</v>
      </c>
      <c r="AA96" s="1652"/>
      <c r="AB96" s="1652"/>
      <c r="AC96" s="1652"/>
      <c r="AD96" s="1652"/>
      <c r="AE96" s="1652"/>
      <c r="AF96" s="1652"/>
      <c r="AG96" s="1652"/>
      <c r="AH96" s="1652"/>
      <c r="AI96" s="1652"/>
      <c r="AJ96" s="1652"/>
      <c r="AK96" s="1652"/>
      <c r="AL96" s="1652"/>
      <c r="AM96" s="1654"/>
    </row>
    <row r="97" ht="13.5" customHeight="1">
      <c r="A97" t="s" s="1914">
        <v>1127</v>
      </c>
      <c r="B97" s="1901"/>
      <c r="C97" s="1903"/>
      <c r="D97" s="1904">
        <v>1700000</v>
      </c>
      <c r="E97" s="1903"/>
      <c r="F97" s="1904">
        <v>0</v>
      </c>
      <c r="G97" s="1903"/>
      <c r="H97" s="1904"/>
      <c r="I97" s="1903"/>
      <c r="J97" s="1904"/>
      <c r="K97" s="1903"/>
      <c r="L97" s="1904">
        <v>700000</v>
      </c>
      <c r="M97" s="1903"/>
      <c r="N97" s="1904">
        <v>18750000</v>
      </c>
      <c r="O97" s="1903"/>
      <c r="P97" s="1904">
        <v>1200000</v>
      </c>
      <c r="Q97" s="1903"/>
      <c r="R97" s="1904">
        <v>7755330</v>
      </c>
      <c r="S97" s="1903"/>
      <c r="T97" s="1904"/>
      <c r="U97" s="1903"/>
      <c r="V97" s="1904"/>
      <c r="W97" s="1903"/>
      <c r="X97" s="1904">
        <v>726000</v>
      </c>
      <c r="Y97" s="1903"/>
      <c r="Z97" s="1907" cm="1">
        <f t="array" ref="Z97">SUM(B97:X97)</f>
        <v>30831330</v>
      </c>
      <c r="AA97" s="1652"/>
      <c r="AB97" s="1652"/>
      <c r="AC97" s="1652"/>
      <c r="AD97" s="1652"/>
      <c r="AE97" s="1652"/>
      <c r="AF97" s="1652"/>
      <c r="AG97" s="1652"/>
      <c r="AH97" s="1652"/>
      <c r="AI97" s="1652"/>
      <c r="AJ97" s="1652"/>
      <c r="AK97" s="1652"/>
      <c r="AL97" s="1652"/>
      <c r="AM97" s="1654"/>
    </row>
    <row r="98" ht="13.5" customHeight="1">
      <c r="A98" t="s" s="1914">
        <v>4067</v>
      </c>
      <c r="B98" s="1901"/>
      <c r="C98" s="1903"/>
      <c r="D98" s="1904">
        <v>2700000</v>
      </c>
      <c r="E98" s="1903"/>
      <c r="F98" s="1904">
        <v>0</v>
      </c>
      <c r="G98" s="1903"/>
      <c r="H98" s="1904"/>
      <c r="I98" s="1903"/>
      <c r="J98" s="1904"/>
      <c r="K98" s="1903"/>
      <c r="L98" s="1904"/>
      <c r="M98" s="1903"/>
      <c r="N98" s="1904"/>
      <c r="O98" s="1903"/>
      <c r="P98" s="1904"/>
      <c r="Q98" s="1903"/>
      <c r="R98" s="1904"/>
      <c r="S98" s="1903"/>
      <c r="T98" s="1904"/>
      <c r="U98" s="1903"/>
      <c r="V98" s="1904"/>
      <c r="W98" s="1903"/>
      <c r="X98" s="1904"/>
      <c r="Y98" s="1903"/>
      <c r="Z98" s="1907" cm="1">
        <f t="array" ref="Z98">SUM(B98:X98)</f>
        <v>2700000</v>
      </c>
      <c r="AA98" s="1652"/>
      <c r="AB98" s="1652"/>
      <c r="AC98" s="1652"/>
      <c r="AD98" s="1652"/>
      <c r="AE98" s="1652"/>
      <c r="AF98" s="1652"/>
      <c r="AG98" s="1652"/>
      <c r="AH98" s="1652"/>
      <c r="AI98" s="1652"/>
      <c r="AJ98" s="1652"/>
      <c r="AK98" s="1652"/>
      <c r="AL98" s="1652"/>
      <c r="AM98" s="1654"/>
    </row>
    <row r="99" ht="13.5" customHeight="1">
      <c r="A99" t="s" s="1914">
        <v>4068</v>
      </c>
      <c r="B99" s="1901" cm="1">
        <f t="array" ref="B99">287186+79950</f>
        <v>367136</v>
      </c>
      <c r="C99" s="1903"/>
      <c r="D99" s="1904" cm="1">
        <f t="array" ref="D99">993000+4435282</f>
        <v>5428282</v>
      </c>
      <c r="E99" s="1903"/>
      <c r="F99" s="1904" cm="1">
        <f t="array" ref="F99">564919+249501+730000+3275000</f>
        <v>4819420</v>
      </c>
      <c r="G99" s="1903"/>
      <c r="H99" s="1904" cm="1">
        <f t="array" ref="H99">1854629+492385+410000</f>
        <v>2757014</v>
      </c>
      <c r="I99" s="1903"/>
      <c r="J99" s="1904">
        <v>15076088</v>
      </c>
      <c r="K99" s="1903"/>
      <c r="L99" s="1904">
        <v>17549436</v>
      </c>
      <c r="M99" s="1903"/>
      <c r="N99" s="1904">
        <v>18934485</v>
      </c>
      <c r="O99" s="1903"/>
      <c r="P99" s="1904">
        <v>8404738</v>
      </c>
      <c r="Q99" s="1903"/>
      <c r="R99" s="1904">
        <v>19735537</v>
      </c>
      <c r="S99" s="1903"/>
      <c r="T99" s="1904">
        <v>12954083</v>
      </c>
      <c r="U99" s="1903"/>
      <c r="V99" s="1904">
        <v>13782494</v>
      </c>
      <c r="W99" s="1903"/>
      <c r="X99" s="1904">
        <v>14698703</v>
      </c>
      <c r="Y99" s="1903"/>
      <c r="Z99" s="1907" cm="1">
        <f t="array" ref="Z99">SUM(B99:X99)</f>
        <v>134507416</v>
      </c>
      <c r="AA99" s="1652"/>
      <c r="AB99" s="1652"/>
      <c r="AC99" s="1652"/>
      <c r="AD99" s="1652"/>
      <c r="AE99" s="1652"/>
      <c r="AF99" s="1652"/>
      <c r="AG99" s="1652"/>
      <c r="AH99" s="1652"/>
      <c r="AI99" s="1652"/>
      <c r="AJ99" s="1652"/>
      <c r="AK99" s="1652"/>
      <c r="AL99" s="1652"/>
      <c r="AM99" s="1654"/>
    </row>
    <row r="100" ht="13.5" customHeight="1">
      <c r="A100" t="s" s="1914">
        <v>4069</v>
      </c>
      <c r="B100" s="1901">
        <v>5778520</v>
      </c>
      <c r="C100" s="1903"/>
      <c r="D100" s="1904">
        <v>5476997</v>
      </c>
      <c r="E100" s="1903"/>
      <c r="F100" s="1904"/>
      <c r="G100" s="1903"/>
      <c r="H100" s="1904">
        <v>119944110</v>
      </c>
      <c r="I100" s="1903"/>
      <c r="J100" s="1904"/>
      <c r="K100" s="1903"/>
      <c r="L100" s="1904"/>
      <c r="M100" s="1903"/>
      <c r="N100" s="1904"/>
      <c r="O100" s="1903"/>
      <c r="P100" s="1904"/>
      <c r="Q100" s="1903"/>
      <c r="R100" s="1904"/>
      <c r="S100" s="1903"/>
      <c r="T100" s="1904"/>
      <c r="U100" s="1903"/>
      <c r="V100" s="1904"/>
      <c r="W100" s="1903"/>
      <c r="X100" s="1904"/>
      <c r="Y100" s="1903"/>
      <c r="Z100" s="1907" cm="1">
        <f t="array" ref="Z100">SUM(B100:X100)</f>
        <v>131199627</v>
      </c>
      <c r="AA100" s="1652"/>
      <c r="AB100" s="1652"/>
      <c r="AC100" s="1652"/>
      <c r="AD100" s="1652"/>
      <c r="AE100" s="1652"/>
      <c r="AF100" s="1652"/>
      <c r="AG100" s="1652"/>
      <c r="AH100" s="1652"/>
      <c r="AI100" s="1652"/>
      <c r="AJ100" s="1652"/>
      <c r="AK100" s="1652"/>
      <c r="AL100" s="1652"/>
      <c r="AM100" s="1654"/>
    </row>
    <row r="101" ht="13.5" customHeight="1">
      <c r="A101" t="s" s="1914">
        <v>4070</v>
      </c>
      <c r="B101" s="1901"/>
      <c r="C101" s="1903"/>
      <c r="D101" s="1904">
        <v>7422929</v>
      </c>
      <c r="E101" s="1903"/>
      <c r="F101" s="1904">
        <v>39146200</v>
      </c>
      <c r="G101" s="1903"/>
      <c r="H101" s="1904">
        <v>1114090</v>
      </c>
      <c r="I101" s="1903"/>
      <c r="J101" s="1904">
        <v>100000</v>
      </c>
      <c r="K101" s="1903"/>
      <c r="L101" s="1904">
        <v>427200</v>
      </c>
      <c r="M101" s="1903"/>
      <c r="N101" s="1904">
        <v>1569800</v>
      </c>
      <c r="O101" s="1903"/>
      <c r="P101" s="1904"/>
      <c r="Q101" s="1903"/>
      <c r="R101" s="1904"/>
      <c r="S101" s="1903"/>
      <c r="T101" s="1904">
        <v>58934750</v>
      </c>
      <c r="U101" s="1903"/>
      <c r="V101" s="1904"/>
      <c r="W101" s="1903"/>
      <c r="X101" s="1904"/>
      <c r="Y101" s="1903"/>
      <c r="Z101" s="1907" cm="1">
        <f t="array" ref="Z101">SUM(B101:X101)</f>
        <v>108714969</v>
      </c>
      <c r="AA101" s="1652"/>
      <c r="AB101" s="1652"/>
      <c r="AC101" s="1652"/>
      <c r="AD101" s="1652"/>
      <c r="AE101" s="1652"/>
      <c r="AF101" s="1652"/>
      <c r="AG101" s="1652"/>
      <c r="AH101" s="1652"/>
      <c r="AI101" s="1652"/>
      <c r="AJ101" s="1652"/>
      <c r="AK101" s="1652"/>
      <c r="AL101" s="1652"/>
      <c r="AM101" s="1654"/>
    </row>
    <row r="102" ht="13.5" customHeight="1">
      <c r="A102" t="s" s="1914">
        <v>4071</v>
      </c>
      <c r="B102" s="1901"/>
      <c r="C102" s="1903"/>
      <c r="D102" s="1904"/>
      <c r="E102" s="1903"/>
      <c r="F102" s="1904">
        <v>11345886</v>
      </c>
      <c r="G102" s="1903"/>
      <c r="H102" s="1904"/>
      <c r="I102" s="1903"/>
      <c r="J102" s="1904"/>
      <c r="K102" s="1903"/>
      <c r="L102" s="1904"/>
      <c r="M102" s="1903"/>
      <c r="N102" s="1904"/>
      <c r="O102" s="1903"/>
      <c r="P102" s="1904"/>
      <c r="Q102" s="1903"/>
      <c r="R102" s="1904"/>
      <c r="S102" s="1903"/>
      <c r="T102" s="1904">
        <v>13741973</v>
      </c>
      <c r="U102" s="1903"/>
      <c r="V102" s="1904"/>
      <c r="W102" s="1903"/>
      <c r="X102" s="1904"/>
      <c r="Y102" s="1903"/>
      <c r="Z102" s="1907" cm="1">
        <f t="array" ref="Z102">SUM(B102:X102)</f>
        <v>25087859</v>
      </c>
      <c r="AA102" s="1652"/>
      <c r="AB102" s="1652"/>
      <c r="AC102" s="1652"/>
      <c r="AD102" s="1652"/>
      <c r="AE102" s="1652"/>
      <c r="AF102" s="1652"/>
      <c r="AG102" s="1652"/>
      <c r="AH102" s="1652"/>
      <c r="AI102" s="1652"/>
      <c r="AJ102" s="1652"/>
      <c r="AK102" s="1652"/>
      <c r="AL102" s="1652"/>
      <c r="AM102" s="1654"/>
    </row>
    <row r="103" ht="13.5" customHeight="1">
      <c r="A103" t="s" s="1914">
        <v>4072</v>
      </c>
      <c r="B103" s="1901">
        <v>500000</v>
      </c>
      <c r="C103" s="1903"/>
      <c r="D103" s="1904"/>
      <c r="E103" s="1903"/>
      <c r="F103" s="1904">
        <v>50000000</v>
      </c>
      <c r="G103" s="1903"/>
      <c r="H103" s="1904"/>
      <c r="I103" s="1903"/>
      <c r="J103" s="1904"/>
      <c r="K103" s="1903"/>
      <c r="L103" s="1904"/>
      <c r="M103" s="1903"/>
      <c r="N103" s="1904"/>
      <c r="O103" s="1903"/>
      <c r="P103" s="1904"/>
      <c r="Q103" s="1903"/>
      <c r="R103" s="1904"/>
      <c r="S103" s="1903"/>
      <c r="T103" s="1904"/>
      <c r="U103" s="1903"/>
      <c r="V103" s="1904"/>
      <c r="W103" s="1903"/>
      <c r="X103" s="1904"/>
      <c r="Y103" s="1903"/>
      <c r="Z103" s="1907" cm="1">
        <f t="array" ref="Z103">SUM(B103:X103)</f>
        <v>50500000</v>
      </c>
      <c r="AA103" s="1652"/>
      <c r="AB103" s="1652"/>
      <c r="AC103" s="1652"/>
      <c r="AD103" s="1652"/>
      <c r="AE103" s="1652"/>
      <c r="AF103" s="1652"/>
      <c r="AG103" s="1652"/>
      <c r="AH103" s="1652"/>
      <c r="AI103" s="1652"/>
      <c r="AJ103" s="1652"/>
      <c r="AK103" s="1652"/>
      <c r="AL103" s="1652"/>
      <c r="AM103" s="1654"/>
    </row>
    <row r="104" ht="13.5" customHeight="1">
      <c r="A104" t="s" s="1914">
        <v>4073</v>
      </c>
      <c r="B104" s="1901"/>
      <c r="C104" s="1903"/>
      <c r="D104" s="1904"/>
      <c r="E104" s="1903"/>
      <c r="F104" s="1904"/>
      <c r="G104" s="1903"/>
      <c r="H104" s="1904"/>
      <c r="I104" s="1903"/>
      <c r="J104" s="1904"/>
      <c r="K104" s="1903"/>
      <c r="L104" s="1904"/>
      <c r="M104" s="1903"/>
      <c r="N104" s="1904"/>
      <c r="O104" s="1903"/>
      <c r="P104" s="1904"/>
      <c r="Q104" s="1903"/>
      <c r="R104" s="1904"/>
      <c r="S104" s="1903"/>
      <c r="T104" s="1904"/>
      <c r="U104" s="1903"/>
      <c r="V104" s="1904"/>
      <c r="W104" s="1903"/>
      <c r="X104" s="1904">
        <v>9021075</v>
      </c>
      <c r="Y104" s="1903"/>
      <c r="Z104" s="1907" cm="1">
        <f t="array" ref="Z104">SUM(B104:X104)</f>
        <v>9021075</v>
      </c>
      <c r="AA104" s="1652"/>
      <c r="AB104" s="1652"/>
      <c r="AC104" s="1652"/>
      <c r="AD104" s="1652"/>
      <c r="AE104" s="1652"/>
      <c r="AF104" s="1652"/>
      <c r="AG104" s="1652"/>
      <c r="AH104" s="1652"/>
      <c r="AI104" s="1652"/>
      <c r="AJ104" s="1652"/>
      <c r="AK104" s="1652"/>
      <c r="AL104" s="1652"/>
      <c r="AM104" s="1654"/>
    </row>
    <row r="105" ht="13.5" customHeight="1">
      <c r="A105" t="s" s="1914">
        <v>4074</v>
      </c>
      <c r="B105" s="1901"/>
      <c r="C105" s="1903"/>
      <c r="D105" s="1904"/>
      <c r="E105" s="1903"/>
      <c r="F105" s="1904"/>
      <c r="G105" s="1903"/>
      <c r="H105" s="1904">
        <v>50000</v>
      </c>
      <c r="I105" s="1903"/>
      <c r="J105" s="1904">
        <v>300000</v>
      </c>
      <c r="K105" s="1903"/>
      <c r="L105" s="1904"/>
      <c r="M105" s="1903"/>
      <c r="N105" s="1904"/>
      <c r="O105" s="1903"/>
      <c r="P105" s="1904"/>
      <c r="Q105" s="1903"/>
      <c r="R105" s="1904"/>
      <c r="S105" s="1903"/>
      <c r="T105" s="1904"/>
      <c r="U105" s="1903"/>
      <c r="V105" s="1904">
        <v>1440000</v>
      </c>
      <c r="W105" s="1903"/>
      <c r="X105" s="1904">
        <v>8850000</v>
      </c>
      <c r="Y105" s="1903"/>
      <c r="Z105" s="1907" cm="1">
        <f t="array" ref="Z105">SUM(B105:X105)</f>
        <v>10640000</v>
      </c>
      <c r="AA105" s="1652"/>
      <c r="AB105" s="1652"/>
      <c r="AC105" s="1652"/>
      <c r="AD105" s="1652"/>
      <c r="AE105" s="1652"/>
      <c r="AF105" s="1652"/>
      <c r="AG105" s="1652"/>
      <c r="AH105" s="1652"/>
      <c r="AI105" s="1652"/>
      <c r="AJ105" s="1652"/>
      <c r="AK105" s="1652"/>
      <c r="AL105" s="1652"/>
      <c r="AM105" s="1654"/>
    </row>
    <row r="106" ht="13.5" customHeight="1">
      <c r="A106" t="s" s="1914">
        <v>4075</v>
      </c>
      <c r="B106" s="1901">
        <v>83150000</v>
      </c>
      <c r="C106" s="1903"/>
      <c r="D106" s="1904">
        <v>136950000</v>
      </c>
      <c r="E106" s="1903"/>
      <c r="F106" s="1904">
        <v>149833871</v>
      </c>
      <c r="G106" s="1903"/>
      <c r="H106" s="1904">
        <v>123200000</v>
      </c>
      <c r="I106" s="1903"/>
      <c r="J106" s="1904">
        <v>130000000</v>
      </c>
      <c r="K106" s="1903"/>
      <c r="L106" s="1904">
        <v>129100000</v>
      </c>
      <c r="M106" s="1903"/>
      <c r="N106" s="1904">
        <v>129935714</v>
      </c>
      <c r="O106" s="1903"/>
      <c r="P106" s="1904">
        <v>178841935</v>
      </c>
      <c r="Q106" s="1903"/>
      <c r="R106" s="1904">
        <v>236383333</v>
      </c>
      <c r="S106" s="1903"/>
      <c r="T106" s="1904">
        <v>232100000</v>
      </c>
      <c r="U106" s="1903"/>
      <c r="V106" s="1904">
        <v>259700000</v>
      </c>
      <c r="W106" s="1903"/>
      <c r="X106" s="1904">
        <v>303511905</v>
      </c>
      <c r="Y106" s="1903"/>
      <c r="Z106" s="1907" cm="1">
        <f t="array" ref="Z106">SUM(B106:X106)</f>
        <v>2092706758</v>
      </c>
      <c r="AA106" s="1652"/>
      <c r="AB106" s="1652"/>
      <c r="AC106" s="1652"/>
      <c r="AD106" s="1652"/>
      <c r="AE106" s="1652"/>
      <c r="AF106" s="1652"/>
      <c r="AG106" s="1652"/>
      <c r="AH106" s="1652"/>
      <c r="AI106" s="1652"/>
      <c r="AJ106" s="1652"/>
      <c r="AK106" s="1652"/>
      <c r="AL106" s="1652"/>
      <c r="AM106" s="1654"/>
    </row>
    <row r="107" ht="13.5" customHeight="1">
      <c r="A107" t="s" s="1914">
        <v>4076</v>
      </c>
      <c r="B107" s="1901"/>
      <c r="C107" s="1903"/>
      <c r="D107" s="1904"/>
      <c r="E107" s="1903"/>
      <c r="F107" s="1904"/>
      <c r="G107" s="1903"/>
      <c r="H107" s="1904"/>
      <c r="I107" s="1903"/>
      <c r="J107" s="1904"/>
      <c r="K107" s="1903"/>
      <c r="L107" s="1904"/>
      <c r="M107" s="1903"/>
      <c r="N107" s="1904"/>
      <c r="O107" s="1903"/>
      <c r="P107" s="1904"/>
      <c r="Q107" s="1903"/>
      <c r="R107" s="1904">
        <v>55967200</v>
      </c>
      <c r="S107" s="1903"/>
      <c r="T107" s="1904"/>
      <c r="U107" s="1903"/>
      <c r="V107" s="1904"/>
      <c r="W107" s="1903"/>
      <c r="X107" s="1904"/>
      <c r="Y107" s="1903"/>
      <c r="Z107" s="1907" cm="1">
        <f t="array" ref="Z107">SUM(B107:X107)</f>
        <v>55967200</v>
      </c>
      <c r="AA107" s="1652"/>
      <c r="AB107" s="1652"/>
      <c r="AC107" s="1652"/>
      <c r="AD107" s="1652"/>
      <c r="AE107" s="1652"/>
      <c r="AF107" s="1652"/>
      <c r="AG107" s="1652"/>
      <c r="AH107" s="1652"/>
      <c r="AI107" s="1652"/>
      <c r="AJ107" s="1652"/>
      <c r="AK107" s="1652"/>
      <c r="AL107" s="1652"/>
      <c r="AM107" s="1654"/>
    </row>
    <row r="108" ht="13.5" customHeight="1">
      <c r="A108" t="s" s="1914">
        <v>4077</v>
      </c>
      <c r="B108" s="1901"/>
      <c r="C108" s="1903"/>
      <c r="D108" s="1904"/>
      <c r="E108" s="1903"/>
      <c r="F108" s="1904"/>
      <c r="G108" s="1903"/>
      <c r="H108" s="1904"/>
      <c r="I108" s="1903"/>
      <c r="J108" s="1904"/>
      <c r="K108" s="1903"/>
      <c r="L108" s="1904"/>
      <c r="M108" s="1903"/>
      <c r="N108" s="1904"/>
      <c r="O108" s="1903"/>
      <c r="P108" s="1904">
        <v>1950000</v>
      </c>
      <c r="Q108" s="1903"/>
      <c r="R108" s="1904">
        <v>3735600</v>
      </c>
      <c r="S108" s="1903"/>
      <c r="T108" s="1904">
        <v>3885600</v>
      </c>
      <c r="U108" s="1903"/>
      <c r="V108" s="1904">
        <v>3735600</v>
      </c>
      <c r="W108" s="1903"/>
      <c r="X108" s="1904">
        <v>3885600</v>
      </c>
      <c r="Y108" s="1903"/>
      <c r="Z108" s="1907" cm="1">
        <f t="array" ref="Z108">SUM(B108:X108)</f>
        <v>17192400</v>
      </c>
      <c r="AA108" s="1652"/>
      <c r="AB108" s="1652"/>
      <c r="AC108" s="1652"/>
      <c r="AD108" s="1652"/>
      <c r="AE108" s="1652"/>
      <c r="AF108" s="1652"/>
      <c r="AG108" s="1652"/>
      <c r="AH108" s="1652"/>
      <c r="AI108" s="1652"/>
      <c r="AJ108" s="1652"/>
      <c r="AK108" s="1652"/>
      <c r="AL108" s="1652"/>
      <c r="AM108" s="1654"/>
    </row>
    <row r="109" ht="13.5" customHeight="1">
      <c r="A109" t="s" s="1914">
        <v>4078</v>
      </c>
      <c r="B109" s="1901"/>
      <c r="C109" s="1903"/>
      <c r="D109" s="1904"/>
      <c r="E109" s="1903"/>
      <c r="F109" s="1904"/>
      <c r="G109" s="1903"/>
      <c r="H109" s="1904"/>
      <c r="I109" s="1903"/>
      <c r="J109" s="1904">
        <v>1860000</v>
      </c>
      <c r="K109" s="1903"/>
      <c r="L109" s="1904">
        <v>14280000</v>
      </c>
      <c r="M109" s="1903"/>
      <c r="N109" s="1904">
        <v>17790970</v>
      </c>
      <c r="O109" s="1903"/>
      <c r="P109" s="1904"/>
      <c r="Q109" s="1903"/>
      <c r="R109" s="1904">
        <v>5615450</v>
      </c>
      <c r="S109" s="1903"/>
      <c r="T109" s="1904">
        <v>54830000</v>
      </c>
      <c r="U109" s="1903"/>
      <c r="V109" s="1904"/>
      <c r="W109" s="1903"/>
      <c r="X109" s="1904"/>
      <c r="Y109" s="1903"/>
      <c r="Z109" s="1907" cm="1">
        <f t="array" ref="Z109">SUM(B109:X109)</f>
        <v>94376420</v>
      </c>
      <c r="AA109" s="1652"/>
      <c r="AB109" s="1652"/>
      <c r="AC109" s="1652"/>
      <c r="AD109" s="1652"/>
      <c r="AE109" s="1652"/>
      <c r="AF109" s="1652"/>
      <c r="AG109" s="1652"/>
      <c r="AH109" s="1652"/>
      <c r="AI109" s="1652"/>
      <c r="AJ109" s="1652"/>
      <c r="AK109" s="1652"/>
      <c r="AL109" s="1652"/>
      <c r="AM109" s="1654"/>
    </row>
    <row r="110" ht="13.5" customHeight="1">
      <c r="A110" t="s" s="1914">
        <v>4079</v>
      </c>
      <c r="B110" s="1901"/>
      <c r="C110" s="1903"/>
      <c r="D110" s="1904"/>
      <c r="E110" s="1903"/>
      <c r="F110" s="1904"/>
      <c r="G110" s="1903"/>
      <c r="H110" s="1904"/>
      <c r="I110" s="1903"/>
      <c r="J110" s="1904"/>
      <c r="K110" s="1903"/>
      <c r="L110" s="1904">
        <v>24000000</v>
      </c>
      <c r="M110" s="1903"/>
      <c r="N110" s="1904">
        <v>39000000</v>
      </c>
      <c r="O110" s="1903"/>
      <c r="P110" s="1904">
        <v>713845</v>
      </c>
      <c r="Q110" s="1903"/>
      <c r="R110" s="1904"/>
      <c r="S110" s="1903"/>
      <c r="T110" s="1904">
        <v>1925100</v>
      </c>
      <c r="U110" s="1903"/>
      <c r="V110" s="1904">
        <v>120000</v>
      </c>
      <c r="W110" s="1903"/>
      <c r="X110" s="1904">
        <v>780000</v>
      </c>
      <c r="Y110" s="1903"/>
      <c r="Z110" s="1907" cm="1">
        <f t="array" ref="Z110">SUM(B110:X110)</f>
        <v>66538945</v>
      </c>
      <c r="AA110" s="1652"/>
      <c r="AB110" s="1652"/>
      <c r="AC110" s="1652"/>
      <c r="AD110" s="1652"/>
      <c r="AE110" s="1652"/>
      <c r="AF110" s="1652"/>
      <c r="AG110" s="1652"/>
      <c r="AH110" s="1652"/>
      <c r="AI110" s="1652"/>
      <c r="AJ110" s="1652"/>
      <c r="AK110" s="1652"/>
      <c r="AL110" s="1652"/>
      <c r="AM110" s="1654"/>
    </row>
    <row r="111" ht="13.5" customHeight="1">
      <c r="A111" t="s" s="1914">
        <v>1159</v>
      </c>
      <c r="B111" s="1901"/>
      <c r="C111" s="1903"/>
      <c r="D111" s="1904"/>
      <c r="E111" s="1903"/>
      <c r="F111" s="1904"/>
      <c r="G111" s="1903"/>
      <c r="H111" s="1904"/>
      <c r="I111" s="1903"/>
      <c r="J111" s="1904"/>
      <c r="K111" s="1903"/>
      <c r="L111" s="1904"/>
      <c r="M111" s="1903"/>
      <c r="N111" s="1904"/>
      <c r="O111" s="1903"/>
      <c r="P111" s="1904"/>
      <c r="Q111" s="1903"/>
      <c r="R111" s="1904"/>
      <c r="S111" s="1903"/>
      <c r="T111" s="1904"/>
      <c r="U111" s="1903"/>
      <c r="V111" s="1904"/>
      <c r="W111" s="1903"/>
      <c r="X111" s="1904">
        <v>880000</v>
      </c>
      <c r="Y111" s="1903"/>
      <c r="Z111" s="1907" cm="1">
        <f t="array" ref="Z111">SUM(B111:X111)</f>
        <v>880000</v>
      </c>
      <c r="AA111" s="1652"/>
      <c r="AB111" s="1652"/>
      <c r="AC111" s="1652"/>
      <c r="AD111" s="1652"/>
      <c r="AE111" s="1652"/>
      <c r="AF111" s="1652"/>
      <c r="AG111" s="1652"/>
      <c r="AH111" s="1652"/>
      <c r="AI111" s="1652"/>
      <c r="AJ111" s="1652"/>
      <c r="AK111" s="1652"/>
      <c r="AL111" s="1652"/>
      <c r="AM111" s="1654"/>
    </row>
    <row r="112" ht="13.5" customHeight="1">
      <c r="A112" t="s" s="1914">
        <v>4080</v>
      </c>
      <c r="B112" s="1901"/>
      <c r="C112" s="1903"/>
      <c r="D112" s="1904"/>
      <c r="E112" s="1903"/>
      <c r="F112" s="1904"/>
      <c r="G112" s="1903"/>
      <c r="H112" s="1904"/>
      <c r="I112" s="1903"/>
      <c r="J112" s="1904"/>
      <c r="K112" s="1903"/>
      <c r="L112" s="1904"/>
      <c r="M112" s="1903"/>
      <c r="N112" s="1904"/>
      <c r="O112" s="1903"/>
      <c r="P112" s="1904"/>
      <c r="Q112" s="1903"/>
      <c r="R112" s="1904"/>
      <c r="S112" s="1903"/>
      <c r="T112" s="1904"/>
      <c r="U112" s="1903"/>
      <c r="V112" s="1904"/>
      <c r="W112" s="1903"/>
      <c r="X112" s="1904">
        <v>121000</v>
      </c>
      <c r="Y112" s="1903"/>
      <c r="Z112" s="1907" cm="1">
        <f t="array" ref="Z112">SUM(B112:X112)</f>
        <v>121000</v>
      </c>
      <c r="AA112" s="1652"/>
      <c r="AB112" s="1652"/>
      <c r="AC112" s="1652"/>
      <c r="AD112" s="1652"/>
      <c r="AE112" s="1652"/>
      <c r="AF112" s="1652"/>
      <c r="AG112" s="1652"/>
      <c r="AH112" s="1652"/>
      <c r="AI112" s="1652"/>
      <c r="AJ112" s="1652"/>
      <c r="AK112" s="1652"/>
      <c r="AL112" s="1652"/>
      <c r="AM112" s="1654"/>
    </row>
    <row r="113" ht="13.5" customHeight="1">
      <c r="A113" t="s" s="1914">
        <v>4081</v>
      </c>
      <c r="B113" s="1901"/>
      <c r="C113" s="1903"/>
      <c r="D113" s="1904"/>
      <c r="E113" s="1903"/>
      <c r="F113" s="1904"/>
      <c r="G113" s="1903"/>
      <c r="H113" s="1904"/>
      <c r="I113" s="1903"/>
      <c r="J113" s="1904"/>
      <c r="K113" s="1903"/>
      <c r="L113" s="1904"/>
      <c r="M113" s="1903"/>
      <c r="N113" s="1904"/>
      <c r="O113" s="1903"/>
      <c r="P113" s="1904"/>
      <c r="Q113" s="1903"/>
      <c r="R113" s="1904"/>
      <c r="S113" s="1903"/>
      <c r="T113" s="1904"/>
      <c r="U113" s="1903"/>
      <c r="V113" s="1904"/>
      <c r="W113" s="1903"/>
      <c r="X113" s="1904">
        <v>155000</v>
      </c>
      <c r="Y113" s="1903"/>
      <c r="Z113" s="1907" cm="1">
        <f t="array" ref="Z113">SUM(B113:X113)</f>
        <v>155000</v>
      </c>
      <c r="AA113" s="1652"/>
      <c r="AB113" s="1652"/>
      <c r="AC113" s="1652"/>
      <c r="AD113" s="1652"/>
      <c r="AE113" s="1652"/>
      <c r="AF113" s="1652"/>
      <c r="AG113" s="1652"/>
      <c r="AH113" s="1652"/>
      <c r="AI113" s="1652"/>
      <c r="AJ113" s="1652"/>
      <c r="AK113" s="1652"/>
      <c r="AL113" s="1652"/>
      <c r="AM113" s="1654"/>
    </row>
    <row r="114" ht="13.5" customHeight="1">
      <c r="A114" t="s" s="1914">
        <v>3828</v>
      </c>
      <c r="B114" s="1901"/>
      <c r="C114" s="1903"/>
      <c r="D114" s="1904"/>
      <c r="E114" s="1903"/>
      <c r="F114" s="1904"/>
      <c r="G114" s="1903"/>
      <c r="H114" s="1904"/>
      <c r="I114" s="1903"/>
      <c r="J114" s="1904"/>
      <c r="K114" s="1903"/>
      <c r="L114" s="1904"/>
      <c r="M114" s="1903"/>
      <c r="N114" s="1904"/>
      <c r="O114" s="1903"/>
      <c r="P114" s="1904"/>
      <c r="Q114" s="1903"/>
      <c r="R114" s="1904"/>
      <c r="S114" s="1903"/>
      <c r="T114" s="1904"/>
      <c r="U114" s="1903"/>
      <c r="V114" s="1904"/>
      <c r="W114" s="1903"/>
      <c r="X114" s="1904">
        <v>7200000</v>
      </c>
      <c r="Y114" s="1903"/>
      <c r="Z114" s="1907" cm="1">
        <f t="array" ref="Z114">SUM(B114:X114)</f>
        <v>7200000</v>
      </c>
      <c r="AA114" s="1652"/>
      <c r="AB114" s="1652"/>
      <c r="AC114" s="1652"/>
      <c r="AD114" s="1652"/>
      <c r="AE114" s="1652"/>
      <c r="AF114" s="1652"/>
      <c r="AG114" s="1652"/>
      <c r="AH114" s="1652"/>
      <c r="AI114" s="1652"/>
      <c r="AJ114" s="1652"/>
      <c r="AK114" s="1652"/>
      <c r="AL114" s="1652"/>
      <c r="AM114" s="1654"/>
    </row>
    <row r="115" ht="13.5" customHeight="1">
      <c r="A115" t="s" s="1914">
        <v>4082</v>
      </c>
      <c r="B115" s="1901">
        <v>71317200</v>
      </c>
      <c r="C115" s="1903"/>
      <c r="D115" s="1904"/>
      <c r="E115" s="1903"/>
      <c r="F115" s="1904"/>
      <c r="G115" s="1903"/>
      <c r="H115" s="1904"/>
      <c r="I115" s="1903"/>
      <c r="J115" s="1904"/>
      <c r="K115" s="1903"/>
      <c r="L115" s="1904"/>
      <c r="M115" s="1903"/>
      <c r="N115" s="1904"/>
      <c r="O115" s="1903"/>
      <c r="P115" s="1904"/>
      <c r="Q115" s="1903"/>
      <c r="R115" s="1904"/>
      <c r="S115" s="1903"/>
      <c r="T115" s="1904"/>
      <c r="U115" s="1903"/>
      <c r="V115" s="1904"/>
      <c r="W115" s="1903"/>
      <c r="X115" s="1904"/>
      <c r="Y115" s="1903"/>
      <c r="Z115" s="1907" cm="1">
        <f t="array" ref="Z115">SUM(B115:X115)</f>
        <v>71317200</v>
      </c>
      <c r="AA115" s="1652"/>
      <c r="AB115" s="1652"/>
      <c r="AC115" s="1652"/>
      <c r="AD115" s="1652"/>
      <c r="AE115" s="1652"/>
      <c r="AF115" s="1652"/>
      <c r="AG115" s="1652"/>
      <c r="AH115" s="1652"/>
      <c r="AI115" s="1652"/>
      <c r="AJ115" s="1652"/>
      <c r="AK115" s="1652"/>
      <c r="AL115" s="1652"/>
      <c r="AM115" s="1654"/>
    </row>
    <row r="116" ht="13.5" customHeight="1">
      <c r="A116" t="s" s="1908">
        <v>4083</v>
      </c>
      <c r="B116" s="1901">
        <v>10890553</v>
      </c>
      <c r="C116" s="1903"/>
      <c r="D116" s="1904">
        <v>10220279</v>
      </c>
      <c r="E116" s="1903"/>
      <c r="F116" s="1904">
        <v>20169127</v>
      </c>
      <c r="G116" s="1903"/>
      <c r="H116" s="1904">
        <v>34043813</v>
      </c>
      <c r="I116" s="1903"/>
      <c r="J116" s="1904">
        <v>30424568</v>
      </c>
      <c r="K116" s="1903"/>
      <c r="L116" s="1904">
        <v>16047589</v>
      </c>
      <c r="M116" s="1903"/>
      <c r="N116" s="1904">
        <v>14718710</v>
      </c>
      <c r="O116" s="1903"/>
      <c r="P116" s="1904">
        <v>10289163</v>
      </c>
      <c r="Q116" s="1903"/>
      <c r="R116" s="1904">
        <v>4466456</v>
      </c>
      <c r="S116" s="1903"/>
      <c r="T116" s="1904">
        <v>3890492</v>
      </c>
      <c r="U116" s="1903"/>
      <c r="V116" s="1904">
        <v>2404243</v>
      </c>
      <c r="W116" s="1903"/>
      <c r="X116" s="1904">
        <v>3195856</v>
      </c>
      <c r="Y116" s="1903"/>
      <c r="Z116" s="1907" cm="1">
        <f t="array" ref="Z116">SUM(B116:X116)</f>
        <v>160760849</v>
      </c>
      <c r="AA116" s="1652"/>
      <c r="AB116" s="1652"/>
      <c r="AC116" s="1652"/>
      <c r="AD116" s="1652"/>
      <c r="AE116" s="1652"/>
      <c r="AF116" s="1652"/>
      <c r="AG116" s="1652"/>
      <c r="AH116" s="1652"/>
      <c r="AI116" s="1652"/>
      <c r="AJ116" s="1652"/>
      <c r="AK116" s="1652"/>
      <c r="AL116" s="1652"/>
      <c r="AM116" s="1654"/>
    </row>
    <row r="117" ht="13.5" customHeight="1">
      <c r="A117" t="s" s="1897">
        <v>4084</v>
      </c>
      <c r="B117" s="1912" cm="1">
        <f t="array" ref="B117">SUM(B67:B116)</f>
        <v>421164748.21</v>
      </c>
      <c r="C117" s="1903" cm="1">
        <f t="array" ref="C117">B117/B17</f>
        <v>0.340550958052895</v>
      </c>
      <c r="D117" s="1912" cm="1">
        <f t="array" ref="D117">SUM(D67:D116)</f>
        <v>326430944.09</v>
      </c>
      <c r="E117" s="1903" cm="1">
        <f t="array" ref="E117">D117/D17</f>
        <v>0.300981895747451</v>
      </c>
      <c r="F117" s="1912" cm="1">
        <f t="array" ref="F117">SUM(F67:F116)</f>
        <v>363278552.54</v>
      </c>
      <c r="G117" s="1903" cm="1">
        <f t="array" ref="G117">F117/F17</f>
        <v>0.198828865696112</v>
      </c>
      <c r="H117" s="1912" cm="1">
        <f t="array" ref="H117">SUM(H67:H116)</f>
        <v>521614595</v>
      </c>
      <c r="I117" s="1903" cm="1">
        <f t="array" ref="I117">H117/H17</f>
        <v>0.156131800060945</v>
      </c>
      <c r="J117" s="1912" cm="1">
        <f t="array" ref="J117">SUM(J67:J116)</f>
        <v>488260327</v>
      </c>
      <c r="K117" s="1903" cm="1">
        <f t="array" ref="K117">J117/J17</f>
        <v>0.119131983894964</v>
      </c>
      <c r="L117" s="1912" cm="1">
        <f t="array" ref="L117">SUM(L67:L116)</f>
        <v>660787240</v>
      </c>
      <c r="M117" s="1903" cm="1">
        <f t="array" ref="M117">L117/L17</f>
        <v>0.1508713204708</v>
      </c>
      <c r="N117" s="1912" cm="1">
        <f t="array" ref="N117">SUM(N67:N116)</f>
        <v>882471609</v>
      </c>
      <c r="O117" s="1903" cm="1">
        <f t="array" ref="O117">N117/N17</f>
        <v>0.195324506812175</v>
      </c>
      <c r="P117" s="1912" cm="1">
        <f t="array" ref="P117">SUM(P67:P116)</f>
        <v>838722600</v>
      </c>
      <c r="Q117" s="1903" cm="1">
        <f t="array" ref="Q117">P117/P17</f>
        <v>0.168941783694452</v>
      </c>
      <c r="R117" s="1912" cm="1">
        <f t="array" ref="R117">SUM(R67:R116)</f>
        <v>800804006</v>
      </c>
      <c r="S117" s="1903" cm="1">
        <f t="array" ref="S117">R117/R17</f>
        <v>0.182579329613373</v>
      </c>
      <c r="T117" s="1912" cm="1">
        <f t="array" ref="T117">SUM(T67:T116)</f>
        <v>654758956</v>
      </c>
      <c r="U117" s="1903" cm="1">
        <f t="array" ref="U117">R117/R17</f>
        <v>0.182579329613373</v>
      </c>
      <c r="V117" s="1912" cm="1">
        <f t="array" ref="V117">SUM(V67:V116)</f>
        <v>848795535</v>
      </c>
      <c r="W117" s="1903" cm="1">
        <f t="array" ref="W117">R117/R17</f>
        <v>0.182579329613373</v>
      </c>
      <c r="X117" s="1912" cm="1">
        <f t="array" ref="X117">SUM(X67:X116)</f>
        <v>776300191.4</v>
      </c>
      <c r="Y117" s="1903" cm="1">
        <f t="array" ref="Y117">T117/T17</f>
        <v>0.15924548735435</v>
      </c>
      <c r="Z117" s="1912" cm="1">
        <f t="array" ref="Z117">SUM(Z67:Z116)</f>
        <v>7583389304.24</v>
      </c>
      <c r="AA117" s="1903" cm="1">
        <f t="array" ref="AA117">Z117/Z17</f>
        <v>0.187456554912703</v>
      </c>
      <c r="AB117" s="1652"/>
      <c r="AC117" s="1652"/>
      <c r="AD117" s="1652"/>
      <c r="AE117" s="1652"/>
      <c r="AF117" s="1652"/>
      <c r="AG117" s="1652"/>
      <c r="AH117" s="1652"/>
      <c r="AI117" s="1652"/>
      <c r="AJ117" s="1652"/>
      <c r="AK117" s="1652"/>
      <c r="AL117" s="1652"/>
      <c r="AM117" s="1654"/>
    </row>
    <row r="118" ht="15" customHeight="1">
      <c r="A118" s="1915"/>
      <c r="B118" s="1904"/>
      <c r="C118" s="1903"/>
      <c r="D118" s="1904"/>
      <c r="E118" s="1903"/>
      <c r="F118" s="1904"/>
      <c r="G118" s="1903"/>
      <c r="H118" s="1904"/>
      <c r="I118" s="1903"/>
      <c r="J118" s="1904"/>
      <c r="K118" s="1903"/>
      <c r="L118" s="1904"/>
      <c r="M118" s="1903"/>
      <c r="N118" s="1904"/>
      <c r="O118" s="1903"/>
      <c r="P118" s="1904"/>
      <c r="Q118" s="1903"/>
      <c r="R118" s="1904"/>
      <c r="S118" s="1903"/>
      <c r="T118" s="1904"/>
      <c r="U118" s="1903"/>
      <c r="V118" s="1904"/>
      <c r="W118" s="1903"/>
      <c r="X118" s="1904"/>
      <c r="Y118" s="1903"/>
      <c r="Z118" s="1904"/>
      <c r="AA118" s="1652"/>
      <c r="AB118" s="1652"/>
      <c r="AC118" s="1652"/>
      <c r="AD118" s="1652"/>
      <c r="AE118" s="1652"/>
      <c r="AF118" s="1652"/>
      <c r="AG118" s="1652"/>
      <c r="AH118" s="1652"/>
      <c r="AI118" s="1652"/>
      <c r="AJ118" s="1652"/>
      <c r="AK118" s="1652"/>
      <c r="AL118" s="1652"/>
      <c r="AM118" s="1654"/>
    </row>
    <row r="119" ht="13.5" customHeight="1">
      <c r="A119" t="s" s="1897">
        <v>4085</v>
      </c>
      <c r="B119" s="1905"/>
      <c r="C119" s="1903"/>
      <c r="D119" s="1905"/>
      <c r="E119" s="1903"/>
      <c r="F119" s="1905"/>
      <c r="G119" s="1903"/>
      <c r="H119" s="1905"/>
      <c r="I119" s="1903"/>
      <c r="J119" s="1905"/>
      <c r="K119" s="1903"/>
      <c r="L119" s="1905"/>
      <c r="M119" s="1903"/>
      <c r="N119" s="1905"/>
      <c r="O119" s="1903"/>
      <c r="P119" s="1905"/>
      <c r="Q119" s="1903"/>
      <c r="R119" s="1905"/>
      <c r="S119" s="1903"/>
      <c r="T119" s="1905"/>
      <c r="U119" s="1903"/>
      <c r="V119" s="1905"/>
      <c r="W119" s="1903"/>
      <c r="X119" s="1905"/>
      <c r="Y119" s="1903"/>
      <c r="Z119" s="1905"/>
      <c r="AA119" s="1652"/>
      <c r="AB119" s="1652"/>
      <c r="AC119" s="1652"/>
      <c r="AD119" s="1652"/>
      <c r="AE119" s="1652"/>
      <c r="AF119" s="1652"/>
      <c r="AG119" s="1652"/>
      <c r="AH119" s="1652"/>
      <c r="AI119" s="1652"/>
      <c r="AJ119" s="1652"/>
      <c r="AK119" s="1652"/>
      <c r="AL119" s="1652"/>
      <c r="AM119" s="1654"/>
    </row>
    <row r="120" ht="13.5" customHeight="1">
      <c r="A120" t="s" s="1900">
        <v>4086</v>
      </c>
      <c r="B120" s="1901">
        <v>6003840</v>
      </c>
      <c r="C120" s="1903"/>
      <c r="D120" s="1904">
        <v>0</v>
      </c>
      <c r="E120" s="1903"/>
      <c r="F120" s="1904">
        <v>0</v>
      </c>
      <c r="G120" s="1903"/>
      <c r="H120" s="1904">
        <v>0</v>
      </c>
      <c r="I120" s="1903"/>
      <c r="J120" s="1904"/>
      <c r="K120" s="1903"/>
      <c r="L120" s="1904"/>
      <c r="M120" s="1903"/>
      <c r="N120" s="1904"/>
      <c r="O120" s="1903"/>
      <c r="P120" s="1904"/>
      <c r="Q120" s="1903"/>
      <c r="R120" s="1904"/>
      <c r="S120" s="1903"/>
      <c r="T120" s="1904"/>
      <c r="U120" s="1903"/>
      <c r="V120" s="1904"/>
      <c r="W120" s="1903"/>
      <c r="X120" s="1904"/>
      <c r="Y120" s="1903"/>
      <c r="Z120" s="1907" cm="1">
        <f t="array" ref="Z120">SUM(B120:X120)</f>
        <v>6003840</v>
      </c>
      <c r="AA120" s="1652"/>
      <c r="AB120" s="1652"/>
      <c r="AC120" s="1652"/>
      <c r="AD120" s="1652"/>
      <c r="AE120" s="1652"/>
      <c r="AF120" s="1652"/>
      <c r="AG120" s="1652"/>
      <c r="AH120" s="1652"/>
      <c r="AI120" s="1652"/>
      <c r="AJ120" s="1652"/>
      <c r="AK120" s="1652"/>
      <c r="AL120" s="1652"/>
      <c r="AM120" s="1654"/>
    </row>
    <row r="121" ht="13.5" customHeight="1">
      <c r="A121" t="s" s="1900">
        <v>4087</v>
      </c>
      <c r="B121" s="1901"/>
      <c r="C121" s="1903"/>
      <c r="D121" s="1904"/>
      <c r="E121" s="1903"/>
      <c r="F121" s="1904"/>
      <c r="G121" s="1903"/>
      <c r="H121" s="1904"/>
      <c r="I121" s="1903"/>
      <c r="J121" s="1904">
        <v>178500000</v>
      </c>
      <c r="K121" s="1903"/>
      <c r="L121" s="1904"/>
      <c r="M121" s="1903"/>
      <c r="N121" s="1904">
        <v>178500000</v>
      </c>
      <c r="O121" s="1903"/>
      <c r="P121" s="1904">
        <v>178500000</v>
      </c>
      <c r="Q121" s="1903"/>
      <c r="R121" s="1904"/>
      <c r="S121" s="1903"/>
      <c r="T121" s="1904">
        <v>680942000</v>
      </c>
      <c r="U121" s="1903"/>
      <c r="V121" s="1904">
        <v>35802000</v>
      </c>
      <c r="W121" s="1903"/>
      <c r="X121" s="1904"/>
      <c r="Y121" s="1903"/>
      <c r="Z121" s="1907" cm="1">
        <f t="array" ref="Z121">SUM(B121:X121)</f>
        <v>1252244000</v>
      </c>
      <c r="AA121" s="1652"/>
      <c r="AB121" s="1652"/>
      <c r="AC121" s="1652"/>
      <c r="AD121" s="1652"/>
      <c r="AE121" s="1652"/>
      <c r="AF121" s="1652"/>
      <c r="AG121" s="1652"/>
      <c r="AH121" s="1652"/>
      <c r="AI121" s="1652"/>
      <c r="AJ121" s="1652"/>
      <c r="AK121" s="1652"/>
      <c r="AL121" s="1652"/>
      <c r="AM121" s="1654"/>
    </row>
    <row r="122" ht="13.5" customHeight="1">
      <c r="A122" t="s" s="1900">
        <v>4088</v>
      </c>
      <c r="B122" s="1901"/>
      <c r="C122" s="1903"/>
      <c r="D122" s="1904"/>
      <c r="E122" s="1903"/>
      <c r="F122" s="1904">
        <v>0</v>
      </c>
      <c r="G122" s="1903"/>
      <c r="H122" s="1904">
        <v>0</v>
      </c>
      <c r="I122" s="1903"/>
      <c r="J122" s="1904">
        <v>178500000</v>
      </c>
      <c r="K122" s="1903"/>
      <c r="L122" s="1904"/>
      <c r="M122" s="1903"/>
      <c r="N122" s="1904"/>
      <c r="O122" s="1903"/>
      <c r="P122" s="1904"/>
      <c r="Q122" s="1903"/>
      <c r="R122" s="1904">
        <v>178000000</v>
      </c>
      <c r="S122" s="1903"/>
      <c r="T122" s="1904"/>
      <c r="U122" s="1903"/>
      <c r="V122" s="1904">
        <v>94500000</v>
      </c>
      <c r="W122" s="1903"/>
      <c r="X122" s="1904">
        <v>47500000</v>
      </c>
      <c r="Y122" s="1903"/>
      <c r="Z122" s="1907" cm="1">
        <f t="array" ref="Z122">SUM(B122:X122)</f>
        <v>498500000</v>
      </c>
      <c r="AA122" s="1652"/>
      <c r="AB122" s="1652"/>
      <c r="AC122" s="1652"/>
      <c r="AD122" s="1652"/>
      <c r="AE122" s="1652"/>
      <c r="AF122" s="1652"/>
      <c r="AG122" s="1652"/>
      <c r="AH122" s="1652"/>
      <c r="AI122" s="1652"/>
      <c r="AJ122" s="1652"/>
      <c r="AK122" s="1652"/>
      <c r="AL122" s="1652"/>
      <c r="AM122" s="1654"/>
    </row>
    <row r="123" ht="13.5" customHeight="1">
      <c r="A123" t="s" s="1900">
        <v>4089</v>
      </c>
      <c r="B123" s="1901"/>
      <c r="C123" s="1903"/>
      <c r="D123" s="1904"/>
      <c r="E123" s="1903"/>
      <c r="F123" s="1904"/>
      <c r="G123" s="1903"/>
      <c r="H123" s="1904"/>
      <c r="I123" s="1903"/>
      <c r="J123" s="1904"/>
      <c r="K123" s="1903"/>
      <c r="L123" s="1904"/>
      <c r="M123" s="1903"/>
      <c r="N123" s="1904" cm="1">
        <f t="array" ref="N123">556000000+160000000</f>
        <v>716000000</v>
      </c>
      <c r="O123" s="1903"/>
      <c r="P123" s="1904">
        <v>118000000</v>
      </c>
      <c r="Q123" s="1903"/>
      <c r="R123" s="1904"/>
      <c r="S123" s="1903"/>
      <c r="T123" s="1904"/>
      <c r="U123" s="1903"/>
      <c r="V123" s="1904"/>
      <c r="W123" s="1903"/>
      <c r="X123" s="1904"/>
      <c r="Y123" s="1903"/>
      <c r="Z123" s="1907" cm="1">
        <f t="array" ref="Z123">SUM(B123:X123)</f>
        <v>834000000</v>
      </c>
      <c r="AA123" s="1652"/>
      <c r="AB123" s="1652"/>
      <c r="AC123" s="1652"/>
      <c r="AD123" s="1652"/>
      <c r="AE123" s="1652"/>
      <c r="AF123" s="1652"/>
      <c r="AG123" s="1652"/>
      <c r="AH123" s="1652"/>
      <c r="AI123" s="1652"/>
      <c r="AJ123" s="1652"/>
      <c r="AK123" s="1652"/>
      <c r="AL123" s="1652"/>
      <c r="AM123" s="1654"/>
    </row>
    <row r="124" ht="13.5" customHeight="1">
      <c r="A124" t="s" s="1897">
        <v>4090</v>
      </c>
      <c r="B124" s="1912" cm="1">
        <f t="array" ref="B124">SUM(B120:B123)</f>
        <v>6003840</v>
      </c>
      <c r="C124" s="1903" cm="1">
        <f t="array" ref="C124">B124/B17</f>
        <v>0.0048546642915537</v>
      </c>
      <c r="D124" s="1912" cm="1">
        <f t="array" ref="D124">SUM(D120:D123)</f>
        <v>0</v>
      </c>
      <c r="E124" s="1903" cm="1">
        <f t="array" ref="E124">D124/D17</f>
        <v>0</v>
      </c>
      <c r="F124" s="1912" cm="1">
        <f t="array" ref="F124">SUM(F120:F123)</f>
        <v>0</v>
      </c>
      <c r="G124" s="1903" cm="1">
        <f t="array" ref="G124">F124/F17</f>
        <v>0</v>
      </c>
      <c r="H124" s="1912" cm="1">
        <f t="array" ref="H124">SUM(H120:H123)</f>
        <v>0</v>
      </c>
      <c r="I124" s="1903" cm="1">
        <f t="array" ref="I124">H124/H17</f>
        <v>0</v>
      </c>
      <c r="J124" s="1912" cm="1">
        <f t="array" ref="J124">SUM(J120:J123)</f>
        <v>357000000</v>
      </c>
      <c r="K124" s="1903" cm="1">
        <f t="array" ref="K124">J124/J17</f>
        <v>0.0871054146705272</v>
      </c>
      <c r="L124" s="1912" cm="1">
        <f t="array" ref="L124">SUM(L120:L123)</f>
        <v>0</v>
      </c>
      <c r="M124" s="1903" cm="1">
        <f t="array" ref="M124">L124/L17</f>
        <v>0</v>
      </c>
      <c r="N124" s="1912" cm="1">
        <f t="array" ref="N124">SUM(N120:N123)</f>
        <v>894500000</v>
      </c>
      <c r="O124" s="1903" cm="1">
        <f t="array" ref="O124">N124/N17</f>
        <v>0.197986846898652</v>
      </c>
      <c r="P124" s="1912" cm="1">
        <f t="array" ref="P124">SUM(P120:P123)</f>
        <v>296500000</v>
      </c>
      <c r="Q124" s="1903" cm="1">
        <f t="array" ref="Q124">P124/P17</f>
        <v>0.059723249218997</v>
      </c>
      <c r="R124" s="1912" cm="1">
        <f t="array" ref="R124">SUM(R120:R123)</f>
        <v>178000000</v>
      </c>
      <c r="S124" s="1903" cm="1">
        <f t="array" ref="S124">R124/R17</f>
        <v>0.040583114504525</v>
      </c>
      <c r="T124" s="1912" cm="1">
        <f t="array" ref="T124">SUM(T120:T123)</f>
        <v>680942000</v>
      </c>
      <c r="U124" s="1903" cm="1">
        <f t="array" ref="U124">R124/R17</f>
        <v>0.040583114504525</v>
      </c>
      <c r="V124" s="1912" cm="1">
        <f t="array" ref="V124">SUM(V120:V123)</f>
        <v>130302000</v>
      </c>
      <c r="W124" s="1903" cm="1">
        <f t="array" ref="W124">R124/R17</f>
        <v>0.040583114504525</v>
      </c>
      <c r="X124" s="1912" cm="1">
        <f t="array" ref="X124">SUM(X120:X123)</f>
        <v>47500000</v>
      </c>
      <c r="Y124" s="1903" cm="1">
        <f t="array" ref="Y124">T124/T17</f>
        <v>0.165613527934768</v>
      </c>
      <c r="Z124" s="1912" cm="1">
        <f t="array" ref="Z124">SUM(Z120:Z123)</f>
        <v>2590747840</v>
      </c>
      <c r="AA124" s="1903" cm="1">
        <f t="array" ref="AA124">Z124/Z17</f>
        <v>0.06404163695808041</v>
      </c>
      <c r="AB124" s="1652"/>
      <c r="AC124" s="1652"/>
      <c r="AD124" s="1652"/>
      <c r="AE124" s="1652"/>
      <c r="AF124" s="1652"/>
      <c r="AG124" s="1652"/>
      <c r="AH124" s="1652"/>
      <c r="AI124" s="1652"/>
      <c r="AJ124" s="1652"/>
      <c r="AK124" s="1652"/>
      <c r="AL124" s="1652"/>
      <c r="AM124" s="1654"/>
    </row>
    <row r="125" ht="15" customHeight="1">
      <c r="A125" s="1915"/>
      <c r="B125" s="1904"/>
      <c r="C125" s="1903"/>
      <c r="D125" s="1904"/>
      <c r="E125" s="1903"/>
      <c r="F125" s="1904"/>
      <c r="G125" s="1903"/>
      <c r="H125" s="1904"/>
      <c r="I125" s="1903"/>
      <c r="J125" s="1904"/>
      <c r="K125" s="1903"/>
      <c r="L125" s="1904"/>
      <c r="M125" s="1903"/>
      <c r="N125" s="1904"/>
      <c r="O125" s="1903"/>
      <c r="P125" s="1904"/>
      <c r="Q125" s="1903"/>
      <c r="R125" s="1904"/>
      <c r="S125" s="1903"/>
      <c r="T125" s="1904"/>
      <c r="U125" s="1903"/>
      <c r="V125" s="1904"/>
      <c r="W125" s="1903"/>
      <c r="X125" s="1904"/>
      <c r="Y125" s="1903"/>
      <c r="Z125" s="1904"/>
      <c r="AA125" s="1652"/>
      <c r="AB125" s="1652"/>
      <c r="AC125" s="1652"/>
      <c r="AD125" s="1652"/>
      <c r="AE125" s="1652"/>
      <c r="AF125" s="1652"/>
      <c r="AG125" s="1652"/>
      <c r="AH125" s="1652"/>
      <c r="AI125" s="1652"/>
      <c r="AJ125" s="1652"/>
      <c r="AK125" s="1652"/>
      <c r="AL125" s="1652"/>
      <c r="AM125" s="1654"/>
    </row>
    <row r="126" ht="13.5" customHeight="1">
      <c r="A126" t="s" s="1916">
        <v>4091</v>
      </c>
      <c r="B126" s="1917" cm="1">
        <f t="array" ref="B126">B64+B117+B124</f>
        <v>1127280754.21</v>
      </c>
      <c r="C126" s="1903"/>
      <c r="D126" s="1917" cm="1">
        <f t="array" ref="D126">D64+D117+D124</f>
        <v>1184911531.09</v>
      </c>
      <c r="E126" s="1903"/>
      <c r="F126" s="1917" cm="1">
        <f t="array" ref="F126">F64+F117+F124</f>
        <v>1720286442.54</v>
      </c>
      <c r="G126" s="1903"/>
      <c r="H126" s="1917" cm="1">
        <f t="array" ref="H126">H64+H117+H124</f>
        <v>2721002466</v>
      </c>
      <c r="I126" s="1903"/>
      <c r="J126" s="1917" cm="1">
        <f t="array" ref="J126">J64+J117+J124</f>
        <v>3574290750</v>
      </c>
      <c r="K126" s="1903"/>
      <c r="L126" s="1917" cm="1">
        <f t="array" ref="L126">L64+L117+L124</f>
        <v>3506432036</v>
      </c>
      <c r="M126" s="1903"/>
      <c r="N126" s="1917" cm="1">
        <f t="array" ref="N126">N64+N117+N124</f>
        <v>4627759200</v>
      </c>
      <c r="O126" s="1903"/>
      <c r="P126" s="1917" cm="1">
        <f t="array" ref="P126">P64+P117+P124</f>
        <v>4342920215</v>
      </c>
      <c r="Q126" s="1903"/>
      <c r="R126" s="1917" cm="1">
        <f t="array" ref="R126">R64+R117+R124</f>
        <v>3715199745</v>
      </c>
      <c r="S126" s="1903"/>
      <c r="T126" s="1917" cm="1">
        <f t="array" ref="T126">T64+T117+T124</f>
        <v>4064623734</v>
      </c>
      <c r="U126" s="1903"/>
      <c r="V126" s="1917" cm="1">
        <f t="array" ref="V126">V64+V117+V124</f>
        <v>3094802128</v>
      </c>
      <c r="W126" s="1903"/>
      <c r="X126" s="1917" cm="1">
        <f t="array" ref="X126">X64+X117+X124</f>
        <v>3069415551.01</v>
      </c>
      <c r="Y126" s="1903"/>
      <c r="Z126" s="1917" cm="1">
        <f t="array" ref="Z126">Z64+Z117+Z124</f>
        <v>36748924552.85</v>
      </c>
      <c r="AA126" s="1652"/>
      <c r="AB126" s="1652"/>
      <c r="AC126" s="1652"/>
      <c r="AD126" s="1652"/>
      <c r="AE126" s="1652"/>
      <c r="AF126" s="1652"/>
      <c r="AG126" s="1652"/>
      <c r="AH126" s="1652"/>
      <c r="AI126" s="1652"/>
      <c r="AJ126" s="1652"/>
      <c r="AK126" s="1652"/>
      <c r="AL126" s="1652"/>
      <c r="AM126" s="1654"/>
    </row>
    <row r="127" ht="15" customHeight="1">
      <c r="A127" s="1915"/>
      <c r="B127" s="1904"/>
      <c r="C127" s="1903"/>
      <c r="D127" s="1904"/>
      <c r="E127" s="1903"/>
      <c r="F127" s="1904"/>
      <c r="G127" s="1903"/>
      <c r="H127" s="1904"/>
      <c r="I127" s="1903"/>
      <c r="J127" s="1904"/>
      <c r="K127" s="1903"/>
      <c r="L127" s="1904"/>
      <c r="M127" s="1903"/>
      <c r="N127" s="1904"/>
      <c r="O127" s="1903"/>
      <c r="P127" s="1904"/>
      <c r="Q127" s="1903"/>
      <c r="R127" s="1904"/>
      <c r="S127" s="1903"/>
      <c r="T127" s="1904"/>
      <c r="U127" s="1903"/>
      <c r="V127" s="1904"/>
      <c r="W127" s="1903"/>
      <c r="X127" s="1904"/>
      <c r="Y127" s="1903"/>
      <c r="Z127" s="1904"/>
      <c r="AA127" s="1652"/>
      <c r="AB127" s="1652"/>
      <c r="AC127" s="1652"/>
      <c r="AD127" s="1652"/>
      <c r="AE127" s="1652"/>
      <c r="AF127" s="1652"/>
      <c r="AG127" s="1652"/>
      <c r="AH127" s="1652"/>
      <c r="AI127" s="1652"/>
      <c r="AJ127" s="1652"/>
      <c r="AK127" s="1652"/>
      <c r="AL127" s="1652"/>
      <c r="AM127" s="1654"/>
    </row>
    <row r="128" ht="13.5" customHeight="1">
      <c r="A128" t="s" s="1918">
        <v>4092</v>
      </c>
      <c r="B128" s="1919" cm="1">
        <f t="array" ref="B128">B17-B126</f>
        <v>109435038.98</v>
      </c>
      <c r="C128" s="1903" cm="1">
        <f t="array" ref="C128">B128/B17</f>
        <v>0.0884884300682551</v>
      </c>
      <c r="D128" s="1919" cm="1">
        <f t="array" ref="D128">D17-D126</f>
        <v>-100358112.09</v>
      </c>
      <c r="E128" s="1903" cm="1">
        <f t="array" ref="E128">D128/D17</f>
        <v>-0.0925340424287575</v>
      </c>
      <c r="F128" s="1919" cm="1">
        <f t="array" ref="F128">F17-F126</f>
        <v>106805168.47</v>
      </c>
      <c r="G128" s="1903" cm="1">
        <f t="array" ref="G128">F128/F17</f>
        <v>0.0584563838104205</v>
      </c>
      <c r="H128" s="1919" cm="1">
        <f t="array" ref="H128">H17-H126</f>
        <v>619858235</v>
      </c>
      <c r="I128" s="1903" cm="1">
        <f t="array" ref="I128">H128/H17</f>
        <v>0.185538485580815</v>
      </c>
      <c r="J128" s="1919" cm="1">
        <f t="array" ref="J128">J17-J126</f>
        <v>524191547</v>
      </c>
      <c r="K128" s="1903" cm="1">
        <f t="array" ref="K128">J128/J17</f>
        <v>0.127898941367564</v>
      </c>
      <c r="L128" s="1919" cm="1">
        <f t="array" ref="L128">L17-L126</f>
        <v>873374795</v>
      </c>
      <c r="M128" s="1903" cm="1">
        <f t="array" ref="M128">L128/L17</f>
        <v>0.199409432584631</v>
      </c>
      <c r="N128" s="1919" cm="1">
        <f t="array" ref="N128">N17-N126</f>
        <v>-109782304</v>
      </c>
      <c r="O128" s="1903" cm="1">
        <f t="array" ref="O128">N128/N17</f>
        <v>-0.0242989963266957</v>
      </c>
      <c r="P128" s="1919" cm="1">
        <f t="array" ref="P128">P17-P126</f>
        <v>621645576</v>
      </c>
      <c r="Q128" s="1903" cm="1">
        <f t="array" ref="Q128">P128/P17</f>
        <v>0.125216504759983</v>
      </c>
      <c r="R128" s="1919" cm="1">
        <f t="array" ref="R128">R17-R126</f>
        <v>670860866</v>
      </c>
      <c r="S128" s="1903" cm="1">
        <f t="array" ref="S128">R128/R17</f>
        <v>0.15295294012069</v>
      </c>
      <c r="T128" s="1919" cm="1">
        <f t="array" ref="T128">T17-T126</f>
        <v>47008984</v>
      </c>
      <c r="U128" s="1903" cm="1">
        <f t="array" ref="U128">R128/R17</f>
        <v>0.15295294012069</v>
      </c>
      <c r="V128" s="1919" cm="1">
        <f t="array" ref="V128">V17-V126</f>
        <v>-114824856</v>
      </c>
      <c r="W128" s="1903" cm="1">
        <f t="array" ref="W128">R128/R17</f>
        <v>0.15295294012069</v>
      </c>
      <c r="X128" s="1919" cm="1">
        <f t="array" ref="X128">X17-X126</f>
        <v>456976972.05</v>
      </c>
      <c r="Y128" s="1903" cm="1">
        <f t="array" ref="Y128">T128/T17</f>
        <v>0.011433167119768</v>
      </c>
      <c r="Z128" s="1919" cm="1">
        <f t="array" ref="Z128">Z17-Z126</f>
        <v>3705191910.41</v>
      </c>
      <c r="AA128" s="1903" cm="1">
        <f t="array" ref="AA128">Z128/Z17</f>
        <v>0.09158998476150169</v>
      </c>
      <c r="AB128" s="1652"/>
      <c r="AC128" s="1652"/>
      <c r="AD128" s="1652"/>
      <c r="AE128" s="1652"/>
      <c r="AF128" s="1652"/>
      <c r="AG128" s="1652"/>
      <c r="AH128" s="1652"/>
      <c r="AI128" s="1652"/>
      <c r="AJ128" s="1652"/>
      <c r="AK128" s="1652"/>
      <c r="AL128" s="1652"/>
      <c r="AM128" s="1654"/>
    </row>
    <row r="129" ht="13.5" customHeight="1">
      <c r="A129" s="1902"/>
      <c r="B129" s="1913"/>
      <c r="C129" s="1903"/>
      <c r="D129" s="1913"/>
      <c r="E129" s="1903"/>
      <c r="F129" s="1913"/>
      <c r="G129" s="1903"/>
      <c r="H129" s="1903"/>
      <c r="I129" s="1903"/>
      <c r="J129" s="1653"/>
      <c r="K129" s="1903"/>
      <c r="L129" s="1904"/>
      <c r="M129" s="1903"/>
      <c r="N129" s="1904"/>
      <c r="O129" s="1903"/>
      <c r="P129" s="1920"/>
      <c r="Q129" s="1903"/>
      <c r="R129" s="1903"/>
      <c r="S129" s="1903"/>
      <c r="T129" s="1903"/>
      <c r="U129" s="1903"/>
      <c r="V129" s="1920"/>
      <c r="W129" s="1903"/>
      <c r="X129" s="1920"/>
      <c r="Y129" s="1903"/>
      <c r="Z129" s="1913"/>
      <c r="AA129" s="1652"/>
      <c r="AB129" s="1652"/>
      <c r="AC129" s="1652"/>
      <c r="AD129" s="1652"/>
      <c r="AE129" s="1652"/>
      <c r="AF129" s="1652"/>
      <c r="AG129" s="1652"/>
      <c r="AH129" s="1652"/>
      <c r="AI129" s="1652"/>
      <c r="AJ129" s="1652"/>
      <c r="AK129" s="1652"/>
      <c r="AL129" s="1652"/>
      <c r="AM129" s="1654"/>
    </row>
    <row r="130" ht="13.5" customHeight="1">
      <c r="A130" s="1657"/>
      <c r="B130" s="1921"/>
      <c r="C130" s="1922" cm="1">
        <f t="array" ref="C130">SUM(C5:C128)</f>
        <v>1</v>
      </c>
      <c r="D130" s="1652"/>
      <c r="E130" s="1922" cm="1">
        <f t="array" ref="E130">SUM(E4:E128)</f>
        <v>1</v>
      </c>
      <c r="F130" s="1652"/>
      <c r="G130" s="1922" cm="1">
        <f t="array" ref="G130">SUM(G5:G128)</f>
        <v>1</v>
      </c>
      <c r="H130" s="1903"/>
      <c r="I130" s="1922" cm="1">
        <f t="array" ref="I130">SUM(I4:I128)</f>
        <v>1</v>
      </c>
      <c r="J130" s="1653"/>
      <c r="K130" s="1922" cm="1">
        <f t="array" ref="K130">SUM(K13:K128)</f>
        <v>1</v>
      </c>
      <c r="L130" s="1904"/>
      <c r="M130" s="1922" cm="1">
        <f t="array" ref="M130">SUM(M13:M128)</f>
        <v>1</v>
      </c>
      <c r="N130" s="1904"/>
      <c r="O130" s="1922" cm="1">
        <f t="array" ref="O130">SUM(O13:O128)</f>
        <v>1</v>
      </c>
      <c r="P130" s="1920"/>
      <c r="Q130" s="1922" cm="1">
        <f t="array" ref="Q130">SUM(Q13:Q128)</f>
        <v>1</v>
      </c>
      <c r="R130" s="1903"/>
      <c r="S130" s="1922" cm="1">
        <f t="array" ref="S130">SUM(S13:S128)</f>
        <v>1</v>
      </c>
      <c r="T130" s="1903"/>
      <c r="U130" s="1922" cm="1">
        <f t="array" ref="U130">SUM(U13:U128)</f>
        <v>1</v>
      </c>
      <c r="V130" s="1920"/>
      <c r="W130" s="1922" cm="1">
        <f t="array" ref="W130">SUM(W13:W128)</f>
        <v>1</v>
      </c>
      <c r="X130" s="1920"/>
      <c r="Y130" s="1922" cm="1">
        <f t="array" ref="Y130">SUM(Y13:Y128)</f>
        <v>1</v>
      </c>
      <c r="Z130" s="1913"/>
      <c r="AA130" s="1922" cm="1">
        <f t="array" ref="AA130">SUM(AA13:AA128)</f>
        <v>0.999999999999999</v>
      </c>
      <c r="AB130" s="1923"/>
      <c r="AC130" s="1652"/>
      <c r="AD130" s="1652"/>
      <c r="AE130" s="1652"/>
      <c r="AF130" s="1652"/>
      <c r="AG130" s="1652"/>
      <c r="AH130" s="1652"/>
      <c r="AI130" s="1652"/>
      <c r="AJ130" s="1652"/>
      <c r="AK130" s="1652"/>
      <c r="AL130" s="1652"/>
      <c r="AM130" s="1654"/>
    </row>
    <row r="131" ht="13.5" customHeight="1">
      <c r="A131" s="1657"/>
      <c r="B131" s="1921"/>
      <c r="C131" s="1903"/>
      <c r="D131" s="1652"/>
      <c r="E131" s="1903"/>
      <c r="F131" s="1652"/>
      <c r="G131" s="1903"/>
      <c r="H131" s="1903"/>
      <c r="I131" s="1903"/>
      <c r="J131" s="1653"/>
      <c r="K131" s="1903"/>
      <c r="L131" s="1904"/>
      <c r="M131" s="1903"/>
      <c r="N131" s="1904"/>
      <c r="O131" s="1903"/>
      <c r="P131" s="1920"/>
      <c r="Q131" s="1903"/>
      <c r="R131" s="1903"/>
      <c r="S131" s="1903"/>
      <c r="T131" s="1903"/>
      <c r="U131" s="1903"/>
      <c r="V131" s="1920"/>
      <c r="W131" s="1903"/>
      <c r="X131" s="1920"/>
      <c r="Y131" s="1903"/>
      <c r="Z131" s="1913"/>
      <c r="AA131" s="1903"/>
      <c r="AB131" s="1923"/>
      <c r="AC131" s="1652"/>
      <c r="AD131" s="1652"/>
      <c r="AE131" s="1652"/>
      <c r="AF131" s="1652"/>
      <c r="AG131" s="1652"/>
      <c r="AH131" s="1652"/>
      <c r="AI131" s="1652"/>
      <c r="AJ131" s="1652"/>
      <c r="AK131" s="1652"/>
      <c r="AL131" s="1652"/>
      <c r="AM131" s="1654"/>
    </row>
    <row r="132" ht="13.5" customHeight="1">
      <c r="A132" t="s" s="1924">
        <v>4093</v>
      </c>
      <c r="B132" s="1653">
        <v>0</v>
      </c>
      <c r="C132" s="1653"/>
      <c r="D132" s="1653">
        <v>0</v>
      </c>
      <c r="E132" s="1653"/>
      <c r="F132" s="1653">
        <v>-21250789.915</v>
      </c>
      <c r="G132" s="1653"/>
      <c r="H132" s="1653">
        <v>110130593</v>
      </c>
      <c r="I132" s="1653"/>
      <c r="J132" s="1653">
        <v>144464845.5</v>
      </c>
      <c r="K132" s="1653"/>
      <c r="L132" s="1653">
        <v>145793662.75</v>
      </c>
      <c r="M132" s="1653"/>
      <c r="N132" s="1653">
        <v>126017872</v>
      </c>
      <c r="O132" s="1653"/>
      <c r="P132" s="1653">
        <v>157377292</v>
      </c>
      <c r="Q132" s="1653"/>
      <c r="R132" s="1653">
        <v>70564192</v>
      </c>
      <c r="S132" s="1903"/>
      <c r="T132" s="1653">
        <v>135887154</v>
      </c>
      <c r="U132" s="1653"/>
      <c r="V132" s="1653">
        <v>-38524879</v>
      </c>
      <c r="W132" s="1653"/>
      <c r="X132" s="1653">
        <v>106312654.5</v>
      </c>
      <c r="Y132" s="1653"/>
      <c r="Z132" s="1925" cm="1">
        <f t="array" ref="Z132">SUM(B132:X132)</f>
        <v>936772596.835</v>
      </c>
      <c r="AA132" s="1653"/>
      <c r="AB132" s="1653"/>
      <c r="AC132" s="1652"/>
      <c r="AD132" s="1652"/>
      <c r="AE132" s="1652"/>
      <c r="AF132" s="1652"/>
      <c r="AG132" s="1652"/>
      <c r="AH132" s="1652"/>
      <c r="AI132" s="1652"/>
      <c r="AJ132" s="1652"/>
      <c r="AK132" s="1652"/>
      <c r="AL132" s="1652"/>
      <c r="AM132" s="1654"/>
    </row>
    <row r="133" ht="15" customHeight="1">
      <c r="A133" s="1926"/>
      <c r="B133" s="1653"/>
      <c r="C133" s="1653"/>
      <c r="D133" s="1653"/>
      <c r="E133" s="1653"/>
      <c r="F133" s="1653"/>
      <c r="G133" s="1653"/>
      <c r="H133" s="1653"/>
      <c r="I133" s="1653"/>
      <c r="J133" s="1653"/>
      <c r="K133" s="1653"/>
      <c r="L133" s="1653"/>
      <c r="M133" s="1653"/>
      <c r="N133" s="1653"/>
      <c r="O133" s="1653"/>
      <c r="P133" s="1653"/>
      <c r="Q133" s="1653"/>
      <c r="R133" s="1653"/>
      <c r="S133" s="1903"/>
      <c r="T133" s="1653"/>
      <c r="U133" s="1653"/>
      <c r="V133" s="1653"/>
      <c r="W133" s="1653"/>
      <c r="X133" s="1653"/>
      <c r="Y133" s="1653"/>
      <c r="Z133" s="1653"/>
      <c r="AA133" s="1653"/>
      <c r="AB133" s="1653"/>
      <c r="AC133" s="1652"/>
      <c r="AD133" s="1652"/>
      <c r="AE133" s="1652"/>
      <c r="AF133" s="1652"/>
      <c r="AG133" s="1652"/>
      <c r="AH133" s="1652"/>
      <c r="AI133" s="1652"/>
      <c r="AJ133" s="1652"/>
      <c r="AK133" s="1652"/>
      <c r="AL133" s="1652"/>
      <c r="AM133" s="1654"/>
    </row>
    <row r="134" ht="13.5" customHeight="1">
      <c r="A134" t="s" s="1924">
        <v>4094</v>
      </c>
      <c r="B134" s="1653">
        <v>0</v>
      </c>
      <c r="C134" s="1653"/>
      <c r="D134" s="1653">
        <v>0</v>
      </c>
      <c r="E134" s="1653"/>
      <c r="F134" s="1653">
        <v>0</v>
      </c>
      <c r="G134" s="1653"/>
      <c r="H134" s="1653">
        <v>0</v>
      </c>
      <c r="I134" s="1653"/>
      <c r="J134" s="1653">
        <v>0</v>
      </c>
      <c r="K134" s="1653"/>
      <c r="L134" s="1653">
        <v>0</v>
      </c>
      <c r="M134" s="1653"/>
      <c r="N134" s="1653">
        <v>0</v>
      </c>
      <c r="O134" s="1653"/>
      <c r="P134" s="1653">
        <v>0</v>
      </c>
      <c r="Q134" s="1653"/>
      <c r="R134" s="1653">
        <v>0</v>
      </c>
      <c r="S134" s="1903"/>
      <c r="T134" s="1653">
        <v>0</v>
      </c>
      <c r="U134" s="1653"/>
      <c r="V134" s="1653">
        <v>-55394604.5</v>
      </c>
      <c r="W134" s="1653"/>
      <c r="X134" s="1653">
        <v>96092695</v>
      </c>
      <c r="Y134" s="1653"/>
      <c r="Z134" s="1925" cm="1">
        <f t="array" ref="Z134">SUM(B134:X134)</f>
        <v>40698090.5</v>
      </c>
      <c r="AA134" s="1653"/>
      <c r="AB134" s="1653"/>
      <c r="AC134" s="1652"/>
      <c r="AD134" s="1652"/>
      <c r="AE134" s="1652"/>
      <c r="AF134" s="1652"/>
      <c r="AG134" s="1652"/>
      <c r="AH134" s="1652"/>
      <c r="AI134" s="1652"/>
      <c r="AJ134" s="1652"/>
      <c r="AK134" s="1652"/>
      <c r="AL134" s="1652"/>
      <c r="AM134" s="1654"/>
    </row>
    <row r="135" ht="15" customHeight="1">
      <c r="A135" s="1657"/>
      <c r="B135" s="1652"/>
      <c r="C135" s="1653"/>
      <c r="D135" s="1652"/>
      <c r="E135" s="1653"/>
      <c r="F135" s="1652"/>
      <c r="G135" s="1653"/>
      <c r="H135" s="1653"/>
      <c r="I135" s="1653"/>
      <c r="J135" s="1653"/>
      <c r="K135" s="1653"/>
      <c r="L135" s="1904"/>
      <c r="M135" s="1653"/>
      <c r="N135" s="1904"/>
      <c r="O135" s="1653"/>
      <c r="P135" s="1904"/>
      <c r="Q135" s="1653"/>
      <c r="R135" s="1653"/>
      <c r="S135" s="1903"/>
      <c r="T135" s="1653"/>
      <c r="U135" s="1653"/>
      <c r="V135" s="1653"/>
      <c r="W135" s="1653"/>
      <c r="X135" s="1653"/>
      <c r="Y135" s="1653"/>
      <c r="Z135" s="1652"/>
      <c r="AA135" s="1653"/>
      <c r="AB135" s="1653"/>
      <c r="AC135" s="1652"/>
      <c r="AD135" s="1652"/>
      <c r="AE135" s="1652"/>
      <c r="AF135" s="1652"/>
      <c r="AG135" s="1652"/>
      <c r="AH135" s="1652"/>
      <c r="AI135" s="1652"/>
      <c r="AJ135" s="1652"/>
      <c r="AK135" s="1652"/>
      <c r="AL135" s="1652"/>
      <c r="AM135" s="1654"/>
    </row>
    <row r="136" ht="13.5" customHeight="1">
      <c r="A136" t="s" s="1916">
        <v>4095</v>
      </c>
      <c r="B136" s="1917" cm="1">
        <f t="array" ref="B136">B128-B132-B134</f>
        <v>109435038.98</v>
      </c>
      <c r="C136" s="1927"/>
      <c r="D136" s="1917" cm="1">
        <f t="array" ref="D136">D128-D132-D134</f>
        <v>-100358112.09</v>
      </c>
      <c r="E136" s="1927"/>
      <c r="F136" s="1917" cm="1">
        <f t="array" ref="F136">F128-F132-F134</f>
        <v>128055958.385</v>
      </c>
      <c r="G136" s="1927"/>
      <c r="H136" s="1917" cm="1">
        <f t="array" ref="H136">H128-H132-H134</f>
        <v>509727642</v>
      </c>
      <c r="I136" s="1927"/>
      <c r="J136" s="1917" cm="1">
        <f t="array" ref="J136">J128-J132-J134</f>
        <v>379726701.5</v>
      </c>
      <c r="K136" s="1927"/>
      <c r="L136" s="1917" cm="1">
        <f t="array" ref="L136">L128-L132-L134</f>
        <v>727581132.25</v>
      </c>
      <c r="M136" s="1927"/>
      <c r="N136" s="1917" cm="1">
        <f t="array" ref="N136">N128-N132-N134</f>
        <v>-235800176</v>
      </c>
      <c r="O136" s="1927"/>
      <c r="P136" s="1917" cm="1">
        <f t="array" ref="P136">P128-P132-P134</f>
        <v>464268284</v>
      </c>
      <c r="Q136" s="1927"/>
      <c r="R136" s="1917" cm="1">
        <f t="array" ref="R136">R128-R132-R134</f>
        <v>600296674</v>
      </c>
      <c r="S136" s="1903"/>
      <c r="T136" s="1917" cm="1">
        <f t="array" ref="T136">T128-T132-T134</f>
        <v>-88878170</v>
      </c>
      <c r="U136" s="1927"/>
      <c r="V136" s="1917" cm="1">
        <f t="array" ref="V136">V128-V132-V134</f>
        <v>-20905372.5</v>
      </c>
      <c r="W136" s="1927"/>
      <c r="X136" s="1917" cm="1">
        <f t="array" ref="X136">X128-X132-X134</f>
        <v>254571622.55</v>
      </c>
      <c r="Y136" s="1927"/>
      <c r="Z136" s="1917" cm="1">
        <f t="array" ref="Z136">Z128-Z132-Z134</f>
        <v>2727721223.075</v>
      </c>
      <c r="AA136" s="1928" cm="1">
        <f t="array" ref="AA136">Z136/Z17</f>
        <v>0.06742753177052541</v>
      </c>
      <c r="AB136" s="1653"/>
      <c r="AC136" s="1652"/>
      <c r="AD136" s="1652"/>
      <c r="AE136" s="1652"/>
      <c r="AF136" s="1652"/>
      <c r="AG136" s="1652"/>
      <c r="AH136" s="1652"/>
      <c r="AI136" s="1652"/>
      <c r="AJ136" s="1652"/>
      <c r="AK136" s="1652"/>
      <c r="AL136" s="1652"/>
      <c r="AM136" s="1654"/>
    </row>
    <row r="137" ht="15" customHeight="1">
      <c r="A137" s="1657"/>
      <c r="B137" s="1652"/>
      <c r="C137" s="1903"/>
      <c r="D137" s="1652"/>
      <c r="E137" s="1903"/>
      <c r="F137" s="1652"/>
      <c r="G137" s="1903"/>
      <c r="H137" s="1903"/>
      <c r="I137" s="1903"/>
      <c r="J137" s="1653"/>
      <c r="K137" s="1903"/>
      <c r="L137" s="1904"/>
      <c r="M137" s="1903"/>
      <c r="N137" s="1904"/>
      <c r="O137" s="1903"/>
      <c r="P137" s="1920"/>
      <c r="Q137" s="1903"/>
      <c r="R137" s="1903"/>
      <c r="S137" s="1903"/>
      <c r="T137" s="1903"/>
      <c r="U137" s="1903"/>
      <c r="V137" s="1903"/>
      <c r="W137" s="1903"/>
      <c r="X137" s="1903"/>
      <c r="Y137" s="1903"/>
      <c r="Z137" s="1652"/>
      <c r="AA137" s="1652"/>
      <c r="AB137" s="1652"/>
      <c r="AC137" s="1652"/>
      <c r="AD137" s="1652"/>
      <c r="AE137" s="1652"/>
      <c r="AF137" s="1652"/>
      <c r="AG137" s="1652"/>
      <c r="AH137" s="1652"/>
      <c r="AI137" s="1652"/>
      <c r="AJ137" s="1652"/>
      <c r="AK137" s="1652"/>
      <c r="AL137" s="1652"/>
      <c r="AM137" s="1654"/>
    </row>
    <row r="138" ht="15" customHeight="1">
      <c r="A138" t="s" s="1929">
        <v>4096</v>
      </c>
      <c r="B138" s="1928" cm="1">
        <f t="array" ref="B138">(B17-X17)/X17</f>
        <v>-0.649297182573184</v>
      </c>
      <c r="C138" s="1903"/>
      <c r="D138" s="1928" cm="1">
        <f t="array" ref="D138">(D17-B17)/B17</f>
        <v>-0.123037463439769</v>
      </c>
      <c r="E138" s="1903"/>
      <c r="F138" s="1928" cm="1">
        <f t="array" ref="F138">(F17-D17)/D17</f>
        <v>0.684648795533418</v>
      </c>
      <c r="G138" s="1903"/>
      <c r="H138" s="1930" cm="1">
        <f t="array" ref="H138">(H17-F17)/F17</f>
        <v>0.8285129661085811</v>
      </c>
      <c r="I138" s="1903"/>
      <c r="J138" s="1928" cm="1">
        <f t="array" ref="J138">(J17-H17)/H17</f>
        <v>0.226774374571566</v>
      </c>
      <c r="K138" s="1903"/>
      <c r="L138" s="1930" cm="1">
        <f t="array" ref="L138">(L17-J17)/J17</f>
        <v>0.0686411489945738</v>
      </c>
      <c r="M138" s="1903"/>
      <c r="N138" s="1930" cm="1">
        <f t="array" ref="N138">(N17-L17)/L17</f>
        <v>0.0315470682455767</v>
      </c>
      <c r="O138" s="1903"/>
      <c r="P138" s="1930" cm="1">
        <f t="array" ref="P138">(P17-N17)/N17</f>
        <v>0.0988470957864765</v>
      </c>
      <c r="Q138" s="1903"/>
      <c r="R138" s="1928" cm="1">
        <f t="array" ref="R138">(R17-P17)/P17</f>
        <v>-0.116526843303948</v>
      </c>
      <c r="S138" s="1903"/>
      <c r="T138" s="1928" cm="1">
        <f t="array" ref="T138">(T17-R17)/R17</f>
        <v>-0.0625681944092952</v>
      </c>
      <c r="U138" s="1903"/>
      <c r="V138" s="1930" cm="1">
        <f t="array" ref="V138">(V17-T17)/T17</f>
        <v>-0.275232620133071</v>
      </c>
      <c r="W138" s="1903"/>
      <c r="X138" s="1930" cm="1">
        <f t="array" ref="X138">(X17-V17)/V17</f>
        <v>0.183362220978711</v>
      </c>
      <c r="Y138" s="1903"/>
      <c r="Z138" s="1652"/>
      <c r="AA138" s="1652"/>
      <c r="AB138" s="1652"/>
      <c r="AC138" s="1652"/>
      <c r="AD138" s="1652"/>
      <c r="AE138" s="1652"/>
      <c r="AF138" s="1652"/>
      <c r="AG138" s="1652"/>
      <c r="AH138" s="1652"/>
      <c r="AI138" s="1652"/>
      <c r="AJ138" s="1652"/>
      <c r="AK138" s="1652"/>
      <c r="AL138" s="1652"/>
      <c r="AM138" s="1654"/>
    </row>
    <row r="139" ht="15" customHeight="1">
      <c r="A139" s="1657"/>
      <c r="B139" s="1931">
        <v>1</v>
      </c>
      <c r="C139" s="1932">
        <v>2</v>
      </c>
      <c r="D139" s="1931">
        <v>3</v>
      </c>
      <c r="E139" s="1932">
        <v>4</v>
      </c>
      <c r="F139" s="1931">
        <v>5</v>
      </c>
      <c r="G139" s="1932">
        <v>6</v>
      </c>
      <c r="H139" s="1932">
        <v>7</v>
      </c>
      <c r="I139" s="1932">
        <v>8</v>
      </c>
      <c r="J139" s="1931">
        <v>9</v>
      </c>
      <c r="K139" s="1932">
        <v>10</v>
      </c>
      <c r="L139" s="1932">
        <v>11</v>
      </c>
      <c r="M139" s="1932">
        <v>12</v>
      </c>
      <c r="N139" s="1904"/>
      <c r="O139" s="1920"/>
      <c r="P139" s="1920"/>
      <c r="Q139" s="1920"/>
      <c r="R139" s="1903"/>
      <c r="S139" s="1920"/>
      <c r="T139" s="1903"/>
      <c r="U139" s="1920"/>
      <c r="V139" s="1920"/>
      <c r="W139" s="1920"/>
      <c r="X139" s="1920"/>
      <c r="Y139" s="1920"/>
      <c r="Z139" s="1652"/>
      <c r="AA139" s="1920"/>
      <c r="AB139" s="1920"/>
      <c r="AC139" s="1652"/>
      <c r="AD139" s="1652"/>
      <c r="AE139" s="1652"/>
      <c r="AF139" s="1652"/>
      <c r="AG139" s="1652"/>
      <c r="AH139" s="1652"/>
      <c r="AI139" s="1652"/>
      <c r="AJ139" s="1652"/>
      <c r="AK139" s="1652"/>
      <c r="AL139" s="1652"/>
      <c r="AM139" s="1654"/>
    </row>
    <row r="140" ht="13.5" customHeight="1">
      <c r="A140" s="1657"/>
      <c r="B140" s="1928" cm="1">
        <f t="array" ref="B140">B138</f>
        <v>-0.649297182573184</v>
      </c>
      <c r="C140" s="1930" cm="1">
        <f t="array" ref="C140">D138</f>
        <v>-0.123037463439769</v>
      </c>
      <c r="D140" s="1928" cm="1">
        <f t="array" ref="D140">F138</f>
        <v>0.684648795533418</v>
      </c>
      <c r="E140" s="1930" cm="1">
        <f t="array" ref="E140">H138</f>
        <v>0.8285129661085811</v>
      </c>
      <c r="F140" s="1928" cm="1">
        <f t="array" ref="F140">J138</f>
        <v>0.226774374571566</v>
      </c>
      <c r="G140" s="1930" cm="1">
        <f t="array" ref="G140">L138</f>
        <v>0.0686411489945738</v>
      </c>
      <c r="H140" s="1930" cm="1">
        <f t="array" ref="H140">N138</f>
        <v>0.0315470682455767</v>
      </c>
      <c r="I140" s="1930" cm="1">
        <f t="array" ref="I140">P138</f>
        <v>0.0988470957864765</v>
      </c>
      <c r="J140" s="1928" cm="1">
        <f t="array" ref="J140">R138</f>
        <v>-0.116526843303948</v>
      </c>
      <c r="K140" s="1930" cm="1">
        <f t="array" ref="K140">T138</f>
        <v>-0.0625681944092952</v>
      </c>
      <c r="L140" s="1930" cm="1">
        <f t="array" ref="L140">V138</f>
        <v>-0.275232620133071</v>
      </c>
      <c r="M140" s="1930" cm="1">
        <f t="array" ref="M140">X138</f>
        <v>0.183362220978711</v>
      </c>
      <c r="N140" s="1930"/>
      <c r="O140" s="1930"/>
      <c r="P140" s="1930"/>
      <c r="Q140" s="1930"/>
      <c r="R140" s="1928"/>
      <c r="S140" s="1920"/>
      <c r="T140" s="1903"/>
      <c r="U140" s="1920"/>
      <c r="V140" s="1920"/>
      <c r="W140" s="1920"/>
      <c r="X140" s="1920"/>
      <c r="Y140" s="1920"/>
      <c r="Z140" s="1933" cm="1">
        <f t="array" ref="Z140">Z128-Z6</f>
        <v>1602048930.41</v>
      </c>
      <c r="AA140" t="s" s="1934">
        <v>4097</v>
      </c>
      <c r="AB140" s="1935"/>
      <c r="AC140" s="1936"/>
      <c r="AD140" s="1652"/>
      <c r="AE140" s="1652"/>
      <c r="AF140" s="1652"/>
      <c r="AG140" s="1652"/>
      <c r="AH140" s="1652"/>
      <c r="AI140" s="1652"/>
      <c r="AJ140" s="1652"/>
      <c r="AK140" s="1652"/>
      <c r="AL140" s="1652"/>
      <c r="AM140" s="1654"/>
    </row>
    <row r="141" ht="15" customHeight="1">
      <c r="A141" s="1657"/>
      <c r="B141" s="1652"/>
      <c r="C141" s="1903"/>
      <c r="D141" s="1652"/>
      <c r="E141" s="1903"/>
      <c r="F141" s="1652"/>
      <c r="G141" s="1903"/>
      <c r="H141" s="1903"/>
      <c r="I141" s="1903"/>
      <c r="J141" s="1653"/>
      <c r="K141" s="1903"/>
      <c r="L141" s="1920"/>
      <c r="M141" s="1903"/>
      <c r="N141" s="1653"/>
      <c r="O141" s="1903"/>
      <c r="P141" s="1920"/>
      <c r="Q141" s="1903"/>
      <c r="R141" s="1903"/>
      <c r="S141" s="1903"/>
      <c r="T141" s="1903"/>
      <c r="U141" s="1903"/>
      <c r="V141" s="1903"/>
      <c r="W141" s="1903"/>
      <c r="X141" s="1903"/>
      <c r="Y141" s="1903"/>
      <c r="Z141" s="1652"/>
      <c r="AA141" s="1652"/>
      <c r="AB141" s="1652"/>
      <c r="AC141" s="1652"/>
      <c r="AD141" s="1652"/>
      <c r="AE141" s="1652"/>
      <c r="AF141" s="1652"/>
      <c r="AG141" s="1652"/>
      <c r="AH141" s="1652"/>
      <c r="AI141" s="1652"/>
      <c r="AJ141" s="1652"/>
      <c r="AK141" s="1652"/>
      <c r="AL141" s="1652"/>
      <c r="AM141" s="1654"/>
    </row>
    <row r="142" ht="15" customHeight="1">
      <c r="A142" s="1657"/>
      <c r="B142" s="1652"/>
      <c r="C142" s="1903"/>
      <c r="D142" s="1652"/>
      <c r="E142" s="1903"/>
      <c r="F142" s="1652"/>
      <c r="G142" s="1903"/>
      <c r="H142" s="1903"/>
      <c r="I142" s="1903"/>
      <c r="J142" s="1653"/>
      <c r="K142" s="1903"/>
      <c r="L142" s="1920"/>
      <c r="M142" s="1903"/>
      <c r="N142" s="1653"/>
      <c r="O142" s="1903"/>
      <c r="P142" s="1920"/>
      <c r="Q142" s="1903"/>
      <c r="R142" s="1903"/>
      <c r="S142" s="1903"/>
      <c r="T142" s="1903"/>
      <c r="U142" s="1903"/>
      <c r="V142" s="1903"/>
      <c r="W142" s="1903"/>
      <c r="X142" s="1903"/>
      <c r="Y142" s="1903"/>
      <c r="Z142" s="1937">
        <v>709253000</v>
      </c>
      <c r="AA142" t="s" s="1938">
        <v>4098</v>
      </c>
      <c r="AB142" s="1652"/>
      <c r="AC142" s="1939"/>
      <c r="AD142" s="1939"/>
      <c r="AE142" s="1652"/>
      <c r="AF142" s="1652"/>
      <c r="AG142" s="1652"/>
      <c r="AH142" s="1652"/>
      <c r="AI142" s="1652"/>
      <c r="AJ142" s="1652"/>
      <c r="AK142" s="1652"/>
      <c r="AL142" s="1652"/>
      <c r="AM142" s="1654"/>
    </row>
    <row r="143" ht="15" customHeight="1">
      <c r="A143" s="1657"/>
      <c r="B143" s="1652"/>
      <c r="C143" s="1903"/>
      <c r="D143" s="1652"/>
      <c r="E143" s="1903"/>
      <c r="F143" s="1652"/>
      <c r="G143" s="1903"/>
      <c r="H143" s="1903"/>
      <c r="I143" s="1903"/>
      <c r="J143" s="1940"/>
      <c r="K143" s="1903"/>
      <c r="L143" s="1920"/>
      <c r="M143" s="1903"/>
      <c r="N143" s="1653"/>
      <c r="O143" s="1903"/>
      <c r="P143" s="1920"/>
      <c r="Q143" s="1903"/>
      <c r="R143" s="1903"/>
      <c r="S143" s="1903"/>
      <c r="T143" s="1903"/>
      <c r="U143" s="1903"/>
      <c r="V143" s="1903"/>
      <c r="W143" s="1903"/>
      <c r="X143" s="1903"/>
      <c r="Y143" s="1903"/>
      <c r="Z143" s="1652"/>
      <c r="AA143" s="1652"/>
      <c r="AB143" s="1652"/>
      <c r="AC143" s="1652"/>
      <c r="AD143" s="1652"/>
      <c r="AE143" s="1652"/>
      <c r="AF143" s="1652"/>
      <c r="AG143" s="1652"/>
      <c r="AH143" s="1652"/>
      <c r="AI143" s="1652"/>
      <c r="AJ143" s="1652"/>
      <c r="AK143" s="1652"/>
      <c r="AL143" s="1652"/>
      <c r="AM143" s="1654"/>
    </row>
    <row r="144" ht="15" customHeight="1">
      <c r="A144" s="1657"/>
      <c r="B144" s="1652"/>
      <c r="C144" s="1903"/>
      <c r="D144" s="1652"/>
      <c r="E144" s="1903"/>
      <c r="F144" s="1652"/>
      <c r="G144" s="1903"/>
      <c r="H144" s="1903"/>
      <c r="I144" s="1903"/>
      <c r="J144" s="1653"/>
      <c r="K144" s="1903"/>
      <c r="L144" s="1920"/>
      <c r="M144" s="1903"/>
      <c r="N144" s="1653"/>
      <c r="O144" s="1903"/>
      <c r="P144" s="1920"/>
      <c r="Q144" s="1903"/>
      <c r="R144" s="1903"/>
      <c r="S144" s="1903"/>
      <c r="T144" s="1903"/>
      <c r="U144" s="1903"/>
      <c r="V144" s="1903"/>
      <c r="W144" s="1903"/>
      <c r="X144" s="1903"/>
      <c r="Y144" s="1903"/>
      <c r="Z144" s="1937">
        <v>1867214700</v>
      </c>
      <c r="AA144" t="s" s="1938">
        <v>4099</v>
      </c>
      <c r="AB144" s="1652"/>
      <c r="AC144" s="1652"/>
      <c r="AD144" s="1652"/>
      <c r="AE144" s="1652"/>
      <c r="AF144" s="1652"/>
      <c r="AG144" s="1652"/>
      <c r="AH144" s="1652"/>
      <c r="AI144" s="1652"/>
      <c r="AJ144" s="1652"/>
      <c r="AK144" s="1652"/>
      <c r="AL144" s="1652"/>
      <c r="AM144" s="1654"/>
    </row>
    <row r="145" ht="15" customHeight="1">
      <c r="A145" s="1657"/>
      <c r="B145" s="1652"/>
      <c r="C145" s="1903"/>
      <c r="D145" s="1652"/>
      <c r="E145" s="1903"/>
      <c r="F145" s="1652"/>
      <c r="G145" s="1903"/>
      <c r="H145" s="1903"/>
      <c r="I145" s="1903"/>
      <c r="J145" s="1940"/>
      <c r="K145" s="1903"/>
      <c r="L145" s="1920"/>
      <c r="M145" s="1903"/>
      <c r="N145" s="1653"/>
      <c r="O145" s="1903"/>
      <c r="P145" s="1920"/>
      <c r="Q145" s="1903"/>
      <c r="R145" s="1903"/>
      <c r="S145" s="1903"/>
      <c r="T145" s="1903"/>
      <c r="U145" s="1903"/>
      <c r="V145" s="1903"/>
      <c r="W145" s="1903"/>
      <c r="X145" s="1903"/>
      <c r="Y145" s="1903"/>
      <c r="Z145" s="1652"/>
      <c r="AA145" s="1652"/>
      <c r="AB145" s="1652"/>
      <c r="AC145" s="1652"/>
      <c r="AD145" s="1652"/>
      <c r="AE145" s="1652"/>
      <c r="AF145" s="1652"/>
      <c r="AG145" s="1652"/>
      <c r="AH145" s="1652"/>
      <c r="AI145" s="1652"/>
      <c r="AJ145" s="1652"/>
      <c r="AK145" s="1652"/>
      <c r="AL145" s="1652"/>
      <c r="AM145" s="1654"/>
    </row>
    <row r="146" ht="13.5" customHeight="1">
      <c r="A146" s="1657"/>
      <c r="B146" s="1652"/>
      <c r="C146" s="1903"/>
      <c r="D146" s="1652"/>
      <c r="E146" s="1903"/>
      <c r="F146" s="1652"/>
      <c r="G146" s="1903"/>
      <c r="H146" s="1903"/>
      <c r="I146" s="1903"/>
      <c r="J146" s="1653"/>
      <c r="K146" s="1903"/>
      <c r="L146" s="1920"/>
      <c r="M146" s="1903"/>
      <c r="N146" s="1653"/>
      <c r="O146" s="1903"/>
      <c r="P146" s="1920"/>
      <c r="Q146" s="1903"/>
      <c r="R146" s="1903"/>
      <c r="S146" s="1903"/>
      <c r="T146" s="1903"/>
      <c r="U146" s="1903"/>
      <c r="V146" s="1903"/>
      <c r="W146" s="1903"/>
      <c r="X146" s="1903"/>
      <c r="Y146" s="1903"/>
      <c r="Z146" s="1933" cm="1">
        <f t="array" ref="Z146">Z140+Z142-Z144</f>
        <v>444087230.41</v>
      </c>
      <c r="AA146" t="s" s="1934">
        <v>4100</v>
      </c>
      <c r="AB146" s="1941"/>
      <c r="AC146" s="1936"/>
      <c r="AD146" s="1936"/>
      <c r="AE146" s="1936"/>
      <c r="AF146" s="1652"/>
      <c r="AG146" s="1652"/>
      <c r="AH146" s="1652"/>
      <c r="AI146" s="1652"/>
      <c r="AJ146" s="1652"/>
      <c r="AK146" s="1652"/>
      <c r="AL146" s="1652"/>
      <c r="AM146" s="1654"/>
    </row>
    <row r="147" ht="15" customHeight="1">
      <c r="A147" s="1657"/>
      <c r="B147" s="1652"/>
      <c r="C147" s="1903"/>
      <c r="D147" s="1652"/>
      <c r="E147" s="1903"/>
      <c r="F147" s="1652"/>
      <c r="G147" s="1903"/>
      <c r="H147" s="1903"/>
      <c r="I147" s="1903"/>
      <c r="J147" s="1903"/>
      <c r="K147" s="1903"/>
      <c r="L147" s="1920"/>
      <c r="M147" s="1903"/>
      <c r="N147" s="1653"/>
      <c r="O147" s="1903"/>
      <c r="P147" s="1920"/>
      <c r="Q147" s="1903"/>
      <c r="R147" s="1903"/>
      <c r="S147" s="1903"/>
      <c r="T147" s="1903"/>
      <c r="U147" s="1903"/>
      <c r="V147" s="1903"/>
      <c r="W147" s="1903"/>
      <c r="X147" s="1903"/>
      <c r="Y147" s="1903"/>
      <c r="Z147" s="1652"/>
      <c r="AA147" s="1652"/>
      <c r="AB147" s="1652"/>
      <c r="AC147" s="1652"/>
      <c r="AD147" s="1652"/>
      <c r="AE147" s="1652"/>
      <c r="AF147" s="1652"/>
      <c r="AG147" s="1652"/>
      <c r="AH147" s="1652"/>
      <c r="AI147" s="1652"/>
      <c r="AJ147" s="1652"/>
      <c r="AK147" s="1652"/>
      <c r="AL147" s="1652"/>
      <c r="AM147" s="1654"/>
    </row>
    <row r="148" ht="15" customHeight="1">
      <c r="A148" s="1657"/>
      <c r="B148" s="1652"/>
      <c r="C148" s="1903"/>
      <c r="D148" s="1652"/>
      <c r="E148" s="1903"/>
      <c r="F148" s="1652"/>
      <c r="G148" s="1903"/>
      <c r="H148" s="1903"/>
      <c r="I148" s="1903"/>
      <c r="J148" s="1653"/>
      <c r="K148" s="1903"/>
      <c r="L148" s="1920"/>
      <c r="M148" s="1903"/>
      <c r="N148" s="1653"/>
      <c r="O148" s="1903"/>
      <c r="P148" s="1920"/>
      <c r="Q148" s="1903"/>
      <c r="R148" s="1903"/>
      <c r="S148" s="1903"/>
      <c r="T148" s="1903"/>
      <c r="U148" s="1903"/>
      <c r="V148" s="1903"/>
      <c r="W148" s="1903"/>
      <c r="X148" s="1903"/>
      <c r="Y148" s="1903"/>
      <c r="Z148" s="1652"/>
      <c r="AA148" s="1652"/>
      <c r="AB148" s="1652"/>
      <c r="AC148" s="1652"/>
      <c r="AD148" s="1652"/>
      <c r="AE148" s="1652"/>
      <c r="AF148" s="1652"/>
      <c r="AG148" s="1652"/>
      <c r="AH148" s="1652"/>
      <c r="AI148" s="1652"/>
      <c r="AJ148" s="1652"/>
      <c r="AK148" s="1652"/>
      <c r="AL148" s="1652"/>
      <c r="AM148" s="1654"/>
    </row>
    <row r="149" ht="15" customHeight="1">
      <c r="A149" s="1657"/>
      <c r="B149" s="1652"/>
      <c r="C149" s="1903"/>
      <c r="D149" s="1652"/>
      <c r="E149" s="1903"/>
      <c r="F149" s="1652"/>
      <c r="G149" s="1903"/>
      <c r="H149" s="1903"/>
      <c r="I149" s="1903"/>
      <c r="J149" s="1653"/>
      <c r="K149" s="1903"/>
      <c r="L149" s="1920"/>
      <c r="M149" s="1903"/>
      <c r="N149" s="1653"/>
      <c r="O149" s="1903"/>
      <c r="P149" s="1920"/>
      <c r="Q149" s="1903"/>
      <c r="R149" s="1903"/>
      <c r="S149" s="1903"/>
      <c r="T149" s="1903"/>
      <c r="U149" s="1903"/>
      <c r="V149" s="1903"/>
      <c r="W149" s="1903"/>
      <c r="X149" s="1903"/>
      <c r="Y149" s="1903"/>
      <c r="Z149" s="1652"/>
      <c r="AA149" s="1652"/>
      <c r="AB149" s="1652"/>
      <c r="AC149" s="1652"/>
      <c r="AD149" s="1652"/>
      <c r="AE149" s="1652"/>
      <c r="AF149" s="1652"/>
      <c r="AG149" s="1652"/>
      <c r="AH149" s="1652"/>
      <c r="AI149" s="1652"/>
      <c r="AJ149" s="1652"/>
      <c r="AK149" s="1652"/>
      <c r="AL149" s="1652"/>
      <c r="AM149" s="1654"/>
    </row>
    <row r="150" ht="15" customHeight="1">
      <c r="A150" s="1657"/>
      <c r="B150" s="1652"/>
      <c r="C150" s="1903"/>
      <c r="D150" s="1652"/>
      <c r="E150" s="1903"/>
      <c r="F150" s="1652"/>
      <c r="G150" s="1903"/>
      <c r="H150" s="1903"/>
      <c r="I150" s="1903"/>
      <c r="J150" s="1653"/>
      <c r="K150" s="1903"/>
      <c r="L150" s="1920"/>
      <c r="M150" s="1903"/>
      <c r="N150" s="1653"/>
      <c r="O150" s="1903"/>
      <c r="P150" s="1920"/>
      <c r="Q150" s="1903"/>
      <c r="R150" s="1903"/>
      <c r="S150" s="1903"/>
      <c r="T150" s="1903"/>
      <c r="U150" s="1903"/>
      <c r="V150" s="1903"/>
      <c r="W150" s="1903"/>
      <c r="X150" s="1903"/>
      <c r="Y150" s="1903"/>
      <c r="Z150" s="1652"/>
      <c r="AA150" s="1652"/>
      <c r="AB150" s="1652"/>
      <c r="AC150" s="1652"/>
      <c r="AD150" s="1652"/>
      <c r="AE150" s="1652"/>
      <c r="AF150" s="1652"/>
      <c r="AG150" s="1652"/>
      <c r="AH150" s="1652"/>
      <c r="AI150" s="1652"/>
      <c r="AJ150" s="1652"/>
      <c r="AK150" s="1652"/>
      <c r="AL150" s="1652"/>
      <c r="AM150" s="1654"/>
    </row>
    <row r="151" ht="15" customHeight="1">
      <c r="A151" s="1657"/>
      <c r="B151" s="1652"/>
      <c r="C151" s="1903"/>
      <c r="D151" s="1652"/>
      <c r="E151" s="1903"/>
      <c r="F151" s="1652"/>
      <c r="G151" s="1903"/>
      <c r="H151" s="1903"/>
      <c r="I151" s="1903"/>
      <c r="J151" s="1653"/>
      <c r="K151" s="1903"/>
      <c r="L151" s="1920"/>
      <c r="M151" s="1903"/>
      <c r="N151" s="1653"/>
      <c r="O151" s="1903"/>
      <c r="P151" s="1920"/>
      <c r="Q151" s="1903"/>
      <c r="R151" s="1903"/>
      <c r="S151" s="1903"/>
      <c r="T151" s="1903"/>
      <c r="U151" s="1903"/>
      <c r="V151" s="1903"/>
      <c r="W151" s="1903"/>
      <c r="X151" s="1903"/>
      <c r="Y151" s="1903"/>
      <c r="Z151" s="1652"/>
      <c r="AA151" s="1652"/>
      <c r="AB151" s="1652"/>
      <c r="AC151" s="1652"/>
      <c r="AD151" s="1652"/>
      <c r="AE151" s="1652"/>
      <c r="AF151" s="1652"/>
      <c r="AG151" s="1652"/>
      <c r="AH151" s="1652"/>
      <c r="AI151" s="1652"/>
      <c r="AJ151" s="1652"/>
      <c r="AK151" s="1652"/>
      <c r="AL151" s="1652"/>
      <c r="AM151" s="1654"/>
    </row>
    <row r="152" ht="15" customHeight="1">
      <c r="A152" s="1657"/>
      <c r="B152" s="1652"/>
      <c r="C152" s="1903"/>
      <c r="D152" s="1652"/>
      <c r="E152" s="1903"/>
      <c r="F152" s="1652"/>
      <c r="G152" s="1903"/>
      <c r="H152" s="1903"/>
      <c r="I152" s="1903"/>
      <c r="J152" s="1653"/>
      <c r="K152" s="1903"/>
      <c r="L152" s="1920"/>
      <c r="M152" s="1903"/>
      <c r="N152" s="1653"/>
      <c r="O152" s="1903"/>
      <c r="P152" s="1920"/>
      <c r="Q152" s="1903"/>
      <c r="R152" s="1903"/>
      <c r="S152" s="1903"/>
      <c r="T152" s="1903"/>
      <c r="U152" s="1903"/>
      <c r="V152" s="1903"/>
      <c r="W152" s="1903"/>
      <c r="X152" s="1903"/>
      <c r="Y152" s="1903"/>
      <c r="Z152" s="1652"/>
      <c r="AA152" s="1652"/>
      <c r="AB152" s="1652"/>
      <c r="AC152" s="1652"/>
      <c r="AD152" s="1652"/>
      <c r="AE152" s="1652"/>
      <c r="AF152" s="1652"/>
      <c r="AG152" s="1652"/>
      <c r="AH152" s="1652"/>
      <c r="AI152" s="1652"/>
      <c r="AJ152" s="1652"/>
      <c r="AK152" s="1652"/>
      <c r="AL152" s="1652"/>
      <c r="AM152" s="1654"/>
    </row>
    <row r="153" ht="15" customHeight="1">
      <c r="A153" s="1657"/>
      <c r="B153" s="1652"/>
      <c r="C153" s="1903"/>
      <c r="D153" s="1652"/>
      <c r="E153" s="1903"/>
      <c r="F153" s="1652"/>
      <c r="G153" s="1903"/>
      <c r="H153" s="1903"/>
      <c r="I153" s="1903"/>
      <c r="J153" s="1653"/>
      <c r="K153" s="1903"/>
      <c r="L153" s="1920"/>
      <c r="M153" s="1903"/>
      <c r="N153" s="1653"/>
      <c r="O153" s="1903"/>
      <c r="P153" s="1920"/>
      <c r="Q153" s="1903"/>
      <c r="R153" s="1903"/>
      <c r="S153" s="1903"/>
      <c r="T153" s="1903"/>
      <c r="U153" s="1903"/>
      <c r="V153" s="1903"/>
      <c r="W153" s="1903"/>
      <c r="X153" s="1903"/>
      <c r="Y153" s="1903"/>
      <c r="Z153" s="1652"/>
      <c r="AA153" s="1652"/>
      <c r="AB153" s="1652"/>
      <c r="AC153" s="1652"/>
      <c r="AD153" s="1652"/>
      <c r="AE153" s="1652"/>
      <c r="AF153" s="1652"/>
      <c r="AG153" s="1652"/>
      <c r="AH153" s="1652"/>
      <c r="AI153" s="1652"/>
      <c r="AJ153" s="1652"/>
      <c r="AK153" s="1652"/>
      <c r="AL153" s="1652"/>
      <c r="AM153" s="1654"/>
    </row>
    <row r="154" ht="15" customHeight="1">
      <c r="A154" s="1657"/>
      <c r="B154" s="1652"/>
      <c r="C154" s="1903"/>
      <c r="D154" s="1652"/>
      <c r="E154" s="1903"/>
      <c r="F154" s="1652"/>
      <c r="G154" s="1903"/>
      <c r="H154" s="1903"/>
      <c r="I154" s="1903"/>
      <c r="J154" s="1653"/>
      <c r="K154" s="1903"/>
      <c r="L154" s="1920"/>
      <c r="M154" s="1903"/>
      <c r="N154" s="1653"/>
      <c r="O154" s="1903"/>
      <c r="P154" s="1903"/>
      <c r="Q154" s="1903"/>
      <c r="R154" s="1903"/>
      <c r="S154" s="1903"/>
      <c r="T154" s="1903"/>
      <c r="U154" s="1903"/>
      <c r="V154" s="1903"/>
      <c r="W154" s="1903"/>
      <c r="X154" s="1903"/>
      <c r="Y154" s="1903"/>
      <c r="Z154" s="1652"/>
      <c r="AA154" s="1652"/>
      <c r="AB154" s="1652"/>
      <c r="AC154" s="1652"/>
      <c r="AD154" s="1652"/>
      <c r="AE154" s="1652"/>
      <c r="AF154" s="1652"/>
      <c r="AG154" s="1652"/>
      <c r="AH154" s="1652"/>
      <c r="AI154" s="1652"/>
      <c r="AJ154" s="1652"/>
      <c r="AK154" s="1652"/>
      <c r="AL154" s="1652"/>
      <c r="AM154" s="1654"/>
    </row>
    <row r="155" ht="15" customHeight="1">
      <c r="A155" s="1660"/>
      <c r="B155" s="1942"/>
      <c r="C155" s="1943"/>
      <c r="D155" s="1942"/>
      <c r="E155" s="1943"/>
      <c r="F155" s="1942"/>
      <c r="G155" s="1943"/>
      <c r="H155" s="1943"/>
      <c r="I155" s="1943"/>
      <c r="J155" s="1944"/>
      <c r="K155" s="1943"/>
      <c r="L155" s="1945"/>
      <c r="M155" s="1943"/>
      <c r="N155" s="1944"/>
      <c r="O155" s="1943"/>
      <c r="P155" s="1943"/>
      <c r="Q155" s="1943"/>
      <c r="R155" s="1943"/>
      <c r="S155" s="1943"/>
      <c r="T155" s="1943"/>
      <c r="U155" s="1943"/>
      <c r="V155" s="1943"/>
      <c r="W155" s="1943"/>
      <c r="X155" s="1943"/>
      <c r="Y155" s="1943"/>
      <c r="Z155" s="1942"/>
      <c r="AA155" s="1942"/>
      <c r="AB155" s="1942"/>
      <c r="AC155" s="1942"/>
      <c r="AD155" s="1942"/>
      <c r="AE155" s="1942"/>
      <c r="AF155" s="1942"/>
      <c r="AG155" s="1942"/>
      <c r="AH155" s="1942"/>
      <c r="AI155" s="1942"/>
      <c r="AJ155" s="1942"/>
      <c r="AK155" s="1942"/>
      <c r="AL155" s="1942"/>
      <c r="AM155" s="1658"/>
    </row>
  </sheetData>
  <pageMargins left="0" right="0" top="0" bottom="0" header="0.3" footer="0.3"/>
  <pageSetup firstPageNumber="1" fitToHeight="1" fitToWidth="1" scale="100" useFirstPageNumber="0" orientation="landscape" pageOrder="downThenOver"/>
  <headerFooter>
    <oddFooter>&amp;C&amp;"Helvetica Neue,Regular"&amp;12&amp;K000000&amp;P</oddFooter>
  </headerFooter>
  <drawing r:id="rId1"/>
</worksheet>
</file>

<file path=xl/worksheets/sheet38.xml><?xml version="1.0" encoding="utf-8"?>
<worksheet xmlns:r="http://schemas.openxmlformats.org/officeDocument/2006/relationships" xmlns="http://schemas.openxmlformats.org/spreadsheetml/2006/main">
  <dimension ref="A1:O156"/>
  <sheetViews>
    <sheetView workbookViewId="0" showGridLines="0" defaultGridColor="1"/>
  </sheetViews>
  <sheetFormatPr defaultColWidth="8.83333" defaultRowHeight="13" customHeight="1" outlineLevelRow="0" outlineLevelCol="0"/>
  <cols>
    <col min="1" max="1" width="11.6719" style="1946" customWidth="1"/>
    <col min="2" max="2" width="50.6719" style="1946" customWidth="1"/>
    <col min="3" max="15" width="16.8516" style="1946" customWidth="1"/>
    <col min="16" max="16384" width="8.85156" style="1946" customWidth="1"/>
  </cols>
  <sheetData>
    <row r="1" ht="14" customHeight="1">
      <c r="A1" s="1789"/>
      <c r="B1" s="1789"/>
      <c r="C1" t="s" s="1790">
        <v>3896</v>
      </c>
      <c r="D1" t="s" s="1790">
        <v>3897</v>
      </c>
      <c r="E1" t="s" s="1790">
        <v>3898</v>
      </c>
      <c r="F1" t="s" s="1790">
        <v>3899</v>
      </c>
      <c r="G1" t="s" s="1790">
        <v>3900</v>
      </c>
      <c r="H1" t="s" s="1790">
        <v>3901</v>
      </c>
      <c r="I1" t="s" s="1790">
        <v>3902</v>
      </c>
      <c r="J1" t="s" s="1790">
        <v>3903</v>
      </c>
      <c r="K1" t="s" s="1790">
        <v>3904</v>
      </c>
      <c r="L1" t="s" s="1790">
        <v>3905</v>
      </c>
      <c r="M1" t="s" s="1790">
        <v>3906</v>
      </c>
      <c r="N1" t="s" s="1790">
        <v>3907</v>
      </c>
      <c r="O1" t="s" s="1790">
        <v>3908</v>
      </c>
    </row>
    <row r="2" ht="14.05" customHeight="1">
      <c r="A2" s="1789"/>
      <c r="B2" s="1789"/>
      <c r="C2" s="1793"/>
      <c r="D2" s="1793"/>
      <c r="E2" s="1793"/>
      <c r="F2" s="1793"/>
      <c r="G2" s="1793"/>
      <c r="H2" s="1793"/>
      <c r="I2" s="1793"/>
      <c r="J2" s="1793"/>
      <c r="K2" s="1793"/>
      <c r="L2" s="1793"/>
      <c r="M2" s="1793"/>
      <c r="N2" s="1793"/>
      <c r="O2" s="1793"/>
    </row>
    <row r="3" ht="14" customHeight="1">
      <c r="A3" t="s" s="1790">
        <v>2265</v>
      </c>
      <c r="B3" t="s" s="1790">
        <v>2266</v>
      </c>
      <c r="C3" t="s" s="1790">
        <v>1079</v>
      </c>
      <c r="D3" t="s" s="1790">
        <v>1079</v>
      </c>
      <c r="E3" t="s" s="1790">
        <v>1079</v>
      </c>
      <c r="F3" t="s" s="1790">
        <v>1079</v>
      </c>
      <c r="G3" t="s" s="1790">
        <v>1079</v>
      </c>
      <c r="H3" t="s" s="1790">
        <v>1079</v>
      </c>
      <c r="I3" t="s" s="1790">
        <v>1079</v>
      </c>
      <c r="J3" t="s" s="1790">
        <v>1079</v>
      </c>
      <c r="K3" t="s" s="1790">
        <v>1079</v>
      </c>
      <c r="L3" t="s" s="1790">
        <v>1079</v>
      </c>
      <c r="M3" t="s" s="1790">
        <v>1079</v>
      </c>
      <c r="N3" t="s" s="1790">
        <v>1079</v>
      </c>
      <c r="O3" t="s" s="1790">
        <v>1079</v>
      </c>
    </row>
    <row r="4" ht="14.05" customHeight="1">
      <c r="A4" s="1793"/>
      <c r="B4" s="1793"/>
      <c r="C4" s="1793"/>
      <c r="D4" s="1793"/>
      <c r="E4" s="1793"/>
      <c r="F4" s="1793"/>
      <c r="G4" s="1793"/>
      <c r="H4" s="1793"/>
      <c r="I4" s="1793"/>
      <c r="J4" s="1793"/>
      <c r="K4" s="1793"/>
      <c r="L4" s="1793"/>
      <c r="M4" s="1793"/>
      <c r="N4" s="1793"/>
      <c r="O4" s="1793"/>
    </row>
    <row r="5" ht="14" customHeight="1">
      <c r="A5" s="1789"/>
      <c r="B5" t="s" s="1947">
        <v>894</v>
      </c>
      <c r="C5" s="1948">
        <v>187092055.41</v>
      </c>
      <c r="D5" s="1948">
        <v>131852774.42</v>
      </c>
      <c r="E5" s="1948">
        <v>829194700.89</v>
      </c>
      <c r="F5" s="1948">
        <v>1166464545.72</v>
      </c>
      <c r="G5" s="1948">
        <v>1797011561.97</v>
      </c>
      <c r="H5" s="1948">
        <v>2458858284.28</v>
      </c>
      <c r="I5" s="1948">
        <v>2307998896.9</v>
      </c>
      <c r="J5" s="1948">
        <v>1410969724.64</v>
      </c>
      <c r="K5" s="1948">
        <v>1440457004.74</v>
      </c>
      <c r="L5" s="1948">
        <v>762931976.62</v>
      </c>
      <c r="M5" s="1948">
        <v>-109007916.16</v>
      </c>
      <c r="N5" s="1948">
        <v>47309877.2300002</v>
      </c>
      <c r="O5" s="1948">
        <v>289225672.79</v>
      </c>
    </row>
    <row r="6" ht="13.5" customHeight="1">
      <c r="A6" s="1789"/>
      <c r="B6" s="1832"/>
      <c r="C6" s="1832"/>
      <c r="D6" s="1832"/>
      <c r="E6" s="1832"/>
      <c r="F6" s="1832"/>
      <c r="G6" s="1832"/>
      <c r="H6" s="1832"/>
      <c r="I6" s="1832"/>
      <c r="J6" s="1832"/>
      <c r="K6" s="1832"/>
      <c r="L6" s="1832"/>
      <c r="M6" s="1832"/>
      <c r="N6" s="1832"/>
      <c r="O6" s="1832"/>
    </row>
    <row r="7" ht="13.55" customHeight="1">
      <c r="A7" s="1789"/>
      <c r="B7" s="1789"/>
      <c r="C7" s="1789"/>
      <c r="D7" s="1789"/>
      <c r="E7" s="1789"/>
      <c r="F7" s="1789"/>
      <c r="G7" s="1789"/>
      <c r="H7" s="1789"/>
      <c r="I7" s="1789"/>
      <c r="J7" s="1789"/>
      <c r="K7" s="1789"/>
      <c r="L7" s="1789"/>
      <c r="M7" s="1789"/>
      <c r="N7" s="1789"/>
      <c r="O7" s="1789"/>
    </row>
    <row r="8" ht="15" customHeight="1">
      <c r="A8" s="1789"/>
      <c r="B8" s="1789"/>
      <c r="C8" s="1949" cm="1">
        <f t="array" ref="C8">(C9-D9)/D9</f>
        <v>-0.0444569577240133</v>
      </c>
      <c r="D8" s="1949" cm="1">
        <f t="array" ref="D8">(D9-E9)/E9</f>
        <v>-0.203508629016878</v>
      </c>
      <c r="E8" s="1949" cm="1">
        <f t="array" ref="E8">(E9-F9)/F9</f>
        <v>-0.209261314914507</v>
      </c>
      <c r="F8" s="1949" cm="1">
        <f t="array" ref="F8">(F9-G9)/G9</f>
        <v>-0.148872730287845</v>
      </c>
      <c r="G8" s="1949" cm="1">
        <f t="array" ref="G8">(G9-H9)/H9</f>
        <v>-0.156008480848788</v>
      </c>
      <c r="H8" s="1949" cm="1">
        <f t="array" ref="H8">(H9-I9)/I9</f>
        <v>0.0409156823285005</v>
      </c>
      <c r="I8" s="1949" cm="1">
        <f t="array" ref="I8">(I9-J9)/J9</f>
        <v>0.321262743393916</v>
      </c>
      <c r="J8" s="1949" cm="1">
        <f t="array" ref="J8">(J9-K9)/K9</f>
        <v>0.201471459139309</v>
      </c>
      <c r="K8" s="1949" cm="1">
        <f t="array" ref="K8">(K9-L9)/L9</f>
        <v>0.263577246440125</v>
      </c>
      <c r="L8" s="1949" cm="1">
        <f t="array" ref="L8">(L9-M9)/M9</f>
        <v>0.61130539069289</v>
      </c>
      <c r="M8" s="1949" cm="1">
        <f t="array" ref="M8">(M9-N9)/N9</f>
        <v>0.16963801663501</v>
      </c>
      <c r="N8" s="1949" cm="1">
        <f t="array" ref="N8">(N9-O9)/O9</f>
        <v>-0.271665960013931</v>
      </c>
      <c r="O8" s="1789"/>
    </row>
    <row r="9" ht="14" customHeight="1">
      <c r="A9" s="1789"/>
      <c r="B9" t="s" s="1947">
        <v>546</v>
      </c>
      <c r="C9" s="1948">
        <v>4132615043.33</v>
      </c>
      <c r="D9" s="1948">
        <v>4324886332.16</v>
      </c>
      <c r="E9" s="1948">
        <v>5429922394.29</v>
      </c>
      <c r="F9" s="1948">
        <v>6866898631.25</v>
      </c>
      <c r="G9" s="1948">
        <v>8068004487.24</v>
      </c>
      <c r="H9" s="1948">
        <v>9559343078.889999</v>
      </c>
      <c r="I9" s="1948">
        <v>9183590218.860001</v>
      </c>
      <c r="J9" s="1948">
        <v>6950616192.56</v>
      </c>
      <c r="K9" s="1948">
        <v>5785086395.26</v>
      </c>
      <c r="L9" s="1948">
        <v>4578340114.59</v>
      </c>
      <c r="M9" s="1948">
        <v>2841385711.88</v>
      </c>
      <c r="N9" s="1948">
        <v>2429286387.3</v>
      </c>
      <c r="O9" s="1948">
        <v>3335401414.64</v>
      </c>
    </row>
    <row r="10" ht="13.5" customHeight="1">
      <c r="A10" s="1789"/>
      <c r="B10" t="s" s="1950">
        <v>3712</v>
      </c>
      <c r="C10" s="1951">
        <v>1390208344</v>
      </c>
      <c r="D10" s="1951">
        <v>1431794624.84</v>
      </c>
      <c r="E10" s="1951">
        <v>2444561060.25</v>
      </c>
      <c r="F10" s="1951">
        <v>2873861406.77</v>
      </c>
      <c r="G10" s="1951">
        <v>3219475098</v>
      </c>
      <c r="H10" s="1951">
        <v>3958492365.5</v>
      </c>
      <c r="I10" s="1951">
        <v>3578281443.7</v>
      </c>
      <c r="J10" s="1951">
        <v>2340712526.5</v>
      </c>
      <c r="K10" s="1951">
        <v>2278473809.83</v>
      </c>
      <c r="L10" s="1951">
        <v>1507956614</v>
      </c>
      <c r="M10" s="1951">
        <v>900550841</v>
      </c>
      <c r="N10" s="1951">
        <v>529871921.96</v>
      </c>
      <c r="O10" s="1951">
        <v>1079188286.94</v>
      </c>
    </row>
    <row r="11" ht="15" customHeight="1">
      <c r="A11" s="1789"/>
      <c r="B11" t="s" s="1952">
        <v>3713</v>
      </c>
      <c r="C11" s="1953">
        <v>4130379894</v>
      </c>
      <c r="D11" s="1953">
        <v>4319952611</v>
      </c>
      <c r="E11" s="1953">
        <v>5419389076.25</v>
      </c>
      <c r="F11" s="1953">
        <v>6856718330.48</v>
      </c>
      <c r="G11" s="1953">
        <v>8063801481</v>
      </c>
      <c r="H11" s="1953">
        <v>9545901968.5</v>
      </c>
      <c r="I11" s="1953">
        <v>9156127253.700001</v>
      </c>
      <c r="J11" s="1953">
        <v>6931442639.5</v>
      </c>
      <c r="K11" s="1953">
        <v>5784875637</v>
      </c>
      <c r="L11" s="1953">
        <v>4577882316</v>
      </c>
      <c r="M11" s="1953">
        <v>2840963681</v>
      </c>
      <c r="N11" s="1953">
        <v>2428029466.96</v>
      </c>
      <c r="O11" s="1953">
        <v>3330699182.94</v>
      </c>
    </row>
    <row r="12" ht="15" customHeight="1">
      <c r="A12" t="s" s="1954">
        <v>3714</v>
      </c>
      <c r="B12" t="s" s="1952">
        <v>3715</v>
      </c>
      <c r="C12" s="1953">
        <v>92031000</v>
      </c>
      <c r="D12" s="1953">
        <v>69185000</v>
      </c>
      <c r="E12" s="1953">
        <v>61549999</v>
      </c>
      <c r="F12" s="1953">
        <v>86641898</v>
      </c>
      <c r="G12" s="1953">
        <v>84944000</v>
      </c>
      <c r="H12" s="1953">
        <v>98960000</v>
      </c>
      <c r="I12" s="1953">
        <v>90430000</v>
      </c>
      <c r="J12" s="1953">
        <v>67800000</v>
      </c>
      <c r="K12" s="1953">
        <v>65960002</v>
      </c>
      <c r="L12" s="1953">
        <v>60400000</v>
      </c>
      <c r="M12" s="1953">
        <v>23390000</v>
      </c>
      <c r="N12" s="1953">
        <v>41690000</v>
      </c>
      <c r="O12" s="1953">
        <v>44028000</v>
      </c>
    </row>
    <row r="13" ht="15" customHeight="1">
      <c r="A13" t="s" s="1954">
        <v>3718</v>
      </c>
      <c r="B13" t="s" s="1952">
        <v>3719</v>
      </c>
      <c r="C13" s="1953">
        <v>750712766</v>
      </c>
      <c r="D13" s="1953">
        <v>729805233</v>
      </c>
      <c r="E13" s="1953">
        <v>1405011648.25</v>
      </c>
      <c r="F13" s="1953">
        <v>1943482602</v>
      </c>
      <c r="G13" s="1953">
        <v>2493219354</v>
      </c>
      <c r="H13" s="1953">
        <v>2758524491</v>
      </c>
      <c r="I13" s="1953">
        <v>2792429356</v>
      </c>
      <c r="J13" s="1953">
        <v>2564776499</v>
      </c>
      <c r="K13" s="1953">
        <v>2295798978</v>
      </c>
      <c r="L13" s="1953">
        <v>1478885000</v>
      </c>
      <c r="M13" s="1953">
        <v>1004307640</v>
      </c>
      <c r="N13" s="1953">
        <v>765444779.96</v>
      </c>
      <c r="O13" s="1953">
        <v>772670759.9400001</v>
      </c>
    </row>
    <row r="14" ht="15" customHeight="1">
      <c r="A14" t="s" s="1954">
        <v>3720</v>
      </c>
      <c r="B14" t="s" s="1952">
        <v>3721</v>
      </c>
      <c r="C14" s="1953">
        <v>358436505</v>
      </c>
      <c r="D14" s="1953">
        <v>447928772</v>
      </c>
      <c r="E14" s="1953">
        <v>545013119</v>
      </c>
      <c r="F14" s="1953">
        <v>806804999.3</v>
      </c>
      <c r="G14" s="1953">
        <v>783411466</v>
      </c>
      <c r="H14" s="1953">
        <v>726253717</v>
      </c>
      <c r="I14" s="1953">
        <v>529204640</v>
      </c>
      <c r="J14" s="1953">
        <v>0</v>
      </c>
      <c r="K14" s="1953">
        <v>0</v>
      </c>
      <c r="L14" s="1953">
        <v>0</v>
      </c>
      <c r="M14" s="1953">
        <v>0</v>
      </c>
      <c r="N14" s="1953">
        <v>0</v>
      </c>
      <c r="O14" s="1953">
        <v>0</v>
      </c>
    </row>
    <row r="15" ht="15" customHeight="1">
      <c r="A15" t="s" s="1954">
        <v>3722</v>
      </c>
      <c r="B15" t="s" s="1952">
        <v>3723</v>
      </c>
      <c r="C15" s="1953">
        <v>2362535721</v>
      </c>
      <c r="D15" s="1953">
        <v>2497097561</v>
      </c>
      <c r="E15" s="1953">
        <v>2507441144</v>
      </c>
      <c r="F15" s="1953">
        <v>3364163087</v>
      </c>
      <c r="G15" s="1953">
        <v>3982466113</v>
      </c>
      <c r="H15" s="1953">
        <v>5294245334</v>
      </c>
      <c r="I15" s="1953">
        <v>5132812133.7</v>
      </c>
      <c r="J15" s="1953">
        <v>3801152112</v>
      </c>
      <c r="K15" s="1953">
        <v>3010637521</v>
      </c>
      <c r="L15" s="1953">
        <v>2748684669</v>
      </c>
      <c r="M15" s="1953">
        <v>1499057745</v>
      </c>
      <c r="N15" s="1953">
        <v>1388780928</v>
      </c>
      <c r="O15" s="1953">
        <v>2032709000</v>
      </c>
    </row>
    <row r="16" ht="15" customHeight="1">
      <c r="A16" t="s" s="1954">
        <v>3724</v>
      </c>
      <c r="B16" t="s" s="1952">
        <v>3725</v>
      </c>
      <c r="C16" s="1953">
        <v>0</v>
      </c>
      <c r="D16" s="1953">
        <v>0</v>
      </c>
      <c r="E16" s="1953">
        <v>0</v>
      </c>
      <c r="F16" s="1953">
        <v>0</v>
      </c>
      <c r="G16" s="1953">
        <v>94959950</v>
      </c>
      <c r="H16" s="1953">
        <v>0</v>
      </c>
      <c r="I16" s="1953">
        <v>0</v>
      </c>
      <c r="J16" s="1953">
        <v>0</v>
      </c>
      <c r="K16" s="1953">
        <v>63300000</v>
      </c>
      <c r="L16" s="1953">
        <v>22800000</v>
      </c>
      <c r="M16" s="1953">
        <v>9000000</v>
      </c>
      <c r="N16" s="1953">
        <v>0</v>
      </c>
      <c r="O16" s="1953">
        <v>4936000</v>
      </c>
    </row>
    <row r="17" ht="15" customHeight="1">
      <c r="A17" t="s" s="1954">
        <v>3726</v>
      </c>
      <c r="B17" t="s" s="1952">
        <v>3727</v>
      </c>
      <c r="C17" s="1953">
        <v>0</v>
      </c>
      <c r="D17" s="1953">
        <v>0</v>
      </c>
      <c r="E17" s="1953">
        <v>0</v>
      </c>
      <c r="F17" s="1953">
        <v>0</v>
      </c>
      <c r="G17" s="1953">
        <v>0</v>
      </c>
      <c r="H17" s="1953">
        <v>0</v>
      </c>
      <c r="I17" s="1953">
        <v>2590000</v>
      </c>
      <c r="J17" s="1953">
        <v>0</v>
      </c>
      <c r="K17" s="1953">
        <v>2040000</v>
      </c>
      <c r="L17" s="1953">
        <v>2340000</v>
      </c>
      <c r="M17" s="1953">
        <v>5200000</v>
      </c>
      <c r="N17" s="1953">
        <v>0</v>
      </c>
      <c r="O17" s="1953">
        <v>3900000</v>
      </c>
    </row>
    <row r="18" ht="15" customHeight="1">
      <c r="A18" t="s" s="1954">
        <v>3728</v>
      </c>
      <c r="B18" t="s" s="1952">
        <v>3729</v>
      </c>
      <c r="C18" s="1953">
        <v>0</v>
      </c>
      <c r="D18" s="1953">
        <v>0</v>
      </c>
      <c r="E18" s="1953">
        <v>0</v>
      </c>
      <c r="F18" s="1953">
        <v>0</v>
      </c>
      <c r="G18" s="1953">
        <v>0</v>
      </c>
      <c r="H18" s="1953">
        <v>0</v>
      </c>
      <c r="I18" s="1953">
        <v>12950000</v>
      </c>
      <c r="J18" s="1953">
        <v>0</v>
      </c>
      <c r="K18" s="1953">
        <v>0</v>
      </c>
      <c r="L18" s="1953">
        <v>0</v>
      </c>
      <c r="M18" s="1953">
        <v>0</v>
      </c>
      <c r="N18" s="1953">
        <v>0</v>
      </c>
      <c r="O18" s="1953">
        <v>0</v>
      </c>
    </row>
    <row r="19" ht="15" customHeight="1">
      <c r="A19" t="s" s="1954">
        <v>3730</v>
      </c>
      <c r="B19" t="s" s="1952">
        <v>3731</v>
      </c>
      <c r="C19" s="1953">
        <v>198000000</v>
      </c>
      <c r="D19" s="1953">
        <v>221500000</v>
      </c>
      <c r="E19" s="1953">
        <v>293350000</v>
      </c>
      <c r="F19" s="1953">
        <v>171700000</v>
      </c>
      <c r="G19" s="1953">
        <v>400150000</v>
      </c>
      <c r="H19" s="1953">
        <v>418100000</v>
      </c>
      <c r="I19" s="1953">
        <v>405700000</v>
      </c>
      <c r="J19" s="1953">
        <v>345500000</v>
      </c>
      <c r="K19" s="1953">
        <v>276050000</v>
      </c>
      <c r="L19" s="1953">
        <v>187100000</v>
      </c>
      <c r="M19" s="1953">
        <v>138800000</v>
      </c>
      <c r="N19" s="1953">
        <v>129200000</v>
      </c>
      <c r="O19" s="1953">
        <v>146350000</v>
      </c>
    </row>
    <row r="20" ht="15" customHeight="1">
      <c r="A20" t="s" s="1954">
        <v>3732</v>
      </c>
      <c r="B20" t="s" s="1952">
        <v>3733</v>
      </c>
      <c r="C20" s="1953">
        <v>0</v>
      </c>
      <c r="D20" s="1953">
        <v>0</v>
      </c>
      <c r="E20" s="1953">
        <v>0</v>
      </c>
      <c r="F20" s="1953">
        <v>0</v>
      </c>
      <c r="G20" s="1953">
        <v>0</v>
      </c>
      <c r="H20" s="1953">
        <v>0</v>
      </c>
      <c r="I20" s="1953">
        <v>0</v>
      </c>
      <c r="J20" s="1953">
        <v>0</v>
      </c>
      <c r="K20" s="1953">
        <v>0</v>
      </c>
      <c r="L20" s="1953">
        <v>864000</v>
      </c>
      <c r="M20" s="1953">
        <v>3720000</v>
      </c>
      <c r="N20" s="1953">
        <v>0</v>
      </c>
      <c r="O20" s="1953">
        <v>0</v>
      </c>
    </row>
    <row r="21" ht="15" customHeight="1">
      <c r="A21" t="s" s="1954">
        <v>3912</v>
      </c>
      <c r="B21" t="s" s="1952">
        <v>3913</v>
      </c>
      <c r="C21" s="1953">
        <v>0</v>
      </c>
      <c r="D21" s="1953">
        <v>0</v>
      </c>
      <c r="E21" s="1953">
        <v>0</v>
      </c>
      <c r="F21" s="1953">
        <v>0</v>
      </c>
      <c r="G21" s="1953">
        <v>0</v>
      </c>
      <c r="H21" s="1953">
        <v>3000000</v>
      </c>
      <c r="I21" s="1953">
        <v>0</v>
      </c>
      <c r="J21" s="1953">
        <v>1500000</v>
      </c>
      <c r="K21" s="1953">
        <v>0</v>
      </c>
      <c r="L21" s="1953">
        <v>3700000</v>
      </c>
      <c r="M21" s="1953">
        <v>0</v>
      </c>
      <c r="N21" s="1953">
        <v>24350000</v>
      </c>
      <c r="O21" s="1953">
        <v>147629500</v>
      </c>
    </row>
    <row r="22" ht="15" customHeight="1">
      <c r="A22" t="s" s="1954">
        <v>3734</v>
      </c>
      <c r="B22" t="s" s="1952">
        <v>3735</v>
      </c>
      <c r="C22" s="1953">
        <v>12000000</v>
      </c>
      <c r="D22" s="1953">
        <v>18500000</v>
      </c>
      <c r="E22" s="1953">
        <v>13100000</v>
      </c>
      <c r="F22" s="1953">
        <v>17900000</v>
      </c>
      <c r="G22" s="1953">
        <v>25360000</v>
      </c>
      <c r="H22" s="1953">
        <v>35990000</v>
      </c>
      <c r="I22" s="1953">
        <v>33855000</v>
      </c>
      <c r="J22" s="1953">
        <v>38000000</v>
      </c>
      <c r="K22" s="1953">
        <v>33100000</v>
      </c>
      <c r="L22" s="1953">
        <v>20000000</v>
      </c>
      <c r="M22" s="1953">
        <v>12000000</v>
      </c>
      <c r="N22" s="1953">
        <v>20800000</v>
      </c>
      <c r="O22" s="1953">
        <v>24150000</v>
      </c>
    </row>
    <row r="23" ht="15" customHeight="1">
      <c r="A23" t="s" s="1954">
        <v>3736</v>
      </c>
      <c r="B23" t="s" s="1952">
        <v>3737</v>
      </c>
      <c r="C23" s="1953">
        <v>40014500</v>
      </c>
      <c r="D23" s="1953">
        <v>46484000</v>
      </c>
      <c r="E23" s="1953">
        <v>62160000</v>
      </c>
      <c r="F23" s="1953">
        <v>36395000</v>
      </c>
      <c r="G23" s="1953">
        <v>50140000</v>
      </c>
      <c r="H23" s="1953">
        <v>51580000</v>
      </c>
      <c r="I23" s="1953">
        <v>25950000</v>
      </c>
      <c r="J23" s="1953">
        <v>35520000</v>
      </c>
      <c r="K23" s="1953">
        <v>32500001</v>
      </c>
      <c r="L23" s="1953">
        <v>14980001</v>
      </c>
      <c r="M23" s="1953">
        <v>9300000</v>
      </c>
      <c r="N23" s="1953">
        <v>31199999</v>
      </c>
      <c r="O23" s="1953">
        <v>21800000</v>
      </c>
    </row>
    <row r="24" ht="15" customHeight="1">
      <c r="A24" t="s" s="1954">
        <v>3914</v>
      </c>
      <c r="B24" t="s" s="1952">
        <v>3915</v>
      </c>
      <c r="C24" s="1953">
        <v>0</v>
      </c>
      <c r="D24" s="1953">
        <v>0</v>
      </c>
      <c r="E24" s="1953">
        <v>0</v>
      </c>
      <c r="F24" s="1953">
        <v>0</v>
      </c>
      <c r="G24" s="1953">
        <v>0</v>
      </c>
      <c r="H24" s="1953">
        <v>0</v>
      </c>
      <c r="I24" s="1953">
        <v>0</v>
      </c>
      <c r="J24" s="1953">
        <v>0</v>
      </c>
      <c r="K24" s="1953">
        <v>0</v>
      </c>
      <c r="L24" s="1953">
        <v>0</v>
      </c>
      <c r="M24" s="1953">
        <v>0</v>
      </c>
      <c r="N24" s="1953">
        <v>0</v>
      </c>
      <c r="O24" s="1953">
        <v>0</v>
      </c>
    </row>
    <row r="25" ht="15" customHeight="1">
      <c r="A25" t="s" s="1954">
        <v>3738</v>
      </c>
      <c r="B25" t="s" s="1952">
        <v>3739</v>
      </c>
      <c r="C25" s="1953">
        <v>239901688</v>
      </c>
      <c r="D25" s="1953">
        <v>264950015</v>
      </c>
      <c r="E25" s="1953">
        <v>523043166</v>
      </c>
      <c r="F25" s="1953">
        <v>416785307.18</v>
      </c>
      <c r="G25" s="1953">
        <v>145009878</v>
      </c>
      <c r="H25" s="1953">
        <v>151395628</v>
      </c>
      <c r="I25" s="1953">
        <v>120083776</v>
      </c>
      <c r="J25" s="1953">
        <v>69305150</v>
      </c>
      <c r="K25" s="1953">
        <v>0</v>
      </c>
      <c r="L25" s="1953">
        <v>0</v>
      </c>
      <c r="M25" s="1953">
        <v>0</v>
      </c>
      <c r="N25" s="1953">
        <v>0</v>
      </c>
      <c r="O25" s="1953">
        <v>0</v>
      </c>
    </row>
    <row r="26" ht="15" customHeight="1">
      <c r="A26" t="s" s="1954">
        <v>3740</v>
      </c>
      <c r="B26" t="s" s="1952">
        <v>3741</v>
      </c>
      <c r="C26" s="1953">
        <v>0</v>
      </c>
      <c r="D26" s="1953">
        <v>0</v>
      </c>
      <c r="E26" s="1953">
        <v>0</v>
      </c>
      <c r="F26" s="1953">
        <v>0</v>
      </c>
      <c r="G26" s="1953">
        <v>370000</v>
      </c>
      <c r="H26" s="1953">
        <v>1995000</v>
      </c>
      <c r="I26" s="1953">
        <v>960000</v>
      </c>
      <c r="J26" s="1953">
        <v>0</v>
      </c>
      <c r="K26" s="1953">
        <v>1285000</v>
      </c>
      <c r="L26" s="1953">
        <v>2495000</v>
      </c>
      <c r="M26" s="1953">
        <v>88662162</v>
      </c>
      <c r="N26" s="1953">
        <v>1655000</v>
      </c>
      <c r="O26" s="1953">
        <v>63012196</v>
      </c>
    </row>
    <row r="27" ht="15" customHeight="1">
      <c r="A27" t="s" s="1954">
        <v>3742</v>
      </c>
      <c r="B27" t="s" s="1952">
        <v>3743</v>
      </c>
      <c r="C27" s="1953">
        <v>21100000</v>
      </c>
      <c r="D27" s="1953">
        <v>0</v>
      </c>
      <c r="E27" s="1953">
        <v>0</v>
      </c>
      <c r="F27" s="1953">
        <v>0</v>
      </c>
      <c r="G27" s="1953">
        <v>0</v>
      </c>
      <c r="H27" s="1953">
        <v>0</v>
      </c>
      <c r="I27" s="1953">
        <v>0</v>
      </c>
      <c r="J27" s="1953">
        <v>0</v>
      </c>
      <c r="K27" s="1953">
        <v>0</v>
      </c>
      <c r="L27" s="1953">
        <v>0</v>
      </c>
      <c r="M27" s="1953">
        <v>0</v>
      </c>
      <c r="N27" s="1953">
        <v>0</v>
      </c>
      <c r="O27" s="1953">
        <v>-1800000</v>
      </c>
    </row>
    <row r="28" ht="15" customHeight="1">
      <c r="A28" t="s" s="1954">
        <v>3744</v>
      </c>
      <c r="B28" t="s" s="1952">
        <v>3745</v>
      </c>
      <c r="C28" s="1953">
        <v>55647714</v>
      </c>
      <c r="D28" s="1953">
        <v>24422030</v>
      </c>
      <c r="E28" s="1953">
        <v>8720000</v>
      </c>
      <c r="F28" s="1953">
        <v>12845437</v>
      </c>
      <c r="G28" s="1953">
        <v>3770720</v>
      </c>
      <c r="H28" s="1953">
        <v>5857798.5</v>
      </c>
      <c r="I28" s="1953">
        <v>9162348</v>
      </c>
      <c r="J28" s="1953">
        <v>7888878.5</v>
      </c>
      <c r="K28" s="1953">
        <v>4204135</v>
      </c>
      <c r="L28" s="1953">
        <v>35633646</v>
      </c>
      <c r="M28" s="1953">
        <v>47526134</v>
      </c>
      <c r="N28" s="1953">
        <v>24908760</v>
      </c>
      <c r="O28" s="1953">
        <v>71313727</v>
      </c>
    </row>
    <row r="29" ht="15" customHeight="1">
      <c r="A29" t="s" s="1954">
        <v>3918</v>
      </c>
      <c r="B29" t="s" s="1952">
        <v>3919</v>
      </c>
      <c r="C29" s="1953">
        <v>0</v>
      </c>
      <c r="D29" s="1953">
        <v>80000</v>
      </c>
      <c r="E29" s="1953">
        <v>0</v>
      </c>
      <c r="F29" s="1953">
        <v>0</v>
      </c>
      <c r="G29" s="1953">
        <v>0</v>
      </c>
      <c r="H29" s="1953">
        <v>0</v>
      </c>
      <c r="I29" s="1953">
        <v>0</v>
      </c>
      <c r="J29" s="1953">
        <v>0</v>
      </c>
      <c r="K29" s="1953">
        <v>0</v>
      </c>
      <c r="L29" s="1953">
        <v>0</v>
      </c>
      <c r="M29" s="1953">
        <v>0</v>
      </c>
      <c r="N29" s="1953">
        <v>0</v>
      </c>
      <c r="O29" s="1953">
        <v>0</v>
      </c>
    </row>
    <row r="30" ht="15" customHeight="1">
      <c r="A30" s="1789"/>
      <c r="B30" t="s" s="1952">
        <v>3746</v>
      </c>
      <c r="C30" s="1953">
        <v>4130379894</v>
      </c>
      <c r="D30" s="1953">
        <v>4319952611</v>
      </c>
      <c r="E30" s="1953">
        <v>5419389076.25</v>
      </c>
      <c r="F30" s="1953">
        <v>6856718330.48</v>
      </c>
      <c r="G30" s="1953">
        <v>8063801481</v>
      </c>
      <c r="H30" s="1953">
        <v>9545901968.5</v>
      </c>
      <c r="I30" s="1953">
        <v>9156127253.700001</v>
      </c>
      <c r="J30" s="1953">
        <v>6931442639.5</v>
      </c>
      <c r="K30" s="1953">
        <v>5784875637</v>
      </c>
      <c r="L30" s="1953">
        <v>4577882316</v>
      </c>
      <c r="M30" s="1953">
        <v>2840963681</v>
      </c>
      <c r="N30" s="1953">
        <v>2428029466.96</v>
      </c>
      <c r="O30" s="1953">
        <v>3330699182.94</v>
      </c>
    </row>
    <row r="31" ht="15" customHeight="1">
      <c r="A31" s="1789"/>
      <c r="B31" t="s" s="1952">
        <v>3747</v>
      </c>
      <c r="C31" s="1953">
        <v>2740171550</v>
      </c>
      <c r="D31" s="1953">
        <v>2888157986.16</v>
      </c>
      <c r="E31" s="1953">
        <v>2974828016</v>
      </c>
      <c r="F31" s="1953">
        <v>3982856923.71</v>
      </c>
      <c r="G31" s="1953">
        <v>4844326383</v>
      </c>
      <c r="H31" s="1953">
        <v>5587409603</v>
      </c>
      <c r="I31" s="1953">
        <v>5577845810</v>
      </c>
      <c r="J31" s="1953">
        <v>4590730113</v>
      </c>
      <c r="K31" s="1953">
        <v>3506401827.17</v>
      </c>
      <c r="L31" s="1953">
        <v>3069925702</v>
      </c>
      <c r="M31" s="1953">
        <v>1940412840</v>
      </c>
      <c r="N31" s="1953">
        <v>1898157545</v>
      </c>
      <c r="O31" s="1953">
        <v>2251510896</v>
      </c>
    </row>
    <row r="32" ht="15" customHeight="1">
      <c r="A32" t="s" s="1954">
        <v>3748</v>
      </c>
      <c r="B32" t="s" s="1952">
        <v>3749</v>
      </c>
      <c r="C32" s="1953">
        <v>0</v>
      </c>
      <c r="D32" s="1953">
        <v>0</v>
      </c>
      <c r="E32" s="1953">
        <v>0</v>
      </c>
      <c r="F32" s="1953">
        <v>0</v>
      </c>
      <c r="G32" s="1953">
        <v>0</v>
      </c>
      <c r="H32" s="1953">
        <v>0</v>
      </c>
      <c r="I32" s="1953">
        <v>0</v>
      </c>
      <c r="J32" s="1953">
        <v>0</v>
      </c>
      <c r="K32" s="1953">
        <v>13975000</v>
      </c>
      <c r="L32" s="1953">
        <v>4560000</v>
      </c>
      <c r="M32" s="1953">
        <v>78650000</v>
      </c>
      <c r="N32" s="1953">
        <v>52000000</v>
      </c>
      <c r="O32" s="1953">
        <v>90025000</v>
      </c>
    </row>
    <row r="33" ht="15" customHeight="1">
      <c r="A33" t="s" s="1954">
        <v>3921</v>
      </c>
      <c r="B33" t="s" s="1952">
        <v>3922</v>
      </c>
      <c r="C33" s="1953">
        <v>0</v>
      </c>
      <c r="D33" s="1953">
        <v>0</v>
      </c>
      <c r="E33" s="1953">
        <v>0</v>
      </c>
      <c r="F33" s="1953">
        <v>0</v>
      </c>
      <c r="G33" s="1953">
        <v>0</v>
      </c>
      <c r="H33" s="1953">
        <v>0</v>
      </c>
      <c r="I33" s="1953">
        <v>0</v>
      </c>
      <c r="J33" s="1953">
        <v>0</v>
      </c>
      <c r="K33" s="1953">
        <v>0</v>
      </c>
      <c r="L33" s="1953">
        <v>0</v>
      </c>
      <c r="M33" s="1953">
        <v>0</v>
      </c>
      <c r="N33" s="1953">
        <v>0</v>
      </c>
      <c r="O33" s="1953">
        <v>24750000</v>
      </c>
    </row>
    <row r="34" ht="15" customHeight="1">
      <c r="A34" t="s" s="1954">
        <v>3750</v>
      </c>
      <c r="B34" t="s" s="1952">
        <v>3751</v>
      </c>
      <c r="C34" s="1953">
        <v>77925000</v>
      </c>
      <c r="D34" s="1953">
        <v>78425000</v>
      </c>
      <c r="E34" s="1953">
        <v>170250000</v>
      </c>
      <c r="F34" s="1953">
        <v>165190000</v>
      </c>
      <c r="G34" s="1953">
        <v>164575000</v>
      </c>
      <c r="H34" s="1953">
        <v>141875000</v>
      </c>
      <c r="I34" s="1953">
        <v>175925000</v>
      </c>
      <c r="J34" s="1953">
        <v>192950000</v>
      </c>
      <c r="K34" s="1953">
        <v>158900000</v>
      </c>
      <c r="L34" s="1953">
        <v>161974000</v>
      </c>
      <c r="M34" s="1953">
        <v>91725000</v>
      </c>
      <c r="N34" s="1953">
        <v>150780000</v>
      </c>
      <c r="O34" s="1953">
        <v>176664000</v>
      </c>
    </row>
    <row r="35" ht="15" customHeight="1">
      <c r="A35" t="s" s="1954">
        <v>3752</v>
      </c>
      <c r="B35" t="s" s="1952">
        <v>3753</v>
      </c>
      <c r="C35" s="1953">
        <v>0</v>
      </c>
      <c r="D35" s="1953">
        <v>46150000</v>
      </c>
      <c r="E35" s="1953">
        <v>45100000</v>
      </c>
      <c r="F35" s="1953">
        <v>89200000</v>
      </c>
      <c r="G35" s="1953">
        <v>89200000</v>
      </c>
      <c r="H35" s="1953">
        <v>112700000</v>
      </c>
      <c r="I35" s="1953">
        <v>122500000</v>
      </c>
      <c r="J35" s="1953">
        <v>117600000</v>
      </c>
      <c r="K35" s="1953">
        <v>98000000</v>
      </c>
      <c r="L35" s="1953">
        <v>133400000</v>
      </c>
      <c r="M35" s="1953">
        <v>93019000</v>
      </c>
      <c r="N35" s="1953">
        <v>50959000</v>
      </c>
      <c r="O35" s="1953">
        <v>77208000</v>
      </c>
    </row>
    <row r="36" ht="15" customHeight="1">
      <c r="A36" t="s" s="1954">
        <v>3754</v>
      </c>
      <c r="B36" t="s" s="1952">
        <v>3755</v>
      </c>
      <c r="C36" s="1953">
        <v>97050000</v>
      </c>
      <c r="D36" s="1953">
        <v>67825000</v>
      </c>
      <c r="E36" s="1953">
        <v>103150000</v>
      </c>
      <c r="F36" s="1953">
        <v>131175000</v>
      </c>
      <c r="G36" s="1953">
        <v>165225000</v>
      </c>
      <c r="H36" s="1953">
        <v>165875000</v>
      </c>
      <c r="I36" s="1953">
        <v>175985000</v>
      </c>
      <c r="J36" s="1953">
        <v>171335000</v>
      </c>
      <c r="K36" s="1953">
        <v>79510000</v>
      </c>
      <c r="L36" s="1953">
        <v>1000000</v>
      </c>
      <c r="M36" s="1953">
        <v>0</v>
      </c>
      <c r="N36" s="1953">
        <v>34831000</v>
      </c>
      <c r="O36" s="1953">
        <v>22802000</v>
      </c>
    </row>
    <row r="37" ht="15" customHeight="1">
      <c r="A37" t="s" s="1954">
        <v>3756</v>
      </c>
      <c r="B37" t="s" s="1952">
        <v>3757</v>
      </c>
      <c r="C37" s="1953">
        <v>46575000</v>
      </c>
      <c r="D37" s="1953">
        <v>65575000</v>
      </c>
      <c r="E37" s="1953">
        <v>49750000</v>
      </c>
      <c r="F37" s="1953">
        <v>98600000</v>
      </c>
      <c r="G37" s="1953">
        <v>84275000</v>
      </c>
      <c r="H37" s="1953">
        <v>133125000</v>
      </c>
      <c r="I37" s="1953">
        <v>121000000</v>
      </c>
      <c r="J37" s="1953">
        <v>140075000</v>
      </c>
      <c r="K37" s="1953">
        <v>93625000</v>
      </c>
      <c r="L37" s="1953">
        <v>132825000</v>
      </c>
      <c r="M37" s="1953">
        <v>64047000</v>
      </c>
      <c r="N37" s="1953">
        <v>94085000</v>
      </c>
      <c r="O37" s="1953">
        <v>72691000</v>
      </c>
    </row>
    <row r="38" ht="15" customHeight="1">
      <c r="A38" t="s" s="1954">
        <v>3923</v>
      </c>
      <c r="B38" t="s" s="1952">
        <v>3924</v>
      </c>
      <c r="C38" s="1953">
        <v>0</v>
      </c>
      <c r="D38" s="1953">
        <v>0</v>
      </c>
      <c r="E38" s="1953">
        <v>0</v>
      </c>
      <c r="F38" s="1953">
        <v>0</v>
      </c>
      <c r="G38" s="1953">
        <v>0</v>
      </c>
      <c r="H38" s="1953">
        <v>0</v>
      </c>
      <c r="I38" s="1953">
        <v>0</v>
      </c>
      <c r="J38" s="1953">
        <v>0</v>
      </c>
      <c r="K38" s="1953">
        <v>0</v>
      </c>
      <c r="L38" s="1953">
        <v>0</v>
      </c>
      <c r="M38" s="1953">
        <v>0</v>
      </c>
      <c r="N38" s="1953">
        <v>0</v>
      </c>
      <c r="O38" s="1953">
        <v>114825000</v>
      </c>
    </row>
    <row r="39" ht="15" customHeight="1">
      <c r="A39" t="s" s="1954">
        <v>3925</v>
      </c>
      <c r="B39" t="s" s="1952">
        <v>3926</v>
      </c>
      <c r="C39" s="1953">
        <v>0</v>
      </c>
      <c r="D39" s="1953">
        <v>0</v>
      </c>
      <c r="E39" s="1953">
        <v>0</v>
      </c>
      <c r="F39" s="1953">
        <v>0</v>
      </c>
      <c r="G39" s="1953">
        <v>0</v>
      </c>
      <c r="H39" s="1953">
        <v>0</v>
      </c>
      <c r="I39" s="1953">
        <v>0</v>
      </c>
      <c r="J39" s="1953">
        <v>6000000</v>
      </c>
      <c r="K39" s="1953">
        <v>33000000</v>
      </c>
      <c r="L39" s="1953">
        <v>51000000</v>
      </c>
      <c r="M39" s="1953">
        <v>33000000</v>
      </c>
      <c r="N39" s="1953">
        <v>0</v>
      </c>
      <c r="O39" s="1953">
        <v>6000000</v>
      </c>
    </row>
    <row r="40" ht="15" customHeight="1">
      <c r="A40" t="s" s="1954">
        <v>3927</v>
      </c>
      <c r="B40" t="s" s="1952">
        <v>3928</v>
      </c>
      <c r="C40" s="1953">
        <v>0</v>
      </c>
      <c r="D40" s="1953">
        <v>0</v>
      </c>
      <c r="E40" s="1953">
        <v>0</v>
      </c>
      <c r="F40" s="1953">
        <v>0</v>
      </c>
      <c r="G40" s="1953">
        <v>0</v>
      </c>
      <c r="H40" s="1953">
        <v>2500000</v>
      </c>
      <c r="I40" s="1953">
        <v>7500000</v>
      </c>
      <c r="J40" s="1953">
        <v>2500000</v>
      </c>
      <c r="K40" s="1953">
        <v>2500000</v>
      </c>
      <c r="L40" s="1953">
        <v>2500000</v>
      </c>
      <c r="M40" s="1953">
        <v>5000000</v>
      </c>
      <c r="N40" s="1953">
        <v>0</v>
      </c>
      <c r="O40" s="1953">
        <v>5000000</v>
      </c>
    </row>
    <row r="41" ht="15" customHeight="1">
      <c r="A41" t="s" s="1954">
        <v>3929</v>
      </c>
      <c r="B41" t="s" s="1952">
        <v>3930</v>
      </c>
      <c r="C41" s="1953">
        <v>0</v>
      </c>
      <c r="D41" s="1953">
        <v>0</v>
      </c>
      <c r="E41" s="1953">
        <v>0</v>
      </c>
      <c r="F41" s="1953">
        <v>0</v>
      </c>
      <c r="G41" s="1953">
        <v>0</v>
      </c>
      <c r="H41" s="1953">
        <v>9600000</v>
      </c>
      <c r="I41" s="1953">
        <v>9200000</v>
      </c>
      <c r="J41" s="1953">
        <v>17000000</v>
      </c>
      <c r="K41" s="1953">
        <v>26800000</v>
      </c>
      <c r="L41" s="1953">
        <v>27600000</v>
      </c>
      <c r="M41" s="1953">
        <v>16000000</v>
      </c>
      <c r="N41" s="1953">
        <v>0</v>
      </c>
      <c r="O41" s="1953">
        <v>0</v>
      </c>
    </row>
    <row r="42" ht="15" customHeight="1">
      <c r="A42" t="s" s="1954">
        <v>3931</v>
      </c>
      <c r="B42" t="s" s="1952">
        <v>3932</v>
      </c>
      <c r="C42" s="1953">
        <v>0</v>
      </c>
      <c r="D42" s="1953">
        <v>0</v>
      </c>
      <c r="E42" s="1953">
        <v>0</v>
      </c>
      <c r="F42" s="1953">
        <v>0</v>
      </c>
      <c r="G42" s="1953">
        <v>0</v>
      </c>
      <c r="H42" s="1953">
        <v>0</v>
      </c>
      <c r="I42" s="1953">
        <v>8000000</v>
      </c>
      <c r="J42" s="1953">
        <v>16000000</v>
      </c>
      <c r="K42" s="1953">
        <v>8000000</v>
      </c>
      <c r="L42" s="1953">
        <v>0</v>
      </c>
      <c r="M42" s="1953">
        <v>0</v>
      </c>
      <c r="N42" s="1953">
        <v>0</v>
      </c>
      <c r="O42" s="1953">
        <v>0</v>
      </c>
    </row>
    <row r="43" ht="15" customHeight="1">
      <c r="A43" t="s" s="1954">
        <v>3758</v>
      </c>
      <c r="B43" t="s" s="1952">
        <v>3759</v>
      </c>
      <c r="C43" s="1953">
        <v>16500000</v>
      </c>
      <c r="D43" s="1953">
        <v>0</v>
      </c>
      <c r="E43" s="1953">
        <v>0</v>
      </c>
      <c r="F43" s="1953">
        <v>0</v>
      </c>
      <c r="G43" s="1953">
        <v>0</v>
      </c>
      <c r="H43" s="1953">
        <v>64000000</v>
      </c>
      <c r="I43" s="1953">
        <v>64000000</v>
      </c>
      <c r="J43" s="1953">
        <v>48000000</v>
      </c>
      <c r="K43" s="1953">
        <v>16000000</v>
      </c>
      <c r="L43" s="1953">
        <v>80000000</v>
      </c>
      <c r="M43" s="1953">
        <v>64000000</v>
      </c>
      <c r="N43" s="1953">
        <v>65500000</v>
      </c>
      <c r="O43" s="1953">
        <v>40000000</v>
      </c>
    </row>
    <row r="44" ht="15" customHeight="1">
      <c r="A44" t="s" s="1954">
        <v>3760</v>
      </c>
      <c r="B44" t="s" s="1952">
        <v>3761</v>
      </c>
      <c r="C44" s="1953">
        <v>119025000</v>
      </c>
      <c r="D44" s="1953">
        <v>138260000</v>
      </c>
      <c r="E44" s="1953">
        <v>114150000</v>
      </c>
      <c r="F44" s="1953">
        <v>131175000</v>
      </c>
      <c r="G44" s="1953">
        <v>164275000</v>
      </c>
      <c r="H44" s="1953">
        <v>170612500</v>
      </c>
      <c r="I44" s="1953">
        <v>169950000</v>
      </c>
      <c r="J44" s="1953">
        <v>157700000</v>
      </c>
      <c r="K44" s="1953">
        <v>170310000</v>
      </c>
      <c r="L44" s="1953">
        <v>147590000</v>
      </c>
      <c r="M44" s="1953">
        <v>136892000</v>
      </c>
      <c r="N44" s="1953">
        <v>150015000</v>
      </c>
      <c r="O44" s="1953">
        <v>146469000</v>
      </c>
    </row>
    <row r="45" ht="15" customHeight="1">
      <c r="A45" t="s" s="1954">
        <v>3762</v>
      </c>
      <c r="B45" t="s" s="1952">
        <v>3763</v>
      </c>
      <c r="C45" s="1953">
        <v>8500000</v>
      </c>
      <c r="D45" s="1953">
        <v>0</v>
      </c>
      <c r="E45" s="1953">
        <v>0</v>
      </c>
      <c r="F45" s="1953">
        <v>0</v>
      </c>
      <c r="G45" s="1953">
        <v>7500000</v>
      </c>
      <c r="H45" s="1953">
        <v>15000000</v>
      </c>
      <c r="I45" s="1953">
        <v>30000000</v>
      </c>
      <c r="J45" s="1953">
        <v>7500000</v>
      </c>
      <c r="K45" s="1953">
        <v>7500000</v>
      </c>
      <c r="L45" s="1953">
        <v>37500000</v>
      </c>
      <c r="M45" s="1953">
        <v>0</v>
      </c>
      <c r="N45" s="1953">
        <v>7500000</v>
      </c>
      <c r="O45" s="1953">
        <v>22518000</v>
      </c>
    </row>
    <row r="46" ht="15" customHeight="1">
      <c r="A46" t="s" s="1954">
        <v>3764</v>
      </c>
      <c r="B46" t="s" s="1952">
        <v>3765</v>
      </c>
      <c r="C46" s="1953">
        <v>82025000</v>
      </c>
      <c r="D46" s="1953">
        <v>118350000</v>
      </c>
      <c r="E46" s="1953">
        <v>66750000</v>
      </c>
      <c r="F46" s="1953">
        <v>160507500</v>
      </c>
      <c r="G46" s="1953">
        <v>173550000</v>
      </c>
      <c r="H46" s="1953">
        <v>180885000</v>
      </c>
      <c r="I46" s="1953">
        <v>199650000</v>
      </c>
      <c r="J46" s="1953">
        <v>186900000</v>
      </c>
      <c r="K46" s="1953">
        <v>180225000</v>
      </c>
      <c r="L46" s="1953">
        <v>196575000</v>
      </c>
      <c r="M46" s="1953">
        <v>147697000</v>
      </c>
      <c r="N46" s="1953">
        <v>139256000</v>
      </c>
      <c r="O46" s="1953">
        <v>134338000</v>
      </c>
    </row>
    <row r="47" ht="15" customHeight="1">
      <c r="A47" t="s" s="1954">
        <v>3933</v>
      </c>
      <c r="B47" t="s" s="1952">
        <v>3934</v>
      </c>
      <c r="C47" s="1953">
        <v>0</v>
      </c>
      <c r="D47" s="1953">
        <v>0</v>
      </c>
      <c r="E47" s="1953">
        <v>0</v>
      </c>
      <c r="F47" s="1953">
        <v>0</v>
      </c>
      <c r="G47" s="1953">
        <v>0</v>
      </c>
      <c r="H47" s="1953">
        <v>0</v>
      </c>
      <c r="I47" s="1953">
        <v>0</v>
      </c>
      <c r="J47" s="1953">
        <v>0</v>
      </c>
      <c r="K47" s="1953">
        <v>0</v>
      </c>
      <c r="L47" s="1953">
        <v>0</v>
      </c>
      <c r="M47" s="1953">
        <v>0</v>
      </c>
      <c r="N47" s="1953">
        <v>23500000</v>
      </c>
      <c r="O47" s="1953">
        <v>16500000</v>
      </c>
    </row>
    <row r="48" ht="15" customHeight="1">
      <c r="A48" t="s" s="1954">
        <v>3766</v>
      </c>
      <c r="B48" t="s" s="1952">
        <v>3767</v>
      </c>
      <c r="C48" s="1953">
        <v>0</v>
      </c>
      <c r="D48" s="1953">
        <v>0</v>
      </c>
      <c r="E48" s="1953">
        <v>0</v>
      </c>
      <c r="F48" s="1953">
        <v>0</v>
      </c>
      <c r="G48" s="1953">
        <v>0</v>
      </c>
      <c r="H48" s="1953">
        <v>0</v>
      </c>
      <c r="I48" s="1953">
        <v>0</v>
      </c>
      <c r="J48" s="1953">
        <v>0</v>
      </c>
      <c r="K48" s="1953">
        <v>0</v>
      </c>
      <c r="L48" s="1953">
        <v>3800000</v>
      </c>
      <c r="M48" s="1953">
        <v>78975000</v>
      </c>
      <c r="N48" s="1953">
        <v>80450000</v>
      </c>
      <c r="O48" s="1953">
        <v>89775000</v>
      </c>
    </row>
    <row r="49" ht="15" customHeight="1">
      <c r="A49" t="s" s="1954">
        <v>3768</v>
      </c>
      <c r="B49" t="s" s="1952">
        <v>3769</v>
      </c>
      <c r="C49" s="1953">
        <v>27325000</v>
      </c>
      <c r="D49" s="1953">
        <v>46000000</v>
      </c>
      <c r="E49" s="1953">
        <v>63075000</v>
      </c>
      <c r="F49" s="1953">
        <v>90900000</v>
      </c>
      <c r="G49" s="1953">
        <v>158600000</v>
      </c>
      <c r="H49" s="1953">
        <v>158300000</v>
      </c>
      <c r="I49" s="1953">
        <v>152025000</v>
      </c>
      <c r="J49" s="1953">
        <v>139475000</v>
      </c>
      <c r="K49" s="1953">
        <v>168450000</v>
      </c>
      <c r="L49" s="1953">
        <v>129625000</v>
      </c>
      <c r="M49" s="1953">
        <v>72061000</v>
      </c>
      <c r="N49" s="1953">
        <v>28231000</v>
      </c>
      <c r="O49" s="1953">
        <v>28071000</v>
      </c>
    </row>
    <row r="50" ht="15" customHeight="1">
      <c r="A50" t="s" s="1954">
        <v>3770</v>
      </c>
      <c r="B50" t="s" s="1952">
        <v>3771</v>
      </c>
      <c r="C50" s="1953">
        <v>5300000</v>
      </c>
      <c r="D50" s="1953">
        <v>33000000</v>
      </c>
      <c r="E50" s="1953">
        <v>17400000</v>
      </c>
      <c r="F50" s="1953">
        <v>34200000</v>
      </c>
      <c r="G50" s="1953">
        <v>33800000</v>
      </c>
      <c r="H50" s="1953">
        <v>73300000</v>
      </c>
      <c r="I50" s="1953">
        <v>110200000</v>
      </c>
      <c r="J50" s="1953">
        <v>5300000</v>
      </c>
      <c r="K50" s="1953">
        <v>0</v>
      </c>
      <c r="L50" s="1953">
        <v>37100000</v>
      </c>
      <c r="M50" s="1953">
        <v>0</v>
      </c>
      <c r="N50" s="1953">
        <v>10600000</v>
      </c>
      <c r="O50" s="1953">
        <v>42400000</v>
      </c>
    </row>
    <row r="51" ht="15" customHeight="1">
      <c r="A51" t="s" s="1954">
        <v>3935</v>
      </c>
      <c r="B51" t="s" s="1952">
        <v>3936</v>
      </c>
      <c r="C51" s="1953">
        <v>0</v>
      </c>
      <c r="D51" s="1953">
        <v>0</v>
      </c>
      <c r="E51" s="1953">
        <v>0</v>
      </c>
      <c r="F51" s="1953">
        <v>0</v>
      </c>
      <c r="G51" s="1953">
        <v>0</v>
      </c>
      <c r="H51" s="1953">
        <v>18000000</v>
      </c>
      <c r="I51" s="1953">
        <v>0</v>
      </c>
      <c r="J51" s="1953">
        <v>0</v>
      </c>
      <c r="K51" s="1953">
        <v>27000000</v>
      </c>
      <c r="L51" s="1953">
        <v>27000000</v>
      </c>
      <c r="M51" s="1953">
        <v>9000000</v>
      </c>
      <c r="N51" s="1953">
        <v>18000000</v>
      </c>
      <c r="O51" s="1953">
        <v>36410000</v>
      </c>
    </row>
    <row r="52" ht="15" customHeight="1">
      <c r="A52" t="s" s="1954">
        <v>3772</v>
      </c>
      <c r="B52" t="s" s="1952">
        <v>3773</v>
      </c>
      <c r="C52" s="1953">
        <v>3000000</v>
      </c>
      <c r="D52" s="1953">
        <v>1800000</v>
      </c>
      <c r="E52" s="1953">
        <v>2800000</v>
      </c>
      <c r="F52" s="1953">
        <v>600000</v>
      </c>
      <c r="G52" s="1953">
        <v>600000</v>
      </c>
      <c r="H52" s="1953">
        <v>5000000</v>
      </c>
      <c r="I52" s="1953">
        <v>0</v>
      </c>
      <c r="J52" s="1953">
        <v>6265000</v>
      </c>
      <c r="K52" s="1953">
        <v>3330000</v>
      </c>
      <c r="L52" s="1953">
        <v>6820000</v>
      </c>
      <c r="M52" s="1953">
        <v>820000</v>
      </c>
      <c r="N52" s="1953">
        <v>14143374</v>
      </c>
      <c r="O52" s="1953">
        <v>1590000</v>
      </c>
    </row>
    <row r="53" ht="15" customHeight="1">
      <c r="A53" t="s" s="1954">
        <v>3774</v>
      </c>
      <c r="B53" t="s" s="1952">
        <v>3775</v>
      </c>
      <c r="C53" s="1953">
        <v>100275000</v>
      </c>
      <c r="D53" s="1953">
        <v>70400000</v>
      </c>
      <c r="E53" s="1953">
        <v>59400000</v>
      </c>
      <c r="F53" s="1953">
        <v>115080000</v>
      </c>
      <c r="G53" s="1953">
        <v>153525000</v>
      </c>
      <c r="H53" s="1953">
        <v>180225000</v>
      </c>
      <c r="I53" s="1953">
        <v>186900000</v>
      </c>
      <c r="J53" s="1953">
        <v>166875000</v>
      </c>
      <c r="K53" s="1953">
        <v>186900000</v>
      </c>
      <c r="L53" s="1953">
        <v>109560000</v>
      </c>
      <c r="M53" s="1953">
        <v>36250000</v>
      </c>
      <c r="N53" s="1953">
        <v>29000000</v>
      </c>
      <c r="O53" s="1953">
        <v>0</v>
      </c>
    </row>
    <row r="54" ht="15" customHeight="1">
      <c r="A54" t="s" s="1954">
        <v>3776</v>
      </c>
      <c r="B54" t="s" s="1952">
        <v>3777</v>
      </c>
      <c r="C54" s="1953">
        <v>160711000</v>
      </c>
      <c r="D54" s="1953">
        <v>215276000</v>
      </c>
      <c r="E54" s="1953">
        <v>188198000</v>
      </c>
      <c r="F54" s="1953">
        <v>131082000</v>
      </c>
      <c r="G54" s="1953">
        <v>269930000</v>
      </c>
      <c r="H54" s="1953">
        <v>253954000</v>
      </c>
      <c r="I54" s="1953">
        <v>290355000</v>
      </c>
      <c r="J54" s="1953">
        <v>300503000</v>
      </c>
      <c r="K54" s="1953">
        <v>232555000</v>
      </c>
      <c r="L54" s="1953">
        <v>146223000</v>
      </c>
      <c r="M54" s="1953">
        <v>81093000</v>
      </c>
      <c r="N54" s="1953">
        <v>103377000</v>
      </c>
      <c r="O54" s="1953">
        <v>124298000</v>
      </c>
    </row>
    <row r="55" ht="15" customHeight="1">
      <c r="A55" t="s" s="1954">
        <v>3778</v>
      </c>
      <c r="B55" t="s" s="1952">
        <v>3779</v>
      </c>
      <c r="C55" s="1953">
        <v>156960000</v>
      </c>
      <c r="D55" s="1953">
        <v>184800000</v>
      </c>
      <c r="E55" s="1953">
        <v>206400000</v>
      </c>
      <c r="F55" s="1953">
        <v>284640000</v>
      </c>
      <c r="G55" s="1953">
        <v>313440000</v>
      </c>
      <c r="H55" s="1953">
        <v>362880000</v>
      </c>
      <c r="I55" s="1953">
        <v>365280000</v>
      </c>
      <c r="J55" s="1953">
        <v>296640000</v>
      </c>
      <c r="K55" s="1953">
        <v>266400000</v>
      </c>
      <c r="L55" s="1953">
        <v>197830000</v>
      </c>
      <c r="M55" s="1953">
        <v>126720000</v>
      </c>
      <c r="N55" s="1953">
        <v>127400000</v>
      </c>
      <c r="O55" s="1953">
        <v>125700000</v>
      </c>
    </row>
    <row r="56" ht="15" customHeight="1">
      <c r="A56" t="s" s="1954">
        <v>3780</v>
      </c>
      <c r="B56" t="s" s="1952">
        <v>3781</v>
      </c>
      <c r="C56" s="1953">
        <v>19650000</v>
      </c>
      <c r="D56" s="1953">
        <v>21450000</v>
      </c>
      <c r="E56" s="1953">
        <v>24300000</v>
      </c>
      <c r="F56" s="1953">
        <v>35100000</v>
      </c>
      <c r="G56" s="1953">
        <v>31950000</v>
      </c>
      <c r="H56" s="1953">
        <v>31650000</v>
      </c>
      <c r="I56" s="1953">
        <v>37050000</v>
      </c>
      <c r="J56" s="1953">
        <v>32400000</v>
      </c>
      <c r="K56" s="1953">
        <v>22050000</v>
      </c>
      <c r="L56" s="1953">
        <v>21600000</v>
      </c>
      <c r="M56" s="1953">
        <v>12550000</v>
      </c>
      <c r="N56" s="1953">
        <v>8475000</v>
      </c>
      <c r="O56" s="1953">
        <v>17700000</v>
      </c>
    </row>
    <row r="57" ht="15" customHeight="1">
      <c r="A57" t="s" s="1954">
        <v>3937</v>
      </c>
      <c r="B57" t="s" s="1952">
        <v>3938</v>
      </c>
      <c r="C57" s="1953">
        <v>0</v>
      </c>
      <c r="D57" s="1953">
        <v>0</v>
      </c>
      <c r="E57" s="1953">
        <v>0</v>
      </c>
      <c r="F57" s="1953">
        <v>0</v>
      </c>
      <c r="G57" s="1953">
        <v>0</v>
      </c>
      <c r="H57" s="1953">
        <v>0</v>
      </c>
      <c r="I57" s="1953">
        <v>0</v>
      </c>
      <c r="J57" s="1953">
        <v>0</v>
      </c>
      <c r="K57" s="1953">
        <v>0</v>
      </c>
      <c r="L57" s="1953">
        <v>0</v>
      </c>
      <c r="M57" s="1953">
        <v>250000</v>
      </c>
      <c r="N57" s="1953">
        <v>0</v>
      </c>
      <c r="O57" s="1953">
        <v>0</v>
      </c>
    </row>
    <row r="58" ht="15" customHeight="1">
      <c r="A58" t="s" s="1954">
        <v>3939</v>
      </c>
      <c r="B58" t="s" s="1952">
        <v>3940</v>
      </c>
      <c r="C58" s="1953">
        <v>0</v>
      </c>
      <c r="D58" s="1953">
        <v>0</v>
      </c>
      <c r="E58" s="1953">
        <v>0</v>
      </c>
      <c r="F58" s="1953">
        <v>0</v>
      </c>
      <c r="G58" s="1953">
        <v>0</v>
      </c>
      <c r="H58" s="1953">
        <v>0</v>
      </c>
      <c r="I58" s="1953">
        <v>0</v>
      </c>
      <c r="J58" s="1953">
        <v>0</v>
      </c>
      <c r="K58" s="1953">
        <v>0</v>
      </c>
      <c r="L58" s="1953">
        <v>83000000</v>
      </c>
      <c r="M58" s="1953">
        <v>25000000</v>
      </c>
      <c r="N58" s="1953">
        <v>26350000</v>
      </c>
      <c r="O58" s="1953">
        <v>0</v>
      </c>
    </row>
    <row r="59" ht="15" customHeight="1">
      <c r="A59" t="s" s="1954">
        <v>3782</v>
      </c>
      <c r="B59" t="s" s="1952">
        <v>3783</v>
      </c>
      <c r="C59" s="1953">
        <v>275764500</v>
      </c>
      <c r="D59" s="1953">
        <v>301017500</v>
      </c>
      <c r="E59" s="1953">
        <v>333000000</v>
      </c>
      <c r="F59" s="1953">
        <v>473650000</v>
      </c>
      <c r="G59" s="1953">
        <v>549060000</v>
      </c>
      <c r="H59" s="1953">
        <v>601647500</v>
      </c>
      <c r="I59" s="1953">
        <v>702775000</v>
      </c>
      <c r="J59" s="1953">
        <v>542625000</v>
      </c>
      <c r="K59" s="1953">
        <v>371348000</v>
      </c>
      <c r="L59" s="1953">
        <v>213178100</v>
      </c>
      <c r="M59" s="1953">
        <v>120000</v>
      </c>
      <c r="N59" s="1953">
        <v>0</v>
      </c>
      <c r="O59" s="1953">
        <v>28800000</v>
      </c>
    </row>
    <row r="60" ht="15" customHeight="1">
      <c r="A60" t="s" s="1954">
        <v>3784</v>
      </c>
      <c r="B60" t="s" s="1952">
        <v>3785</v>
      </c>
      <c r="C60" s="1953">
        <v>110943684</v>
      </c>
      <c r="D60" s="1953">
        <v>27875018</v>
      </c>
      <c r="E60" s="1953">
        <v>25435507</v>
      </c>
      <c r="F60" s="1953">
        <v>39901297</v>
      </c>
      <c r="G60" s="1953">
        <v>15494858</v>
      </c>
      <c r="H60" s="1953">
        <v>108489343</v>
      </c>
      <c r="I60" s="1953">
        <v>29807415</v>
      </c>
      <c r="J60" s="1953">
        <v>113308375</v>
      </c>
      <c r="K60" s="1953">
        <v>77469806</v>
      </c>
      <c r="L60" s="1953">
        <v>93177530</v>
      </c>
      <c r="M60" s="1953">
        <v>170325960</v>
      </c>
      <c r="N60" s="1953">
        <v>126840553</v>
      </c>
      <c r="O60" s="1953">
        <v>145855747</v>
      </c>
    </row>
    <row r="61" ht="15" customHeight="1">
      <c r="A61" t="s" s="1954">
        <v>3786</v>
      </c>
      <c r="B61" t="s" s="1952">
        <v>3787</v>
      </c>
      <c r="C61" s="1953">
        <v>92023392</v>
      </c>
      <c r="D61" s="1953">
        <v>139469504</v>
      </c>
      <c r="E61" s="1953">
        <v>137657778</v>
      </c>
      <c r="F61" s="1953">
        <v>170126025</v>
      </c>
      <c r="G61" s="1953">
        <v>176061607</v>
      </c>
      <c r="H61" s="1953">
        <v>191437637</v>
      </c>
      <c r="I61" s="1953">
        <v>188121734</v>
      </c>
      <c r="J61" s="1953">
        <v>188163045</v>
      </c>
      <c r="K61" s="1953">
        <v>116926197.17</v>
      </c>
      <c r="L61" s="1953">
        <v>72900833</v>
      </c>
      <c r="M61" s="1953">
        <v>69594127</v>
      </c>
      <c r="N61" s="1953">
        <v>68737170</v>
      </c>
      <c r="O61" s="1953">
        <v>71617999</v>
      </c>
    </row>
    <row r="62" ht="15" customHeight="1">
      <c r="A62" t="s" s="1954">
        <v>3941</v>
      </c>
      <c r="B62" t="s" s="1952">
        <v>3942</v>
      </c>
      <c r="C62" s="1953">
        <v>0</v>
      </c>
      <c r="D62" s="1953">
        <v>0</v>
      </c>
      <c r="E62" s="1953">
        <v>0</v>
      </c>
      <c r="F62" s="1953">
        <v>0</v>
      </c>
      <c r="G62" s="1953">
        <v>0</v>
      </c>
      <c r="H62" s="1953">
        <v>0</v>
      </c>
      <c r="I62" s="1953">
        <v>0</v>
      </c>
      <c r="J62" s="1953">
        <v>0</v>
      </c>
      <c r="K62" s="1953">
        <v>0</v>
      </c>
      <c r="L62" s="1953">
        <v>0</v>
      </c>
      <c r="M62" s="1953">
        <v>0</v>
      </c>
      <c r="N62" s="1953">
        <v>2792898</v>
      </c>
      <c r="O62" s="1953">
        <v>16922550</v>
      </c>
    </row>
    <row r="63" ht="15" customHeight="1">
      <c r="A63" t="s" s="1954">
        <v>3788</v>
      </c>
      <c r="B63" t="s" s="1952">
        <v>3789</v>
      </c>
      <c r="C63" s="1953">
        <v>207009925</v>
      </c>
      <c r="D63" s="1953">
        <v>235222790</v>
      </c>
      <c r="E63" s="1953">
        <v>249688620</v>
      </c>
      <c r="F63" s="1953">
        <v>358921375</v>
      </c>
      <c r="G63" s="1953">
        <v>417349500</v>
      </c>
      <c r="H63" s="1953">
        <v>486609875</v>
      </c>
      <c r="I63" s="1953">
        <v>469765000</v>
      </c>
      <c r="J63" s="1953">
        <v>372025000</v>
      </c>
      <c r="K63" s="1953">
        <v>318100000</v>
      </c>
      <c r="L63" s="1953">
        <v>254100004</v>
      </c>
      <c r="M63" s="1953">
        <v>159000000</v>
      </c>
      <c r="N63" s="1953">
        <v>153275000</v>
      </c>
      <c r="O63" s="1953">
        <v>189250000</v>
      </c>
    </row>
    <row r="64" ht="15" customHeight="1">
      <c r="A64" t="s" s="1954">
        <v>3790</v>
      </c>
      <c r="B64" t="s" s="1952">
        <v>3791</v>
      </c>
      <c r="C64" s="1953">
        <v>31237500</v>
      </c>
      <c r="D64" s="1953">
        <v>51925000</v>
      </c>
      <c r="E64" s="1953">
        <v>29250000</v>
      </c>
      <c r="F64" s="1953">
        <v>15800000</v>
      </c>
      <c r="G64" s="1953">
        <v>57750000</v>
      </c>
      <c r="H64" s="1953">
        <v>120150000</v>
      </c>
      <c r="I64" s="1953">
        <v>0</v>
      </c>
      <c r="J64" s="1953">
        <v>30800000</v>
      </c>
      <c r="K64" s="1953">
        <v>20000000</v>
      </c>
      <c r="L64" s="1953">
        <v>17800000</v>
      </c>
      <c r="M64" s="1953">
        <v>12000000</v>
      </c>
      <c r="N64" s="1953">
        <v>0</v>
      </c>
      <c r="O64" s="1953">
        <v>18400000</v>
      </c>
    </row>
    <row r="65" ht="15" customHeight="1">
      <c r="A65" t="s" s="1954">
        <v>3792</v>
      </c>
      <c r="B65" t="s" s="1952">
        <v>3793</v>
      </c>
      <c r="C65" s="1953">
        <v>501984</v>
      </c>
      <c r="D65" s="1953">
        <v>35042320.16</v>
      </c>
      <c r="E65" s="1953">
        <v>1262500</v>
      </c>
      <c r="F65" s="1953">
        <v>53465812.5</v>
      </c>
      <c r="G65" s="1953">
        <v>24000000</v>
      </c>
      <c r="H65" s="1953">
        <v>43140000</v>
      </c>
      <c r="I65" s="1953">
        <v>41136000</v>
      </c>
      <c r="J65" s="1953">
        <v>20162000</v>
      </c>
      <c r="K65" s="1953">
        <v>17370000</v>
      </c>
      <c r="L65" s="1953">
        <v>17469800</v>
      </c>
      <c r="M65" s="1953">
        <v>5050000</v>
      </c>
      <c r="N65" s="1953">
        <v>4780000</v>
      </c>
      <c r="O65" s="1953">
        <v>11967500</v>
      </c>
    </row>
    <row r="66" ht="15" customHeight="1">
      <c r="A66" t="s" s="1954">
        <v>3943</v>
      </c>
      <c r="B66" t="s" s="1952">
        <v>3944</v>
      </c>
      <c r="C66" s="1953">
        <v>0</v>
      </c>
      <c r="D66" s="1953">
        <v>0</v>
      </c>
      <c r="E66" s="1953">
        <v>0</v>
      </c>
      <c r="F66" s="1953">
        <v>0</v>
      </c>
      <c r="G66" s="1953">
        <v>0</v>
      </c>
      <c r="H66" s="1953">
        <v>15400000</v>
      </c>
      <c r="I66" s="1953">
        <v>77000000</v>
      </c>
      <c r="J66" s="1953">
        <v>0</v>
      </c>
      <c r="K66" s="1953">
        <v>46200000</v>
      </c>
      <c r="L66" s="1953">
        <v>24000000</v>
      </c>
      <c r="M66" s="1953">
        <v>0</v>
      </c>
      <c r="N66" s="1953">
        <v>38000000</v>
      </c>
      <c r="O66" s="1953">
        <v>0</v>
      </c>
    </row>
    <row r="67" ht="15" customHeight="1">
      <c r="A67" t="s" s="1954">
        <v>3794</v>
      </c>
      <c r="B67" t="s" s="1952">
        <v>3795</v>
      </c>
      <c r="C67" s="1953">
        <v>0</v>
      </c>
      <c r="D67" s="1953">
        <v>32400000</v>
      </c>
      <c r="E67" s="1953">
        <v>0</v>
      </c>
      <c r="F67" s="1953">
        <v>0</v>
      </c>
      <c r="G67" s="1953">
        <v>0</v>
      </c>
      <c r="H67" s="1953">
        <v>47100000</v>
      </c>
      <c r="I67" s="1953">
        <v>39780000</v>
      </c>
      <c r="J67" s="1953">
        <v>41310000</v>
      </c>
      <c r="K67" s="1953">
        <v>0</v>
      </c>
      <c r="L67" s="1953">
        <v>52070000</v>
      </c>
      <c r="M67" s="1953">
        <v>49570000</v>
      </c>
      <c r="N67" s="1953">
        <v>0</v>
      </c>
      <c r="O67" s="1953">
        <v>0</v>
      </c>
    </row>
    <row r="68" ht="15" customHeight="1">
      <c r="A68" t="s" s="1954">
        <v>3945</v>
      </c>
      <c r="B68" t="s" s="1952">
        <v>3946</v>
      </c>
      <c r="C68" s="1953">
        <v>0</v>
      </c>
      <c r="D68" s="1953">
        <v>0</v>
      </c>
      <c r="E68" s="1953">
        <v>0</v>
      </c>
      <c r="F68" s="1953">
        <v>0</v>
      </c>
      <c r="G68" s="1953">
        <v>0</v>
      </c>
      <c r="H68" s="1953">
        <v>0</v>
      </c>
      <c r="I68" s="1953">
        <v>37740000</v>
      </c>
      <c r="J68" s="1953">
        <v>0</v>
      </c>
      <c r="K68" s="1953">
        <v>47175000</v>
      </c>
      <c r="L68" s="1953">
        <v>17000000</v>
      </c>
      <c r="M68" s="1953">
        <v>0</v>
      </c>
      <c r="N68" s="1953">
        <v>0</v>
      </c>
      <c r="O68" s="1953">
        <v>0</v>
      </c>
    </row>
    <row r="69" ht="15" customHeight="1">
      <c r="A69" t="s" s="1954">
        <v>3796</v>
      </c>
      <c r="B69" t="s" s="1952">
        <v>3797</v>
      </c>
      <c r="C69" s="1953">
        <v>24000000</v>
      </c>
      <c r="D69" s="1953">
        <v>0</v>
      </c>
      <c r="E69" s="1953">
        <v>25000000</v>
      </c>
      <c r="F69" s="1953">
        <v>0</v>
      </c>
      <c r="G69" s="1953">
        <v>50000000</v>
      </c>
      <c r="H69" s="1953">
        <v>108000000</v>
      </c>
      <c r="I69" s="1953">
        <v>0</v>
      </c>
      <c r="J69" s="1953">
        <v>123000000</v>
      </c>
      <c r="K69" s="1953">
        <v>100000000</v>
      </c>
      <c r="L69" s="1953">
        <v>64050000</v>
      </c>
      <c r="M69" s="1953">
        <v>0</v>
      </c>
      <c r="N69" s="1953">
        <v>0</v>
      </c>
      <c r="O69" s="1953">
        <v>0</v>
      </c>
    </row>
    <row r="70" ht="15" customHeight="1">
      <c r="A70" t="s" s="1954">
        <v>3798</v>
      </c>
      <c r="B70" t="s" s="1952">
        <v>3799</v>
      </c>
      <c r="C70" s="1953">
        <v>85662500</v>
      </c>
      <c r="D70" s="1953">
        <v>0</v>
      </c>
      <c r="E70" s="1953">
        <v>34362500</v>
      </c>
      <c r="F70" s="1953">
        <v>205450000</v>
      </c>
      <c r="G70" s="1953">
        <v>198387500</v>
      </c>
      <c r="H70" s="1953">
        <v>188781250</v>
      </c>
      <c r="I70" s="1953">
        <v>325296250</v>
      </c>
      <c r="J70" s="1953">
        <v>141960000</v>
      </c>
      <c r="K70" s="1953">
        <v>18000000</v>
      </c>
      <c r="L70" s="1953">
        <v>0</v>
      </c>
      <c r="M70" s="1953">
        <v>0</v>
      </c>
      <c r="N70" s="1953">
        <v>0</v>
      </c>
      <c r="O70" s="1953">
        <v>0</v>
      </c>
    </row>
    <row r="71" ht="15" customHeight="1">
      <c r="A71" t="s" s="1954">
        <v>3800</v>
      </c>
      <c r="B71" t="s" s="1952">
        <v>3801</v>
      </c>
      <c r="C71" s="1953">
        <v>19500000</v>
      </c>
      <c r="D71" s="1953">
        <v>0</v>
      </c>
      <c r="E71" s="1953">
        <v>36000000</v>
      </c>
      <c r="F71" s="1953">
        <v>18000000</v>
      </c>
      <c r="G71" s="1953">
        <v>0</v>
      </c>
      <c r="H71" s="1953">
        <v>90000000</v>
      </c>
      <c r="I71" s="1953">
        <v>18000000</v>
      </c>
      <c r="J71" s="1953">
        <v>0</v>
      </c>
      <c r="K71" s="1953">
        <v>0</v>
      </c>
      <c r="L71" s="1953">
        <v>0</v>
      </c>
      <c r="M71" s="1953">
        <v>0</v>
      </c>
      <c r="N71" s="1953">
        <v>0</v>
      </c>
      <c r="O71" s="1953">
        <v>0</v>
      </c>
    </row>
    <row r="72" ht="15" customHeight="1">
      <c r="A72" t="s" s="1954">
        <v>3947</v>
      </c>
      <c r="B72" t="s" s="1952">
        <v>3948</v>
      </c>
      <c r="C72" s="1953">
        <v>0</v>
      </c>
      <c r="D72" s="1953">
        <v>0</v>
      </c>
      <c r="E72" s="1953">
        <v>0</v>
      </c>
      <c r="F72" s="1953">
        <v>0</v>
      </c>
      <c r="G72" s="1953">
        <v>0</v>
      </c>
      <c r="H72" s="1953">
        <v>0</v>
      </c>
      <c r="I72" s="1953">
        <v>0</v>
      </c>
      <c r="J72" s="1953">
        <v>600000</v>
      </c>
      <c r="K72" s="1953">
        <v>0</v>
      </c>
      <c r="L72" s="1953">
        <v>0</v>
      </c>
      <c r="M72" s="1953">
        <v>0</v>
      </c>
      <c r="N72" s="1953">
        <v>0</v>
      </c>
      <c r="O72" s="1953">
        <v>0</v>
      </c>
    </row>
    <row r="73" ht="15" customHeight="1">
      <c r="A73" t="s" s="1954">
        <v>3802</v>
      </c>
      <c r="B73" t="s" s="1952">
        <v>3803</v>
      </c>
      <c r="C73" s="1953">
        <v>81750000</v>
      </c>
      <c r="D73" s="1953">
        <v>155300000</v>
      </c>
      <c r="E73" s="1953">
        <v>125250000</v>
      </c>
      <c r="F73" s="1953">
        <v>191600000</v>
      </c>
      <c r="G73" s="1953">
        <v>193700000</v>
      </c>
      <c r="H73" s="1953">
        <v>257250000</v>
      </c>
      <c r="I73" s="1953">
        <v>212950000</v>
      </c>
      <c r="J73" s="1953">
        <v>0</v>
      </c>
      <c r="K73" s="1953">
        <v>0</v>
      </c>
      <c r="L73" s="1953">
        <v>0</v>
      </c>
      <c r="M73" s="1953">
        <v>0</v>
      </c>
      <c r="N73" s="1953">
        <v>0</v>
      </c>
      <c r="O73" s="1953">
        <v>0</v>
      </c>
    </row>
    <row r="74" ht="15" customHeight="1">
      <c r="A74" t="s" s="1954">
        <v>3804</v>
      </c>
      <c r="B74" t="s" s="1952">
        <v>3805</v>
      </c>
      <c r="C74" s="1953">
        <v>29700000</v>
      </c>
      <c r="D74" s="1953">
        <v>0</v>
      </c>
      <c r="E74" s="1953">
        <v>0</v>
      </c>
      <c r="F74" s="1953">
        <v>0</v>
      </c>
      <c r="G74" s="1953">
        <v>29700000</v>
      </c>
      <c r="H74" s="1953">
        <v>29700000</v>
      </c>
      <c r="I74" s="1953">
        <v>0</v>
      </c>
      <c r="J74" s="1953">
        <v>0</v>
      </c>
      <c r="K74" s="1953">
        <v>0</v>
      </c>
      <c r="L74" s="1953">
        <v>0</v>
      </c>
      <c r="M74" s="1953">
        <v>0</v>
      </c>
      <c r="N74" s="1953">
        <v>0</v>
      </c>
      <c r="O74" s="1953">
        <v>0</v>
      </c>
    </row>
    <row r="75" ht="15" customHeight="1">
      <c r="A75" t="s" s="1954">
        <v>3806</v>
      </c>
      <c r="B75" t="s" s="1952">
        <v>3807</v>
      </c>
      <c r="C75" s="1953">
        <v>0</v>
      </c>
      <c r="D75" s="1953">
        <v>0</v>
      </c>
      <c r="E75" s="1953">
        <v>14500000</v>
      </c>
      <c r="F75" s="1953">
        <v>0</v>
      </c>
      <c r="G75" s="1953">
        <v>0</v>
      </c>
      <c r="H75" s="1953">
        <v>0</v>
      </c>
      <c r="I75" s="1953">
        <v>1000000</v>
      </c>
      <c r="J75" s="1953">
        <v>108000000</v>
      </c>
      <c r="K75" s="1953">
        <v>0</v>
      </c>
      <c r="L75" s="1953">
        <v>36000000</v>
      </c>
      <c r="M75" s="1953">
        <v>0</v>
      </c>
      <c r="N75" s="1953">
        <v>0</v>
      </c>
      <c r="O75" s="1953">
        <v>0</v>
      </c>
    </row>
    <row r="76" ht="15" customHeight="1">
      <c r="A76" t="s" s="1954">
        <v>3808</v>
      </c>
      <c r="B76" t="s" s="1952">
        <v>3809</v>
      </c>
      <c r="C76" s="1953">
        <v>121126102</v>
      </c>
      <c r="D76" s="1953">
        <v>121675000</v>
      </c>
      <c r="E76" s="1953">
        <v>129000000</v>
      </c>
      <c r="F76" s="1953">
        <v>78800000</v>
      </c>
      <c r="G76" s="1953">
        <v>228900000</v>
      </c>
      <c r="H76" s="1953">
        <v>90600000</v>
      </c>
      <c r="I76" s="1953">
        <v>126860000</v>
      </c>
      <c r="J76" s="1953">
        <v>127850000</v>
      </c>
      <c r="K76" s="1953">
        <v>0</v>
      </c>
      <c r="L76" s="1953">
        <v>0</v>
      </c>
      <c r="M76" s="1953">
        <v>0</v>
      </c>
      <c r="N76" s="1953">
        <v>0</v>
      </c>
      <c r="O76" s="1953">
        <v>0</v>
      </c>
    </row>
    <row r="77" ht="15" customHeight="1">
      <c r="A77" t="s" s="1954">
        <v>3810</v>
      </c>
      <c r="B77" t="s" s="1952">
        <v>3811</v>
      </c>
      <c r="C77" s="1953">
        <v>162450000</v>
      </c>
      <c r="D77" s="1953">
        <v>184650000</v>
      </c>
      <c r="E77" s="1953">
        <v>162350000</v>
      </c>
      <c r="F77" s="1953">
        <v>198800000</v>
      </c>
      <c r="G77" s="1953">
        <v>206500000</v>
      </c>
      <c r="H77" s="1953">
        <v>156500000</v>
      </c>
      <c r="I77" s="1953">
        <v>183660000</v>
      </c>
      <c r="J77" s="1953">
        <v>0</v>
      </c>
      <c r="K77" s="1953">
        <v>0</v>
      </c>
      <c r="L77" s="1953">
        <v>0</v>
      </c>
      <c r="M77" s="1953">
        <v>0</v>
      </c>
      <c r="N77" s="1953">
        <v>0</v>
      </c>
      <c r="O77" s="1953">
        <v>0</v>
      </c>
    </row>
    <row r="78" ht="15" customHeight="1">
      <c r="A78" t="s" s="1954">
        <v>3812</v>
      </c>
      <c r="B78" t="s" s="1952">
        <v>3813</v>
      </c>
      <c r="C78" s="1953">
        <v>490000</v>
      </c>
      <c r="D78" s="1953">
        <v>1140000</v>
      </c>
      <c r="E78" s="1953">
        <v>2252500</v>
      </c>
      <c r="F78" s="1953">
        <v>3480000</v>
      </c>
      <c r="G78" s="1953">
        <v>5940000</v>
      </c>
      <c r="H78" s="1953">
        <v>3150000</v>
      </c>
      <c r="I78" s="1953">
        <v>16905000</v>
      </c>
      <c r="J78" s="1953">
        <v>0</v>
      </c>
      <c r="K78" s="1953">
        <v>0</v>
      </c>
      <c r="L78" s="1953">
        <v>0</v>
      </c>
      <c r="M78" s="1953">
        <v>0</v>
      </c>
      <c r="N78" s="1953">
        <v>0</v>
      </c>
      <c r="O78" s="1953">
        <v>0</v>
      </c>
    </row>
    <row r="79" ht="15" customHeight="1">
      <c r="A79" t="s" s="1954">
        <v>3949</v>
      </c>
      <c r="B79" t="s" s="1952">
        <v>3950</v>
      </c>
      <c r="C79" s="1953">
        <v>0</v>
      </c>
      <c r="D79" s="1953">
        <v>0</v>
      </c>
      <c r="E79" s="1953">
        <v>0</v>
      </c>
      <c r="F79" s="1953">
        <v>0</v>
      </c>
      <c r="G79" s="1953">
        <v>0</v>
      </c>
      <c r="H79" s="1953">
        <v>11000000</v>
      </c>
      <c r="I79" s="1953">
        <v>0</v>
      </c>
      <c r="J79" s="1953">
        <v>0</v>
      </c>
      <c r="K79" s="1953">
        <v>0</v>
      </c>
      <c r="L79" s="1953">
        <v>0</v>
      </c>
      <c r="M79" s="1953">
        <v>0</v>
      </c>
      <c r="N79" s="1953">
        <v>0</v>
      </c>
      <c r="O79" s="1953">
        <v>0</v>
      </c>
    </row>
    <row r="80" ht="15" customHeight="1">
      <c r="A80" t="s" s="1954">
        <v>3814</v>
      </c>
      <c r="B80" t="s" s="1952">
        <v>3815</v>
      </c>
      <c r="C80" s="1953">
        <v>0</v>
      </c>
      <c r="D80" s="1953">
        <v>0</v>
      </c>
      <c r="E80" s="1953">
        <v>0</v>
      </c>
      <c r="F80" s="1953">
        <v>0</v>
      </c>
      <c r="G80" s="1953">
        <v>0</v>
      </c>
      <c r="H80" s="1953">
        <v>24000000</v>
      </c>
      <c r="I80" s="1953">
        <v>0</v>
      </c>
      <c r="J80" s="1953">
        <v>0</v>
      </c>
      <c r="K80" s="1953">
        <v>0</v>
      </c>
      <c r="L80" s="1953">
        <v>0</v>
      </c>
      <c r="M80" s="1953">
        <v>0</v>
      </c>
      <c r="N80" s="1953">
        <v>0</v>
      </c>
      <c r="O80" s="1953">
        <v>0</v>
      </c>
    </row>
    <row r="81" ht="15" customHeight="1">
      <c r="A81" t="s" s="1954">
        <v>3816</v>
      </c>
      <c r="B81" t="s" s="1952">
        <v>3817</v>
      </c>
      <c r="C81" s="1953">
        <v>99000000</v>
      </c>
      <c r="D81" s="1953">
        <v>33000000</v>
      </c>
      <c r="E81" s="1953">
        <v>0</v>
      </c>
      <c r="F81" s="1953">
        <v>0</v>
      </c>
      <c r="G81" s="1953">
        <v>89000000</v>
      </c>
      <c r="H81" s="1953">
        <v>66000000</v>
      </c>
      <c r="I81" s="1953">
        <v>0</v>
      </c>
      <c r="J81" s="1953">
        <v>0</v>
      </c>
      <c r="K81" s="1953">
        <v>0</v>
      </c>
      <c r="L81" s="1953">
        <v>0</v>
      </c>
      <c r="M81" s="1953">
        <v>0</v>
      </c>
      <c r="N81" s="1953">
        <v>0</v>
      </c>
      <c r="O81" s="1953">
        <v>0</v>
      </c>
    </row>
    <row r="82" ht="15" customHeight="1">
      <c r="A82" t="s" s="1954">
        <v>3820</v>
      </c>
      <c r="B82" t="s" s="1952">
        <v>3821</v>
      </c>
      <c r="C82" s="1953">
        <v>27300000</v>
      </c>
      <c r="D82" s="1953">
        <v>0</v>
      </c>
      <c r="E82" s="1953">
        <v>0</v>
      </c>
      <c r="F82" s="1953">
        <v>0</v>
      </c>
      <c r="G82" s="1953">
        <v>0</v>
      </c>
      <c r="H82" s="1953">
        <v>0</v>
      </c>
      <c r="I82" s="1953">
        <v>0</v>
      </c>
      <c r="J82" s="1953">
        <v>0</v>
      </c>
      <c r="K82" s="1953">
        <v>0</v>
      </c>
      <c r="L82" s="1953">
        <v>0</v>
      </c>
      <c r="M82" s="1953">
        <v>0</v>
      </c>
      <c r="N82" s="1953">
        <v>0</v>
      </c>
      <c r="O82" s="1953">
        <v>0</v>
      </c>
    </row>
    <row r="83" ht="15" customHeight="1">
      <c r="A83" t="s" s="1954">
        <v>3822</v>
      </c>
      <c r="B83" t="s" s="1952">
        <v>1086</v>
      </c>
      <c r="C83" s="1953">
        <v>69770500</v>
      </c>
      <c r="D83" s="1953">
        <v>71552000</v>
      </c>
      <c r="E83" s="1953">
        <v>58326000</v>
      </c>
      <c r="F83" s="1953">
        <v>65689000</v>
      </c>
      <c r="G83" s="1953">
        <v>70222500</v>
      </c>
      <c r="H83" s="1953">
        <v>74387209</v>
      </c>
      <c r="I83" s="1953">
        <v>83388065</v>
      </c>
      <c r="J83" s="1953">
        <v>95585500</v>
      </c>
      <c r="K83" s="1953">
        <v>70500000</v>
      </c>
      <c r="L83" s="1953">
        <v>62300000</v>
      </c>
      <c r="M83" s="1953">
        <v>55100000</v>
      </c>
      <c r="N83" s="1953">
        <v>54800000</v>
      </c>
      <c r="O83" s="1953">
        <v>55700000</v>
      </c>
    </row>
    <row r="84" ht="15" customHeight="1">
      <c r="A84" t="s" s="1954">
        <v>3823</v>
      </c>
      <c r="B84" t="s" s="1952">
        <v>3824</v>
      </c>
      <c r="C84" s="1953">
        <v>265150000</v>
      </c>
      <c r="D84" s="1953">
        <v>286525000</v>
      </c>
      <c r="E84" s="1953">
        <v>343060000</v>
      </c>
      <c r="F84" s="1953">
        <v>433140000</v>
      </c>
      <c r="G84" s="1953">
        <v>489745000</v>
      </c>
      <c r="H84" s="1953">
        <v>552960000</v>
      </c>
      <c r="I84" s="1953">
        <v>545630000</v>
      </c>
      <c r="J84" s="1953">
        <v>417526000</v>
      </c>
      <c r="K84" s="1953">
        <v>364530000</v>
      </c>
      <c r="L84" s="1953">
        <v>292180006</v>
      </c>
      <c r="M84" s="1953">
        <v>189201500</v>
      </c>
      <c r="N84" s="1953">
        <v>181380000</v>
      </c>
      <c r="O84" s="1953">
        <v>219424600</v>
      </c>
    </row>
    <row r="85" ht="15" customHeight="1">
      <c r="A85" t="s" s="1954">
        <v>3825</v>
      </c>
      <c r="B85" t="s" s="1952">
        <v>3826</v>
      </c>
      <c r="C85" s="1953">
        <v>21020000</v>
      </c>
      <c r="D85" s="1953">
        <v>24140000</v>
      </c>
      <c r="E85" s="1953">
        <v>31200000</v>
      </c>
      <c r="F85" s="1953">
        <v>40990000</v>
      </c>
      <c r="G85" s="1953">
        <v>42500000</v>
      </c>
      <c r="H85" s="1953">
        <v>43220000</v>
      </c>
      <c r="I85" s="1953">
        <v>43220000</v>
      </c>
      <c r="J85" s="1953">
        <v>40390035</v>
      </c>
      <c r="K85" s="1953">
        <v>34894000</v>
      </c>
      <c r="L85" s="1953">
        <v>22575000</v>
      </c>
      <c r="M85" s="1953">
        <v>15660000</v>
      </c>
      <c r="N85" s="1953">
        <v>0</v>
      </c>
      <c r="O85" s="1953">
        <v>23220000</v>
      </c>
    </row>
    <row r="86" ht="15" customHeight="1">
      <c r="A86" t="s" s="1954">
        <v>3827</v>
      </c>
      <c r="B86" t="s" s="1952">
        <v>3828</v>
      </c>
      <c r="C86" s="1953">
        <v>48198500</v>
      </c>
      <c r="D86" s="1953">
        <v>39905000</v>
      </c>
      <c r="E86" s="1953">
        <v>56847966</v>
      </c>
      <c r="F86" s="1953">
        <v>78210600</v>
      </c>
      <c r="G86" s="1953">
        <v>97406615</v>
      </c>
      <c r="H86" s="1953">
        <v>93237740</v>
      </c>
      <c r="I86" s="1953">
        <v>116091640</v>
      </c>
      <c r="J86" s="1953">
        <v>141733100</v>
      </c>
      <c r="K86" s="1953">
        <v>48597335</v>
      </c>
      <c r="L86" s="1953">
        <v>44235867</v>
      </c>
      <c r="M86" s="1953">
        <v>6882000</v>
      </c>
      <c r="N86" s="1953">
        <v>25862000</v>
      </c>
      <c r="O86" s="1953">
        <v>10436000</v>
      </c>
    </row>
    <row r="87" ht="15" customHeight="1">
      <c r="A87" t="s" s="1954">
        <v>3829</v>
      </c>
      <c r="B87" t="s" s="1952">
        <v>3830</v>
      </c>
      <c r="C87" s="1953">
        <v>0</v>
      </c>
      <c r="D87" s="1953">
        <v>0</v>
      </c>
      <c r="E87" s="1953">
        <v>0</v>
      </c>
      <c r="F87" s="1953">
        <v>0</v>
      </c>
      <c r="G87" s="1953">
        <v>0</v>
      </c>
      <c r="H87" s="1953">
        <v>0</v>
      </c>
      <c r="I87" s="1953">
        <v>0</v>
      </c>
      <c r="J87" s="1953">
        <v>0</v>
      </c>
      <c r="K87" s="1953">
        <v>0</v>
      </c>
      <c r="L87" s="1953">
        <v>0</v>
      </c>
      <c r="M87" s="1953">
        <v>3350000</v>
      </c>
      <c r="N87" s="1953">
        <v>2710000</v>
      </c>
      <c r="O87" s="1953">
        <v>9901500</v>
      </c>
    </row>
    <row r="88" ht="15" customHeight="1">
      <c r="A88" t="s" s="1954">
        <v>3957</v>
      </c>
      <c r="B88" t="s" s="1952">
        <v>527</v>
      </c>
      <c r="C88" s="1953">
        <v>0</v>
      </c>
      <c r="D88" s="1953">
        <v>0</v>
      </c>
      <c r="E88" s="1953">
        <v>0</v>
      </c>
      <c r="F88" s="1953">
        <v>0</v>
      </c>
      <c r="G88" s="1953">
        <v>0</v>
      </c>
      <c r="H88" s="1953">
        <v>0</v>
      </c>
      <c r="I88" s="1953">
        <v>0</v>
      </c>
      <c r="J88" s="1953">
        <v>0</v>
      </c>
      <c r="K88" s="1953">
        <v>0</v>
      </c>
      <c r="L88" s="1953">
        <v>1421900</v>
      </c>
      <c r="M88" s="1953">
        <v>22231835</v>
      </c>
      <c r="N88" s="1953">
        <v>21102550</v>
      </c>
      <c r="O88" s="1953">
        <v>29273000</v>
      </c>
    </row>
    <row r="89" ht="15" customHeight="1">
      <c r="A89" t="s" s="1954">
        <v>3831</v>
      </c>
      <c r="B89" t="s" s="1952">
        <v>3832</v>
      </c>
      <c r="C89" s="1953">
        <v>16714754</v>
      </c>
      <c r="D89" s="1953">
        <v>19924498</v>
      </c>
      <c r="E89" s="1953">
        <v>27052747</v>
      </c>
      <c r="F89" s="1953">
        <v>27100972.21</v>
      </c>
      <c r="G89" s="1953">
        <v>18277320</v>
      </c>
      <c r="H89" s="1953">
        <v>19376660</v>
      </c>
      <c r="I89" s="1953">
        <v>16909200</v>
      </c>
      <c r="J89" s="1953">
        <v>9425000</v>
      </c>
      <c r="K89" s="1953">
        <v>5939000</v>
      </c>
      <c r="L89" s="1953">
        <v>8819717</v>
      </c>
      <c r="M89" s="1953">
        <v>2475000</v>
      </c>
      <c r="N89" s="1953">
        <v>3425000</v>
      </c>
      <c r="O89" s="1953">
        <v>5008000</v>
      </c>
    </row>
    <row r="90" ht="15" customHeight="1">
      <c r="A90" t="s" s="1954">
        <v>3833</v>
      </c>
      <c r="B90" t="s" s="1952">
        <v>3834</v>
      </c>
      <c r="C90" s="1953">
        <v>2091209</v>
      </c>
      <c r="D90" s="1953">
        <v>4089156</v>
      </c>
      <c r="E90" s="1953">
        <v>3153898</v>
      </c>
      <c r="F90" s="1953">
        <v>1792342</v>
      </c>
      <c r="G90" s="1953">
        <v>6096483</v>
      </c>
      <c r="H90" s="1953">
        <v>11635889</v>
      </c>
      <c r="I90" s="1953">
        <v>7715506</v>
      </c>
      <c r="J90" s="1953">
        <v>6595058</v>
      </c>
      <c r="K90" s="1953">
        <v>6270289</v>
      </c>
      <c r="L90" s="1953">
        <v>3553530</v>
      </c>
      <c r="M90" s="1953">
        <v>4826418</v>
      </c>
      <c r="N90" s="1953">
        <v>0</v>
      </c>
      <c r="O90" s="1953">
        <v>0</v>
      </c>
    </row>
    <row r="91" ht="15" customHeight="1">
      <c r="A91" t="s" s="1954">
        <v>3958</v>
      </c>
      <c r="B91" t="s" s="1952">
        <v>3959</v>
      </c>
      <c r="C91" s="1953">
        <v>0</v>
      </c>
      <c r="D91" s="1953">
        <v>0</v>
      </c>
      <c r="E91" s="1953">
        <v>0</v>
      </c>
      <c r="F91" s="1953">
        <v>0</v>
      </c>
      <c r="G91" s="1953">
        <v>0</v>
      </c>
      <c r="H91" s="1953">
        <v>0</v>
      </c>
      <c r="I91" s="1953">
        <v>0</v>
      </c>
      <c r="J91" s="1953">
        <v>0</v>
      </c>
      <c r="K91" s="1953">
        <v>0</v>
      </c>
      <c r="L91" s="1953">
        <v>0</v>
      </c>
      <c r="M91" s="1953">
        <v>2277000</v>
      </c>
      <c r="N91" s="1953">
        <v>0</v>
      </c>
      <c r="O91" s="1953">
        <v>0</v>
      </c>
    </row>
    <row r="92" ht="15" customHeight="1">
      <c r="A92" t="s" s="1954">
        <v>3835</v>
      </c>
      <c r="B92" t="s" s="1952">
        <v>527</v>
      </c>
      <c r="C92" s="1953">
        <v>27946000</v>
      </c>
      <c r="D92" s="1953">
        <v>35994200</v>
      </c>
      <c r="E92" s="1953">
        <v>39455000</v>
      </c>
      <c r="F92" s="1953">
        <v>60490000</v>
      </c>
      <c r="G92" s="1953">
        <v>67790000</v>
      </c>
      <c r="H92" s="1953">
        <v>74155000</v>
      </c>
      <c r="I92" s="1953">
        <v>68575000</v>
      </c>
      <c r="J92" s="1953">
        <v>58654000</v>
      </c>
      <c r="K92" s="1953">
        <v>48052200</v>
      </c>
      <c r="L92" s="1953">
        <v>34011415</v>
      </c>
      <c r="M92" s="1953">
        <v>0</v>
      </c>
      <c r="N92" s="1953">
        <v>0</v>
      </c>
      <c r="O92" s="1953">
        <v>0</v>
      </c>
    </row>
    <row r="93" ht="15" customHeight="1">
      <c r="A93" s="1789"/>
      <c r="B93" t="s" s="1952">
        <v>3836</v>
      </c>
      <c r="C93" s="1953">
        <v>2740171550</v>
      </c>
      <c r="D93" s="1953">
        <v>2888157986.16</v>
      </c>
      <c r="E93" s="1953">
        <v>2974828016</v>
      </c>
      <c r="F93" s="1953">
        <v>3982856923.71</v>
      </c>
      <c r="G93" s="1953">
        <v>4844326383</v>
      </c>
      <c r="H93" s="1953">
        <v>5587409603</v>
      </c>
      <c r="I93" s="1953">
        <v>5577845810</v>
      </c>
      <c r="J93" s="1953">
        <v>4590730113</v>
      </c>
      <c r="K93" s="1953">
        <v>3506401827.17</v>
      </c>
      <c r="L93" s="1953">
        <v>3069925702</v>
      </c>
      <c r="M93" s="1953">
        <v>1940412840</v>
      </c>
      <c r="N93" s="1953">
        <v>1898157545</v>
      </c>
      <c r="O93" s="1953">
        <v>2251510896</v>
      </c>
    </row>
    <row r="94" ht="15" customHeight="1">
      <c r="A94" s="1789"/>
      <c r="B94" t="s" s="1952">
        <v>3837</v>
      </c>
      <c r="C94" s="1953">
        <v>1390208344</v>
      </c>
      <c r="D94" s="1953">
        <v>1431794624.84</v>
      </c>
      <c r="E94" s="1953">
        <v>2444561060.25</v>
      </c>
      <c r="F94" s="1953">
        <v>2873861406.77</v>
      </c>
      <c r="G94" s="1953">
        <v>3219475098</v>
      </c>
      <c r="H94" s="1953">
        <v>3958492365.5</v>
      </c>
      <c r="I94" s="1953">
        <v>3578281443.7</v>
      </c>
      <c r="J94" s="1953">
        <v>2340712526.5</v>
      </c>
      <c r="K94" s="1953">
        <v>2278473809.83</v>
      </c>
      <c r="L94" s="1953">
        <v>1507956614</v>
      </c>
      <c r="M94" s="1953">
        <v>900550841</v>
      </c>
      <c r="N94" s="1953">
        <v>529871921.96</v>
      </c>
      <c r="O94" s="1953">
        <v>1079188286.94</v>
      </c>
    </row>
    <row r="95" ht="15" customHeight="1">
      <c r="A95" s="1789"/>
      <c r="B95" t="s" s="1952">
        <v>1087</v>
      </c>
      <c r="C95" s="1953">
        <v>2235149.33</v>
      </c>
      <c r="D95" s="1953">
        <v>4933721.16</v>
      </c>
      <c r="E95" s="1953">
        <v>10533318.04</v>
      </c>
      <c r="F95" s="1953">
        <v>10180300.77</v>
      </c>
      <c r="G95" s="1953">
        <v>4203006.24</v>
      </c>
      <c r="H95" s="1953">
        <v>13441110.39</v>
      </c>
      <c r="I95" s="1953">
        <v>27462965.16</v>
      </c>
      <c r="J95" s="1953">
        <v>19173553.06</v>
      </c>
      <c r="K95" s="1953">
        <v>210758.26</v>
      </c>
      <c r="L95" s="1953">
        <v>457798.59</v>
      </c>
      <c r="M95" s="1953">
        <v>422030.88</v>
      </c>
      <c r="N95" s="1953">
        <v>1256920.34</v>
      </c>
      <c r="O95" s="1953">
        <v>4702231.7</v>
      </c>
    </row>
    <row r="96" ht="13.5" customHeight="1">
      <c r="A96" s="1789"/>
      <c r="B96" t="s" s="1955">
        <v>3841</v>
      </c>
      <c r="C96" s="1956">
        <v>4132615043.33</v>
      </c>
      <c r="D96" s="1956">
        <v>4324886332.16</v>
      </c>
      <c r="E96" s="1956">
        <v>5429922394.29</v>
      </c>
      <c r="F96" s="1956">
        <v>6866898631.25</v>
      </c>
      <c r="G96" s="1956">
        <v>8068004487.24</v>
      </c>
      <c r="H96" s="1956">
        <v>9559343078.889999</v>
      </c>
      <c r="I96" s="1956">
        <v>9183590218.860001</v>
      </c>
      <c r="J96" s="1956">
        <v>6950616192.56</v>
      </c>
      <c r="K96" s="1956">
        <v>5785086395.26</v>
      </c>
      <c r="L96" s="1956">
        <v>4578340114.59</v>
      </c>
      <c r="M96" s="1956">
        <v>2841385711.88</v>
      </c>
      <c r="N96" s="1956">
        <v>2429286387.3</v>
      </c>
      <c r="O96" s="1956">
        <v>3335401414.64</v>
      </c>
    </row>
    <row r="97" ht="13.55" customHeight="1">
      <c r="A97" s="1789"/>
      <c r="B97" s="1832"/>
      <c r="C97" s="1832"/>
      <c r="D97" s="1832"/>
      <c r="E97" s="1832"/>
      <c r="F97" s="1832"/>
      <c r="G97" s="1832"/>
      <c r="H97" s="1832"/>
      <c r="I97" s="1832"/>
      <c r="J97" s="1832"/>
      <c r="K97" s="1832"/>
      <c r="L97" s="1832"/>
      <c r="M97" s="1832"/>
      <c r="N97" s="1832"/>
      <c r="O97" s="1832"/>
    </row>
    <row r="98" ht="14" customHeight="1">
      <c r="A98" s="1789"/>
      <c r="B98" t="s" s="1947">
        <v>550</v>
      </c>
      <c r="C98" s="1948">
        <v>1205351437.92</v>
      </c>
      <c r="D98" s="1948">
        <v>1304875571.58</v>
      </c>
      <c r="E98" s="1948">
        <v>1625899677.4</v>
      </c>
      <c r="F98" s="1948">
        <v>1717577161.82</v>
      </c>
      <c r="G98" s="1948">
        <v>1426666542.27</v>
      </c>
      <c r="H98" s="1948">
        <v>1513075191.61</v>
      </c>
      <c r="I98" s="1948">
        <v>1297745511.96</v>
      </c>
      <c r="J98" s="1948">
        <v>948916354.92</v>
      </c>
      <c r="K98" s="1948">
        <v>838227563.35</v>
      </c>
      <c r="L98" s="1948">
        <v>745482435.97</v>
      </c>
      <c r="M98" s="1948">
        <v>1009980788.04</v>
      </c>
      <c r="N98" s="1948">
        <v>483818965.07</v>
      </c>
      <c r="O98" s="1948">
        <v>794664845.85</v>
      </c>
    </row>
    <row r="99" ht="13.5" customHeight="1">
      <c r="A99" s="1789"/>
      <c r="B99" t="s" s="1950">
        <v>550</v>
      </c>
      <c r="C99" s="1951">
        <v>1157485026.57</v>
      </c>
      <c r="D99" s="1951">
        <v>1257220218.03</v>
      </c>
      <c r="E99" s="1951">
        <v>1578446427.91</v>
      </c>
      <c r="F99" s="1951">
        <v>1685958031.79</v>
      </c>
      <c r="G99" s="1951">
        <v>1396756913.69</v>
      </c>
      <c r="H99" s="1951">
        <v>1484354506.41</v>
      </c>
      <c r="I99" s="1951">
        <v>1267739527.16</v>
      </c>
      <c r="J99" s="1951">
        <v>922004612.91</v>
      </c>
      <c r="K99" s="1951">
        <v>813116007.3</v>
      </c>
      <c r="L99" s="1951">
        <v>731008993.92</v>
      </c>
      <c r="M99" s="1951">
        <v>990596758.39</v>
      </c>
      <c r="N99" s="1951">
        <v>483818965.07</v>
      </c>
      <c r="O99" s="1951">
        <v>776007801.9400001</v>
      </c>
    </row>
    <row r="100" ht="15" customHeight="1">
      <c r="A100" t="s" s="1954">
        <v>3842</v>
      </c>
      <c r="B100" t="s" s="1952">
        <v>1090</v>
      </c>
      <c r="C100" s="1953">
        <v>137709523</v>
      </c>
      <c r="D100" s="1953">
        <v>180900000</v>
      </c>
      <c r="E100" s="1953">
        <v>161800000</v>
      </c>
      <c r="F100" s="1953">
        <v>180900000</v>
      </c>
      <c r="G100" s="1953">
        <v>216764320</v>
      </c>
      <c r="H100" s="1953">
        <v>349200000</v>
      </c>
      <c r="I100" s="1953">
        <v>294000000</v>
      </c>
      <c r="J100" s="1953">
        <v>140007813</v>
      </c>
      <c r="K100" s="1953">
        <v>107800000</v>
      </c>
      <c r="L100" s="1953">
        <v>124399000</v>
      </c>
      <c r="M100" s="1953">
        <v>46300000</v>
      </c>
      <c r="N100" s="1953">
        <v>23500000</v>
      </c>
      <c r="O100" s="1953">
        <v>61850000</v>
      </c>
    </row>
    <row r="101" ht="15" customHeight="1">
      <c r="A101" t="s" s="1954">
        <v>3843</v>
      </c>
      <c r="B101" t="s" s="1952">
        <v>1092</v>
      </c>
      <c r="C101" s="1953">
        <v>11535600</v>
      </c>
      <c r="D101" s="1953">
        <v>11685600</v>
      </c>
      <c r="E101" s="1953">
        <v>11685600</v>
      </c>
      <c r="F101" s="1953">
        <v>11535600</v>
      </c>
      <c r="G101" s="1953">
        <v>10635600</v>
      </c>
      <c r="H101" s="1953">
        <v>5985600</v>
      </c>
      <c r="I101" s="1953">
        <v>5535600</v>
      </c>
      <c r="J101" s="1953">
        <v>5835600</v>
      </c>
      <c r="K101" s="1953">
        <v>5235600</v>
      </c>
      <c r="L101" s="1953">
        <v>4635600</v>
      </c>
      <c r="M101" s="1953">
        <v>4485600</v>
      </c>
      <c r="N101" s="1953">
        <v>3135600</v>
      </c>
      <c r="O101" s="1953">
        <v>3135600</v>
      </c>
    </row>
    <row r="102" ht="15" customHeight="1">
      <c r="A102" t="s" s="1954">
        <v>3844</v>
      </c>
      <c r="B102" t="s" s="1952">
        <v>1094</v>
      </c>
      <c r="C102" s="1953">
        <v>2214675</v>
      </c>
      <c r="D102" s="1953">
        <v>2188636</v>
      </c>
      <c r="E102" s="1953">
        <v>1485714</v>
      </c>
      <c r="F102" s="1953">
        <v>1141304</v>
      </c>
      <c r="G102" s="1953">
        <v>1961310</v>
      </c>
      <c r="H102" s="1953">
        <v>2054349</v>
      </c>
      <c r="I102" s="1953">
        <v>2263791</v>
      </c>
      <c r="J102" s="1953">
        <v>0</v>
      </c>
      <c r="K102" s="1953">
        <v>0</v>
      </c>
      <c r="L102" s="1953">
        <v>0</v>
      </c>
      <c r="M102" s="1953">
        <v>0</v>
      </c>
      <c r="N102" s="1953">
        <v>0</v>
      </c>
      <c r="O102" s="1953">
        <v>0</v>
      </c>
    </row>
    <row r="103" ht="15" customHeight="1">
      <c r="A103" t="s" s="1954">
        <v>3845</v>
      </c>
      <c r="B103" t="s" s="1952">
        <v>1096</v>
      </c>
      <c r="C103" s="1953">
        <v>2030000</v>
      </c>
      <c r="D103" s="1953">
        <v>2000000</v>
      </c>
      <c r="E103" s="1953">
        <v>1600000</v>
      </c>
      <c r="F103" s="1953">
        <v>11100000</v>
      </c>
      <c r="G103" s="1953">
        <v>5000000</v>
      </c>
      <c r="H103" s="1953">
        <v>4002500</v>
      </c>
      <c r="I103" s="1953">
        <v>300000</v>
      </c>
      <c r="J103" s="1953">
        <v>0</v>
      </c>
      <c r="K103" s="1953">
        <v>0</v>
      </c>
      <c r="L103" s="1953">
        <v>300000</v>
      </c>
      <c r="M103" s="1953">
        <v>0</v>
      </c>
      <c r="N103" s="1953">
        <v>0</v>
      </c>
      <c r="O103" s="1953">
        <v>0</v>
      </c>
    </row>
    <row r="104" ht="15" customHeight="1">
      <c r="A104" t="s" s="1954">
        <v>3962</v>
      </c>
      <c r="B104" t="s" s="1952">
        <v>1099</v>
      </c>
      <c r="C104" s="1953">
        <v>0</v>
      </c>
      <c r="D104" s="1953">
        <v>37500</v>
      </c>
      <c r="E104" s="1953">
        <v>12500</v>
      </c>
      <c r="F104" s="1953">
        <v>41432</v>
      </c>
      <c r="G104" s="1953">
        <v>0</v>
      </c>
      <c r="H104" s="1953">
        <v>0</v>
      </c>
      <c r="I104" s="1953">
        <v>0</v>
      </c>
      <c r="J104" s="1953">
        <v>0</v>
      </c>
      <c r="K104" s="1953">
        <v>0</v>
      </c>
      <c r="L104" s="1953">
        <v>167500</v>
      </c>
      <c r="M104" s="1953">
        <v>0</v>
      </c>
      <c r="N104" s="1953">
        <v>416536</v>
      </c>
      <c r="O104" s="1953">
        <v>0</v>
      </c>
    </row>
    <row r="105" ht="15" customHeight="1">
      <c r="A105" t="s" s="1954">
        <v>3963</v>
      </c>
      <c r="B105" t="s" s="1952">
        <v>1100</v>
      </c>
      <c r="C105" s="1953">
        <v>0</v>
      </c>
      <c r="D105" s="1953">
        <v>1404816</v>
      </c>
      <c r="E105" s="1953">
        <v>1962069</v>
      </c>
      <c r="F105" s="1953">
        <v>2163776</v>
      </c>
      <c r="G105" s="1953">
        <v>0</v>
      </c>
      <c r="H105" s="1953">
        <v>0</v>
      </c>
      <c r="I105" s="1953">
        <v>0</v>
      </c>
      <c r="J105" s="1953">
        <v>0</v>
      </c>
      <c r="K105" s="1953">
        <v>0</v>
      </c>
      <c r="L105" s="1953">
        <v>0</v>
      </c>
      <c r="M105" s="1953">
        <v>0</v>
      </c>
      <c r="N105" s="1953">
        <v>0</v>
      </c>
      <c r="O105" s="1953">
        <v>0</v>
      </c>
    </row>
    <row r="106" ht="15" customHeight="1">
      <c r="A106" t="s" s="1954">
        <v>3964</v>
      </c>
      <c r="B106" t="s" s="1952">
        <v>1101</v>
      </c>
      <c r="C106" s="1953">
        <v>0</v>
      </c>
      <c r="D106" s="1953">
        <v>616478</v>
      </c>
      <c r="E106" s="1953">
        <v>1094468</v>
      </c>
      <c r="F106" s="1953">
        <v>1461763</v>
      </c>
      <c r="G106" s="1953">
        <v>0</v>
      </c>
      <c r="H106" s="1953">
        <v>2067133</v>
      </c>
      <c r="I106" s="1953">
        <v>677183</v>
      </c>
      <c r="J106" s="1953">
        <v>3424080</v>
      </c>
      <c r="K106" s="1953">
        <v>0</v>
      </c>
      <c r="L106" s="1953">
        <v>0</v>
      </c>
      <c r="M106" s="1953">
        <v>0</v>
      </c>
      <c r="N106" s="1953">
        <v>0</v>
      </c>
      <c r="O106" s="1953">
        <v>0</v>
      </c>
    </row>
    <row r="107" ht="15" customHeight="1">
      <c r="A107" t="s" s="1954">
        <v>3846</v>
      </c>
      <c r="B107" t="s" s="1952">
        <v>1102</v>
      </c>
      <c r="C107" s="1953">
        <v>2072000</v>
      </c>
      <c r="D107" s="1953">
        <v>0</v>
      </c>
      <c r="E107" s="1953">
        <v>4970500</v>
      </c>
      <c r="F107" s="1953">
        <v>3566000</v>
      </c>
      <c r="G107" s="1953">
        <v>253110</v>
      </c>
      <c r="H107" s="1953">
        <v>0</v>
      </c>
      <c r="I107" s="1953">
        <v>0</v>
      </c>
      <c r="J107" s="1953">
        <v>0</v>
      </c>
      <c r="K107" s="1953">
        <v>0</v>
      </c>
      <c r="L107" s="1953">
        <v>12746400</v>
      </c>
      <c r="M107" s="1953">
        <v>0</v>
      </c>
      <c r="N107" s="1953">
        <v>0</v>
      </c>
      <c r="O107" s="1953">
        <v>0</v>
      </c>
    </row>
    <row r="108" ht="15" customHeight="1">
      <c r="A108" t="s" s="1954">
        <v>3965</v>
      </c>
      <c r="B108" t="s" s="1952">
        <v>1104</v>
      </c>
      <c r="C108" s="1953">
        <v>0</v>
      </c>
      <c r="D108" s="1953">
        <v>0</v>
      </c>
      <c r="E108" s="1953">
        <v>0</v>
      </c>
      <c r="F108" s="1953">
        <v>0</v>
      </c>
      <c r="G108" s="1953">
        <v>0</v>
      </c>
      <c r="H108" s="1953">
        <v>0</v>
      </c>
      <c r="I108" s="1953">
        <v>0</v>
      </c>
      <c r="J108" s="1953">
        <v>0</v>
      </c>
      <c r="K108" s="1953">
        <v>0</v>
      </c>
      <c r="L108" s="1953">
        <v>0</v>
      </c>
      <c r="M108" s="1953">
        <v>0</v>
      </c>
      <c r="N108" s="1953">
        <v>1766700</v>
      </c>
      <c r="O108" s="1953">
        <v>4982325</v>
      </c>
    </row>
    <row r="109" ht="15" customHeight="1">
      <c r="A109" t="s" s="1954">
        <v>3847</v>
      </c>
      <c r="B109" t="s" s="1952">
        <v>1106</v>
      </c>
      <c r="C109" s="1953">
        <v>4409631</v>
      </c>
      <c r="D109" s="1953">
        <v>27021833</v>
      </c>
      <c r="E109" s="1953">
        <v>3514049</v>
      </c>
      <c r="F109" s="1953">
        <v>709560</v>
      </c>
      <c r="G109" s="1953">
        <v>207060</v>
      </c>
      <c r="H109" s="1953">
        <v>720120</v>
      </c>
      <c r="I109" s="1953">
        <v>0</v>
      </c>
      <c r="J109" s="1953">
        <v>513060</v>
      </c>
      <c r="K109" s="1953">
        <v>512805</v>
      </c>
      <c r="L109" s="1953">
        <v>0</v>
      </c>
      <c r="M109" s="1953">
        <v>512805</v>
      </c>
      <c r="N109" s="1953">
        <v>2500000</v>
      </c>
      <c r="O109" s="1953">
        <v>2500000</v>
      </c>
    </row>
    <row r="110" ht="15" customHeight="1">
      <c r="A110" t="s" s="1954">
        <v>3848</v>
      </c>
      <c r="B110" t="s" s="1952">
        <v>1108</v>
      </c>
      <c r="C110" s="1953">
        <v>8265000</v>
      </c>
      <c r="D110" s="1953">
        <v>0</v>
      </c>
      <c r="E110" s="1953">
        <v>0</v>
      </c>
      <c r="F110" s="1953">
        <v>0</v>
      </c>
      <c r="G110" s="1953">
        <v>8423314</v>
      </c>
      <c r="H110" s="1953">
        <v>51251879</v>
      </c>
      <c r="I110" s="1953">
        <v>1643671</v>
      </c>
      <c r="J110" s="1953">
        <v>0</v>
      </c>
      <c r="K110" s="1953">
        <v>0</v>
      </c>
      <c r="L110" s="1953">
        <v>0</v>
      </c>
      <c r="M110" s="1953">
        <v>0</v>
      </c>
      <c r="N110" s="1953">
        <v>1969330</v>
      </c>
      <c r="O110" s="1953">
        <v>0</v>
      </c>
    </row>
    <row r="111" ht="15" customHeight="1">
      <c r="A111" t="s" s="1954">
        <v>1111</v>
      </c>
      <c r="B111" t="s" s="1952">
        <v>1110</v>
      </c>
      <c r="C111" s="1953">
        <v>1431019</v>
      </c>
      <c r="D111" s="1953">
        <v>1570900</v>
      </c>
      <c r="E111" s="1953">
        <v>1227621</v>
      </c>
      <c r="F111" s="1953">
        <v>0</v>
      </c>
      <c r="G111" s="1953">
        <v>0</v>
      </c>
      <c r="H111" s="1953">
        <v>0</v>
      </c>
      <c r="I111" s="1953">
        <v>0</v>
      </c>
      <c r="J111" s="1953">
        <v>0</v>
      </c>
      <c r="K111" s="1953">
        <v>0</v>
      </c>
      <c r="L111" s="1953">
        <v>0</v>
      </c>
      <c r="M111" s="1953">
        <v>0</v>
      </c>
      <c r="N111" s="1953">
        <v>0</v>
      </c>
      <c r="O111" s="1953">
        <v>0</v>
      </c>
    </row>
    <row r="112" ht="15" customHeight="1">
      <c r="A112" t="s" s="1954">
        <v>3849</v>
      </c>
      <c r="B112" t="s" s="1952">
        <v>1113</v>
      </c>
      <c r="C112" s="1953">
        <v>0</v>
      </c>
      <c r="D112" s="1953">
        <v>0</v>
      </c>
      <c r="E112" s="1953">
        <v>5854000</v>
      </c>
      <c r="F112" s="1953">
        <v>5878618</v>
      </c>
      <c r="G112" s="1953">
        <v>0</v>
      </c>
      <c r="H112" s="1953">
        <v>0</v>
      </c>
      <c r="I112" s="1953">
        <v>0</v>
      </c>
      <c r="J112" s="1953">
        <v>0</v>
      </c>
      <c r="K112" s="1953">
        <v>0</v>
      </c>
      <c r="L112" s="1953">
        <v>0</v>
      </c>
      <c r="M112" s="1953">
        <v>0</v>
      </c>
      <c r="N112" s="1953">
        <v>0</v>
      </c>
      <c r="O112" s="1953">
        <v>0</v>
      </c>
    </row>
    <row r="113" ht="15" customHeight="1">
      <c r="A113" t="s" s="1954">
        <v>3850</v>
      </c>
      <c r="B113" t="s" s="1952">
        <v>1115</v>
      </c>
      <c r="C113" s="1953">
        <v>500000</v>
      </c>
      <c r="D113" s="1953">
        <v>173000</v>
      </c>
      <c r="E113" s="1953">
        <v>527000</v>
      </c>
      <c r="F113" s="1953">
        <v>271000</v>
      </c>
      <c r="G113" s="1953">
        <v>0</v>
      </c>
      <c r="H113" s="1953">
        <v>0</v>
      </c>
      <c r="I113" s="1953">
        <v>0</v>
      </c>
      <c r="J113" s="1953">
        <v>0</v>
      </c>
      <c r="K113" s="1953">
        <v>0</v>
      </c>
      <c r="L113" s="1953">
        <v>0</v>
      </c>
      <c r="M113" s="1953">
        <v>0</v>
      </c>
      <c r="N113" s="1953">
        <v>0</v>
      </c>
      <c r="O113" s="1953">
        <v>0</v>
      </c>
    </row>
    <row r="114" ht="15" customHeight="1">
      <c r="A114" t="s" s="1954">
        <v>3851</v>
      </c>
      <c r="B114" t="s" s="1952">
        <v>1116</v>
      </c>
      <c r="C114" s="1953">
        <v>118890392</v>
      </c>
      <c r="D114" s="1953">
        <v>73090000</v>
      </c>
      <c r="E114" s="1953">
        <v>60959465</v>
      </c>
      <c r="F114" s="1953">
        <v>56050000</v>
      </c>
      <c r="G114" s="1953">
        <v>56110000</v>
      </c>
      <c r="H114" s="1953">
        <v>3384000</v>
      </c>
      <c r="I114" s="1953">
        <v>55498531</v>
      </c>
      <c r="J114" s="1953">
        <v>71100000</v>
      </c>
      <c r="K114" s="1953">
        <v>30000000</v>
      </c>
      <c r="L114" s="1953">
        <v>80000000</v>
      </c>
      <c r="M114" s="1953">
        <v>88316125</v>
      </c>
      <c r="N114" s="1953">
        <v>101000000</v>
      </c>
      <c r="O114" s="1953">
        <v>50000000</v>
      </c>
    </row>
    <row r="115" ht="15" customHeight="1">
      <c r="A115" t="s" s="1954">
        <v>3852</v>
      </c>
      <c r="B115" t="s" s="1952">
        <v>1118</v>
      </c>
      <c r="C115" s="1953">
        <v>519350.67</v>
      </c>
      <c r="D115" s="1953">
        <v>165242.03</v>
      </c>
      <c r="E115" s="1953">
        <v>202040</v>
      </c>
      <c r="F115" s="1953">
        <v>362743.96</v>
      </c>
      <c r="G115" s="1953">
        <v>240206.78</v>
      </c>
      <c r="H115" s="1953">
        <v>230991.08</v>
      </c>
      <c r="I115" s="1953">
        <v>670773.63</v>
      </c>
      <c r="J115" s="1953">
        <v>353233.41</v>
      </c>
      <c r="K115" s="1953">
        <v>2436888.05</v>
      </c>
      <c r="L115" s="1953">
        <v>317288.92</v>
      </c>
      <c r="M115" s="1953">
        <v>246308.58</v>
      </c>
      <c r="N115" s="1953">
        <v>1532384.07</v>
      </c>
      <c r="O115" s="1953">
        <v>250388.94</v>
      </c>
    </row>
    <row r="116" ht="15" customHeight="1">
      <c r="A116" t="s" s="1954">
        <v>3966</v>
      </c>
      <c r="B116" t="s" s="1952">
        <v>1119</v>
      </c>
      <c r="C116" s="1953">
        <v>0</v>
      </c>
      <c r="D116" s="1953">
        <v>0</v>
      </c>
      <c r="E116" s="1953">
        <v>0</v>
      </c>
      <c r="F116" s="1953">
        <v>150000</v>
      </c>
      <c r="G116" s="1953">
        <v>0</v>
      </c>
      <c r="H116" s="1953">
        <v>0</v>
      </c>
      <c r="I116" s="1953">
        <v>0</v>
      </c>
      <c r="J116" s="1953">
        <v>0</v>
      </c>
      <c r="K116" s="1953">
        <v>0</v>
      </c>
      <c r="L116" s="1953">
        <v>0</v>
      </c>
      <c r="M116" s="1953">
        <v>510000</v>
      </c>
      <c r="N116" s="1953">
        <v>1448747</v>
      </c>
      <c r="O116" s="1953">
        <v>0</v>
      </c>
    </row>
    <row r="117" ht="15" customHeight="1">
      <c r="A117" t="s" s="1954">
        <v>3853</v>
      </c>
      <c r="B117" t="s" s="1952">
        <v>1120</v>
      </c>
      <c r="C117" s="1953">
        <v>13702400</v>
      </c>
      <c r="D117" s="1953">
        <v>13915709</v>
      </c>
      <c r="E117" s="1953">
        <v>10878000</v>
      </c>
      <c r="F117" s="1953">
        <v>16860900</v>
      </c>
      <c r="G117" s="1953">
        <v>7614600</v>
      </c>
      <c r="H117" s="1953">
        <v>31588000</v>
      </c>
      <c r="I117" s="1953">
        <v>14141400</v>
      </c>
      <c r="J117" s="1953">
        <v>18492600</v>
      </c>
      <c r="K117" s="1953">
        <v>24525000</v>
      </c>
      <c r="L117" s="1953">
        <v>4360000</v>
      </c>
      <c r="M117" s="1953">
        <v>8720000</v>
      </c>
      <c r="N117" s="1953">
        <v>15260000</v>
      </c>
      <c r="O117" s="1953">
        <v>17440000</v>
      </c>
    </row>
    <row r="118" ht="15" customHeight="1">
      <c r="A118" t="s" s="1954">
        <v>1201</v>
      </c>
      <c r="B118" t="s" s="1952">
        <v>1200</v>
      </c>
      <c r="C118" s="1953">
        <v>7500000</v>
      </c>
      <c r="D118" s="1953">
        <v>7500000</v>
      </c>
      <c r="E118" s="1953">
        <v>7500000</v>
      </c>
      <c r="F118" s="1953">
        <v>7500000</v>
      </c>
      <c r="G118" s="1953">
        <v>7500000</v>
      </c>
      <c r="H118" s="1953">
        <v>7500000</v>
      </c>
      <c r="I118" s="1953">
        <v>7500000</v>
      </c>
      <c r="J118" s="1953">
        <v>7500000</v>
      </c>
      <c r="K118" s="1953">
        <v>5806451.61</v>
      </c>
      <c r="L118" s="1953">
        <v>0</v>
      </c>
      <c r="M118" s="1953">
        <v>2100000</v>
      </c>
      <c r="N118" s="1953">
        <v>0</v>
      </c>
      <c r="O118" s="1953">
        <v>0</v>
      </c>
    </row>
    <row r="119" ht="15" customHeight="1">
      <c r="A119" t="s" s="1954">
        <v>3854</v>
      </c>
      <c r="B119" t="s" s="1952">
        <v>1122</v>
      </c>
      <c r="C119" s="1953">
        <v>5000000</v>
      </c>
      <c r="D119" s="1953">
        <v>5000000</v>
      </c>
      <c r="E119" s="1953">
        <v>5000000</v>
      </c>
      <c r="F119" s="1953">
        <v>5000000</v>
      </c>
      <c r="G119" s="1953">
        <v>5000000</v>
      </c>
      <c r="H119" s="1953">
        <v>5000000</v>
      </c>
      <c r="I119" s="1953">
        <v>5060000</v>
      </c>
      <c r="J119" s="1953">
        <v>2560000</v>
      </c>
      <c r="K119" s="1953">
        <v>2500000</v>
      </c>
      <c r="L119" s="1953">
        <v>2500000</v>
      </c>
      <c r="M119" s="1953">
        <v>2500000</v>
      </c>
      <c r="N119" s="1953">
        <v>2500000</v>
      </c>
      <c r="O119" s="1953">
        <v>5000000</v>
      </c>
    </row>
    <row r="120" ht="15" customHeight="1">
      <c r="A120" t="s" s="1954">
        <v>3855</v>
      </c>
      <c r="B120" t="s" s="1952">
        <v>1124</v>
      </c>
      <c r="C120" s="1953">
        <v>1579000</v>
      </c>
      <c r="D120" s="1953">
        <v>2678000</v>
      </c>
      <c r="E120" s="1953">
        <v>1077000</v>
      </c>
      <c r="F120" s="1953">
        <v>2977000</v>
      </c>
      <c r="G120" s="1953">
        <v>4032800</v>
      </c>
      <c r="H120" s="1953">
        <v>1500000</v>
      </c>
      <c r="I120" s="1953">
        <v>1400000</v>
      </c>
      <c r="J120" s="1953">
        <v>7046530</v>
      </c>
      <c r="K120" s="1953">
        <v>2249500</v>
      </c>
      <c r="L120" s="1953">
        <v>300000</v>
      </c>
      <c r="M120" s="1953">
        <v>4750000</v>
      </c>
      <c r="N120" s="1953">
        <v>0</v>
      </c>
      <c r="O120" s="1953">
        <v>2400000</v>
      </c>
    </row>
    <row r="121" ht="15" customHeight="1">
      <c r="A121" t="s" s="1954">
        <v>3856</v>
      </c>
      <c r="B121" t="s" s="1952">
        <v>1126</v>
      </c>
      <c r="C121" s="1953">
        <v>0</v>
      </c>
      <c r="D121" s="1953">
        <v>0</v>
      </c>
      <c r="E121" s="1953">
        <v>0</v>
      </c>
      <c r="F121" s="1953">
        <v>0</v>
      </c>
      <c r="G121" s="1953">
        <v>823500</v>
      </c>
      <c r="H121" s="1953">
        <v>0</v>
      </c>
      <c r="I121" s="1953">
        <v>6000000</v>
      </c>
      <c r="J121" s="1953">
        <v>0</v>
      </c>
      <c r="K121" s="1953">
        <v>0</v>
      </c>
      <c r="L121" s="1953">
        <v>5227750</v>
      </c>
      <c r="M121" s="1953">
        <v>6779750</v>
      </c>
      <c r="N121" s="1953">
        <v>3883500</v>
      </c>
      <c r="O121" s="1953">
        <v>1751000</v>
      </c>
    </row>
    <row r="122" ht="15" customHeight="1">
      <c r="A122" t="s" s="1954">
        <v>3967</v>
      </c>
      <c r="B122" t="s" s="1952">
        <v>1127</v>
      </c>
      <c r="C122" s="1953">
        <v>0</v>
      </c>
      <c r="D122" s="1953">
        <v>0</v>
      </c>
      <c r="E122" s="1953">
        <v>6494280</v>
      </c>
      <c r="F122" s="1953">
        <v>9575000</v>
      </c>
      <c r="G122" s="1953">
        <v>0</v>
      </c>
      <c r="H122" s="1953">
        <v>0</v>
      </c>
      <c r="I122" s="1953">
        <v>2250000</v>
      </c>
      <c r="J122" s="1953">
        <v>0</v>
      </c>
      <c r="K122" s="1953">
        <v>0</v>
      </c>
      <c r="L122" s="1953">
        <v>0</v>
      </c>
      <c r="M122" s="1953">
        <v>0</v>
      </c>
      <c r="N122" s="1953">
        <v>0</v>
      </c>
      <c r="O122" s="1953">
        <v>225000</v>
      </c>
    </row>
    <row r="123" ht="15" customHeight="1">
      <c r="A123" t="s" s="1954">
        <v>3858</v>
      </c>
      <c r="B123" t="s" s="1952">
        <v>1133</v>
      </c>
      <c r="C123" s="1953">
        <v>8700000</v>
      </c>
      <c r="D123" s="1953">
        <v>54941380</v>
      </c>
      <c r="E123" s="1953">
        <v>22631851</v>
      </c>
      <c r="F123" s="1953">
        <v>2246950</v>
      </c>
      <c r="G123" s="1953">
        <v>48413355</v>
      </c>
      <c r="H123" s="1953">
        <v>71285735</v>
      </c>
      <c r="I123" s="1953">
        <v>11559625</v>
      </c>
      <c r="J123" s="1953">
        <v>49254935</v>
      </c>
      <c r="K123" s="1953">
        <v>3700000</v>
      </c>
      <c r="L123" s="1953">
        <v>12089000</v>
      </c>
      <c r="M123" s="1953">
        <v>10000000</v>
      </c>
      <c r="N123" s="1953">
        <v>738363</v>
      </c>
      <c r="O123" s="1953">
        <v>0</v>
      </c>
    </row>
    <row r="124" ht="15" customHeight="1">
      <c r="A124" t="s" s="1954">
        <v>3859</v>
      </c>
      <c r="B124" t="s" s="1952">
        <v>1135</v>
      </c>
      <c r="C124" s="1953">
        <v>1717977</v>
      </c>
      <c r="D124" s="1953">
        <v>3608239.8</v>
      </c>
      <c r="E124" s="1953">
        <v>2506000</v>
      </c>
      <c r="F124" s="1953">
        <v>2259041</v>
      </c>
      <c r="G124" s="1953">
        <v>2452601</v>
      </c>
      <c r="H124" s="1953">
        <v>2586130</v>
      </c>
      <c r="I124" s="1953">
        <v>2518800</v>
      </c>
      <c r="J124" s="1953">
        <v>1802000</v>
      </c>
      <c r="K124" s="1953">
        <v>473997</v>
      </c>
      <c r="L124" s="1953">
        <v>2265500</v>
      </c>
      <c r="M124" s="1953">
        <v>2625500</v>
      </c>
      <c r="N124" s="1953">
        <v>563000</v>
      </c>
      <c r="O124" s="1953">
        <v>373000</v>
      </c>
    </row>
    <row r="125" ht="15" customHeight="1">
      <c r="A125" t="s" s="1954">
        <v>3968</v>
      </c>
      <c r="B125" t="s" s="1952">
        <v>1137</v>
      </c>
      <c r="C125" s="1953">
        <v>0</v>
      </c>
      <c r="D125" s="1953">
        <v>0</v>
      </c>
      <c r="E125" s="1953">
        <v>0</v>
      </c>
      <c r="F125" s="1953">
        <v>0</v>
      </c>
      <c r="G125" s="1953">
        <v>0</v>
      </c>
      <c r="H125" s="1953">
        <v>814924</v>
      </c>
      <c r="I125" s="1953">
        <v>0</v>
      </c>
      <c r="J125" s="1953">
        <v>150000</v>
      </c>
      <c r="K125" s="1953">
        <v>0</v>
      </c>
      <c r="L125" s="1953">
        <v>0</v>
      </c>
      <c r="M125" s="1953">
        <v>0</v>
      </c>
      <c r="N125" s="1953">
        <v>0</v>
      </c>
      <c r="O125" s="1953">
        <v>0</v>
      </c>
    </row>
    <row r="126" ht="15" customHeight="1">
      <c r="A126" t="s" s="1954">
        <v>3860</v>
      </c>
      <c r="B126" t="s" s="1952">
        <v>1139</v>
      </c>
      <c r="C126" s="1953">
        <v>2500000</v>
      </c>
      <c r="D126" s="1953">
        <v>14000000</v>
      </c>
      <c r="E126" s="1953">
        <v>47766250</v>
      </c>
      <c r="F126" s="1953">
        <v>29640000</v>
      </c>
      <c r="G126" s="1953">
        <v>6500000</v>
      </c>
      <c r="H126" s="1953">
        <v>0</v>
      </c>
      <c r="I126" s="1953">
        <v>0</v>
      </c>
      <c r="J126" s="1953">
        <v>784000</v>
      </c>
      <c r="K126" s="1953">
        <v>40764000</v>
      </c>
      <c r="L126" s="1953">
        <v>2058000</v>
      </c>
      <c r="M126" s="1953">
        <v>0</v>
      </c>
      <c r="N126" s="1953">
        <v>0</v>
      </c>
      <c r="O126" s="1953">
        <v>0</v>
      </c>
    </row>
    <row r="127" ht="15" customHeight="1">
      <c r="A127" t="s" s="1954">
        <v>3861</v>
      </c>
      <c r="B127" t="s" s="1952">
        <v>1141</v>
      </c>
      <c r="C127" s="1953">
        <v>11423075.4</v>
      </c>
      <c r="D127" s="1953">
        <v>46184177.9</v>
      </c>
      <c r="E127" s="1953">
        <v>13381874.9</v>
      </c>
      <c r="F127" s="1953">
        <v>14333393</v>
      </c>
      <c r="G127" s="1953">
        <v>9195242</v>
      </c>
      <c r="H127" s="1953">
        <v>16960800</v>
      </c>
      <c r="I127" s="1953">
        <v>11253330</v>
      </c>
      <c r="J127" s="1953">
        <v>15105100</v>
      </c>
      <c r="K127" s="1953">
        <v>32021000</v>
      </c>
      <c r="L127" s="1953">
        <v>20705925</v>
      </c>
      <c r="M127" s="1953">
        <v>37791646</v>
      </c>
      <c r="N127" s="1953">
        <v>3993416</v>
      </c>
      <c r="O127" s="1953">
        <v>8005310</v>
      </c>
    </row>
    <row r="128" ht="15" customHeight="1">
      <c r="A128" t="s" s="1954">
        <v>1144</v>
      </c>
      <c r="B128" t="s" s="1952">
        <v>1143</v>
      </c>
      <c r="C128" s="1953">
        <v>493700</v>
      </c>
      <c r="D128" s="1953">
        <v>514643</v>
      </c>
      <c r="E128" s="1953">
        <v>1766390</v>
      </c>
      <c r="F128" s="1953">
        <v>3005707</v>
      </c>
      <c r="G128" s="1953">
        <v>223000</v>
      </c>
      <c r="H128" s="1953">
        <v>0</v>
      </c>
      <c r="I128" s="1953">
        <v>0</v>
      </c>
      <c r="J128" s="1953">
        <v>0</v>
      </c>
      <c r="K128" s="1953">
        <v>0</v>
      </c>
      <c r="L128" s="1953">
        <v>342000</v>
      </c>
      <c r="M128" s="1953">
        <v>0</v>
      </c>
      <c r="N128" s="1953">
        <v>0</v>
      </c>
      <c r="O128" s="1953">
        <v>0</v>
      </c>
    </row>
    <row r="129" ht="15" customHeight="1">
      <c r="A129" t="s" s="1954">
        <v>3862</v>
      </c>
      <c r="B129" t="s" s="1952">
        <v>1145</v>
      </c>
      <c r="C129" s="1953">
        <v>0</v>
      </c>
      <c r="D129" s="1953">
        <v>9608500</v>
      </c>
      <c r="E129" s="1953">
        <v>5289000</v>
      </c>
      <c r="F129" s="1953">
        <v>58000</v>
      </c>
      <c r="G129" s="1953">
        <v>351500</v>
      </c>
      <c r="H129" s="1953">
        <v>0</v>
      </c>
      <c r="I129" s="1953">
        <v>0</v>
      </c>
      <c r="J129" s="1953">
        <v>0</v>
      </c>
      <c r="K129" s="1953">
        <v>405000</v>
      </c>
      <c r="L129" s="1953">
        <v>22900</v>
      </c>
      <c r="M129" s="1953">
        <v>347000</v>
      </c>
      <c r="N129" s="1953">
        <v>540000</v>
      </c>
      <c r="O129" s="1953">
        <v>779000</v>
      </c>
    </row>
    <row r="130" ht="15" customHeight="1">
      <c r="A130" t="s" s="1954">
        <v>3863</v>
      </c>
      <c r="B130" t="s" s="1952">
        <v>1147</v>
      </c>
      <c r="C130" s="1953">
        <v>56466586.83</v>
      </c>
      <c r="D130" s="1953">
        <v>7523136.83</v>
      </c>
      <c r="E130" s="1953">
        <v>3960236.83</v>
      </c>
      <c r="F130" s="1953">
        <v>39577107.83</v>
      </c>
      <c r="G130" s="1953">
        <v>43522451.83</v>
      </c>
      <c r="H130" s="1953">
        <v>11227188.83</v>
      </c>
      <c r="I130" s="1953">
        <v>21591683.83</v>
      </c>
      <c r="J130" s="1953">
        <v>28057022.5</v>
      </c>
      <c r="K130" s="1953">
        <v>9333165</v>
      </c>
      <c r="L130" s="1953">
        <v>9085554</v>
      </c>
      <c r="M130" s="1953">
        <v>12470410.52</v>
      </c>
      <c r="N130" s="1953">
        <v>34870434</v>
      </c>
      <c r="O130" s="1953">
        <v>23447330</v>
      </c>
    </row>
    <row r="131" ht="15" customHeight="1">
      <c r="A131" t="s" s="1954">
        <v>3864</v>
      </c>
      <c r="B131" t="s" s="1952">
        <v>1150</v>
      </c>
      <c r="C131" s="1953">
        <v>29454696</v>
      </c>
      <c r="D131" s="1953">
        <v>26494918</v>
      </c>
      <c r="E131" s="1953">
        <v>18551105.98</v>
      </c>
      <c r="F131" s="1953">
        <v>33941891</v>
      </c>
      <c r="G131" s="1953">
        <v>34317366</v>
      </c>
      <c r="H131" s="1953">
        <v>58797966.5</v>
      </c>
      <c r="I131" s="1953">
        <v>47694662.7</v>
      </c>
      <c r="J131" s="1953">
        <v>31209841</v>
      </c>
      <c r="K131" s="1953">
        <v>32159728.11</v>
      </c>
      <c r="L131" s="1953">
        <v>29657589</v>
      </c>
      <c r="M131" s="1953">
        <v>10850459</v>
      </c>
      <c r="N131" s="1953">
        <v>8300396</v>
      </c>
      <c r="O131" s="1953">
        <v>17553151</v>
      </c>
    </row>
    <row r="132" ht="15" customHeight="1">
      <c r="A132" t="s" s="1954">
        <v>3865</v>
      </c>
      <c r="B132" t="s" s="1952">
        <v>1151</v>
      </c>
      <c r="C132" s="1953">
        <v>15000000</v>
      </c>
      <c r="D132" s="1953">
        <v>0</v>
      </c>
      <c r="E132" s="1953">
        <v>0</v>
      </c>
      <c r="F132" s="1953">
        <v>2346472</v>
      </c>
      <c r="G132" s="1953">
        <v>28673960</v>
      </c>
      <c r="H132" s="1953">
        <v>23502920</v>
      </c>
      <c r="I132" s="1953">
        <v>4325900</v>
      </c>
      <c r="J132" s="1953">
        <v>6399680</v>
      </c>
      <c r="K132" s="1953">
        <v>0</v>
      </c>
      <c r="L132" s="1953">
        <v>25500000</v>
      </c>
      <c r="M132" s="1953">
        <v>37351800</v>
      </c>
      <c r="N132" s="1953">
        <v>0</v>
      </c>
      <c r="O132" s="1953">
        <v>0</v>
      </c>
    </row>
    <row r="133" ht="15" customHeight="1">
      <c r="A133" t="s" s="1954">
        <v>3866</v>
      </c>
      <c r="B133" t="s" s="1952">
        <v>1153</v>
      </c>
      <c r="C133" s="1953">
        <v>0</v>
      </c>
      <c r="D133" s="1953">
        <v>36443650</v>
      </c>
      <c r="E133" s="1953">
        <v>0</v>
      </c>
      <c r="F133" s="1953">
        <v>0</v>
      </c>
      <c r="G133" s="1953">
        <v>43800000</v>
      </c>
      <c r="H133" s="1953">
        <v>0</v>
      </c>
      <c r="I133" s="1953">
        <v>0</v>
      </c>
      <c r="J133" s="1953">
        <v>0</v>
      </c>
      <c r="K133" s="1953">
        <v>0</v>
      </c>
      <c r="L133" s="1953">
        <v>0</v>
      </c>
      <c r="M133" s="1953">
        <v>37000000</v>
      </c>
      <c r="N133" s="1953">
        <v>0</v>
      </c>
      <c r="O133" s="1953">
        <v>0</v>
      </c>
    </row>
    <row r="134" ht="15" customHeight="1">
      <c r="A134" t="s" s="1954">
        <v>3867</v>
      </c>
      <c r="B134" t="s" s="1952">
        <v>1155</v>
      </c>
      <c r="C134" s="1953">
        <v>0</v>
      </c>
      <c r="D134" s="1953">
        <v>0</v>
      </c>
      <c r="E134" s="1953">
        <v>0</v>
      </c>
      <c r="F134" s="1953">
        <v>0</v>
      </c>
      <c r="G134" s="1953">
        <v>0</v>
      </c>
      <c r="H134" s="1953">
        <v>0</v>
      </c>
      <c r="I134" s="1953">
        <v>0</v>
      </c>
      <c r="J134" s="1953">
        <v>0</v>
      </c>
      <c r="K134" s="1953">
        <v>0</v>
      </c>
      <c r="L134" s="1953">
        <v>516500</v>
      </c>
      <c r="M134" s="1953">
        <v>6741000</v>
      </c>
      <c r="N134" s="1953">
        <v>895000</v>
      </c>
      <c r="O134" s="1953">
        <v>9672000</v>
      </c>
    </row>
    <row r="135" ht="15" customHeight="1">
      <c r="A135" t="s" s="1954">
        <v>3868</v>
      </c>
      <c r="B135" t="s" s="1952">
        <v>1157</v>
      </c>
      <c r="C135" s="1953">
        <v>14648773</v>
      </c>
      <c r="D135" s="1953">
        <v>10348062</v>
      </c>
      <c r="E135" s="1953">
        <v>22601230</v>
      </c>
      <c r="F135" s="1953">
        <v>20013480</v>
      </c>
      <c r="G135" s="1953">
        <v>15728000</v>
      </c>
      <c r="H135" s="1953">
        <v>16966810</v>
      </c>
      <c r="I135" s="1953">
        <v>13777000</v>
      </c>
      <c r="J135" s="1953">
        <v>8570000</v>
      </c>
      <c r="K135" s="1953">
        <v>3120944</v>
      </c>
      <c r="L135" s="1953">
        <v>36620000</v>
      </c>
      <c r="M135" s="1953">
        <v>6143000</v>
      </c>
      <c r="N135" s="1953">
        <v>3000000</v>
      </c>
      <c r="O135" s="1953">
        <v>9596500</v>
      </c>
    </row>
    <row r="136" ht="15" customHeight="1">
      <c r="A136" t="s" s="1954">
        <v>3869</v>
      </c>
      <c r="B136" t="s" s="1952">
        <v>1159</v>
      </c>
      <c r="C136" s="1953">
        <v>1282500</v>
      </c>
      <c r="D136" s="1953">
        <v>3050000</v>
      </c>
      <c r="E136" s="1953">
        <v>334000</v>
      </c>
      <c r="F136" s="1953">
        <v>2012500</v>
      </c>
      <c r="G136" s="1953">
        <v>2167500</v>
      </c>
      <c r="H136" s="1953">
        <v>1485000</v>
      </c>
      <c r="I136" s="1953">
        <v>3337500</v>
      </c>
      <c r="J136" s="1953">
        <v>0</v>
      </c>
      <c r="K136" s="1953">
        <v>1485000</v>
      </c>
      <c r="L136" s="1953">
        <v>1917500</v>
      </c>
      <c r="M136" s="1953">
        <v>4358261</v>
      </c>
      <c r="N136" s="1953">
        <v>1835500</v>
      </c>
      <c r="O136" s="1953">
        <v>498000</v>
      </c>
    </row>
    <row r="137" ht="15" customHeight="1">
      <c r="A137" t="s" s="1954">
        <v>3870</v>
      </c>
      <c r="B137" t="s" s="1952">
        <v>1161</v>
      </c>
      <c r="C137" s="1953">
        <v>343747545</v>
      </c>
      <c r="D137" s="1953">
        <v>353748095</v>
      </c>
      <c r="E137" s="1953">
        <v>351653846</v>
      </c>
      <c r="F137" s="1953">
        <v>350500000</v>
      </c>
      <c r="G137" s="1953">
        <v>341847342</v>
      </c>
      <c r="H137" s="1953">
        <v>325086957</v>
      </c>
      <c r="I137" s="1953">
        <v>320919355</v>
      </c>
      <c r="J137" s="1953">
        <v>344500000</v>
      </c>
      <c r="K137" s="1953">
        <v>342436887</v>
      </c>
      <c r="L137" s="1953">
        <v>346252727</v>
      </c>
      <c r="M137" s="1953">
        <v>236400000</v>
      </c>
      <c r="N137" s="1953">
        <v>264450000</v>
      </c>
      <c r="O137" s="1953">
        <v>264584222</v>
      </c>
    </row>
    <row r="138" ht="15" customHeight="1">
      <c r="A138" t="s" s="1954">
        <v>3871</v>
      </c>
      <c r="B138" t="s" s="1952">
        <v>1162</v>
      </c>
      <c r="C138" s="1953">
        <v>173844780</v>
      </c>
      <c r="D138" s="1953">
        <v>89918845</v>
      </c>
      <c r="E138" s="1953">
        <v>270274506</v>
      </c>
      <c r="F138" s="1953">
        <v>401832762</v>
      </c>
      <c r="G138" s="1953">
        <v>471128309</v>
      </c>
      <c r="H138" s="1953">
        <v>477105637</v>
      </c>
      <c r="I138" s="1953">
        <v>402348534</v>
      </c>
      <c r="J138" s="1953">
        <v>163014714</v>
      </c>
      <c r="K138" s="1953">
        <v>35000000</v>
      </c>
      <c r="L138" s="1953">
        <v>0</v>
      </c>
      <c r="M138" s="1953">
        <v>136782162</v>
      </c>
      <c r="N138" s="1953">
        <v>0</v>
      </c>
      <c r="O138" s="1953">
        <v>157530491</v>
      </c>
    </row>
    <row r="139" ht="15" customHeight="1">
      <c r="A139" t="s" s="1954">
        <v>1165</v>
      </c>
      <c r="B139" t="s" s="1952">
        <v>1164</v>
      </c>
      <c r="C139" s="1953">
        <v>0</v>
      </c>
      <c r="D139" s="1953">
        <v>6800000</v>
      </c>
      <c r="E139" s="1953">
        <v>1500000</v>
      </c>
      <c r="F139" s="1953">
        <v>1000000</v>
      </c>
      <c r="G139" s="1953">
        <v>2550000</v>
      </c>
      <c r="H139" s="1953">
        <v>0</v>
      </c>
      <c r="I139" s="1953">
        <v>0</v>
      </c>
      <c r="J139" s="1953">
        <v>0</v>
      </c>
      <c r="K139" s="1953">
        <v>0</v>
      </c>
      <c r="L139" s="1953">
        <v>0</v>
      </c>
      <c r="M139" s="1953">
        <v>0</v>
      </c>
      <c r="N139" s="1953">
        <v>0</v>
      </c>
      <c r="O139" s="1953">
        <v>500000</v>
      </c>
    </row>
    <row r="140" ht="15" customHeight="1">
      <c r="A140" t="s" s="1954">
        <v>3872</v>
      </c>
      <c r="B140" t="s" s="1952">
        <v>1167</v>
      </c>
      <c r="C140" s="1953">
        <v>170624969</v>
      </c>
      <c r="D140" s="1953">
        <v>241843214</v>
      </c>
      <c r="E140" s="1953">
        <v>516484794</v>
      </c>
      <c r="F140" s="1953">
        <v>449909105</v>
      </c>
      <c r="G140" s="1953">
        <v>0</v>
      </c>
      <c r="H140" s="1953">
        <v>0</v>
      </c>
      <c r="I140" s="1953">
        <v>0</v>
      </c>
      <c r="J140" s="1953">
        <v>0</v>
      </c>
      <c r="K140" s="1953">
        <v>0</v>
      </c>
      <c r="L140" s="1953">
        <v>0</v>
      </c>
      <c r="M140" s="1953">
        <v>0</v>
      </c>
      <c r="N140" s="1953">
        <v>0</v>
      </c>
      <c r="O140" s="1953">
        <v>130000000</v>
      </c>
    </row>
    <row r="141" ht="15" customHeight="1">
      <c r="A141" t="s" s="1954">
        <v>3969</v>
      </c>
      <c r="B141" t="s" s="1952">
        <v>1172</v>
      </c>
      <c r="C141" s="1953">
        <v>0</v>
      </c>
      <c r="D141" s="1953">
        <v>0</v>
      </c>
      <c r="E141" s="1953">
        <v>0</v>
      </c>
      <c r="F141" s="1953">
        <v>0</v>
      </c>
      <c r="G141" s="1953">
        <v>0</v>
      </c>
      <c r="H141" s="1953">
        <v>0</v>
      </c>
      <c r="I141" s="1953">
        <v>22400000</v>
      </c>
      <c r="J141" s="1953">
        <v>0</v>
      </c>
      <c r="K141" s="1953">
        <v>0</v>
      </c>
      <c r="L141" s="1953">
        <v>0</v>
      </c>
      <c r="M141" s="1953">
        <v>0</v>
      </c>
      <c r="N141" s="1953">
        <v>0</v>
      </c>
      <c r="O141" s="1953">
        <v>0</v>
      </c>
    </row>
    <row r="142" ht="15" customHeight="1">
      <c r="A142" t="s" s="1954">
        <v>3875</v>
      </c>
      <c r="B142" t="s" s="1952">
        <v>1179</v>
      </c>
      <c r="C142" s="1953">
        <v>1390.67</v>
      </c>
      <c r="D142" s="1953">
        <v>230476.47</v>
      </c>
      <c r="E142" s="1953">
        <v>523.2</v>
      </c>
      <c r="F142" s="1953">
        <v>0</v>
      </c>
      <c r="G142" s="1953">
        <v>3.08</v>
      </c>
      <c r="H142" s="1953">
        <v>0</v>
      </c>
      <c r="I142" s="1953">
        <v>0</v>
      </c>
      <c r="J142" s="1953">
        <v>0</v>
      </c>
      <c r="K142" s="1953">
        <v>0</v>
      </c>
      <c r="L142" s="1953">
        <v>0</v>
      </c>
      <c r="M142" s="1953">
        <v>0</v>
      </c>
      <c r="N142" s="1953">
        <v>0</v>
      </c>
      <c r="O142" s="1953">
        <v>0</v>
      </c>
    </row>
    <row r="143" ht="15" customHeight="1">
      <c r="A143" t="s" s="1954">
        <v>4102</v>
      </c>
      <c r="B143" t="s" s="1952">
        <v>1225</v>
      </c>
      <c r="C143" s="1953">
        <v>0</v>
      </c>
      <c r="D143" s="1953">
        <v>9729450</v>
      </c>
      <c r="E143" s="1953">
        <v>0</v>
      </c>
      <c r="F143" s="1953">
        <v>0</v>
      </c>
      <c r="G143" s="1953">
        <v>0</v>
      </c>
      <c r="H143" s="1953">
        <v>0</v>
      </c>
      <c r="I143" s="1953">
        <v>0</v>
      </c>
      <c r="J143" s="1953">
        <v>0</v>
      </c>
      <c r="K143" s="1953">
        <v>0</v>
      </c>
      <c r="L143" s="1953">
        <v>0</v>
      </c>
      <c r="M143" s="1953">
        <v>0</v>
      </c>
      <c r="N143" s="1953">
        <v>0</v>
      </c>
      <c r="O143" s="1953">
        <v>0</v>
      </c>
    </row>
    <row r="144" ht="15" customHeight="1">
      <c r="A144" t="s" s="1954">
        <v>3970</v>
      </c>
      <c r="B144" t="s" s="1952">
        <v>1182</v>
      </c>
      <c r="C144" s="1953">
        <v>0</v>
      </c>
      <c r="D144" s="1953">
        <v>775649</v>
      </c>
      <c r="E144" s="1953">
        <v>1194053</v>
      </c>
      <c r="F144" s="1953">
        <v>1033675</v>
      </c>
      <c r="G144" s="1953">
        <v>657178</v>
      </c>
      <c r="H144" s="1953">
        <v>395607</v>
      </c>
      <c r="I144" s="1953">
        <v>0</v>
      </c>
      <c r="J144" s="1953">
        <v>0</v>
      </c>
      <c r="K144" s="1953">
        <v>0</v>
      </c>
      <c r="L144" s="1953">
        <v>0</v>
      </c>
      <c r="M144" s="1953">
        <v>0</v>
      </c>
      <c r="N144" s="1953">
        <v>0</v>
      </c>
      <c r="O144" s="1953">
        <v>0</v>
      </c>
    </row>
    <row r="145" ht="15" customHeight="1">
      <c r="A145" t="s" s="1954">
        <v>3971</v>
      </c>
      <c r="B145" t="s" s="1952">
        <v>1184</v>
      </c>
      <c r="C145" s="1953">
        <v>0</v>
      </c>
      <c r="D145" s="1953">
        <v>0</v>
      </c>
      <c r="E145" s="1953">
        <v>0</v>
      </c>
      <c r="F145" s="1953">
        <v>0</v>
      </c>
      <c r="G145" s="1953">
        <v>0</v>
      </c>
      <c r="H145" s="1953">
        <v>0</v>
      </c>
      <c r="I145" s="1953">
        <v>0</v>
      </c>
      <c r="J145" s="1953">
        <v>0</v>
      </c>
      <c r="K145" s="1953">
        <v>119480793.53</v>
      </c>
      <c r="L145" s="1953">
        <v>0</v>
      </c>
      <c r="M145" s="1953">
        <v>257973214.29</v>
      </c>
      <c r="N145" s="1953">
        <v>0</v>
      </c>
      <c r="O145" s="1953">
        <v>0</v>
      </c>
    </row>
    <row r="146" ht="15" customHeight="1">
      <c r="A146" t="s" s="1954">
        <v>3880</v>
      </c>
      <c r="B146" t="s" s="1952">
        <v>1185</v>
      </c>
      <c r="C146" s="1953">
        <v>265000</v>
      </c>
      <c r="D146" s="1953">
        <v>0</v>
      </c>
      <c r="E146" s="1953">
        <v>209000</v>
      </c>
      <c r="F146" s="1953">
        <v>635000</v>
      </c>
      <c r="G146" s="1953">
        <v>1690850</v>
      </c>
      <c r="H146" s="1953">
        <v>0</v>
      </c>
      <c r="I146" s="1953">
        <v>0</v>
      </c>
      <c r="J146" s="1953">
        <v>0</v>
      </c>
      <c r="K146" s="1953">
        <v>0</v>
      </c>
      <c r="L146" s="1953">
        <v>0</v>
      </c>
      <c r="M146" s="1953">
        <v>0</v>
      </c>
      <c r="N146" s="1953">
        <v>0</v>
      </c>
      <c r="O146" s="1953">
        <v>0</v>
      </c>
    </row>
    <row r="147" ht="15" customHeight="1">
      <c r="A147" t="s" s="1954">
        <v>3881</v>
      </c>
      <c r="B147" t="s" s="1952">
        <v>1186</v>
      </c>
      <c r="C147" s="1953">
        <v>1198441</v>
      </c>
      <c r="D147" s="1953">
        <v>3653072</v>
      </c>
      <c r="E147" s="1953">
        <v>1313218</v>
      </c>
      <c r="F147" s="1953">
        <v>4396836</v>
      </c>
      <c r="G147" s="1953">
        <v>3393920</v>
      </c>
      <c r="H147" s="1953">
        <v>3698872</v>
      </c>
      <c r="I147" s="1953">
        <v>1157424</v>
      </c>
      <c r="J147" s="1953">
        <v>2794896</v>
      </c>
      <c r="K147" s="1953">
        <v>3101932</v>
      </c>
      <c r="L147" s="1953">
        <v>1219712</v>
      </c>
      <c r="M147" s="1953">
        <v>3249242</v>
      </c>
      <c r="N147" s="1953">
        <v>1434628</v>
      </c>
      <c r="O147" s="1953">
        <v>227621</v>
      </c>
    </row>
    <row r="148" ht="15" customHeight="1">
      <c r="A148" t="s" s="1954">
        <v>3882</v>
      </c>
      <c r="B148" t="s" s="1952">
        <v>1187</v>
      </c>
      <c r="C148" s="1953">
        <v>2544363</v>
      </c>
      <c r="D148" s="1953">
        <v>3393182</v>
      </c>
      <c r="E148" s="1953">
        <v>3268215</v>
      </c>
      <c r="F148" s="1953">
        <v>4432746</v>
      </c>
      <c r="G148" s="1953">
        <v>8929292</v>
      </c>
      <c r="H148" s="1953">
        <v>2723410</v>
      </c>
      <c r="I148" s="1953">
        <v>2188688</v>
      </c>
      <c r="J148" s="1953">
        <v>7568296</v>
      </c>
      <c r="K148" s="1953">
        <v>602028</v>
      </c>
      <c r="L148" s="1953">
        <v>2387260</v>
      </c>
      <c r="M148" s="1953">
        <v>1033397</v>
      </c>
      <c r="N148" s="1953">
        <v>87500</v>
      </c>
      <c r="O148" s="1953">
        <v>1056404</v>
      </c>
    </row>
    <row r="149" ht="15" customHeight="1">
      <c r="A149" t="s" s="1954">
        <v>3883</v>
      </c>
      <c r="B149" t="s" s="1952">
        <v>1188</v>
      </c>
      <c r="C149" s="1953">
        <v>3835288</v>
      </c>
      <c r="D149" s="1953">
        <v>3835288</v>
      </c>
      <c r="E149" s="1953">
        <v>3835288</v>
      </c>
      <c r="F149" s="1953">
        <v>3835288</v>
      </c>
      <c r="G149" s="1953">
        <v>3835288</v>
      </c>
      <c r="H149" s="1953">
        <v>3835288</v>
      </c>
      <c r="I149" s="1953">
        <v>3835288</v>
      </c>
      <c r="J149" s="1953">
        <v>3835288</v>
      </c>
      <c r="K149" s="1953">
        <v>3835288</v>
      </c>
      <c r="L149" s="1953">
        <v>3835288</v>
      </c>
      <c r="M149" s="1953">
        <v>3835288</v>
      </c>
      <c r="N149" s="1953">
        <v>3835288</v>
      </c>
      <c r="O149" s="1953">
        <v>1143887</v>
      </c>
    </row>
    <row r="150" ht="15" customHeight="1">
      <c r="A150" t="s" s="1954">
        <v>3884</v>
      </c>
      <c r="B150" t="s" s="1952">
        <v>1189</v>
      </c>
      <c r="C150" s="1953">
        <v>2377351</v>
      </c>
      <c r="D150" s="1953">
        <v>628525</v>
      </c>
      <c r="E150" s="1953">
        <v>2080740</v>
      </c>
      <c r="F150" s="1953">
        <v>1703381</v>
      </c>
      <c r="G150" s="1953">
        <v>2813935</v>
      </c>
      <c r="H150" s="1953">
        <v>3396689</v>
      </c>
      <c r="I150" s="1953">
        <v>1890787</v>
      </c>
      <c r="J150" s="1953">
        <v>2125924</v>
      </c>
      <c r="K150" s="1953">
        <v>4130000</v>
      </c>
      <c r="L150" s="1953">
        <v>1580000</v>
      </c>
      <c r="M150" s="1953">
        <v>423790</v>
      </c>
      <c r="N150" s="1953">
        <v>40000</v>
      </c>
      <c r="O150" s="1953">
        <v>1441068</v>
      </c>
    </row>
    <row r="151" ht="15" customHeight="1">
      <c r="A151" t="s" s="1954">
        <v>3885</v>
      </c>
      <c r="B151" t="s" s="1952">
        <v>1190</v>
      </c>
      <c r="C151" s="1953">
        <v>0</v>
      </c>
      <c r="D151" s="1953">
        <v>0</v>
      </c>
      <c r="E151" s="1953">
        <v>0</v>
      </c>
      <c r="F151" s="1953">
        <v>0</v>
      </c>
      <c r="G151" s="1953">
        <v>0</v>
      </c>
      <c r="H151" s="1953">
        <v>0</v>
      </c>
      <c r="I151" s="1953">
        <v>0</v>
      </c>
      <c r="J151" s="1953">
        <v>0</v>
      </c>
      <c r="K151" s="1953">
        <v>0</v>
      </c>
      <c r="L151" s="1953">
        <v>0</v>
      </c>
      <c r="M151" s="1953">
        <v>0</v>
      </c>
      <c r="N151" s="1953">
        <v>0</v>
      </c>
      <c r="O151" s="1953">
        <v>65504</v>
      </c>
    </row>
    <row r="152" ht="15" customHeight="1">
      <c r="A152" t="s" s="1954">
        <v>1192</v>
      </c>
      <c r="B152" t="s" s="1952">
        <v>1191</v>
      </c>
      <c r="C152" s="1953">
        <v>0</v>
      </c>
      <c r="D152" s="1953">
        <v>0</v>
      </c>
      <c r="E152" s="1953">
        <v>0</v>
      </c>
      <c r="F152" s="1953">
        <v>0</v>
      </c>
      <c r="G152" s="1953">
        <v>0</v>
      </c>
      <c r="H152" s="1953">
        <v>0</v>
      </c>
      <c r="I152" s="1953">
        <v>0</v>
      </c>
      <c r="J152" s="1953">
        <v>0</v>
      </c>
      <c r="K152" s="1953">
        <v>0</v>
      </c>
      <c r="L152" s="1953">
        <v>0</v>
      </c>
      <c r="M152" s="1953">
        <v>20000000</v>
      </c>
      <c r="N152" s="1953">
        <v>0</v>
      </c>
      <c r="O152" s="1953">
        <v>0</v>
      </c>
    </row>
    <row r="153" ht="15" customHeight="1">
      <c r="A153" t="s" s="1954">
        <v>3972</v>
      </c>
      <c r="B153" t="s" s="1952">
        <v>1194</v>
      </c>
      <c r="C153" s="1953">
        <v>0</v>
      </c>
      <c r="D153" s="1953">
        <v>0</v>
      </c>
      <c r="E153" s="1953">
        <v>0</v>
      </c>
      <c r="F153" s="1953">
        <v>0</v>
      </c>
      <c r="G153" s="1953">
        <v>0</v>
      </c>
      <c r="H153" s="1953">
        <v>0</v>
      </c>
      <c r="I153" s="1953">
        <v>0</v>
      </c>
      <c r="J153" s="1953">
        <v>0</v>
      </c>
      <c r="K153" s="1953">
        <v>0</v>
      </c>
      <c r="L153" s="1953">
        <v>0</v>
      </c>
      <c r="M153" s="1953">
        <v>0</v>
      </c>
      <c r="N153" s="1953">
        <v>322643</v>
      </c>
      <c r="O153" s="1953">
        <v>0</v>
      </c>
    </row>
    <row r="154" ht="15" customHeight="1">
      <c r="A154" s="1789"/>
      <c r="B154" t="s" s="1952">
        <v>1199</v>
      </c>
      <c r="C154" s="1953">
        <v>1157485026.57</v>
      </c>
      <c r="D154" s="1953">
        <v>1257220218.03</v>
      </c>
      <c r="E154" s="1953">
        <v>1578446427.91</v>
      </c>
      <c r="F154" s="1953">
        <v>1685958031.79</v>
      </c>
      <c r="G154" s="1953">
        <v>1396756913.69</v>
      </c>
      <c r="H154" s="1953">
        <v>1484354506.41</v>
      </c>
      <c r="I154" s="1953">
        <v>1267739527.16</v>
      </c>
      <c r="J154" s="1953">
        <v>922004612.91</v>
      </c>
      <c r="K154" s="1953">
        <v>813116007.3</v>
      </c>
      <c r="L154" s="1953">
        <v>731008993.92</v>
      </c>
      <c r="M154" s="1953">
        <v>990596758.39</v>
      </c>
      <c r="N154" s="1953">
        <v>483818965.07</v>
      </c>
      <c r="O154" s="1953">
        <v>776007801.9400001</v>
      </c>
    </row>
    <row r="155" ht="15" customHeight="1">
      <c r="A155" s="1789"/>
      <c r="B155" t="s" s="1952">
        <v>682</v>
      </c>
      <c r="C155" s="1953">
        <v>47866411.35</v>
      </c>
      <c r="D155" s="1953">
        <v>47655353.55</v>
      </c>
      <c r="E155" s="1953">
        <v>47453249.49</v>
      </c>
      <c r="F155" s="1953">
        <v>31619130.03</v>
      </c>
      <c r="G155" s="1953">
        <v>29909628.58</v>
      </c>
      <c r="H155" s="1953">
        <v>28720685.2</v>
      </c>
      <c r="I155" s="1953">
        <v>30005984.8</v>
      </c>
      <c r="J155" s="1953">
        <v>26911742.01</v>
      </c>
      <c r="K155" s="1953">
        <v>25111556.05</v>
      </c>
      <c r="L155" s="1953">
        <v>14473442.05</v>
      </c>
      <c r="M155" s="1953">
        <v>19384029.65</v>
      </c>
      <c r="N155" s="1953">
        <v>0</v>
      </c>
      <c r="O155" s="1953">
        <v>18657043.91</v>
      </c>
    </row>
    <row r="156" ht="13.5" customHeight="1">
      <c r="A156" s="1789"/>
      <c r="B156" t="s" s="1955">
        <v>1199</v>
      </c>
      <c r="C156" s="1956">
        <v>1205351437.92</v>
      </c>
      <c r="D156" s="1956">
        <v>1304875571.58</v>
      </c>
      <c r="E156" s="1956">
        <v>1625899677.4</v>
      </c>
      <c r="F156" s="1956">
        <v>1717577161.82</v>
      </c>
      <c r="G156" s="1956">
        <v>1426666542.27</v>
      </c>
      <c r="H156" s="1956">
        <v>1513075191.61</v>
      </c>
      <c r="I156" s="1956">
        <v>1297745511.96</v>
      </c>
      <c r="J156" s="1956">
        <v>948916354.92</v>
      </c>
      <c r="K156" s="1956">
        <v>838227563.35</v>
      </c>
      <c r="L156" s="1956">
        <v>745482435.97</v>
      </c>
      <c r="M156" s="1956">
        <v>1009980788.04</v>
      </c>
      <c r="N156" s="1956">
        <v>483818965.07</v>
      </c>
      <c r="O156" s="1956">
        <v>794664845.85</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9.xml><?xml version="1.0" encoding="utf-8"?>
<worksheet xmlns:r="http://schemas.openxmlformats.org/officeDocument/2006/relationships" xmlns="http://schemas.openxmlformats.org/spreadsheetml/2006/main">
  <dimension ref="A1:M145"/>
  <sheetViews>
    <sheetView workbookViewId="0" showGridLines="0" defaultGridColor="1"/>
  </sheetViews>
  <sheetFormatPr defaultColWidth="8.83333" defaultRowHeight="14.5" customHeight="1" outlineLevelRow="0" outlineLevelCol="0"/>
  <cols>
    <col min="1" max="1" width="47.5" style="1957" customWidth="1"/>
    <col min="2" max="2" width="9.35156" style="1957" customWidth="1"/>
    <col min="3" max="13" width="16.1719" style="1957" customWidth="1"/>
    <col min="14" max="16384" width="8.85156" style="1957" customWidth="1"/>
  </cols>
  <sheetData>
    <row r="1" ht="14" customHeight="1">
      <c r="A1" s="1789"/>
      <c r="B1" s="1789"/>
      <c r="C1" t="s" s="1790">
        <v>3898</v>
      </c>
      <c r="D1" t="s" s="1790">
        <v>3899</v>
      </c>
      <c r="E1" t="s" s="1790">
        <v>3900</v>
      </c>
      <c r="F1" t="s" s="1790">
        <v>3901</v>
      </c>
      <c r="G1" t="s" s="1790">
        <v>3902</v>
      </c>
      <c r="H1" t="s" s="1790">
        <v>3903</v>
      </c>
      <c r="I1" t="s" s="1790">
        <v>3904</v>
      </c>
      <c r="J1" t="s" s="1790">
        <v>3905</v>
      </c>
      <c r="K1" t="s" s="1790">
        <v>3906</v>
      </c>
      <c r="L1" t="s" s="1790">
        <v>3907</v>
      </c>
      <c r="M1" t="s" s="1790">
        <v>3908</v>
      </c>
    </row>
    <row r="2" ht="13" customHeight="1" hidden="1">
      <c r="A2" s="1789"/>
      <c r="B2" s="1789"/>
      <c r="C2" s="1870"/>
      <c r="D2" s="1870"/>
      <c r="E2" s="1870"/>
      <c r="F2" s="1870"/>
      <c r="G2" s="1870"/>
      <c r="H2" s="1870"/>
      <c r="I2" s="1870"/>
      <c r="J2" s="1870"/>
      <c r="K2" s="1870"/>
      <c r="L2" s="1870"/>
      <c r="M2" s="1870"/>
    </row>
    <row r="3" ht="14" customHeight="1" hidden="1">
      <c r="A3" s="1789"/>
      <c r="B3" t="s" s="1872">
        <v>1078</v>
      </c>
      <c r="C3" t="s" s="1873">
        <v>1079</v>
      </c>
      <c r="D3" t="s" s="1873">
        <v>1079</v>
      </c>
      <c r="E3" t="s" s="1873">
        <v>1079</v>
      </c>
      <c r="F3" t="s" s="1873">
        <v>1079</v>
      </c>
      <c r="G3" t="s" s="1873">
        <v>1079</v>
      </c>
      <c r="H3" t="s" s="1873">
        <v>1079</v>
      </c>
      <c r="I3" t="s" s="1873">
        <v>1079</v>
      </c>
      <c r="J3" t="s" s="1873">
        <v>1079</v>
      </c>
      <c r="K3" t="s" s="1873">
        <v>1079</v>
      </c>
      <c r="L3" t="s" s="1873">
        <v>1079</v>
      </c>
      <c r="M3" t="s" s="1873">
        <v>1079</v>
      </c>
    </row>
    <row r="4" ht="15.5" customHeight="1">
      <c r="A4" s="1789"/>
      <c r="B4" s="1789"/>
      <c r="C4" s="1834"/>
      <c r="D4" s="1834"/>
      <c r="E4" s="1834"/>
      <c r="F4" s="1834"/>
      <c r="G4" s="1834"/>
      <c r="H4" s="1834"/>
      <c r="I4" s="1834"/>
      <c r="J4" s="1834"/>
      <c r="K4" s="1834"/>
      <c r="L4" s="1834"/>
      <c r="M4" s="1834"/>
    </row>
    <row r="5" ht="15.5" customHeight="1">
      <c r="A5" t="s" s="1876">
        <v>894</v>
      </c>
      <c r="B5" s="1877"/>
      <c r="C5" s="1878">
        <v>1823562766.39</v>
      </c>
      <c r="D5" s="1878">
        <v>1058590120.16</v>
      </c>
      <c r="E5" s="1878">
        <v>1695651877</v>
      </c>
      <c r="F5" s="1878">
        <v>2475871340.61</v>
      </c>
      <c r="G5" s="1878">
        <v>2292937247.73</v>
      </c>
      <c r="H5" s="1878">
        <v>1418446522.79</v>
      </c>
      <c r="I5" s="1878">
        <v>1378392811.74</v>
      </c>
      <c r="J5" s="1878">
        <v>763831692.62</v>
      </c>
      <c r="K5" s="1878">
        <v>-200602018.16</v>
      </c>
      <c r="L5" s="1878">
        <v>19761609.2300002</v>
      </c>
      <c r="M5" s="1878">
        <v>439512581.79</v>
      </c>
    </row>
    <row r="6" ht="15" customHeight="1">
      <c r="A6" s="1832"/>
      <c r="B6" s="1832"/>
      <c r="C6" s="1879"/>
      <c r="D6" s="1879"/>
      <c r="E6" s="1879"/>
      <c r="F6" s="1879"/>
      <c r="G6" s="1879"/>
      <c r="H6" s="1879"/>
      <c r="I6" s="1879"/>
      <c r="J6" s="1879"/>
      <c r="K6" s="1879"/>
      <c r="L6" s="1879"/>
      <c r="M6" s="1879"/>
    </row>
    <row r="7" ht="15.5" customHeight="1">
      <c r="A7" t="s" s="1876">
        <v>546</v>
      </c>
      <c r="B7" s="1877"/>
      <c r="C7" s="1878">
        <v>4210347974.27</v>
      </c>
      <c r="D7" s="1878">
        <v>6815789820.25</v>
      </c>
      <c r="E7" s="1878">
        <v>8067622875.88</v>
      </c>
      <c r="F7" s="1878">
        <v>9561937244.389999</v>
      </c>
      <c r="G7" s="1878">
        <v>9190809370.860001</v>
      </c>
      <c r="H7" s="1878">
        <v>6990033814.06</v>
      </c>
      <c r="I7" s="1878">
        <v>5780882260.26</v>
      </c>
      <c r="J7" s="1878">
        <v>4584816273.59</v>
      </c>
      <c r="K7" s="1878">
        <v>2783649577.88</v>
      </c>
      <c r="L7" s="1878">
        <v>2435947628.3</v>
      </c>
      <c r="M7" s="1878">
        <v>3349504185.64</v>
      </c>
    </row>
    <row r="8" ht="13.5" customHeight="1">
      <c r="A8" t="s" s="1797">
        <v>3712</v>
      </c>
      <c r="B8" s="1832"/>
      <c r="C8" s="1880">
        <v>2607094552.27</v>
      </c>
      <c r="D8" s="1880">
        <v>2754046169.77</v>
      </c>
      <c r="E8" s="1880">
        <v>3118040177</v>
      </c>
      <c r="F8" s="1880">
        <v>3963453067</v>
      </c>
      <c r="G8" s="1880">
        <v>3560903095.7</v>
      </c>
      <c r="H8" s="1880">
        <v>2327668147.95</v>
      </c>
      <c r="I8" s="1880">
        <v>2209175341.83</v>
      </c>
      <c r="J8" s="1880">
        <v>1482274873</v>
      </c>
      <c r="K8" s="1880">
        <v>794486707</v>
      </c>
      <c r="L8" s="1880">
        <v>536533162.96</v>
      </c>
      <c r="M8" s="1880">
        <v>1085351057.94</v>
      </c>
    </row>
    <row r="9" ht="13" customHeight="1">
      <c r="A9" t="s" s="1800">
        <v>3713</v>
      </c>
      <c r="B9" s="1789"/>
      <c r="C9" s="1881">
        <v>4208513974.27</v>
      </c>
      <c r="D9" s="1881">
        <v>6810777893.48</v>
      </c>
      <c r="E9" s="1881">
        <v>8066705761</v>
      </c>
      <c r="F9" s="1881">
        <v>9550474170</v>
      </c>
      <c r="G9" s="1881">
        <v>9163346405.700001</v>
      </c>
      <c r="H9" s="1881">
        <v>6970860261</v>
      </c>
      <c r="I9" s="1881">
        <v>5780671502</v>
      </c>
      <c r="J9" s="1881">
        <v>4584358475</v>
      </c>
      <c r="K9" s="1881">
        <v>2783227547</v>
      </c>
      <c r="L9" s="1881">
        <v>2434690707.96</v>
      </c>
      <c r="M9" s="1881">
        <v>3344801953.94</v>
      </c>
    </row>
    <row r="10" ht="13" customHeight="1">
      <c r="A10" t="s" s="1800">
        <v>3715</v>
      </c>
      <c r="B10" t="s" s="1799">
        <v>3714</v>
      </c>
      <c r="C10" s="1881">
        <v>44900000</v>
      </c>
      <c r="D10" s="1881">
        <v>91641898</v>
      </c>
      <c r="E10" s="1881">
        <v>84944000</v>
      </c>
      <c r="F10" s="1881">
        <v>98960000</v>
      </c>
      <c r="G10" s="1881">
        <v>90430000</v>
      </c>
      <c r="H10" s="1881">
        <v>72000000</v>
      </c>
      <c r="I10" s="1881">
        <v>65960002</v>
      </c>
      <c r="J10" s="1881">
        <v>60400000</v>
      </c>
      <c r="K10" s="1881">
        <v>23390000</v>
      </c>
      <c r="L10" s="1881">
        <v>41690000</v>
      </c>
      <c r="M10" s="1881">
        <v>44028000</v>
      </c>
    </row>
    <row r="11" ht="13" customHeight="1">
      <c r="A11" t="s" s="1800">
        <v>3719</v>
      </c>
      <c r="B11" t="s" s="1799">
        <v>3718</v>
      </c>
      <c r="C11" s="1881">
        <v>1158344294.27</v>
      </c>
      <c r="D11" s="1881">
        <v>1943482602</v>
      </c>
      <c r="E11" s="1881">
        <v>2500644354</v>
      </c>
      <c r="F11" s="1881">
        <v>2763354491</v>
      </c>
      <c r="G11" s="1881">
        <v>2792429356</v>
      </c>
      <c r="H11" s="1881">
        <v>2568066499</v>
      </c>
      <c r="I11" s="1881">
        <v>2295798978</v>
      </c>
      <c r="J11" s="1881">
        <v>1478978805</v>
      </c>
      <c r="K11" s="1881">
        <v>1011647640</v>
      </c>
      <c r="L11" s="1881">
        <v>784164779.96</v>
      </c>
      <c r="M11" s="1881">
        <v>808284759.9400001</v>
      </c>
    </row>
    <row r="12" ht="13" customHeight="1">
      <c r="A12" t="s" s="1800">
        <v>3721</v>
      </c>
      <c r="B12" t="s" s="1799">
        <v>3720</v>
      </c>
      <c r="C12" s="1881">
        <v>456004863</v>
      </c>
      <c r="D12" s="1881">
        <v>806804999.3</v>
      </c>
      <c r="E12" s="1881">
        <v>779211466</v>
      </c>
      <c r="F12" s="1881">
        <v>726253717</v>
      </c>
      <c r="G12" s="1881">
        <v>529204640</v>
      </c>
      <c r="H12" s="1881">
        <v>0</v>
      </c>
      <c r="I12" s="1881">
        <v>0</v>
      </c>
      <c r="J12" s="1881">
        <v>0</v>
      </c>
      <c r="K12" s="1881">
        <v>0</v>
      </c>
      <c r="L12" s="1881">
        <v>0</v>
      </c>
      <c r="M12" s="1881">
        <v>4174998</v>
      </c>
    </row>
    <row r="13" ht="13" customHeight="1">
      <c r="A13" t="s" s="1800">
        <v>3723</v>
      </c>
      <c r="B13" t="s" s="1799">
        <v>3722</v>
      </c>
      <c r="C13" s="1881">
        <v>2312689817</v>
      </c>
      <c r="D13" s="1881">
        <v>3326668087</v>
      </c>
      <c r="E13" s="1881">
        <v>3982466113</v>
      </c>
      <c r="F13" s="1881">
        <v>5299145334</v>
      </c>
      <c r="G13" s="1881">
        <v>5149993633.7</v>
      </c>
      <c r="H13" s="1881">
        <v>3835508612</v>
      </c>
      <c r="I13" s="1881">
        <v>3010637521</v>
      </c>
      <c r="J13" s="1881">
        <v>2789300669</v>
      </c>
      <c r="K13" s="1881">
        <v>1499057745</v>
      </c>
      <c r="L13" s="1881">
        <v>1399130928</v>
      </c>
      <c r="M13" s="1881">
        <v>2070936500</v>
      </c>
    </row>
    <row r="14" ht="13" customHeight="1">
      <c r="A14" t="s" s="1800">
        <v>3725</v>
      </c>
      <c r="B14" t="s" s="1799">
        <v>3724</v>
      </c>
      <c r="C14" s="1881">
        <v>0</v>
      </c>
      <c r="D14" s="1881">
        <v>0</v>
      </c>
      <c r="E14" s="1881">
        <v>94959950</v>
      </c>
      <c r="F14" s="1881">
        <v>0</v>
      </c>
      <c r="G14" s="1881">
        <v>0</v>
      </c>
      <c r="H14" s="1881">
        <v>0</v>
      </c>
      <c r="I14" s="1881">
        <v>63300000</v>
      </c>
      <c r="J14" s="1881">
        <v>22800000</v>
      </c>
      <c r="K14" s="1881">
        <v>9000000</v>
      </c>
      <c r="L14" s="1881">
        <v>0</v>
      </c>
      <c r="M14" s="1881">
        <v>4936000</v>
      </c>
    </row>
    <row r="15" ht="13" customHeight="1">
      <c r="A15" t="s" s="1800">
        <v>3727</v>
      </c>
      <c r="B15" t="s" s="1799">
        <v>3726</v>
      </c>
      <c r="C15" s="1881">
        <v>0</v>
      </c>
      <c r="D15" s="1881">
        <v>0</v>
      </c>
      <c r="E15" s="1881">
        <v>0</v>
      </c>
      <c r="F15" s="1881">
        <v>0</v>
      </c>
      <c r="G15" s="1881">
        <v>2590000</v>
      </c>
      <c r="H15" s="1881">
        <v>0</v>
      </c>
      <c r="I15" s="1881">
        <v>2040000</v>
      </c>
      <c r="J15" s="1881">
        <v>2340000</v>
      </c>
      <c r="K15" s="1881">
        <v>5200000</v>
      </c>
      <c r="L15" s="1881">
        <v>0</v>
      </c>
      <c r="M15" s="1881">
        <v>3900000</v>
      </c>
    </row>
    <row r="16" ht="13" customHeight="1">
      <c r="A16" t="s" s="1800">
        <v>3729</v>
      </c>
      <c r="B16" t="s" s="1799">
        <v>3728</v>
      </c>
      <c r="C16" s="1881">
        <v>0</v>
      </c>
      <c r="D16" s="1881">
        <v>0</v>
      </c>
      <c r="E16" s="1881">
        <v>0</v>
      </c>
      <c r="F16" s="1881">
        <v>0</v>
      </c>
      <c r="G16" s="1881">
        <v>12950000</v>
      </c>
      <c r="H16" s="1881">
        <v>0</v>
      </c>
      <c r="I16" s="1881">
        <v>0</v>
      </c>
      <c r="J16" s="1881">
        <v>0</v>
      </c>
      <c r="K16" s="1881">
        <v>0</v>
      </c>
      <c r="L16" s="1881">
        <v>0</v>
      </c>
      <c r="M16" s="1881">
        <v>0</v>
      </c>
    </row>
    <row r="17" ht="13" customHeight="1">
      <c r="A17" t="s" s="1800">
        <v>3731</v>
      </c>
      <c r="B17" t="s" s="1799">
        <v>3730</v>
      </c>
      <c r="C17" s="1881">
        <v>187500000</v>
      </c>
      <c r="D17" s="1881">
        <v>171100000</v>
      </c>
      <c r="E17" s="1881">
        <v>400850000</v>
      </c>
      <c r="F17" s="1881">
        <v>418800000</v>
      </c>
      <c r="G17" s="1881">
        <v>404900000</v>
      </c>
      <c r="H17" s="1881">
        <v>346700000</v>
      </c>
      <c r="I17" s="1881">
        <v>276050000</v>
      </c>
      <c r="J17" s="1881">
        <v>188500000</v>
      </c>
      <c r="K17" s="1881">
        <v>121250000</v>
      </c>
      <c r="L17" s="1881">
        <v>131700000</v>
      </c>
      <c r="M17" s="1881">
        <v>148050000</v>
      </c>
    </row>
    <row r="18" ht="13" customHeight="1">
      <c r="A18" t="s" s="1800">
        <v>3733</v>
      </c>
      <c r="B18" t="s" s="1799">
        <v>3732</v>
      </c>
      <c r="C18" s="1881">
        <v>0</v>
      </c>
      <c r="D18" s="1881">
        <v>0</v>
      </c>
      <c r="E18" s="1881">
        <v>0</v>
      </c>
      <c r="F18" s="1881">
        <v>0</v>
      </c>
      <c r="G18" s="1881">
        <v>0</v>
      </c>
      <c r="H18" s="1881">
        <v>0</v>
      </c>
      <c r="I18" s="1881">
        <v>0</v>
      </c>
      <c r="J18" s="1881">
        <v>864000</v>
      </c>
      <c r="K18" s="1881">
        <v>3720000</v>
      </c>
      <c r="L18" s="1881">
        <v>0</v>
      </c>
      <c r="M18" s="1881">
        <v>0</v>
      </c>
    </row>
    <row r="19" ht="13" customHeight="1">
      <c r="A19" t="s" s="1800">
        <v>3913</v>
      </c>
      <c r="B19" t="s" s="1799">
        <v>3912</v>
      </c>
      <c r="C19" s="1881">
        <v>0</v>
      </c>
      <c r="D19" s="1881">
        <v>0</v>
      </c>
      <c r="E19" s="1881">
        <v>0</v>
      </c>
      <c r="F19" s="1881">
        <v>3000000</v>
      </c>
      <c r="G19" s="1881">
        <v>0</v>
      </c>
      <c r="H19" s="1881">
        <v>1500000</v>
      </c>
      <c r="I19" s="1881">
        <v>0</v>
      </c>
      <c r="J19" s="1881">
        <v>3700000</v>
      </c>
      <c r="K19" s="1881">
        <v>0</v>
      </c>
      <c r="L19" s="1881">
        <v>24350000</v>
      </c>
      <c r="M19" s="1881">
        <v>152129500</v>
      </c>
    </row>
    <row r="20" ht="13" customHeight="1">
      <c r="A20" t="s" s="1800">
        <v>3735</v>
      </c>
      <c r="B20" t="s" s="1799">
        <v>3734</v>
      </c>
      <c r="C20" s="1881">
        <v>12100000</v>
      </c>
      <c r="D20" s="1881">
        <v>17900000</v>
      </c>
      <c r="E20" s="1881">
        <v>25360000</v>
      </c>
      <c r="F20" s="1881">
        <v>35990000</v>
      </c>
      <c r="G20" s="1881">
        <v>33855000</v>
      </c>
      <c r="H20" s="1881">
        <v>39500000</v>
      </c>
      <c r="I20" s="1881">
        <v>33100000</v>
      </c>
      <c r="J20" s="1881">
        <v>20000000</v>
      </c>
      <c r="K20" s="1881">
        <v>12000000</v>
      </c>
      <c r="L20" s="1881">
        <v>20800000</v>
      </c>
      <c r="M20" s="1881">
        <v>24150000</v>
      </c>
    </row>
    <row r="21" ht="13" customHeight="1">
      <c r="A21" t="s" s="1800">
        <v>3737</v>
      </c>
      <c r="B21" t="s" s="1799">
        <v>3736</v>
      </c>
      <c r="C21" s="1881">
        <v>36975000</v>
      </c>
      <c r="D21" s="1881">
        <v>36395000</v>
      </c>
      <c r="E21" s="1881">
        <v>52890000</v>
      </c>
      <c r="F21" s="1881">
        <v>51580000</v>
      </c>
      <c r="G21" s="1881">
        <v>25950000</v>
      </c>
      <c r="H21" s="1881">
        <v>38280000</v>
      </c>
      <c r="I21" s="1881">
        <v>32500001</v>
      </c>
      <c r="J21" s="1881">
        <v>14980001</v>
      </c>
      <c r="K21" s="1881">
        <v>9300000</v>
      </c>
      <c r="L21" s="1881">
        <v>31200000</v>
      </c>
      <c r="M21" s="1881">
        <v>23000000</v>
      </c>
    </row>
    <row r="22" ht="13" customHeight="1">
      <c r="A22" t="s" s="1800">
        <v>3915</v>
      </c>
      <c r="B22" t="s" s="1799">
        <v>3914</v>
      </c>
      <c r="C22" s="1881">
        <v>0</v>
      </c>
      <c r="D22" s="1881">
        <v>0</v>
      </c>
      <c r="E22" s="1881">
        <v>0</v>
      </c>
      <c r="F22" s="1881">
        <v>0</v>
      </c>
      <c r="G22" s="1881">
        <v>0</v>
      </c>
      <c r="H22" s="1881">
        <v>0</v>
      </c>
      <c r="I22" s="1881">
        <v>0</v>
      </c>
      <c r="J22" s="1881">
        <v>0</v>
      </c>
      <c r="K22" s="1881">
        <v>0</v>
      </c>
      <c r="L22" s="1881">
        <v>0</v>
      </c>
      <c r="M22" s="1881">
        <v>0</v>
      </c>
    </row>
    <row r="23" ht="13" customHeight="1">
      <c r="A23" t="s" s="1800">
        <v>3739</v>
      </c>
      <c r="B23" t="s" s="1799">
        <v>3738</v>
      </c>
      <c r="C23" s="1881">
        <v>0</v>
      </c>
      <c r="D23" s="1881">
        <v>416785307.18</v>
      </c>
      <c r="E23" s="1881">
        <v>145009878</v>
      </c>
      <c r="F23" s="1881">
        <v>151395628</v>
      </c>
      <c r="G23" s="1881">
        <v>120083776</v>
      </c>
      <c r="H23" s="1881">
        <v>69305150</v>
      </c>
      <c r="I23" s="1881">
        <v>0</v>
      </c>
      <c r="J23" s="1881">
        <v>0</v>
      </c>
      <c r="K23" s="1881">
        <v>0</v>
      </c>
      <c r="L23" s="1881">
        <v>0</v>
      </c>
      <c r="M23" s="1881">
        <v>0</v>
      </c>
    </row>
    <row r="24" ht="13" customHeight="1">
      <c r="A24" t="s" s="1800">
        <v>3741</v>
      </c>
      <c r="B24" t="s" s="1799">
        <v>3740</v>
      </c>
      <c r="C24" s="1881">
        <v>0</v>
      </c>
      <c r="D24" s="1881">
        <v>0</v>
      </c>
      <c r="E24" s="1881">
        <v>370000</v>
      </c>
      <c r="F24" s="1881">
        <v>1995000</v>
      </c>
      <c r="G24" s="1881">
        <v>960000</v>
      </c>
      <c r="H24" s="1881">
        <v>0</v>
      </c>
      <c r="I24" s="1881">
        <v>1285000</v>
      </c>
      <c r="J24" s="1881">
        <v>2495000</v>
      </c>
      <c r="K24" s="1881">
        <v>88662162</v>
      </c>
      <c r="L24" s="1881">
        <v>1655000</v>
      </c>
      <c r="M24" s="1881">
        <v>63012196</v>
      </c>
    </row>
    <row r="25" ht="13" customHeight="1">
      <c r="A25" t="s" s="1800">
        <v>3743</v>
      </c>
      <c r="B25" t="s" s="1799">
        <v>3742</v>
      </c>
      <c r="C25" s="1881">
        <v>0</v>
      </c>
      <c r="D25" s="1881">
        <v>0</v>
      </c>
      <c r="E25" s="1881">
        <v>0</v>
      </c>
      <c r="F25" s="1881">
        <v>0</v>
      </c>
      <c r="G25" s="1881">
        <v>0</v>
      </c>
      <c r="H25" s="1881">
        <v>0</v>
      </c>
      <c r="I25" s="1881">
        <v>0</v>
      </c>
      <c r="J25" s="1881">
        <v>0</v>
      </c>
      <c r="K25" s="1881">
        <v>0</v>
      </c>
      <c r="L25" s="1881">
        <v>0</v>
      </c>
      <c r="M25" s="1881">
        <v>-1800000</v>
      </c>
    </row>
    <row r="26" ht="13" customHeight="1">
      <c r="A26" t="s" s="1800">
        <v>3746</v>
      </c>
      <c r="B26" s="1789"/>
      <c r="C26" s="1881">
        <v>4208513974.27</v>
      </c>
      <c r="D26" s="1881">
        <v>6810777893.48</v>
      </c>
      <c r="E26" s="1881">
        <v>8066705761</v>
      </c>
      <c r="F26" s="1881">
        <v>9550474170</v>
      </c>
      <c r="G26" s="1881">
        <v>9163346405.700001</v>
      </c>
      <c r="H26" s="1881">
        <v>6970860261</v>
      </c>
      <c r="I26" s="1881">
        <v>5780671502</v>
      </c>
      <c r="J26" s="1881">
        <v>4584358475</v>
      </c>
      <c r="K26" s="1881">
        <v>2783227547</v>
      </c>
      <c r="L26" s="1881">
        <v>2434690707.96</v>
      </c>
      <c r="M26" s="1881">
        <v>3344801953.94</v>
      </c>
    </row>
    <row r="27" ht="13" customHeight="1">
      <c r="A27" t="s" s="1800">
        <v>3747</v>
      </c>
      <c r="B27" s="1789"/>
      <c r="C27" s="1881">
        <v>1601419422</v>
      </c>
      <c r="D27" s="1881">
        <v>4056731723.71</v>
      </c>
      <c r="E27" s="1881">
        <v>4948665584</v>
      </c>
      <c r="F27" s="1881">
        <v>5587021103</v>
      </c>
      <c r="G27" s="1881">
        <v>5602443310</v>
      </c>
      <c r="H27" s="1881">
        <v>4643192113.05</v>
      </c>
      <c r="I27" s="1881">
        <v>3571496160.17</v>
      </c>
      <c r="J27" s="1881">
        <v>3102083602</v>
      </c>
      <c r="K27" s="1881">
        <v>1988740840</v>
      </c>
      <c r="L27" s="1881">
        <v>1898157545</v>
      </c>
      <c r="M27" s="1881">
        <v>2259450896</v>
      </c>
    </row>
    <row r="28" ht="13" customHeight="1">
      <c r="A28" t="s" s="1800">
        <v>3749</v>
      </c>
      <c r="B28" t="s" s="1799">
        <v>3748</v>
      </c>
      <c r="C28" s="1881">
        <v>2946960</v>
      </c>
      <c r="D28" s="1881">
        <v>0</v>
      </c>
      <c r="E28" s="1881">
        <v>0</v>
      </c>
      <c r="F28" s="1881">
        <v>0</v>
      </c>
      <c r="G28" s="1881">
        <v>0</v>
      </c>
      <c r="H28" s="1881">
        <v>0</v>
      </c>
      <c r="I28" s="1881">
        <v>14015000</v>
      </c>
      <c r="J28" s="1881">
        <v>4560000</v>
      </c>
      <c r="K28" s="1881">
        <v>78650000</v>
      </c>
      <c r="L28" s="1881">
        <v>52000000</v>
      </c>
      <c r="M28" s="1881">
        <v>90025000</v>
      </c>
    </row>
    <row r="29" ht="13" customHeight="1">
      <c r="A29" t="s" s="1800">
        <v>3922</v>
      </c>
      <c r="B29" t="s" s="1799">
        <v>3921</v>
      </c>
      <c r="C29" s="1881">
        <v>0</v>
      </c>
      <c r="D29" s="1881">
        <v>0</v>
      </c>
      <c r="E29" s="1881">
        <v>0</v>
      </c>
      <c r="F29" s="1881">
        <v>0</v>
      </c>
      <c r="G29" s="1881">
        <v>0</v>
      </c>
      <c r="H29" s="1881">
        <v>0</v>
      </c>
      <c r="I29" s="1881">
        <v>0</v>
      </c>
      <c r="J29" s="1881">
        <v>0</v>
      </c>
      <c r="K29" s="1881">
        <v>0</v>
      </c>
      <c r="L29" s="1881">
        <v>0</v>
      </c>
      <c r="M29" s="1881">
        <v>24750000</v>
      </c>
    </row>
    <row r="30" ht="13" customHeight="1">
      <c r="A30" t="s" s="1800">
        <v>3751</v>
      </c>
      <c r="B30" t="s" s="1799">
        <v>3750</v>
      </c>
      <c r="C30" s="1881">
        <v>56750000</v>
      </c>
      <c r="D30" s="1881">
        <v>165190000</v>
      </c>
      <c r="E30" s="1881">
        <v>164575000</v>
      </c>
      <c r="F30" s="1881">
        <v>141875000</v>
      </c>
      <c r="G30" s="1881">
        <v>175925000</v>
      </c>
      <c r="H30" s="1881">
        <v>192950000</v>
      </c>
      <c r="I30" s="1881">
        <v>158900000</v>
      </c>
      <c r="J30" s="1881">
        <v>161974000</v>
      </c>
      <c r="K30" s="1881">
        <v>91725000</v>
      </c>
      <c r="L30" s="1881">
        <v>150780000</v>
      </c>
      <c r="M30" s="1881">
        <v>176664000</v>
      </c>
    </row>
    <row r="31" ht="13" customHeight="1">
      <c r="A31" t="s" s="1800">
        <v>3753</v>
      </c>
      <c r="B31" t="s" s="1799">
        <v>3752</v>
      </c>
      <c r="C31" s="1881">
        <v>15700000</v>
      </c>
      <c r="D31" s="1881">
        <v>89200000</v>
      </c>
      <c r="E31" s="1881">
        <v>89200000</v>
      </c>
      <c r="F31" s="1881">
        <v>112700000</v>
      </c>
      <c r="G31" s="1881">
        <v>122500000</v>
      </c>
      <c r="H31" s="1881">
        <v>117600000</v>
      </c>
      <c r="I31" s="1881">
        <v>98000000</v>
      </c>
      <c r="J31" s="1881">
        <v>133400000</v>
      </c>
      <c r="K31" s="1881">
        <v>93019000</v>
      </c>
      <c r="L31" s="1881">
        <v>50959000</v>
      </c>
      <c r="M31" s="1881">
        <v>77208000</v>
      </c>
    </row>
    <row r="32" ht="13" customHeight="1">
      <c r="A32" t="s" s="1800">
        <v>3755</v>
      </c>
      <c r="B32" t="s" s="1799">
        <v>3754</v>
      </c>
      <c r="C32" s="1881">
        <v>57750000</v>
      </c>
      <c r="D32" s="1881">
        <v>131175000</v>
      </c>
      <c r="E32" s="1881">
        <v>165225000</v>
      </c>
      <c r="F32" s="1881">
        <v>165875000</v>
      </c>
      <c r="G32" s="1881">
        <v>175985000</v>
      </c>
      <c r="H32" s="1881">
        <v>171335000</v>
      </c>
      <c r="I32" s="1881">
        <v>79510000</v>
      </c>
      <c r="J32" s="1881">
        <v>1000000</v>
      </c>
      <c r="K32" s="1881">
        <v>0</v>
      </c>
      <c r="L32" s="1881">
        <v>34831000</v>
      </c>
      <c r="M32" s="1881">
        <v>22802000</v>
      </c>
    </row>
    <row r="33" ht="13" customHeight="1">
      <c r="A33" t="s" s="1800">
        <v>3757</v>
      </c>
      <c r="B33" t="s" s="1799">
        <v>3756</v>
      </c>
      <c r="C33" s="1881">
        <v>14925000</v>
      </c>
      <c r="D33" s="1881">
        <v>98600000</v>
      </c>
      <c r="E33" s="1881">
        <v>84275000</v>
      </c>
      <c r="F33" s="1881">
        <v>133125000</v>
      </c>
      <c r="G33" s="1881">
        <v>121000000</v>
      </c>
      <c r="H33" s="1881">
        <v>140075000</v>
      </c>
      <c r="I33" s="1881">
        <v>93625000</v>
      </c>
      <c r="J33" s="1881">
        <v>132825000</v>
      </c>
      <c r="K33" s="1881">
        <v>64047000</v>
      </c>
      <c r="L33" s="1881">
        <v>94085000</v>
      </c>
      <c r="M33" s="1881">
        <v>72691000</v>
      </c>
    </row>
    <row r="34" ht="13" customHeight="1">
      <c r="A34" t="s" s="1800">
        <v>3924</v>
      </c>
      <c r="B34" t="s" s="1799">
        <v>3923</v>
      </c>
      <c r="C34" s="1881">
        <v>0</v>
      </c>
      <c r="D34" s="1881">
        <v>0</v>
      </c>
      <c r="E34" s="1881">
        <v>0</v>
      </c>
      <c r="F34" s="1881">
        <v>0</v>
      </c>
      <c r="G34" s="1881">
        <v>0</v>
      </c>
      <c r="H34" s="1881">
        <v>0</v>
      </c>
      <c r="I34" s="1881">
        <v>0</v>
      </c>
      <c r="J34" s="1881">
        <v>4850000</v>
      </c>
      <c r="K34" s="1881">
        <v>0</v>
      </c>
      <c r="L34" s="1881">
        <v>0</v>
      </c>
      <c r="M34" s="1881">
        <v>114825000</v>
      </c>
    </row>
    <row r="35" ht="13" customHeight="1">
      <c r="A35" t="s" s="1800">
        <v>3926</v>
      </c>
      <c r="B35" t="s" s="1799">
        <v>3925</v>
      </c>
      <c r="C35" s="1881">
        <v>0</v>
      </c>
      <c r="D35" s="1881">
        <v>0</v>
      </c>
      <c r="E35" s="1881">
        <v>0</v>
      </c>
      <c r="F35" s="1881">
        <v>0</v>
      </c>
      <c r="G35" s="1881">
        <v>0</v>
      </c>
      <c r="H35" s="1881">
        <v>6000000</v>
      </c>
      <c r="I35" s="1881">
        <v>33000000</v>
      </c>
      <c r="J35" s="1881">
        <v>77000000</v>
      </c>
      <c r="K35" s="1881">
        <v>85000000</v>
      </c>
      <c r="L35" s="1881">
        <v>0</v>
      </c>
      <c r="M35" s="1881">
        <v>6000000</v>
      </c>
    </row>
    <row r="36" ht="13" customHeight="1">
      <c r="A36" t="s" s="1800">
        <v>3928</v>
      </c>
      <c r="B36" t="s" s="1799">
        <v>3927</v>
      </c>
      <c r="C36" s="1881">
        <v>0</v>
      </c>
      <c r="D36" s="1881">
        <v>0</v>
      </c>
      <c r="E36" s="1881">
        <v>0</v>
      </c>
      <c r="F36" s="1881">
        <v>2500000</v>
      </c>
      <c r="G36" s="1881">
        <v>7500000</v>
      </c>
      <c r="H36" s="1881">
        <v>2500000</v>
      </c>
      <c r="I36" s="1881">
        <v>2500000</v>
      </c>
      <c r="J36" s="1881">
        <v>2500000</v>
      </c>
      <c r="K36" s="1881">
        <v>5000000</v>
      </c>
      <c r="L36" s="1881">
        <v>0</v>
      </c>
      <c r="M36" s="1881">
        <v>5000000</v>
      </c>
    </row>
    <row r="37" ht="13" customHeight="1">
      <c r="A37" t="s" s="1800">
        <v>3930</v>
      </c>
      <c r="B37" t="s" s="1799">
        <v>3929</v>
      </c>
      <c r="C37" s="1881">
        <v>0</v>
      </c>
      <c r="D37" s="1881">
        <v>0</v>
      </c>
      <c r="E37" s="1881">
        <v>0</v>
      </c>
      <c r="F37" s="1881">
        <v>9600000</v>
      </c>
      <c r="G37" s="1881">
        <v>9200000</v>
      </c>
      <c r="H37" s="1881">
        <v>17000000</v>
      </c>
      <c r="I37" s="1881">
        <v>26800000</v>
      </c>
      <c r="J37" s="1881">
        <v>27600000</v>
      </c>
      <c r="K37" s="1881">
        <v>16000000</v>
      </c>
      <c r="L37" s="1881">
        <v>0</v>
      </c>
      <c r="M37" s="1881">
        <v>0</v>
      </c>
    </row>
    <row r="38" ht="13" customHeight="1">
      <c r="A38" t="s" s="1800">
        <v>3932</v>
      </c>
      <c r="B38" t="s" s="1799">
        <v>3931</v>
      </c>
      <c r="C38" s="1881">
        <v>0</v>
      </c>
      <c r="D38" s="1881">
        <v>0</v>
      </c>
      <c r="E38" s="1881">
        <v>0</v>
      </c>
      <c r="F38" s="1881">
        <v>0</v>
      </c>
      <c r="G38" s="1881">
        <v>8000000</v>
      </c>
      <c r="H38" s="1881">
        <v>16000000</v>
      </c>
      <c r="I38" s="1881">
        <v>8000000</v>
      </c>
      <c r="J38" s="1881">
        <v>0</v>
      </c>
      <c r="K38" s="1881">
        <v>0</v>
      </c>
      <c r="L38" s="1881">
        <v>0</v>
      </c>
      <c r="M38" s="1881">
        <v>0</v>
      </c>
    </row>
    <row r="39" ht="13" customHeight="1">
      <c r="A39" t="s" s="1800">
        <v>3759</v>
      </c>
      <c r="B39" t="s" s="1799">
        <v>3758</v>
      </c>
      <c r="C39" s="1881">
        <v>0</v>
      </c>
      <c r="D39" s="1881">
        <v>0</v>
      </c>
      <c r="E39" s="1881">
        <v>0</v>
      </c>
      <c r="F39" s="1881">
        <v>64000000</v>
      </c>
      <c r="G39" s="1881">
        <v>64000000</v>
      </c>
      <c r="H39" s="1881">
        <v>64000000</v>
      </c>
      <c r="I39" s="1881">
        <v>16000000</v>
      </c>
      <c r="J39" s="1881">
        <v>80000000</v>
      </c>
      <c r="K39" s="1881">
        <v>64000000</v>
      </c>
      <c r="L39" s="1881">
        <v>65500000</v>
      </c>
      <c r="M39" s="1881">
        <v>40000000</v>
      </c>
    </row>
    <row r="40" ht="13" customHeight="1">
      <c r="A40" t="s" s="1800">
        <v>3761</v>
      </c>
      <c r="B40" t="s" s="1799">
        <v>3760</v>
      </c>
      <c r="C40" s="1881">
        <v>85775000</v>
      </c>
      <c r="D40" s="1881">
        <v>131175000</v>
      </c>
      <c r="E40" s="1881">
        <v>164275000</v>
      </c>
      <c r="F40" s="1881">
        <v>170612500</v>
      </c>
      <c r="G40" s="1881">
        <v>169950000</v>
      </c>
      <c r="H40" s="1881">
        <v>157700000</v>
      </c>
      <c r="I40" s="1881">
        <v>170310000</v>
      </c>
      <c r="J40" s="1881">
        <v>147590000</v>
      </c>
      <c r="K40" s="1881">
        <v>136892000</v>
      </c>
      <c r="L40" s="1881">
        <v>150015000</v>
      </c>
      <c r="M40" s="1881">
        <v>146469000</v>
      </c>
    </row>
    <row r="41" ht="13" customHeight="1">
      <c r="A41" t="s" s="1800">
        <v>3763</v>
      </c>
      <c r="B41" t="s" s="1799">
        <v>3762</v>
      </c>
      <c r="C41" s="1881">
        <v>0</v>
      </c>
      <c r="D41" s="1881">
        <v>0</v>
      </c>
      <c r="E41" s="1881">
        <v>7500000</v>
      </c>
      <c r="F41" s="1881">
        <v>15000000</v>
      </c>
      <c r="G41" s="1881">
        <v>30000000</v>
      </c>
      <c r="H41" s="1881">
        <v>7500000</v>
      </c>
      <c r="I41" s="1881">
        <v>7500000</v>
      </c>
      <c r="J41" s="1881">
        <v>37500000</v>
      </c>
      <c r="K41" s="1881">
        <v>0</v>
      </c>
      <c r="L41" s="1881">
        <v>7500000</v>
      </c>
      <c r="M41" s="1881">
        <v>22518000</v>
      </c>
    </row>
    <row r="42" ht="13" customHeight="1">
      <c r="A42" t="s" s="1800">
        <v>3765</v>
      </c>
      <c r="B42" t="s" s="1799">
        <v>3764</v>
      </c>
      <c r="C42" s="1881">
        <v>60075000</v>
      </c>
      <c r="D42" s="1881">
        <v>160507500</v>
      </c>
      <c r="E42" s="1881">
        <v>173550000</v>
      </c>
      <c r="F42" s="1881">
        <v>180885000</v>
      </c>
      <c r="G42" s="1881">
        <v>199650000</v>
      </c>
      <c r="H42" s="1881">
        <v>186900000</v>
      </c>
      <c r="I42" s="1881">
        <v>180225000</v>
      </c>
      <c r="J42" s="1881">
        <v>196575000</v>
      </c>
      <c r="K42" s="1881">
        <v>147697000</v>
      </c>
      <c r="L42" s="1881">
        <v>139256000</v>
      </c>
      <c r="M42" s="1881">
        <v>134338000</v>
      </c>
    </row>
    <row r="43" ht="13" customHeight="1">
      <c r="A43" t="s" s="1800">
        <v>3934</v>
      </c>
      <c r="B43" t="s" s="1799">
        <v>3933</v>
      </c>
      <c r="C43" s="1881">
        <v>0</v>
      </c>
      <c r="D43" s="1881">
        <v>0</v>
      </c>
      <c r="E43" s="1881">
        <v>0</v>
      </c>
      <c r="F43" s="1881">
        <v>0</v>
      </c>
      <c r="G43" s="1881">
        <v>0</v>
      </c>
      <c r="H43" s="1881">
        <v>0</v>
      </c>
      <c r="I43" s="1881">
        <v>0</v>
      </c>
      <c r="J43" s="1881">
        <v>0</v>
      </c>
      <c r="K43" s="1881">
        <v>0</v>
      </c>
      <c r="L43" s="1881">
        <v>23500000</v>
      </c>
      <c r="M43" s="1881">
        <v>16500000</v>
      </c>
    </row>
    <row r="44" ht="13" customHeight="1">
      <c r="A44" t="s" s="1800">
        <v>3767</v>
      </c>
      <c r="B44" t="s" s="1799">
        <v>3766</v>
      </c>
      <c r="C44" s="1881">
        <v>0</v>
      </c>
      <c r="D44" s="1881">
        <v>0</v>
      </c>
      <c r="E44" s="1881">
        <v>0</v>
      </c>
      <c r="F44" s="1881">
        <v>0</v>
      </c>
      <c r="G44" s="1881">
        <v>0</v>
      </c>
      <c r="H44" s="1881">
        <v>0</v>
      </c>
      <c r="I44" s="1881">
        <v>0</v>
      </c>
      <c r="J44" s="1881">
        <v>3800000</v>
      </c>
      <c r="K44" s="1881">
        <v>78975000</v>
      </c>
      <c r="L44" s="1881">
        <v>80450000</v>
      </c>
      <c r="M44" s="1881">
        <v>89775000</v>
      </c>
    </row>
    <row r="45" ht="13" customHeight="1">
      <c r="A45" t="s" s="1800">
        <v>3769</v>
      </c>
      <c r="B45" t="s" s="1799">
        <v>3768</v>
      </c>
      <c r="C45" s="1881">
        <v>34050000</v>
      </c>
      <c r="D45" s="1881">
        <v>90900000</v>
      </c>
      <c r="E45" s="1881">
        <v>158600000</v>
      </c>
      <c r="F45" s="1881">
        <v>158300000</v>
      </c>
      <c r="G45" s="1881">
        <v>152025000</v>
      </c>
      <c r="H45" s="1881">
        <v>139475000</v>
      </c>
      <c r="I45" s="1881">
        <v>168450000</v>
      </c>
      <c r="J45" s="1881">
        <v>129625000</v>
      </c>
      <c r="K45" s="1881">
        <v>72061000</v>
      </c>
      <c r="L45" s="1881">
        <v>28231000</v>
      </c>
      <c r="M45" s="1881">
        <v>28071000</v>
      </c>
    </row>
    <row r="46" ht="13" customHeight="1">
      <c r="A46" t="s" s="1800">
        <v>3771</v>
      </c>
      <c r="B46" t="s" s="1799">
        <v>3770</v>
      </c>
      <c r="C46" s="1881">
        <v>11000000</v>
      </c>
      <c r="D46" s="1881">
        <v>34200000</v>
      </c>
      <c r="E46" s="1881">
        <v>33800000</v>
      </c>
      <c r="F46" s="1881">
        <v>73300000</v>
      </c>
      <c r="G46" s="1881">
        <v>110200000</v>
      </c>
      <c r="H46" s="1881">
        <v>5300000</v>
      </c>
      <c r="I46" s="1881">
        <v>0</v>
      </c>
      <c r="J46" s="1881">
        <v>37100000</v>
      </c>
      <c r="K46" s="1881">
        <v>0</v>
      </c>
      <c r="L46" s="1881">
        <v>10600000</v>
      </c>
      <c r="M46" s="1881">
        <v>42400000</v>
      </c>
    </row>
    <row r="47" ht="13" customHeight="1">
      <c r="A47" t="s" s="1800">
        <v>3936</v>
      </c>
      <c r="B47" t="s" s="1799">
        <v>3935</v>
      </c>
      <c r="C47" s="1881">
        <v>0</v>
      </c>
      <c r="D47" s="1881">
        <v>0</v>
      </c>
      <c r="E47" s="1881">
        <v>0</v>
      </c>
      <c r="F47" s="1881">
        <v>18000000</v>
      </c>
      <c r="G47" s="1881">
        <v>0</v>
      </c>
      <c r="H47" s="1881">
        <v>0</v>
      </c>
      <c r="I47" s="1881">
        <v>18000000</v>
      </c>
      <c r="J47" s="1881">
        <v>27000000</v>
      </c>
      <c r="K47" s="1881">
        <v>9000000</v>
      </c>
      <c r="L47" s="1881">
        <v>18000000</v>
      </c>
      <c r="M47" s="1881">
        <v>36410000</v>
      </c>
    </row>
    <row r="48" ht="13" customHeight="1">
      <c r="A48" t="s" s="1800">
        <v>3773</v>
      </c>
      <c r="B48" t="s" s="1799">
        <v>3772</v>
      </c>
      <c r="C48" s="1881">
        <v>2200000</v>
      </c>
      <c r="D48" s="1881">
        <v>600000</v>
      </c>
      <c r="E48" s="1881">
        <v>600000</v>
      </c>
      <c r="F48" s="1881">
        <v>5000000</v>
      </c>
      <c r="G48" s="1881">
        <v>0</v>
      </c>
      <c r="H48" s="1881">
        <v>6265000</v>
      </c>
      <c r="I48" s="1881">
        <v>3330000</v>
      </c>
      <c r="J48" s="1881">
        <v>7110000</v>
      </c>
      <c r="K48" s="1881">
        <v>820000</v>
      </c>
      <c r="L48" s="1881">
        <v>14143374</v>
      </c>
      <c r="M48" s="1881">
        <v>1590000</v>
      </c>
    </row>
    <row r="49" ht="13" customHeight="1">
      <c r="A49" t="s" s="1800">
        <v>3775</v>
      </c>
      <c r="B49" t="s" s="1799">
        <v>3774</v>
      </c>
      <c r="C49" s="1881">
        <v>33375000</v>
      </c>
      <c r="D49" s="1881">
        <v>115080000</v>
      </c>
      <c r="E49" s="1881">
        <v>153525000</v>
      </c>
      <c r="F49" s="1881">
        <v>180225000</v>
      </c>
      <c r="G49" s="1881">
        <v>186900000</v>
      </c>
      <c r="H49" s="1881">
        <v>166875000</v>
      </c>
      <c r="I49" s="1881">
        <v>186900000</v>
      </c>
      <c r="J49" s="1881">
        <v>109560000</v>
      </c>
      <c r="K49" s="1881">
        <v>36250000</v>
      </c>
      <c r="L49" s="1881">
        <v>29000000</v>
      </c>
      <c r="M49" s="1881">
        <v>0</v>
      </c>
    </row>
    <row r="50" ht="13" customHeight="1">
      <c r="A50" t="s" s="1800">
        <v>3777</v>
      </c>
      <c r="B50" t="s" s="1799">
        <v>3776</v>
      </c>
      <c r="C50" s="1881">
        <v>79439000</v>
      </c>
      <c r="D50" s="1881">
        <v>131082000</v>
      </c>
      <c r="E50" s="1881">
        <v>269930000</v>
      </c>
      <c r="F50" s="1881">
        <v>253954000</v>
      </c>
      <c r="G50" s="1881">
        <v>290355000</v>
      </c>
      <c r="H50" s="1881">
        <v>299703000</v>
      </c>
      <c r="I50" s="1881">
        <v>226243000</v>
      </c>
      <c r="J50" s="1881">
        <v>146249000</v>
      </c>
      <c r="K50" s="1881">
        <v>65589000</v>
      </c>
      <c r="L50" s="1881">
        <v>103377000</v>
      </c>
      <c r="M50" s="1881">
        <v>126698000</v>
      </c>
    </row>
    <row r="51" ht="13" customHeight="1">
      <c r="A51" t="s" s="1800">
        <v>3779</v>
      </c>
      <c r="B51" t="s" s="1799">
        <v>3778</v>
      </c>
      <c r="C51" s="1881">
        <v>102720000</v>
      </c>
      <c r="D51" s="1881">
        <v>284640000</v>
      </c>
      <c r="E51" s="1881">
        <v>313440000</v>
      </c>
      <c r="F51" s="1881">
        <v>362880000</v>
      </c>
      <c r="G51" s="1881">
        <v>365280000</v>
      </c>
      <c r="H51" s="1881">
        <v>296640000</v>
      </c>
      <c r="I51" s="1881">
        <v>266400000</v>
      </c>
      <c r="J51" s="1881">
        <v>197830000</v>
      </c>
      <c r="K51" s="1881">
        <v>126720000</v>
      </c>
      <c r="L51" s="1881">
        <v>127400000</v>
      </c>
      <c r="M51" s="1881">
        <v>125700000</v>
      </c>
    </row>
    <row r="52" ht="13" customHeight="1">
      <c r="A52" t="s" s="1800">
        <v>3781</v>
      </c>
      <c r="B52" t="s" s="1799">
        <v>3780</v>
      </c>
      <c r="C52" s="1881">
        <v>15750000</v>
      </c>
      <c r="D52" s="1881">
        <v>35100000</v>
      </c>
      <c r="E52" s="1881">
        <v>31950000</v>
      </c>
      <c r="F52" s="1881">
        <v>31650000</v>
      </c>
      <c r="G52" s="1881">
        <v>37050000</v>
      </c>
      <c r="H52" s="1881">
        <v>32400000</v>
      </c>
      <c r="I52" s="1881">
        <v>22050000</v>
      </c>
      <c r="J52" s="1881">
        <v>21600000</v>
      </c>
      <c r="K52" s="1881">
        <v>12550000</v>
      </c>
      <c r="L52" s="1881">
        <v>8475000</v>
      </c>
      <c r="M52" s="1881">
        <v>17700000</v>
      </c>
    </row>
    <row r="53" ht="13" customHeight="1">
      <c r="A53" t="s" s="1800">
        <v>3938</v>
      </c>
      <c r="B53" t="s" s="1799">
        <v>3937</v>
      </c>
      <c r="C53" s="1881">
        <v>0</v>
      </c>
      <c r="D53" s="1881">
        <v>0</v>
      </c>
      <c r="E53" s="1881">
        <v>0</v>
      </c>
      <c r="F53" s="1881">
        <v>0</v>
      </c>
      <c r="G53" s="1881">
        <v>0</v>
      </c>
      <c r="H53" s="1881">
        <v>0</v>
      </c>
      <c r="I53" s="1881">
        <v>0</v>
      </c>
      <c r="J53" s="1881">
        <v>0</v>
      </c>
      <c r="K53" s="1881">
        <v>250000</v>
      </c>
      <c r="L53" s="1881">
        <v>0</v>
      </c>
      <c r="M53" s="1881">
        <v>0</v>
      </c>
    </row>
    <row r="54" ht="13" customHeight="1">
      <c r="A54" t="s" s="1800">
        <v>3940</v>
      </c>
      <c r="B54" t="s" s="1799">
        <v>3939</v>
      </c>
      <c r="C54" s="1881">
        <v>0</v>
      </c>
      <c r="D54" s="1881">
        <v>0</v>
      </c>
      <c r="E54" s="1881">
        <v>0</v>
      </c>
      <c r="F54" s="1881">
        <v>0</v>
      </c>
      <c r="G54" s="1881">
        <v>0</v>
      </c>
      <c r="H54" s="1881">
        <v>0</v>
      </c>
      <c r="I54" s="1881">
        <v>0</v>
      </c>
      <c r="J54" s="1881">
        <v>83000000</v>
      </c>
      <c r="K54" s="1881">
        <v>25000000</v>
      </c>
      <c r="L54" s="1881">
        <v>26350000</v>
      </c>
      <c r="M54" s="1881">
        <v>0</v>
      </c>
    </row>
    <row r="55" ht="13" customHeight="1">
      <c r="A55" t="s" s="1800">
        <v>3783</v>
      </c>
      <c r="B55" t="s" s="1799">
        <v>3782</v>
      </c>
      <c r="C55" s="1881">
        <v>164940000</v>
      </c>
      <c r="D55" s="1881">
        <v>473590000</v>
      </c>
      <c r="E55" s="1881">
        <v>549088500</v>
      </c>
      <c r="F55" s="1881">
        <v>601931000</v>
      </c>
      <c r="G55" s="1881">
        <v>703062500</v>
      </c>
      <c r="H55" s="1881">
        <v>542680000</v>
      </c>
      <c r="I55" s="1881">
        <v>415548000</v>
      </c>
      <c r="J55" s="1881">
        <v>208118100</v>
      </c>
      <c r="K55" s="1881">
        <v>120000</v>
      </c>
      <c r="L55" s="1881">
        <v>0</v>
      </c>
      <c r="M55" s="1881">
        <v>33840000</v>
      </c>
    </row>
    <row r="56" ht="13" customHeight="1">
      <c r="A56" t="s" s="1800">
        <v>3785</v>
      </c>
      <c r="B56" t="s" s="1799">
        <v>3784</v>
      </c>
      <c r="C56" s="1881">
        <v>14755218</v>
      </c>
      <c r="D56" s="1881">
        <v>39011297</v>
      </c>
      <c r="E56" s="1881">
        <v>15494858</v>
      </c>
      <c r="F56" s="1881">
        <v>108489343</v>
      </c>
      <c r="G56" s="1881">
        <v>29807415</v>
      </c>
      <c r="H56" s="1881">
        <v>113308375</v>
      </c>
      <c r="I56" s="1881">
        <v>74169806</v>
      </c>
      <c r="J56" s="1881">
        <v>115467530</v>
      </c>
      <c r="K56" s="1881">
        <v>185018960</v>
      </c>
      <c r="L56" s="1881">
        <v>126840553</v>
      </c>
      <c r="M56" s="1881">
        <v>145855747</v>
      </c>
    </row>
    <row r="57" ht="13" customHeight="1">
      <c r="A57" t="s" s="1800">
        <v>3787</v>
      </c>
      <c r="B57" t="s" s="1799">
        <v>3786</v>
      </c>
      <c r="C57" s="1881">
        <v>99232014</v>
      </c>
      <c r="D57" s="1881">
        <v>180331025</v>
      </c>
      <c r="E57" s="1881">
        <v>276256607</v>
      </c>
      <c r="F57" s="1881">
        <v>191437637</v>
      </c>
      <c r="G57" s="1881">
        <v>188121734</v>
      </c>
      <c r="H57" s="1881">
        <v>188163045</v>
      </c>
      <c r="I57" s="1881">
        <v>119009530.17</v>
      </c>
      <c r="J57" s="1881">
        <v>78102733</v>
      </c>
      <c r="K57" s="1881">
        <v>64465127</v>
      </c>
      <c r="L57" s="1881">
        <v>68737170</v>
      </c>
      <c r="M57" s="1881">
        <v>71617999</v>
      </c>
    </row>
    <row r="58" ht="13" customHeight="1">
      <c r="A58" t="s" s="1800">
        <v>3942</v>
      </c>
      <c r="B58" t="s" s="1799">
        <v>3941</v>
      </c>
      <c r="C58" s="1881">
        <v>0</v>
      </c>
      <c r="D58" s="1881">
        <v>0</v>
      </c>
      <c r="E58" s="1881">
        <v>0</v>
      </c>
      <c r="F58" s="1881">
        <v>0</v>
      </c>
      <c r="G58" s="1881">
        <v>0</v>
      </c>
      <c r="H58" s="1881">
        <v>0</v>
      </c>
      <c r="I58" s="1881">
        <v>0</v>
      </c>
      <c r="J58" s="1881">
        <v>0</v>
      </c>
      <c r="K58" s="1881">
        <v>0</v>
      </c>
      <c r="L58" s="1881">
        <v>2792898</v>
      </c>
      <c r="M58" s="1881">
        <v>16922550</v>
      </c>
    </row>
    <row r="59" ht="13" customHeight="1">
      <c r="A59" t="s" s="1800">
        <v>3789</v>
      </c>
      <c r="B59" t="s" s="1799">
        <v>3788</v>
      </c>
      <c r="C59" s="1881">
        <v>144926995</v>
      </c>
      <c r="D59" s="1881">
        <v>358921375</v>
      </c>
      <c r="E59" s="1881">
        <v>417349500</v>
      </c>
      <c r="F59" s="1881">
        <v>486609875</v>
      </c>
      <c r="G59" s="1881">
        <v>468805000</v>
      </c>
      <c r="H59" s="1881">
        <v>372025000</v>
      </c>
      <c r="I59" s="1881">
        <v>318100000</v>
      </c>
      <c r="J59" s="1881">
        <v>254100004</v>
      </c>
      <c r="K59" s="1881">
        <v>159000000</v>
      </c>
      <c r="L59" s="1881">
        <v>153275000</v>
      </c>
      <c r="M59" s="1881">
        <v>189250000</v>
      </c>
    </row>
    <row r="60" ht="13" customHeight="1">
      <c r="A60" t="s" s="1800">
        <v>3791</v>
      </c>
      <c r="B60" t="s" s="1799">
        <v>3790</v>
      </c>
      <c r="C60" s="1881">
        <v>19750000</v>
      </c>
      <c r="D60" s="1881">
        <v>15800000</v>
      </c>
      <c r="E60" s="1881">
        <v>57750000</v>
      </c>
      <c r="F60" s="1881">
        <v>120150000</v>
      </c>
      <c r="G60" s="1881">
        <v>0</v>
      </c>
      <c r="H60" s="1881">
        <v>30800000</v>
      </c>
      <c r="I60" s="1881">
        <v>20000000</v>
      </c>
      <c r="J60" s="1881">
        <v>17800000</v>
      </c>
      <c r="K60" s="1881">
        <v>12000000</v>
      </c>
      <c r="L60" s="1881">
        <v>0</v>
      </c>
      <c r="M60" s="1881">
        <v>18400000</v>
      </c>
    </row>
    <row r="61" ht="13" customHeight="1">
      <c r="A61" t="s" s="1800">
        <v>3793</v>
      </c>
      <c r="B61" t="s" s="1799">
        <v>3792</v>
      </c>
      <c r="C61" s="1881">
        <v>790000</v>
      </c>
      <c r="D61" s="1881">
        <v>53465812.5</v>
      </c>
      <c r="E61" s="1881">
        <v>54025000</v>
      </c>
      <c r="F61" s="1881">
        <v>72840000</v>
      </c>
      <c r="G61" s="1881">
        <v>41136000</v>
      </c>
      <c r="H61" s="1881">
        <v>20162000</v>
      </c>
      <c r="I61" s="1881">
        <v>17370000</v>
      </c>
      <c r="J61" s="1881">
        <v>17469800</v>
      </c>
      <c r="K61" s="1881">
        <v>5050000</v>
      </c>
      <c r="L61" s="1881">
        <v>4780000</v>
      </c>
      <c r="M61" s="1881">
        <v>11967500</v>
      </c>
    </row>
    <row r="62" ht="13" customHeight="1">
      <c r="A62" t="s" s="1800">
        <v>3944</v>
      </c>
      <c r="B62" t="s" s="1799">
        <v>3943</v>
      </c>
      <c r="C62" s="1881">
        <v>0</v>
      </c>
      <c r="D62" s="1881">
        <v>0</v>
      </c>
      <c r="E62" s="1881">
        <v>0</v>
      </c>
      <c r="F62" s="1881">
        <v>15400000</v>
      </c>
      <c r="G62" s="1881">
        <v>77000000</v>
      </c>
      <c r="H62" s="1881">
        <v>0</v>
      </c>
      <c r="I62" s="1881">
        <v>46200000</v>
      </c>
      <c r="J62" s="1881">
        <v>24000000</v>
      </c>
      <c r="K62" s="1881">
        <v>0</v>
      </c>
      <c r="L62" s="1881">
        <v>38000000</v>
      </c>
      <c r="M62" s="1881">
        <v>0</v>
      </c>
    </row>
    <row r="63" ht="13" customHeight="1">
      <c r="A63" t="s" s="1800">
        <v>3795</v>
      </c>
      <c r="B63" t="s" s="1799">
        <v>3794</v>
      </c>
      <c r="C63" s="1881">
        <v>0</v>
      </c>
      <c r="D63" s="1881">
        <v>0</v>
      </c>
      <c r="E63" s="1881">
        <v>0</v>
      </c>
      <c r="F63" s="1881">
        <v>47100000</v>
      </c>
      <c r="G63" s="1881">
        <v>39780000</v>
      </c>
      <c r="H63" s="1881">
        <v>41310000</v>
      </c>
      <c r="I63" s="1881">
        <v>0</v>
      </c>
      <c r="J63" s="1881">
        <v>52070000</v>
      </c>
      <c r="K63" s="1881">
        <v>49570000</v>
      </c>
      <c r="L63" s="1881">
        <v>0</v>
      </c>
      <c r="M63" s="1881">
        <v>0</v>
      </c>
    </row>
    <row r="64" ht="13" customHeight="1">
      <c r="A64" t="s" s="1800">
        <v>3946</v>
      </c>
      <c r="B64" t="s" s="1799">
        <v>3945</v>
      </c>
      <c r="C64" s="1881">
        <v>0</v>
      </c>
      <c r="D64" s="1881">
        <v>0</v>
      </c>
      <c r="E64" s="1881">
        <v>0</v>
      </c>
      <c r="F64" s="1881">
        <v>0</v>
      </c>
      <c r="G64" s="1881">
        <v>37740000</v>
      </c>
      <c r="H64" s="1881">
        <v>0</v>
      </c>
      <c r="I64" s="1881">
        <v>47175000</v>
      </c>
      <c r="J64" s="1881">
        <v>17000000</v>
      </c>
      <c r="K64" s="1881">
        <v>0</v>
      </c>
      <c r="L64" s="1881">
        <v>0</v>
      </c>
      <c r="M64" s="1881">
        <v>0</v>
      </c>
    </row>
    <row r="65" ht="13" customHeight="1">
      <c r="A65" t="s" s="1800">
        <v>3797</v>
      </c>
      <c r="B65" t="s" s="1799">
        <v>3796</v>
      </c>
      <c r="C65" s="1881">
        <v>0</v>
      </c>
      <c r="D65" s="1881">
        <v>0</v>
      </c>
      <c r="E65" s="1881">
        <v>50000000</v>
      </c>
      <c r="F65" s="1881">
        <v>108000000</v>
      </c>
      <c r="G65" s="1881">
        <v>0</v>
      </c>
      <c r="H65" s="1881">
        <v>123000000</v>
      </c>
      <c r="I65" s="1881">
        <v>125000000</v>
      </c>
      <c r="J65" s="1881">
        <v>77600000</v>
      </c>
      <c r="K65" s="1881">
        <v>0</v>
      </c>
      <c r="L65" s="1881">
        <v>0</v>
      </c>
      <c r="M65" s="1881">
        <v>0</v>
      </c>
    </row>
    <row r="66" ht="13" customHeight="1">
      <c r="A66" t="s" s="1800">
        <v>3799</v>
      </c>
      <c r="B66" t="s" s="1799">
        <v>3798</v>
      </c>
      <c r="C66" s="1881">
        <v>34362500</v>
      </c>
      <c r="D66" s="1881">
        <v>205450000</v>
      </c>
      <c r="E66" s="1881">
        <v>198387500</v>
      </c>
      <c r="F66" s="1881">
        <v>188781250</v>
      </c>
      <c r="G66" s="1881">
        <v>325296250</v>
      </c>
      <c r="H66" s="1881">
        <v>159210000</v>
      </c>
      <c r="I66" s="1881">
        <v>18000000</v>
      </c>
      <c r="J66" s="1881">
        <v>0</v>
      </c>
      <c r="K66" s="1881">
        <v>0</v>
      </c>
      <c r="L66" s="1881">
        <v>0</v>
      </c>
      <c r="M66" s="1881">
        <v>0</v>
      </c>
    </row>
    <row r="67" ht="13" customHeight="1">
      <c r="A67" t="s" s="1800">
        <v>3801</v>
      </c>
      <c r="B67" t="s" s="1799">
        <v>3800</v>
      </c>
      <c r="C67" s="1881">
        <v>36000000</v>
      </c>
      <c r="D67" s="1881">
        <v>18000000</v>
      </c>
      <c r="E67" s="1881">
        <v>0</v>
      </c>
      <c r="F67" s="1881">
        <v>90000000</v>
      </c>
      <c r="G67" s="1881">
        <v>18000000</v>
      </c>
      <c r="H67" s="1881">
        <v>0</v>
      </c>
      <c r="I67" s="1881">
        <v>0</v>
      </c>
      <c r="J67" s="1881">
        <v>0</v>
      </c>
      <c r="K67" s="1881">
        <v>0</v>
      </c>
      <c r="L67" s="1881">
        <v>0</v>
      </c>
      <c r="M67" s="1881">
        <v>0</v>
      </c>
    </row>
    <row r="68" ht="13" customHeight="1">
      <c r="A68" t="s" s="1800">
        <v>3948</v>
      </c>
      <c r="B68" t="s" s="1799">
        <v>3947</v>
      </c>
      <c r="C68" s="1881">
        <v>0</v>
      </c>
      <c r="D68" s="1881">
        <v>0</v>
      </c>
      <c r="E68" s="1881">
        <v>0</v>
      </c>
      <c r="F68" s="1881">
        <v>0</v>
      </c>
      <c r="G68" s="1881">
        <v>0</v>
      </c>
      <c r="H68" s="1881">
        <v>600000</v>
      </c>
      <c r="I68" s="1881">
        <v>10000000</v>
      </c>
      <c r="J68" s="1881">
        <v>0</v>
      </c>
      <c r="K68" s="1881">
        <v>0</v>
      </c>
      <c r="L68" s="1881">
        <v>0</v>
      </c>
      <c r="M68" s="1881">
        <v>0</v>
      </c>
    </row>
    <row r="69" ht="13" customHeight="1">
      <c r="A69" t="s" s="1800">
        <v>3803</v>
      </c>
      <c r="B69" t="s" s="1799">
        <v>3802</v>
      </c>
      <c r="C69" s="1881">
        <v>96050000</v>
      </c>
      <c r="D69" s="1881">
        <v>221200000</v>
      </c>
      <c r="E69" s="1881">
        <v>193700000</v>
      </c>
      <c r="F69" s="1881">
        <v>257250000</v>
      </c>
      <c r="G69" s="1881">
        <v>212950000</v>
      </c>
      <c r="H69" s="1881">
        <v>0</v>
      </c>
      <c r="I69" s="1881">
        <v>0</v>
      </c>
      <c r="J69" s="1881">
        <v>0</v>
      </c>
      <c r="K69" s="1881">
        <v>0</v>
      </c>
      <c r="L69" s="1881">
        <v>0</v>
      </c>
      <c r="M69" s="1881">
        <v>0</v>
      </c>
    </row>
    <row r="70" ht="13" customHeight="1">
      <c r="A70" t="s" s="1800">
        <v>3807</v>
      </c>
      <c r="B70" t="s" s="1799">
        <v>3806</v>
      </c>
      <c r="C70" s="1881">
        <v>0</v>
      </c>
      <c r="D70" s="1881">
        <v>0</v>
      </c>
      <c r="E70" s="1881">
        <v>0</v>
      </c>
      <c r="F70" s="1881">
        <v>0</v>
      </c>
      <c r="G70" s="1881">
        <v>27000000</v>
      </c>
      <c r="H70" s="1881">
        <v>108000000</v>
      </c>
      <c r="I70" s="1881">
        <v>0</v>
      </c>
      <c r="J70" s="1881">
        <v>0</v>
      </c>
      <c r="K70" s="1881">
        <v>0</v>
      </c>
      <c r="L70" s="1881">
        <v>0</v>
      </c>
      <c r="M70" s="1881">
        <v>0</v>
      </c>
    </row>
    <row r="71" ht="13" customHeight="1">
      <c r="A71" t="s" s="1800">
        <v>3809</v>
      </c>
      <c r="B71" t="s" s="1799">
        <v>3808</v>
      </c>
      <c r="C71" s="1881">
        <v>66600000</v>
      </c>
      <c r="D71" s="1881">
        <v>78800000</v>
      </c>
      <c r="E71" s="1881">
        <v>228900000</v>
      </c>
      <c r="F71" s="1881">
        <v>90600000</v>
      </c>
      <c r="G71" s="1881">
        <v>126860000</v>
      </c>
      <c r="H71" s="1881">
        <v>127850000</v>
      </c>
      <c r="I71" s="1881">
        <v>0</v>
      </c>
      <c r="J71" s="1881">
        <v>0</v>
      </c>
      <c r="K71" s="1881">
        <v>0</v>
      </c>
      <c r="L71" s="1881">
        <v>0</v>
      </c>
      <c r="M71" s="1881">
        <v>0</v>
      </c>
    </row>
    <row r="72" ht="13" customHeight="1">
      <c r="A72" t="s" s="1800">
        <v>3811</v>
      </c>
      <c r="B72" t="s" s="1799">
        <v>3810</v>
      </c>
      <c r="C72" s="1881">
        <v>110450000</v>
      </c>
      <c r="D72" s="1881">
        <v>228400000</v>
      </c>
      <c r="E72" s="1881">
        <v>206500000</v>
      </c>
      <c r="F72" s="1881">
        <v>156500000</v>
      </c>
      <c r="G72" s="1881">
        <v>183660000</v>
      </c>
      <c r="H72" s="1881">
        <v>0</v>
      </c>
      <c r="I72" s="1881">
        <v>0</v>
      </c>
      <c r="J72" s="1881">
        <v>0</v>
      </c>
      <c r="K72" s="1881">
        <v>0</v>
      </c>
      <c r="L72" s="1881">
        <v>0</v>
      </c>
      <c r="M72" s="1881">
        <v>0</v>
      </c>
    </row>
    <row r="73" ht="13" customHeight="1">
      <c r="A73" t="s" s="1800">
        <v>3813</v>
      </c>
      <c r="B73" t="s" s="1799">
        <v>3812</v>
      </c>
      <c r="C73" s="1881">
        <v>475000</v>
      </c>
      <c r="D73" s="1881">
        <v>4380000</v>
      </c>
      <c r="E73" s="1881">
        <v>5940000</v>
      </c>
      <c r="F73" s="1881">
        <v>3150000</v>
      </c>
      <c r="G73" s="1881">
        <v>16105000</v>
      </c>
      <c r="H73" s="1881">
        <v>0</v>
      </c>
      <c r="I73" s="1881">
        <v>0</v>
      </c>
      <c r="J73" s="1881">
        <v>0</v>
      </c>
      <c r="K73" s="1881">
        <v>0</v>
      </c>
      <c r="L73" s="1881">
        <v>0</v>
      </c>
      <c r="M73" s="1881">
        <v>0</v>
      </c>
    </row>
    <row r="74" ht="13" customHeight="1">
      <c r="A74" t="s" s="1800">
        <v>3950</v>
      </c>
      <c r="B74" t="s" s="1799">
        <v>3949</v>
      </c>
      <c r="C74" s="1881">
        <v>0</v>
      </c>
      <c r="D74" s="1881">
        <v>0</v>
      </c>
      <c r="E74" s="1881">
        <v>0</v>
      </c>
      <c r="F74" s="1881">
        <v>11000000</v>
      </c>
      <c r="G74" s="1881">
        <v>0</v>
      </c>
      <c r="H74" s="1881">
        <v>0</v>
      </c>
      <c r="I74" s="1881">
        <v>0</v>
      </c>
      <c r="J74" s="1881">
        <v>0</v>
      </c>
      <c r="K74" s="1881">
        <v>0</v>
      </c>
      <c r="L74" s="1881">
        <v>0</v>
      </c>
      <c r="M74" s="1881">
        <v>0</v>
      </c>
    </row>
    <row r="75" ht="13" customHeight="1">
      <c r="A75" t="s" s="1800">
        <v>3815</v>
      </c>
      <c r="B75" t="s" s="1799">
        <v>3814</v>
      </c>
      <c r="C75" s="1881">
        <v>0</v>
      </c>
      <c r="D75" s="1881">
        <v>0</v>
      </c>
      <c r="E75" s="1881">
        <v>0</v>
      </c>
      <c r="F75" s="1881">
        <v>24000000</v>
      </c>
      <c r="G75" s="1881">
        <v>0</v>
      </c>
      <c r="H75" s="1881">
        <v>0</v>
      </c>
      <c r="I75" s="1881">
        <v>0</v>
      </c>
      <c r="J75" s="1881">
        <v>0</v>
      </c>
      <c r="K75" s="1881">
        <v>0</v>
      </c>
      <c r="L75" s="1881">
        <v>0</v>
      </c>
      <c r="M75" s="1881">
        <v>0</v>
      </c>
    </row>
    <row r="76" ht="13" customHeight="1">
      <c r="A76" t="s" s="1800">
        <v>3817</v>
      </c>
      <c r="B76" t="s" s="1799">
        <v>3816</v>
      </c>
      <c r="C76" s="1881">
        <v>0</v>
      </c>
      <c r="D76" s="1881">
        <v>0</v>
      </c>
      <c r="E76" s="1881">
        <v>89000000</v>
      </c>
      <c r="F76" s="1881">
        <v>66000000</v>
      </c>
      <c r="G76" s="1881">
        <v>0</v>
      </c>
      <c r="H76" s="1881">
        <v>0</v>
      </c>
      <c r="I76" s="1881">
        <v>0</v>
      </c>
      <c r="J76" s="1881">
        <v>0</v>
      </c>
      <c r="K76" s="1881">
        <v>0</v>
      </c>
      <c r="L76" s="1881">
        <v>0</v>
      </c>
      <c r="M76" s="1881">
        <v>0</v>
      </c>
    </row>
    <row r="77" ht="13" customHeight="1">
      <c r="A77" t="s" s="1800">
        <v>1086</v>
      </c>
      <c r="B77" t="s" s="1799">
        <v>3822</v>
      </c>
      <c r="C77" s="1881">
        <v>1081500</v>
      </c>
      <c r="D77" s="1881">
        <v>65689000</v>
      </c>
      <c r="E77" s="1881">
        <v>70222500</v>
      </c>
      <c r="F77" s="1881">
        <v>74387209</v>
      </c>
      <c r="G77" s="1881">
        <v>83388065</v>
      </c>
      <c r="H77" s="1881">
        <v>95585500</v>
      </c>
      <c r="I77" s="1881">
        <v>70500000</v>
      </c>
      <c r="J77" s="1881">
        <v>62300000</v>
      </c>
      <c r="K77" s="1881">
        <v>55100000</v>
      </c>
      <c r="L77" s="1881">
        <v>54800000</v>
      </c>
      <c r="M77" s="1881">
        <v>55700000</v>
      </c>
    </row>
    <row r="78" ht="13" customHeight="1">
      <c r="A78" t="s" s="1800">
        <v>3824</v>
      </c>
      <c r="B78" t="s" s="1799">
        <v>3823</v>
      </c>
      <c r="C78" s="1881">
        <v>175930000</v>
      </c>
      <c r="D78" s="1881">
        <v>435740000</v>
      </c>
      <c r="E78" s="1881">
        <v>490745000</v>
      </c>
      <c r="F78" s="1881">
        <v>552260000</v>
      </c>
      <c r="G78" s="1881">
        <v>545790000</v>
      </c>
      <c r="H78" s="1881">
        <v>417526000</v>
      </c>
      <c r="I78" s="1881">
        <v>365230000</v>
      </c>
      <c r="J78" s="1881">
        <v>292180006</v>
      </c>
      <c r="K78" s="1881">
        <v>190401500</v>
      </c>
      <c r="L78" s="1881">
        <v>181380000</v>
      </c>
      <c r="M78" s="1881">
        <v>219424600</v>
      </c>
    </row>
    <row r="79" ht="13" customHeight="1">
      <c r="A79" t="s" s="1800">
        <v>3826</v>
      </c>
      <c r="B79" t="s" s="1799">
        <v>3825</v>
      </c>
      <c r="C79" s="1881">
        <v>100000</v>
      </c>
      <c r="D79" s="1881">
        <v>40990000</v>
      </c>
      <c r="E79" s="1881">
        <v>42500000</v>
      </c>
      <c r="F79" s="1881">
        <v>43220000</v>
      </c>
      <c r="G79" s="1881">
        <v>43220000</v>
      </c>
      <c r="H79" s="1881">
        <v>45070035</v>
      </c>
      <c r="I79" s="1881">
        <v>36379000</v>
      </c>
      <c r="J79" s="1881">
        <v>22575000</v>
      </c>
      <c r="K79" s="1881">
        <v>15660000</v>
      </c>
      <c r="L79" s="1881">
        <v>0</v>
      </c>
      <c r="M79" s="1881">
        <v>23220000</v>
      </c>
    </row>
    <row r="80" ht="13" customHeight="1">
      <c r="A80" t="s" s="1800">
        <v>3828</v>
      </c>
      <c r="B80" t="s" s="1799">
        <v>3827</v>
      </c>
      <c r="C80" s="1881">
        <v>28863000</v>
      </c>
      <c r="D80" s="1881">
        <v>78820600</v>
      </c>
      <c r="E80" s="1881">
        <v>97406615</v>
      </c>
      <c r="F80" s="1881">
        <v>93237740</v>
      </c>
      <c r="G80" s="1881">
        <v>116001640</v>
      </c>
      <c r="H80" s="1881">
        <v>142702100</v>
      </c>
      <c r="I80" s="1881">
        <v>48747335</v>
      </c>
      <c r="J80" s="1881">
        <v>45164756</v>
      </c>
      <c r="K80" s="1881">
        <v>6952000</v>
      </c>
      <c r="L80" s="1881">
        <v>25862000</v>
      </c>
      <c r="M80" s="1881">
        <v>10436000</v>
      </c>
    </row>
    <row r="81" ht="13" customHeight="1">
      <c r="A81" t="s" s="1800">
        <v>3830</v>
      </c>
      <c r="B81" t="s" s="1799">
        <v>3829</v>
      </c>
      <c r="C81" s="1881">
        <v>0</v>
      </c>
      <c r="D81" s="1881">
        <v>0</v>
      </c>
      <c r="E81" s="1881">
        <v>0</v>
      </c>
      <c r="F81" s="1881">
        <v>0</v>
      </c>
      <c r="G81" s="1881">
        <v>0</v>
      </c>
      <c r="H81" s="1881">
        <v>0</v>
      </c>
      <c r="I81" s="1881">
        <v>0</v>
      </c>
      <c r="J81" s="1881">
        <v>0</v>
      </c>
      <c r="K81" s="1881">
        <v>3350000</v>
      </c>
      <c r="L81" s="1881">
        <v>2710000</v>
      </c>
      <c r="M81" s="1881">
        <v>9901500</v>
      </c>
    </row>
    <row r="82" ht="13" customHeight="1">
      <c r="A82" t="s" s="1800">
        <v>527</v>
      </c>
      <c r="B82" t="s" s="1799">
        <v>3957</v>
      </c>
      <c r="C82" s="1881">
        <v>0</v>
      </c>
      <c r="D82" s="1881">
        <v>0</v>
      </c>
      <c r="E82" s="1881">
        <v>0</v>
      </c>
      <c r="F82" s="1881">
        <v>0</v>
      </c>
      <c r="G82" s="1881">
        <v>0</v>
      </c>
      <c r="H82" s="1881">
        <v>0</v>
      </c>
      <c r="I82" s="1881">
        <v>0</v>
      </c>
      <c r="J82" s="1881">
        <v>1421900</v>
      </c>
      <c r="K82" s="1881">
        <v>22231835</v>
      </c>
      <c r="L82" s="1881">
        <v>21102550</v>
      </c>
      <c r="M82" s="1881">
        <v>29273000</v>
      </c>
    </row>
    <row r="83" ht="13" customHeight="1">
      <c r="A83" t="s" s="1800">
        <v>3832</v>
      </c>
      <c r="B83" t="s" s="1799">
        <v>3831</v>
      </c>
      <c r="C83" s="1881">
        <v>10862235</v>
      </c>
      <c r="D83" s="1881">
        <v>29863114.21</v>
      </c>
      <c r="E83" s="1881">
        <v>23750504</v>
      </c>
      <c r="F83" s="1881">
        <v>31040549</v>
      </c>
      <c r="G83" s="1881">
        <v>24624706</v>
      </c>
      <c r="H83" s="1881">
        <v>15328058.05</v>
      </c>
      <c r="I83" s="1881">
        <v>12257289</v>
      </c>
      <c r="J83" s="1881">
        <v>12454358</v>
      </c>
      <c r="K83" s="1881">
        <v>2475000</v>
      </c>
      <c r="L83" s="1881">
        <v>3425000</v>
      </c>
      <c r="M83" s="1881">
        <v>5008000</v>
      </c>
    </row>
    <row r="84" ht="13" customHeight="1">
      <c r="A84" t="s" s="1800">
        <v>3834</v>
      </c>
      <c r="B84" t="s" s="1799">
        <v>3833</v>
      </c>
      <c r="C84" s="1881">
        <v>0</v>
      </c>
      <c r="D84" s="1881">
        <v>0</v>
      </c>
      <c r="E84" s="1881">
        <v>864000</v>
      </c>
      <c r="F84" s="1881">
        <v>0</v>
      </c>
      <c r="G84" s="1881">
        <v>0</v>
      </c>
      <c r="H84" s="1881">
        <v>0</v>
      </c>
      <c r="I84" s="1881">
        <v>0</v>
      </c>
      <c r="J84" s="1881">
        <v>0</v>
      </c>
      <c r="K84" s="1881">
        <v>4826418</v>
      </c>
      <c r="L84" s="1881">
        <v>0</v>
      </c>
      <c r="M84" s="1881">
        <v>0</v>
      </c>
    </row>
    <row r="85" ht="13" customHeight="1">
      <c r="A85" t="s" s="1800">
        <v>3959</v>
      </c>
      <c r="B85" t="s" s="1799">
        <v>3958</v>
      </c>
      <c r="C85" s="1881">
        <v>0</v>
      </c>
      <c r="D85" s="1881">
        <v>0</v>
      </c>
      <c r="E85" s="1881">
        <v>0</v>
      </c>
      <c r="F85" s="1881">
        <v>0</v>
      </c>
      <c r="G85" s="1881">
        <v>0</v>
      </c>
      <c r="H85" s="1881">
        <v>0</v>
      </c>
      <c r="I85" s="1881">
        <v>0</v>
      </c>
      <c r="J85" s="1881">
        <v>0</v>
      </c>
      <c r="K85" s="1881">
        <v>3275000</v>
      </c>
      <c r="L85" s="1881">
        <v>0</v>
      </c>
      <c r="M85" s="1881">
        <v>0</v>
      </c>
    </row>
    <row r="86" ht="13" customHeight="1">
      <c r="A86" t="s" s="1800">
        <v>527</v>
      </c>
      <c r="B86" t="s" s="1799">
        <v>3835</v>
      </c>
      <c r="C86" s="1881">
        <v>22295000</v>
      </c>
      <c r="D86" s="1881">
        <v>59830000</v>
      </c>
      <c r="E86" s="1881">
        <v>67790000</v>
      </c>
      <c r="F86" s="1881">
        <v>74155000</v>
      </c>
      <c r="G86" s="1881">
        <v>68575000</v>
      </c>
      <c r="H86" s="1881">
        <v>58654000</v>
      </c>
      <c r="I86" s="1881">
        <v>48052200</v>
      </c>
      <c r="J86" s="1881">
        <v>34011415</v>
      </c>
      <c r="K86" s="1881">
        <v>0</v>
      </c>
      <c r="L86" s="1881">
        <v>0</v>
      </c>
      <c r="M86" s="1881">
        <v>0</v>
      </c>
    </row>
    <row r="87" ht="13" customHeight="1">
      <c r="A87" t="s" s="1800">
        <v>1164</v>
      </c>
      <c r="B87" t="s" s="1799">
        <v>1165</v>
      </c>
      <c r="C87" s="1881">
        <v>1500000</v>
      </c>
      <c r="D87" s="1881">
        <v>1000000</v>
      </c>
      <c r="E87" s="1881">
        <v>2550000</v>
      </c>
      <c r="F87" s="1881">
        <v>0</v>
      </c>
      <c r="G87" s="1881">
        <v>0</v>
      </c>
      <c r="H87" s="1881">
        <v>15000000</v>
      </c>
      <c r="I87" s="1881">
        <v>0</v>
      </c>
      <c r="J87" s="1881">
        <v>0</v>
      </c>
      <c r="K87" s="1881">
        <v>0</v>
      </c>
      <c r="L87" s="1881">
        <v>0</v>
      </c>
      <c r="M87" s="1881">
        <v>500000</v>
      </c>
    </row>
    <row r="88" ht="13" customHeight="1">
      <c r="A88" t="s" s="1800">
        <v>3836</v>
      </c>
      <c r="B88" s="1789"/>
      <c r="C88" s="1881">
        <v>1601419422</v>
      </c>
      <c r="D88" s="1881">
        <v>4056731723.71</v>
      </c>
      <c r="E88" s="1881">
        <v>4948665584</v>
      </c>
      <c r="F88" s="1881">
        <v>5587021103</v>
      </c>
      <c r="G88" s="1881">
        <v>5602443310</v>
      </c>
      <c r="H88" s="1881">
        <v>4643192113.05</v>
      </c>
      <c r="I88" s="1881">
        <v>3571496160.17</v>
      </c>
      <c r="J88" s="1881">
        <v>3102083602</v>
      </c>
      <c r="K88" s="1881">
        <v>1988740840</v>
      </c>
      <c r="L88" s="1881">
        <v>1898157545</v>
      </c>
      <c r="M88" s="1881">
        <v>2259450896</v>
      </c>
    </row>
    <row r="89" ht="13" customHeight="1">
      <c r="A89" t="s" s="1800">
        <v>3837</v>
      </c>
      <c r="B89" s="1789"/>
      <c r="C89" s="1881">
        <v>2607094552.27</v>
      </c>
      <c r="D89" s="1881">
        <v>2754046169.77</v>
      </c>
      <c r="E89" s="1881">
        <v>3118040177</v>
      </c>
      <c r="F89" s="1881">
        <v>3963453067</v>
      </c>
      <c r="G89" s="1881">
        <v>3560903095.7</v>
      </c>
      <c r="H89" s="1881">
        <v>2327668147.95</v>
      </c>
      <c r="I89" s="1881">
        <v>2209175341.83</v>
      </c>
      <c r="J89" s="1881">
        <v>1482274873</v>
      </c>
      <c r="K89" s="1881">
        <v>794486707</v>
      </c>
      <c r="L89" s="1881">
        <v>536533162.96</v>
      </c>
      <c r="M89" s="1881">
        <v>1085351057.94</v>
      </c>
    </row>
    <row r="90" ht="13" customHeight="1">
      <c r="A90" t="s" s="1800">
        <v>1087</v>
      </c>
      <c r="B90" s="1789"/>
      <c r="C90" s="1881">
        <v>1834000</v>
      </c>
      <c r="D90" s="1881">
        <v>5011926.77</v>
      </c>
      <c r="E90" s="1881">
        <v>917114.88</v>
      </c>
      <c r="F90" s="1881">
        <v>11463074.39</v>
      </c>
      <c r="G90" s="1881">
        <v>27462965.16</v>
      </c>
      <c r="H90" s="1881">
        <v>19173553.06</v>
      </c>
      <c r="I90" s="1881">
        <v>210758.26</v>
      </c>
      <c r="J90" s="1881">
        <v>457798.59</v>
      </c>
      <c r="K90" s="1881">
        <v>422030.88</v>
      </c>
      <c r="L90" s="1881">
        <v>1256920.34</v>
      </c>
      <c r="M90" s="1881">
        <v>4702231.7</v>
      </c>
    </row>
    <row r="91" ht="15" customHeight="1">
      <c r="A91" t="s" s="1883">
        <v>3841</v>
      </c>
      <c r="B91" s="1877"/>
      <c r="C91" s="1878">
        <v>4210347974.27</v>
      </c>
      <c r="D91" s="1878">
        <v>6815789820.25</v>
      </c>
      <c r="E91" s="1878">
        <v>8067622875.88</v>
      </c>
      <c r="F91" s="1878">
        <v>9561937244.389999</v>
      </c>
      <c r="G91" s="1878">
        <v>9190809370.860001</v>
      </c>
      <c r="H91" s="1878">
        <v>6990033814.06</v>
      </c>
      <c r="I91" s="1878">
        <v>5780882260.26</v>
      </c>
      <c r="J91" s="1878">
        <v>4584816273.59</v>
      </c>
      <c r="K91" s="1878">
        <v>2783649577.88</v>
      </c>
      <c r="L91" s="1878">
        <v>2435947628.3</v>
      </c>
      <c r="M91" s="1878">
        <v>3349504185.64</v>
      </c>
    </row>
    <row r="92" ht="15" customHeight="1">
      <c r="A92" s="1832"/>
      <c r="B92" s="1832"/>
      <c r="C92" s="1879"/>
      <c r="D92" s="1879"/>
      <c r="E92" s="1879"/>
      <c r="F92" s="1879"/>
      <c r="G92" s="1879"/>
      <c r="H92" s="1879"/>
      <c r="I92" s="1879"/>
      <c r="J92" s="1879"/>
      <c r="K92" s="1879"/>
      <c r="L92" s="1879"/>
      <c r="M92" s="1879"/>
    </row>
    <row r="93" ht="15.5" customHeight="1">
      <c r="A93" t="s" s="1876">
        <v>550</v>
      </c>
      <c r="B93" s="1877"/>
      <c r="C93" s="1878">
        <v>785365785.88</v>
      </c>
      <c r="D93" s="1878">
        <v>1700467976.38</v>
      </c>
      <c r="E93" s="1878">
        <v>1423305414.88</v>
      </c>
      <c r="F93" s="1878">
        <v>1499044800.78</v>
      </c>
      <c r="G93" s="1878">
        <v>1295428813.13</v>
      </c>
      <c r="H93" s="1878">
        <v>928395178.22</v>
      </c>
      <c r="I93" s="1878">
        <v>830993288.35</v>
      </c>
      <c r="J93" s="1878">
        <v>718900978.97</v>
      </c>
      <c r="K93" s="1878">
        <v>995510756.04</v>
      </c>
      <c r="L93" s="1878">
        <v>518028474.07</v>
      </c>
      <c r="M93" s="1878">
        <v>650540707.85</v>
      </c>
    </row>
    <row r="94" ht="13.5" customHeight="1">
      <c r="A94" t="s" s="1797">
        <v>550</v>
      </c>
      <c r="B94" s="1832"/>
      <c r="C94" s="1880">
        <v>785365785.88</v>
      </c>
      <c r="D94" s="1880">
        <v>1668409050.96</v>
      </c>
      <c r="E94" s="1880">
        <v>1393395786.3</v>
      </c>
      <c r="F94" s="1880">
        <v>1470324115.58</v>
      </c>
      <c r="G94" s="1880">
        <v>1265422828.33</v>
      </c>
      <c r="H94" s="1880">
        <v>901483436.21</v>
      </c>
      <c r="I94" s="1880">
        <v>805881732.3</v>
      </c>
      <c r="J94" s="1880">
        <v>704427536.92</v>
      </c>
      <c r="K94" s="1880">
        <v>976126726.39</v>
      </c>
      <c r="L94" s="1880">
        <v>518028474.07</v>
      </c>
      <c r="M94" s="1880">
        <v>631883663.9400001</v>
      </c>
    </row>
    <row r="95" ht="13" customHeight="1">
      <c r="A95" t="s" s="1800">
        <v>1090</v>
      </c>
      <c r="B95" t="s" s="1799">
        <v>3842</v>
      </c>
      <c r="C95" s="1881">
        <v>50600000</v>
      </c>
      <c r="D95" s="1881">
        <v>179900000</v>
      </c>
      <c r="E95" s="1881">
        <v>216764320</v>
      </c>
      <c r="F95" s="1881">
        <v>349200000</v>
      </c>
      <c r="G95" s="1881">
        <v>294000000</v>
      </c>
      <c r="H95" s="1881">
        <v>140007813</v>
      </c>
      <c r="I95" s="1881">
        <v>107800000</v>
      </c>
      <c r="J95" s="1881">
        <v>125399000</v>
      </c>
      <c r="K95" s="1881">
        <v>46300000</v>
      </c>
      <c r="L95" s="1881">
        <v>23500000</v>
      </c>
      <c r="M95" s="1881">
        <v>31350000</v>
      </c>
    </row>
    <row r="96" ht="13" customHeight="1">
      <c r="A96" t="s" s="1800">
        <v>1092</v>
      </c>
      <c r="B96" t="s" s="1799">
        <v>3843</v>
      </c>
      <c r="C96" s="1881">
        <v>4936800</v>
      </c>
      <c r="D96" s="1881">
        <v>11535600</v>
      </c>
      <c r="E96" s="1881">
        <v>10635600</v>
      </c>
      <c r="F96" s="1881">
        <v>5985600</v>
      </c>
      <c r="G96" s="1881">
        <v>5535600</v>
      </c>
      <c r="H96" s="1881">
        <v>5835600</v>
      </c>
      <c r="I96" s="1881">
        <v>5235600</v>
      </c>
      <c r="J96" s="1881">
        <v>4635600</v>
      </c>
      <c r="K96" s="1881">
        <v>4485600</v>
      </c>
      <c r="L96" s="1881">
        <v>3135600</v>
      </c>
      <c r="M96" s="1881">
        <v>4035600</v>
      </c>
    </row>
    <row r="97" ht="13" customHeight="1">
      <c r="A97" t="s" s="1800">
        <v>1094</v>
      </c>
      <c r="B97" t="s" s="1799">
        <v>3844</v>
      </c>
      <c r="C97" s="1881">
        <v>0</v>
      </c>
      <c r="D97" s="1881">
        <v>1141304</v>
      </c>
      <c r="E97" s="1881">
        <v>1961310</v>
      </c>
      <c r="F97" s="1881">
        <v>2054349</v>
      </c>
      <c r="G97" s="1881">
        <v>2263791</v>
      </c>
      <c r="H97" s="1881">
        <v>0</v>
      </c>
      <c r="I97" s="1881">
        <v>0</v>
      </c>
      <c r="J97" s="1881">
        <v>0</v>
      </c>
      <c r="K97" s="1881">
        <v>0</v>
      </c>
      <c r="L97" s="1881">
        <v>0</v>
      </c>
      <c r="M97" s="1881">
        <v>0</v>
      </c>
    </row>
    <row r="98" ht="13" customHeight="1">
      <c r="A98" t="s" s="1800">
        <v>1096</v>
      </c>
      <c r="B98" t="s" s="1799">
        <v>3845</v>
      </c>
      <c r="C98" s="1881">
        <v>0</v>
      </c>
      <c r="D98" s="1881">
        <v>11100000</v>
      </c>
      <c r="E98" s="1881">
        <v>5000000</v>
      </c>
      <c r="F98" s="1881">
        <v>4002500</v>
      </c>
      <c r="G98" s="1881">
        <v>300000</v>
      </c>
      <c r="H98" s="1881">
        <v>0</v>
      </c>
      <c r="I98" s="1881">
        <v>0</v>
      </c>
      <c r="J98" s="1881">
        <v>0</v>
      </c>
      <c r="K98" s="1881">
        <v>0</v>
      </c>
      <c r="L98" s="1881">
        <v>0</v>
      </c>
      <c r="M98" s="1881">
        <v>0</v>
      </c>
    </row>
    <row r="99" ht="13" customHeight="1">
      <c r="A99" t="s" s="1800">
        <v>1099</v>
      </c>
      <c r="B99" t="s" s="1799">
        <v>3962</v>
      </c>
      <c r="C99" s="1881">
        <v>0</v>
      </c>
      <c r="D99" s="1881">
        <v>41432</v>
      </c>
      <c r="E99" s="1881">
        <v>0</v>
      </c>
      <c r="F99" s="1881">
        <v>0</v>
      </c>
      <c r="G99" s="1881">
        <v>0</v>
      </c>
      <c r="H99" s="1881">
        <v>0</v>
      </c>
      <c r="I99" s="1881">
        <v>0</v>
      </c>
      <c r="J99" s="1881">
        <v>167500</v>
      </c>
      <c r="K99" s="1881">
        <v>0</v>
      </c>
      <c r="L99" s="1881">
        <v>416536</v>
      </c>
      <c r="M99" s="1881">
        <v>0</v>
      </c>
    </row>
    <row r="100" ht="13" customHeight="1">
      <c r="A100" t="s" s="1800">
        <v>1100</v>
      </c>
      <c r="B100" t="s" s="1799">
        <v>3963</v>
      </c>
      <c r="C100" s="1881">
        <v>0</v>
      </c>
      <c r="D100" s="1881">
        <v>2163776</v>
      </c>
      <c r="E100" s="1881">
        <v>0</v>
      </c>
      <c r="F100" s="1881">
        <v>0</v>
      </c>
      <c r="G100" s="1881">
        <v>0</v>
      </c>
      <c r="H100" s="1881">
        <v>0</v>
      </c>
      <c r="I100" s="1881">
        <v>0</v>
      </c>
      <c r="J100" s="1881">
        <v>0</v>
      </c>
      <c r="K100" s="1881">
        <v>0</v>
      </c>
      <c r="L100" s="1881">
        <v>0</v>
      </c>
      <c r="M100" s="1881">
        <v>0</v>
      </c>
    </row>
    <row r="101" ht="13" customHeight="1">
      <c r="A101" t="s" s="1800">
        <v>1101</v>
      </c>
      <c r="B101" t="s" s="1799">
        <v>3964</v>
      </c>
      <c r="C101" s="1881">
        <v>0</v>
      </c>
      <c r="D101" s="1881">
        <v>1461763</v>
      </c>
      <c r="E101" s="1881">
        <v>0</v>
      </c>
      <c r="F101" s="1881">
        <v>0</v>
      </c>
      <c r="G101" s="1881">
        <v>0</v>
      </c>
      <c r="H101" s="1881">
        <v>0</v>
      </c>
      <c r="I101" s="1881">
        <v>0</v>
      </c>
      <c r="J101" s="1881">
        <v>0</v>
      </c>
      <c r="K101" s="1881">
        <v>0</v>
      </c>
      <c r="L101" s="1881">
        <v>0</v>
      </c>
      <c r="M101" s="1881">
        <v>0</v>
      </c>
    </row>
    <row r="102" ht="13" customHeight="1">
      <c r="A102" t="s" s="1800">
        <v>1102</v>
      </c>
      <c r="B102" t="s" s="1799">
        <v>3846</v>
      </c>
      <c r="C102" s="1881">
        <v>2000000</v>
      </c>
      <c r="D102" s="1881">
        <v>3566000</v>
      </c>
      <c r="E102" s="1881">
        <v>0</v>
      </c>
      <c r="F102" s="1881">
        <v>0</v>
      </c>
      <c r="G102" s="1881">
        <v>0</v>
      </c>
      <c r="H102" s="1881">
        <v>0</v>
      </c>
      <c r="I102" s="1881">
        <v>0</v>
      </c>
      <c r="J102" s="1881">
        <v>12746400</v>
      </c>
      <c r="K102" s="1881">
        <v>0</v>
      </c>
      <c r="L102" s="1881">
        <v>0</v>
      </c>
      <c r="M102" s="1881">
        <v>0</v>
      </c>
    </row>
    <row r="103" ht="13" customHeight="1">
      <c r="A103" t="s" s="1800">
        <v>1104</v>
      </c>
      <c r="B103" t="s" s="1799">
        <v>3965</v>
      </c>
      <c r="C103" s="1881">
        <v>0</v>
      </c>
      <c r="D103" s="1881">
        <v>0</v>
      </c>
      <c r="E103" s="1881">
        <v>0</v>
      </c>
      <c r="F103" s="1881">
        <v>0</v>
      </c>
      <c r="G103" s="1881">
        <v>0</v>
      </c>
      <c r="H103" s="1881">
        <v>0</v>
      </c>
      <c r="I103" s="1881">
        <v>0</v>
      </c>
      <c r="J103" s="1881">
        <v>0</v>
      </c>
      <c r="K103" s="1881">
        <v>0</v>
      </c>
      <c r="L103" s="1881">
        <v>1766700</v>
      </c>
      <c r="M103" s="1881">
        <v>4982325</v>
      </c>
    </row>
    <row r="104" ht="13" customHeight="1">
      <c r="A104" t="s" s="1800">
        <v>1106</v>
      </c>
      <c r="B104" t="s" s="1799">
        <v>3847</v>
      </c>
      <c r="C104" s="1881">
        <v>3011549</v>
      </c>
      <c r="D104" s="1881">
        <v>709560</v>
      </c>
      <c r="E104" s="1881">
        <v>207060</v>
      </c>
      <c r="F104" s="1881">
        <v>720120</v>
      </c>
      <c r="G104" s="1881">
        <v>0</v>
      </c>
      <c r="H104" s="1881">
        <v>513060</v>
      </c>
      <c r="I104" s="1881">
        <v>512805</v>
      </c>
      <c r="J104" s="1881">
        <v>0</v>
      </c>
      <c r="K104" s="1881">
        <v>512805</v>
      </c>
      <c r="L104" s="1881">
        <v>2500000</v>
      </c>
      <c r="M104" s="1881">
        <v>2500000</v>
      </c>
    </row>
    <row r="105" ht="13" customHeight="1">
      <c r="A105" t="s" s="1800">
        <v>1108</v>
      </c>
      <c r="B105" t="s" s="1799">
        <v>3848</v>
      </c>
      <c r="C105" s="1881">
        <v>0</v>
      </c>
      <c r="D105" s="1881">
        <v>0</v>
      </c>
      <c r="E105" s="1881">
        <v>8423314</v>
      </c>
      <c r="F105" s="1881">
        <v>51251879</v>
      </c>
      <c r="G105" s="1881">
        <v>1643671</v>
      </c>
      <c r="H105" s="1881">
        <v>0</v>
      </c>
      <c r="I105" s="1881">
        <v>0</v>
      </c>
      <c r="J105" s="1881">
        <v>0</v>
      </c>
      <c r="K105" s="1881">
        <v>0</v>
      </c>
      <c r="L105" s="1881">
        <v>1969330</v>
      </c>
      <c r="M105" s="1881">
        <v>0</v>
      </c>
    </row>
    <row r="106" ht="13" customHeight="1">
      <c r="A106" t="s" s="1800">
        <v>1110</v>
      </c>
      <c r="B106" t="s" s="1799">
        <v>1111</v>
      </c>
      <c r="C106" s="1881">
        <v>2455242</v>
      </c>
      <c r="D106" s="1881">
        <v>0</v>
      </c>
      <c r="E106" s="1881">
        <v>0</v>
      </c>
      <c r="F106" s="1881">
        <v>0</v>
      </c>
      <c r="G106" s="1881">
        <v>0</v>
      </c>
      <c r="H106" s="1881">
        <v>0</v>
      </c>
      <c r="I106" s="1881">
        <v>0</v>
      </c>
      <c r="J106" s="1881">
        <v>0</v>
      </c>
      <c r="K106" s="1881">
        <v>0</v>
      </c>
      <c r="L106" s="1881">
        <v>0</v>
      </c>
      <c r="M106" s="1881">
        <v>0</v>
      </c>
    </row>
    <row r="107" ht="13" customHeight="1">
      <c r="A107" t="s" s="1800">
        <v>1113</v>
      </c>
      <c r="B107" t="s" s="1799">
        <v>3849</v>
      </c>
      <c r="C107" s="1881">
        <v>5854000</v>
      </c>
      <c r="D107" s="1881">
        <v>5878618</v>
      </c>
      <c r="E107" s="1881">
        <v>0</v>
      </c>
      <c r="F107" s="1881">
        <v>0</v>
      </c>
      <c r="G107" s="1881">
        <v>0</v>
      </c>
      <c r="H107" s="1881">
        <v>0</v>
      </c>
      <c r="I107" s="1881">
        <v>0</v>
      </c>
      <c r="J107" s="1881">
        <v>0</v>
      </c>
      <c r="K107" s="1881">
        <v>0</v>
      </c>
      <c r="L107" s="1881">
        <v>0</v>
      </c>
      <c r="M107" s="1881">
        <v>0</v>
      </c>
    </row>
    <row r="108" ht="13" customHeight="1">
      <c r="A108" t="s" s="1800">
        <v>1116</v>
      </c>
      <c r="B108" t="s" s="1799">
        <v>3851</v>
      </c>
      <c r="C108" s="1881">
        <v>8959465</v>
      </c>
      <c r="D108" s="1881">
        <v>56050000</v>
      </c>
      <c r="E108" s="1881">
        <v>51110000</v>
      </c>
      <c r="F108" s="1881">
        <v>3384000</v>
      </c>
      <c r="G108" s="1881">
        <v>55498531</v>
      </c>
      <c r="H108" s="1881">
        <v>71100000</v>
      </c>
      <c r="I108" s="1881">
        <v>30000000</v>
      </c>
      <c r="J108" s="1881">
        <v>80000000</v>
      </c>
      <c r="K108" s="1881">
        <v>88316125</v>
      </c>
      <c r="L108" s="1881">
        <v>101000000</v>
      </c>
      <c r="M108" s="1881">
        <v>50000000</v>
      </c>
    </row>
    <row r="109" ht="13" customHeight="1">
      <c r="A109" t="s" s="1800">
        <v>1118</v>
      </c>
      <c r="B109" t="s" s="1799">
        <v>3852</v>
      </c>
      <c r="C109" s="1881">
        <v>15000</v>
      </c>
      <c r="D109" s="1881">
        <v>352743.96</v>
      </c>
      <c r="E109" s="1881">
        <v>240206.78</v>
      </c>
      <c r="F109" s="1881">
        <v>230991.08</v>
      </c>
      <c r="G109" s="1881">
        <v>670773.63</v>
      </c>
      <c r="H109" s="1881">
        <v>353233.41</v>
      </c>
      <c r="I109" s="1881">
        <v>2436888.05</v>
      </c>
      <c r="J109" s="1881">
        <v>301253.92</v>
      </c>
      <c r="K109" s="1881">
        <v>246308.58</v>
      </c>
      <c r="L109" s="1881">
        <v>1532384.07</v>
      </c>
      <c r="M109" s="1881">
        <v>250388.94</v>
      </c>
    </row>
    <row r="110" ht="13" customHeight="1">
      <c r="A110" t="s" s="1800">
        <v>1119</v>
      </c>
      <c r="B110" t="s" s="1799">
        <v>3966</v>
      </c>
      <c r="C110" s="1881">
        <v>0</v>
      </c>
      <c r="D110" s="1881">
        <v>150000</v>
      </c>
      <c r="E110" s="1881">
        <v>0</v>
      </c>
      <c r="F110" s="1881">
        <v>0</v>
      </c>
      <c r="G110" s="1881">
        <v>0</v>
      </c>
      <c r="H110" s="1881">
        <v>0</v>
      </c>
      <c r="I110" s="1881">
        <v>0</v>
      </c>
      <c r="J110" s="1881">
        <v>0</v>
      </c>
      <c r="K110" s="1881">
        <v>1722232</v>
      </c>
      <c r="L110" s="1881">
        <v>1448747</v>
      </c>
      <c r="M110" s="1881">
        <v>0</v>
      </c>
    </row>
    <row r="111" ht="13" customHeight="1">
      <c r="A111" t="s" s="1800">
        <v>1120</v>
      </c>
      <c r="B111" t="s" s="1799">
        <v>3853</v>
      </c>
      <c r="C111" s="1881">
        <v>0</v>
      </c>
      <c r="D111" s="1881">
        <v>16860900</v>
      </c>
      <c r="E111" s="1881">
        <v>7614600</v>
      </c>
      <c r="F111" s="1881">
        <v>31588000</v>
      </c>
      <c r="G111" s="1881">
        <v>14141400</v>
      </c>
      <c r="H111" s="1881">
        <v>18492600</v>
      </c>
      <c r="I111" s="1881">
        <v>23435000</v>
      </c>
      <c r="J111" s="1881">
        <v>4360000</v>
      </c>
      <c r="K111" s="1881">
        <v>8720000</v>
      </c>
      <c r="L111" s="1881">
        <v>15260000</v>
      </c>
      <c r="M111" s="1881">
        <v>17440000</v>
      </c>
    </row>
    <row r="112" ht="13" customHeight="1">
      <c r="A112" t="s" s="1800">
        <v>1200</v>
      </c>
      <c r="B112" t="s" s="1799">
        <v>1201</v>
      </c>
      <c r="C112" s="1881">
        <v>0</v>
      </c>
      <c r="D112" s="1881">
        <v>0</v>
      </c>
      <c r="E112" s="1881">
        <v>7500000</v>
      </c>
      <c r="F112" s="1881">
        <v>7500000</v>
      </c>
      <c r="G112" s="1881">
        <v>7500000</v>
      </c>
      <c r="H112" s="1881">
        <v>7500000</v>
      </c>
      <c r="I112" s="1881">
        <v>5806451.61</v>
      </c>
      <c r="J112" s="1881">
        <v>0</v>
      </c>
      <c r="K112" s="1881">
        <v>2100000</v>
      </c>
      <c r="L112" s="1881">
        <v>0</v>
      </c>
      <c r="M112" s="1881">
        <v>0</v>
      </c>
    </row>
    <row r="113" ht="13" customHeight="1">
      <c r="A113" t="s" s="1800">
        <v>1122</v>
      </c>
      <c r="B113" t="s" s="1799">
        <v>3854</v>
      </c>
      <c r="C113" s="1881">
        <v>0</v>
      </c>
      <c r="D113" s="1881">
        <v>5000000</v>
      </c>
      <c r="E113" s="1881">
        <v>5000000</v>
      </c>
      <c r="F113" s="1881">
        <v>5000000</v>
      </c>
      <c r="G113" s="1881">
        <v>5060000</v>
      </c>
      <c r="H113" s="1881">
        <v>2560000</v>
      </c>
      <c r="I113" s="1881">
        <v>2500000</v>
      </c>
      <c r="J113" s="1881">
        <v>2500000</v>
      </c>
      <c r="K113" s="1881">
        <v>2500000</v>
      </c>
      <c r="L113" s="1881">
        <v>2500000</v>
      </c>
      <c r="M113" s="1881">
        <v>5000000</v>
      </c>
    </row>
    <row r="114" ht="13" customHeight="1">
      <c r="A114" t="s" s="1800">
        <v>1124</v>
      </c>
      <c r="B114" t="s" s="1799">
        <v>3855</v>
      </c>
      <c r="C114" s="1881">
        <v>0</v>
      </c>
      <c r="D114" s="1881">
        <v>2977000</v>
      </c>
      <c r="E114" s="1881">
        <v>4032800</v>
      </c>
      <c r="F114" s="1881">
        <v>1500000</v>
      </c>
      <c r="G114" s="1881">
        <v>1400000</v>
      </c>
      <c r="H114" s="1881">
        <v>7046530</v>
      </c>
      <c r="I114" s="1881">
        <v>2249500</v>
      </c>
      <c r="J114" s="1881">
        <v>300000</v>
      </c>
      <c r="K114" s="1881">
        <v>4750000</v>
      </c>
      <c r="L114" s="1881">
        <v>0</v>
      </c>
      <c r="M114" s="1881">
        <v>2400000</v>
      </c>
    </row>
    <row r="115" ht="13" customHeight="1">
      <c r="A115" t="s" s="1800">
        <v>1126</v>
      </c>
      <c r="B115" t="s" s="1799">
        <v>3856</v>
      </c>
      <c r="C115" s="1881">
        <v>0</v>
      </c>
      <c r="D115" s="1881">
        <v>0</v>
      </c>
      <c r="E115" s="1881">
        <v>823500</v>
      </c>
      <c r="F115" s="1881">
        <v>0</v>
      </c>
      <c r="G115" s="1881">
        <v>6000000</v>
      </c>
      <c r="H115" s="1881">
        <v>0</v>
      </c>
      <c r="I115" s="1881">
        <v>0</v>
      </c>
      <c r="J115" s="1881">
        <v>5227750</v>
      </c>
      <c r="K115" s="1881">
        <v>6779750</v>
      </c>
      <c r="L115" s="1881">
        <v>3883500</v>
      </c>
      <c r="M115" s="1881">
        <v>1751000</v>
      </c>
    </row>
    <row r="116" ht="13" customHeight="1">
      <c r="A116" t="s" s="1800">
        <v>1127</v>
      </c>
      <c r="B116" t="s" s="1799">
        <v>3967</v>
      </c>
      <c r="C116" s="1881">
        <v>0</v>
      </c>
      <c r="D116" s="1881">
        <v>9575000</v>
      </c>
      <c r="E116" s="1881">
        <v>0</v>
      </c>
      <c r="F116" s="1881">
        <v>0</v>
      </c>
      <c r="G116" s="1881">
        <v>2250000</v>
      </c>
      <c r="H116" s="1881">
        <v>0</v>
      </c>
      <c r="I116" s="1881">
        <v>0</v>
      </c>
      <c r="J116" s="1881">
        <v>0</v>
      </c>
      <c r="K116" s="1881">
        <v>0</v>
      </c>
      <c r="L116" s="1881">
        <v>0</v>
      </c>
      <c r="M116" s="1881">
        <v>225000</v>
      </c>
    </row>
    <row r="117" ht="13" customHeight="1">
      <c r="A117" t="s" s="1800">
        <v>1133</v>
      </c>
      <c r="B117" t="s" s="1799">
        <v>3858</v>
      </c>
      <c r="C117" s="1881">
        <v>0</v>
      </c>
      <c r="D117" s="1881">
        <v>2246950</v>
      </c>
      <c r="E117" s="1881">
        <v>48413355</v>
      </c>
      <c r="F117" s="1881">
        <v>71285735</v>
      </c>
      <c r="G117" s="1881">
        <v>11559625</v>
      </c>
      <c r="H117" s="1881">
        <v>40004935</v>
      </c>
      <c r="I117" s="1881">
        <v>3700000</v>
      </c>
      <c r="J117" s="1881">
        <v>12089000</v>
      </c>
      <c r="K117" s="1881">
        <v>10000000</v>
      </c>
      <c r="L117" s="1881">
        <v>738363</v>
      </c>
      <c r="M117" s="1881">
        <v>0</v>
      </c>
    </row>
    <row r="118" ht="13" customHeight="1">
      <c r="A118" t="s" s="1800">
        <v>1135</v>
      </c>
      <c r="B118" t="s" s="1799">
        <v>3859</v>
      </c>
      <c r="C118" s="1881">
        <v>825500</v>
      </c>
      <c r="D118" s="1881">
        <v>1560241</v>
      </c>
      <c r="E118" s="1881">
        <v>2182800</v>
      </c>
      <c r="F118" s="1881">
        <v>2274630</v>
      </c>
      <c r="G118" s="1881">
        <v>2231300</v>
      </c>
      <c r="H118" s="1881">
        <v>1719000</v>
      </c>
      <c r="I118" s="1881">
        <v>385997</v>
      </c>
      <c r="J118" s="1881">
        <v>2213000</v>
      </c>
      <c r="K118" s="1881">
        <v>2625500</v>
      </c>
      <c r="L118" s="1881">
        <v>563000</v>
      </c>
      <c r="M118" s="1881">
        <v>373000</v>
      </c>
    </row>
    <row r="119" ht="13" customHeight="1">
      <c r="A119" t="s" s="1800">
        <v>1137</v>
      </c>
      <c r="B119" t="s" s="1799">
        <v>3968</v>
      </c>
      <c r="C119" s="1881">
        <v>0</v>
      </c>
      <c r="D119" s="1881">
        <v>0</v>
      </c>
      <c r="E119" s="1881">
        <v>0</v>
      </c>
      <c r="F119" s="1881">
        <v>814924</v>
      </c>
      <c r="G119" s="1881">
        <v>0</v>
      </c>
      <c r="H119" s="1881">
        <v>150000</v>
      </c>
      <c r="I119" s="1881">
        <v>0</v>
      </c>
      <c r="J119" s="1881">
        <v>0</v>
      </c>
      <c r="K119" s="1881">
        <v>0</v>
      </c>
      <c r="L119" s="1881">
        <v>0</v>
      </c>
      <c r="M119" s="1881">
        <v>0</v>
      </c>
    </row>
    <row r="120" ht="13" customHeight="1">
      <c r="A120" t="s" s="1800">
        <v>1139</v>
      </c>
      <c r="B120" t="s" s="1799">
        <v>3860</v>
      </c>
      <c r="C120" s="1881">
        <v>28694000</v>
      </c>
      <c r="D120" s="1881">
        <v>29640000</v>
      </c>
      <c r="E120" s="1881">
        <v>6500000</v>
      </c>
      <c r="F120" s="1881">
        <v>0</v>
      </c>
      <c r="G120" s="1881">
        <v>0</v>
      </c>
      <c r="H120" s="1881">
        <v>784000</v>
      </c>
      <c r="I120" s="1881">
        <v>40764000</v>
      </c>
      <c r="J120" s="1881">
        <v>2058000</v>
      </c>
      <c r="K120" s="1881">
        <v>11000000</v>
      </c>
      <c r="L120" s="1881">
        <v>0</v>
      </c>
      <c r="M120" s="1881">
        <v>0</v>
      </c>
    </row>
    <row r="121" ht="13" customHeight="1">
      <c r="A121" t="s" s="1800">
        <v>1141</v>
      </c>
      <c r="B121" t="s" s="1799">
        <v>3861</v>
      </c>
      <c r="C121" s="1881">
        <v>10985333</v>
      </c>
      <c r="D121" s="1881">
        <v>16299100</v>
      </c>
      <c r="E121" s="1881">
        <v>9223242</v>
      </c>
      <c r="F121" s="1881">
        <v>16960800</v>
      </c>
      <c r="G121" s="1881">
        <v>11253330</v>
      </c>
      <c r="H121" s="1881">
        <v>14326100</v>
      </c>
      <c r="I121" s="1881">
        <v>31521000</v>
      </c>
      <c r="J121" s="1881">
        <v>20725925</v>
      </c>
      <c r="K121" s="1881">
        <v>37791646</v>
      </c>
      <c r="L121" s="1881">
        <v>3993416</v>
      </c>
      <c r="M121" s="1881">
        <v>8005310</v>
      </c>
    </row>
    <row r="122" ht="13" customHeight="1">
      <c r="A122" t="s" s="1800">
        <v>1145</v>
      </c>
      <c r="B122" t="s" s="1799">
        <v>3862</v>
      </c>
      <c r="C122" s="1881">
        <v>0</v>
      </c>
      <c r="D122" s="1881">
        <v>58000</v>
      </c>
      <c r="E122" s="1881">
        <v>351500</v>
      </c>
      <c r="F122" s="1881">
        <v>0</v>
      </c>
      <c r="G122" s="1881">
        <v>0</v>
      </c>
      <c r="H122" s="1881">
        <v>0</v>
      </c>
      <c r="I122" s="1881">
        <v>405000</v>
      </c>
      <c r="J122" s="1881">
        <v>0</v>
      </c>
      <c r="K122" s="1881">
        <v>347000</v>
      </c>
      <c r="L122" s="1881">
        <v>540000</v>
      </c>
      <c r="M122" s="1881">
        <v>779000</v>
      </c>
    </row>
    <row r="123" ht="13" customHeight="1">
      <c r="A123" t="s" s="1800">
        <v>1147</v>
      </c>
      <c r="B123" t="s" s="1799">
        <v>3863</v>
      </c>
      <c r="C123" s="1881">
        <v>0</v>
      </c>
      <c r="D123" s="1881">
        <v>34308871</v>
      </c>
      <c r="E123" s="1881">
        <v>50214963.6</v>
      </c>
      <c r="F123" s="1881">
        <v>10740173</v>
      </c>
      <c r="G123" s="1881">
        <v>21104668</v>
      </c>
      <c r="H123" s="1881">
        <v>32634971.3</v>
      </c>
      <c r="I123" s="1881">
        <v>9333165</v>
      </c>
      <c r="J123" s="1881">
        <v>9085554</v>
      </c>
      <c r="K123" s="1881">
        <v>12470410.52</v>
      </c>
      <c r="L123" s="1881">
        <v>34870434</v>
      </c>
      <c r="M123" s="1881">
        <v>23447330</v>
      </c>
    </row>
    <row r="124" ht="13" customHeight="1">
      <c r="A124" t="s" s="1800">
        <v>1150</v>
      </c>
      <c r="B124" t="s" s="1799">
        <v>3864</v>
      </c>
      <c r="C124" s="1881">
        <v>5524312</v>
      </c>
      <c r="D124" s="1881">
        <v>33987819</v>
      </c>
      <c r="E124" s="1881">
        <v>30677413</v>
      </c>
      <c r="F124" s="1881">
        <v>55298040.5</v>
      </c>
      <c r="G124" s="1881">
        <v>49008550.7</v>
      </c>
      <c r="H124" s="1881">
        <v>30530579.5</v>
      </c>
      <c r="I124" s="1881">
        <v>30746561.11</v>
      </c>
      <c r="J124" s="1881">
        <v>28289567</v>
      </c>
      <c r="K124" s="1881">
        <v>6228195</v>
      </c>
      <c r="L124" s="1881">
        <v>10009905</v>
      </c>
      <c r="M124" s="1881">
        <v>11929013</v>
      </c>
    </row>
    <row r="125" ht="13" customHeight="1">
      <c r="A125" t="s" s="1800">
        <v>1151</v>
      </c>
      <c r="B125" t="s" s="1799">
        <v>3865</v>
      </c>
      <c r="C125" s="1881">
        <v>0</v>
      </c>
      <c r="D125" s="1881">
        <v>2346472</v>
      </c>
      <c r="E125" s="1881">
        <v>28673960</v>
      </c>
      <c r="F125" s="1881">
        <v>23502920</v>
      </c>
      <c r="G125" s="1881">
        <v>4325900</v>
      </c>
      <c r="H125" s="1881">
        <v>6399680</v>
      </c>
      <c r="I125" s="1881">
        <v>0</v>
      </c>
      <c r="J125" s="1881">
        <v>0</v>
      </c>
      <c r="K125" s="1881">
        <v>37351800</v>
      </c>
      <c r="L125" s="1881">
        <v>0</v>
      </c>
      <c r="M125" s="1881">
        <v>0</v>
      </c>
    </row>
    <row r="126" ht="13" customHeight="1">
      <c r="A126" t="s" s="1800">
        <v>1153</v>
      </c>
      <c r="B126" t="s" s="1799">
        <v>3866</v>
      </c>
      <c r="C126" s="1881">
        <v>0</v>
      </c>
      <c r="D126" s="1881">
        <v>0</v>
      </c>
      <c r="E126" s="1881">
        <v>43800000</v>
      </c>
      <c r="F126" s="1881">
        <v>0</v>
      </c>
      <c r="G126" s="1881">
        <v>0</v>
      </c>
      <c r="H126" s="1881">
        <v>0</v>
      </c>
      <c r="I126" s="1881">
        <v>0</v>
      </c>
      <c r="J126" s="1881">
        <v>0</v>
      </c>
      <c r="K126" s="1881">
        <v>37000000</v>
      </c>
      <c r="L126" s="1881">
        <v>0</v>
      </c>
      <c r="M126" s="1881">
        <v>0</v>
      </c>
    </row>
    <row r="127" ht="13" customHeight="1">
      <c r="A127" t="s" s="1800">
        <v>1155</v>
      </c>
      <c r="B127" t="s" s="1799">
        <v>3867</v>
      </c>
      <c r="C127" s="1881">
        <v>0</v>
      </c>
      <c r="D127" s="1881">
        <v>0</v>
      </c>
      <c r="E127" s="1881">
        <v>0</v>
      </c>
      <c r="F127" s="1881">
        <v>0</v>
      </c>
      <c r="G127" s="1881">
        <v>0</v>
      </c>
      <c r="H127" s="1881">
        <v>0</v>
      </c>
      <c r="I127" s="1881">
        <v>0</v>
      </c>
      <c r="J127" s="1881">
        <v>516500</v>
      </c>
      <c r="K127" s="1881">
        <v>4681000</v>
      </c>
      <c r="L127" s="1881">
        <v>895000</v>
      </c>
      <c r="M127" s="1881">
        <v>9672000</v>
      </c>
    </row>
    <row r="128" ht="13" customHeight="1">
      <c r="A128" t="s" s="1800">
        <v>1157</v>
      </c>
      <c r="B128" t="s" s="1799">
        <v>3868</v>
      </c>
      <c r="C128" s="1881">
        <v>10465580</v>
      </c>
      <c r="D128" s="1881">
        <v>20013480</v>
      </c>
      <c r="E128" s="1881">
        <v>15728000</v>
      </c>
      <c r="F128" s="1881">
        <v>16966810</v>
      </c>
      <c r="G128" s="1881">
        <v>13777000</v>
      </c>
      <c r="H128" s="1881">
        <v>8570000</v>
      </c>
      <c r="I128" s="1881">
        <v>3120944</v>
      </c>
      <c r="J128" s="1881">
        <v>36620000</v>
      </c>
      <c r="K128" s="1881">
        <v>6143000</v>
      </c>
      <c r="L128" s="1881">
        <v>3000000</v>
      </c>
      <c r="M128" s="1881">
        <v>9596500</v>
      </c>
    </row>
    <row r="129" ht="13" customHeight="1">
      <c r="A129" t="s" s="1800">
        <v>1159</v>
      </c>
      <c r="B129" t="s" s="1799">
        <v>3869</v>
      </c>
      <c r="C129" s="1881">
        <v>0</v>
      </c>
      <c r="D129" s="1881">
        <v>2012500</v>
      </c>
      <c r="E129" s="1881">
        <v>2167500</v>
      </c>
      <c r="F129" s="1881">
        <v>1485000</v>
      </c>
      <c r="G129" s="1881">
        <v>3337500</v>
      </c>
      <c r="H129" s="1881">
        <v>0</v>
      </c>
      <c r="I129" s="1881">
        <v>0</v>
      </c>
      <c r="J129" s="1881">
        <v>1917500</v>
      </c>
      <c r="K129" s="1881">
        <v>4358261</v>
      </c>
      <c r="L129" s="1881">
        <v>1835500</v>
      </c>
      <c r="M129" s="1881">
        <v>498000</v>
      </c>
    </row>
    <row r="130" ht="13" customHeight="1">
      <c r="A130" t="s" s="1800">
        <v>1161</v>
      </c>
      <c r="B130" t="s" s="1799">
        <v>3870</v>
      </c>
      <c r="C130" s="1881">
        <v>0</v>
      </c>
      <c r="D130" s="1881">
        <v>351808000</v>
      </c>
      <c r="E130" s="1881">
        <v>349185140</v>
      </c>
      <c r="F130" s="1881">
        <v>325086957</v>
      </c>
      <c r="G130" s="1881">
        <v>320919355</v>
      </c>
      <c r="H130" s="1881">
        <v>344500000</v>
      </c>
      <c r="I130" s="1881">
        <v>342436887</v>
      </c>
      <c r="J130" s="1881">
        <v>346252727</v>
      </c>
      <c r="K130" s="1881">
        <v>236400000</v>
      </c>
      <c r="L130" s="1881">
        <v>296950000</v>
      </c>
      <c r="M130" s="1881">
        <v>286184222</v>
      </c>
    </row>
    <row r="131" ht="13" customHeight="1">
      <c r="A131" t="s" s="1800">
        <v>1162</v>
      </c>
      <c r="B131" t="s" s="1799">
        <v>3871</v>
      </c>
      <c r="C131" s="1881">
        <v>270274506</v>
      </c>
      <c r="D131" s="1881">
        <v>401832762</v>
      </c>
      <c r="E131" s="1881">
        <v>471128309</v>
      </c>
      <c r="F131" s="1881">
        <v>477105637</v>
      </c>
      <c r="G131" s="1881">
        <v>402348534</v>
      </c>
      <c r="H131" s="1881">
        <v>163014714</v>
      </c>
      <c r="I131" s="1881">
        <v>35000000</v>
      </c>
      <c r="J131" s="1881">
        <v>0</v>
      </c>
      <c r="K131" s="1881">
        <v>136782162</v>
      </c>
      <c r="L131" s="1881">
        <v>0</v>
      </c>
      <c r="M131" s="1881">
        <v>157530491</v>
      </c>
    </row>
    <row r="132" ht="13" customHeight="1">
      <c r="A132" t="s" s="1800">
        <v>1167</v>
      </c>
      <c r="B132" t="s" s="1799">
        <v>3872</v>
      </c>
      <c r="C132" s="1881">
        <v>374247208</v>
      </c>
      <c r="D132" s="1881">
        <v>449909105</v>
      </c>
      <c r="E132" s="1881">
        <v>0</v>
      </c>
      <c r="F132" s="1881">
        <v>0</v>
      </c>
      <c r="G132" s="1881">
        <v>0</v>
      </c>
      <c r="H132" s="1881">
        <v>0</v>
      </c>
      <c r="I132" s="1881">
        <v>0</v>
      </c>
      <c r="J132" s="1881">
        <v>0</v>
      </c>
      <c r="K132" s="1881">
        <v>0</v>
      </c>
      <c r="L132" s="1881">
        <v>0</v>
      </c>
      <c r="M132" s="1881">
        <v>0</v>
      </c>
    </row>
    <row r="133" ht="13" customHeight="1">
      <c r="A133" t="s" s="1800">
        <v>1172</v>
      </c>
      <c r="B133" t="s" s="1799">
        <v>3969</v>
      </c>
      <c r="C133" s="1881">
        <v>0</v>
      </c>
      <c r="D133" s="1881">
        <v>0</v>
      </c>
      <c r="E133" s="1881">
        <v>0</v>
      </c>
      <c r="F133" s="1881">
        <v>0</v>
      </c>
      <c r="G133" s="1881">
        <v>22400000</v>
      </c>
      <c r="H133" s="1881">
        <v>0</v>
      </c>
      <c r="I133" s="1881">
        <v>0</v>
      </c>
      <c r="J133" s="1881">
        <v>0</v>
      </c>
      <c r="K133" s="1881">
        <v>0</v>
      </c>
      <c r="L133" s="1881">
        <v>0</v>
      </c>
      <c r="M133" s="1881">
        <v>0</v>
      </c>
    </row>
    <row r="134" ht="13" customHeight="1">
      <c r="A134" t="s" s="1800">
        <v>1179</v>
      </c>
      <c r="B134" t="s" s="1799">
        <v>3875</v>
      </c>
      <c r="C134" s="1881">
        <v>0.88</v>
      </c>
      <c r="D134" s="1881">
        <v>0</v>
      </c>
      <c r="E134" s="1881">
        <v>1.92</v>
      </c>
      <c r="F134" s="1881">
        <v>0</v>
      </c>
      <c r="G134" s="1881">
        <v>0</v>
      </c>
      <c r="H134" s="1881">
        <v>0</v>
      </c>
      <c r="I134" s="1881">
        <v>0</v>
      </c>
      <c r="J134" s="1881">
        <v>0</v>
      </c>
      <c r="K134" s="1881">
        <v>0</v>
      </c>
      <c r="L134" s="1881">
        <v>0</v>
      </c>
      <c r="M134" s="1881">
        <v>0</v>
      </c>
    </row>
    <row r="135" ht="13" customHeight="1">
      <c r="A135" t="s" s="1800">
        <v>1184</v>
      </c>
      <c r="B135" t="s" s="1799">
        <v>3971</v>
      </c>
      <c r="C135" s="1881">
        <v>0</v>
      </c>
      <c r="D135" s="1881">
        <v>0</v>
      </c>
      <c r="E135" s="1881">
        <v>0</v>
      </c>
      <c r="F135" s="1881">
        <v>0</v>
      </c>
      <c r="G135" s="1881">
        <v>0</v>
      </c>
      <c r="H135" s="1881">
        <v>0</v>
      </c>
      <c r="I135" s="1881">
        <v>119480793.53</v>
      </c>
      <c r="J135" s="1881">
        <v>0</v>
      </c>
      <c r="K135" s="1881">
        <v>257973214.29</v>
      </c>
      <c r="L135" s="1881">
        <v>0</v>
      </c>
      <c r="M135" s="1881">
        <v>0</v>
      </c>
    </row>
    <row r="136" ht="13" customHeight="1">
      <c r="A136" t="s" s="1800">
        <v>1185</v>
      </c>
      <c r="B136" t="s" s="1799">
        <v>3880</v>
      </c>
      <c r="C136" s="1881">
        <v>2984000</v>
      </c>
      <c r="D136" s="1881">
        <v>635000</v>
      </c>
      <c r="E136" s="1881">
        <v>1690850</v>
      </c>
      <c r="F136" s="1881">
        <v>0</v>
      </c>
      <c r="G136" s="1881">
        <v>0</v>
      </c>
      <c r="H136" s="1881">
        <v>0</v>
      </c>
      <c r="I136" s="1881">
        <v>0</v>
      </c>
      <c r="J136" s="1881">
        <v>0</v>
      </c>
      <c r="K136" s="1881">
        <v>0</v>
      </c>
      <c r="L136" s="1881">
        <v>0</v>
      </c>
      <c r="M136" s="1881">
        <v>0</v>
      </c>
    </row>
    <row r="137" ht="13" customHeight="1">
      <c r="A137" t="s" s="1800">
        <v>1186</v>
      </c>
      <c r="B137" t="s" s="1799">
        <v>3881</v>
      </c>
      <c r="C137" s="1881">
        <v>779341</v>
      </c>
      <c r="D137" s="1881">
        <v>4396836</v>
      </c>
      <c r="E137" s="1881">
        <v>3327470</v>
      </c>
      <c r="F137" s="1881">
        <v>1262462</v>
      </c>
      <c r="G137" s="1881">
        <v>1157424</v>
      </c>
      <c r="H137" s="1881">
        <v>1129032</v>
      </c>
      <c r="I137" s="1881">
        <v>1038352</v>
      </c>
      <c r="J137" s="1881">
        <v>1219712</v>
      </c>
      <c r="K137" s="1881">
        <v>3249242</v>
      </c>
      <c r="L137" s="1881">
        <v>1434628</v>
      </c>
      <c r="M137" s="1881">
        <v>227621</v>
      </c>
    </row>
    <row r="138" ht="13" customHeight="1">
      <c r="A138" t="s" s="1800">
        <v>1187</v>
      </c>
      <c r="B138" t="s" s="1799">
        <v>3882</v>
      </c>
      <c r="C138" s="1881">
        <v>2402009</v>
      </c>
      <c r="D138" s="1881">
        <v>3351549</v>
      </c>
      <c r="E138" s="1881">
        <v>6241129</v>
      </c>
      <c r="F138" s="1881">
        <v>87500</v>
      </c>
      <c r="G138" s="1881">
        <v>87500</v>
      </c>
      <c r="H138" s="1881">
        <v>87500</v>
      </c>
      <c r="I138" s="1881">
        <v>87500</v>
      </c>
      <c r="J138" s="1881">
        <v>2387260</v>
      </c>
      <c r="K138" s="1881">
        <v>1033397</v>
      </c>
      <c r="L138" s="1881">
        <v>87500</v>
      </c>
      <c r="M138" s="1881">
        <v>1056404</v>
      </c>
    </row>
    <row r="139" ht="13" customHeight="1">
      <c r="A139" t="s" s="1800">
        <v>1188</v>
      </c>
      <c r="B139" t="s" s="1799">
        <v>3883</v>
      </c>
      <c r="C139" s="1881">
        <v>0</v>
      </c>
      <c r="D139" s="1881">
        <v>3835288</v>
      </c>
      <c r="E139" s="1881">
        <v>3835288</v>
      </c>
      <c r="F139" s="1881">
        <v>3835288</v>
      </c>
      <c r="G139" s="1881">
        <v>3835288</v>
      </c>
      <c r="H139" s="1881">
        <v>3835288</v>
      </c>
      <c r="I139" s="1881">
        <v>3835288</v>
      </c>
      <c r="J139" s="1881">
        <v>3835288</v>
      </c>
      <c r="K139" s="1881">
        <v>3835288</v>
      </c>
      <c r="L139" s="1881">
        <v>3835288</v>
      </c>
      <c r="M139" s="1881">
        <v>1143887</v>
      </c>
    </row>
    <row r="140" ht="13" customHeight="1">
      <c r="A140" t="s" s="1800">
        <v>1189</v>
      </c>
      <c r="B140" t="s" s="1799">
        <v>3884</v>
      </c>
      <c r="C140" s="1881">
        <v>351940</v>
      </c>
      <c r="D140" s="1881">
        <v>1703381</v>
      </c>
      <c r="E140" s="1881">
        <v>742154</v>
      </c>
      <c r="F140" s="1881">
        <v>1199800</v>
      </c>
      <c r="G140" s="1881">
        <v>1813087</v>
      </c>
      <c r="H140" s="1881">
        <v>388800</v>
      </c>
      <c r="I140" s="1881">
        <v>4050000</v>
      </c>
      <c r="J140" s="1881">
        <v>1580000</v>
      </c>
      <c r="K140" s="1881">
        <v>423790</v>
      </c>
      <c r="L140" s="1881">
        <v>40000</v>
      </c>
      <c r="M140" s="1881">
        <v>1441068</v>
      </c>
    </row>
    <row r="141" ht="13" customHeight="1">
      <c r="A141" t="s" s="1800">
        <v>1190</v>
      </c>
      <c r="B141" t="s" s="1799">
        <v>3885</v>
      </c>
      <c r="C141" s="1881">
        <v>0</v>
      </c>
      <c r="D141" s="1881">
        <v>0</v>
      </c>
      <c r="E141" s="1881">
        <v>0</v>
      </c>
      <c r="F141" s="1881">
        <v>0</v>
      </c>
      <c r="G141" s="1881">
        <v>0</v>
      </c>
      <c r="H141" s="1881">
        <v>0</v>
      </c>
      <c r="I141" s="1881">
        <v>0</v>
      </c>
      <c r="J141" s="1881">
        <v>0</v>
      </c>
      <c r="K141" s="1881">
        <v>0</v>
      </c>
      <c r="L141" s="1881">
        <v>0</v>
      </c>
      <c r="M141" s="1881">
        <v>65504</v>
      </c>
    </row>
    <row r="142" ht="13" customHeight="1">
      <c r="A142" t="s" s="1800">
        <v>1194</v>
      </c>
      <c r="B142" t="s" s="1799">
        <v>3972</v>
      </c>
      <c r="C142" s="1881">
        <v>0</v>
      </c>
      <c r="D142" s="1881">
        <v>0</v>
      </c>
      <c r="E142" s="1881">
        <v>0</v>
      </c>
      <c r="F142" s="1881">
        <v>0</v>
      </c>
      <c r="G142" s="1881">
        <v>0</v>
      </c>
      <c r="H142" s="1881">
        <v>0</v>
      </c>
      <c r="I142" s="1881">
        <v>0</v>
      </c>
      <c r="J142" s="1881">
        <v>0</v>
      </c>
      <c r="K142" s="1881">
        <v>0</v>
      </c>
      <c r="L142" s="1881">
        <v>322643</v>
      </c>
      <c r="M142" s="1881">
        <v>0</v>
      </c>
    </row>
    <row r="143" ht="13" customHeight="1">
      <c r="A143" t="s" s="1800">
        <v>1199</v>
      </c>
      <c r="B143" s="1789"/>
      <c r="C143" s="1881">
        <v>785365785.88</v>
      </c>
      <c r="D143" s="1881">
        <v>1668409050.96</v>
      </c>
      <c r="E143" s="1881">
        <v>1393395786.3</v>
      </c>
      <c r="F143" s="1881">
        <v>1470324115.58</v>
      </c>
      <c r="G143" s="1881">
        <v>1265422828.33</v>
      </c>
      <c r="H143" s="1881">
        <v>901483436.21</v>
      </c>
      <c r="I143" s="1881">
        <v>805881732.3</v>
      </c>
      <c r="J143" s="1881">
        <v>704427536.92</v>
      </c>
      <c r="K143" s="1881">
        <v>976126726.39</v>
      </c>
      <c r="L143" s="1881">
        <v>518028474.07</v>
      </c>
      <c r="M143" s="1881">
        <v>631883663.9400001</v>
      </c>
    </row>
    <row r="144" ht="13" customHeight="1">
      <c r="A144" t="s" s="1800">
        <v>682</v>
      </c>
      <c r="B144" s="1789"/>
      <c r="C144" s="1881">
        <v>0</v>
      </c>
      <c r="D144" s="1881">
        <v>32058925.42</v>
      </c>
      <c r="E144" s="1881">
        <v>29909628.58</v>
      </c>
      <c r="F144" s="1881">
        <v>28720685.2</v>
      </c>
      <c r="G144" s="1881">
        <v>30005984.8</v>
      </c>
      <c r="H144" s="1881">
        <v>26911742.01</v>
      </c>
      <c r="I144" s="1881">
        <v>25111556.05</v>
      </c>
      <c r="J144" s="1881">
        <v>14473442.05</v>
      </c>
      <c r="K144" s="1881">
        <v>19384029.65</v>
      </c>
      <c r="L144" s="1881">
        <v>0</v>
      </c>
      <c r="M144" s="1881">
        <v>18657043.91</v>
      </c>
    </row>
    <row r="145" ht="17" customHeight="1">
      <c r="A145" t="s" s="1852">
        <v>1199</v>
      </c>
      <c r="B145" s="1886"/>
      <c r="C145" s="1878">
        <v>785365785.88</v>
      </c>
      <c r="D145" s="1878">
        <v>1700467976.38</v>
      </c>
      <c r="E145" s="1878">
        <v>1423305414.88</v>
      </c>
      <c r="F145" s="1878">
        <v>1499044800.78</v>
      </c>
      <c r="G145" s="1878">
        <v>1295428813.13</v>
      </c>
      <c r="H145" s="1878">
        <v>928395178.22</v>
      </c>
      <c r="I145" s="1878">
        <v>830993288.35</v>
      </c>
      <c r="J145" s="1878">
        <v>718900978.97</v>
      </c>
      <c r="K145" s="1878">
        <v>995510756.04</v>
      </c>
      <c r="L145" s="1878">
        <v>518028474.07</v>
      </c>
      <c r="M145" s="1878">
        <v>650540707.85</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0.xml><?xml version="1.0" encoding="utf-8"?>
<worksheet xmlns:r="http://schemas.openxmlformats.org/officeDocument/2006/relationships" xmlns="http://schemas.openxmlformats.org/spreadsheetml/2006/main">
  <dimension ref="A1:K66"/>
  <sheetViews>
    <sheetView workbookViewId="0" showGridLines="0" defaultGridColor="1"/>
  </sheetViews>
  <sheetFormatPr defaultColWidth="8.83333" defaultRowHeight="14.5" customHeight="1" outlineLevelRow="0" outlineLevelCol="0"/>
  <cols>
    <col min="1" max="1" width="5.35156" style="1958" customWidth="1"/>
    <col min="2" max="2" width="17" style="1958" customWidth="1"/>
    <col min="3" max="3" width="15.8516" style="1958" customWidth="1"/>
    <col min="4" max="4" width="11.8516" style="1958" customWidth="1"/>
    <col min="5" max="5" width="23.8516" style="1958" customWidth="1"/>
    <col min="6" max="6" width="22.8516" style="1958" customWidth="1"/>
    <col min="7" max="7" width="21.1719" style="1958" customWidth="1"/>
    <col min="8" max="8" width="2.85156" style="1958" customWidth="1"/>
    <col min="9" max="9" width="21.8516" style="1958" customWidth="1"/>
    <col min="10" max="10" width="2.85156" style="1958" customWidth="1"/>
    <col min="11" max="11" width="26.8516" style="1958" customWidth="1"/>
    <col min="12" max="16384" width="8.85156" style="1958" customWidth="1"/>
  </cols>
  <sheetData>
    <row r="1" ht="15" customHeight="1">
      <c r="A1" s="7"/>
      <c r="B1" s="8"/>
      <c r="C1" s="8"/>
      <c r="D1" s="8"/>
      <c r="E1" s="8"/>
      <c r="F1" s="8"/>
      <c r="G1" s="8"/>
      <c r="H1" s="9"/>
      <c r="I1" s="925"/>
      <c r="J1" s="9"/>
      <c r="K1" s="1959"/>
    </row>
    <row r="2" ht="34.5" customHeight="1">
      <c r="A2" s="12"/>
      <c r="B2" t="s" s="1960">
        <v>931</v>
      </c>
      <c r="C2" t="s" s="1961">
        <v>31</v>
      </c>
      <c r="D2" t="s" s="1961">
        <v>32</v>
      </c>
      <c r="E2" t="s" s="1962">
        <v>4105</v>
      </c>
      <c r="F2" t="s" s="1962">
        <v>4106</v>
      </c>
      <c r="G2" t="s" s="1963">
        <v>4107</v>
      </c>
      <c r="H2" s="1964"/>
      <c r="I2" t="s" s="1965">
        <v>4108</v>
      </c>
      <c r="J2" s="1966"/>
      <c r="K2" t="s" s="1965">
        <v>4109</v>
      </c>
    </row>
    <row r="3" ht="8" customHeight="1">
      <c r="A3" s="12"/>
      <c r="B3" s="1967"/>
      <c r="C3" s="1968"/>
      <c r="D3" s="1968"/>
      <c r="E3" s="1969"/>
      <c r="F3" s="1969"/>
      <c r="G3" s="1970"/>
      <c r="H3" s="1964"/>
      <c r="I3" s="1971"/>
      <c r="J3" s="1966"/>
      <c r="K3" s="1971"/>
    </row>
    <row r="4" ht="17.5" customHeight="1">
      <c r="A4" s="12"/>
      <c r="B4" t="s" s="1972">
        <v>4110</v>
      </c>
      <c r="C4" s="1973"/>
      <c r="D4" s="1974"/>
      <c r="E4" s="1975"/>
      <c r="F4" s="1976"/>
      <c r="G4" s="1977"/>
      <c r="H4" s="1964"/>
      <c r="I4" s="1978"/>
      <c r="J4" s="1966"/>
      <c r="K4" s="1978"/>
    </row>
    <row r="5" ht="17.5" customHeight="1">
      <c r="A5" s="12"/>
      <c r="B5" t="str" s="1979" cm="1">
        <f t="array" ref="B5">'RECOMMENDED PRICES'!B20</f>
        <v>Sweetheart 4</v>
      </c>
      <c r="C5" s="1973" cm="1">
        <f t="array" ref="C5">'RECOMMENDED PRICES'!K20</f>
        <v>3053191.3803971</v>
      </c>
      <c r="D5" s="1974" cm="1">
        <f t="array" ref="D5">'RECOMMENDED PRICES'!L20</f>
        <v>0.284234386267624</v>
      </c>
      <c r="E5" s="1980">
        <v>800000</v>
      </c>
      <c r="F5" t="s" s="1981">
        <v>4112</v>
      </c>
      <c r="G5" t="s" s="1982">
        <v>4113</v>
      </c>
      <c r="H5" s="1964"/>
      <c r="I5" t="s" s="1983">
        <v>4114</v>
      </c>
      <c r="J5" s="1966"/>
      <c r="K5" s="1978" cm="1">
        <f t="array" ref="K5">ROUNDUP(('Private Boats 2026 Target'!Y5+'Private Boats 2026 Target'!N5+'Private Boats 2026 Target'!E5*50%+200000),-3)*0.85</f>
        <v>5651650</v>
      </c>
    </row>
    <row r="6" ht="17.5" customHeight="1">
      <c r="A6" s="12"/>
      <c r="B6" t="str" s="1979" cm="1">
        <f t="array" ref="B6">'RECOMMENDED PRICES'!B21</f>
        <v>Riki J</v>
      </c>
      <c r="C6" s="1973" cm="1">
        <f t="array" ref="C6">'RECOMMENDED PRICES'!K21</f>
        <v>3698814.6528282</v>
      </c>
      <c r="D6" s="1974" cm="1">
        <f t="array" ref="D6">'RECOMMENDED PRICES'!L21</f>
        <v>0.327439267252663</v>
      </c>
      <c r="E6" s="1980">
        <v>1000000</v>
      </c>
      <c r="F6" t="s" s="1981">
        <v>4112</v>
      </c>
      <c r="G6" t="s" s="1982">
        <v>4113</v>
      </c>
      <c r="H6" s="1964"/>
      <c r="I6" t="s" s="1983">
        <v>4114</v>
      </c>
      <c r="J6" s="1966"/>
      <c r="K6" s="1978" cm="1">
        <f t="array" ref="K6">ROUNDUP(('Private Boats 2026 Target'!Y28+'Private Boats 2026 Target'!N28+'Private Boats 2026 Target'!E28*50%+200000),-3)*0.85</f>
        <v>6052000</v>
      </c>
    </row>
    <row r="7" ht="17.5" customHeight="1">
      <c r="A7" s="12"/>
      <c r="B7" t="str" s="1979" cm="1">
        <f t="array" ref="B7">'RECOMMENDED PRICES'!B22</f>
        <v>Sanjaya</v>
      </c>
      <c r="C7" s="1973" cm="1">
        <f t="array" ref="C7">'RECOMMENDED PRICES'!K22</f>
        <v>2744552.8423019</v>
      </c>
      <c r="D7" s="1974" cm="1">
        <f t="array" ref="D7">'RECOMMENDED PRICES'!L22</f>
        <v>0.264651350184508</v>
      </c>
      <c r="E7" s="1980">
        <v>800000</v>
      </c>
      <c r="F7" t="s" s="1981">
        <v>4112</v>
      </c>
      <c r="G7" t="s" s="1982">
        <v>4113</v>
      </c>
      <c r="H7" s="1964"/>
      <c r="I7" t="s" s="1983">
        <v>4114</v>
      </c>
      <c r="J7" s="1966"/>
      <c r="K7" s="1978" cm="1">
        <f t="array" ref="K7">ROUNDUP(('Private Boats 2026 Target'!Y51+'Private Boats 2026 Target'!E51*50%+200000+'Private Boats 2026 Target'!C51-2000000),-3)*0.85</f>
        <v>5870100</v>
      </c>
    </row>
    <row r="8" ht="17.5" customHeight="1">
      <c r="A8" s="12"/>
      <c r="B8" t="str" s="1979" cm="1">
        <f t="array" ref="B8">'RECOMMENDED PRICES'!B23</f>
        <v>Lady Manta</v>
      </c>
      <c r="C8" s="1973" cm="1">
        <f t="array" ref="C8">'RECOMMENDED PRICES'!K23</f>
        <v>5167952.60272147</v>
      </c>
      <c r="D8" s="1974" cm="1">
        <f t="array" ref="D8">'RECOMMENDED PRICES'!L23</f>
        <v>0.620622455494906</v>
      </c>
      <c r="E8" s="1980">
        <v>1300000</v>
      </c>
      <c r="F8" t="s" s="1981">
        <v>4118</v>
      </c>
      <c r="G8" t="s" s="1982">
        <v>4119</v>
      </c>
      <c r="H8" s="1964"/>
      <c r="I8" t="s" s="1983">
        <v>4114</v>
      </c>
      <c r="J8" s="1966"/>
      <c r="K8" s="1978" cm="1">
        <f t="array" ref="K8">K5</f>
        <v>5651650</v>
      </c>
    </row>
    <row r="9" ht="17.5" customHeight="1">
      <c r="A9" s="12"/>
      <c r="B9" t="str" s="1979" cm="1">
        <f t="array" ref="B9">'RECOMMENDED PRICES'!B24</f>
        <v>Jayanadi</v>
      </c>
      <c r="C9" s="1973" cm="1">
        <f t="array" ref="C9">'RECOMMENDED PRICES'!K24</f>
        <v>2739552.8423019</v>
      </c>
      <c r="D9" s="1974" cm="1">
        <f t="array" ref="D9">'RECOMMENDED PRICES'!L24</f>
        <v>0.24051319534461</v>
      </c>
      <c r="E9" s="1980">
        <v>800000</v>
      </c>
      <c r="F9" t="s" s="1981">
        <v>4112</v>
      </c>
      <c r="G9" t="s" s="1982">
        <v>4113</v>
      </c>
      <c r="H9" s="1964"/>
      <c r="I9" t="s" s="1983">
        <v>4114</v>
      </c>
      <c r="J9" s="1966"/>
      <c r="K9" s="1978" cm="1">
        <f t="array" ref="K9">ROUNDUP(('Private Boats 2026 Target'!Y74+'Private Boats 2026 Target'!E74*50%+200000),-3)*0.9</f>
        <v>3137400</v>
      </c>
    </row>
    <row r="10" ht="17.5" customHeight="1">
      <c r="A10" s="12"/>
      <c r="B10" t="str" s="1979" cm="1">
        <f t="array" ref="B10">'RECOMMENDED PRICES'!B25</f>
        <v>Sea Dragon</v>
      </c>
      <c r="C10" s="1973" cm="1">
        <f t="array" ref="C10">'RECOMMENDED PRICES'!K25</f>
        <v>2744552.8423019</v>
      </c>
      <c r="D10" s="1974" cm="1">
        <f t="array" ref="D10">'RECOMMENDED PRICES'!L25</f>
        <v>0.264651350184508</v>
      </c>
      <c r="E10" s="1980">
        <v>800000</v>
      </c>
      <c r="F10" t="s" s="1981">
        <v>4112</v>
      </c>
      <c r="G10" t="s" s="1982">
        <v>4113</v>
      </c>
      <c r="H10" s="1964"/>
      <c r="I10" t="s" s="1983">
        <v>4114</v>
      </c>
      <c r="J10" s="1966"/>
      <c r="K10" s="1978" cm="1">
        <f t="array" ref="K10">ROUNDUP(('Private Boats 2026 Target'!Y97+'Private Boats 2026 Target'!E97*50%+200000),-3)*0.9</f>
        <v>2907900</v>
      </c>
    </row>
    <row r="11" ht="17.5" customHeight="1">
      <c r="A11" s="12"/>
      <c r="B11" t="str" s="1979" cm="1">
        <f t="array" ref="B11">'RECOMMENDED PRICES'!B26</f>
        <v>Sanjaya O4</v>
      </c>
      <c r="C11" s="1973" cm="1">
        <f t="array" ref="C11">'RECOMMENDED PRICES'!K26</f>
        <v>4284719.5089685</v>
      </c>
      <c r="D11" s="1974" cm="1">
        <f t="array" ref="D11">'RECOMMENDED PRICES'!L26</f>
        <v>0.343594477449808</v>
      </c>
      <c r="E11" s="1980">
        <v>1100000</v>
      </c>
      <c r="F11" t="s" s="1981">
        <v>4118</v>
      </c>
      <c r="G11" t="s" s="1982">
        <v>4119</v>
      </c>
      <c r="H11" s="1964"/>
      <c r="I11" t="s" s="1983">
        <v>4114</v>
      </c>
      <c r="J11" s="1966"/>
      <c r="K11" s="1978" cm="1">
        <f t="array" ref="K11">ROUNDUP(('Private Boats 2026 Target'!Y916+'Private Boats 2026 Target'!E916*50%+200000+'Private Boats 2026 Target'!C916-4500000),-3)*0.85</f>
        <v>5742600</v>
      </c>
    </row>
    <row r="12" ht="17.5" customHeight="1">
      <c r="A12" s="12"/>
      <c r="B12" t="str" s="1979" cm="1">
        <f t="array" ref="B12">'RECOMMENDED PRICES'!B27</f>
        <v>Sanjaya O5</v>
      </c>
      <c r="C12" s="1973" cm="1">
        <f t="array" ref="C12">'RECOMMENDED PRICES'!K27</f>
        <v>4284719.5089685</v>
      </c>
      <c r="D12" s="1974" cm="1">
        <f t="array" ref="D12">'RECOMMENDED PRICES'!L27</f>
        <v>0.343594477449808</v>
      </c>
      <c r="E12" s="1980">
        <v>1100000</v>
      </c>
      <c r="F12" t="s" s="1981">
        <v>4118</v>
      </c>
      <c r="G12" t="s" s="1982">
        <v>4119</v>
      </c>
      <c r="H12" s="1964"/>
      <c r="I12" t="s" s="1983">
        <v>4114</v>
      </c>
      <c r="J12" s="1966"/>
      <c r="K12" s="1978" cm="1">
        <f t="array" ref="K12">K11</f>
        <v>5742600</v>
      </c>
    </row>
    <row r="13" ht="17.5" customHeight="1">
      <c r="A13" s="12"/>
      <c r="B13" t="str" s="1979" cm="1">
        <f t="array" ref="B13">'RECOMMENDED PRICES'!B28</f>
        <v>Almond Milk</v>
      </c>
      <c r="C13" s="1973" cm="1">
        <f t="array" ref="C13">'RECOMMENDED PRICES'!K28</f>
        <v>5797112.5608204</v>
      </c>
      <c r="D13" s="1974" cm="1">
        <f t="array" ref="D13">'RECOMMENDED PRICES'!L28</f>
        <v>0.5439269830819899</v>
      </c>
      <c r="E13" s="1980">
        <v>1600000</v>
      </c>
      <c r="F13" t="s" s="1981">
        <v>4118</v>
      </c>
      <c r="G13" t="s" s="1982">
        <v>4119</v>
      </c>
      <c r="H13" s="1964"/>
      <c r="I13" t="s" s="1983">
        <v>4114</v>
      </c>
      <c r="J13" s="1966"/>
      <c r="K13" s="1978" cm="1">
        <f t="array" ref="K13">ROUNDUP(('Private Boats 2026 Target'!Y1008+'Private Boats 2026 Target'!N1008+'Private Boats 2026 Target'!E1008*50%+200000),-3)*0.85</f>
        <v>5633800</v>
      </c>
    </row>
    <row r="14" ht="17.5" customHeight="1">
      <c r="A14" s="12"/>
      <c r="B14" t="str" s="1979" cm="1">
        <f t="array" ref="B14">'RECOMMENDED PRICES'!B29</f>
        <v>Honey Milk</v>
      </c>
      <c r="C14" s="1973" cm="1">
        <f t="array" ref="C14">'RECOMMENDED PRICES'!K29</f>
        <v>5797112.5608204</v>
      </c>
      <c r="D14" s="1974" cm="1">
        <f t="array" ref="D14">'RECOMMENDED PRICES'!L29</f>
        <v>0.5439269830819899</v>
      </c>
      <c r="E14" s="1980">
        <v>1600000</v>
      </c>
      <c r="F14" t="s" s="1981">
        <v>4118</v>
      </c>
      <c r="G14" t="s" s="1982">
        <v>4119</v>
      </c>
      <c r="H14" s="1964"/>
      <c r="I14" t="s" s="1983">
        <v>4114</v>
      </c>
      <c r="J14" s="1966"/>
      <c r="K14" s="1978" cm="1">
        <f t="array" ref="K14">K13</f>
        <v>5633800</v>
      </c>
    </row>
    <row r="15" ht="17.5" customHeight="1">
      <c r="A15" s="12"/>
      <c r="B15" t="s" s="1979">
        <v>4126</v>
      </c>
      <c r="C15" s="1973" cm="1">
        <f t="array" ref="C15">'RECOMMENDED PRICES'!K30</f>
        <v>6067457.3964685</v>
      </c>
      <c r="D15" s="1974" cm="1">
        <f t="array" ref="D15">'RECOMMENDED PRICES'!L30</f>
        <v>0.584109026364495</v>
      </c>
      <c r="E15" s="1980">
        <v>1600000</v>
      </c>
      <c r="F15" t="s" s="1981">
        <v>4118</v>
      </c>
      <c r="G15" t="s" s="1982">
        <v>4119</v>
      </c>
      <c r="H15" s="1964"/>
      <c r="I15" t="s" s="1983">
        <v>4114</v>
      </c>
      <c r="J15" s="1966"/>
      <c r="K15" t="s" s="1983">
        <v>4127</v>
      </c>
    </row>
    <row r="16" ht="17.5" customHeight="1">
      <c r="A16" s="12"/>
      <c r="B16" t="s" s="1979">
        <v>4128</v>
      </c>
      <c r="C16" s="1973" cm="1">
        <f t="array" ref="C16">'RECOMMENDED PRICES'!K31</f>
        <v>5875612.9647825</v>
      </c>
      <c r="D16" s="1974" cm="1">
        <f t="array" ref="D16">'RECOMMENDED PRICES'!L31</f>
        <v>0.555383118627128</v>
      </c>
      <c r="E16" s="1980">
        <v>1600000</v>
      </c>
      <c r="F16" t="s" s="1981">
        <v>4118</v>
      </c>
      <c r="G16" t="s" s="1982">
        <v>4119</v>
      </c>
      <c r="H16" s="1964"/>
      <c r="I16" t="s" s="1983">
        <v>4114</v>
      </c>
      <c r="J16" s="1966"/>
      <c r="K16" t="s" s="1983">
        <v>4127</v>
      </c>
    </row>
    <row r="17" ht="17.5" customHeight="1">
      <c r="A17" s="12"/>
      <c r="B17" t="s" s="1979">
        <v>4129</v>
      </c>
      <c r="C17" s="1973" cm="1">
        <f t="array" ref="C17">'RECOMMENDED PRICES'!K32</f>
        <v>5875612.9647825</v>
      </c>
      <c r="D17" s="1974" cm="1">
        <f t="array" ref="D17">'RECOMMENDED PRICES'!L32</f>
        <v>0.555383118627128</v>
      </c>
      <c r="E17" s="1980">
        <v>1600000</v>
      </c>
      <c r="F17" t="s" s="1981">
        <v>4118</v>
      </c>
      <c r="G17" t="s" s="1982">
        <v>4119</v>
      </c>
      <c r="H17" s="1964"/>
      <c r="I17" t="s" s="1983">
        <v>4114</v>
      </c>
      <c r="J17" s="1966"/>
      <c r="K17" t="s" s="1983">
        <v>4127</v>
      </c>
    </row>
    <row r="18" ht="17.5" customHeight="1">
      <c r="A18" s="12"/>
      <c r="B18" t="s" s="1979">
        <v>4130</v>
      </c>
      <c r="C18" s="1973" cm="1">
        <f t="array" ref="C18">'RECOMMENDED PRICES'!K33</f>
        <v>5521186.6348945</v>
      </c>
      <c r="D18" s="1974" cm="1">
        <f t="array" ref="D18">'RECOMMENDED PRICES'!L33</f>
        <v>0.504964411823141</v>
      </c>
      <c r="E18" s="1980">
        <v>1500000</v>
      </c>
      <c r="F18" t="s" s="1981">
        <v>4118</v>
      </c>
      <c r="G18" t="s" s="1982">
        <v>4119</v>
      </c>
      <c r="H18" s="1964"/>
      <c r="I18" t="s" s="1983">
        <v>4114</v>
      </c>
      <c r="J18" s="1966"/>
      <c r="K18" t="s" s="1983">
        <v>4127</v>
      </c>
    </row>
    <row r="19" ht="17.5" customHeight="1">
      <c r="A19" s="12"/>
      <c r="B19" t="s" s="1979">
        <v>4131</v>
      </c>
      <c r="C19" s="1973" cm="1">
        <f t="array" ref="C19">'RECOMMENDED PRICES'!K34</f>
        <v>3124719.5089686</v>
      </c>
      <c r="D19" s="1974" cm="1">
        <f t="array" ref="D19">'RECOMMENDED PRICES'!L34</f>
        <v>0.234407633888192</v>
      </c>
      <c r="E19" s="1980">
        <v>1000000</v>
      </c>
      <c r="F19" t="s" s="1981">
        <v>4112</v>
      </c>
      <c r="G19" t="s" s="1982">
        <v>4113</v>
      </c>
      <c r="H19" s="1964"/>
      <c r="I19" t="s" s="1983">
        <v>4114</v>
      </c>
      <c r="J19" s="1966"/>
      <c r="K19" t="s" s="1983">
        <v>4127</v>
      </c>
    </row>
    <row r="20" ht="17.5" customHeight="1">
      <c r="A20" s="12"/>
      <c r="B20" t="s" s="1979">
        <v>4132</v>
      </c>
      <c r="C20" s="1973" cm="1">
        <f t="array" ref="C20">'RECOMMENDED PRICES'!K35</f>
        <v>3124719.5089686</v>
      </c>
      <c r="D20" s="1974" cm="1">
        <f t="array" ref="D20">'RECOMMENDED PRICES'!L35</f>
        <v>0.234407633888192</v>
      </c>
      <c r="E20" s="1980">
        <v>1000000</v>
      </c>
      <c r="F20" t="s" s="1981">
        <v>4112</v>
      </c>
      <c r="G20" t="s" s="1982">
        <v>4113</v>
      </c>
      <c r="H20" s="1964"/>
      <c r="I20" t="s" s="1983">
        <v>4114</v>
      </c>
      <c r="J20" s="1966"/>
      <c r="K20" t="s" s="1983">
        <v>4127</v>
      </c>
    </row>
    <row r="21" ht="17.5" customHeight="1">
      <c r="A21" s="12"/>
      <c r="B21" t="str" s="1979" cm="1">
        <f t="array" ref="B21">'RECOMMENDED PRICES'!B36</f>
        <v>Boat Angels</v>
      </c>
      <c r="C21" s="1973" cm="1">
        <f t="array" ref="C21">'RECOMMENDED PRICES'!K36</f>
        <v>6847319.50896855</v>
      </c>
      <c r="D21" s="1974" cm="1">
        <f t="array" ref="D21">'RECOMMENDED PRICES'!L36</f>
        <v>0.712692258590444</v>
      </c>
      <c r="E21" s="1980">
        <v>1500000</v>
      </c>
      <c r="F21" t="s" s="1981">
        <v>4118</v>
      </c>
      <c r="G21" t="s" s="1982">
        <v>4119</v>
      </c>
      <c r="H21" s="1964"/>
      <c r="I21" t="s" s="1983">
        <v>4114</v>
      </c>
      <c r="J21" s="1966"/>
      <c r="K21" s="1978" cm="1">
        <f t="array" ref="K21">ROUNDUP(('Private Boats 2026 Target'!Y1263+'Private Boats 2026 Target'!N1263+'Private Boats 2026 Target'!E1263*50%+200000),-3)*0.85</f>
        <v>5410250</v>
      </c>
    </row>
    <row r="22" ht="17.5" customHeight="1" hidden="1">
      <c r="A22" s="12"/>
      <c r="B22" t="str" s="1979" cm="1">
        <f t="array" ref="B22">'RECOMMENDED PRICES'!B37</f>
        <v>Seven Heaven</v>
      </c>
      <c r="C22" t="str" s="1984" cm="1">
        <f t="array" ref="C22">'RECOMMENDED PRICES'!K37</f>
        <v>Delisted</v>
      </c>
      <c r="D22" t="str" s="1984" cm="1">
        <f t="array" ref="D22">'RECOMMENDED PRICES'!L37</f>
        <v>Delisted</v>
      </c>
      <c r="E22" s="1980"/>
      <c r="F22" s="1985"/>
      <c r="G22" s="1986"/>
      <c r="H22" s="1964"/>
      <c r="I22" t="s" s="1983">
        <v>4114</v>
      </c>
      <c r="J22" s="1966"/>
      <c r="K22" s="1978"/>
    </row>
    <row r="23" ht="17.5" customHeight="1" hidden="1">
      <c r="A23" s="12"/>
      <c r="B23" t="str" s="1979" cm="1">
        <f t="array" ref="B23">'RECOMMENDED PRICES'!B38</f>
        <v>Mironia</v>
      </c>
      <c r="C23" t="str" s="1984" cm="1">
        <f t="array" ref="C23">'RECOMMENDED PRICES'!K38</f>
        <v>Delisted</v>
      </c>
      <c r="D23" t="str" s="1984" cm="1">
        <f t="array" ref="D23">'RECOMMENDED PRICES'!L38</f>
        <v>Delisted</v>
      </c>
      <c r="E23" s="1980"/>
      <c r="F23" s="1985"/>
      <c r="G23" s="1986"/>
      <c r="H23" s="1964"/>
      <c r="I23" t="s" s="1983">
        <v>4114</v>
      </c>
      <c r="J23" s="1966"/>
      <c r="K23" s="1978"/>
    </row>
    <row r="24" ht="17.5" customHeight="1">
      <c r="A24" s="12"/>
      <c r="B24" t="str" s="1979" cm="1">
        <f t="array" ref="B24">'RECOMMENDED PRICES'!B39</f>
        <v>Little Star</v>
      </c>
      <c r="C24" s="1973" cm="1">
        <f t="array" ref="C24">'RECOMMENDED PRICES'!K39</f>
        <v>1409052.84230188</v>
      </c>
      <c r="D24" s="1974" cm="1">
        <f t="array" ref="D24">'RECOMMENDED PRICES'!L39</f>
        <v>0.142530889536938</v>
      </c>
      <c r="E24" s="1980">
        <v>600000</v>
      </c>
      <c r="F24" t="s" s="1981">
        <v>4138</v>
      </c>
      <c r="G24" t="s" s="1982">
        <v>4139</v>
      </c>
      <c r="H24" s="1964"/>
      <c r="I24" t="s" s="1983">
        <v>4114</v>
      </c>
      <c r="J24" s="1966"/>
      <c r="K24" s="1978" cm="1">
        <f t="array" ref="K24">ROUNDUP(('Private Boats 2026 Target'!Y283+'Private Boats 2026 Target'!E283*50%+200000+'Private Boats 2026 Target'!C283-3000000),-3)*0.85</f>
        <v>5026050</v>
      </c>
    </row>
    <row r="25" ht="17.5" customHeight="1">
      <c r="A25" s="12"/>
      <c r="B25" t="str" s="1979" cm="1">
        <f t="array" ref="B25">'RECOMMENDED PRICES'!B40</f>
        <v>Rara</v>
      </c>
      <c r="C25" s="1973" cm="1">
        <f t="array" ref="C25">'RECOMMENDED PRICES'!K40</f>
        <v>2823052.8423019</v>
      </c>
      <c r="D25" s="1974" cm="1">
        <f t="array" ref="D25">'RECOMMENDED PRICES'!L40</f>
        <v>0.2517897027693</v>
      </c>
      <c r="E25" s="1980">
        <v>900000</v>
      </c>
      <c r="F25" t="s" s="1981">
        <v>4112</v>
      </c>
      <c r="G25" t="s" s="1982">
        <v>4113</v>
      </c>
      <c r="H25" s="1964"/>
      <c r="I25" t="s" s="1983">
        <v>4114</v>
      </c>
      <c r="J25" s="1966"/>
      <c r="K25" s="1978" cm="1">
        <f t="array" ref="K25">ROUNDUP(('Private Boats 2026 Target'!Y191+'Private Boats 2026 Target'!E5*50%+200000),-3)*0.9</f>
        <v>3096900</v>
      </c>
    </row>
    <row r="26" ht="17.5" customHeight="1">
      <c r="A26" s="12"/>
      <c r="B26" t="str" s="1979" cm="1">
        <f t="array" ref="B26">'RECOMMENDED PRICES'!B41</f>
        <v>Small Sweetheart</v>
      </c>
      <c r="C26" s="1973" cm="1">
        <f t="array" ref="C26">'RECOMMENDED PRICES'!K41</f>
        <v>1615052.84230188</v>
      </c>
      <c r="D26" s="1974" cm="1">
        <f t="array" ref="D26">'RECOMMENDED PRICES'!L41</f>
        <v>0.168586821588476</v>
      </c>
      <c r="E26" s="1980">
        <v>600000</v>
      </c>
      <c r="F26" t="s" s="1981">
        <v>4138</v>
      </c>
      <c r="G26" t="s" s="1982">
        <v>4139</v>
      </c>
      <c r="H26" s="1964"/>
      <c r="I26" t="s" s="1983">
        <v>4114</v>
      </c>
      <c r="J26" s="1966"/>
      <c r="K26" s="1978" cm="1">
        <f t="array" ref="K26">ROUNDUP(('Private Boats 2026 Target'!Y214+'Private Boats 2026 Target'!E214*50%+200000+'Private Boats 2026 Target'!C214-2000000),-3)*0.85</f>
        <v>5043050</v>
      </c>
    </row>
    <row r="27" ht="17.5" customHeight="1" hidden="1">
      <c r="A27" s="12"/>
      <c r="B27" t="str" s="1979" cm="1">
        <f t="array" ref="B27">'RECOMMENDED PRICES'!B42</f>
        <v>Dedean</v>
      </c>
      <c r="C27" t="str" s="1984" cm="1">
        <f t="array" ref="C27">'RECOMMENDED PRICES'!K42</f>
        <v>Delisted</v>
      </c>
      <c r="D27" t="str" s="1984" cm="1">
        <f t="array" ref="D27">'RECOMMENDED PRICES'!L42</f>
        <v>Delisted</v>
      </c>
      <c r="E27" s="1980"/>
      <c r="F27" s="1985"/>
      <c r="G27" s="1986"/>
      <c r="H27" s="1964"/>
      <c r="I27" t="s" s="1987">
        <v>4143</v>
      </c>
      <c r="J27" s="1966"/>
      <c r="K27" s="1978"/>
    </row>
    <row r="28" ht="17.5" customHeight="1">
      <c r="A28" s="12"/>
      <c r="B28" t="s" s="1988">
        <v>4144</v>
      </c>
      <c r="C28" s="1973"/>
      <c r="D28" s="1974"/>
      <c r="E28" s="1980"/>
      <c r="F28" s="1985"/>
      <c r="G28" s="1986"/>
      <c r="H28" s="1964"/>
      <c r="I28" s="1989"/>
      <c r="J28" s="1966"/>
      <c r="K28" s="1978"/>
    </row>
    <row r="29" ht="17.5" customHeight="1">
      <c r="A29" s="12"/>
      <c r="B29" t="str" s="1979" cm="1">
        <f t="array" ref="B29">'RECOMMENDED PRICES'!B43</f>
        <v>King Fish</v>
      </c>
      <c r="C29" s="1973" cm="1">
        <f t="array" ref="C29">'RECOMMENDED PRICES'!K43</f>
        <v>3733052.8423019</v>
      </c>
      <c r="D29" s="1974" cm="1">
        <f t="array" ref="D29">'RECOMMENDED PRICES'!L43</f>
        <v>0.192406092644198</v>
      </c>
      <c r="E29" s="1980">
        <v>800000</v>
      </c>
      <c r="F29" t="s" s="1981">
        <v>4112</v>
      </c>
      <c r="G29" t="s" s="1982">
        <v>4113</v>
      </c>
      <c r="H29" s="1964"/>
      <c r="I29" t="s" s="1983">
        <v>4114</v>
      </c>
      <c r="J29" s="1966"/>
      <c r="K29" s="1978" cm="1">
        <f t="array" ref="K29">ROUNDUP(('Private Boats 2026 Target'!Y260+'Private Boats 2026 Target'!E5*50%+200000),-3)*0.9</f>
        <v>4940100</v>
      </c>
    </row>
    <row r="30" ht="17.5" customHeight="1">
      <c r="A30" s="12"/>
      <c r="B30" t="str" s="1979" cm="1">
        <f t="array" ref="B30">'RECOMMENDED PRICES'!B44</f>
        <v>Big Little Star</v>
      </c>
      <c r="C30" s="1973" cm="1">
        <f t="array" ref="C30">'RECOMMENDED PRICES'!K44</f>
        <v>2814552.8423019</v>
      </c>
      <c r="D30" s="1974" cm="1">
        <f t="array" ref="D30">'RECOMMENDED PRICES'!L44</f>
        <v>0.270618445498149</v>
      </c>
      <c r="E30" s="1980">
        <v>800000</v>
      </c>
      <c r="F30" t="s" s="1981">
        <v>4112</v>
      </c>
      <c r="G30" t="s" s="1982">
        <v>4113</v>
      </c>
      <c r="H30" s="1964"/>
      <c r="I30" t="s" s="1983">
        <v>4114</v>
      </c>
      <c r="J30" s="1966"/>
      <c r="K30" s="1978" cm="1">
        <f t="array" ref="K30">ROUNDUP(('Private Boats 2026 Target'!Y283+'Private Boats 2026 Target'!E283*50%+200000+'Private Boats 2026 Target'!C283-2000000),-3)*0.85</f>
        <v>5876050</v>
      </c>
    </row>
    <row r="31" ht="17.5" customHeight="1">
      <c r="A31" s="12"/>
      <c r="B31" t="str" s="1979" cm="1">
        <f t="array" ref="B31">'RECOMMENDED PRICES'!B45</f>
        <v>Dhea</v>
      </c>
      <c r="C31" s="1973" cm="1">
        <f t="array" ref="C31">'RECOMMENDED PRICES'!K45</f>
        <v>2863052.8423019</v>
      </c>
      <c r="D31" s="1974" cm="1">
        <f t="array" ref="D31">'RECOMMENDED PRICES'!L45</f>
        <v>0.224167294692903</v>
      </c>
      <c r="E31" s="1980">
        <v>800000</v>
      </c>
      <c r="F31" t="s" s="1981">
        <v>4112</v>
      </c>
      <c r="G31" t="s" s="1982">
        <v>4113</v>
      </c>
      <c r="H31" s="1964"/>
      <c r="I31" t="s" s="1983">
        <v>4148</v>
      </c>
      <c r="J31" s="1966"/>
      <c r="K31" s="1978" cm="1">
        <f t="array" ref="K31">ROUNDUP(('Private Boats 2026 Target'!Y306+'Private Boats 2026 Target'!E5*50%+200000),-3)*0.9</f>
        <v>3447900</v>
      </c>
    </row>
    <row r="32" ht="17.5" customHeight="1" hidden="1">
      <c r="A32" s="12"/>
      <c r="B32" t="str" s="1979" cm="1">
        <f t="array" ref="B32">'RECOMMENDED PRICES'!B46</f>
        <v>Big Blue</v>
      </c>
      <c r="C32" t="str" s="1984" cm="1">
        <f t="array" ref="C32">'RECOMMENDED PRICES'!K46</f>
        <v>Delisted</v>
      </c>
      <c r="D32" t="str" s="1984" cm="1">
        <f t="array" ref="D32">'RECOMMENDED PRICES'!L46</f>
        <v>Delisted</v>
      </c>
      <c r="E32" s="1980"/>
      <c r="F32" s="1985"/>
      <c r="G32" s="1986"/>
      <c r="H32" s="1964"/>
      <c r="I32" s="1989"/>
      <c r="J32" s="1966"/>
      <c r="K32" s="1978"/>
    </row>
    <row r="33" ht="17.5" customHeight="1">
      <c r="A33" s="12"/>
      <c r="B33" t="str" s="1979" cm="1">
        <f t="array" ref="B33">'RECOMMENDED PRICES'!B47</f>
        <v>Seahorse</v>
      </c>
      <c r="C33" s="1973" cm="1">
        <f t="array" ref="C33">'RECOMMENDED PRICES'!K47</f>
        <v>2279052.8423019</v>
      </c>
      <c r="D33" s="1974" cm="1">
        <f t="array" ref="D33">'RECOMMENDED PRICES'!L47</f>
        <v>0.183263310257082</v>
      </c>
      <c r="E33" t="s" s="1990">
        <v>4151</v>
      </c>
      <c r="F33" t="s" s="1981">
        <v>252</v>
      </c>
      <c r="G33" t="s" s="1982">
        <v>252</v>
      </c>
      <c r="H33" s="1964"/>
      <c r="I33" t="s" s="1983">
        <v>4114</v>
      </c>
      <c r="J33" s="1966"/>
      <c r="K33" s="1978" cm="1">
        <f t="array" ref="K33">ROUNDUP(('Private Boats 2026 Target'!Y352+'Private Boats 2026 Target'!E5*50%+200000),-3)*0.9</f>
        <v>3372300</v>
      </c>
    </row>
    <row r="34" ht="17.5" customHeight="1" hidden="1">
      <c r="A34" s="12"/>
      <c r="B34" t="str" s="1979" cm="1">
        <f t="array" ref="B34">'RECOMMENDED PRICES'!B48</f>
        <v>Paradise Catamaran 4h</v>
      </c>
      <c r="C34" t="str" s="1984" cm="1">
        <f t="array" ref="C34">'RECOMMENDED PRICES'!K48</f>
        <v>Delisted</v>
      </c>
      <c r="D34" t="str" s="1984" cm="1">
        <f t="array" ref="D34">'RECOMMENDED PRICES'!L48</f>
        <v>Delisted</v>
      </c>
      <c r="E34" s="1980"/>
      <c r="F34" s="1985"/>
      <c r="G34" s="1986"/>
      <c r="H34" s="1964"/>
      <c r="I34" s="1989"/>
      <c r="J34" s="1966"/>
      <c r="K34" s="1978"/>
    </row>
    <row r="35" ht="17.5" customHeight="1" hidden="1">
      <c r="A35" s="12"/>
      <c r="B35" t="str" s="1979" cm="1">
        <f t="array" ref="B35">'RECOMMENDED PRICES'!B49</f>
        <v>Paradise Catamaran 8h</v>
      </c>
      <c r="C35" t="str" s="1984" cm="1">
        <f t="array" ref="C35">'RECOMMENDED PRICES'!K49</f>
        <v>Delisted</v>
      </c>
      <c r="D35" t="str" s="1984" cm="1">
        <f t="array" ref="D35">'RECOMMENDED PRICES'!L49</f>
        <v>Delisted</v>
      </c>
      <c r="E35" s="1980"/>
      <c r="F35" s="1985"/>
      <c r="G35" s="1986"/>
      <c r="H35" s="1964"/>
      <c r="I35" s="1989"/>
      <c r="J35" s="1966"/>
      <c r="K35" s="1978"/>
    </row>
    <row r="36" ht="17.5" customHeight="1" hidden="1">
      <c r="A36" s="12"/>
      <c r="B36" t="str" s="1979" cm="1">
        <f t="array" ref="B36">'RECOMMENDED PRICES'!B50</f>
        <v>Rising</v>
      </c>
      <c r="C36" t="str" s="1984" cm="1">
        <f t="array" ref="C36">'RECOMMENDED PRICES'!K50</f>
        <v>Delisted</v>
      </c>
      <c r="D36" t="str" s="1984" cm="1">
        <f t="array" ref="D36">'RECOMMENDED PRICES'!L50</f>
        <v>Delisted</v>
      </c>
      <c r="E36" s="1980"/>
      <c r="F36" s="1985"/>
      <c r="G36" s="1986"/>
      <c r="H36" s="1964"/>
      <c r="I36" s="1989"/>
      <c r="J36" s="1966"/>
      <c r="K36" s="1978"/>
    </row>
    <row r="37" ht="17.5" customHeight="1" hidden="1">
      <c r="A37" s="12"/>
      <c r="B37" t="str" s="1979" cm="1">
        <f t="array" ref="B37">'RECOMMENDED PRICES'!B51</f>
        <v>Wahoo</v>
      </c>
      <c r="C37" t="str" s="1984" cm="1">
        <f t="array" ref="C37">'RECOMMENDED PRICES'!K51</f>
        <v>Delisted</v>
      </c>
      <c r="D37" t="str" s="1984" cm="1">
        <f t="array" ref="D37">'RECOMMENDED PRICES'!L51</f>
        <v>Delisted</v>
      </c>
      <c r="E37" s="1980"/>
      <c r="F37" s="1985"/>
      <c r="G37" s="1986"/>
      <c r="H37" s="1964"/>
      <c r="I37" s="1989"/>
      <c r="J37" s="1966"/>
      <c r="K37" s="1978"/>
    </row>
    <row r="38" ht="17.5" customHeight="1">
      <c r="A38" s="12"/>
      <c r="B38" t="str" s="1979" cm="1">
        <f t="array" ref="B38">'RECOMMENDED PRICES'!B52</f>
        <v>Queen Ruizi 18</v>
      </c>
      <c r="C38" s="1973" cm="1">
        <f t="array" ref="C38">'RECOMMENDED PRICES'!K52</f>
        <v>3653052.8423019</v>
      </c>
      <c r="D38" s="1974" cm="1">
        <f t="array" ref="D38">'RECOMMENDED PRICES'!L52</f>
        <v>0.159647813934966</v>
      </c>
      <c r="E38" s="1980">
        <v>800000</v>
      </c>
      <c r="F38" t="s" s="1981">
        <v>4112</v>
      </c>
      <c r="G38" t="s" s="1982">
        <v>4113</v>
      </c>
      <c r="H38" s="1964"/>
      <c r="I38" t="s" s="1983">
        <v>4114</v>
      </c>
      <c r="J38" s="1966"/>
      <c r="K38" s="1978" cm="1">
        <f t="array" ref="K38">ROUNDUP(('Private Boats 2026 Target'!Y467+'Private Boats 2026 Target'!E5*50%+200000),-3)*0.85</f>
        <v>5405150</v>
      </c>
    </row>
    <row r="39" ht="17.5" customHeight="1">
      <c r="A39" s="12"/>
      <c r="B39" t="str" s="1979" cm="1">
        <f t="array" ref="B39">'RECOMMENDED PRICES'!B53</f>
        <v>Yacht F-13 meters</v>
      </c>
      <c r="C39" s="1973" cm="1">
        <f t="array" ref="C39">'RECOMMENDED PRICES'!K53</f>
        <v>3613052.8423019</v>
      </c>
      <c r="D39" s="1974" cm="1">
        <f t="array" ref="D39">'RECOMMENDED PRICES'!L53</f>
        <v>0.176920095542405</v>
      </c>
      <c r="E39" s="1980">
        <v>800000</v>
      </c>
      <c r="F39" t="s" s="1981">
        <v>4112</v>
      </c>
      <c r="G39" t="s" s="1982">
        <v>4113</v>
      </c>
      <c r="H39" s="1964"/>
      <c r="I39" t="s" s="1983">
        <v>4148</v>
      </c>
      <c r="J39" s="1966"/>
      <c r="K39" s="1978" cm="1">
        <f t="array" ref="K39">ROUNDUP(('Private Boats 2026 Target'!Y490+'Private Boats 2026 Target'!E5*50%+200000),-3)*0.9</f>
        <v>5169600</v>
      </c>
    </row>
    <row r="40" ht="17.5" customHeight="1">
      <c r="A40" s="12"/>
      <c r="B40" t="str" s="1979" cm="1">
        <f t="array" ref="B40">'RECOMMENDED PRICES'!B54</f>
        <v>My Darling</v>
      </c>
      <c r="C40" s="1973" cm="1">
        <f t="array" ref="C40">'RECOMMENDED PRICES'!K54</f>
        <v>2169052.8423019</v>
      </c>
      <c r="D40" s="1974" cm="1">
        <f t="array" ref="D40">'RECOMMENDED PRICES'!L54</f>
        <v>0.181876777887767</v>
      </c>
      <c r="E40" s="1980">
        <v>1100000</v>
      </c>
      <c r="F40" t="s" s="1981">
        <v>4118</v>
      </c>
      <c r="G40" t="s" s="1982">
        <v>4119</v>
      </c>
      <c r="H40" s="1964"/>
      <c r="I40" t="s" s="1983">
        <v>4114</v>
      </c>
      <c r="J40" s="1966"/>
      <c r="K40" s="1978" cm="1">
        <f t="array" ref="K40">ROUNDUP(('Private Boats 2026 Target'!Y513+'Private Boats 2026 Target'!E5*50%+200000),-3)*0.9</f>
        <v>3258000</v>
      </c>
    </row>
    <row r="41" ht="17.5" customHeight="1" hidden="1">
      <c r="A41" s="12"/>
      <c r="B41" t="str" s="1979" cm="1">
        <f t="array" ref="B41">'RECOMMENDED PRICES'!B55</f>
        <v>Yacht R42</v>
      </c>
      <c r="C41" t="str" s="1984" cm="1">
        <f t="array" ref="C41">'RECOMMENDED PRICES'!K55</f>
        <v>Delisted</v>
      </c>
      <c r="D41" t="str" s="1984" cm="1">
        <f t="array" ref="D41">'RECOMMENDED PRICES'!L55</f>
        <v>Delisted</v>
      </c>
      <c r="E41" s="1980"/>
      <c r="F41" s="1985"/>
      <c r="G41" s="1986"/>
      <c r="H41" s="1964"/>
      <c r="I41" s="1989"/>
      <c r="J41" s="1966"/>
      <c r="K41" s="1978"/>
    </row>
    <row r="42" ht="17.5" customHeight="1" hidden="1">
      <c r="A42" s="12"/>
      <c r="B42" t="str" s="1979" cm="1">
        <f t="array" ref="B42">'RECOMMENDED PRICES'!B56</f>
        <v>Yacht S49</v>
      </c>
      <c r="C42" t="str" s="1984" cm="1">
        <f t="array" ref="C42">'RECOMMENDED PRICES'!K56</f>
        <v>Delisted</v>
      </c>
      <c r="D42" t="str" s="1984" cm="1">
        <f t="array" ref="D42">'RECOMMENDED PRICES'!L56</f>
        <v>Delisted</v>
      </c>
      <c r="E42" s="1980"/>
      <c r="F42" s="1985"/>
      <c r="G42" s="1986"/>
      <c r="H42" s="1964"/>
      <c r="I42" s="1989"/>
      <c r="J42" s="1966"/>
      <c r="K42" s="1978"/>
    </row>
    <row r="43" ht="17.5" customHeight="1">
      <c r="A43" s="12"/>
      <c r="B43" t="str" s="1979" cm="1">
        <f t="array" ref="B43">'RECOMMENDED PRICES'!B57</f>
        <v>Yacht Lux O17</v>
      </c>
      <c r="C43" s="1973" cm="1">
        <f t="array" ref="C43">'RECOMMENDED PRICES'!K57</f>
        <v>6629052.8423019</v>
      </c>
      <c r="D43" s="1974" cm="1">
        <f t="array" ref="D43">'RECOMMENDED PRICES'!L57</f>
        <v>0.196673091881588</v>
      </c>
      <c r="E43" s="1980">
        <v>1600000</v>
      </c>
      <c r="F43" t="s" s="1981">
        <v>4118</v>
      </c>
      <c r="G43" t="s" s="1982">
        <v>4119</v>
      </c>
      <c r="H43" s="1964"/>
      <c r="I43" s="1978">
        <v>3000000</v>
      </c>
      <c r="J43" s="1966"/>
      <c r="K43" s="1978" cm="1">
        <f t="array" ref="K43">ROUNDUP(('Private Boats 2026 Target'!Y674+'Private Boats 2026 Target'!E5*50%+200000),-3)*0.85</f>
        <v>7705250</v>
      </c>
    </row>
    <row r="44" ht="17.5" customHeight="1" hidden="1">
      <c r="A44" s="12"/>
      <c r="B44" t="str" s="1979" cm="1">
        <f t="array" ref="B44">'RECOMMENDED PRICES'!B58</f>
        <v>Yacht T13</v>
      </c>
      <c r="C44" t="str" s="1984" cm="1">
        <f t="array" ref="C44">'RECOMMENDED PRICES'!K58</f>
        <v>Delisted</v>
      </c>
      <c r="D44" t="str" s="1984" cm="1">
        <f t="array" ref="D44">'RECOMMENDED PRICES'!L58</f>
        <v>Delisted</v>
      </c>
      <c r="E44" s="1980"/>
      <c r="F44" s="1985"/>
      <c r="G44" s="1986"/>
      <c r="H44" s="1964"/>
      <c r="I44" s="1989"/>
      <c r="J44" s="1966"/>
      <c r="K44" s="1978"/>
    </row>
    <row r="45" ht="17.5" customHeight="1" hidden="1">
      <c r="A45" s="12"/>
      <c r="B45" t="str" s="1979" cm="1">
        <f t="array" ref="B45">'RECOMMENDED PRICES'!B59</f>
        <v>Yacht Lux WL 14</v>
      </c>
      <c r="C45" t="str" s="1984" cm="1">
        <f t="array" ref="C45">'RECOMMENDED PRICES'!K59</f>
        <v>Delisted</v>
      </c>
      <c r="D45" t="str" s="1984" cm="1">
        <f t="array" ref="D45">'RECOMMENDED PRICES'!L59</f>
        <v>Delisted</v>
      </c>
      <c r="E45" s="1980"/>
      <c r="F45" s="1985"/>
      <c r="G45" s="1986"/>
      <c r="H45" s="1964"/>
      <c r="I45" s="1989"/>
      <c r="J45" s="1966"/>
      <c r="K45" s="1978"/>
    </row>
    <row r="46" ht="17.5" customHeight="1">
      <c r="A46" s="12"/>
      <c r="B46" t="str" s="1979" cm="1">
        <f t="array" ref="B46">'RECOMMENDED PRICES'!B60</f>
        <v>Aneecha Catamaran</v>
      </c>
      <c r="C46" s="1973" cm="1">
        <f t="array" ref="C46">'RECOMMENDED PRICES'!K60</f>
        <v>3873052.8423019</v>
      </c>
      <c r="D46" s="1974" cm="1">
        <f t="array" ref="D46">'RECOMMENDED PRICES'!L60</f>
        <v>0.100960799158097</v>
      </c>
      <c r="E46" t="s" s="1990">
        <v>4151</v>
      </c>
      <c r="F46" t="s" s="1981">
        <v>252</v>
      </c>
      <c r="G46" t="s" s="1982">
        <v>252</v>
      </c>
      <c r="H46" s="1964"/>
      <c r="I46" s="1978">
        <v>3000000</v>
      </c>
      <c r="J46" s="1966"/>
      <c r="K46" s="1978" cm="1">
        <f t="array" ref="K46">ROUNDUP(('Private Boats 2026 Target'!Y766+'Private Boats 2026 Target'!E5*50%+200000),-3)*0.85</f>
        <v>8694650</v>
      </c>
    </row>
    <row r="47" ht="17.5" customHeight="1" hidden="1">
      <c r="A47" s="12"/>
      <c r="B47" t="str" s="1979" cm="1">
        <f t="array" ref="B47">'RECOMMENDED PRICES'!B61</f>
        <v>Pula Catamaran (small)</v>
      </c>
      <c r="C47" t="str" s="1984" cm="1">
        <f t="array" ref="C47">'RECOMMENDED PRICES'!K61</f>
        <v>Delisted</v>
      </c>
      <c r="D47" t="str" s="1984" cm="1">
        <f t="array" ref="D47">'RECOMMENDED PRICES'!L61</f>
        <v>Delisted</v>
      </c>
      <c r="E47" s="1980"/>
      <c r="F47" s="1985"/>
      <c r="G47" s="1986"/>
      <c r="H47" s="1964"/>
      <c r="I47" s="1989"/>
      <c r="J47" s="1966"/>
      <c r="K47" s="1978"/>
    </row>
    <row r="48" ht="17.5" customHeight="1">
      <c r="A48" s="12"/>
      <c r="B48" t="str" s="1979" cm="1">
        <f t="array" ref="B48">'RECOMMENDED PRICES'!B62</f>
        <v>Queen Ruizi 10</v>
      </c>
      <c r="C48" s="1973" cm="1">
        <f t="array" ref="C48">'RECOMMENDED PRICES'!K62</f>
        <v>3865652.84230188</v>
      </c>
      <c r="D48" s="1974" cm="1">
        <f t="array" ref="D48">'RECOMMENDED PRICES'!L62</f>
        <v>0.428120967638967</v>
      </c>
      <c r="E48" s="1980">
        <v>1000000</v>
      </c>
      <c r="F48" t="s" s="1981">
        <v>4112</v>
      </c>
      <c r="G48" t="s" s="1982">
        <v>4113</v>
      </c>
      <c r="H48" s="1964"/>
      <c r="I48" t="s" s="1983">
        <v>4114</v>
      </c>
      <c r="J48" s="1966"/>
      <c r="K48" s="1978" cm="1">
        <f t="array" ref="K48">ROUNDUP(('Private Boats 2026 Target'!Y817+'Private Boats 2026 Target'!E5*50%+200000),-3)*0.9</f>
        <v>2606400</v>
      </c>
    </row>
    <row r="49" ht="17.5" customHeight="1">
      <c r="A49" s="12"/>
      <c r="B49" t="str" s="1979" cm="1">
        <f t="array" ref="B49">'RECOMMENDED PRICES'!B63</f>
        <v>Queen Ruizi 12</v>
      </c>
      <c r="C49" s="1973" cm="1">
        <f t="array" ref="C49">'RECOMMENDED PRICES'!K63</f>
        <v>5569819.50896855</v>
      </c>
      <c r="D49" s="1974" cm="1">
        <f t="array" ref="D49">'RECOMMENDED PRICES'!L63</f>
        <v>0.56033384041607</v>
      </c>
      <c r="E49" s="1980">
        <v>1600000</v>
      </c>
      <c r="F49" t="s" s="1981">
        <v>4118</v>
      </c>
      <c r="G49" t="s" s="1982">
        <v>4119</v>
      </c>
      <c r="H49" s="1964"/>
      <c r="I49" t="s" s="1983">
        <v>4114</v>
      </c>
      <c r="J49" s="1966"/>
      <c r="K49" s="1978" cm="1">
        <f t="array" ref="K49">ROUNDUP(('Private Boats 2026 Target'!Y1146+'Private Boats 2026 Target'!E5*50%+200000),-3)*0.9</f>
        <v>2810700</v>
      </c>
    </row>
    <row r="50" ht="17.5" customHeight="1">
      <c r="A50" s="12"/>
      <c r="B50" t="str" s="1979" cm="1">
        <f t="array" ref="B50">'RECOMMENDED PRICES'!B64</f>
        <v>Jet Asia Yacht</v>
      </c>
      <c r="C50" s="1973" cm="1">
        <f t="array" ref="C50">'RECOMMENDED PRICES'!K64</f>
        <v>3773052.8423019</v>
      </c>
      <c r="D50" s="1974" cm="1">
        <f t="array" ref="D50">'RECOMMENDED PRICES'!L64</f>
        <v>0.103763773318809</v>
      </c>
      <c r="E50" s="1980">
        <v>600000</v>
      </c>
      <c r="F50" t="s" s="1981">
        <v>4138</v>
      </c>
      <c r="G50" t="s" s="1982">
        <v>4139</v>
      </c>
      <c r="H50" s="1964"/>
      <c r="I50" s="1978">
        <v>2500000</v>
      </c>
      <c r="J50" s="1966"/>
      <c r="K50" s="1978" cm="1">
        <f t="array" ref="K50">ROUNDUP(('Private Boats 2026 Target'!Y842+'Private Boats 2026 Target'!E5*50%+200000),-3)*0.9</f>
        <v>8756100</v>
      </c>
    </row>
    <row r="51" ht="17.5" customHeight="1">
      <c r="A51" s="12"/>
      <c r="B51" t="str" s="1979" cm="1">
        <f t="array" ref="B51">'RECOMMENDED PRICES'!B65</f>
        <v>Lux Yacht AR55</v>
      </c>
      <c r="C51" s="1973" cm="1">
        <f t="array" ref="C51">'RECOMMENDED PRICES'!K65</f>
        <v>5013052.8423019</v>
      </c>
      <c r="D51" s="1974" cm="1">
        <f t="array" ref="D51">'RECOMMENDED PRICES'!L65</f>
        <v>0.131156396130704</v>
      </c>
      <c r="E51" s="1980">
        <v>600000</v>
      </c>
      <c r="F51" t="s" s="1981">
        <v>4138</v>
      </c>
      <c r="G51" t="s" s="1982">
        <v>4139</v>
      </c>
      <c r="H51" s="1964"/>
      <c r="I51" s="1978">
        <v>2500000</v>
      </c>
      <c r="J51" s="1966"/>
      <c r="K51" s="1978" cm="1">
        <f t="array" ref="K51">ROUNDUP(('Private Boats 2026 Target'!Y893+'Private Boats 2026 Target'!E5*50%+200000),-3)*0.85</f>
        <v>8664900</v>
      </c>
    </row>
    <row r="52" ht="17.5" customHeight="1">
      <c r="A52" s="12"/>
      <c r="B52" t="str" s="1979" cm="1">
        <f t="array" ref="B52">'RECOMMENDED PRICES'!B66</f>
        <v>Yacht AM37</v>
      </c>
      <c r="C52" s="1973" cm="1">
        <f t="array" ref="C52">'RECOMMENDED PRICES'!K66</f>
        <v>3243052.8423019</v>
      </c>
      <c r="D52" s="1974" cm="1">
        <f t="array" ref="D52">'RECOMMENDED PRICES'!L66</f>
        <v>0.19905863988575</v>
      </c>
      <c r="E52" s="1980">
        <v>600000</v>
      </c>
      <c r="F52" t="s" s="1981">
        <v>4138</v>
      </c>
      <c r="G52" t="s" s="1982">
        <v>4139</v>
      </c>
      <c r="H52" s="1964"/>
      <c r="I52" t="s" s="1983">
        <v>4148</v>
      </c>
      <c r="J52" s="1966"/>
      <c r="K52" t="s" s="1983">
        <v>4171</v>
      </c>
    </row>
    <row r="53" ht="17.5" customHeight="1">
      <c r="A53" s="12"/>
      <c r="B53" t="str" s="1979" cm="1">
        <f t="array" ref="B53">'RECOMMENDED PRICES'!B67</f>
        <v>Boat BD99</v>
      </c>
      <c r="C53" s="1973" cm="1">
        <f t="array" ref="C53">'RECOMMENDED PRICES'!K67</f>
        <v>3143052.8423019</v>
      </c>
      <c r="D53" s="1974" cm="1">
        <f t="array" ref="D53">'RECOMMENDED PRICES'!L67</f>
        <v>0.234697225525952</v>
      </c>
      <c r="E53" s="1980">
        <v>600000</v>
      </c>
      <c r="F53" t="s" s="1981">
        <v>4138</v>
      </c>
      <c r="G53" t="s" s="1982">
        <v>4139</v>
      </c>
      <c r="H53" s="1964"/>
      <c r="I53" s="1978">
        <v>2500000</v>
      </c>
      <c r="J53" s="1966"/>
      <c r="K53" t="s" s="1983">
        <v>4171</v>
      </c>
    </row>
    <row r="54" ht="17.5" customHeight="1">
      <c r="A54" s="12"/>
      <c r="B54" t="str" s="1979" cm="1">
        <f t="array" ref="B54">'RECOMMENDED PRICES'!B68</f>
        <v>Yacht RZ50</v>
      </c>
      <c r="C54" s="1973" cm="1">
        <f t="array" ref="C54">'RECOMMENDED PRICES'!K68</f>
        <v>14953052.8423019</v>
      </c>
      <c r="D54" s="1974" cm="1">
        <f t="array" ref="D54">'RECOMMENDED PRICES'!L68</f>
        <v>0.441980261218855</v>
      </c>
      <c r="E54" s="1980">
        <v>1000000</v>
      </c>
      <c r="F54" t="s" s="1981">
        <v>4112</v>
      </c>
      <c r="G54" t="s" s="1982">
        <v>4113</v>
      </c>
      <c r="H54" s="1964"/>
      <c r="I54" t="s" s="1983">
        <v>4148</v>
      </c>
      <c r="J54" s="1966"/>
      <c r="K54" t="s" s="1983">
        <v>4171</v>
      </c>
    </row>
    <row r="55" ht="17.5" customHeight="1">
      <c r="A55" s="12"/>
      <c r="B55" t="str" s="1979" cm="1">
        <f t="array" ref="B55">'RECOMMENDED PRICES'!B69</f>
        <v>Premium Yacht AZ50</v>
      </c>
      <c r="C55" s="1973" cm="1">
        <f t="array" ref="C55">'RECOMMENDED PRICES'!K69</f>
        <v>5553052.8423019</v>
      </c>
      <c r="D55" s="1974" cm="1">
        <f t="array" ref="D55">'RECOMMENDED PRICES'!L69</f>
        <v>0.19627679959069</v>
      </c>
      <c r="E55" s="1980">
        <v>1000000</v>
      </c>
      <c r="F55" t="s" s="1981">
        <v>4112</v>
      </c>
      <c r="G55" t="s" s="1982">
        <v>4113</v>
      </c>
      <c r="H55" s="1964"/>
      <c r="I55" s="1978">
        <v>2500000</v>
      </c>
      <c r="J55" s="1966"/>
      <c r="K55" t="s" s="1983">
        <v>4171</v>
      </c>
    </row>
    <row r="56" ht="17.5" customHeight="1">
      <c r="A56" s="12"/>
      <c r="B56" t="str" s="1979" cm="1">
        <f t="array" ref="B56">'RECOMMENDED PRICES'!B70</f>
        <v>Boat MW40</v>
      </c>
      <c r="C56" s="1973" cm="1">
        <f t="array" ref="C56">'RECOMMENDED PRICES'!K70</f>
        <v>4753052.8423019</v>
      </c>
      <c r="D56" s="1974" cm="1">
        <f t="array" ref="D56">'RECOMMENDED PRICES'!L70</f>
        <v>0.371566016002618</v>
      </c>
      <c r="E56" s="1980">
        <v>1000000</v>
      </c>
      <c r="F56" t="s" s="1981">
        <v>4112</v>
      </c>
      <c r="G56" t="s" s="1982">
        <v>4113</v>
      </c>
      <c r="H56" s="1964"/>
      <c r="I56" t="s" s="1983">
        <v>4114</v>
      </c>
      <c r="J56" s="1966"/>
      <c r="K56" s="1978" cm="1">
        <f t="array" ref="K56">ROUNDUP(('Private Boats 2026 Target'!Y1239+'Private Boats 2026 Target'!E5*50%+200000),-3)*0.9</f>
        <v>3452400</v>
      </c>
    </row>
    <row r="57" ht="17.5" customHeight="1">
      <c r="A57" s="12"/>
      <c r="B57" t="str" s="1979" cm="1">
        <f t="array" ref="B57">'RECOMMENDED PRICES'!B71</f>
        <v>Boat KR-13</v>
      </c>
      <c r="C57" s="1973" cm="1">
        <f t="array" ref="C57">'RECOMMENDED PRICES'!K71</f>
        <v>3503052.8423019</v>
      </c>
      <c r="D57" s="1974" cm="1">
        <f t="array" ref="D57">'RECOMMENDED PRICES'!L71</f>
        <v>0.202582902339162</v>
      </c>
      <c r="E57" s="1980">
        <v>600000</v>
      </c>
      <c r="F57" t="s" s="1981">
        <v>4138</v>
      </c>
      <c r="G57" t="s" s="1982">
        <v>4139</v>
      </c>
      <c r="H57" s="1964"/>
      <c r="I57" t="s" s="1983">
        <v>4148</v>
      </c>
      <c r="J57" s="1966"/>
      <c r="K57" s="1978" cm="1">
        <f t="array" ref="K57">ROUNDUP(('Private Boats 2026 Target'!Y1192+'Private Boats 2026 Target'!E5*50%+200000),-3)*0.9</f>
        <v>4464900</v>
      </c>
    </row>
    <row r="58" ht="17.5" customHeight="1">
      <c r="A58" s="12"/>
      <c r="B58" t="str" s="1972" cm="1">
        <f t="array" ref="B58">'RECOMMENDED PRICES'!B72</f>
        <v>Blue Marlin Class:</v>
      </c>
      <c r="C58" s="1973"/>
      <c r="D58" s="1974"/>
      <c r="E58" s="1980"/>
      <c r="F58" s="1985"/>
      <c r="G58" s="1986"/>
      <c r="H58" s="1964"/>
      <c r="I58" s="1989"/>
      <c r="J58" s="1966"/>
      <c r="K58" s="1989"/>
    </row>
    <row r="59" ht="17.5" customHeight="1">
      <c r="A59" s="12"/>
      <c r="B59" t="str" s="1979" cm="1">
        <f t="array" ref="B59">'RECOMMENDED PRICES'!B73</f>
        <v>Lux Yacht BM55</v>
      </c>
      <c r="C59" s="1973" cm="1">
        <f t="array" ref="C59">'RECOMMENDED PRICES'!K73</f>
        <v>4213052.8423019</v>
      </c>
      <c r="D59" s="1974" cm="1">
        <f t="array" ref="D59">'RECOMMENDED PRICES'!L73</f>
        <v>0.110805814989644</v>
      </c>
      <c r="E59" t="s" s="1990">
        <v>4151</v>
      </c>
      <c r="F59" t="s" s="1981">
        <v>252</v>
      </c>
      <c r="G59" t="s" s="1982">
        <v>252</v>
      </c>
      <c r="H59" s="1964"/>
      <c r="I59" s="1978">
        <v>2200000</v>
      </c>
      <c r="J59" s="1966"/>
      <c r="K59" t="s" s="1983">
        <v>4171</v>
      </c>
    </row>
    <row r="60" ht="17.5" customHeight="1">
      <c r="A60" s="12"/>
      <c r="B60" t="str" s="1979" cm="1">
        <f t="array" ref="B60">'RECOMMENDED PRICES'!B74</f>
        <v>Yacht BM49</v>
      </c>
      <c r="C60" s="1973" cm="1">
        <f t="array" ref="C60">'RECOMMENDED PRICES'!K74</f>
        <v>2098052.8423019</v>
      </c>
      <c r="D60" s="1974" cm="1">
        <f t="array" ref="D60">'RECOMMENDED PRICES'!L74</f>
        <v>0.0862085465653098</v>
      </c>
      <c r="E60" t="s" s="1990">
        <v>4151</v>
      </c>
      <c r="F60" t="s" s="1981">
        <v>252</v>
      </c>
      <c r="G60" t="s" s="1982">
        <v>252</v>
      </c>
      <c r="H60" s="1964"/>
      <c r="I60" s="1978">
        <v>2200000</v>
      </c>
      <c r="J60" s="1966"/>
      <c r="K60" t="s" s="1983">
        <v>4171</v>
      </c>
    </row>
    <row r="61" ht="17.5" customHeight="1">
      <c r="A61" s="12"/>
      <c r="B61" t="str" s="1979" cm="1">
        <f t="array" ref="B61">'RECOMMENDED PRICES'!B75</f>
        <v>Yacht Lux M13</v>
      </c>
      <c r="C61" s="1973" cm="1">
        <f t="array" ref="C61">'RECOMMENDED PRICES'!K75</f>
        <v>3773052.8423019</v>
      </c>
      <c r="D61" s="1974" cm="1">
        <f t="array" ref="D61">'RECOMMENDED PRICES'!L75</f>
        <v>0.126349859986583</v>
      </c>
      <c r="E61" t="s" s="1990">
        <v>4151</v>
      </c>
      <c r="F61" t="s" s="1981">
        <v>252</v>
      </c>
      <c r="G61" t="s" s="1982">
        <v>252</v>
      </c>
      <c r="H61" s="1964"/>
      <c r="I61" s="1978">
        <v>2500000</v>
      </c>
      <c r="J61" s="1966"/>
      <c r="K61" t="s" s="1983">
        <v>4171</v>
      </c>
    </row>
    <row r="62" ht="17.5" customHeight="1">
      <c r="A62" s="12"/>
      <c r="B62" t="str" s="1979" cm="1">
        <f t="array" ref="B62">'RECOMMENDED PRICES'!B76</f>
        <v>Premium Yacht BM42</v>
      </c>
      <c r="C62" s="1973" cm="1">
        <f t="array" ref="C62">'RECOMMENDED PRICES'!K76</f>
        <v>2873052.8423019</v>
      </c>
      <c r="D62" s="1974" cm="1">
        <f t="array" ref="D62">'RECOMMENDED PRICES'!L76</f>
        <v>0.102018970002809</v>
      </c>
      <c r="E62" t="s" s="1990">
        <v>4151</v>
      </c>
      <c r="F62" t="s" s="1981">
        <v>252</v>
      </c>
      <c r="G62" t="s" s="1982">
        <v>252</v>
      </c>
      <c r="H62" s="1964"/>
      <c r="I62" s="1978">
        <v>2200000</v>
      </c>
      <c r="J62" s="1966"/>
      <c r="K62" t="s" s="1983">
        <v>4171</v>
      </c>
    </row>
    <row r="63" ht="17.5" customHeight="1">
      <c r="A63" s="12"/>
      <c r="B63" s="1991"/>
      <c r="C63" s="1992"/>
      <c r="D63" s="1992"/>
      <c r="E63" s="1993"/>
      <c r="F63" s="1993"/>
      <c r="G63" s="1994"/>
      <c r="H63" s="1964"/>
      <c r="I63" s="1995"/>
      <c r="J63" s="1966"/>
      <c r="K63" s="1995"/>
    </row>
    <row r="64" ht="15" customHeight="1">
      <c r="A64" s="32"/>
      <c r="B64" s="1996"/>
      <c r="C64" s="1996"/>
      <c r="D64" s="1996"/>
      <c r="E64" s="124"/>
      <c r="F64" s="124"/>
      <c r="G64" s="124"/>
      <c r="H64" s="17"/>
      <c r="I64" s="391"/>
      <c r="J64" s="17"/>
      <c r="K64" s="1997"/>
    </row>
    <row r="65" ht="13.55" customHeight="1">
      <c r="A65" s="32"/>
      <c r="B65" s="17"/>
      <c r="C65" s="17"/>
      <c r="D65" s="17"/>
      <c r="E65" s="17"/>
      <c r="F65" s="17"/>
      <c r="G65" s="1998"/>
      <c r="H65" s="17"/>
      <c r="I65" s="17"/>
      <c r="J65" s="17"/>
      <c r="K65" s="18"/>
    </row>
    <row r="66" ht="13.55" customHeight="1">
      <c r="A66" s="192"/>
      <c r="B66" s="193"/>
      <c r="C66" s="193"/>
      <c r="D66" s="193"/>
      <c r="E66" s="193"/>
      <c r="F66" s="193"/>
      <c r="G66" s="1999"/>
      <c r="H66" s="193"/>
      <c r="I66" s="193"/>
      <c r="J66" s="193"/>
      <c r="K66" s="19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1.xml><?xml version="1.0" encoding="utf-8"?>
<worksheet xmlns:r="http://schemas.openxmlformats.org/officeDocument/2006/relationships" xmlns="http://schemas.openxmlformats.org/spreadsheetml/2006/main">
  <dimension ref="A1:AM45"/>
  <sheetViews>
    <sheetView workbookViewId="0" showGridLines="0" defaultGridColor="1"/>
  </sheetViews>
  <sheetFormatPr defaultColWidth="8.83333" defaultRowHeight="14.5" customHeight="1" outlineLevelRow="0" outlineLevelCol="0"/>
  <cols>
    <col min="1" max="1" width="8.85156" style="2000" customWidth="1"/>
    <col min="2" max="2" width="19" style="2000" customWidth="1"/>
    <col min="3" max="38" width="13" style="2000" customWidth="1"/>
    <col min="39" max="39" width="2.5" style="2000" customWidth="1"/>
    <col min="40" max="16384" width="8.85156" style="2000" customWidth="1"/>
  </cols>
  <sheetData>
    <row r="1" ht="13.55" customHeight="1">
      <c r="A1" s="7"/>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11"/>
    </row>
    <row r="2" ht="15" customHeight="1">
      <c r="A2" s="32"/>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442"/>
    </row>
    <row r="3" ht="20" customHeight="1">
      <c r="A3" s="12"/>
      <c r="B3" t="s" s="2001">
        <v>4183</v>
      </c>
      <c r="C3" s="2002"/>
      <c r="D3" s="2002"/>
      <c r="E3" s="2002"/>
      <c r="F3" s="2002"/>
      <c r="G3" s="2002"/>
      <c r="H3" s="2002"/>
      <c r="I3" s="2002"/>
      <c r="J3" s="2002"/>
      <c r="K3" s="2002"/>
      <c r="L3" s="2002"/>
      <c r="M3" s="2002"/>
      <c r="N3" s="2002"/>
      <c r="O3" s="2002"/>
      <c r="P3" s="2002"/>
      <c r="Q3" s="2002"/>
      <c r="R3" s="2002"/>
      <c r="S3" s="2002"/>
      <c r="T3" s="2002"/>
      <c r="U3" s="2002"/>
      <c r="V3" s="2002"/>
      <c r="W3" s="2002"/>
      <c r="X3" s="2002"/>
      <c r="Y3" s="2002"/>
      <c r="Z3" s="2002"/>
      <c r="AA3" s="2002"/>
      <c r="AB3" s="2002"/>
      <c r="AC3" s="2002"/>
      <c r="AD3" s="2002"/>
      <c r="AE3" s="2002"/>
      <c r="AF3" s="2002"/>
      <c r="AG3" s="2002"/>
      <c r="AH3" s="2002"/>
      <c r="AI3" s="2002"/>
      <c r="AJ3" s="2002"/>
      <c r="AK3" s="2002"/>
      <c r="AL3" s="2002"/>
      <c r="AM3" s="2003"/>
    </row>
    <row r="4" ht="20" customHeight="1">
      <c r="A4" s="12"/>
      <c r="B4" s="2004"/>
      <c r="C4" t="s" s="2005">
        <v>582</v>
      </c>
      <c r="D4" s="2006"/>
      <c r="E4" s="2006"/>
      <c r="F4" s="2007"/>
      <c r="G4" t="s" s="2005">
        <v>592</v>
      </c>
      <c r="H4" s="2006"/>
      <c r="I4" s="2006"/>
      <c r="J4" s="2007"/>
      <c r="K4" t="s" s="2005">
        <v>4184</v>
      </c>
      <c r="L4" s="2006"/>
      <c r="M4" s="2006"/>
      <c r="N4" s="2007"/>
      <c r="O4" t="s" s="2005">
        <v>4185</v>
      </c>
      <c r="P4" s="2006"/>
      <c r="Q4" s="2006"/>
      <c r="R4" s="2007"/>
      <c r="S4" t="s" s="2005">
        <v>586</v>
      </c>
      <c r="T4" s="2006"/>
      <c r="U4" s="2006"/>
      <c r="V4" s="2007"/>
      <c r="W4" t="s" s="2005">
        <v>4186</v>
      </c>
      <c r="X4" s="2006"/>
      <c r="Y4" s="2006"/>
      <c r="Z4" s="2007"/>
      <c r="AA4" t="s" s="2005">
        <v>507</v>
      </c>
      <c r="AB4" s="2006"/>
      <c r="AC4" s="2006"/>
      <c r="AD4" s="2007"/>
      <c r="AE4" t="s" s="2005">
        <v>581</v>
      </c>
      <c r="AF4" s="2006"/>
      <c r="AG4" s="2006"/>
      <c r="AH4" s="2007"/>
      <c r="AI4" t="s" s="2005">
        <v>4187</v>
      </c>
      <c r="AJ4" s="2006"/>
      <c r="AK4" s="2006"/>
      <c r="AL4" s="2008"/>
      <c r="AM4" s="2009"/>
    </row>
    <row r="5" ht="20" customHeight="1">
      <c r="A5" s="12"/>
      <c r="B5" s="2010"/>
      <c r="C5" t="s" s="2011">
        <v>4188</v>
      </c>
      <c r="D5" s="2012"/>
      <c r="E5" t="s" s="2013">
        <v>4189</v>
      </c>
      <c r="F5" s="2014"/>
      <c r="G5" t="s" s="2011">
        <v>4188</v>
      </c>
      <c r="H5" s="2012"/>
      <c r="I5" t="s" s="2013">
        <v>4189</v>
      </c>
      <c r="J5" s="2014"/>
      <c r="K5" t="s" s="2011">
        <v>4188</v>
      </c>
      <c r="L5" s="2012"/>
      <c r="M5" t="s" s="2013">
        <v>4189</v>
      </c>
      <c r="N5" s="2014"/>
      <c r="O5" t="s" s="2011">
        <v>4188</v>
      </c>
      <c r="P5" s="2012"/>
      <c r="Q5" t="s" s="2013">
        <v>4189</v>
      </c>
      <c r="R5" s="2014"/>
      <c r="S5" t="s" s="2011">
        <v>4188</v>
      </c>
      <c r="T5" s="2012"/>
      <c r="U5" t="s" s="2013">
        <v>4189</v>
      </c>
      <c r="V5" s="2014"/>
      <c r="W5" t="s" s="2011">
        <v>4188</v>
      </c>
      <c r="X5" s="2012"/>
      <c r="Y5" t="s" s="2013">
        <v>4189</v>
      </c>
      <c r="Z5" s="2014"/>
      <c r="AA5" t="s" s="2011">
        <v>4188</v>
      </c>
      <c r="AB5" s="2012"/>
      <c r="AC5" t="s" s="2013">
        <v>4189</v>
      </c>
      <c r="AD5" s="2014"/>
      <c r="AE5" t="s" s="2011">
        <v>4188</v>
      </c>
      <c r="AF5" s="2012"/>
      <c r="AG5" t="s" s="2013">
        <v>4189</v>
      </c>
      <c r="AH5" s="2014"/>
      <c r="AI5" t="s" s="2011">
        <v>4188</v>
      </c>
      <c r="AJ5" s="2012"/>
      <c r="AK5" t="s" s="2013">
        <v>4189</v>
      </c>
      <c r="AL5" s="2012"/>
      <c r="AM5" s="2015"/>
    </row>
    <row r="6" ht="32" customHeight="1">
      <c r="A6" s="12"/>
      <c r="B6" t="s" s="2016">
        <v>4190</v>
      </c>
      <c r="C6" t="s" s="2017">
        <v>4191</v>
      </c>
      <c r="D6" t="s" s="2018">
        <v>4192</v>
      </c>
      <c r="E6" t="s" s="2018">
        <v>4191</v>
      </c>
      <c r="F6" t="s" s="2019">
        <v>4192</v>
      </c>
      <c r="G6" t="s" s="2017">
        <v>4191</v>
      </c>
      <c r="H6" t="s" s="2018">
        <v>4192</v>
      </c>
      <c r="I6" t="s" s="2018">
        <v>4191</v>
      </c>
      <c r="J6" t="s" s="2019">
        <v>4192</v>
      </c>
      <c r="K6" t="s" s="2017">
        <v>4191</v>
      </c>
      <c r="L6" t="s" s="2018">
        <v>4192</v>
      </c>
      <c r="M6" t="s" s="2018">
        <v>4191</v>
      </c>
      <c r="N6" t="s" s="2019">
        <v>4192</v>
      </c>
      <c r="O6" t="s" s="2017">
        <v>4191</v>
      </c>
      <c r="P6" t="s" s="2018">
        <v>4192</v>
      </c>
      <c r="Q6" t="s" s="2018">
        <v>4191</v>
      </c>
      <c r="R6" t="s" s="2019">
        <v>4192</v>
      </c>
      <c r="S6" t="s" s="2017">
        <v>4191</v>
      </c>
      <c r="T6" t="s" s="2018">
        <v>4192</v>
      </c>
      <c r="U6" t="s" s="2018">
        <v>4191</v>
      </c>
      <c r="V6" t="s" s="2019">
        <v>4192</v>
      </c>
      <c r="W6" t="s" s="2017">
        <v>4191</v>
      </c>
      <c r="X6" t="s" s="2018">
        <v>4192</v>
      </c>
      <c r="Y6" t="s" s="2018">
        <v>4191</v>
      </c>
      <c r="Z6" t="s" s="2019">
        <v>4192</v>
      </c>
      <c r="AA6" t="s" s="2017">
        <v>4191</v>
      </c>
      <c r="AB6" t="s" s="2018">
        <v>4192</v>
      </c>
      <c r="AC6" t="s" s="2018">
        <v>4191</v>
      </c>
      <c r="AD6" t="s" s="2019">
        <v>4192</v>
      </c>
      <c r="AE6" t="s" s="2017">
        <v>4191</v>
      </c>
      <c r="AF6" t="s" s="2018">
        <v>4192</v>
      </c>
      <c r="AG6" t="s" s="2018">
        <v>4191</v>
      </c>
      <c r="AH6" t="s" s="2019">
        <v>4192</v>
      </c>
      <c r="AI6" t="s" s="2017">
        <v>4191</v>
      </c>
      <c r="AJ6" t="s" s="2018">
        <v>4192</v>
      </c>
      <c r="AK6" t="s" s="2018">
        <v>4191</v>
      </c>
      <c r="AL6" t="s" s="2018">
        <v>4192</v>
      </c>
      <c r="AM6" s="2020"/>
    </row>
    <row r="7" ht="15" customHeight="1">
      <c r="A7" s="12"/>
      <c r="B7" s="2021">
        <v>1</v>
      </c>
      <c r="C7" s="2022">
        <v>12364165.6237656</v>
      </c>
      <c r="D7" s="2023" cm="1">
        <f t="array" ref="D7">C7+800000</f>
        <v>13164165.6237656</v>
      </c>
      <c r="E7" s="2023" cm="1">
        <f t="array" ref="E7">C7/0.8</f>
        <v>15455207.029707</v>
      </c>
      <c r="F7" s="2024" cm="1">
        <f t="array" ref="F7">D7/0.8</f>
        <v>16455207.029707</v>
      </c>
      <c r="G7" s="2022">
        <v>15650202.0162445</v>
      </c>
      <c r="H7" s="2023" cm="1">
        <f t="array" ref="H7">G7+800000</f>
        <v>16450202.0162445</v>
      </c>
      <c r="I7" s="2023" cm="1">
        <f t="array" ref="I7">G7/0.8</f>
        <v>19562752.5203056</v>
      </c>
      <c r="J7" s="2024" cm="1">
        <f t="array" ref="J7">H7/0.8</f>
        <v>20562752.5203056</v>
      </c>
      <c r="K7" s="2022">
        <v>15650202.0162445</v>
      </c>
      <c r="L7" s="2023" cm="1">
        <f t="array" ref="L7">K7+800000</f>
        <v>16450202.0162445</v>
      </c>
      <c r="M7" s="2023" cm="1">
        <f t="array" ref="M7">K7/0.8</f>
        <v>19562752.5203056</v>
      </c>
      <c r="N7" s="2024" cm="1">
        <f t="array" ref="N7">L7/0.8</f>
        <v>20562752.5203056</v>
      </c>
      <c r="O7" s="2022">
        <v>14218710.4987656</v>
      </c>
      <c r="P7" s="2023" cm="1">
        <f t="array" ref="P7">O7+800000</f>
        <v>15018710.4987656</v>
      </c>
      <c r="Q7" s="2023" cm="1">
        <f t="array" ref="Q7">O7/0.8</f>
        <v>17773388.123457</v>
      </c>
      <c r="R7" s="2024" cm="1">
        <f t="array" ref="R7">P7/0.8</f>
        <v>18773388.123457</v>
      </c>
      <c r="S7" s="2022">
        <v>11330123.8929469</v>
      </c>
      <c r="T7" s="2023" cm="1">
        <f t="array" ref="T7">S7+800000</f>
        <v>12130123.8929469</v>
      </c>
      <c r="U7" s="2023" cm="1">
        <f t="array" ref="U7">S7/0.8</f>
        <v>14162654.8661836</v>
      </c>
      <c r="V7" s="2024" cm="1">
        <f t="array" ref="V7">T7/0.8</f>
        <v>15162654.8661836</v>
      </c>
      <c r="W7" s="2022">
        <v>15649509.0213194</v>
      </c>
      <c r="X7" s="2023" cm="1">
        <f t="array" ref="X7">W7+800000</f>
        <v>16449509.0213194</v>
      </c>
      <c r="Y7" s="2023" cm="1">
        <f t="array" ref="Y7">W7/0.8</f>
        <v>19561886.2766493</v>
      </c>
      <c r="Z7" s="2024" cm="1">
        <f t="array" ref="Z7">X7/0.8</f>
        <v>20561886.2766493</v>
      </c>
      <c r="AA7" s="2022">
        <v>12806921.3267216</v>
      </c>
      <c r="AB7" s="2023" cm="1">
        <f t="array" ref="AB7">AA7+800000</f>
        <v>13606921.3267216</v>
      </c>
      <c r="AC7" s="2023" cm="1">
        <f t="array" ref="AC7">AA7/0.8</f>
        <v>16008651.658402</v>
      </c>
      <c r="AD7" s="2024" cm="1">
        <f t="array" ref="AD7">AB7/0.8</f>
        <v>17008651.658402</v>
      </c>
      <c r="AE7" s="2022">
        <v>14885548.2412357</v>
      </c>
      <c r="AF7" s="2023" cm="1">
        <f t="array" ref="AF7">AE7+800000</f>
        <v>15685548.2412357</v>
      </c>
      <c r="AG7" s="2023" cm="1">
        <f t="array" ref="AG7">AE7/0.8</f>
        <v>18606935.3015446</v>
      </c>
      <c r="AH7" s="2024" cm="1">
        <f t="array" ref="AH7">AF7/0.8</f>
        <v>19606935.3015446</v>
      </c>
      <c r="AI7" s="2022">
        <v>15515752.5339577</v>
      </c>
      <c r="AJ7" s="2023" cm="1">
        <f t="array" ref="AJ7">AI7+800000</f>
        <v>16315752.5339577</v>
      </c>
      <c r="AK7" s="2023" cm="1">
        <f t="array" ref="AK7">AI7/0.8</f>
        <v>19394690.6674471</v>
      </c>
      <c r="AL7" s="2023" cm="1">
        <f t="array" ref="AL7">AJ7/0.8</f>
        <v>20394690.6674471</v>
      </c>
      <c r="AM7" s="2025"/>
    </row>
    <row r="8" ht="15" customHeight="1">
      <c r="A8" s="12"/>
      <c r="B8" s="2021">
        <v>2</v>
      </c>
      <c r="C8" s="2022">
        <v>12654165.6237656</v>
      </c>
      <c r="D8" s="2023" cm="1">
        <f t="array" ref="D8">C8+800000</f>
        <v>13454165.6237656</v>
      </c>
      <c r="E8" s="2023" cm="1">
        <f t="array" ref="E8">C8/0.8</f>
        <v>15817707.029707</v>
      </c>
      <c r="F8" s="2024" cm="1">
        <f t="array" ref="F8">D8/0.8</f>
        <v>16817707.029707</v>
      </c>
      <c r="G8" s="2022">
        <v>15940202.0162445</v>
      </c>
      <c r="H8" s="2023" cm="1">
        <f t="array" ref="H8">G8+800000</f>
        <v>16740202.0162445</v>
      </c>
      <c r="I8" s="2023" cm="1">
        <f t="array" ref="I8">G8/0.8</f>
        <v>19925252.5203056</v>
      </c>
      <c r="J8" s="2024" cm="1">
        <f t="array" ref="J8">H8/0.8</f>
        <v>20925252.5203056</v>
      </c>
      <c r="K8" s="2022">
        <v>15940202.0162445</v>
      </c>
      <c r="L8" s="2023" cm="1">
        <f t="array" ref="L8">K8+800000</f>
        <v>16740202.0162445</v>
      </c>
      <c r="M8" s="2023" cm="1">
        <f t="array" ref="M8">K8/0.8</f>
        <v>19925252.5203056</v>
      </c>
      <c r="N8" s="2024" cm="1">
        <f t="array" ref="N8">L8/0.8</f>
        <v>20925252.5203056</v>
      </c>
      <c r="O8" s="2022">
        <v>14508710.4987656</v>
      </c>
      <c r="P8" s="2023" cm="1">
        <f t="array" ref="P8">O8+800000</f>
        <v>15308710.4987656</v>
      </c>
      <c r="Q8" s="2023" cm="1">
        <f t="array" ref="Q8">O8/0.8</f>
        <v>18135888.123457</v>
      </c>
      <c r="R8" s="2024" cm="1">
        <f t="array" ref="R8">P8/0.8</f>
        <v>19135888.123457</v>
      </c>
      <c r="S8" s="2022">
        <v>11620123.8929469</v>
      </c>
      <c r="T8" s="2023" cm="1">
        <f t="array" ref="T8">S8+800000</f>
        <v>12420123.8929469</v>
      </c>
      <c r="U8" s="2023" cm="1">
        <f t="array" ref="U8">S8/0.8</f>
        <v>14525154.8661836</v>
      </c>
      <c r="V8" s="2024" cm="1">
        <f t="array" ref="V8">T8/0.8</f>
        <v>15525154.8661836</v>
      </c>
      <c r="W8" s="2022">
        <v>15939509.0213194</v>
      </c>
      <c r="X8" s="2023" cm="1">
        <f t="array" ref="X8">W8+800000</f>
        <v>16739509.0213194</v>
      </c>
      <c r="Y8" s="2023" cm="1">
        <f t="array" ref="Y8">W8/0.8</f>
        <v>19924386.2766493</v>
      </c>
      <c r="Z8" s="2024" cm="1">
        <f t="array" ref="Z8">X8/0.8</f>
        <v>20924386.2766493</v>
      </c>
      <c r="AA8" s="2022">
        <v>13096921.3267216</v>
      </c>
      <c r="AB8" s="2023" cm="1">
        <f t="array" ref="AB8">AA8+800000</f>
        <v>13896921.3267216</v>
      </c>
      <c r="AC8" s="2023" cm="1">
        <f t="array" ref="AC8">AA8/0.8</f>
        <v>16371151.658402</v>
      </c>
      <c r="AD8" s="2024" cm="1">
        <f t="array" ref="AD8">AB8/0.8</f>
        <v>17371151.658402</v>
      </c>
      <c r="AE8" s="2022">
        <v>15175548.2412357</v>
      </c>
      <c r="AF8" s="2023" cm="1">
        <f t="array" ref="AF8">AE8+800000</f>
        <v>15975548.2412357</v>
      </c>
      <c r="AG8" s="2023" cm="1">
        <f t="array" ref="AG8">AE8/0.8</f>
        <v>18969435.3015446</v>
      </c>
      <c r="AH8" s="2024" cm="1">
        <f t="array" ref="AH8">AF8/0.8</f>
        <v>19969435.3015446</v>
      </c>
      <c r="AI8" s="2022">
        <v>15805752.5339577</v>
      </c>
      <c r="AJ8" s="2023" cm="1">
        <f t="array" ref="AJ8">AI8+800000</f>
        <v>16605752.5339577</v>
      </c>
      <c r="AK8" s="2023" cm="1">
        <f t="array" ref="AK8">AI8/0.8</f>
        <v>19757190.6674471</v>
      </c>
      <c r="AL8" s="2023" cm="1">
        <f t="array" ref="AL8">AJ8/0.8</f>
        <v>20757190.6674471</v>
      </c>
      <c r="AM8" s="2025"/>
    </row>
    <row r="9" ht="15" customHeight="1">
      <c r="A9" s="12"/>
      <c r="B9" s="2021">
        <v>3</v>
      </c>
      <c r="C9" s="2022">
        <v>12944165.6237656</v>
      </c>
      <c r="D9" s="2023" cm="1">
        <f t="array" ref="D9">C9+800000</f>
        <v>13744165.6237656</v>
      </c>
      <c r="E9" s="2023" cm="1">
        <f t="array" ref="E9">C9/0.8</f>
        <v>16180207.029707</v>
      </c>
      <c r="F9" s="2024" cm="1">
        <f t="array" ref="F9">D9/0.8</f>
        <v>17180207.029707</v>
      </c>
      <c r="G9" s="2022">
        <v>16230202.0162445</v>
      </c>
      <c r="H9" s="2023" cm="1">
        <f t="array" ref="H9">G9+800000</f>
        <v>17030202.0162445</v>
      </c>
      <c r="I9" s="2023" cm="1">
        <f t="array" ref="I9">G9/0.8</f>
        <v>20287752.5203056</v>
      </c>
      <c r="J9" s="2024" cm="1">
        <f t="array" ref="J9">H9/0.8</f>
        <v>21287752.5203056</v>
      </c>
      <c r="K9" s="2022">
        <v>16230202.0162445</v>
      </c>
      <c r="L9" s="2023" cm="1">
        <f t="array" ref="L9">K9+800000</f>
        <v>17030202.0162445</v>
      </c>
      <c r="M9" s="2023" cm="1">
        <f t="array" ref="M9">K9/0.8</f>
        <v>20287752.5203056</v>
      </c>
      <c r="N9" s="2024" cm="1">
        <f t="array" ref="N9">L9/0.8</f>
        <v>21287752.5203056</v>
      </c>
      <c r="O9" s="2022">
        <v>14798710.4987656</v>
      </c>
      <c r="P9" s="2023" cm="1">
        <f t="array" ref="P9">O9+800000</f>
        <v>15598710.4987656</v>
      </c>
      <c r="Q9" s="2023" cm="1">
        <f t="array" ref="Q9">O9/0.8</f>
        <v>18498388.123457</v>
      </c>
      <c r="R9" s="2024" cm="1">
        <f t="array" ref="R9">P9/0.8</f>
        <v>19498388.123457</v>
      </c>
      <c r="S9" s="2022">
        <v>11910123.8929469</v>
      </c>
      <c r="T9" s="2023" cm="1">
        <f t="array" ref="T9">S9+800000</f>
        <v>12710123.8929469</v>
      </c>
      <c r="U9" s="2023" cm="1">
        <f t="array" ref="U9">S9/0.8</f>
        <v>14887654.8661836</v>
      </c>
      <c r="V9" s="2024" cm="1">
        <f t="array" ref="V9">T9/0.8</f>
        <v>15887654.8661836</v>
      </c>
      <c r="W9" s="2022">
        <v>16229509.0213194</v>
      </c>
      <c r="X9" s="2023" cm="1">
        <f t="array" ref="X9">W9+800000</f>
        <v>17029509.0213194</v>
      </c>
      <c r="Y9" s="2023" cm="1">
        <f t="array" ref="Y9">W9/0.8</f>
        <v>20286886.2766493</v>
      </c>
      <c r="Z9" s="2024" cm="1">
        <f t="array" ref="Z9">X9/0.8</f>
        <v>21286886.2766493</v>
      </c>
      <c r="AA9" s="2022">
        <v>13386921.3267216</v>
      </c>
      <c r="AB9" s="2023" cm="1">
        <f t="array" ref="AB9">AA9+800000</f>
        <v>14186921.3267216</v>
      </c>
      <c r="AC9" s="2023" cm="1">
        <f t="array" ref="AC9">AA9/0.8</f>
        <v>16733651.658402</v>
      </c>
      <c r="AD9" s="2024" cm="1">
        <f t="array" ref="AD9">AB9/0.8</f>
        <v>17733651.658402</v>
      </c>
      <c r="AE9" s="2022">
        <v>15465548.2412357</v>
      </c>
      <c r="AF9" s="2023" cm="1">
        <f t="array" ref="AF9">AE9+800000</f>
        <v>16265548.2412357</v>
      </c>
      <c r="AG9" s="2023" cm="1">
        <f t="array" ref="AG9">AE9/0.8</f>
        <v>19331935.3015446</v>
      </c>
      <c r="AH9" s="2024" cm="1">
        <f t="array" ref="AH9">AF9/0.8</f>
        <v>20331935.3015446</v>
      </c>
      <c r="AI9" s="2022">
        <v>16095752.5339577</v>
      </c>
      <c r="AJ9" s="2023" cm="1">
        <f t="array" ref="AJ9">AI9+800000</f>
        <v>16895752.5339577</v>
      </c>
      <c r="AK9" s="2023" cm="1">
        <f t="array" ref="AK9">AI9/0.8</f>
        <v>20119690.6674471</v>
      </c>
      <c r="AL9" s="2023" cm="1">
        <f t="array" ref="AL9">AJ9/0.8</f>
        <v>21119690.6674471</v>
      </c>
      <c r="AM9" s="2025"/>
    </row>
    <row r="10" ht="15" customHeight="1">
      <c r="A10" s="12"/>
      <c r="B10" s="2021">
        <v>4</v>
      </c>
      <c r="C10" s="2022">
        <v>13234165.6237656</v>
      </c>
      <c r="D10" s="2023" cm="1">
        <f t="array" ref="D10">C10+800000</f>
        <v>14034165.6237656</v>
      </c>
      <c r="E10" s="2023" cm="1">
        <f t="array" ref="E10">C10/0.8</f>
        <v>16542707.029707</v>
      </c>
      <c r="F10" s="2024" cm="1">
        <f t="array" ref="F10">D10/0.8</f>
        <v>17542707.029707</v>
      </c>
      <c r="G10" s="2022">
        <v>16520202.0162445</v>
      </c>
      <c r="H10" s="2023" cm="1">
        <f t="array" ref="H10">G10+800000</f>
        <v>17320202.0162445</v>
      </c>
      <c r="I10" s="2023" cm="1">
        <f t="array" ref="I10">G10/0.8</f>
        <v>20650252.5203056</v>
      </c>
      <c r="J10" s="2024" cm="1">
        <f t="array" ref="J10">H10/0.8</f>
        <v>21650252.5203056</v>
      </c>
      <c r="K10" s="2022">
        <v>16520202.0162445</v>
      </c>
      <c r="L10" s="2023" cm="1">
        <f t="array" ref="L10">K10+800000</f>
        <v>17320202.0162445</v>
      </c>
      <c r="M10" s="2023" cm="1">
        <f t="array" ref="M10">K10/0.8</f>
        <v>20650252.5203056</v>
      </c>
      <c r="N10" s="2024" cm="1">
        <f t="array" ref="N10">L10/0.8</f>
        <v>21650252.5203056</v>
      </c>
      <c r="O10" s="2022">
        <v>15088710.4987656</v>
      </c>
      <c r="P10" s="2023" cm="1">
        <f t="array" ref="P10">O10+800000</f>
        <v>15888710.4987656</v>
      </c>
      <c r="Q10" s="2023" cm="1">
        <f t="array" ref="Q10">O10/0.8</f>
        <v>18860888.123457</v>
      </c>
      <c r="R10" s="2024" cm="1">
        <f t="array" ref="R10">P10/0.8</f>
        <v>19860888.123457</v>
      </c>
      <c r="S10" s="2022">
        <v>12200123.8929469</v>
      </c>
      <c r="T10" s="2023" cm="1">
        <f t="array" ref="T10">S10+800000</f>
        <v>13000123.8929469</v>
      </c>
      <c r="U10" s="2023" cm="1">
        <f t="array" ref="U10">S10/0.8</f>
        <v>15250154.8661836</v>
      </c>
      <c r="V10" s="2024" cm="1">
        <f t="array" ref="V10">T10/0.8</f>
        <v>16250154.8661836</v>
      </c>
      <c r="W10" s="2022">
        <v>16519509.0213194</v>
      </c>
      <c r="X10" s="2023" cm="1">
        <f t="array" ref="X10">W10+800000</f>
        <v>17319509.0213194</v>
      </c>
      <c r="Y10" s="2023" cm="1">
        <f t="array" ref="Y10">W10/0.8</f>
        <v>20649386.2766493</v>
      </c>
      <c r="Z10" s="2024" cm="1">
        <f t="array" ref="Z10">X10/0.8</f>
        <v>21649386.2766493</v>
      </c>
      <c r="AA10" s="2022">
        <v>13676921.3267216</v>
      </c>
      <c r="AB10" s="2023" cm="1">
        <f t="array" ref="AB10">AA10+800000</f>
        <v>14476921.3267216</v>
      </c>
      <c r="AC10" s="2023" cm="1">
        <f t="array" ref="AC10">AA10/0.8</f>
        <v>17096151.658402</v>
      </c>
      <c r="AD10" s="2024" cm="1">
        <f t="array" ref="AD10">AB10/0.8</f>
        <v>18096151.658402</v>
      </c>
      <c r="AE10" s="2022">
        <v>15755548.2412357</v>
      </c>
      <c r="AF10" s="2023" cm="1">
        <f t="array" ref="AF10">AE10+800000</f>
        <v>16555548.2412357</v>
      </c>
      <c r="AG10" s="2023" cm="1">
        <f t="array" ref="AG10">AE10/0.8</f>
        <v>19694435.3015446</v>
      </c>
      <c r="AH10" s="2024" cm="1">
        <f t="array" ref="AH10">AF10/0.8</f>
        <v>20694435.3015446</v>
      </c>
      <c r="AI10" s="2022">
        <v>16385752.5339577</v>
      </c>
      <c r="AJ10" s="2023" cm="1">
        <f t="array" ref="AJ10">AI10+800000</f>
        <v>17185752.5339577</v>
      </c>
      <c r="AK10" s="2023" cm="1">
        <f t="array" ref="AK10">AI10/0.8</f>
        <v>20482190.6674471</v>
      </c>
      <c r="AL10" s="2023" cm="1">
        <f t="array" ref="AL10">AJ10/0.8</f>
        <v>21482190.6674471</v>
      </c>
      <c r="AM10" s="2025"/>
    </row>
    <row r="11" ht="15" customHeight="1">
      <c r="A11" s="12"/>
      <c r="B11" s="2021">
        <v>5</v>
      </c>
      <c r="C11" s="2022">
        <v>13524165.6237656</v>
      </c>
      <c r="D11" s="2023" cm="1">
        <f t="array" ref="D11">C11+800000</f>
        <v>14324165.6237656</v>
      </c>
      <c r="E11" s="2023" cm="1">
        <f t="array" ref="E11">C11/0.8</f>
        <v>16905207.029707</v>
      </c>
      <c r="F11" s="2024" cm="1">
        <f t="array" ref="F11">D11/0.8</f>
        <v>17905207.029707</v>
      </c>
      <c r="G11" s="2022">
        <v>16810202.0162445</v>
      </c>
      <c r="H11" s="2023" cm="1">
        <f t="array" ref="H11">G11+800000</f>
        <v>17610202.0162445</v>
      </c>
      <c r="I11" s="2023" cm="1">
        <f t="array" ref="I11">G11/0.8</f>
        <v>21012752.5203056</v>
      </c>
      <c r="J11" s="2024" cm="1">
        <f t="array" ref="J11">H11/0.8</f>
        <v>22012752.5203056</v>
      </c>
      <c r="K11" s="2022">
        <v>16810202.0162445</v>
      </c>
      <c r="L11" s="2023" cm="1">
        <f t="array" ref="L11">K11+800000</f>
        <v>17610202.0162445</v>
      </c>
      <c r="M11" s="2023" cm="1">
        <f t="array" ref="M11">K11/0.8</f>
        <v>21012752.5203056</v>
      </c>
      <c r="N11" s="2024" cm="1">
        <f t="array" ref="N11">L11/0.8</f>
        <v>22012752.5203056</v>
      </c>
      <c r="O11" s="2022">
        <v>15378710.4987656</v>
      </c>
      <c r="P11" s="2023" cm="1">
        <f t="array" ref="P11">O11+800000</f>
        <v>16178710.4987656</v>
      </c>
      <c r="Q11" s="2023" cm="1">
        <f t="array" ref="Q11">O11/0.8</f>
        <v>19223388.123457</v>
      </c>
      <c r="R11" s="2024" cm="1">
        <f t="array" ref="R11">P11/0.8</f>
        <v>20223388.123457</v>
      </c>
      <c r="S11" s="2022">
        <v>12490123.8929469</v>
      </c>
      <c r="T11" s="2023" cm="1">
        <f t="array" ref="T11">S11+800000</f>
        <v>13290123.8929469</v>
      </c>
      <c r="U11" s="2023" cm="1">
        <f t="array" ref="U11">S11/0.8</f>
        <v>15612654.8661836</v>
      </c>
      <c r="V11" s="2024" cm="1">
        <f t="array" ref="V11">T11/0.8</f>
        <v>16612654.8661836</v>
      </c>
      <c r="W11" s="2022">
        <v>16809509.0213194</v>
      </c>
      <c r="X11" s="2023" cm="1">
        <f t="array" ref="X11">W11+800000</f>
        <v>17609509.0213194</v>
      </c>
      <c r="Y11" s="2023" cm="1">
        <f t="array" ref="Y11">W11/0.8</f>
        <v>21011886.2766493</v>
      </c>
      <c r="Z11" s="2024" cm="1">
        <f t="array" ref="Z11">X11/0.8</f>
        <v>22011886.2766493</v>
      </c>
      <c r="AA11" s="2022">
        <v>13966921.3267216</v>
      </c>
      <c r="AB11" s="2023" cm="1">
        <f t="array" ref="AB11">AA11+800000</f>
        <v>14766921.3267216</v>
      </c>
      <c r="AC11" s="2023" cm="1">
        <f t="array" ref="AC11">AA11/0.8</f>
        <v>17458651.658402</v>
      </c>
      <c r="AD11" s="2024" cm="1">
        <f t="array" ref="AD11">AB11/0.8</f>
        <v>18458651.658402</v>
      </c>
      <c r="AE11" s="2022">
        <v>16045548.2412357</v>
      </c>
      <c r="AF11" s="2023" cm="1">
        <f t="array" ref="AF11">AE11+800000</f>
        <v>16845548.2412357</v>
      </c>
      <c r="AG11" s="2023" cm="1">
        <f t="array" ref="AG11">AE11/0.8</f>
        <v>20056935.3015446</v>
      </c>
      <c r="AH11" s="2024" cm="1">
        <f t="array" ref="AH11">AF11/0.8</f>
        <v>21056935.3015446</v>
      </c>
      <c r="AI11" s="2022">
        <v>16675752.5339577</v>
      </c>
      <c r="AJ11" s="2023" cm="1">
        <f t="array" ref="AJ11">AI11+800000</f>
        <v>17475752.5339577</v>
      </c>
      <c r="AK11" s="2023" cm="1">
        <f t="array" ref="AK11">AI11/0.8</f>
        <v>20844690.6674471</v>
      </c>
      <c r="AL11" s="2023" cm="1">
        <f t="array" ref="AL11">AJ11/0.8</f>
        <v>21844690.6674471</v>
      </c>
      <c r="AM11" s="2025"/>
    </row>
    <row r="12" ht="15" customHeight="1">
      <c r="A12" s="12"/>
      <c r="B12" s="2021">
        <v>6</v>
      </c>
      <c r="C12" s="2022">
        <v>13814165.6237656</v>
      </c>
      <c r="D12" s="2023" cm="1">
        <f t="array" ref="D12">C12+800000*2</f>
        <v>15414165.6237656</v>
      </c>
      <c r="E12" s="2023" cm="1">
        <f t="array" ref="E12">C12/0.8</f>
        <v>17267707.029707</v>
      </c>
      <c r="F12" s="2024" cm="1">
        <f t="array" ref="F12">D12/0.8</f>
        <v>19267707.029707</v>
      </c>
      <c r="G12" s="2022">
        <v>17100202.0162445</v>
      </c>
      <c r="H12" s="2023" cm="1">
        <f t="array" ref="H12">G12+800000*2</f>
        <v>18700202.0162445</v>
      </c>
      <c r="I12" s="2023" cm="1">
        <f t="array" ref="I12">G12/0.8</f>
        <v>21375252.5203056</v>
      </c>
      <c r="J12" s="2024" cm="1">
        <f t="array" ref="J12">H12/0.8</f>
        <v>23375252.5203056</v>
      </c>
      <c r="K12" s="2022">
        <v>17100202.0162445</v>
      </c>
      <c r="L12" s="2023" cm="1">
        <f t="array" ref="L12">K12+800000*2</f>
        <v>18700202.0162445</v>
      </c>
      <c r="M12" s="2023" cm="1">
        <f t="array" ref="M12">K12/0.8</f>
        <v>21375252.5203056</v>
      </c>
      <c r="N12" s="2024" cm="1">
        <f t="array" ref="N12">L12/0.8</f>
        <v>23375252.5203056</v>
      </c>
      <c r="O12" s="2022">
        <v>15668710.4987656</v>
      </c>
      <c r="P12" s="2023" cm="1">
        <f t="array" ref="P12">O12+800000*2</f>
        <v>17268710.4987656</v>
      </c>
      <c r="Q12" s="2023" cm="1">
        <f t="array" ref="Q12">O12/0.8</f>
        <v>19585888.123457</v>
      </c>
      <c r="R12" s="2024" cm="1">
        <f t="array" ref="R12">P12/0.8</f>
        <v>21585888.123457</v>
      </c>
      <c r="S12" s="2022">
        <v>12780123.8929469</v>
      </c>
      <c r="T12" s="2023" cm="1">
        <f t="array" ref="T12">S12+800000*2</f>
        <v>14380123.8929469</v>
      </c>
      <c r="U12" s="2023" cm="1">
        <f t="array" ref="U12">S12/0.8</f>
        <v>15975154.8661836</v>
      </c>
      <c r="V12" s="2024" cm="1">
        <f t="array" ref="V12">T12/0.8</f>
        <v>17975154.8661836</v>
      </c>
      <c r="W12" s="2022">
        <v>17099509.0213194</v>
      </c>
      <c r="X12" s="2023" cm="1">
        <f t="array" ref="X12">W12+800000*2</f>
        <v>18699509.0213194</v>
      </c>
      <c r="Y12" s="2023" cm="1">
        <f t="array" ref="Y12">W12/0.8</f>
        <v>21374386.2766493</v>
      </c>
      <c r="Z12" s="2024" cm="1">
        <f t="array" ref="Z12">X12/0.8</f>
        <v>23374386.2766493</v>
      </c>
      <c r="AA12" s="2022">
        <v>14256921.3267216</v>
      </c>
      <c r="AB12" s="2023" cm="1">
        <f t="array" ref="AB12">AA12+800000*2</f>
        <v>15856921.3267216</v>
      </c>
      <c r="AC12" s="2023" cm="1">
        <f t="array" ref="AC12">AA12/0.8</f>
        <v>17821151.658402</v>
      </c>
      <c r="AD12" s="2024" cm="1">
        <f t="array" ref="AD12">AB12/0.8</f>
        <v>19821151.658402</v>
      </c>
      <c r="AE12" s="2022">
        <v>16335548.2412357</v>
      </c>
      <c r="AF12" s="2023" cm="1">
        <f t="array" ref="AF12">AE12+800000*2</f>
        <v>17935548.2412357</v>
      </c>
      <c r="AG12" s="2023" cm="1">
        <f t="array" ref="AG12">AE12/0.8</f>
        <v>20419435.3015446</v>
      </c>
      <c r="AH12" s="2024" cm="1">
        <f t="array" ref="AH12">AF12/0.8</f>
        <v>22419435.3015446</v>
      </c>
      <c r="AI12" s="2022">
        <v>16965752.5339577</v>
      </c>
      <c r="AJ12" s="2023" cm="1">
        <f t="array" ref="AJ12">AI12+800000*2</f>
        <v>18565752.5339577</v>
      </c>
      <c r="AK12" s="2023" cm="1">
        <f t="array" ref="AK12">AI12/0.8</f>
        <v>21207190.6674471</v>
      </c>
      <c r="AL12" s="2023" cm="1">
        <f t="array" ref="AL12">AJ12/0.8</f>
        <v>23207190.6674471</v>
      </c>
      <c r="AM12" s="2025"/>
    </row>
    <row r="13" ht="15" customHeight="1">
      <c r="A13" s="12"/>
      <c r="B13" s="2021">
        <v>7</v>
      </c>
      <c r="C13" s="2022">
        <v>14104165.6237656</v>
      </c>
      <c r="D13" s="2023" cm="1">
        <f t="array" ref="D13">C13+800000*2</f>
        <v>15704165.6237656</v>
      </c>
      <c r="E13" s="2023" cm="1">
        <f t="array" ref="E13">C13/0.8</f>
        <v>17630207.029707</v>
      </c>
      <c r="F13" s="2024" cm="1">
        <f t="array" ref="F13">D13/0.8</f>
        <v>19630207.029707</v>
      </c>
      <c r="G13" s="2022">
        <v>17390202.0162445</v>
      </c>
      <c r="H13" s="2023" cm="1">
        <f t="array" ref="H13">G13+800000*2</f>
        <v>18990202.0162445</v>
      </c>
      <c r="I13" s="2023" cm="1">
        <f t="array" ref="I13">G13/0.8</f>
        <v>21737752.5203056</v>
      </c>
      <c r="J13" s="2024" cm="1">
        <f t="array" ref="J13">H13/0.8</f>
        <v>23737752.5203056</v>
      </c>
      <c r="K13" s="2022">
        <v>17390202.0162445</v>
      </c>
      <c r="L13" s="2023" cm="1">
        <f t="array" ref="L13">K13+800000*2</f>
        <v>18990202.0162445</v>
      </c>
      <c r="M13" s="2023" cm="1">
        <f t="array" ref="M13">K13/0.8</f>
        <v>21737752.5203056</v>
      </c>
      <c r="N13" s="2024" cm="1">
        <f t="array" ref="N13">L13/0.8</f>
        <v>23737752.5203056</v>
      </c>
      <c r="O13" s="2022">
        <v>15958710.4987656</v>
      </c>
      <c r="P13" s="2023" cm="1">
        <f t="array" ref="P13">O13+800000*2</f>
        <v>17558710.4987656</v>
      </c>
      <c r="Q13" s="2023" cm="1">
        <f t="array" ref="Q13">O13/0.8</f>
        <v>19948388.123457</v>
      </c>
      <c r="R13" s="2024" cm="1">
        <f t="array" ref="R13">P13/0.8</f>
        <v>21948388.123457</v>
      </c>
      <c r="S13" s="2022">
        <v>13070123.8929469</v>
      </c>
      <c r="T13" s="2023" cm="1">
        <f t="array" ref="T13">S13+800000*2</f>
        <v>14670123.8929469</v>
      </c>
      <c r="U13" s="2023" cm="1">
        <f t="array" ref="U13">S13/0.8</f>
        <v>16337654.8661836</v>
      </c>
      <c r="V13" s="2024" cm="1">
        <f t="array" ref="V13">T13/0.8</f>
        <v>18337654.8661836</v>
      </c>
      <c r="W13" s="2022">
        <v>17389509.0213194</v>
      </c>
      <c r="X13" s="2023" cm="1">
        <f t="array" ref="X13">W13+800000*2</f>
        <v>18989509.0213194</v>
      </c>
      <c r="Y13" s="2023" cm="1">
        <f t="array" ref="Y13">W13/0.8</f>
        <v>21736886.2766493</v>
      </c>
      <c r="Z13" s="2024" cm="1">
        <f t="array" ref="Z13">X13/0.8</f>
        <v>23736886.2766493</v>
      </c>
      <c r="AA13" s="2022">
        <v>14546921.3267216</v>
      </c>
      <c r="AB13" s="2023" cm="1">
        <f t="array" ref="AB13">AA13+800000*2</f>
        <v>16146921.3267216</v>
      </c>
      <c r="AC13" s="2023" cm="1">
        <f t="array" ref="AC13">AA13/0.8</f>
        <v>18183651.658402</v>
      </c>
      <c r="AD13" s="2024" cm="1">
        <f t="array" ref="AD13">AB13/0.8</f>
        <v>20183651.658402</v>
      </c>
      <c r="AE13" s="2022">
        <v>16625548.2412357</v>
      </c>
      <c r="AF13" s="2023" cm="1">
        <f t="array" ref="AF13">AE13+800000*2</f>
        <v>18225548.2412357</v>
      </c>
      <c r="AG13" s="2023" cm="1">
        <f t="array" ref="AG13">AE13/0.8</f>
        <v>20781935.3015446</v>
      </c>
      <c r="AH13" s="2024" cm="1">
        <f t="array" ref="AH13">AF13/0.8</f>
        <v>22781935.3015446</v>
      </c>
      <c r="AI13" s="2022">
        <v>17255752.5339577</v>
      </c>
      <c r="AJ13" s="2023" cm="1">
        <f t="array" ref="AJ13">AI13+800000*2</f>
        <v>18855752.5339577</v>
      </c>
      <c r="AK13" s="2023" cm="1">
        <f t="array" ref="AK13">AI13/0.8</f>
        <v>21569690.6674471</v>
      </c>
      <c r="AL13" s="2023" cm="1">
        <f t="array" ref="AL13">AJ13/0.8</f>
        <v>23569690.6674471</v>
      </c>
      <c r="AM13" s="2025"/>
    </row>
    <row r="14" ht="15" customHeight="1">
      <c r="A14" s="12"/>
      <c r="B14" s="2021">
        <v>8</v>
      </c>
      <c r="C14" s="2022">
        <v>15493165.6237656</v>
      </c>
      <c r="D14" s="2023" cm="1">
        <f t="array" ref="D14">C14+800000*2</f>
        <v>17093165.6237656</v>
      </c>
      <c r="E14" s="2023" cm="1">
        <f t="array" ref="E14">C14/0.8</f>
        <v>19366457.029707</v>
      </c>
      <c r="F14" s="2024" cm="1">
        <f t="array" ref="F14">D14/0.8</f>
        <v>21366457.029707</v>
      </c>
      <c r="G14" s="2022">
        <v>18779202.0162445</v>
      </c>
      <c r="H14" s="2023" cm="1">
        <f t="array" ref="H14">G14+800000*2</f>
        <v>20379202.0162445</v>
      </c>
      <c r="I14" s="2023" cm="1">
        <f t="array" ref="I14">G14/0.8</f>
        <v>23474002.5203056</v>
      </c>
      <c r="J14" s="2024" cm="1">
        <f t="array" ref="J14">H14/0.8</f>
        <v>25474002.5203056</v>
      </c>
      <c r="K14" s="2022">
        <v>18779202.0162445</v>
      </c>
      <c r="L14" s="2023" cm="1">
        <f t="array" ref="L14">K14+800000*2</f>
        <v>20379202.0162445</v>
      </c>
      <c r="M14" s="2023" cm="1">
        <f t="array" ref="M14">K14/0.8</f>
        <v>23474002.5203056</v>
      </c>
      <c r="N14" s="2024" cm="1">
        <f t="array" ref="N14">L14/0.8</f>
        <v>25474002.5203056</v>
      </c>
      <c r="O14" s="2022">
        <v>17347710.4987656</v>
      </c>
      <c r="P14" s="2023" cm="1">
        <f t="array" ref="P14">O14+800000*2</f>
        <v>18947710.4987656</v>
      </c>
      <c r="Q14" s="2023" cm="1">
        <f t="array" ref="Q14">O14/0.8</f>
        <v>21684638.123457</v>
      </c>
      <c r="R14" s="2024" cm="1">
        <f t="array" ref="R14">P14/0.8</f>
        <v>23684638.123457</v>
      </c>
      <c r="S14" s="2022">
        <v>14459123.8929469</v>
      </c>
      <c r="T14" s="2023" cm="1">
        <f t="array" ref="T14">S14+800000*2</f>
        <v>16059123.8929469</v>
      </c>
      <c r="U14" s="2023" cm="1">
        <f t="array" ref="U14">S14/0.8</f>
        <v>18073904.8661836</v>
      </c>
      <c r="V14" s="2024" cm="1">
        <f t="array" ref="V14">T14/0.8</f>
        <v>20073904.8661836</v>
      </c>
      <c r="W14" s="2022">
        <v>18778509.0213194</v>
      </c>
      <c r="X14" s="2023" cm="1">
        <f t="array" ref="X14">W14+800000*2</f>
        <v>20378509.0213194</v>
      </c>
      <c r="Y14" s="2023" cm="1">
        <f t="array" ref="Y14">W14/0.8</f>
        <v>23473136.2766493</v>
      </c>
      <c r="Z14" s="2024" cm="1">
        <f t="array" ref="Z14">X14/0.8</f>
        <v>25473136.2766493</v>
      </c>
      <c r="AA14" s="2022">
        <v>15935921.3267216</v>
      </c>
      <c r="AB14" s="2023" cm="1">
        <f t="array" ref="AB14">AA14+800000*2</f>
        <v>17535921.3267216</v>
      </c>
      <c r="AC14" s="2023" cm="1">
        <f t="array" ref="AC14">AA14/0.8</f>
        <v>19919901.658402</v>
      </c>
      <c r="AD14" s="2024" cm="1">
        <f t="array" ref="AD14">AB14/0.8</f>
        <v>21919901.658402</v>
      </c>
      <c r="AE14" s="2022">
        <v>18014548.2412357</v>
      </c>
      <c r="AF14" s="2023" cm="1">
        <f t="array" ref="AF14">AE14+800000*2</f>
        <v>19614548.2412357</v>
      </c>
      <c r="AG14" s="2023" cm="1">
        <f t="array" ref="AG14">AE14/0.8</f>
        <v>22518185.3015446</v>
      </c>
      <c r="AH14" s="2024" cm="1">
        <f t="array" ref="AH14">AF14/0.8</f>
        <v>24518185.3015446</v>
      </c>
      <c r="AI14" s="2022">
        <v>18644752.5339577</v>
      </c>
      <c r="AJ14" s="2023" cm="1">
        <f t="array" ref="AJ14">AI14+800000*2</f>
        <v>20244752.5339577</v>
      </c>
      <c r="AK14" s="2023" cm="1">
        <f t="array" ref="AK14">AI14/0.8</f>
        <v>23305940.6674471</v>
      </c>
      <c r="AL14" s="2023" cm="1">
        <f t="array" ref="AL14">AJ14/0.8</f>
        <v>25305940.6674471</v>
      </c>
      <c r="AM14" s="2025"/>
    </row>
    <row r="15" ht="15" customHeight="1">
      <c r="A15" s="12"/>
      <c r="B15" s="2021">
        <v>9</v>
      </c>
      <c r="C15" s="2022">
        <v>15783165.6237656</v>
      </c>
      <c r="D15" s="2023" cm="1">
        <f t="array" ref="D15">C15+800000*2</f>
        <v>17383165.6237656</v>
      </c>
      <c r="E15" s="2023" cm="1">
        <f t="array" ref="E15">C15/0.8</f>
        <v>19728957.029707</v>
      </c>
      <c r="F15" s="2024" cm="1">
        <f t="array" ref="F15">D15/0.8</f>
        <v>21728957.029707</v>
      </c>
      <c r="G15" s="2022">
        <v>19069202.0162445</v>
      </c>
      <c r="H15" s="2023" cm="1">
        <f t="array" ref="H15">G15+800000*2</f>
        <v>20669202.0162445</v>
      </c>
      <c r="I15" s="2023" cm="1">
        <f t="array" ref="I15">G15/0.8</f>
        <v>23836502.5203056</v>
      </c>
      <c r="J15" s="2024" cm="1">
        <f t="array" ref="J15">H15/0.8</f>
        <v>25836502.5203056</v>
      </c>
      <c r="K15" s="2022">
        <v>19069202.0162445</v>
      </c>
      <c r="L15" s="2023" cm="1">
        <f t="array" ref="L15">K15+800000*2</f>
        <v>20669202.0162445</v>
      </c>
      <c r="M15" s="2023" cm="1">
        <f t="array" ref="M15">K15/0.8</f>
        <v>23836502.5203056</v>
      </c>
      <c r="N15" s="2024" cm="1">
        <f t="array" ref="N15">L15/0.8</f>
        <v>25836502.5203056</v>
      </c>
      <c r="O15" s="2022">
        <v>17637710.4987656</v>
      </c>
      <c r="P15" s="2023" cm="1">
        <f t="array" ref="P15">O15+800000*2</f>
        <v>19237710.4987656</v>
      </c>
      <c r="Q15" s="2023" cm="1">
        <f t="array" ref="Q15">O15/0.8</f>
        <v>22047138.123457</v>
      </c>
      <c r="R15" s="2024" cm="1">
        <f t="array" ref="R15">P15/0.8</f>
        <v>24047138.123457</v>
      </c>
      <c r="S15" s="2022">
        <v>14749123.8929469</v>
      </c>
      <c r="T15" s="2023" cm="1">
        <f t="array" ref="T15">S15+800000*2</f>
        <v>16349123.8929469</v>
      </c>
      <c r="U15" s="2023" cm="1">
        <f t="array" ref="U15">S15/0.8</f>
        <v>18436404.8661836</v>
      </c>
      <c r="V15" s="2024" cm="1">
        <f t="array" ref="V15">T15/0.8</f>
        <v>20436404.8661836</v>
      </c>
      <c r="W15" s="2022">
        <v>19068509.0213194</v>
      </c>
      <c r="X15" s="2023" cm="1">
        <f t="array" ref="X15">W15+800000*2</f>
        <v>20668509.0213194</v>
      </c>
      <c r="Y15" s="2023" cm="1">
        <f t="array" ref="Y15">W15/0.8</f>
        <v>23835636.2766493</v>
      </c>
      <c r="Z15" s="2024" cm="1">
        <f t="array" ref="Z15">X15/0.8</f>
        <v>25835636.2766493</v>
      </c>
      <c r="AA15" s="2022">
        <v>16225921.3267216</v>
      </c>
      <c r="AB15" s="2023" cm="1">
        <f t="array" ref="AB15">AA15+800000*2</f>
        <v>17825921.3267216</v>
      </c>
      <c r="AC15" s="2023" cm="1">
        <f t="array" ref="AC15">AA15/0.8</f>
        <v>20282401.658402</v>
      </c>
      <c r="AD15" s="2024" cm="1">
        <f t="array" ref="AD15">AB15/0.8</f>
        <v>22282401.658402</v>
      </c>
      <c r="AE15" s="2022">
        <v>18304548.2412357</v>
      </c>
      <c r="AF15" s="2023" cm="1">
        <f t="array" ref="AF15">AE15+800000*2</f>
        <v>19904548.2412357</v>
      </c>
      <c r="AG15" s="2023" cm="1">
        <f t="array" ref="AG15">AE15/0.8</f>
        <v>22880685.3015446</v>
      </c>
      <c r="AH15" s="2024" cm="1">
        <f t="array" ref="AH15">AF15/0.8</f>
        <v>24880685.3015446</v>
      </c>
      <c r="AI15" s="2022">
        <v>18934752.5339577</v>
      </c>
      <c r="AJ15" s="2023" cm="1">
        <f t="array" ref="AJ15">AI15+800000*2</f>
        <v>20534752.5339577</v>
      </c>
      <c r="AK15" s="2023" cm="1">
        <f t="array" ref="AK15">AI15/0.8</f>
        <v>23668440.6674471</v>
      </c>
      <c r="AL15" s="2023" cm="1">
        <f t="array" ref="AL15">AJ15/0.8</f>
        <v>25668440.6674471</v>
      </c>
      <c r="AM15" s="2025"/>
    </row>
    <row r="16" ht="15" customHeight="1">
      <c r="A16" s="12"/>
      <c r="B16" s="2021">
        <v>10</v>
      </c>
      <c r="C16" s="2022">
        <v>16073165.6237656</v>
      </c>
      <c r="D16" s="2023" cm="1">
        <f t="array" ref="D16">C16+800000*2</f>
        <v>17673165.6237656</v>
      </c>
      <c r="E16" s="2023" cm="1">
        <f t="array" ref="E16">C16/0.8</f>
        <v>20091457.029707</v>
      </c>
      <c r="F16" s="2024" cm="1">
        <f t="array" ref="F16">D16/0.8</f>
        <v>22091457.029707</v>
      </c>
      <c r="G16" s="2022">
        <v>19359202.0162445</v>
      </c>
      <c r="H16" s="2023" cm="1">
        <f t="array" ref="H16">G16+800000*2</f>
        <v>20959202.0162445</v>
      </c>
      <c r="I16" s="2023" cm="1">
        <f t="array" ref="I16">G16/0.8</f>
        <v>24199002.5203056</v>
      </c>
      <c r="J16" s="2024" cm="1">
        <f t="array" ref="J16">H16/0.8</f>
        <v>26199002.5203056</v>
      </c>
      <c r="K16" s="2022">
        <v>19359202.0162445</v>
      </c>
      <c r="L16" s="2023" cm="1">
        <f t="array" ref="L16">K16+800000*2</f>
        <v>20959202.0162445</v>
      </c>
      <c r="M16" s="2023" cm="1">
        <f t="array" ref="M16">K16/0.8</f>
        <v>24199002.5203056</v>
      </c>
      <c r="N16" s="2024" cm="1">
        <f t="array" ref="N16">L16/0.8</f>
        <v>26199002.5203056</v>
      </c>
      <c r="O16" s="2022">
        <v>17927710.4987656</v>
      </c>
      <c r="P16" s="2023" cm="1">
        <f t="array" ref="P16">O16+800000*2</f>
        <v>19527710.4987656</v>
      </c>
      <c r="Q16" s="2023" cm="1">
        <f t="array" ref="Q16">O16/0.8</f>
        <v>22409638.123457</v>
      </c>
      <c r="R16" s="2024" cm="1">
        <f t="array" ref="R16">P16/0.8</f>
        <v>24409638.123457</v>
      </c>
      <c r="S16" s="2022">
        <v>15039123.8929469</v>
      </c>
      <c r="T16" s="2023" cm="1">
        <f t="array" ref="T16">S16+800000*2</f>
        <v>16639123.8929469</v>
      </c>
      <c r="U16" s="2023" cm="1">
        <f t="array" ref="U16">S16/0.8</f>
        <v>18798904.8661836</v>
      </c>
      <c r="V16" s="2024" cm="1">
        <f t="array" ref="V16">T16/0.8</f>
        <v>20798904.8661836</v>
      </c>
      <c r="W16" s="2022">
        <v>19358509.0213194</v>
      </c>
      <c r="X16" s="2023" cm="1">
        <f t="array" ref="X16">W16+800000*2</f>
        <v>20958509.0213194</v>
      </c>
      <c r="Y16" s="2023" cm="1">
        <f t="array" ref="Y16">W16/0.8</f>
        <v>24198136.2766493</v>
      </c>
      <c r="Z16" s="2024" cm="1">
        <f t="array" ref="Z16">X16/0.8</f>
        <v>26198136.2766493</v>
      </c>
      <c r="AA16" s="2022">
        <v>16515921.3267216</v>
      </c>
      <c r="AB16" s="2023" cm="1">
        <f t="array" ref="AB16">AA16+800000*2</f>
        <v>18115921.3267216</v>
      </c>
      <c r="AC16" s="2023" cm="1">
        <f t="array" ref="AC16">AA16/0.8</f>
        <v>20644901.658402</v>
      </c>
      <c r="AD16" s="2024" cm="1">
        <f t="array" ref="AD16">AB16/0.8</f>
        <v>22644901.658402</v>
      </c>
      <c r="AE16" s="2022">
        <v>18594548.2412357</v>
      </c>
      <c r="AF16" s="2023" cm="1">
        <f t="array" ref="AF16">AE16+800000*2</f>
        <v>20194548.2412357</v>
      </c>
      <c r="AG16" s="2023" cm="1">
        <f t="array" ref="AG16">AE16/0.8</f>
        <v>23243185.3015446</v>
      </c>
      <c r="AH16" s="2024" cm="1">
        <f t="array" ref="AH16">AF16/0.8</f>
        <v>25243185.3015446</v>
      </c>
      <c r="AI16" s="2022">
        <v>19224752.5339577</v>
      </c>
      <c r="AJ16" s="2023" cm="1">
        <f t="array" ref="AJ16">AI16+800000*2</f>
        <v>20824752.5339577</v>
      </c>
      <c r="AK16" s="2023" cm="1">
        <f t="array" ref="AK16">AI16/0.8</f>
        <v>24030940.6674471</v>
      </c>
      <c r="AL16" s="2023" cm="1">
        <f t="array" ref="AL16">AJ16/0.8</f>
        <v>26030940.6674471</v>
      </c>
      <c r="AM16" s="2025"/>
    </row>
    <row r="17" ht="15" customHeight="1">
      <c r="A17" s="12"/>
      <c r="B17" s="2021">
        <v>11</v>
      </c>
      <c r="C17" s="2022">
        <v>16363165.6237656</v>
      </c>
      <c r="D17" s="2023" cm="1">
        <f t="array" ref="D17">C17+800000*3</f>
        <v>18763165.6237656</v>
      </c>
      <c r="E17" s="2023" cm="1">
        <f t="array" ref="E17">C17/0.8</f>
        <v>20453957.029707</v>
      </c>
      <c r="F17" s="2024" cm="1">
        <f t="array" ref="F17">D17/0.8</f>
        <v>23453957.029707</v>
      </c>
      <c r="G17" s="2022">
        <v>19649202.0162445</v>
      </c>
      <c r="H17" s="2023" cm="1">
        <f t="array" ref="H17">G17+800000*3</f>
        <v>22049202.0162445</v>
      </c>
      <c r="I17" s="2023" cm="1">
        <f t="array" ref="I17">G17/0.8</f>
        <v>24561502.5203056</v>
      </c>
      <c r="J17" s="2024" cm="1">
        <f t="array" ref="J17">H17/0.8</f>
        <v>27561502.5203056</v>
      </c>
      <c r="K17" s="2022">
        <v>19649202.0162445</v>
      </c>
      <c r="L17" s="2023" cm="1">
        <f t="array" ref="L17">K17+800000*3</f>
        <v>22049202.0162445</v>
      </c>
      <c r="M17" s="2023" cm="1">
        <f t="array" ref="M17">K17/0.8</f>
        <v>24561502.5203056</v>
      </c>
      <c r="N17" s="2024" cm="1">
        <f t="array" ref="N17">L17/0.8</f>
        <v>27561502.5203056</v>
      </c>
      <c r="O17" s="2022">
        <v>18217710.4987656</v>
      </c>
      <c r="P17" s="2023" cm="1">
        <f t="array" ref="P17">O17+800000*3</f>
        <v>20617710.4987656</v>
      </c>
      <c r="Q17" s="2023" cm="1">
        <f t="array" ref="Q17">O17/0.8</f>
        <v>22772138.123457</v>
      </c>
      <c r="R17" s="2024" cm="1">
        <f t="array" ref="R17">P17/0.8</f>
        <v>25772138.123457</v>
      </c>
      <c r="S17" s="2022">
        <v>15329123.8929469</v>
      </c>
      <c r="T17" s="2023" cm="1">
        <f t="array" ref="T17">S17+800000*3</f>
        <v>17729123.8929469</v>
      </c>
      <c r="U17" s="2023" cm="1">
        <f t="array" ref="U17">S17/0.8</f>
        <v>19161404.8661836</v>
      </c>
      <c r="V17" s="2024" cm="1">
        <f t="array" ref="V17">T17/0.8</f>
        <v>22161404.8661836</v>
      </c>
      <c r="W17" s="2022">
        <v>19648509.0213194</v>
      </c>
      <c r="X17" s="2023" cm="1">
        <f t="array" ref="X17">W17+800000*3</f>
        <v>22048509.0213194</v>
      </c>
      <c r="Y17" s="2023" cm="1">
        <f t="array" ref="Y17">W17/0.8</f>
        <v>24560636.2766493</v>
      </c>
      <c r="Z17" s="2024" cm="1">
        <f t="array" ref="Z17">X17/0.8</f>
        <v>27560636.2766493</v>
      </c>
      <c r="AA17" s="2022">
        <v>16805921.3267215</v>
      </c>
      <c r="AB17" s="2023" cm="1">
        <f t="array" ref="AB17">AA17+800000*3</f>
        <v>19205921.3267215</v>
      </c>
      <c r="AC17" s="2023" cm="1">
        <f t="array" ref="AC17">AA17/0.8</f>
        <v>21007401.6584019</v>
      </c>
      <c r="AD17" s="2024" cm="1">
        <f t="array" ref="AD17">AB17/0.8</f>
        <v>24007401.6584019</v>
      </c>
      <c r="AE17" s="2022">
        <v>18884548.2412357</v>
      </c>
      <c r="AF17" s="2023" cm="1">
        <f t="array" ref="AF17">AE17+800000*3</f>
        <v>21284548.2412357</v>
      </c>
      <c r="AG17" s="2023" cm="1">
        <f t="array" ref="AG17">AE17/0.8</f>
        <v>23605685.3015446</v>
      </c>
      <c r="AH17" s="2024" cm="1">
        <f t="array" ref="AH17">AF17/0.8</f>
        <v>26605685.3015446</v>
      </c>
      <c r="AI17" s="2022">
        <v>19514752.5339577</v>
      </c>
      <c r="AJ17" s="2023" cm="1">
        <f t="array" ref="AJ17">AI17+800000*3</f>
        <v>21914752.5339577</v>
      </c>
      <c r="AK17" s="2023" cm="1">
        <f t="array" ref="AK17">AI17/0.8</f>
        <v>24393440.6674471</v>
      </c>
      <c r="AL17" s="2023" cm="1">
        <f t="array" ref="AL17">AJ17/0.8</f>
        <v>27393440.6674471</v>
      </c>
      <c r="AM17" s="2025"/>
    </row>
    <row r="18" ht="15" customHeight="1">
      <c r="A18" s="12"/>
      <c r="B18" s="2021">
        <v>12</v>
      </c>
      <c r="C18" s="2022">
        <v>16653165.6237656</v>
      </c>
      <c r="D18" s="2023" cm="1">
        <f t="array" ref="D18">C18+800000*3</f>
        <v>19053165.6237656</v>
      </c>
      <c r="E18" s="2023" cm="1">
        <f t="array" ref="E18">C18/0.8</f>
        <v>20816457.029707</v>
      </c>
      <c r="F18" s="2024" cm="1">
        <f t="array" ref="F18">D18/0.8</f>
        <v>23816457.029707</v>
      </c>
      <c r="G18" s="2022">
        <v>19939202.0162445</v>
      </c>
      <c r="H18" s="2023" cm="1">
        <f t="array" ref="H18">G18+800000*3</f>
        <v>22339202.0162445</v>
      </c>
      <c r="I18" s="2023" cm="1">
        <f t="array" ref="I18">G18/0.8</f>
        <v>24924002.5203056</v>
      </c>
      <c r="J18" s="2024" cm="1">
        <f t="array" ref="J18">H18/0.8</f>
        <v>27924002.5203056</v>
      </c>
      <c r="K18" s="2022">
        <v>19939202.0162445</v>
      </c>
      <c r="L18" s="2023" cm="1">
        <f t="array" ref="L18">K18+800000*3</f>
        <v>22339202.0162445</v>
      </c>
      <c r="M18" s="2023" cm="1">
        <f t="array" ref="M18">K18/0.8</f>
        <v>24924002.5203056</v>
      </c>
      <c r="N18" s="2024" cm="1">
        <f t="array" ref="N18">L18/0.8</f>
        <v>27924002.5203056</v>
      </c>
      <c r="O18" s="2022">
        <v>18507710.4987656</v>
      </c>
      <c r="P18" s="2023" cm="1">
        <f t="array" ref="P18">O18+800000*3</f>
        <v>20907710.4987656</v>
      </c>
      <c r="Q18" s="2023" cm="1">
        <f t="array" ref="Q18">O18/0.8</f>
        <v>23134638.123457</v>
      </c>
      <c r="R18" s="2024" cm="1">
        <f t="array" ref="R18">P18/0.8</f>
        <v>26134638.123457</v>
      </c>
      <c r="S18" s="2022">
        <v>15619123.8929469</v>
      </c>
      <c r="T18" s="2023" cm="1">
        <f t="array" ref="T18">S18+800000*3</f>
        <v>18019123.8929469</v>
      </c>
      <c r="U18" s="2023" cm="1">
        <f t="array" ref="U18">S18/0.8</f>
        <v>19523904.8661836</v>
      </c>
      <c r="V18" s="2024" cm="1">
        <f t="array" ref="V18">T18/0.8</f>
        <v>22523904.8661836</v>
      </c>
      <c r="W18" s="2022">
        <v>19938509.0213194</v>
      </c>
      <c r="X18" s="2023" cm="1">
        <f t="array" ref="X18">W18+800000*3</f>
        <v>22338509.0213194</v>
      </c>
      <c r="Y18" s="2023" cm="1">
        <f t="array" ref="Y18">W18/0.8</f>
        <v>24923136.2766493</v>
      </c>
      <c r="Z18" s="2024" cm="1">
        <f t="array" ref="Z18">X18/0.8</f>
        <v>27923136.2766493</v>
      </c>
      <c r="AA18" s="2022">
        <v>17095921.3267215</v>
      </c>
      <c r="AB18" s="2023" cm="1">
        <f t="array" ref="AB18">AA18+800000*3</f>
        <v>19495921.3267215</v>
      </c>
      <c r="AC18" s="2023" cm="1">
        <f t="array" ref="AC18">AA18/0.8</f>
        <v>21369901.6584019</v>
      </c>
      <c r="AD18" s="2024" cm="1">
        <f t="array" ref="AD18">AB18/0.8</f>
        <v>24369901.6584019</v>
      </c>
      <c r="AE18" s="2022">
        <v>19174548.2412357</v>
      </c>
      <c r="AF18" s="2023" cm="1">
        <f t="array" ref="AF18">AE18+800000*3</f>
        <v>21574548.2412357</v>
      </c>
      <c r="AG18" s="2023" cm="1">
        <f t="array" ref="AG18">AE18/0.8</f>
        <v>23968185.3015446</v>
      </c>
      <c r="AH18" s="2024" cm="1">
        <f t="array" ref="AH18">AF18/0.8</f>
        <v>26968185.3015446</v>
      </c>
      <c r="AI18" s="2022">
        <v>19804752.5339577</v>
      </c>
      <c r="AJ18" s="2023" cm="1">
        <f t="array" ref="AJ18">AI18+800000*3</f>
        <v>22204752.5339577</v>
      </c>
      <c r="AK18" s="2023" cm="1">
        <f t="array" ref="AK18">AI18/0.8</f>
        <v>24755940.6674471</v>
      </c>
      <c r="AL18" s="2023" cm="1">
        <f t="array" ref="AL18">AJ18/0.8</f>
        <v>27755940.6674471</v>
      </c>
      <c r="AM18" s="2025"/>
    </row>
    <row r="19" ht="15" customHeight="1">
      <c r="A19" s="12"/>
      <c r="B19" s="2021">
        <v>13</v>
      </c>
      <c r="C19" s="2022">
        <v>16943165.6237656</v>
      </c>
      <c r="D19" s="2023" cm="1">
        <f t="array" ref="D19">C19+800000*3</f>
        <v>19343165.6237656</v>
      </c>
      <c r="E19" s="2023" cm="1">
        <f t="array" ref="E19">C19/0.8</f>
        <v>21178957.029707</v>
      </c>
      <c r="F19" s="2024" cm="1">
        <f t="array" ref="F19">D19/0.8</f>
        <v>24178957.029707</v>
      </c>
      <c r="G19" s="2022">
        <v>20229202.0162445</v>
      </c>
      <c r="H19" s="2023" cm="1">
        <f t="array" ref="H19">G19+800000*3</f>
        <v>22629202.0162445</v>
      </c>
      <c r="I19" s="2023" cm="1">
        <f t="array" ref="I19">G19/0.8</f>
        <v>25286502.5203056</v>
      </c>
      <c r="J19" s="2024" cm="1">
        <f t="array" ref="J19">H19/0.8</f>
        <v>28286502.5203056</v>
      </c>
      <c r="K19" s="2022">
        <v>20229202.0162445</v>
      </c>
      <c r="L19" s="2023" cm="1">
        <f t="array" ref="L19">K19+800000*3</f>
        <v>22629202.0162445</v>
      </c>
      <c r="M19" s="2023" cm="1">
        <f t="array" ref="M19">K19/0.8</f>
        <v>25286502.5203056</v>
      </c>
      <c r="N19" s="2024" cm="1">
        <f t="array" ref="N19">L19/0.8</f>
        <v>28286502.5203056</v>
      </c>
      <c r="O19" s="2022">
        <v>18797710.4987656</v>
      </c>
      <c r="P19" s="2023" cm="1">
        <f t="array" ref="P19">O19+800000*3</f>
        <v>21197710.4987656</v>
      </c>
      <c r="Q19" s="2023" cm="1">
        <f t="array" ref="Q19">O19/0.8</f>
        <v>23497138.123457</v>
      </c>
      <c r="R19" s="2024" cm="1">
        <f t="array" ref="R19">P19/0.8</f>
        <v>26497138.123457</v>
      </c>
      <c r="S19" s="2022">
        <v>15909123.8929469</v>
      </c>
      <c r="T19" s="2023" cm="1">
        <f t="array" ref="T19">S19+800000*3</f>
        <v>18309123.8929469</v>
      </c>
      <c r="U19" s="2023" cm="1">
        <f t="array" ref="U19">S19/0.8</f>
        <v>19886404.8661836</v>
      </c>
      <c r="V19" s="2024" cm="1">
        <f t="array" ref="V19">T19/0.8</f>
        <v>22886404.8661836</v>
      </c>
      <c r="W19" s="2022">
        <v>20228509.0213194</v>
      </c>
      <c r="X19" s="2023" cm="1">
        <f t="array" ref="X19">W19+800000*3</f>
        <v>22628509.0213194</v>
      </c>
      <c r="Y19" s="2023" cm="1">
        <f t="array" ref="Y19">W19/0.8</f>
        <v>25285636.2766493</v>
      </c>
      <c r="Z19" s="2024" cm="1">
        <f t="array" ref="Z19">X19/0.8</f>
        <v>28285636.2766493</v>
      </c>
      <c r="AA19" s="2022">
        <v>17385921.3267215</v>
      </c>
      <c r="AB19" s="2023" cm="1">
        <f t="array" ref="AB19">AA19+800000*3</f>
        <v>19785921.3267215</v>
      </c>
      <c r="AC19" s="2023" cm="1">
        <f t="array" ref="AC19">AA19/0.8</f>
        <v>21732401.6584019</v>
      </c>
      <c r="AD19" s="2024" cm="1">
        <f t="array" ref="AD19">AB19/0.8</f>
        <v>24732401.6584019</v>
      </c>
      <c r="AE19" s="2022">
        <v>19464548.2412357</v>
      </c>
      <c r="AF19" s="2023" cm="1">
        <f t="array" ref="AF19">AE19+800000*3</f>
        <v>21864548.2412357</v>
      </c>
      <c r="AG19" s="2023" cm="1">
        <f t="array" ref="AG19">AE19/0.8</f>
        <v>24330685.3015446</v>
      </c>
      <c r="AH19" s="2024" cm="1">
        <f t="array" ref="AH19">AF19/0.8</f>
        <v>27330685.3015446</v>
      </c>
      <c r="AI19" s="2022">
        <v>20094752.5339577</v>
      </c>
      <c r="AJ19" s="2023" cm="1">
        <f t="array" ref="AJ19">AI19+800000*3</f>
        <v>22494752.5339577</v>
      </c>
      <c r="AK19" s="2023" cm="1">
        <f t="array" ref="AK19">AI19/0.8</f>
        <v>25118440.6674471</v>
      </c>
      <c r="AL19" s="2023" cm="1">
        <f t="array" ref="AL19">AJ19/0.8</f>
        <v>28118440.6674471</v>
      </c>
      <c r="AM19" s="2025"/>
    </row>
    <row r="20" ht="15" customHeight="1">
      <c r="A20" s="12"/>
      <c r="B20" s="2021">
        <v>14</v>
      </c>
      <c r="C20" s="2022"/>
      <c r="D20" s="2023"/>
      <c r="E20" s="2023"/>
      <c r="F20" s="2024"/>
      <c r="G20" s="2022"/>
      <c r="H20" s="2023"/>
      <c r="I20" s="2023"/>
      <c r="J20" s="2024"/>
      <c r="K20" s="2022"/>
      <c r="L20" s="2023"/>
      <c r="M20" s="2023"/>
      <c r="N20" s="2024"/>
      <c r="O20" s="2022"/>
      <c r="P20" s="2023"/>
      <c r="Q20" s="2023"/>
      <c r="R20" s="2024"/>
      <c r="S20" s="2022">
        <v>16199123.8929469</v>
      </c>
      <c r="T20" s="2023" cm="1">
        <f t="array" ref="T20">S20+800000*3</f>
        <v>18599123.8929469</v>
      </c>
      <c r="U20" s="2023" cm="1">
        <f t="array" ref="U20">S20/0.8</f>
        <v>20248904.8661836</v>
      </c>
      <c r="V20" s="2024" cm="1">
        <f t="array" ref="V20">T20/0.8</f>
        <v>23248904.8661836</v>
      </c>
      <c r="W20" s="2022">
        <v>20518509.0213194</v>
      </c>
      <c r="X20" s="2023" cm="1">
        <f t="array" ref="X20">W20+800000*3</f>
        <v>22918509.0213194</v>
      </c>
      <c r="Y20" s="2023" cm="1">
        <f t="array" ref="Y20">W20/0.8</f>
        <v>25648136.2766493</v>
      </c>
      <c r="Z20" s="2024" cm="1">
        <f t="array" ref="Z20">X20/0.8</f>
        <v>28648136.2766493</v>
      </c>
      <c r="AA20" s="2022">
        <v>17675921.3267215</v>
      </c>
      <c r="AB20" s="2023" cm="1">
        <f t="array" ref="AB20">AA20+800000*3</f>
        <v>20075921.3267215</v>
      </c>
      <c r="AC20" s="2023" cm="1">
        <f t="array" ref="AC20">AA20/0.8</f>
        <v>22094901.6584019</v>
      </c>
      <c r="AD20" s="2024" cm="1">
        <f t="array" ref="AD20">AB20/0.8</f>
        <v>25094901.6584019</v>
      </c>
      <c r="AE20" s="2022">
        <v>19754548.2412357</v>
      </c>
      <c r="AF20" s="2023" cm="1">
        <f t="array" ref="AF20">AE20+800000*3</f>
        <v>22154548.2412357</v>
      </c>
      <c r="AG20" s="2023" cm="1">
        <f t="array" ref="AG20">AE20/0.8</f>
        <v>24693185.3015446</v>
      </c>
      <c r="AH20" s="2024" cm="1">
        <f t="array" ref="AH20">AF20/0.8</f>
        <v>27693185.3015446</v>
      </c>
      <c r="AI20" s="2022">
        <v>20384752.5339577</v>
      </c>
      <c r="AJ20" s="2023" cm="1">
        <f t="array" ref="AJ20">AI20+800000*3</f>
        <v>22784752.5339577</v>
      </c>
      <c r="AK20" s="2023" cm="1">
        <f t="array" ref="AK20">AI20/0.8</f>
        <v>25480940.6674471</v>
      </c>
      <c r="AL20" s="2023" cm="1">
        <f t="array" ref="AL20">AJ20/0.8</f>
        <v>28480940.6674471</v>
      </c>
      <c r="AM20" s="2025"/>
    </row>
    <row r="21" ht="15" customHeight="1">
      <c r="A21" s="12"/>
      <c r="B21" s="2021">
        <v>15</v>
      </c>
      <c r="C21" s="2022"/>
      <c r="D21" s="2023"/>
      <c r="E21" s="2023"/>
      <c r="F21" s="2024"/>
      <c r="G21" s="2022"/>
      <c r="H21" s="2023"/>
      <c r="I21" s="2023"/>
      <c r="J21" s="2024"/>
      <c r="K21" s="2022"/>
      <c r="L21" s="2023"/>
      <c r="M21" s="2023"/>
      <c r="N21" s="2024"/>
      <c r="O21" s="2022"/>
      <c r="P21" s="2023"/>
      <c r="Q21" s="2023"/>
      <c r="R21" s="2024"/>
      <c r="S21" s="2022"/>
      <c r="T21" s="2023"/>
      <c r="U21" s="2023"/>
      <c r="V21" s="2024"/>
      <c r="W21" s="2022"/>
      <c r="X21" s="2023"/>
      <c r="Y21" s="2023"/>
      <c r="Z21" s="2024"/>
      <c r="AA21" s="2022"/>
      <c r="AB21" s="2023"/>
      <c r="AC21" s="2023"/>
      <c r="AD21" s="2024"/>
      <c r="AE21" s="2022">
        <v>20044548.2412357</v>
      </c>
      <c r="AF21" s="2023" cm="1">
        <f t="array" ref="AF21">AE21+800000*3</f>
        <v>22444548.2412357</v>
      </c>
      <c r="AG21" s="2023" cm="1">
        <f t="array" ref="AG21">AE21/0.8</f>
        <v>25055685.3015446</v>
      </c>
      <c r="AH21" s="2024" cm="1">
        <f t="array" ref="AH21">AF21/0.8</f>
        <v>28055685.3015446</v>
      </c>
      <c r="AI21" s="2022"/>
      <c r="AJ21" s="2023"/>
      <c r="AK21" s="2023"/>
      <c r="AL21" s="2023"/>
      <c r="AM21" s="2025"/>
    </row>
    <row r="22" ht="9.5" customHeight="1">
      <c r="A22" s="12"/>
      <c r="B22" s="2026"/>
      <c r="C22" s="2027"/>
      <c r="D22" s="2028"/>
      <c r="E22" s="2028"/>
      <c r="F22" s="2029"/>
      <c r="G22" s="2027"/>
      <c r="H22" s="2028"/>
      <c r="I22" s="2028"/>
      <c r="J22" s="2029"/>
      <c r="K22" s="2027"/>
      <c r="L22" s="2028"/>
      <c r="M22" s="2028"/>
      <c r="N22" s="2029"/>
      <c r="O22" s="2027"/>
      <c r="P22" s="2028"/>
      <c r="Q22" s="2028"/>
      <c r="R22" s="2029"/>
      <c r="S22" s="2027"/>
      <c r="T22" s="2028"/>
      <c r="U22" s="2028"/>
      <c r="V22" s="2029"/>
      <c r="W22" s="2027"/>
      <c r="X22" s="2028"/>
      <c r="Y22" s="2028"/>
      <c r="Z22" s="2029"/>
      <c r="AA22" s="2027"/>
      <c r="AB22" s="2028"/>
      <c r="AC22" s="2028"/>
      <c r="AD22" s="2029"/>
      <c r="AE22" s="2027"/>
      <c r="AF22" s="2028"/>
      <c r="AG22" s="2028"/>
      <c r="AH22" s="2029"/>
      <c r="AI22" s="2027"/>
      <c r="AJ22" s="2028"/>
      <c r="AK22" s="2028"/>
      <c r="AL22" s="2028"/>
      <c r="AM22" s="2030"/>
    </row>
    <row r="23" ht="15.5" customHeight="1">
      <c r="A23" s="32"/>
      <c r="B23" s="125"/>
      <c r="C23" s="125"/>
      <c r="D23" s="125"/>
      <c r="E23" s="124"/>
      <c r="F23" s="124"/>
      <c r="G23" s="124"/>
      <c r="H23" s="124"/>
      <c r="I23" s="124"/>
      <c r="J23" s="124"/>
      <c r="K23" s="124"/>
      <c r="L23" s="124"/>
      <c r="M23" s="124"/>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313"/>
    </row>
    <row r="24" ht="15" customHeight="1">
      <c r="A24" s="362"/>
      <c r="B24" s="2031"/>
      <c r="C24" t="s" s="2032">
        <v>4183</v>
      </c>
      <c r="D24" s="2033"/>
      <c r="E24" s="132"/>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8"/>
    </row>
    <row r="25" ht="15" customHeight="1">
      <c r="A25" s="362"/>
      <c r="B25" s="2034"/>
      <c r="C25" t="s" s="2011">
        <v>4193</v>
      </c>
      <c r="D25" s="2035"/>
      <c r="E25" s="132"/>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8"/>
    </row>
    <row r="26" ht="30" customHeight="1">
      <c r="A26" s="362"/>
      <c r="B26" t="s" s="2036">
        <v>931</v>
      </c>
      <c r="C26" t="s" s="2017">
        <v>4188</v>
      </c>
      <c r="D26" t="s" s="2019">
        <v>4189</v>
      </c>
      <c r="E26" s="203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8"/>
    </row>
    <row r="27" ht="15" customHeight="1">
      <c r="A27" s="362"/>
      <c r="B27" t="s" s="2038">
        <v>185</v>
      </c>
      <c r="C27" s="2022" cm="1">
        <f t="array" ref="C27">('RECOMMENDED PRICES'!$F$17+'RECOMMENDED PRICES'!F22+SUM('RECOMMENDED PRICES'!$D$88:$D$95))*0.95</f>
        <v>15431800</v>
      </c>
      <c r="D27" s="2039" cm="1">
        <f t="array" ref="D27">C27/0.8</f>
        <v>19289750</v>
      </c>
      <c r="E27" s="132"/>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8"/>
    </row>
    <row r="28" ht="15" customHeight="1">
      <c r="A28" s="362"/>
      <c r="B28" t="s" s="2038">
        <v>48</v>
      </c>
      <c r="C28" s="2022" cm="1">
        <f t="array" ref="C28">('RECOMMENDED PRICES'!$F$17+'RECOMMENDED PRICES'!F26+SUM('RECOMMENDED PRICES'!$D$88:$D$95))*0.95</f>
        <v>18889800</v>
      </c>
      <c r="D28" s="2039" cm="1">
        <f t="array" ref="D28">C28/0.8</f>
        <v>23612250</v>
      </c>
      <c r="E28" s="132"/>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8"/>
    </row>
    <row r="29" ht="15" customHeight="1">
      <c r="A29" s="362"/>
      <c r="B29" t="s" s="2038">
        <v>49</v>
      </c>
      <c r="C29" s="2022" cm="1">
        <f t="array" ref="C29">('RECOMMENDED PRICES'!$F$17+'RECOMMENDED PRICES'!F27+SUM('RECOMMENDED PRICES'!$D$88:$D$95))*0.95</f>
        <v>18889800</v>
      </c>
      <c r="D29" s="2039" cm="1">
        <f t="array" ref="D29">C29/0.8</f>
        <v>23612250</v>
      </c>
      <c r="E29" s="132"/>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8"/>
    </row>
    <row r="30" ht="15" customHeight="1">
      <c r="A30" s="362"/>
      <c r="B30" t="s" s="2038">
        <v>207</v>
      </c>
      <c r="C30" s="2022" cm="1">
        <f t="array" ref="C30">('RECOMMENDED PRICES'!$F$17+'RECOMMENDED PRICES'!F54+SUM('RECOMMENDED PRICES'!$D$88:$D$95))*0.95</f>
        <v>16362800</v>
      </c>
      <c r="D30" s="2039" cm="1">
        <f t="array" ref="D30">C30/0.8</f>
        <v>20453500</v>
      </c>
      <c r="E30" s="132"/>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8"/>
    </row>
    <row r="31" ht="15" customHeight="1">
      <c r="A31" s="362"/>
      <c r="B31" t="s" s="2038">
        <v>957</v>
      </c>
      <c r="C31" s="2022" cm="1">
        <f t="array" ref="C31">('RECOMMENDED PRICES'!$F$17+'RECOMMENDED PRICES'!F23+SUM('RECOMMENDED PRICES'!$D$88:$D$95))*0.95</f>
        <v>15792800</v>
      </c>
      <c r="D31" s="2039" cm="1">
        <f t="array" ref="D31">C31/0.8</f>
        <v>19741000</v>
      </c>
      <c r="E31" s="132"/>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8"/>
    </row>
    <row r="32" ht="15" customHeight="1">
      <c r="A32" s="362"/>
      <c r="B32" t="s" s="2038">
        <v>50</v>
      </c>
      <c r="C32" s="2022" cm="1">
        <f t="array" ref="C32">('RECOMMENDED PRICES'!$F$17+'RECOMMENDED PRICES'!F28+SUM('RECOMMENDED PRICES'!$D$88:$D$95))*0.95</f>
        <v>18604800</v>
      </c>
      <c r="D32" s="2039" cm="1">
        <f t="array" ref="D32">C32/0.8</f>
        <v>23256000</v>
      </c>
      <c r="E32" s="132"/>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8"/>
    </row>
    <row r="33" ht="15" customHeight="1">
      <c r="A33" s="362"/>
      <c r="B33" t="s" s="2038">
        <v>183</v>
      </c>
      <c r="C33" s="2022" cm="1">
        <f t="array" ref="C33">('RECOMMENDED PRICES'!$F$17+'RECOMMENDED PRICES'!F20+SUM('RECOMMENDED PRICES'!$D$88:$D$95))*0.95</f>
        <v>16077800</v>
      </c>
      <c r="D33" s="2039" cm="1">
        <f t="array" ref="D33">C33/0.8</f>
        <v>20097250</v>
      </c>
      <c r="E33" s="132"/>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8"/>
    </row>
    <row r="34" ht="15" customHeight="1">
      <c r="A34" s="362"/>
      <c r="B34" t="s" s="2038">
        <v>184</v>
      </c>
      <c r="C34" s="2022" cm="1">
        <f t="array" ref="C34">('RECOMMENDED PRICES'!$F$17+'RECOMMENDED PRICES'!F21+SUM('RECOMMENDED PRICES'!$D$88:$D$95))*0.95</f>
        <v>17217800</v>
      </c>
      <c r="D34" s="2039" cm="1">
        <f t="array" ref="D34">C34/0.8</f>
        <v>21522250</v>
      </c>
      <c r="E34" s="132"/>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8"/>
    </row>
    <row r="35" ht="15" customHeight="1">
      <c r="A35" s="362"/>
      <c r="B35" t="s" s="2038">
        <v>4194</v>
      </c>
      <c r="C35" s="2022" cm="1">
        <f t="array" ref="C35">('RECOMMENDED PRICES'!$F$17+'RECOMMENDED PRICES'!F29+SUM('RECOMMENDED PRICES'!$D$88:$D$95))*0.95</f>
        <v>18604800</v>
      </c>
      <c r="D35" s="2039" cm="1">
        <f t="array" ref="D35">C35/0.8</f>
        <v>23256000</v>
      </c>
      <c r="E35" s="132"/>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8"/>
    </row>
    <row r="36" ht="8.5" customHeight="1">
      <c r="A36" s="362"/>
      <c r="B36" s="2040"/>
      <c r="C36" s="2041"/>
      <c r="D36" s="2042"/>
      <c r="E36" s="132"/>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8"/>
    </row>
    <row r="37" ht="15" customHeight="1">
      <c r="A37" s="32"/>
      <c r="B37" s="945"/>
      <c r="C37" s="945"/>
      <c r="D37" s="945"/>
      <c r="E37" s="1587"/>
      <c r="F37" s="1587"/>
      <c r="G37" s="1587"/>
      <c r="H37" s="1587"/>
      <c r="I37" s="1587"/>
      <c r="J37" s="1587"/>
      <c r="K37" s="1587"/>
      <c r="L37" s="1587"/>
      <c r="M37" s="1587"/>
      <c r="N37" s="1587"/>
      <c r="O37" s="1587"/>
      <c r="P37" s="1587"/>
      <c r="Q37" s="1587"/>
      <c r="R37" s="1587"/>
      <c r="S37" s="1587"/>
      <c r="T37" s="1587"/>
      <c r="U37" s="1587"/>
      <c r="V37" s="17"/>
      <c r="W37" s="17"/>
      <c r="X37" s="17"/>
      <c r="Y37" s="17"/>
      <c r="Z37" s="17"/>
      <c r="AA37" s="17"/>
      <c r="AB37" s="17"/>
      <c r="AC37" s="17"/>
      <c r="AD37" s="17"/>
      <c r="AE37" s="17"/>
      <c r="AF37" s="17"/>
      <c r="AG37" s="17"/>
      <c r="AH37" s="17"/>
      <c r="AI37" s="17"/>
      <c r="AJ37" s="17"/>
      <c r="AK37" s="17"/>
      <c r="AL37" s="17"/>
      <c r="AM37" s="18"/>
    </row>
    <row r="38" ht="20" customHeight="1">
      <c r="A38" s="362"/>
      <c r="B38" t="s" s="2043">
        <v>4183</v>
      </c>
      <c r="C38" s="2044"/>
      <c r="D38" s="2044"/>
      <c r="E38" s="2044"/>
      <c r="F38" s="2044"/>
      <c r="G38" s="2044"/>
      <c r="H38" s="2044"/>
      <c r="I38" s="2044"/>
      <c r="J38" s="2044"/>
      <c r="K38" s="2044"/>
      <c r="L38" s="2044"/>
      <c r="M38" s="2044"/>
      <c r="N38" s="2044"/>
      <c r="O38" s="2044"/>
      <c r="P38" s="2044"/>
      <c r="Q38" s="2044"/>
      <c r="R38" s="2044"/>
      <c r="S38" s="2044"/>
      <c r="T38" s="2044"/>
      <c r="U38" s="2033"/>
      <c r="V38" s="132"/>
      <c r="W38" s="17"/>
      <c r="X38" s="17"/>
      <c r="Y38" s="17"/>
      <c r="Z38" s="17"/>
      <c r="AA38" s="17"/>
      <c r="AB38" s="17"/>
      <c r="AC38" s="17"/>
      <c r="AD38" s="17"/>
      <c r="AE38" s="17"/>
      <c r="AF38" s="17"/>
      <c r="AG38" s="17"/>
      <c r="AH38" s="17"/>
      <c r="AI38" s="17"/>
      <c r="AJ38" s="17"/>
      <c r="AK38" s="17"/>
      <c r="AL38" s="17"/>
      <c r="AM38" s="18"/>
    </row>
    <row r="39" ht="20" customHeight="1">
      <c r="A39" s="362"/>
      <c r="B39" s="2045"/>
      <c r="C39" t="s" s="2005">
        <v>582</v>
      </c>
      <c r="D39" s="2007"/>
      <c r="E39" t="s" s="2005">
        <v>592</v>
      </c>
      <c r="F39" s="2007"/>
      <c r="G39" t="s" s="2005">
        <v>4184</v>
      </c>
      <c r="H39" s="2007"/>
      <c r="I39" t="s" s="2005">
        <v>4185</v>
      </c>
      <c r="J39" s="2007"/>
      <c r="K39" t="s" s="2005">
        <v>586</v>
      </c>
      <c r="L39" s="2007"/>
      <c r="M39" t="s" s="2005">
        <v>4186</v>
      </c>
      <c r="N39" s="2007"/>
      <c r="O39" t="s" s="2005">
        <v>507</v>
      </c>
      <c r="P39" s="2007"/>
      <c r="Q39" t="s" s="2005">
        <v>581</v>
      </c>
      <c r="R39" s="2007"/>
      <c r="S39" t="s" s="2005">
        <v>4187</v>
      </c>
      <c r="T39" s="2007"/>
      <c r="U39" s="2046"/>
      <c r="V39" s="132"/>
      <c r="W39" s="17"/>
      <c r="X39" s="17"/>
      <c r="Y39" s="17"/>
      <c r="Z39" s="17"/>
      <c r="AA39" s="17"/>
      <c r="AB39" s="17"/>
      <c r="AC39" s="17"/>
      <c r="AD39" s="17"/>
      <c r="AE39" s="17"/>
      <c r="AF39" s="17"/>
      <c r="AG39" s="17"/>
      <c r="AH39" s="17"/>
      <c r="AI39" s="17"/>
      <c r="AJ39" s="17"/>
      <c r="AK39" s="17"/>
      <c r="AL39" s="17"/>
      <c r="AM39" s="18"/>
    </row>
    <row r="40" ht="20" customHeight="1">
      <c r="A40" s="362"/>
      <c r="B40" s="2047"/>
      <c r="C40" t="s" s="2011">
        <v>4195</v>
      </c>
      <c r="D40" s="2014"/>
      <c r="E40" t="s" s="2011">
        <v>4195</v>
      </c>
      <c r="F40" s="2014"/>
      <c r="G40" t="s" s="2011">
        <v>4195</v>
      </c>
      <c r="H40" s="2014"/>
      <c r="I40" t="s" s="2011">
        <v>4195</v>
      </c>
      <c r="J40" s="2014"/>
      <c r="K40" t="s" s="2011">
        <v>4195</v>
      </c>
      <c r="L40" s="2014"/>
      <c r="M40" t="s" s="2011">
        <v>4195</v>
      </c>
      <c r="N40" s="2014"/>
      <c r="O40" t="s" s="2011">
        <v>4195</v>
      </c>
      <c r="P40" s="2014"/>
      <c r="Q40" t="s" s="2011">
        <v>4195</v>
      </c>
      <c r="R40" s="2014"/>
      <c r="S40" t="s" s="2011">
        <v>4195</v>
      </c>
      <c r="T40" s="2014"/>
      <c r="U40" s="2046"/>
      <c r="V40" s="132"/>
      <c r="W40" s="17"/>
      <c r="X40" s="17"/>
      <c r="Y40" s="17"/>
      <c r="Z40" s="17"/>
      <c r="AA40" s="17"/>
      <c r="AB40" s="17"/>
      <c r="AC40" s="17"/>
      <c r="AD40" s="17"/>
      <c r="AE40" s="17"/>
      <c r="AF40" s="17"/>
      <c r="AG40" s="17"/>
      <c r="AH40" s="17"/>
      <c r="AI40" s="17"/>
      <c r="AJ40" s="17"/>
      <c r="AK40" s="17"/>
      <c r="AL40" s="17"/>
      <c r="AM40" s="18"/>
    </row>
    <row r="41" ht="20" customHeight="1">
      <c r="A41" s="362"/>
      <c r="B41" t="s" s="2048">
        <v>4190</v>
      </c>
      <c r="C41" t="s" s="2049">
        <v>4196</v>
      </c>
      <c r="D41" t="s" s="2050">
        <v>4197</v>
      </c>
      <c r="E41" t="s" s="2049">
        <v>4196</v>
      </c>
      <c r="F41" t="s" s="2050">
        <v>4197</v>
      </c>
      <c r="G41" t="s" s="2049">
        <v>4196</v>
      </c>
      <c r="H41" t="s" s="2050">
        <v>4197</v>
      </c>
      <c r="I41" t="s" s="2049">
        <v>4196</v>
      </c>
      <c r="J41" t="s" s="2050">
        <v>4197</v>
      </c>
      <c r="K41" t="s" s="2049">
        <v>4196</v>
      </c>
      <c r="L41" t="s" s="2050">
        <v>4197</v>
      </c>
      <c r="M41" t="s" s="2049">
        <v>4196</v>
      </c>
      <c r="N41" t="s" s="2050">
        <v>4197</v>
      </c>
      <c r="O41" t="s" s="2049">
        <v>4196</v>
      </c>
      <c r="P41" t="s" s="2050">
        <v>4197</v>
      </c>
      <c r="Q41" t="s" s="2049">
        <v>4196</v>
      </c>
      <c r="R41" t="s" s="2050">
        <v>4197</v>
      </c>
      <c r="S41" t="s" s="2049">
        <v>4196</v>
      </c>
      <c r="T41" t="s" s="2050">
        <v>4197</v>
      </c>
      <c r="U41" s="2046"/>
      <c r="V41" s="132"/>
      <c r="W41" s="17"/>
      <c r="X41" s="17"/>
      <c r="Y41" s="17"/>
      <c r="Z41" s="17"/>
      <c r="AA41" s="17"/>
      <c r="AB41" s="17"/>
      <c r="AC41" s="17"/>
      <c r="AD41" s="17"/>
      <c r="AE41" s="17"/>
      <c r="AF41" s="17"/>
      <c r="AG41" s="17"/>
      <c r="AH41" s="17"/>
      <c r="AI41" s="17"/>
      <c r="AJ41" s="17"/>
      <c r="AK41" s="17"/>
      <c r="AL41" s="17"/>
      <c r="AM41" s="18"/>
    </row>
    <row r="42" ht="15" customHeight="1">
      <c r="A42" s="362"/>
      <c r="B42" t="s" s="2051">
        <v>4198</v>
      </c>
      <c r="C42" s="2052" cm="1">
        <f t="array" ref="C42">D11</f>
        <v>14324165.6237656</v>
      </c>
      <c r="D42" s="2053" cm="1">
        <f t="array" ref="D42">C42/0.8</f>
        <v>17905207.029707</v>
      </c>
      <c r="E42" s="2052" cm="1">
        <f t="array" ref="E42">H11</f>
        <v>17610202.0162445</v>
      </c>
      <c r="F42" s="2053" cm="1">
        <f t="array" ref="F42">E42/0.8</f>
        <v>22012752.5203056</v>
      </c>
      <c r="G42" s="2052" cm="1">
        <f t="array" ref="G42">L11</f>
        <v>17610202.0162445</v>
      </c>
      <c r="H42" s="2053" cm="1">
        <f t="array" ref="H42">G42/0.8</f>
        <v>22012752.5203056</v>
      </c>
      <c r="I42" s="2052" cm="1">
        <f t="array" ref="I42">P11</f>
        <v>16178710.4987656</v>
      </c>
      <c r="J42" s="2053" cm="1">
        <f t="array" ref="J42">I42/0.8</f>
        <v>20223388.123457</v>
      </c>
      <c r="K42" s="2052" cm="1">
        <f t="array" ref="K42">T11</f>
        <v>13290123.8929469</v>
      </c>
      <c r="L42" s="2053" cm="1">
        <f t="array" ref="L42">K42/0.8</f>
        <v>16612654.8661836</v>
      </c>
      <c r="M42" s="2052" cm="1">
        <f t="array" ref="M42">X11</f>
        <v>17609509.0213194</v>
      </c>
      <c r="N42" s="2053" cm="1">
        <f t="array" ref="N42">M42/0.8</f>
        <v>22011886.2766493</v>
      </c>
      <c r="O42" s="2052" cm="1">
        <f t="array" ref="O42">AB11</f>
        <v>14766921.3267216</v>
      </c>
      <c r="P42" s="2053" cm="1">
        <f t="array" ref="P42">O42/0.8</f>
        <v>18458651.658402</v>
      </c>
      <c r="Q42" s="2052" cm="1">
        <f t="array" ref="Q42">AF11</f>
        <v>16845548.2412357</v>
      </c>
      <c r="R42" s="2053" cm="1">
        <f t="array" ref="R42">Q42/0.8</f>
        <v>21056935.3015446</v>
      </c>
      <c r="S42" s="2052" cm="1">
        <f t="array" ref="S42">AJ11</f>
        <v>17475752.5339577</v>
      </c>
      <c r="T42" s="2053" cm="1">
        <f t="array" ref="T42">S42/0.8</f>
        <v>21844690.6674471</v>
      </c>
      <c r="U42" s="2046"/>
      <c r="V42" s="132"/>
      <c r="W42" s="17"/>
      <c r="X42" s="17"/>
      <c r="Y42" s="17"/>
      <c r="Z42" s="17"/>
      <c r="AA42" s="17"/>
      <c r="AB42" s="17"/>
      <c r="AC42" s="17"/>
      <c r="AD42" s="17"/>
      <c r="AE42" s="17"/>
      <c r="AF42" s="17"/>
      <c r="AG42" s="17"/>
      <c r="AH42" s="17"/>
      <c r="AI42" s="17"/>
      <c r="AJ42" s="17"/>
      <c r="AK42" s="17"/>
      <c r="AL42" s="17"/>
      <c r="AM42" s="18"/>
    </row>
    <row r="43" ht="15" customHeight="1">
      <c r="A43" s="362"/>
      <c r="B43" t="s" s="2038">
        <v>4199</v>
      </c>
      <c r="C43" s="2022" cm="1">
        <f t="array" ref="C43">D16</f>
        <v>17673165.6237656</v>
      </c>
      <c r="D43" s="2024" cm="1">
        <f t="array" ref="D43">C43/0.8</f>
        <v>22091457.029707</v>
      </c>
      <c r="E43" s="2022" cm="1">
        <f t="array" ref="E43">H16</f>
        <v>20959202.0162445</v>
      </c>
      <c r="F43" s="2024" cm="1">
        <f t="array" ref="F43">E43/0.8</f>
        <v>26199002.5203056</v>
      </c>
      <c r="G43" s="2022" cm="1">
        <f t="array" ref="G43">L16</f>
        <v>20959202.0162445</v>
      </c>
      <c r="H43" s="2024" cm="1">
        <f t="array" ref="H43">G43/0.8</f>
        <v>26199002.5203056</v>
      </c>
      <c r="I43" s="2022" cm="1">
        <f t="array" ref="I43">P16</f>
        <v>19527710.4987656</v>
      </c>
      <c r="J43" s="2024" cm="1">
        <f t="array" ref="J43">I43/0.8</f>
        <v>24409638.123457</v>
      </c>
      <c r="K43" s="2022" cm="1">
        <f t="array" ref="K43">T16</f>
        <v>16639123.8929469</v>
      </c>
      <c r="L43" s="2024" cm="1">
        <f t="array" ref="L43">K43/0.8</f>
        <v>20798904.8661836</v>
      </c>
      <c r="M43" s="2022" cm="1">
        <f t="array" ref="M43">X16</f>
        <v>20958509.0213194</v>
      </c>
      <c r="N43" s="2024" cm="1">
        <f t="array" ref="N43">M43/0.8</f>
        <v>26198136.2766493</v>
      </c>
      <c r="O43" s="2022" cm="1">
        <f t="array" ref="O43">AB16</f>
        <v>18115921.3267216</v>
      </c>
      <c r="P43" s="2024" cm="1">
        <f t="array" ref="P43">O43/0.8</f>
        <v>22644901.658402</v>
      </c>
      <c r="Q43" s="2022" cm="1">
        <f t="array" ref="Q43">AF16</f>
        <v>20194548.2412357</v>
      </c>
      <c r="R43" s="2024" cm="1">
        <f t="array" ref="R43">Q43/0.8</f>
        <v>25243185.3015446</v>
      </c>
      <c r="S43" s="2022" cm="1">
        <f t="array" ref="S43">AJ16</f>
        <v>20824752.5339577</v>
      </c>
      <c r="T43" s="2024" cm="1">
        <f t="array" ref="T43">S43/0.8</f>
        <v>26030940.6674471</v>
      </c>
      <c r="U43" s="2046"/>
      <c r="V43" s="132"/>
      <c r="W43" s="17"/>
      <c r="X43" s="17"/>
      <c r="Y43" s="17"/>
      <c r="Z43" s="17"/>
      <c r="AA43" s="17"/>
      <c r="AB43" s="17"/>
      <c r="AC43" s="17"/>
      <c r="AD43" s="17"/>
      <c r="AE43" s="17"/>
      <c r="AF43" s="17"/>
      <c r="AG43" s="17"/>
      <c r="AH43" s="17"/>
      <c r="AI43" s="17"/>
      <c r="AJ43" s="17"/>
      <c r="AK43" s="17"/>
      <c r="AL43" s="17"/>
      <c r="AM43" s="18"/>
    </row>
    <row r="44" ht="15" customHeight="1">
      <c r="A44" s="362"/>
      <c r="B44" t="s" s="2038">
        <v>4200</v>
      </c>
      <c r="C44" s="2022" cm="1">
        <f t="array" ref="C44">MAX(D7:D21)</f>
        <v>19343165.6237656</v>
      </c>
      <c r="D44" s="2024" cm="1">
        <f t="array" ref="D44">C44/0.8</f>
        <v>24178957.029707</v>
      </c>
      <c r="E44" s="2022" cm="1">
        <f t="array" ref="E44">MAX(H7:H21)</f>
        <v>22629202.0162445</v>
      </c>
      <c r="F44" s="2024" cm="1">
        <f t="array" ref="F44">E44/0.8</f>
        <v>28286502.5203056</v>
      </c>
      <c r="G44" s="2022" cm="1">
        <f t="array" ref="G44">MAX(L7:L21)</f>
        <v>22629202.0162445</v>
      </c>
      <c r="H44" s="2024" cm="1">
        <f t="array" ref="H44">G44/0.8</f>
        <v>28286502.5203056</v>
      </c>
      <c r="I44" s="2022" cm="1">
        <f t="array" ref="I44">MAX(P7:P21)</f>
        <v>21197710.4987656</v>
      </c>
      <c r="J44" s="2024" cm="1">
        <f t="array" ref="J44">I44/0.8</f>
        <v>26497138.123457</v>
      </c>
      <c r="K44" s="2022" cm="1">
        <f t="array" ref="K44">MAX(T7:T21)</f>
        <v>18599123.8929469</v>
      </c>
      <c r="L44" s="2024" cm="1">
        <f t="array" ref="L44">K44/0.8</f>
        <v>23248904.8661836</v>
      </c>
      <c r="M44" s="2022" cm="1">
        <f t="array" ref="M44">MAX(X7:X21)</f>
        <v>22918509.0213194</v>
      </c>
      <c r="N44" s="2024" cm="1">
        <f t="array" ref="N44">M44/0.8</f>
        <v>28648136.2766493</v>
      </c>
      <c r="O44" s="2022" cm="1">
        <f t="array" ref="O44">MAX(AB7:AB21)</f>
        <v>20075921.3267215</v>
      </c>
      <c r="P44" s="2024" cm="1">
        <f t="array" ref="P44">O44/0.8</f>
        <v>25094901.6584019</v>
      </c>
      <c r="Q44" s="2022" cm="1">
        <f t="array" ref="Q44">MAX(AF7:AF21)</f>
        <v>22444548.2412357</v>
      </c>
      <c r="R44" s="2024" cm="1">
        <f t="array" ref="R44">Q44/0.8</f>
        <v>28055685.3015446</v>
      </c>
      <c r="S44" s="2022" cm="1">
        <f t="array" ref="S44">MAX(AJ7:AJ21)</f>
        <v>22784752.5339577</v>
      </c>
      <c r="T44" s="2024" cm="1">
        <f t="array" ref="T44">S44/0.8</f>
        <v>28480940.6674471</v>
      </c>
      <c r="U44" s="2046"/>
      <c r="V44" s="132"/>
      <c r="W44" s="17"/>
      <c r="X44" s="17"/>
      <c r="Y44" s="17"/>
      <c r="Z44" s="17"/>
      <c r="AA44" s="17"/>
      <c r="AB44" s="17"/>
      <c r="AC44" s="17"/>
      <c r="AD44" s="17"/>
      <c r="AE44" s="17"/>
      <c r="AF44" s="17"/>
      <c r="AG44" s="17"/>
      <c r="AH44" s="17"/>
      <c r="AI44" s="17"/>
      <c r="AJ44" s="17"/>
      <c r="AK44" s="17"/>
      <c r="AL44" s="17"/>
      <c r="AM44" s="18"/>
    </row>
    <row r="45" ht="9.5" customHeight="1">
      <c r="A45" s="951"/>
      <c r="B45" s="2040"/>
      <c r="C45" s="2041"/>
      <c r="D45" s="2054"/>
      <c r="E45" s="2041"/>
      <c r="F45" s="2054"/>
      <c r="G45" s="2041"/>
      <c r="H45" s="2054"/>
      <c r="I45" s="2041"/>
      <c r="J45" s="2054"/>
      <c r="K45" s="2041"/>
      <c r="L45" s="2054"/>
      <c r="M45" s="2041"/>
      <c r="N45" s="2054"/>
      <c r="O45" s="2041"/>
      <c r="P45" s="2054"/>
      <c r="Q45" s="2041"/>
      <c r="R45" s="2054"/>
      <c r="S45" s="2041"/>
      <c r="T45" s="2054"/>
      <c r="U45" s="2055"/>
      <c r="V45" s="2056"/>
      <c r="W45" s="193"/>
      <c r="X45" s="193"/>
      <c r="Y45" s="193"/>
      <c r="Z45" s="193"/>
      <c r="AA45" s="193"/>
      <c r="AB45" s="193"/>
      <c r="AC45" s="193"/>
      <c r="AD45" s="193"/>
      <c r="AE45" s="193"/>
      <c r="AF45" s="193"/>
      <c r="AG45" s="193"/>
      <c r="AH45" s="193"/>
      <c r="AI45" s="193"/>
      <c r="AJ45" s="193"/>
      <c r="AK45" s="193"/>
      <c r="AL45" s="193"/>
      <c r="AM45" s="195"/>
    </row>
  </sheetData>
  <mergeCells count="49">
    <mergeCell ref="E40:F40"/>
    <mergeCell ref="G40:H40"/>
    <mergeCell ref="I40:J40"/>
    <mergeCell ref="K40:L40"/>
    <mergeCell ref="M40:N40"/>
    <mergeCell ref="C25:D25"/>
    <mergeCell ref="C24:D24"/>
    <mergeCell ref="B38:U38"/>
    <mergeCell ref="O40:P40"/>
    <mergeCell ref="Q40:R40"/>
    <mergeCell ref="S40:T40"/>
    <mergeCell ref="C39:D39"/>
    <mergeCell ref="E39:F39"/>
    <mergeCell ref="G39:H39"/>
    <mergeCell ref="I39:J39"/>
    <mergeCell ref="K39:L39"/>
    <mergeCell ref="M39:N39"/>
    <mergeCell ref="O39:P39"/>
    <mergeCell ref="Q39:R39"/>
    <mergeCell ref="S39:T39"/>
    <mergeCell ref="C40:D40"/>
    <mergeCell ref="B3:AM3"/>
    <mergeCell ref="C5:D5"/>
    <mergeCell ref="E5:F5"/>
    <mergeCell ref="C4:F4"/>
    <mergeCell ref="G4:J4"/>
    <mergeCell ref="G5:H5"/>
    <mergeCell ref="I5:J5"/>
    <mergeCell ref="K4:N4"/>
    <mergeCell ref="K5:L5"/>
    <mergeCell ref="M5:N5"/>
    <mergeCell ref="O4:R4"/>
    <mergeCell ref="O5:P5"/>
    <mergeCell ref="Q5:R5"/>
    <mergeCell ref="S4:V4"/>
    <mergeCell ref="S5:T5"/>
    <mergeCell ref="U5:V5"/>
    <mergeCell ref="W4:Z4"/>
    <mergeCell ref="W5:X5"/>
    <mergeCell ref="Y5:Z5"/>
    <mergeCell ref="AI4:AL4"/>
    <mergeCell ref="AI5:AJ5"/>
    <mergeCell ref="AK5:AL5"/>
    <mergeCell ref="AA4:AD4"/>
    <mergeCell ref="AA5:AB5"/>
    <mergeCell ref="AC5:AD5"/>
    <mergeCell ref="AE4:AH4"/>
    <mergeCell ref="AE5:AF5"/>
    <mergeCell ref="AG5:AH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2.xml><?xml version="1.0" encoding="utf-8"?>
<worksheet xmlns:r="http://schemas.openxmlformats.org/officeDocument/2006/relationships" xmlns="http://schemas.openxmlformats.org/spreadsheetml/2006/main">
  <dimension ref="A1:AF46"/>
  <sheetViews>
    <sheetView workbookViewId="0" showGridLines="0" defaultGridColor="1"/>
  </sheetViews>
  <sheetFormatPr defaultColWidth="8.83333" defaultRowHeight="14.5" customHeight="1" outlineLevelRow="0" outlineLevelCol="0"/>
  <cols>
    <col min="1" max="1" width="2" style="2057" customWidth="1"/>
    <col min="2" max="2" width="20" style="2057" customWidth="1"/>
    <col min="3" max="3" width="1.5" style="2057" customWidth="1"/>
    <col min="4" max="4" width="17.8516" style="2057" customWidth="1"/>
    <col min="5" max="5" width="1.85156" style="2057" customWidth="1"/>
    <col min="6" max="12" width="12.3516" style="2057" customWidth="1"/>
    <col min="13" max="22" width="11.8516" style="2057" customWidth="1"/>
    <col min="23" max="31" width="12.5" style="2057" customWidth="1"/>
    <col min="32" max="32" width="1.85156" style="2057" customWidth="1"/>
    <col min="33" max="16384" width="8.85156" style="2057" customWidth="1"/>
  </cols>
  <sheetData>
    <row r="1" ht="11.4" customHeight="1">
      <c r="A1" s="7"/>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246"/>
    </row>
    <row r="2" ht="15.5" customHeight="1">
      <c r="A2" s="12"/>
      <c r="B2" s="247"/>
      <c r="C2" s="248"/>
      <c r="D2" s="248"/>
      <c r="E2" s="249"/>
      <c r="F2" t="s" s="250">
        <v>4202</v>
      </c>
      <c r="G2" t="s" s="250">
        <v>4202</v>
      </c>
      <c r="H2" t="s" s="250">
        <v>4202</v>
      </c>
      <c r="I2" t="s" s="250">
        <v>4202</v>
      </c>
      <c r="J2" t="s" s="250">
        <v>4202</v>
      </c>
      <c r="K2" t="s" s="250">
        <v>4202</v>
      </c>
      <c r="L2" t="s" s="250">
        <v>4202</v>
      </c>
      <c r="M2" t="s" s="250">
        <v>4202</v>
      </c>
      <c r="N2" t="s" s="250">
        <v>4202</v>
      </c>
      <c r="O2" t="s" s="250">
        <v>4202</v>
      </c>
      <c r="P2" t="s" s="250">
        <v>4202</v>
      </c>
      <c r="Q2" t="s" s="250">
        <v>4202</v>
      </c>
      <c r="R2" t="s" s="250">
        <v>4202</v>
      </c>
      <c r="S2" t="s" s="250">
        <v>4202</v>
      </c>
      <c r="T2" t="s" s="250">
        <v>4202</v>
      </c>
      <c r="U2" t="s" s="250">
        <v>4202</v>
      </c>
      <c r="V2" t="s" s="250">
        <v>4202</v>
      </c>
      <c r="W2" t="s" s="250">
        <v>4202</v>
      </c>
      <c r="X2" t="s" s="250">
        <v>4202</v>
      </c>
      <c r="Y2" t="s" s="250">
        <v>4202</v>
      </c>
      <c r="Z2" t="s" s="250">
        <v>4202</v>
      </c>
      <c r="AA2" t="s" s="250">
        <v>4202</v>
      </c>
      <c r="AB2" t="s" s="250">
        <v>4202</v>
      </c>
      <c r="AC2" t="s" s="250">
        <v>4202</v>
      </c>
      <c r="AD2" t="s" s="250">
        <v>4202</v>
      </c>
      <c r="AE2" t="s" s="250">
        <v>4202</v>
      </c>
      <c r="AF2" s="251"/>
    </row>
    <row r="3" ht="15" customHeight="1">
      <c r="A3" s="12"/>
      <c r="B3" t="s" s="2058">
        <v>4203</v>
      </c>
      <c r="C3" s="253"/>
      <c r="D3" s="254"/>
      <c r="E3" s="255"/>
      <c r="F3" s="2059">
        <v>20</v>
      </c>
      <c r="G3" s="2059">
        <v>21</v>
      </c>
      <c r="H3" s="2059">
        <v>22</v>
      </c>
      <c r="I3" s="2059">
        <v>23</v>
      </c>
      <c r="J3" s="2059">
        <v>24</v>
      </c>
      <c r="K3" s="2059">
        <v>25</v>
      </c>
      <c r="L3" s="2059">
        <v>26</v>
      </c>
      <c r="M3" s="2059">
        <v>27</v>
      </c>
      <c r="N3" s="2059">
        <v>28</v>
      </c>
      <c r="O3" s="2059">
        <v>29</v>
      </c>
      <c r="P3" s="2059">
        <v>30</v>
      </c>
      <c r="Q3" s="2059">
        <v>31</v>
      </c>
      <c r="R3" s="2059">
        <v>32</v>
      </c>
      <c r="S3" s="2059">
        <v>33</v>
      </c>
      <c r="T3" s="2059">
        <v>34</v>
      </c>
      <c r="U3" s="2059">
        <v>35</v>
      </c>
      <c r="V3" s="2059">
        <v>36</v>
      </c>
      <c r="W3" s="2059">
        <v>37</v>
      </c>
      <c r="X3" s="2059">
        <v>38</v>
      </c>
      <c r="Y3" s="2059">
        <v>39</v>
      </c>
      <c r="Z3" s="2059">
        <v>40</v>
      </c>
      <c r="AA3" s="2059">
        <v>41</v>
      </c>
      <c r="AB3" s="2059">
        <v>42</v>
      </c>
      <c r="AC3" s="2059">
        <v>43</v>
      </c>
      <c r="AD3" s="2059">
        <v>44</v>
      </c>
      <c r="AE3" s="2059">
        <v>45</v>
      </c>
      <c r="AF3" s="257"/>
    </row>
    <row r="4" ht="15" customHeight="1">
      <c r="A4" s="12"/>
      <c r="B4" t="s" s="258">
        <v>4204</v>
      </c>
      <c r="C4" s="259"/>
      <c r="D4" s="260"/>
      <c r="E4" s="261"/>
      <c r="F4" s="262"/>
      <c r="G4" s="262"/>
      <c r="H4" s="262"/>
      <c r="I4" s="262"/>
      <c r="J4" s="262"/>
      <c r="K4" s="262"/>
      <c r="L4" s="262"/>
      <c r="M4" s="262"/>
      <c r="N4" s="262"/>
      <c r="O4" s="262"/>
      <c r="P4" s="262"/>
      <c r="Q4" s="262"/>
      <c r="R4" s="262"/>
      <c r="S4" s="262"/>
      <c r="T4" s="262"/>
      <c r="U4" s="262"/>
      <c r="V4" s="262"/>
      <c r="W4" s="262"/>
      <c r="X4" s="262"/>
      <c r="Y4" s="262"/>
      <c r="Z4" s="262"/>
      <c r="AA4" s="262"/>
      <c r="AB4" s="262"/>
      <c r="AC4" s="262"/>
      <c r="AD4" s="262"/>
      <c r="AE4" s="262"/>
      <c r="AF4" s="263"/>
    </row>
    <row r="5" ht="16" customHeight="1">
      <c r="A5" s="12"/>
      <c r="B5" s="271"/>
      <c r="C5" s="272"/>
      <c r="D5" t="s" s="273">
        <v>4205</v>
      </c>
      <c r="E5" s="274" cm="1">
        <f t="array" ref="E5">50896.35*16272</f>
        <v>828185407.2</v>
      </c>
      <c r="F5" s="275">
        <v>44210000</v>
      </c>
      <c r="G5" s="275" cm="1">
        <f t="array" ref="G5">$F$5+(G3-$F$3)*1050000</f>
        <v>45260000</v>
      </c>
      <c r="H5" s="275" cm="1">
        <f t="array" ref="H5">$F$5+(H3-$F$3)*1050000</f>
        <v>46310000</v>
      </c>
      <c r="I5" s="275" cm="1">
        <f t="array" ref="I5">$F$5+(I3-$F$3)*1050000</f>
        <v>47360000</v>
      </c>
      <c r="J5" s="275" cm="1">
        <f t="array" ref="J5">$F$5+(J3-$F$3)*1050000</f>
        <v>48410000</v>
      </c>
      <c r="K5" s="275" cm="1">
        <f t="array" ref="K5">$F$5+(K3-$F$3)*1050000</f>
        <v>49460000</v>
      </c>
      <c r="L5" s="275" cm="1">
        <f t="array" ref="L5">$F$5+(L3-$F$3)*1050000</f>
        <v>50510000</v>
      </c>
      <c r="M5" s="275" cm="1">
        <f t="array" ref="M5">$F$5+(M3-$F$3)*1050000</f>
        <v>51560000</v>
      </c>
      <c r="N5" s="275" cm="1">
        <f t="array" ref="N5">$F$5+(N3-$F$3)*1050000</f>
        <v>52610000</v>
      </c>
      <c r="O5" s="275" cm="1">
        <f t="array" ref="O5">$F$5+(O3-$F$3)*1050000</f>
        <v>53660000</v>
      </c>
      <c r="P5" s="275" cm="1">
        <f t="array" ref="P5">$F$5+(P3-$F$3)*1050000</f>
        <v>54710000</v>
      </c>
      <c r="Q5" s="275" cm="1">
        <f t="array" ref="Q5">$F$5+(Q3-$F$3)*1050000</f>
        <v>55760000</v>
      </c>
      <c r="R5" s="275" cm="1">
        <f t="array" ref="R5">$F$5+(R3-$F$3)*1050000</f>
        <v>56810000</v>
      </c>
      <c r="S5" s="275" cm="1">
        <f t="array" ref="S5">$F$5+(S3-$F$3)*1050000</f>
        <v>57860000</v>
      </c>
      <c r="T5" s="275" cm="1">
        <f t="array" ref="T5">$F$5+(T3-$F$3)*1050000</f>
        <v>58910000</v>
      </c>
      <c r="U5" s="275" cm="1">
        <f t="array" ref="U5">$F$5+(U3-$F$3)*1050000</f>
        <v>59960000</v>
      </c>
      <c r="V5" s="275" cm="1">
        <f t="array" ref="V5">$F$5+(V3-$F$3)*1050000</f>
        <v>61010000</v>
      </c>
      <c r="W5" s="275" cm="1">
        <f t="array" ref="W5">$F$5+(W3-$F$3)*1050000</f>
        <v>62060000</v>
      </c>
      <c r="X5" s="275" cm="1">
        <f t="array" ref="X5">$F$5+(X3-$F$3)*1050000</f>
        <v>63110000</v>
      </c>
      <c r="Y5" s="275" cm="1">
        <f t="array" ref="Y5">$F$5+(Y3-$F$3)*1050000</f>
        <v>64160000</v>
      </c>
      <c r="Z5" s="275" cm="1">
        <f t="array" ref="Z5">$F$5+(Z3-$F$3)*1050000</f>
        <v>65210000</v>
      </c>
      <c r="AA5" s="275" cm="1">
        <f t="array" ref="AA5">$F$5+(AA3-$F$3)*1050000</f>
        <v>66260000</v>
      </c>
      <c r="AB5" s="275" cm="1">
        <f t="array" ref="AB5">$F$5+(AB3-$F$3)*1050000</f>
        <v>67310000</v>
      </c>
      <c r="AC5" s="275" cm="1">
        <f t="array" ref="AC5">$F$5+(AC3-$F$3)*1050000</f>
        <v>68360000</v>
      </c>
      <c r="AD5" s="275" cm="1">
        <f t="array" ref="AD5">$F$5+(AD3-$F$3)*1050000</f>
        <v>69410000</v>
      </c>
      <c r="AE5" s="275" cm="1">
        <f t="array" ref="AE5">$F$5+(AE3-$F$3)*1050000</f>
        <v>70460000</v>
      </c>
      <c r="AF5" s="276"/>
    </row>
    <row r="6" ht="16" customHeight="1">
      <c r="A6" s="12"/>
      <c r="B6" s="271"/>
      <c r="C6" s="272"/>
      <c r="D6" t="s" s="273">
        <v>4206</v>
      </c>
      <c r="E6" s="274" cm="1">
        <f t="array" ref="E6">50896.35*16272</f>
        <v>828185407.2</v>
      </c>
      <c r="F6" s="275" cm="1">
        <f t="array" ref="F6">F5+F3*250000</f>
        <v>49210000</v>
      </c>
      <c r="G6" s="275" cm="1">
        <f t="array" ref="G6">G5+G3*250000</f>
        <v>50510000</v>
      </c>
      <c r="H6" s="275" cm="1">
        <f t="array" ref="H6">H5+H3*250000</f>
        <v>51810000</v>
      </c>
      <c r="I6" s="275" cm="1">
        <f t="array" ref="I6">I5+I3*250000</f>
        <v>53110000</v>
      </c>
      <c r="J6" s="275" cm="1">
        <f t="array" ref="J6">J5+J3*250000</f>
        <v>54410000</v>
      </c>
      <c r="K6" s="275" cm="1">
        <f t="array" ref="K6">K5+K3*250000</f>
        <v>55710000</v>
      </c>
      <c r="L6" s="275" cm="1">
        <f t="array" ref="L6">L5+L3*250000</f>
        <v>57010000</v>
      </c>
      <c r="M6" s="275" cm="1">
        <f t="array" ref="M6">M5+M3*250000</f>
        <v>58310000</v>
      </c>
      <c r="N6" s="275" cm="1">
        <f t="array" ref="N6">N5+N3*250000</f>
        <v>59610000</v>
      </c>
      <c r="O6" s="275" cm="1">
        <f t="array" ref="O6">O5+O3*250000</f>
        <v>60910000</v>
      </c>
      <c r="P6" s="275" cm="1">
        <f t="array" ref="P6">P5+P3*250000</f>
        <v>62210000</v>
      </c>
      <c r="Q6" s="275" cm="1">
        <f t="array" ref="Q6">Q5+Q3*250000</f>
        <v>63510000</v>
      </c>
      <c r="R6" s="275" cm="1">
        <f t="array" ref="R6">R5+R3*250000</f>
        <v>64810000</v>
      </c>
      <c r="S6" s="275" cm="1">
        <f t="array" ref="S6">S5+S3*250000</f>
        <v>66110000</v>
      </c>
      <c r="T6" s="275" cm="1">
        <f t="array" ref="T6">T5+T3*250000</f>
        <v>67410000</v>
      </c>
      <c r="U6" s="275" cm="1">
        <f t="array" ref="U6">U5+U3*250000</f>
        <v>68710000</v>
      </c>
      <c r="V6" s="275" cm="1">
        <f t="array" ref="V6">V5+V3*250000</f>
        <v>70010000</v>
      </c>
      <c r="W6" s="275" cm="1">
        <f t="array" ref="W6">W5+W3*250000</f>
        <v>71310000</v>
      </c>
      <c r="X6" s="275" cm="1">
        <f t="array" ref="X6">X5+X3*250000</f>
        <v>72610000</v>
      </c>
      <c r="Y6" s="275" cm="1">
        <f t="array" ref="Y6">Y5+Y3*250000</f>
        <v>73910000</v>
      </c>
      <c r="Z6" s="275" cm="1">
        <f t="array" ref="Z6">Z5+Z3*250000</f>
        <v>75210000</v>
      </c>
      <c r="AA6" s="275" cm="1">
        <f t="array" ref="AA6">AA5+AA3*250000</f>
        <v>76510000</v>
      </c>
      <c r="AB6" s="275" cm="1">
        <f t="array" ref="AB6">AB5+AB3*250000</f>
        <v>77810000</v>
      </c>
      <c r="AC6" s="275" cm="1">
        <f t="array" ref="AC6">AC5+AC3*250000</f>
        <v>79110000</v>
      </c>
      <c r="AD6" s="275" cm="1">
        <f t="array" ref="AD6">AD5+AD3*250000</f>
        <v>80410000</v>
      </c>
      <c r="AE6" s="275" cm="1">
        <f t="array" ref="AE6">AE5+AE3*250000</f>
        <v>81710000</v>
      </c>
      <c r="AF6" s="278"/>
    </row>
    <row r="7" ht="16" customHeight="1">
      <c r="A7" s="12"/>
      <c r="B7" s="271"/>
      <c r="C7" s="272"/>
      <c r="D7" t="s" s="273">
        <v>4207</v>
      </c>
      <c r="E7" s="274" cm="1">
        <f t="array" ref="E7">50896.35*16272</f>
        <v>828185407.2</v>
      </c>
      <c r="F7" s="275" cm="1">
        <f t="array" ref="F7">F5+F3*350000</f>
        <v>51210000</v>
      </c>
      <c r="G7" s="275" cm="1">
        <f t="array" ref="G7">G5+G3*350000</f>
        <v>52610000</v>
      </c>
      <c r="H7" s="275" cm="1">
        <f t="array" ref="H7">H5+H3*350000</f>
        <v>54010000</v>
      </c>
      <c r="I7" s="275" cm="1">
        <f t="array" ref="I7">I5+I3*350000</f>
        <v>55410000</v>
      </c>
      <c r="J7" s="275" cm="1">
        <f t="array" ref="J7">J5+J3*350000</f>
        <v>56810000</v>
      </c>
      <c r="K7" s="275" cm="1">
        <f t="array" ref="K7">K5+K3*350000</f>
        <v>58210000</v>
      </c>
      <c r="L7" s="275" cm="1">
        <f t="array" ref="L7">L5+L3*350000</f>
        <v>59610000</v>
      </c>
      <c r="M7" s="275" cm="1">
        <f t="array" ref="M7">M5+M3*350000</f>
        <v>61010000</v>
      </c>
      <c r="N7" s="275" cm="1">
        <f t="array" ref="N7">N5+N3*350000</f>
        <v>62410000</v>
      </c>
      <c r="O7" s="275" cm="1">
        <f t="array" ref="O7">O5+O3*350000</f>
        <v>63810000</v>
      </c>
      <c r="P7" s="275" cm="1">
        <f t="array" ref="P7">P5+P3*350000</f>
        <v>65210000</v>
      </c>
      <c r="Q7" s="275" cm="1">
        <f t="array" ref="Q7">Q5+Q3*350000</f>
        <v>66610000</v>
      </c>
      <c r="R7" s="275" cm="1">
        <f t="array" ref="R7">R5+R3*350000</f>
        <v>68010000</v>
      </c>
      <c r="S7" s="275" cm="1">
        <f t="array" ref="S7">S5+S3*350000</f>
        <v>69410000</v>
      </c>
      <c r="T7" s="275" cm="1">
        <f t="array" ref="T7">T5+T3*350000</f>
        <v>70810000</v>
      </c>
      <c r="U7" s="275" cm="1">
        <f t="array" ref="U7">U5+U3*350000</f>
        <v>72210000</v>
      </c>
      <c r="V7" s="275" cm="1">
        <f t="array" ref="V7">V5+V3*350000</f>
        <v>73610000</v>
      </c>
      <c r="W7" s="275" cm="1">
        <f t="array" ref="W7">W5+W3*350000</f>
        <v>75010000</v>
      </c>
      <c r="X7" s="275" cm="1">
        <f t="array" ref="X7">X5+X3*350000</f>
        <v>76410000</v>
      </c>
      <c r="Y7" s="275" cm="1">
        <f t="array" ref="Y7">Y5+Y3*350000</f>
        <v>77810000</v>
      </c>
      <c r="Z7" s="275" cm="1">
        <f t="array" ref="Z7">Z5+Z3*350000</f>
        <v>79210000</v>
      </c>
      <c r="AA7" s="275" cm="1">
        <f t="array" ref="AA7">AA5+AA3*350000</f>
        <v>80610000</v>
      </c>
      <c r="AB7" s="275" cm="1">
        <f t="array" ref="AB7">AB5+AB3*350000</f>
        <v>82010000</v>
      </c>
      <c r="AC7" s="275" cm="1">
        <f t="array" ref="AC7">AC5+AC3*350000</f>
        <v>83410000</v>
      </c>
      <c r="AD7" s="275" cm="1">
        <f t="array" ref="AD7">AD5+AD3*350000</f>
        <v>84810000</v>
      </c>
      <c r="AE7" s="275" cm="1">
        <f t="array" ref="AE7">AE5+AE3*350000</f>
        <v>86210000</v>
      </c>
      <c r="AF7" s="276"/>
    </row>
    <row r="8" ht="15" customHeight="1">
      <c r="A8" s="12"/>
      <c r="B8" s="307"/>
      <c r="C8" s="308"/>
      <c r="D8" s="309"/>
      <c r="E8" s="310" cm="1">
        <f t="array" ref="E8">50896.35*16272</f>
        <v>828185407.2</v>
      </c>
      <c r="F8" s="311"/>
      <c r="G8" s="311"/>
      <c r="H8" s="311"/>
      <c r="I8" s="311"/>
      <c r="J8" s="311"/>
      <c r="K8" s="311"/>
      <c r="L8" s="311"/>
      <c r="M8" s="311"/>
      <c r="N8" s="311"/>
      <c r="O8" s="311"/>
      <c r="P8" s="311"/>
      <c r="Q8" s="311"/>
      <c r="R8" s="311"/>
      <c r="S8" s="311"/>
      <c r="T8" s="311"/>
      <c r="U8" s="311"/>
      <c r="V8" s="311"/>
      <c r="W8" s="311"/>
      <c r="X8" s="311"/>
      <c r="Y8" s="311"/>
      <c r="Z8" s="311"/>
      <c r="AA8" s="311"/>
      <c r="AB8" s="311"/>
      <c r="AC8" s="311"/>
      <c r="AD8" s="311"/>
      <c r="AE8" s="311"/>
      <c r="AF8" s="312"/>
    </row>
    <row r="9" ht="15.5" customHeight="1">
      <c r="A9" s="32"/>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806"/>
    </row>
    <row r="10" ht="15.5" customHeight="1">
      <c r="A10" s="12"/>
      <c r="B10" s="247"/>
      <c r="C10" s="248"/>
      <c r="D10" s="248"/>
      <c r="E10" s="249"/>
      <c r="F10" t="s" s="250">
        <v>4202</v>
      </c>
      <c r="G10" t="s" s="250">
        <v>4202</v>
      </c>
      <c r="H10" t="s" s="250">
        <v>4202</v>
      </c>
      <c r="I10" t="s" s="250">
        <v>4202</v>
      </c>
      <c r="J10" t="s" s="250">
        <v>4202</v>
      </c>
      <c r="K10" t="s" s="250">
        <v>4202</v>
      </c>
      <c r="L10" t="s" s="250">
        <v>4202</v>
      </c>
      <c r="M10" t="s" s="250">
        <v>4202</v>
      </c>
      <c r="N10" t="s" s="250">
        <v>4202</v>
      </c>
      <c r="O10" t="s" s="250">
        <v>4202</v>
      </c>
      <c r="P10" t="s" s="250">
        <v>4202</v>
      </c>
      <c r="Q10" t="s" s="250">
        <v>4202</v>
      </c>
      <c r="R10" t="s" s="250">
        <v>4202</v>
      </c>
      <c r="S10" t="s" s="250">
        <v>4202</v>
      </c>
      <c r="T10" t="s" s="250">
        <v>4202</v>
      </c>
      <c r="U10" t="s" s="250">
        <v>4202</v>
      </c>
      <c r="V10" t="s" s="250">
        <v>4202</v>
      </c>
      <c r="W10" t="s" s="250">
        <v>4202</v>
      </c>
      <c r="X10" t="s" s="250">
        <v>4202</v>
      </c>
      <c r="Y10" t="s" s="250">
        <v>4202</v>
      </c>
      <c r="Z10" t="s" s="250">
        <v>4202</v>
      </c>
      <c r="AA10" t="s" s="250">
        <v>4202</v>
      </c>
      <c r="AB10" t="s" s="250">
        <v>4202</v>
      </c>
      <c r="AC10" t="s" s="250">
        <v>4202</v>
      </c>
      <c r="AD10" t="s" s="250">
        <v>4202</v>
      </c>
      <c r="AE10" t="s" s="250">
        <v>4202</v>
      </c>
      <c r="AF10" s="251"/>
    </row>
    <row r="11" ht="15" customHeight="1">
      <c r="A11" s="12"/>
      <c r="B11" t="s" s="2058">
        <v>4208</v>
      </c>
      <c r="C11" s="253"/>
      <c r="D11" s="254"/>
      <c r="E11" s="255"/>
      <c r="F11" s="2059">
        <v>20</v>
      </c>
      <c r="G11" s="2059">
        <v>21</v>
      </c>
      <c r="H11" s="2059">
        <v>22</v>
      </c>
      <c r="I11" s="2059">
        <v>23</v>
      </c>
      <c r="J11" s="2059">
        <v>24</v>
      </c>
      <c r="K11" s="2059">
        <v>25</v>
      </c>
      <c r="L11" s="2059">
        <v>26</v>
      </c>
      <c r="M11" s="2059">
        <v>27</v>
      </c>
      <c r="N11" s="2059">
        <v>28</v>
      </c>
      <c r="O11" s="2059">
        <v>29</v>
      </c>
      <c r="P11" s="2059">
        <v>30</v>
      </c>
      <c r="Q11" s="2059">
        <v>31</v>
      </c>
      <c r="R11" s="2059">
        <v>32</v>
      </c>
      <c r="S11" s="2059">
        <v>33</v>
      </c>
      <c r="T11" s="2059">
        <v>34</v>
      </c>
      <c r="U11" s="2059">
        <v>35</v>
      </c>
      <c r="V11" s="2059">
        <v>36</v>
      </c>
      <c r="W11" s="2059">
        <v>37</v>
      </c>
      <c r="X11" s="2059">
        <v>38</v>
      </c>
      <c r="Y11" s="2059">
        <v>39</v>
      </c>
      <c r="Z11" s="2059">
        <v>40</v>
      </c>
      <c r="AA11" s="2059">
        <v>41</v>
      </c>
      <c r="AB11" s="2059">
        <v>42</v>
      </c>
      <c r="AC11" s="2059">
        <v>43</v>
      </c>
      <c r="AD11" s="2059">
        <v>44</v>
      </c>
      <c r="AE11" s="2059">
        <v>45</v>
      </c>
      <c r="AF11" s="257"/>
    </row>
    <row r="12" ht="15" customHeight="1">
      <c r="A12" s="12"/>
      <c r="B12" t="s" s="258">
        <v>4204</v>
      </c>
      <c r="C12" s="259"/>
      <c r="D12" s="260"/>
      <c r="E12" s="261"/>
      <c r="F12" s="262"/>
      <c r="G12" s="262"/>
      <c r="H12" s="262"/>
      <c r="I12" s="262"/>
      <c r="J12" s="262"/>
      <c r="K12" s="262"/>
      <c r="L12" s="262"/>
      <c r="M12" s="262"/>
      <c r="N12" s="262"/>
      <c r="O12" s="262"/>
      <c r="P12" s="262"/>
      <c r="Q12" s="262"/>
      <c r="R12" s="262"/>
      <c r="S12" s="262"/>
      <c r="T12" s="262"/>
      <c r="U12" s="262"/>
      <c r="V12" s="262"/>
      <c r="W12" s="262"/>
      <c r="X12" s="262"/>
      <c r="Y12" s="262"/>
      <c r="Z12" s="262"/>
      <c r="AA12" s="262"/>
      <c r="AB12" s="262"/>
      <c r="AC12" s="262"/>
      <c r="AD12" s="262"/>
      <c r="AE12" s="262"/>
      <c r="AF12" s="263"/>
    </row>
    <row r="13" ht="16" customHeight="1">
      <c r="A13" s="12"/>
      <c r="B13" s="271"/>
      <c r="C13" s="272"/>
      <c r="D13" t="s" s="273">
        <v>4205</v>
      </c>
      <c r="E13" s="274" cm="1">
        <f t="array" ref="E13">50896.35*16272</f>
        <v>828185407.2</v>
      </c>
      <c r="F13" s="275">
        <v>42439000</v>
      </c>
      <c r="G13" s="275" cm="1">
        <f t="array" ref="G13">$F$13+(G11-$F$11)*1050000</f>
        <v>43489000</v>
      </c>
      <c r="H13" s="275" cm="1">
        <f t="array" ref="H13">$F$13+(H11-$F$11)*1050000</f>
        <v>44539000</v>
      </c>
      <c r="I13" s="275" cm="1">
        <f t="array" ref="I13">$F$13+(I11-$F$11)*1050000</f>
        <v>45589000</v>
      </c>
      <c r="J13" s="275" cm="1">
        <f t="array" ref="J13">$F$13+(J11-$F$11)*1050000</f>
        <v>46639000</v>
      </c>
      <c r="K13" s="275" cm="1">
        <f t="array" ref="K13">$F$13+(K11-$F$11)*1050000</f>
        <v>47689000</v>
      </c>
      <c r="L13" s="275" cm="1">
        <f t="array" ref="L13">$F$13+(L11-$F$11)*1050000</f>
        <v>48739000</v>
      </c>
      <c r="M13" s="275" cm="1">
        <f t="array" ref="M13">$F$13+(M11-$F$11)*1050000</f>
        <v>49789000</v>
      </c>
      <c r="N13" s="275" cm="1">
        <f t="array" ref="N13">$F$13+(N11-$F$11)*1050000</f>
        <v>50839000</v>
      </c>
      <c r="O13" s="275" cm="1">
        <f t="array" ref="O13">$F$13+(O11-$F$11)*1050000</f>
        <v>51889000</v>
      </c>
      <c r="P13" s="275" cm="1">
        <f t="array" ref="P13">$F$13+(P11-$F$11)*1050000</f>
        <v>52939000</v>
      </c>
      <c r="Q13" s="275" cm="1">
        <f t="array" ref="Q13">$F$13+(Q11-$F$11)*1050000</f>
        <v>53989000</v>
      </c>
      <c r="R13" s="275" cm="1">
        <f t="array" ref="R13">$F$13+(R11-$F$11)*1050000</f>
        <v>55039000</v>
      </c>
      <c r="S13" s="275" cm="1">
        <f t="array" ref="S13">$F$13+(S11-$F$11)*1050000</f>
        <v>56089000</v>
      </c>
      <c r="T13" s="275" cm="1">
        <f t="array" ref="T13">$F$13+(T11-$F$11)*1050000</f>
        <v>57139000</v>
      </c>
      <c r="U13" s="275" cm="1">
        <f t="array" ref="U13">$F$13+(U11-$F$11)*1050000</f>
        <v>58189000</v>
      </c>
      <c r="V13" s="275" cm="1">
        <f t="array" ref="V13">$F$13+(V11-$F$11)*1050000</f>
        <v>59239000</v>
      </c>
      <c r="W13" s="275" cm="1">
        <f t="array" ref="W13">$F$13+(W11-$F$11)*1050000</f>
        <v>60289000</v>
      </c>
      <c r="X13" s="275" cm="1">
        <f t="array" ref="X13">$F$13+(X11-$F$11)*1050000</f>
        <v>61339000</v>
      </c>
      <c r="Y13" s="275" cm="1">
        <f t="array" ref="Y13">$F$13+(Y11-$F$11)*1050000</f>
        <v>62389000</v>
      </c>
      <c r="Z13" s="275" cm="1">
        <f t="array" ref="Z13">$F$13+(Z11-$F$11)*1050000</f>
        <v>63439000</v>
      </c>
      <c r="AA13" s="275" cm="1">
        <f t="array" ref="AA13">$F$13+(AA11-$F$11)*1050000</f>
        <v>64489000</v>
      </c>
      <c r="AB13" s="275" cm="1">
        <f t="array" ref="AB13">$F$13+(AB11-$F$11)*1050000</f>
        <v>65539000</v>
      </c>
      <c r="AC13" s="275" cm="1">
        <f t="array" ref="AC13">$F$13+(AC11-$F$11)*1050000</f>
        <v>66589000</v>
      </c>
      <c r="AD13" s="275" cm="1">
        <f t="array" ref="AD13">$F$13+(AD11-$F$11)*1050000</f>
        <v>67639000</v>
      </c>
      <c r="AE13" s="275" cm="1">
        <f t="array" ref="AE13">$F$13+(AE11-$F$11)*1050000</f>
        <v>68689000</v>
      </c>
      <c r="AF13" s="276"/>
    </row>
    <row r="14" ht="16" customHeight="1">
      <c r="A14" s="12"/>
      <c r="B14" s="271"/>
      <c r="C14" s="272"/>
      <c r="D14" t="s" s="273">
        <v>4206</v>
      </c>
      <c r="E14" s="274" cm="1">
        <f t="array" ref="E14">50896.35*16272</f>
        <v>828185407.2</v>
      </c>
      <c r="F14" s="275" cm="1">
        <f t="array" ref="F14">F13+F11*250000</f>
        <v>47439000</v>
      </c>
      <c r="G14" s="275" cm="1">
        <f t="array" ref="G14">G13+G11*250000</f>
        <v>48739000</v>
      </c>
      <c r="H14" s="275" cm="1">
        <f t="array" ref="H14">H13+H11*250000</f>
        <v>50039000</v>
      </c>
      <c r="I14" s="275" cm="1">
        <f t="array" ref="I14">I13+I11*250000</f>
        <v>51339000</v>
      </c>
      <c r="J14" s="275" cm="1">
        <f t="array" ref="J14">J13+J11*250000</f>
        <v>52639000</v>
      </c>
      <c r="K14" s="275" cm="1">
        <f t="array" ref="K14">K13+K11*250000</f>
        <v>53939000</v>
      </c>
      <c r="L14" s="275" cm="1">
        <f t="array" ref="L14">L13+L11*250000</f>
        <v>55239000</v>
      </c>
      <c r="M14" s="275" cm="1">
        <f t="array" ref="M14">M13+M11*250000</f>
        <v>56539000</v>
      </c>
      <c r="N14" s="275" cm="1">
        <f t="array" ref="N14">N13+N11*250000</f>
        <v>57839000</v>
      </c>
      <c r="O14" s="275" cm="1">
        <f t="array" ref="O14">O13+O11*250000</f>
        <v>59139000</v>
      </c>
      <c r="P14" s="275" cm="1">
        <f t="array" ref="P14">P13+P11*250000</f>
        <v>60439000</v>
      </c>
      <c r="Q14" s="275" cm="1">
        <f t="array" ref="Q14">Q13+Q11*250000</f>
        <v>61739000</v>
      </c>
      <c r="R14" s="275" cm="1">
        <f t="array" ref="R14">R13+R11*250000</f>
        <v>63039000</v>
      </c>
      <c r="S14" s="275" cm="1">
        <f t="array" ref="S14">S13+S11*250000</f>
        <v>64339000</v>
      </c>
      <c r="T14" s="275" cm="1">
        <f t="array" ref="T14">T13+T11*250000</f>
        <v>65639000</v>
      </c>
      <c r="U14" s="275" cm="1">
        <f t="array" ref="U14">U13+U11*250000</f>
        <v>66939000</v>
      </c>
      <c r="V14" s="275" cm="1">
        <f t="array" ref="V14">V13+V11*250000</f>
        <v>68239000</v>
      </c>
      <c r="W14" s="275" cm="1">
        <f t="array" ref="W14">W13+W11*250000</f>
        <v>69539000</v>
      </c>
      <c r="X14" s="275" cm="1">
        <f t="array" ref="X14">X13+X11*250000</f>
        <v>70839000</v>
      </c>
      <c r="Y14" s="275" cm="1">
        <f t="array" ref="Y14">Y13+Y11*250000</f>
        <v>72139000</v>
      </c>
      <c r="Z14" s="275" cm="1">
        <f t="array" ref="Z14">Z13+Z11*250000</f>
        <v>73439000</v>
      </c>
      <c r="AA14" s="275" cm="1">
        <f t="array" ref="AA14">AA13+AA11*250000</f>
        <v>74739000</v>
      </c>
      <c r="AB14" s="275" cm="1">
        <f t="array" ref="AB14">AB13+AB11*250000</f>
        <v>76039000</v>
      </c>
      <c r="AC14" s="275" cm="1">
        <f t="array" ref="AC14">AC13+AC11*250000</f>
        <v>77339000</v>
      </c>
      <c r="AD14" s="275" cm="1">
        <f t="array" ref="AD14">AD13+AD11*250000</f>
        <v>78639000</v>
      </c>
      <c r="AE14" s="275" cm="1">
        <f t="array" ref="AE14">AE13+AE11*250000</f>
        <v>79939000</v>
      </c>
      <c r="AF14" s="278"/>
    </row>
    <row r="15" ht="16" customHeight="1">
      <c r="A15" s="12"/>
      <c r="B15" s="271"/>
      <c r="C15" s="272"/>
      <c r="D15" t="s" s="273">
        <v>4207</v>
      </c>
      <c r="E15" s="274" cm="1">
        <f t="array" ref="E15">50896.35*16272</f>
        <v>828185407.2</v>
      </c>
      <c r="F15" s="275" cm="1">
        <f t="array" ref="F15">F13+F11*350000</f>
        <v>49439000</v>
      </c>
      <c r="G15" s="275" cm="1">
        <f t="array" ref="G15">G13+G11*350000</f>
        <v>50839000</v>
      </c>
      <c r="H15" s="275" cm="1">
        <f t="array" ref="H15">H13+H11*350000</f>
        <v>52239000</v>
      </c>
      <c r="I15" s="275" cm="1">
        <f t="array" ref="I15">I13+I11*350000</f>
        <v>53639000</v>
      </c>
      <c r="J15" s="275" cm="1">
        <f t="array" ref="J15">J13+J11*350000</f>
        <v>55039000</v>
      </c>
      <c r="K15" s="275" cm="1">
        <f t="array" ref="K15">K13+K11*350000</f>
        <v>56439000</v>
      </c>
      <c r="L15" s="275" cm="1">
        <f t="array" ref="L15">L13+L11*350000</f>
        <v>57839000</v>
      </c>
      <c r="M15" s="275" cm="1">
        <f t="array" ref="M15">M13+M11*350000</f>
        <v>59239000</v>
      </c>
      <c r="N15" s="275" cm="1">
        <f t="array" ref="N15">N13+N11*350000</f>
        <v>60639000</v>
      </c>
      <c r="O15" s="275" cm="1">
        <f t="array" ref="O15">O13+O11*350000</f>
        <v>62039000</v>
      </c>
      <c r="P15" s="275" cm="1">
        <f t="array" ref="P15">P13+P11*350000</f>
        <v>63439000</v>
      </c>
      <c r="Q15" s="275" cm="1">
        <f t="array" ref="Q15">Q13+Q11*350000</f>
        <v>64839000</v>
      </c>
      <c r="R15" s="275" cm="1">
        <f t="array" ref="R15">R13+R11*350000</f>
        <v>66239000</v>
      </c>
      <c r="S15" s="275" cm="1">
        <f t="array" ref="S15">S13+S11*350000</f>
        <v>67639000</v>
      </c>
      <c r="T15" s="275" cm="1">
        <f t="array" ref="T15">T13+T11*350000</f>
        <v>69039000</v>
      </c>
      <c r="U15" s="275" cm="1">
        <f t="array" ref="U15">U13+U11*350000</f>
        <v>70439000</v>
      </c>
      <c r="V15" s="275" cm="1">
        <f t="array" ref="V15">V13+V11*350000</f>
        <v>71839000</v>
      </c>
      <c r="W15" s="275" cm="1">
        <f t="array" ref="W15">W13+W11*350000</f>
        <v>73239000</v>
      </c>
      <c r="X15" s="275" cm="1">
        <f t="array" ref="X15">X13+X11*350000</f>
        <v>74639000</v>
      </c>
      <c r="Y15" s="275" cm="1">
        <f t="array" ref="Y15">Y13+Y11*350000</f>
        <v>76039000</v>
      </c>
      <c r="Z15" s="275" cm="1">
        <f t="array" ref="Z15">Z13+Z11*350000</f>
        <v>77439000</v>
      </c>
      <c r="AA15" s="275" cm="1">
        <f t="array" ref="AA15">AA13+AA11*350000</f>
        <v>78839000</v>
      </c>
      <c r="AB15" s="275" cm="1">
        <f t="array" ref="AB15">AB13+AB11*350000</f>
        <v>80239000</v>
      </c>
      <c r="AC15" s="275" cm="1">
        <f t="array" ref="AC15">AC13+AC11*350000</f>
        <v>81639000</v>
      </c>
      <c r="AD15" s="275" cm="1">
        <f t="array" ref="AD15">AD13+AD11*350000</f>
        <v>83039000</v>
      </c>
      <c r="AE15" s="275" cm="1">
        <f t="array" ref="AE15">AE13+AE11*350000</f>
        <v>84439000</v>
      </c>
      <c r="AF15" s="276"/>
    </row>
    <row r="16" ht="15" customHeight="1">
      <c r="A16" s="12"/>
      <c r="B16" s="307"/>
      <c r="C16" s="308"/>
      <c r="D16" s="309"/>
      <c r="E16" s="309" cm="1">
        <f t="array" ref="E16">50896.35*16272</f>
        <v>828185407.2</v>
      </c>
      <c r="F16" s="309"/>
      <c r="G16" s="309"/>
      <c r="H16" s="309"/>
      <c r="I16" s="309"/>
      <c r="J16" s="310"/>
      <c r="K16" s="311"/>
      <c r="L16" s="311"/>
      <c r="M16" s="311"/>
      <c r="N16" s="311"/>
      <c r="O16" s="311"/>
      <c r="P16" s="311"/>
      <c r="Q16" s="311"/>
      <c r="R16" s="311"/>
      <c r="S16" s="311"/>
      <c r="T16" s="311"/>
      <c r="U16" s="311"/>
      <c r="V16" s="311"/>
      <c r="W16" s="311"/>
      <c r="X16" s="311"/>
      <c r="Y16" s="311"/>
      <c r="Z16" s="311"/>
      <c r="AA16" s="311"/>
      <c r="AB16" s="311"/>
      <c r="AC16" s="311"/>
      <c r="AD16" s="311"/>
      <c r="AE16" s="311"/>
      <c r="AF16" s="312"/>
    </row>
    <row r="17" ht="15.5" customHeight="1">
      <c r="A17" s="32"/>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806"/>
    </row>
    <row r="18" ht="15.5" customHeight="1">
      <c r="A18" s="12"/>
      <c r="B18" s="247"/>
      <c r="C18" s="248"/>
      <c r="D18" s="248"/>
      <c r="E18" s="249"/>
      <c r="F18" t="s" s="250">
        <v>4202</v>
      </c>
      <c r="G18" t="s" s="250">
        <v>4202</v>
      </c>
      <c r="H18" t="s" s="250">
        <v>4202</v>
      </c>
      <c r="I18" t="s" s="250">
        <v>4202</v>
      </c>
      <c r="J18" t="s" s="250">
        <v>4202</v>
      </c>
      <c r="K18" t="s" s="250">
        <v>4202</v>
      </c>
      <c r="L18" t="s" s="250">
        <v>4202</v>
      </c>
      <c r="M18" t="s" s="250">
        <v>4202</v>
      </c>
      <c r="N18" t="s" s="250">
        <v>4202</v>
      </c>
      <c r="O18" t="s" s="250">
        <v>4202</v>
      </c>
      <c r="P18" t="s" s="250">
        <v>4202</v>
      </c>
      <c r="Q18" t="s" s="250">
        <v>4202</v>
      </c>
      <c r="R18" t="s" s="250">
        <v>4202</v>
      </c>
      <c r="S18" t="s" s="250">
        <v>4202</v>
      </c>
      <c r="T18" t="s" s="250">
        <v>4202</v>
      </c>
      <c r="U18" t="s" s="250">
        <v>4202</v>
      </c>
      <c r="V18" t="s" s="250">
        <v>4202</v>
      </c>
      <c r="W18" t="s" s="250">
        <v>4202</v>
      </c>
      <c r="X18" t="s" s="250">
        <v>4202</v>
      </c>
      <c r="Y18" t="s" s="250">
        <v>4202</v>
      </c>
      <c r="Z18" t="s" s="250">
        <v>4202</v>
      </c>
      <c r="AA18" t="s" s="250">
        <v>4202</v>
      </c>
      <c r="AB18" t="s" s="250">
        <v>4202</v>
      </c>
      <c r="AC18" t="s" s="250">
        <v>4202</v>
      </c>
      <c r="AD18" t="s" s="250">
        <v>4202</v>
      </c>
      <c r="AE18" t="s" s="250">
        <v>4202</v>
      </c>
      <c r="AF18" s="251"/>
    </row>
    <row r="19" ht="15" customHeight="1">
      <c r="A19" s="12"/>
      <c r="B19" t="s" s="2058">
        <v>4203</v>
      </c>
      <c r="C19" s="253"/>
      <c r="D19" s="254"/>
      <c r="E19" s="255"/>
      <c r="F19" s="2059">
        <v>20</v>
      </c>
      <c r="G19" s="2059">
        <v>21</v>
      </c>
      <c r="H19" s="2059">
        <v>22</v>
      </c>
      <c r="I19" s="2059">
        <v>23</v>
      </c>
      <c r="J19" s="2059">
        <v>24</v>
      </c>
      <c r="K19" s="2059">
        <v>25</v>
      </c>
      <c r="L19" s="2059">
        <v>26</v>
      </c>
      <c r="M19" s="2059">
        <v>27</v>
      </c>
      <c r="N19" s="2059">
        <v>28</v>
      </c>
      <c r="O19" s="2059">
        <v>29</v>
      </c>
      <c r="P19" s="2059">
        <v>30</v>
      </c>
      <c r="Q19" s="2059">
        <v>31</v>
      </c>
      <c r="R19" s="2059">
        <v>32</v>
      </c>
      <c r="S19" s="2059">
        <v>33</v>
      </c>
      <c r="T19" s="2059">
        <v>34</v>
      </c>
      <c r="U19" s="2059">
        <v>35</v>
      </c>
      <c r="V19" s="2059">
        <v>36</v>
      </c>
      <c r="W19" s="2059">
        <v>37</v>
      </c>
      <c r="X19" s="2059">
        <v>38</v>
      </c>
      <c r="Y19" s="2059">
        <v>39</v>
      </c>
      <c r="Z19" s="2059">
        <v>40</v>
      </c>
      <c r="AA19" s="2059">
        <v>41</v>
      </c>
      <c r="AB19" s="2059">
        <v>42</v>
      </c>
      <c r="AC19" s="2059">
        <v>43</v>
      </c>
      <c r="AD19" s="2059">
        <v>44</v>
      </c>
      <c r="AE19" s="2059">
        <v>45</v>
      </c>
      <c r="AF19" s="257"/>
    </row>
    <row r="20" ht="15" customHeight="1">
      <c r="A20" s="12"/>
      <c r="B20" t="s" s="258">
        <v>4209</v>
      </c>
      <c r="C20" s="259"/>
      <c r="D20" s="260"/>
      <c r="E20" s="261"/>
      <c r="F20" s="262"/>
      <c r="G20" s="262"/>
      <c r="H20" s="262"/>
      <c r="I20" s="262"/>
      <c r="J20" s="262"/>
      <c r="K20" s="262"/>
      <c r="L20" s="262"/>
      <c r="M20" s="262"/>
      <c r="N20" s="262"/>
      <c r="O20" s="262"/>
      <c r="P20" s="262"/>
      <c r="Q20" s="262"/>
      <c r="R20" s="262"/>
      <c r="S20" s="262"/>
      <c r="T20" s="262"/>
      <c r="U20" s="262"/>
      <c r="V20" s="262"/>
      <c r="W20" s="262"/>
      <c r="X20" s="262"/>
      <c r="Y20" s="262"/>
      <c r="Z20" s="262"/>
      <c r="AA20" s="262"/>
      <c r="AB20" s="262"/>
      <c r="AC20" s="262"/>
      <c r="AD20" s="262"/>
      <c r="AE20" s="262"/>
      <c r="AF20" s="263"/>
    </row>
    <row r="21" ht="16" customHeight="1">
      <c r="A21" s="12"/>
      <c r="B21" s="271"/>
      <c r="C21" s="272"/>
      <c r="D21" t="s" s="273">
        <v>4205</v>
      </c>
      <c r="E21" s="274" cm="1">
        <f t="array" ref="E21">50896.35*16272</f>
        <v>828185407.2</v>
      </c>
      <c r="F21" s="275">
        <v>33210000</v>
      </c>
      <c r="G21" s="275" cm="1">
        <f t="array" ref="G21">$F$21+(G19-$F$19)*630000*125%</f>
        <v>33997500</v>
      </c>
      <c r="H21" s="275" cm="1">
        <f t="array" ref="H21">$F$21+(H19-$F$19)*630000*125%</f>
        <v>34785000</v>
      </c>
      <c r="I21" s="275" cm="1">
        <f t="array" ref="I21">$F$21+(I19-$F$19)*630000*125%</f>
        <v>35572500</v>
      </c>
      <c r="J21" s="275" cm="1">
        <f t="array" ref="J21">$F$21+(J19-$F$19)*630000*125%</f>
        <v>36360000</v>
      </c>
      <c r="K21" s="275" cm="1">
        <f t="array" ref="K21">$F$21+(K19-$F$19)*630000*125%</f>
        <v>37147500</v>
      </c>
      <c r="L21" s="275" cm="1">
        <f t="array" ref="L21">$F$21+(L19-$F$19)*630000*125%</f>
        <v>37935000</v>
      </c>
      <c r="M21" s="275" cm="1">
        <f t="array" ref="M21">$F$21+(M19-$F$19)*630000*125%</f>
        <v>38722500</v>
      </c>
      <c r="N21" s="275" cm="1">
        <f t="array" ref="N21">$F$21+(N19-$F$19)*630000*125%</f>
        <v>39510000</v>
      </c>
      <c r="O21" s="275" cm="1">
        <f t="array" ref="O21">$F$21+(O19-$F$19)*630000*125%</f>
        <v>40297500</v>
      </c>
      <c r="P21" s="275" cm="1">
        <f t="array" ref="P21">$F$21+(P19-$F$19)*630000*125%</f>
        <v>41085000</v>
      </c>
      <c r="Q21" s="275" cm="1">
        <f t="array" ref="Q21">$F$21+(Q19-$F$19)*630000*125%</f>
        <v>41872500</v>
      </c>
      <c r="R21" s="275" cm="1">
        <f t="array" ref="R21">$F$21+(R19-$F$19)*630000*125%</f>
        <v>42660000</v>
      </c>
      <c r="S21" s="275" cm="1">
        <f t="array" ref="S21">$F$21+(S19-$F$19)*630000*125%</f>
        <v>43447500</v>
      </c>
      <c r="T21" s="275" cm="1">
        <f t="array" ref="T21">$F$21+(T19-$F$19)*630000*125%</f>
        <v>44235000</v>
      </c>
      <c r="U21" s="275" cm="1">
        <f t="array" ref="U21">$F$21+(U19-$F$19)*630000*125%</f>
        <v>45022500</v>
      </c>
      <c r="V21" s="275" cm="1">
        <f t="array" ref="V21">$F$21+(V19-$F$19)*630000*125%</f>
        <v>45810000</v>
      </c>
      <c r="W21" s="275" cm="1">
        <f t="array" ref="W21">$F$21+(W19-$F$19)*630000*125%</f>
        <v>46597500</v>
      </c>
      <c r="X21" s="275" cm="1">
        <f t="array" ref="X21">$F$21+(X19-$F$19)*630000*125%</f>
        <v>47385000</v>
      </c>
      <c r="Y21" s="275" cm="1">
        <f t="array" ref="Y21">$F$21+(Y19-$F$19)*630000*125%</f>
        <v>48172500</v>
      </c>
      <c r="Z21" s="275" cm="1">
        <f t="array" ref="Z21">$F$21+(Z19-$F$19)*630000*125%</f>
        <v>48960000</v>
      </c>
      <c r="AA21" s="275" cm="1">
        <f t="array" ref="AA21">$F$21+(AA19-$F$19)*630000*125%</f>
        <v>49747500</v>
      </c>
      <c r="AB21" s="275" cm="1">
        <f t="array" ref="AB21">$F$21+(AB19-$F$19)*630000*125%</f>
        <v>50535000</v>
      </c>
      <c r="AC21" s="275" cm="1">
        <f t="array" ref="AC21">$F$21+(AC19-$F$19)*630000*125%</f>
        <v>51322500</v>
      </c>
      <c r="AD21" s="275" cm="1">
        <f t="array" ref="AD21">$F$21+(AD19-$F$19)*630000*125%</f>
        <v>52110000</v>
      </c>
      <c r="AE21" s="275" cm="1">
        <f t="array" ref="AE21">$F$21+(AE19-$F$19)*630000*125%</f>
        <v>52897500</v>
      </c>
      <c r="AF21" s="276"/>
    </row>
    <row r="22" ht="16" customHeight="1">
      <c r="A22" s="12"/>
      <c r="B22" s="271"/>
      <c r="C22" s="272"/>
      <c r="D22" t="s" s="273">
        <v>4206</v>
      </c>
      <c r="E22" s="274" cm="1">
        <f t="array" ref="E22">50896.35*16272</f>
        <v>828185407.2</v>
      </c>
      <c r="F22" s="275" cm="1">
        <f t="array" ref="F22">F21+F19*250000</f>
        <v>38210000</v>
      </c>
      <c r="G22" s="275" cm="1">
        <f t="array" ref="G22">G21+G19*250000</f>
        <v>39247500</v>
      </c>
      <c r="H22" s="275" cm="1">
        <f t="array" ref="H22">H21+H19*250000</f>
        <v>40285000</v>
      </c>
      <c r="I22" s="275" cm="1">
        <f t="array" ref="I22">I21+I19*250000</f>
        <v>41322500</v>
      </c>
      <c r="J22" s="275" cm="1">
        <f t="array" ref="J22">J21+J19*250000</f>
        <v>42360000</v>
      </c>
      <c r="K22" s="275" cm="1">
        <f t="array" ref="K22">K21+K19*250000</f>
        <v>43397500</v>
      </c>
      <c r="L22" s="275" cm="1">
        <f t="array" ref="L22">L21+L19*250000</f>
        <v>44435000</v>
      </c>
      <c r="M22" s="275" cm="1">
        <f t="array" ref="M22">M21+M19*250000</f>
        <v>45472500</v>
      </c>
      <c r="N22" s="275" cm="1">
        <f t="array" ref="N22">N21+N19*250000</f>
        <v>46510000</v>
      </c>
      <c r="O22" s="275" cm="1">
        <f t="array" ref="O22">O21+O19*250000</f>
        <v>47547500</v>
      </c>
      <c r="P22" s="275" cm="1">
        <f t="array" ref="P22">P21+P19*250000</f>
        <v>48585000</v>
      </c>
      <c r="Q22" s="275" cm="1">
        <f t="array" ref="Q22">Q21+Q19*250000</f>
        <v>49622500</v>
      </c>
      <c r="R22" s="275" cm="1">
        <f t="array" ref="R22">R21+R19*250000</f>
        <v>50660000</v>
      </c>
      <c r="S22" s="275" cm="1">
        <f t="array" ref="S22">S21+S19*250000</f>
        <v>51697500</v>
      </c>
      <c r="T22" s="275" cm="1">
        <f t="array" ref="T22">T21+T19*250000</f>
        <v>52735000</v>
      </c>
      <c r="U22" s="275" cm="1">
        <f t="array" ref="U22">U21+U19*250000</f>
        <v>53772500</v>
      </c>
      <c r="V22" s="275" cm="1">
        <f t="array" ref="V22">V21+V19*250000</f>
        <v>54810000</v>
      </c>
      <c r="W22" s="275" cm="1">
        <f t="array" ref="W22">W21+W19*250000</f>
        <v>55847500</v>
      </c>
      <c r="X22" s="275" cm="1">
        <f t="array" ref="X22">X21+X19*250000</f>
        <v>56885000</v>
      </c>
      <c r="Y22" s="275" cm="1">
        <f t="array" ref="Y22">Y21+Y19*250000</f>
        <v>57922500</v>
      </c>
      <c r="Z22" s="275" cm="1">
        <f t="array" ref="Z22">Z21+Z19*250000</f>
        <v>58960000</v>
      </c>
      <c r="AA22" s="275" cm="1">
        <f t="array" ref="AA22">AA21+AA19*250000</f>
        <v>59997500</v>
      </c>
      <c r="AB22" s="275" cm="1">
        <f t="array" ref="AB22">AB21+AB19*250000</f>
        <v>61035000</v>
      </c>
      <c r="AC22" s="275" cm="1">
        <f t="array" ref="AC22">AC21+AC19*250000</f>
        <v>62072500</v>
      </c>
      <c r="AD22" s="275" cm="1">
        <f t="array" ref="AD22">AD21+AD19*250000</f>
        <v>63110000</v>
      </c>
      <c r="AE22" s="275" cm="1">
        <f t="array" ref="AE22">AE21+AE19*250000</f>
        <v>64147500</v>
      </c>
      <c r="AF22" s="278"/>
    </row>
    <row r="23" ht="16" customHeight="1">
      <c r="A23" s="12"/>
      <c r="B23" s="271"/>
      <c r="C23" s="272"/>
      <c r="D23" t="s" s="273">
        <v>4207</v>
      </c>
      <c r="E23" s="274" cm="1">
        <f t="array" ref="E23">50896.35*16272</f>
        <v>828185407.2</v>
      </c>
      <c r="F23" s="275" cm="1">
        <f t="array" ref="F23">F21+F19*350000</f>
        <v>40210000</v>
      </c>
      <c r="G23" s="275" cm="1">
        <f t="array" ref="G23">G21+G19*350000</f>
        <v>41347500</v>
      </c>
      <c r="H23" s="275" cm="1">
        <f t="array" ref="H23">H21+H19*350000</f>
        <v>42485000</v>
      </c>
      <c r="I23" s="275" cm="1">
        <f t="array" ref="I23">I21+I19*350000</f>
        <v>43622500</v>
      </c>
      <c r="J23" s="275" cm="1">
        <f t="array" ref="J23">J21+J19*350000</f>
        <v>44760000</v>
      </c>
      <c r="K23" s="275" cm="1">
        <f t="array" ref="K23">K21+K19*350000</f>
        <v>45897500</v>
      </c>
      <c r="L23" s="275" cm="1">
        <f t="array" ref="L23">L21+L19*350000</f>
        <v>47035000</v>
      </c>
      <c r="M23" s="275" cm="1">
        <f t="array" ref="M23">M21+M19*350000</f>
        <v>48172500</v>
      </c>
      <c r="N23" s="275" cm="1">
        <f t="array" ref="N23">N21+N19*350000</f>
        <v>49310000</v>
      </c>
      <c r="O23" s="275" cm="1">
        <f t="array" ref="O23">O21+O19*350000</f>
        <v>50447500</v>
      </c>
      <c r="P23" s="275" cm="1">
        <f t="array" ref="P23">P21+P19*350000</f>
        <v>51585000</v>
      </c>
      <c r="Q23" s="275" cm="1">
        <f t="array" ref="Q23">Q21+Q19*350000</f>
        <v>52722500</v>
      </c>
      <c r="R23" s="275" cm="1">
        <f t="array" ref="R23">R21+R19*350000</f>
        <v>53860000</v>
      </c>
      <c r="S23" s="275" cm="1">
        <f t="array" ref="S23">S21+S19*350000</f>
        <v>54997500</v>
      </c>
      <c r="T23" s="275" cm="1">
        <f t="array" ref="T23">T21+T19*350000</f>
        <v>56135000</v>
      </c>
      <c r="U23" s="275" cm="1">
        <f t="array" ref="U23">U21+U19*350000</f>
        <v>57272500</v>
      </c>
      <c r="V23" s="275" cm="1">
        <f t="array" ref="V23">V21+V19*350000</f>
        <v>58410000</v>
      </c>
      <c r="W23" s="275" cm="1">
        <f t="array" ref="W23">W21+W19*350000</f>
        <v>59547500</v>
      </c>
      <c r="X23" s="275" cm="1">
        <f t="array" ref="X23">X21+X19*350000</f>
        <v>60685000</v>
      </c>
      <c r="Y23" s="275" cm="1">
        <f t="array" ref="Y23">Y21+Y19*350000</f>
        <v>61822500</v>
      </c>
      <c r="Z23" s="275" cm="1">
        <f t="array" ref="Z23">Z21+Z19*350000</f>
        <v>62960000</v>
      </c>
      <c r="AA23" s="275" cm="1">
        <f t="array" ref="AA23">AA21+AA19*350000</f>
        <v>64097500</v>
      </c>
      <c r="AB23" s="275" cm="1">
        <f t="array" ref="AB23">AB21+AB19*350000</f>
        <v>65235000</v>
      </c>
      <c r="AC23" s="275" cm="1">
        <f t="array" ref="AC23">AC21+AC19*350000</f>
        <v>66372500</v>
      </c>
      <c r="AD23" s="275" cm="1">
        <f t="array" ref="AD23">AD21+AD19*350000</f>
        <v>67510000</v>
      </c>
      <c r="AE23" s="275" cm="1">
        <f t="array" ref="AE23">AE21+AE19*350000</f>
        <v>68647500</v>
      </c>
      <c r="AF23" s="276"/>
    </row>
    <row r="24" ht="15" customHeight="1">
      <c r="A24" s="12"/>
      <c r="B24" s="307"/>
      <c r="C24" s="308"/>
      <c r="D24" s="309"/>
      <c r="E24" s="309" cm="1">
        <f t="array" ref="E24">50896.35*16272</f>
        <v>828185407.2</v>
      </c>
      <c r="F24" s="309"/>
      <c r="G24" s="309"/>
      <c r="H24" s="309"/>
      <c r="I24" s="309"/>
      <c r="J24" s="310"/>
      <c r="K24" s="311"/>
      <c r="L24" s="311"/>
      <c r="M24" s="311"/>
      <c r="N24" s="311"/>
      <c r="O24" s="311"/>
      <c r="P24" s="311"/>
      <c r="Q24" s="311"/>
      <c r="R24" s="311"/>
      <c r="S24" s="311"/>
      <c r="T24" s="311"/>
      <c r="U24" s="311"/>
      <c r="V24" s="311"/>
      <c r="W24" s="311"/>
      <c r="X24" s="311"/>
      <c r="Y24" s="311"/>
      <c r="Z24" s="311"/>
      <c r="AA24" s="311"/>
      <c r="AB24" s="311"/>
      <c r="AC24" s="311"/>
      <c r="AD24" s="311"/>
      <c r="AE24" s="311"/>
      <c r="AF24" s="312"/>
    </row>
    <row r="25" ht="15.5" customHeight="1">
      <c r="A25" s="32"/>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806"/>
    </row>
    <row r="26" ht="15.5" customHeight="1">
      <c r="A26" s="12"/>
      <c r="B26" s="247"/>
      <c r="C26" s="248"/>
      <c r="D26" s="248"/>
      <c r="E26" s="249"/>
      <c r="F26" t="s" s="250">
        <v>4202</v>
      </c>
      <c r="G26" t="s" s="250">
        <v>4202</v>
      </c>
      <c r="H26" t="s" s="250">
        <v>4202</v>
      </c>
      <c r="I26" t="s" s="250">
        <v>4202</v>
      </c>
      <c r="J26" t="s" s="250">
        <v>4202</v>
      </c>
      <c r="K26" t="s" s="250">
        <v>4202</v>
      </c>
      <c r="L26" t="s" s="250">
        <v>4202</v>
      </c>
      <c r="M26" t="s" s="250">
        <v>4202</v>
      </c>
      <c r="N26" t="s" s="250">
        <v>4202</v>
      </c>
      <c r="O26" t="s" s="250">
        <v>4202</v>
      </c>
      <c r="P26" t="s" s="250">
        <v>4202</v>
      </c>
      <c r="Q26" t="s" s="250">
        <v>4202</v>
      </c>
      <c r="R26" t="s" s="250">
        <v>4202</v>
      </c>
      <c r="S26" t="s" s="250">
        <v>4202</v>
      </c>
      <c r="T26" t="s" s="250">
        <v>4202</v>
      </c>
      <c r="U26" t="s" s="250">
        <v>4202</v>
      </c>
      <c r="V26" t="s" s="250">
        <v>4202</v>
      </c>
      <c r="W26" t="s" s="250">
        <v>4202</v>
      </c>
      <c r="X26" t="s" s="250">
        <v>4202</v>
      </c>
      <c r="Y26" t="s" s="250">
        <v>4202</v>
      </c>
      <c r="Z26" t="s" s="250">
        <v>4202</v>
      </c>
      <c r="AA26" t="s" s="250">
        <v>4202</v>
      </c>
      <c r="AB26" t="s" s="250">
        <v>4202</v>
      </c>
      <c r="AC26" t="s" s="250">
        <v>4202</v>
      </c>
      <c r="AD26" t="s" s="250">
        <v>4202</v>
      </c>
      <c r="AE26" t="s" s="250">
        <v>4202</v>
      </c>
      <c r="AF26" s="251"/>
    </row>
    <row r="27" ht="15" customHeight="1">
      <c r="A27" s="12"/>
      <c r="B27" t="s" s="2058">
        <v>4208</v>
      </c>
      <c r="C27" s="253"/>
      <c r="D27" s="254"/>
      <c r="E27" s="255"/>
      <c r="F27" s="2059">
        <v>20</v>
      </c>
      <c r="G27" s="2059">
        <v>21</v>
      </c>
      <c r="H27" s="2059">
        <v>22</v>
      </c>
      <c r="I27" s="2059">
        <v>23</v>
      </c>
      <c r="J27" s="2059">
        <v>24</v>
      </c>
      <c r="K27" s="2059">
        <v>25</v>
      </c>
      <c r="L27" s="2059">
        <v>26</v>
      </c>
      <c r="M27" s="2059">
        <v>27</v>
      </c>
      <c r="N27" s="2059">
        <v>28</v>
      </c>
      <c r="O27" s="2059">
        <v>29</v>
      </c>
      <c r="P27" s="2059">
        <v>30</v>
      </c>
      <c r="Q27" s="2059">
        <v>31</v>
      </c>
      <c r="R27" s="2059">
        <v>32</v>
      </c>
      <c r="S27" s="2059">
        <v>33</v>
      </c>
      <c r="T27" s="2059">
        <v>34</v>
      </c>
      <c r="U27" s="2059">
        <v>35</v>
      </c>
      <c r="V27" s="2059">
        <v>36</v>
      </c>
      <c r="W27" s="2059">
        <v>37</v>
      </c>
      <c r="X27" s="2059">
        <v>38</v>
      </c>
      <c r="Y27" s="2059">
        <v>39</v>
      </c>
      <c r="Z27" s="2059">
        <v>40</v>
      </c>
      <c r="AA27" s="2059">
        <v>41</v>
      </c>
      <c r="AB27" s="2059">
        <v>42</v>
      </c>
      <c r="AC27" s="2059">
        <v>43</v>
      </c>
      <c r="AD27" s="2059">
        <v>44</v>
      </c>
      <c r="AE27" s="2059">
        <v>45</v>
      </c>
      <c r="AF27" s="257"/>
    </row>
    <row r="28" ht="15" customHeight="1">
      <c r="A28" s="12"/>
      <c r="B28" t="s" s="258">
        <v>4209</v>
      </c>
      <c r="C28" s="259"/>
      <c r="D28" s="260"/>
      <c r="E28" s="261"/>
      <c r="F28" s="262"/>
      <c r="G28" s="262"/>
      <c r="H28" s="262"/>
      <c r="I28" s="262"/>
      <c r="J28" s="262"/>
      <c r="K28" s="262"/>
      <c r="L28" s="262"/>
      <c r="M28" s="262"/>
      <c r="N28" s="262"/>
      <c r="O28" s="262"/>
      <c r="P28" s="262"/>
      <c r="Q28" s="262"/>
      <c r="R28" s="262"/>
      <c r="S28" s="262"/>
      <c r="T28" s="262"/>
      <c r="U28" s="262"/>
      <c r="V28" s="262"/>
      <c r="W28" s="262"/>
      <c r="X28" s="262"/>
      <c r="Y28" s="262"/>
      <c r="Z28" s="262"/>
      <c r="AA28" s="262"/>
      <c r="AB28" s="262"/>
      <c r="AC28" s="262"/>
      <c r="AD28" s="262"/>
      <c r="AE28" s="262"/>
      <c r="AF28" s="263"/>
    </row>
    <row r="29" ht="16" customHeight="1">
      <c r="A29" s="12"/>
      <c r="B29" s="271"/>
      <c r="C29" s="272"/>
      <c r="D29" t="s" s="273">
        <v>4205</v>
      </c>
      <c r="E29" s="274" cm="1">
        <f t="array" ref="E29">50896.35*16272</f>
        <v>828185407.2</v>
      </c>
      <c r="F29" s="275">
        <v>31439000</v>
      </c>
      <c r="G29" s="275" cm="1">
        <f t="array" ref="G29">$F$29+(G27-$F$27)*630000*125%</f>
        <v>32226500</v>
      </c>
      <c r="H29" s="275" cm="1">
        <f t="array" ref="H29">$F$29+(H27-$F$27)*630000*125%</f>
        <v>33014000</v>
      </c>
      <c r="I29" s="275" cm="1">
        <f t="array" ref="I29">$F$29+(I27-$F$27)*630000*125%</f>
        <v>33801500</v>
      </c>
      <c r="J29" s="275" cm="1">
        <f t="array" ref="J29">$F$29+(J27-$F$27)*630000*125%</f>
        <v>34589000</v>
      </c>
      <c r="K29" s="275" cm="1">
        <f t="array" ref="K29">$F$29+(K27-$F$27)*630000*125%</f>
        <v>35376500</v>
      </c>
      <c r="L29" s="275" cm="1">
        <f t="array" ref="L29">$F$29+(L27-$F$27)*630000*125%</f>
        <v>36164000</v>
      </c>
      <c r="M29" s="275" cm="1">
        <f t="array" ref="M29">$F$29+(M27-$F$27)*630000*125%</f>
        <v>36951500</v>
      </c>
      <c r="N29" s="275" cm="1">
        <f t="array" ref="N29">$F$29+(N27-$F$27)*630000*125%</f>
        <v>37739000</v>
      </c>
      <c r="O29" s="275" cm="1">
        <f t="array" ref="O29">$F$29+(O27-$F$27)*630000*125%</f>
        <v>38526500</v>
      </c>
      <c r="P29" s="275" cm="1">
        <f t="array" ref="P29">$F$29+(P27-$F$27)*630000*125%</f>
        <v>39314000</v>
      </c>
      <c r="Q29" s="275" cm="1">
        <f t="array" ref="Q29">$F$29+(Q27-$F$27)*630000*125%</f>
        <v>40101500</v>
      </c>
      <c r="R29" s="275" cm="1">
        <f t="array" ref="R29">$F$29+(R27-$F$27)*630000*125%</f>
        <v>40889000</v>
      </c>
      <c r="S29" s="275" cm="1">
        <f t="array" ref="S29">$F$29+(S27-$F$27)*630000*125%</f>
        <v>41676500</v>
      </c>
      <c r="T29" s="275" cm="1">
        <f t="array" ref="T29">$F$29+(T27-$F$27)*630000*125%</f>
        <v>42464000</v>
      </c>
      <c r="U29" s="275" cm="1">
        <f t="array" ref="U29">$F$29+(U27-$F$27)*630000*125%</f>
        <v>43251500</v>
      </c>
      <c r="V29" s="275" cm="1">
        <f t="array" ref="V29">$F$29+(V27-$F$27)*630000*125%</f>
        <v>44039000</v>
      </c>
      <c r="W29" s="275" cm="1">
        <f t="array" ref="W29">$F$29+(W27-$F$27)*630000*125%</f>
        <v>44826500</v>
      </c>
      <c r="X29" s="275" cm="1">
        <f t="array" ref="X29">$F$29+(X27-$F$27)*630000*125%</f>
        <v>45614000</v>
      </c>
      <c r="Y29" s="275" cm="1">
        <f t="array" ref="Y29">$F$29+(Y27-$F$27)*630000*125%</f>
        <v>46401500</v>
      </c>
      <c r="Z29" s="275" cm="1">
        <f t="array" ref="Z29">$F$29+(Z27-$F$27)*630000*125%</f>
        <v>47189000</v>
      </c>
      <c r="AA29" s="275" cm="1">
        <f t="array" ref="AA29">$F$29+(AA27-$F$27)*630000*125%</f>
        <v>47976500</v>
      </c>
      <c r="AB29" s="275" cm="1">
        <f t="array" ref="AB29">$F$29+(AB27-$F$27)*630000*125%</f>
        <v>48764000</v>
      </c>
      <c r="AC29" s="275" cm="1">
        <f t="array" ref="AC29">$F$29+(AC27-$F$27)*630000*125%</f>
        <v>49551500</v>
      </c>
      <c r="AD29" s="275" cm="1">
        <f t="array" ref="AD29">$F$29+(AD27-$F$27)*630000*125%</f>
        <v>50339000</v>
      </c>
      <c r="AE29" s="275" cm="1">
        <f t="array" ref="AE29">$F$29+(AE27-$F$27)*630000*125%</f>
        <v>51126500</v>
      </c>
      <c r="AF29" s="276"/>
    </row>
    <row r="30" ht="16" customHeight="1">
      <c r="A30" s="12"/>
      <c r="B30" s="271"/>
      <c r="C30" s="272"/>
      <c r="D30" t="s" s="273">
        <v>4206</v>
      </c>
      <c r="E30" s="274" cm="1">
        <f t="array" ref="E30">50896.35*16272</f>
        <v>828185407.2</v>
      </c>
      <c r="F30" s="275" cm="1">
        <f t="array" ref="F30">F29+F27*250000</f>
        <v>36439000</v>
      </c>
      <c r="G30" s="275" cm="1">
        <f t="array" ref="G30">G29+G27*250000</f>
        <v>37476500</v>
      </c>
      <c r="H30" s="275" cm="1">
        <f t="array" ref="H30">H29+H27*250000</f>
        <v>38514000</v>
      </c>
      <c r="I30" s="275" cm="1">
        <f t="array" ref="I30">I29+I27*250000</f>
        <v>39551500</v>
      </c>
      <c r="J30" s="275" cm="1">
        <f t="array" ref="J30">J29+J27*250000</f>
        <v>40589000</v>
      </c>
      <c r="K30" s="275" cm="1">
        <f t="array" ref="K30">K29+K27*250000</f>
        <v>41626500</v>
      </c>
      <c r="L30" s="275" cm="1">
        <f t="array" ref="L30">L29+L27*250000</f>
        <v>42664000</v>
      </c>
      <c r="M30" s="275" cm="1">
        <f t="array" ref="M30">M29+M27*250000</f>
        <v>43701500</v>
      </c>
      <c r="N30" s="275" cm="1">
        <f t="array" ref="N30">N29+N27*250000</f>
        <v>44739000</v>
      </c>
      <c r="O30" s="275" cm="1">
        <f t="array" ref="O30">O29+O27*250000</f>
        <v>45776500</v>
      </c>
      <c r="P30" s="275" cm="1">
        <f t="array" ref="P30">P29+P27*250000</f>
        <v>46814000</v>
      </c>
      <c r="Q30" s="275" cm="1">
        <f t="array" ref="Q30">Q29+Q27*250000</f>
        <v>47851500</v>
      </c>
      <c r="R30" s="275" cm="1">
        <f t="array" ref="R30">R29+R27*250000</f>
        <v>48889000</v>
      </c>
      <c r="S30" s="275" cm="1">
        <f t="array" ref="S30">S29+S27*250000</f>
        <v>49926500</v>
      </c>
      <c r="T30" s="275" cm="1">
        <f t="array" ref="T30">T29+T27*250000</f>
        <v>50964000</v>
      </c>
      <c r="U30" s="275" cm="1">
        <f t="array" ref="U30">U29+U27*250000</f>
        <v>52001500</v>
      </c>
      <c r="V30" s="275" cm="1">
        <f t="array" ref="V30">V29+V27*250000</f>
        <v>53039000</v>
      </c>
      <c r="W30" s="275" cm="1">
        <f t="array" ref="W30">W29+W27*250000</f>
        <v>54076500</v>
      </c>
      <c r="X30" s="275" cm="1">
        <f t="array" ref="X30">X29+X27*250000</f>
        <v>55114000</v>
      </c>
      <c r="Y30" s="275" cm="1">
        <f t="array" ref="Y30">Y29+Y27*250000</f>
        <v>56151500</v>
      </c>
      <c r="Z30" s="275" cm="1">
        <f t="array" ref="Z30">Z29+Z27*250000</f>
        <v>57189000</v>
      </c>
      <c r="AA30" s="275" cm="1">
        <f t="array" ref="AA30">AA29+AA27*250000</f>
        <v>58226500</v>
      </c>
      <c r="AB30" s="275" cm="1">
        <f t="array" ref="AB30">AB29+AB27*250000</f>
        <v>59264000</v>
      </c>
      <c r="AC30" s="275" cm="1">
        <f t="array" ref="AC30">AC29+AC27*250000</f>
        <v>60301500</v>
      </c>
      <c r="AD30" s="275" cm="1">
        <f t="array" ref="AD30">AD29+AD27*250000</f>
        <v>61339000</v>
      </c>
      <c r="AE30" s="275" cm="1">
        <f t="array" ref="AE30">AE29+AE27*250000</f>
        <v>62376500</v>
      </c>
      <c r="AF30" s="278"/>
    </row>
    <row r="31" ht="16" customHeight="1">
      <c r="A31" s="12"/>
      <c r="B31" s="271"/>
      <c r="C31" s="272"/>
      <c r="D31" t="s" s="273">
        <v>4207</v>
      </c>
      <c r="E31" s="274" cm="1">
        <f t="array" ref="E31">50896.35*16272</f>
        <v>828185407.2</v>
      </c>
      <c r="F31" s="275" cm="1">
        <f t="array" ref="F31">F29+F27*350000</f>
        <v>38439000</v>
      </c>
      <c r="G31" s="275" cm="1">
        <f t="array" ref="G31">G29+G27*350000</f>
        <v>39576500</v>
      </c>
      <c r="H31" s="275" cm="1">
        <f t="array" ref="H31">H29+H27*350000</f>
        <v>40714000</v>
      </c>
      <c r="I31" s="275" cm="1">
        <f t="array" ref="I31">I29+I27*350000</f>
        <v>41851500</v>
      </c>
      <c r="J31" s="275" cm="1">
        <f t="array" ref="J31">J29+J27*350000</f>
        <v>42989000</v>
      </c>
      <c r="K31" s="275" cm="1">
        <f t="array" ref="K31">K29+K27*350000</f>
        <v>44126500</v>
      </c>
      <c r="L31" s="275" cm="1">
        <f t="array" ref="L31">L29+L27*350000</f>
        <v>45264000</v>
      </c>
      <c r="M31" s="275" cm="1">
        <f t="array" ref="M31">M29+M27*350000</f>
        <v>46401500</v>
      </c>
      <c r="N31" s="275" cm="1">
        <f t="array" ref="N31">N29+N27*350000</f>
        <v>47539000</v>
      </c>
      <c r="O31" s="275" cm="1">
        <f t="array" ref="O31">O29+O27*350000</f>
        <v>48676500</v>
      </c>
      <c r="P31" s="275" cm="1">
        <f t="array" ref="P31">P29+P27*350000</f>
        <v>49814000</v>
      </c>
      <c r="Q31" s="275" cm="1">
        <f t="array" ref="Q31">Q29+Q27*350000</f>
        <v>50951500</v>
      </c>
      <c r="R31" s="275" cm="1">
        <f t="array" ref="R31">R29+R27*350000</f>
        <v>52089000</v>
      </c>
      <c r="S31" s="275" cm="1">
        <f t="array" ref="S31">S29+S27*350000</f>
        <v>53226500</v>
      </c>
      <c r="T31" s="275" cm="1">
        <f t="array" ref="T31">T29+T27*350000</f>
        <v>54364000</v>
      </c>
      <c r="U31" s="275" cm="1">
        <f t="array" ref="U31">U29+U27*350000</f>
        <v>55501500</v>
      </c>
      <c r="V31" s="275" cm="1">
        <f t="array" ref="V31">V29+V27*350000</f>
        <v>56639000</v>
      </c>
      <c r="W31" s="275" cm="1">
        <f t="array" ref="W31">W29+W27*350000</f>
        <v>57776500</v>
      </c>
      <c r="X31" s="275" cm="1">
        <f t="array" ref="X31">X29+X27*350000</f>
        <v>58914000</v>
      </c>
      <c r="Y31" s="275" cm="1">
        <f t="array" ref="Y31">Y29+Y27*350000</f>
        <v>60051500</v>
      </c>
      <c r="Z31" s="275" cm="1">
        <f t="array" ref="Z31">Z29+Z27*350000</f>
        <v>61189000</v>
      </c>
      <c r="AA31" s="275" cm="1">
        <f t="array" ref="AA31">AA29+AA27*350000</f>
        <v>62326500</v>
      </c>
      <c r="AB31" s="275" cm="1">
        <f t="array" ref="AB31">AB29+AB27*350000</f>
        <v>63464000</v>
      </c>
      <c r="AC31" s="275" cm="1">
        <f t="array" ref="AC31">AC29+AC27*350000</f>
        <v>64601500</v>
      </c>
      <c r="AD31" s="275" cm="1">
        <f t="array" ref="AD31">AD29+AD27*350000</f>
        <v>65739000</v>
      </c>
      <c r="AE31" s="275" cm="1">
        <f t="array" ref="AE31">AE29+AE27*350000</f>
        <v>66876500</v>
      </c>
      <c r="AF31" s="276"/>
    </row>
    <row r="32" ht="15" customHeight="1">
      <c r="A32" s="12"/>
      <c r="B32" s="307"/>
      <c r="C32" s="308"/>
      <c r="D32" s="309"/>
      <c r="E32" s="309" cm="1">
        <f t="array" ref="E32">50896.35*16272</f>
        <v>828185407.2</v>
      </c>
      <c r="F32" s="309"/>
      <c r="G32" s="309"/>
      <c r="H32" s="309"/>
      <c r="I32" s="309"/>
      <c r="J32" s="310"/>
      <c r="K32" s="311"/>
      <c r="L32" s="311"/>
      <c r="M32" s="311"/>
      <c r="N32" s="311"/>
      <c r="O32" s="311"/>
      <c r="P32" s="311"/>
      <c r="Q32" s="311"/>
      <c r="R32" s="311"/>
      <c r="S32" s="311"/>
      <c r="T32" s="311"/>
      <c r="U32" s="311"/>
      <c r="V32" s="311"/>
      <c r="W32" s="311"/>
      <c r="X32" s="311"/>
      <c r="Y32" s="311"/>
      <c r="Z32" s="311"/>
      <c r="AA32" s="311"/>
      <c r="AB32" s="311"/>
      <c r="AC32" s="311"/>
      <c r="AD32" s="311"/>
      <c r="AE32" s="311"/>
      <c r="AF32" s="312"/>
    </row>
    <row r="33" ht="15.5" customHeight="1">
      <c r="A33" s="32"/>
      <c r="B33" s="33"/>
      <c r="C33" s="33"/>
      <c r="D33" s="33"/>
      <c r="E33" s="33"/>
      <c r="F33" s="33"/>
      <c r="G33" s="33"/>
      <c r="H33" s="33"/>
      <c r="I33" s="33"/>
      <c r="J33" s="33"/>
      <c r="K33" s="33"/>
      <c r="L33" s="33"/>
      <c r="M33" s="33"/>
      <c r="N33" s="33"/>
      <c r="O33" s="33"/>
      <c r="P33" s="33"/>
      <c r="Q33" s="33"/>
      <c r="R33" s="124"/>
      <c r="S33" s="124"/>
      <c r="T33" s="124"/>
      <c r="U33" s="124"/>
      <c r="V33" s="124"/>
      <c r="W33" s="124"/>
      <c r="X33" s="124"/>
      <c r="Y33" s="124"/>
      <c r="Z33" s="124"/>
      <c r="AA33" s="124"/>
      <c r="AB33" s="124"/>
      <c r="AC33" s="124"/>
      <c r="AD33" s="124"/>
      <c r="AE33" s="124"/>
      <c r="AF33" s="313"/>
    </row>
    <row r="34" ht="15.5" customHeight="1">
      <c r="A34" s="12"/>
      <c r="B34" s="247"/>
      <c r="C34" s="248"/>
      <c r="D34" s="248"/>
      <c r="E34" s="249"/>
      <c r="F34" t="s" s="250">
        <v>4202</v>
      </c>
      <c r="G34" t="s" s="250">
        <v>4202</v>
      </c>
      <c r="H34" t="s" s="250">
        <v>4202</v>
      </c>
      <c r="I34" t="s" s="250">
        <v>4202</v>
      </c>
      <c r="J34" t="s" s="250">
        <v>4202</v>
      </c>
      <c r="K34" t="s" s="250">
        <v>4202</v>
      </c>
      <c r="L34" t="s" s="250">
        <v>4202</v>
      </c>
      <c r="M34" t="s" s="250">
        <v>4202</v>
      </c>
      <c r="N34" t="s" s="250">
        <v>4202</v>
      </c>
      <c r="O34" t="s" s="250">
        <v>4202</v>
      </c>
      <c r="P34" t="s" s="250">
        <v>4202</v>
      </c>
      <c r="Q34" s="251"/>
      <c r="R34" s="16"/>
      <c r="S34" s="17"/>
      <c r="T34" s="17"/>
      <c r="U34" s="17"/>
      <c r="V34" s="17"/>
      <c r="W34" s="17"/>
      <c r="X34" s="17"/>
      <c r="Y34" s="17"/>
      <c r="Z34" s="17"/>
      <c r="AA34" s="17"/>
      <c r="AB34" s="17"/>
      <c r="AC34" s="17"/>
      <c r="AD34" s="17"/>
      <c r="AE34" s="17"/>
      <c r="AF34" s="18"/>
    </row>
    <row r="35" ht="15" customHeight="1">
      <c r="A35" s="12"/>
      <c r="B35" s="2060"/>
      <c r="C35" s="253"/>
      <c r="D35" s="254"/>
      <c r="E35" s="255"/>
      <c r="F35" s="2059">
        <v>25</v>
      </c>
      <c r="G35" s="2059">
        <v>26</v>
      </c>
      <c r="H35" s="2059">
        <v>27</v>
      </c>
      <c r="I35" s="2059">
        <v>28</v>
      </c>
      <c r="J35" s="2059">
        <v>29</v>
      </c>
      <c r="K35" s="2059">
        <v>30</v>
      </c>
      <c r="L35" s="2059">
        <v>31</v>
      </c>
      <c r="M35" s="2059">
        <v>32</v>
      </c>
      <c r="N35" s="2059">
        <v>33</v>
      </c>
      <c r="O35" s="2059">
        <v>34</v>
      </c>
      <c r="P35" s="2059">
        <v>35</v>
      </c>
      <c r="Q35" s="257"/>
      <c r="R35" s="16"/>
      <c r="S35" s="17"/>
      <c r="T35" s="17"/>
      <c r="U35" s="17"/>
      <c r="V35" s="17"/>
      <c r="W35" s="17"/>
      <c r="X35" s="17"/>
      <c r="Y35" s="17"/>
      <c r="Z35" s="17"/>
      <c r="AA35" s="17"/>
      <c r="AB35" s="17"/>
      <c r="AC35" s="17"/>
      <c r="AD35" s="17"/>
      <c r="AE35" s="17"/>
      <c r="AF35" s="18"/>
    </row>
    <row r="36" ht="15" customHeight="1">
      <c r="A36" s="12"/>
      <c r="B36" t="s" s="258">
        <v>4210</v>
      </c>
      <c r="C36" s="259"/>
      <c r="D36" s="260"/>
      <c r="E36" s="261"/>
      <c r="F36" s="262"/>
      <c r="G36" s="262"/>
      <c r="H36" s="262"/>
      <c r="I36" s="262"/>
      <c r="J36" s="262"/>
      <c r="K36" s="262"/>
      <c r="L36" s="262"/>
      <c r="M36" s="262"/>
      <c r="N36" s="262"/>
      <c r="O36" s="262"/>
      <c r="P36" s="262"/>
      <c r="Q36" s="263"/>
      <c r="R36" s="16"/>
      <c r="S36" s="17"/>
      <c r="T36" s="17"/>
      <c r="U36" s="17"/>
      <c r="V36" s="17"/>
      <c r="W36" s="17"/>
      <c r="X36" s="17"/>
      <c r="Y36" s="17"/>
      <c r="Z36" s="17"/>
      <c r="AA36" s="17"/>
      <c r="AB36" s="17"/>
      <c r="AC36" s="17"/>
      <c r="AD36" s="17"/>
      <c r="AE36" s="17"/>
      <c r="AF36" s="18"/>
    </row>
    <row r="37" ht="16" customHeight="1">
      <c r="A37" s="12"/>
      <c r="B37" s="271"/>
      <c r="C37" s="272"/>
      <c r="D37" t="s" s="273">
        <v>4203</v>
      </c>
      <c r="E37" s="274" cm="1">
        <f t="array" ref="E37">50896.35*16272</f>
        <v>828185407.2</v>
      </c>
      <c r="F37" s="275">
        <v>44027800</v>
      </c>
      <c r="G37" s="275" cm="1">
        <f t="array" ref="G37">$F$37+(G35-$F$35)*500000</f>
        <v>44527800</v>
      </c>
      <c r="H37" s="275" cm="1">
        <f t="array" ref="H37">$F$37+(H35-$F$35)*500000</f>
        <v>45027800</v>
      </c>
      <c r="I37" s="275" cm="1">
        <f t="array" ref="I37">$F$37+(I35-$F$35)*500000</f>
        <v>45527800</v>
      </c>
      <c r="J37" s="275" cm="1">
        <f t="array" ref="J37">$F$37+(J35-$F$35)*500000</f>
        <v>46027800</v>
      </c>
      <c r="K37" s="275" cm="1">
        <f t="array" ref="K37">$F$37+(K35-$F$35)*500000</f>
        <v>46527800</v>
      </c>
      <c r="L37" s="275" cm="1">
        <f t="array" ref="L37">$F$37+(L35-$F$35)*500000</f>
        <v>47027800</v>
      </c>
      <c r="M37" s="275" cm="1">
        <f t="array" ref="M37">$F$37+(M35-$F$35)*500000</f>
        <v>47527800</v>
      </c>
      <c r="N37" s="275" cm="1">
        <f t="array" ref="N37">$F$37+(N35-$F$35)*500000</f>
        <v>48027800</v>
      </c>
      <c r="O37" s="275" cm="1">
        <f t="array" ref="O37">$F$37+(O35-$F$35)*500000</f>
        <v>48527800</v>
      </c>
      <c r="P37" s="275" cm="1">
        <f t="array" ref="P37">$F$37+(P35-$F$35)*500000</f>
        <v>49027800</v>
      </c>
      <c r="Q37" s="276"/>
      <c r="R37" s="16"/>
      <c r="S37" s="17"/>
      <c r="T37" s="17"/>
      <c r="U37" s="17"/>
      <c r="V37" s="17"/>
      <c r="W37" s="17"/>
      <c r="X37" s="17"/>
      <c r="Y37" s="17"/>
      <c r="Z37" s="17"/>
      <c r="AA37" s="17"/>
      <c r="AB37" s="17"/>
      <c r="AC37" s="17"/>
      <c r="AD37" s="17"/>
      <c r="AE37" s="17"/>
      <c r="AF37" s="18"/>
    </row>
    <row r="38" ht="16" customHeight="1">
      <c r="A38" s="12"/>
      <c r="B38" s="271"/>
      <c r="C38" s="272"/>
      <c r="D38" t="s" s="273">
        <v>4208</v>
      </c>
      <c r="E38" s="274" cm="1">
        <f t="array" ref="E38">50896.35*16272</f>
        <v>828185407.2</v>
      </c>
      <c r="F38" s="275">
        <v>42516000</v>
      </c>
      <c r="G38" s="275" cm="1">
        <f t="array" ref="G38">$F$38+(G35-$F$35)*500000</f>
        <v>43016000</v>
      </c>
      <c r="H38" s="275" cm="1">
        <f t="array" ref="H38">$F$38+(H35-$F$35)*500000</f>
        <v>43516000</v>
      </c>
      <c r="I38" s="275" cm="1">
        <f t="array" ref="I38">$F$38+(I35-$F$35)*500000</f>
        <v>44016000</v>
      </c>
      <c r="J38" s="275" cm="1">
        <f t="array" ref="J38">$F$38+(J35-$F$35)*500000</f>
        <v>44516000</v>
      </c>
      <c r="K38" s="275" cm="1">
        <f t="array" ref="K38">$F$38+(K35-$F$35)*500000</f>
        <v>45016000</v>
      </c>
      <c r="L38" s="275" cm="1">
        <f t="array" ref="L38">$F$38+(L35-$F$35)*500000</f>
        <v>45516000</v>
      </c>
      <c r="M38" s="275" cm="1">
        <f t="array" ref="M38">$F$38+(M35-$F$35)*500000</f>
        <v>46016000</v>
      </c>
      <c r="N38" s="275" cm="1">
        <f t="array" ref="N38">$F$38+(N35-$F$35)*500000</f>
        <v>46516000</v>
      </c>
      <c r="O38" s="275" cm="1">
        <f t="array" ref="O38">$F$38+(O35-$F$35)*500000</f>
        <v>47016000</v>
      </c>
      <c r="P38" s="275" cm="1">
        <f t="array" ref="P38">$F$38+(P35-$F$35)*500000</f>
        <v>47516000</v>
      </c>
      <c r="Q38" s="278"/>
      <c r="R38" s="16"/>
      <c r="S38" s="17"/>
      <c r="T38" s="17"/>
      <c r="U38" s="17"/>
      <c r="V38" s="17"/>
      <c r="W38" s="17"/>
      <c r="X38" s="17"/>
      <c r="Y38" s="17"/>
      <c r="Z38" s="17"/>
      <c r="AA38" s="17"/>
      <c r="AB38" s="17"/>
      <c r="AC38" s="17"/>
      <c r="AD38" s="17"/>
      <c r="AE38" s="17"/>
      <c r="AF38" s="18"/>
    </row>
    <row r="39" ht="15" customHeight="1">
      <c r="A39" s="12"/>
      <c r="B39" s="307"/>
      <c r="C39" s="308"/>
      <c r="D39" s="309"/>
      <c r="E39" s="310" cm="1">
        <f t="array" ref="E39">50896.35*16272</f>
        <v>828185407.2</v>
      </c>
      <c r="F39" s="311"/>
      <c r="G39" s="311"/>
      <c r="H39" s="311"/>
      <c r="I39" s="311"/>
      <c r="J39" s="311"/>
      <c r="K39" s="311"/>
      <c r="L39" s="311"/>
      <c r="M39" s="311"/>
      <c r="N39" s="311"/>
      <c r="O39" s="311"/>
      <c r="P39" s="311"/>
      <c r="Q39" s="312"/>
      <c r="R39" s="16"/>
      <c r="S39" s="17"/>
      <c r="T39" s="17"/>
      <c r="U39" s="17"/>
      <c r="V39" s="17"/>
      <c r="W39" s="17"/>
      <c r="X39" s="17"/>
      <c r="Y39" s="17"/>
      <c r="Z39" s="17"/>
      <c r="AA39" s="17"/>
      <c r="AB39" s="17"/>
      <c r="AC39" s="17"/>
      <c r="AD39" s="17"/>
      <c r="AE39" s="17"/>
      <c r="AF39" s="18"/>
    </row>
    <row r="40" ht="15.5" customHeight="1">
      <c r="A40" s="32"/>
      <c r="B40" s="33"/>
      <c r="C40" s="33"/>
      <c r="D40" s="33"/>
      <c r="E40" s="33"/>
      <c r="F40" s="33"/>
      <c r="G40" s="33"/>
      <c r="H40" s="33"/>
      <c r="I40" s="33"/>
      <c r="J40" s="33"/>
      <c r="K40" s="33"/>
      <c r="L40" s="33"/>
      <c r="M40" s="33"/>
      <c r="N40" s="33"/>
      <c r="O40" s="33"/>
      <c r="P40" s="33"/>
      <c r="Q40" s="33"/>
      <c r="R40" s="17"/>
      <c r="S40" s="17"/>
      <c r="T40" s="17"/>
      <c r="U40" s="17"/>
      <c r="V40" s="17"/>
      <c r="W40" s="17"/>
      <c r="X40" s="17"/>
      <c r="Y40" s="17"/>
      <c r="Z40" s="17"/>
      <c r="AA40" s="17"/>
      <c r="AB40" s="17"/>
      <c r="AC40" s="17"/>
      <c r="AD40" s="17"/>
      <c r="AE40" s="17"/>
      <c r="AF40" s="18"/>
    </row>
    <row r="41" ht="15.5" customHeight="1">
      <c r="A41" s="12"/>
      <c r="B41" s="247"/>
      <c r="C41" s="248"/>
      <c r="D41" s="248"/>
      <c r="E41" s="249"/>
      <c r="F41" t="s" s="250">
        <v>4202</v>
      </c>
      <c r="G41" t="s" s="250">
        <v>4202</v>
      </c>
      <c r="H41" t="s" s="250">
        <v>4202</v>
      </c>
      <c r="I41" t="s" s="250">
        <v>4202</v>
      </c>
      <c r="J41" t="s" s="250">
        <v>4202</v>
      </c>
      <c r="K41" t="s" s="250">
        <v>4202</v>
      </c>
      <c r="L41" t="s" s="250">
        <v>4202</v>
      </c>
      <c r="M41" t="s" s="250">
        <v>4202</v>
      </c>
      <c r="N41" t="s" s="250">
        <v>4202</v>
      </c>
      <c r="O41" t="s" s="250">
        <v>4202</v>
      </c>
      <c r="P41" t="s" s="250">
        <v>4202</v>
      </c>
      <c r="Q41" s="251"/>
      <c r="R41" s="16"/>
      <c r="S41" s="17"/>
      <c r="T41" s="17"/>
      <c r="U41" s="17"/>
      <c r="V41" s="17"/>
      <c r="W41" s="17"/>
      <c r="X41" s="17"/>
      <c r="Y41" s="17"/>
      <c r="Z41" s="17"/>
      <c r="AA41" s="17"/>
      <c r="AB41" s="17"/>
      <c r="AC41" s="17"/>
      <c r="AD41" s="17"/>
      <c r="AE41" s="17"/>
      <c r="AF41" s="18"/>
    </row>
    <row r="42" ht="15" customHeight="1">
      <c r="A42" s="12"/>
      <c r="B42" s="2060"/>
      <c r="C42" s="253"/>
      <c r="D42" s="254"/>
      <c r="E42" s="255"/>
      <c r="F42" s="2059">
        <v>25</v>
      </c>
      <c r="G42" s="2059">
        <v>26</v>
      </c>
      <c r="H42" s="2059">
        <v>27</v>
      </c>
      <c r="I42" s="2059">
        <v>28</v>
      </c>
      <c r="J42" s="2059">
        <v>29</v>
      </c>
      <c r="K42" s="2059">
        <v>30</v>
      </c>
      <c r="L42" s="2059">
        <v>31</v>
      </c>
      <c r="M42" s="2059">
        <v>32</v>
      </c>
      <c r="N42" s="2059">
        <v>33</v>
      </c>
      <c r="O42" s="2059">
        <v>34</v>
      </c>
      <c r="P42" s="2059">
        <v>35</v>
      </c>
      <c r="Q42" s="257"/>
      <c r="R42" s="16"/>
      <c r="S42" s="17"/>
      <c r="T42" s="17"/>
      <c r="U42" s="17"/>
      <c r="V42" s="17"/>
      <c r="W42" s="17"/>
      <c r="X42" s="17"/>
      <c r="Y42" s="17"/>
      <c r="Z42" s="17"/>
      <c r="AA42" s="17"/>
      <c r="AB42" s="17"/>
      <c r="AC42" s="17"/>
      <c r="AD42" s="17"/>
      <c r="AE42" s="17"/>
      <c r="AF42" s="18"/>
    </row>
    <row r="43" ht="15" customHeight="1">
      <c r="A43" s="12"/>
      <c r="B43" t="s" s="258">
        <v>4211</v>
      </c>
      <c r="C43" s="259"/>
      <c r="D43" s="260"/>
      <c r="E43" s="261"/>
      <c r="F43" s="262"/>
      <c r="G43" s="262"/>
      <c r="H43" s="262"/>
      <c r="I43" s="262"/>
      <c r="J43" s="262"/>
      <c r="K43" s="262"/>
      <c r="L43" s="262"/>
      <c r="M43" s="262"/>
      <c r="N43" s="262"/>
      <c r="O43" s="262"/>
      <c r="P43" s="262"/>
      <c r="Q43" s="263"/>
      <c r="R43" s="16"/>
      <c r="S43" s="17"/>
      <c r="T43" s="17"/>
      <c r="U43" s="17"/>
      <c r="V43" s="17"/>
      <c r="W43" s="17"/>
      <c r="X43" s="17"/>
      <c r="Y43" s="17"/>
      <c r="Z43" s="17"/>
      <c r="AA43" s="17"/>
      <c r="AB43" s="17"/>
      <c r="AC43" s="17"/>
      <c r="AD43" s="17"/>
      <c r="AE43" s="17"/>
      <c r="AF43" s="18"/>
    </row>
    <row r="44" ht="16" customHeight="1">
      <c r="A44" s="12"/>
      <c r="B44" s="271"/>
      <c r="C44" s="272"/>
      <c r="D44" t="s" s="273">
        <v>4203</v>
      </c>
      <c r="E44" s="274" cm="1">
        <f t="array" ref="E44">50896.35*16272</f>
        <v>828185407.2</v>
      </c>
      <c r="F44" s="275">
        <v>31627800</v>
      </c>
      <c r="G44" s="275" cm="1">
        <f t="array" ref="G44">$F$44+(G42-$F$42)*500000</f>
        <v>32127800</v>
      </c>
      <c r="H44" s="275" cm="1">
        <f t="array" ref="H44">$F$44+(H42-$F$42)*500000</f>
        <v>32627800</v>
      </c>
      <c r="I44" s="275" cm="1">
        <f t="array" ref="I44">$F$44+(I42-$F$42)*500000</f>
        <v>33127800</v>
      </c>
      <c r="J44" s="275" cm="1">
        <f t="array" ref="J44">$F$44+(J42-$F$42)*500000</f>
        <v>33627800</v>
      </c>
      <c r="K44" s="275" cm="1">
        <f t="array" ref="K44">$F$44+(K42-$F$42)*500000</f>
        <v>34127800</v>
      </c>
      <c r="L44" s="275" cm="1">
        <f t="array" ref="L44">$F$44+(L42-$F$42)*500000</f>
        <v>34627800</v>
      </c>
      <c r="M44" s="275" cm="1">
        <f t="array" ref="M44">$F$44+(M42-$F$42)*500000</f>
        <v>35127800</v>
      </c>
      <c r="N44" s="275" cm="1">
        <f t="array" ref="N44">$F$44+(N42-$F$42)*500000</f>
        <v>35627800</v>
      </c>
      <c r="O44" s="275" cm="1">
        <f t="array" ref="O44">$F$44+(O42-$F$42)*500000</f>
        <v>36127800</v>
      </c>
      <c r="P44" s="275" cm="1">
        <f t="array" ref="P44">$F$44+(P42-$F$42)*500000</f>
        <v>36627800</v>
      </c>
      <c r="Q44" s="276"/>
      <c r="R44" s="16"/>
      <c r="S44" s="17"/>
      <c r="T44" s="17"/>
      <c r="U44" s="17"/>
      <c r="V44" s="17"/>
      <c r="W44" s="17"/>
      <c r="X44" s="17"/>
      <c r="Y44" s="17"/>
      <c r="Z44" s="17"/>
      <c r="AA44" s="17"/>
      <c r="AB44" s="17"/>
      <c r="AC44" s="17"/>
      <c r="AD44" s="17"/>
      <c r="AE44" s="17"/>
      <c r="AF44" s="18"/>
    </row>
    <row r="45" ht="16" customHeight="1">
      <c r="A45" s="12"/>
      <c r="B45" s="271"/>
      <c r="C45" s="272"/>
      <c r="D45" t="s" s="273">
        <v>4208</v>
      </c>
      <c r="E45" s="274" cm="1">
        <f t="array" ref="E45">50896.35*16272</f>
        <v>828185407.2</v>
      </c>
      <c r="F45" s="275">
        <v>30116000</v>
      </c>
      <c r="G45" s="275" cm="1">
        <f t="array" ref="G45">$F$45+(G42-$F$42)*500000</f>
        <v>30616000</v>
      </c>
      <c r="H45" s="275" cm="1">
        <f t="array" ref="H45">$F$45+(H42-$F$42)*500000</f>
        <v>31116000</v>
      </c>
      <c r="I45" s="275" cm="1">
        <f t="array" ref="I45">$F$45+(I42-$F$42)*500000</f>
        <v>31616000</v>
      </c>
      <c r="J45" s="275" cm="1">
        <f t="array" ref="J45">$F$45+(J42-$F$42)*500000</f>
        <v>32116000</v>
      </c>
      <c r="K45" s="275" cm="1">
        <f t="array" ref="K45">$F$45+(K42-$F$42)*500000</f>
        <v>32616000</v>
      </c>
      <c r="L45" s="275" cm="1">
        <f t="array" ref="L45">$F$45+(L42-$F$42)*500000</f>
        <v>33116000</v>
      </c>
      <c r="M45" s="275" cm="1">
        <f t="array" ref="M45">$F$45+(M42-$F$42)*500000</f>
        <v>33616000</v>
      </c>
      <c r="N45" s="275" cm="1">
        <f t="array" ref="N45">$F$45+(N42-$F$42)*500000</f>
        <v>34116000</v>
      </c>
      <c r="O45" s="275" cm="1">
        <f t="array" ref="O45">$F$45+(O42-$F$42)*500000</f>
        <v>34616000</v>
      </c>
      <c r="P45" s="275" cm="1">
        <f t="array" ref="P45">$F$45+(P42-$F$42)*500000</f>
        <v>35116000</v>
      </c>
      <c r="Q45" s="278"/>
      <c r="R45" s="16"/>
      <c r="S45" s="17"/>
      <c r="T45" s="17"/>
      <c r="U45" s="17"/>
      <c r="V45" s="17"/>
      <c r="W45" s="17"/>
      <c r="X45" s="17"/>
      <c r="Y45" s="17"/>
      <c r="Z45" s="17"/>
      <c r="AA45" s="17"/>
      <c r="AB45" s="17"/>
      <c r="AC45" s="17"/>
      <c r="AD45" s="17"/>
      <c r="AE45" s="17"/>
      <c r="AF45" s="18"/>
    </row>
    <row r="46" ht="15" customHeight="1">
      <c r="A46" s="570"/>
      <c r="B46" s="307"/>
      <c r="C46" s="308"/>
      <c r="D46" s="309"/>
      <c r="E46" s="310" cm="1">
        <f t="array" ref="E46">50896.35*16272</f>
        <v>828185407.2</v>
      </c>
      <c r="F46" s="311"/>
      <c r="G46" s="311"/>
      <c r="H46" s="311"/>
      <c r="I46" s="311"/>
      <c r="J46" s="311"/>
      <c r="K46" s="311"/>
      <c r="L46" s="311"/>
      <c r="M46" s="311"/>
      <c r="N46" s="311"/>
      <c r="O46" s="311"/>
      <c r="P46" s="311"/>
      <c r="Q46" s="312"/>
      <c r="R46" s="860"/>
      <c r="S46" s="193"/>
      <c r="T46" s="193"/>
      <c r="U46" s="193"/>
      <c r="V46" s="193"/>
      <c r="W46" s="193"/>
      <c r="X46" s="193"/>
      <c r="Y46" s="193"/>
      <c r="Z46" s="193"/>
      <c r="AA46" s="193"/>
      <c r="AB46" s="193"/>
      <c r="AC46" s="193"/>
      <c r="AD46" s="193"/>
      <c r="AE46" s="193"/>
      <c r="AF46" s="19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3.xml><?xml version="1.0" encoding="utf-8"?>
<worksheet xmlns:r="http://schemas.openxmlformats.org/officeDocument/2006/relationships" xmlns="http://schemas.openxmlformats.org/spreadsheetml/2006/main">
  <dimension ref="A1:L20"/>
  <sheetViews>
    <sheetView workbookViewId="0" showGridLines="0" defaultGridColor="1"/>
  </sheetViews>
  <sheetFormatPr defaultColWidth="8.83333" defaultRowHeight="12.5" customHeight="1" outlineLevelRow="0" outlineLevelCol="0"/>
  <cols>
    <col min="1" max="1" width="3.85156" style="2061" customWidth="1"/>
    <col min="2" max="2" width="23.1719" style="2061" customWidth="1"/>
    <col min="3" max="3" width="1.5" style="2061" customWidth="1"/>
    <col min="4" max="4" width="12.8516" style="2061" customWidth="1"/>
    <col min="5" max="5" width="1.5" style="2061" customWidth="1"/>
    <col min="6" max="6" width="12.8516" style="2061" customWidth="1"/>
    <col min="7" max="7" width="1.5" style="2061" customWidth="1"/>
    <col min="8" max="8" width="12.8516" style="2061" customWidth="1"/>
    <col min="9" max="9" width="1.5" style="2061" customWidth="1"/>
    <col min="10" max="10" width="12.8516" style="2061" customWidth="1"/>
    <col min="11" max="12" width="8.17188" style="2061" customWidth="1"/>
    <col min="13" max="16384" width="8.85156" style="2061" customWidth="1"/>
  </cols>
  <sheetData>
    <row r="1" ht="13" customHeight="1">
      <c r="A1" s="7"/>
      <c r="B1" s="925"/>
      <c r="C1" s="925"/>
      <c r="D1" s="925"/>
      <c r="E1" s="925"/>
      <c r="F1" s="925"/>
      <c r="G1" s="925"/>
      <c r="H1" s="925"/>
      <c r="I1" s="925"/>
      <c r="J1" s="925"/>
      <c r="K1" s="9"/>
      <c r="L1" s="11"/>
    </row>
    <row r="2" ht="26.5" customHeight="1">
      <c r="A2" s="362"/>
      <c r="B2" t="s" s="2062">
        <v>4213</v>
      </c>
      <c r="C2" s="2063"/>
      <c r="D2" t="s" s="2064">
        <v>4214</v>
      </c>
      <c r="E2" s="2065"/>
      <c r="F2" t="s" s="2064">
        <v>4215</v>
      </c>
      <c r="G2" s="2065"/>
      <c r="H2" t="s" s="2064">
        <v>4216</v>
      </c>
      <c r="I2" s="2066"/>
      <c r="J2" t="s" s="2067">
        <v>4217</v>
      </c>
      <c r="K2" s="132"/>
      <c r="L2" s="18"/>
    </row>
    <row r="3" ht="8.5" customHeight="1">
      <c r="A3" s="362"/>
      <c r="B3" s="2068"/>
      <c r="C3" s="2069"/>
      <c r="D3" s="2070"/>
      <c r="E3" s="2070"/>
      <c r="F3" s="2070"/>
      <c r="G3" s="2070"/>
      <c r="H3" s="2070"/>
      <c r="I3" s="2071"/>
      <c r="J3" s="2072"/>
      <c r="K3" s="132"/>
      <c r="L3" s="18"/>
    </row>
    <row r="4" ht="13" customHeight="1">
      <c r="A4" s="362"/>
      <c r="B4" t="s" s="2073">
        <v>4218</v>
      </c>
      <c r="C4" s="2074"/>
      <c r="D4" s="226"/>
      <c r="E4" s="212"/>
      <c r="F4" s="226"/>
      <c r="G4" s="212"/>
      <c r="H4" s="226"/>
      <c r="I4" s="224"/>
      <c r="J4" s="2075"/>
      <c r="K4" s="132"/>
      <c r="L4" s="18"/>
    </row>
    <row r="5" ht="13" customHeight="1">
      <c r="A5" s="362"/>
      <c r="B5" t="s" s="2076">
        <v>4219</v>
      </c>
      <c r="C5" s="2074"/>
      <c r="D5" s="226" cm="1">
        <f t="array" ref="D5">F5*0.75</f>
        <v>1125000</v>
      </c>
      <c r="E5" s="212"/>
      <c r="F5" s="226" cm="1">
        <f t="array" ref="F5">H5/0.8</f>
        <v>1500000</v>
      </c>
      <c r="G5" s="212"/>
      <c r="H5" s="226" cm="1">
        <f t="array" ref="H5">J5/0.75</f>
        <v>1200000</v>
      </c>
      <c r="I5" s="224"/>
      <c r="J5" s="2077" cm="1">
        <f t="array" ref="J5">900000</f>
        <v>900000</v>
      </c>
      <c r="K5" s="2078">
        <v>5</v>
      </c>
      <c r="L5" s="18"/>
    </row>
    <row r="6" ht="13" customHeight="1">
      <c r="A6" s="362"/>
      <c r="B6" t="s" s="2076">
        <v>4220</v>
      </c>
      <c r="C6" s="2074"/>
      <c r="D6" s="226" cm="1">
        <f t="array" ref="D6">F6*0.75</f>
        <v>1125000</v>
      </c>
      <c r="E6" s="212"/>
      <c r="F6" s="226" cm="1">
        <f t="array" ref="F6">H6/0.8</f>
        <v>1500000</v>
      </c>
      <c r="G6" s="212"/>
      <c r="H6" s="226" cm="1">
        <f t="array" ref="H6">J6/0.75</f>
        <v>1200000</v>
      </c>
      <c r="I6" s="224"/>
      <c r="J6" s="2077" cm="1">
        <f t="array" ref="J6">900000</f>
        <v>900000</v>
      </c>
      <c r="K6" s="2078">
        <v>4</v>
      </c>
      <c r="L6" s="18"/>
    </row>
    <row r="7" ht="13" customHeight="1">
      <c r="A7" s="362"/>
      <c r="B7" t="s" s="2076">
        <v>4221</v>
      </c>
      <c r="C7" s="2074"/>
      <c r="D7" s="226" cm="1">
        <f t="array" ref="D7">F7*0.75</f>
        <v>1125000</v>
      </c>
      <c r="E7" s="212"/>
      <c r="F7" s="226" cm="1">
        <f t="array" ref="F7">H7/0.8</f>
        <v>1500000</v>
      </c>
      <c r="G7" s="212"/>
      <c r="H7" s="226" cm="1">
        <f t="array" ref="H7">J7/0.75</f>
        <v>1200000</v>
      </c>
      <c r="I7" s="224"/>
      <c r="J7" s="2077" cm="1">
        <f t="array" ref="J7">900000</f>
        <v>900000</v>
      </c>
      <c r="K7" s="2078">
        <v>3</v>
      </c>
      <c r="L7" s="18"/>
    </row>
    <row r="8" ht="13" customHeight="1">
      <c r="A8" s="362"/>
      <c r="B8" t="s" s="2076">
        <v>4222</v>
      </c>
      <c r="C8" s="2074"/>
      <c r="D8" s="226" cm="1">
        <f t="array" ref="D8">F8*0.75</f>
        <v>1125000</v>
      </c>
      <c r="E8" s="212"/>
      <c r="F8" s="226" cm="1">
        <f t="array" ref="F8">H8/0.8</f>
        <v>1500000</v>
      </c>
      <c r="G8" s="212"/>
      <c r="H8" s="226" cm="1">
        <f t="array" ref="H8">J8/0.75</f>
        <v>1200000</v>
      </c>
      <c r="I8" s="224"/>
      <c r="J8" s="2077" cm="1">
        <f t="array" ref="J8">900000</f>
        <v>900000</v>
      </c>
      <c r="K8" s="2078">
        <v>2</v>
      </c>
      <c r="L8" s="18"/>
    </row>
    <row r="9" ht="13" customHeight="1">
      <c r="A9" s="362"/>
      <c r="B9" t="s" s="2076">
        <v>4223</v>
      </c>
      <c r="C9" s="2074"/>
      <c r="D9" s="226" cm="1">
        <f t="array" ref="D9">F9*0.75</f>
        <v>1125000</v>
      </c>
      <c r="E9" s="212"/>
      <c r="F9" s="226" cm="1">
        <f t="array" ref="F9">H9/0.8</f>
        <v>1500000</v>
      </c>
      <c r="G9" s="212"/>
      <c r="H9" s="226" cm="1">
        <f t="array" ref="H9">J9/0.75</f>
        <v>1200000</v>
      </c>
      <c r="I9" s="224"/>
      <c r="J9" s="2077" cm="1">
        <f t="array" ref="J9">900000</f>
        <v>900000</v>
      </c>
      <c r="K9" s="2078">
        <v>1</v>
      </c>
      <c r="L9" s="18"/>
    </row>
    <row r="10" ht="8.5" customHeight="1">
      <c r="A10" s="362"/>
      <c r="B10" s="2079"/>
      <c r="C10" s="2080"/>
      <c r="D10" s="2081"/>
      <c r="E10" s="2081"/>
      <c r="F10" s="2081"/>
      <c r="G10" s="2081"/>
      <c r="H10" s="2081"/>
      <c r="I10" s="2082"/>
      <c r="J10" s="2083"/>
      <c r="K10" s="132"/>
      <c r="L10" s="18"/>
    </row>
    <row r="11" ht="13" customHeight="1">
      <c r="A11" s="32"/>
      <c r="B11" s="945"/>
      <c r="C11" s="945"/>
      <c r="D11" s="945"/>
      <c r="E11" s="945"/>
      <c r="F11" s="945"/>
      <c r="G11" s="945"/>
      <c r="H11" s="945"/>
      <c r="I11" s="945"/>
      <c r="J11" s="945"/>
      <c r="K11" s="17"/>
      <c r="L11" s="18"/>
    </row>
    <row r="12" ht="26.5" customHeight="1">
      <c r="A12" s="362"/>
      <c r="B12" t="s" s="2062">
        <v>4224</v>
      </c>
      <c r="C12" s="2063"/>
      <c r="D12" t="s" s="2064">
        <v>4214</v>
      </c>
      <c r="E12" s="2065"/>
      <c r="F12" t="s" s="2064">
        <v>4215</v>
      </c>
      <c r="G12" s="2065"/>
      <c r="H12" t="s" s="2064">
        <v>4216</v>
      </c>
      <c r="I12" s="2066"/>
      <c r="J12" t="s" s="2067">
        <v>4217</v>
      </c>
      <c r="K12" s="132"/>
      <c r="L12" s="18"/>
    </row>
    <row r="13" ht="13" customHeight="1">
      <c r="A13" s="362"/>
      <c r="B13" s="2068"/>
      <c r="C13" s="2069"/>
      <c r="D13" s="2070"/>
      <c r="E13" s="2070"/>
      <c r="F13" s="2070"/>
      <c r="G13" s="2070"/>
      <c r="H13" s="2070"/>
      <c r="I13" s="2071"/>
      <c r="J13" s="2072"/>
      <c r="K13" s="132"/>
      <c r="L13" s="18"/>
    </row>
    <row r="14" ht="13" customHeight="1">
      <c r="A14" s="362"/>
      <c r="B14" t="s" s="2073">
        <v>4218</v>
      </c>
      <c r="C14" s="2074"/>
      <c r="D14" s="226"/>
      <c r="E14" s="212"/>
      <c r="F14" s="226"/>
      <c r="G14" s="212"/>
      <c r="H14" s="226"/>
      <c r="I14" s="224"/>
      <c r="J14" s="2075"/>
      <c r="K14" s="132"/>
      <c r="L14" s="18"/>
    </row>
    <row r="15" ht="13" customHeight="1">
      <c r="A15" s="362"/>
      <c r="B15" t="s" s="2076">
        <v>4219</v>
      </c>
      <c r="C15" s="2074"/>
      <c r="D15" s="226" cm="1">
        <f t="array" ref="D15">D5/$K5</f>
        <v>225000</v>
      </c>
      <c r="E15" s="212" cm="1">
        <f t="array" ref="E15">E5/$K5</f>
        <v>0</v>
      </c>
      <c r="F15" s="226" cm="1">
        <f t="array" ref="F15">F5/$K5</f>
        <v>300000</v>
      </c>
      <c r="G15" s="212" cm="1">
        <f t="array" ref="G15">G5/$K5</f>
        <v>0</v>
      </c>
      <c r="H15" s="226" cm="1">
        <f t="array" ref="H15">H5/$K5</f>
        <v>240000</v>
      </c>
      <c r="I15" s="224" cm="1">
        <f t="array" ref="I15">I5/$K5</f>
        <v>0</v>
      </c>
      <c r="J15" s="2077" cm="1">
        <f t="array" ref="J15">J5/$K5</f>
        <v>180000</v>
      </c>
      <c r="K15" s="2078">
        <v>5</v>
      </c>
      <c r="L15" s="2084"/>
    </row>
    <row r="16" ht="13" customHeight="1">
      <c r="A16" s="362"/>
      <c r="B16" t="s" s="2076">
        <v>4220</v>
      </c>
      <c r="C16" s="2074"/>
      <c r="D16" s="226" cm="1">
        <f t="array" ref="D16">D6/$K6</f>
        <v>281250</v>
      </c>
      <c r="E16" s="212" cm="1">
        <f t="array" ref="E16">E6/$K6</f>
        <v>0</v>
      </c>
      <c r="F16" s="226" cm="1">
        <f t="array" ref="F16">F6/$K6</f>
        <v>375000</v>
      </c>
      <c r="G16" s="212" cm="1">
        <f t="array" ref="G16">G6/$K6</f>
        <v>0</v>
      </c>
      <c r="H16" s="226" cm="1">
        <f t="array" ref="H16">H6/$K6</f>
        <v>300000</v>
      </c>
      <c r="I16" s="224" cm="1">
        <f t="array" ref="I16">I6/$K6</f>
        <v>0</v>
      </c>
      <c r="J16" s="2077" cm="1">
        <f t="array" ref="J16">J6/$K6</f>
        <v>225000</v>
      </c>
      <c r="K16" s="2078">
        <v>4</v>
      </c>
      <c r="L16" s="18"/>
    </row>
    <row r="17" ht="13" customHeight="1">
      <c r="A17" s="362"/>
      <c r="B17" t="s" s="2076">
        <v>4221</v>
      </c>
      <c r="C17" s="2074"/>
      <c r="D17" s="226" cm="1">
        <f t="array" ref="D17">D7/$K7</f>
        <v>375000</v>
      </c>
      <c r="E17" s="212" cm="1">
        <f t="array" ref="E17">E7/$K7</f>
        <v>0</v>
      </c>
      <c r="F17" s="226" cm="1">
        <f t="array" ref="F17">F7/$K7</f>
        <v>500000</v>
      </c>
      <c r="G17" s="212" cm="1">
        <f t="array" ref="G17">G7/$K7</f>
        <v>0</v>
      </c>
      <c r="H17" s="226" cm="1">
        <f t="array" ref="H17">H7/$K7</f>
        <v>400000</v>
      </c>
      <c r="I17" s="224" cm="1">
        <f t="array" ref="I17">I7/$K7</f>
        <v>0</v>
      </c>
      <c r="J17" s="2077" cm="1">
        <f t="array" ref="J17">J7/$K7</f>
        <v>300000</v>
      </c>
      <c r="K17" s="2078">
        <v>3</v>
      </c>
      <c r="L17" s="18"/>
    </row>
    <row r="18" ht="13" customHeight="1">
      <c r="A18" s="362"/>
      <c r="B18" t="s" s="2076">
        <v>4222</v>
      </c>
      <c r="C18" s="2074"/>
      <c r="D18" s="226" cm="1">
        <f t="array" ref="D18">D8/$K8</f>
        <v>562500</v>
      </c>
      <c r="E18" s="212" cm="1">
        <f t="array" ref="E18">E8/$K8</f>
        <v>0</v>
      </c>
      <c r="F18" s="226" cm="1">
        <f t="array" ref="F18">F8/$K8</f>
        <v>750000</v>
      </c>
      <c r="G18" s="212" cm="1">
        <f t="array" ref="G18">G8/$K8</f>
        <v>0</v>
      </c>
      <c r="H18" s="226" cm="1">
        <f t="array" ref="H18">H8/$K8</f>
        <v>600000</v>
      </c>
      <c r="I18" s="224" cm="1">
        <f t="array" ref="I18">I8/$K8</f>
        <v>0</v>
      </c>
      <c r="J18" s="2077" cm="1">
        <f t="array" ref="J18">J8/$K8</f>
        <v>450000</v>
      </c>
      <c r="K18" s="2078">
        <v>2</v>
      </c>
      <c r="L18" s="18"/>
    </row>
    <row r="19" ht="13" customHeight="1">
      <c r="A19" s="362"/>
      <c r="B19" t="s" s="2076">
        <v>4223</v>
      </c>
      <c r="C19" s="2074"/>
      <c r="D19" s="226" cm="1">
        <f t="array" ref="D19">D9/$K9</f>
        <v>1125000</v>
      </c>
      <c r="E19" s="212" cm="1">
        <f t="array" ref="E19">E9/$K9</f>
        <v>0</v>
      </c>
      <c r="F19" s="226" cm="1">
        <f t="array" ref="F19">F9/$K9</f>
        <v>1500000</v>
      </c>
      <c r="G19" s="212" cm="1">
        <f t="array" ref="G19">G9/$K9</f>
        <v>0</v>
      </c>
      <c r="H19" s="226" cm="1">
        <f t="array" ref="H19">H9/$K9</f>
        <v>1200000</v>
      </c>
      <c r="I19" s="224" cm="1">
        <f t="array" ref="I19">I9/$K9</f>
        <v>0</v>
      </c>
      <c r="J19" s="2077" cm="1">
        <f t="array" ref="J19">J9/$K9</f>
        <v>900000</v>
      </c>
      <c r="K19" s="2078">
        <v>1</v>
      </c>
      <c r="L19" s="18"/>
    </row>
    <row r="20" ht="13" customHeight="1">
      <c r="A20" s="951"/>
      <c r="B20" s="2079"/>
      <c r="C20" s="2080"/>
      <c r="D20" s="2081"/>
      <c r="E20" s="2081"/>
      <c r="F20" s="2081"/>
      <c r="G20" s="2081"/>
      <c r="H20" s="2081"/>
      <c r="I20" s="2082"/>
      <c r="J20" s="2083"/>
      <c r="K20" s="2056"/>
      <c r="L20" s="19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4.xml><?xml version="1.0" encoding="utf-8"?>
<worksheet xmlns:r="http://schemas.openxmlformats.org/officeDocument/2006/relationships" xmlns="http://schemas.openxmlformats.org/spreadsheetml/2006/main">
  <dimension ref="A1:I15"/>
  <sheetViews>
    <sheetView workbookViewId="0" showGridLines="0" defaultGridColor="1"/>
  </sheetViews>
  <sheetFormatPr defaultColWidth="8.83333" defaultRowHeight="12.5" customHeight="1" outlineLevelRow="0" outlineLevelCol="0"/>
  <cols>
    <col min="1" max="1" width="3.85156" style="2085" customWidth="1"/>
    <col min="2" max="2" width="24" style="2085" customWidth="1"/>
    <col min="3" max="3" width="1.5" style="2085" customWidth="1"/>
    <col min="4" max="4" width="27" style="2085" customWidth="1"/>
    <col min="5" max="5" width="1.5" style="2085" customWidth="1"/>
    <col min="6" max="6" width="10.3516" style="2085" customWidth="1"/>
    <col min="7" max="7" width="1.5" style="2085" customWidth="1"/>
    <col min="8" max="8" width="87.5" style="2085" customWidth="1"/>
    <col min="9" max="9" width="8.17188" style="2085" customWidth="1"/>
    <col min="10" max="16384" width="8.85156" style="2085" customWidth="1"/>
  </cols>
  <sheetData>
    <row r="1" ht="13" customHeight="1">
      <c r="A1" s="7"/>
      <c r="B1" s="925"/>
      <c r="C1" s="925"/>
      <c r="D1" s="925"/>
      <c r="E1" s="925"/>
      <c r="F1" s="925"/>
      <c r="G1" s="925"/>
      <c r="H1" s="925"/>
      <c r="I1" s="11"/>
    </row>
    <row r="2" ht="26.5" customHeight="1">
      <c r="A2" s="362"/>
      <c r="B2" t="s" s="2086">
        <v>4226</v>
      </c>
      <c r="C2" s="2063"/>
      <c r="D2" t="s" s="2064">
        <v>4227</v>
      </c>
      <c r="E2" s="2065"/>
      <c r="F2" t="s" s="2064">
        <v>1068</v>
      </c>
      <c r="G2" s="2065"/>
      <c r="H2" t="s" s="2067">
        <v>4228</v>
      </c>
      <c r="I2" s="929"/>
    </row>
    <row r="3" ht="8.5" customHeight="1">
      <c r="A3" s="362"/>
      <c r="B3" s="2068"/>
      <c r="C3" s="2069"/>
      <c r="D3" s="2087"/>
      <c r="E3" s="2070"/>
      <c r="F3" s="2070"/>
      <c r="G3" s="2070"/>
      <c r="H3" s="2072"/>
      <c r="I3" s="929"/>
    </row>
    <row r="4" ht="45" customHeight="1">
      <c r="A4" s="362"/>
      <c r="B4" t="s" s="2088">
        <v>4229</v>
      </c>
      <c r="C4" s="204"/>
      <c r="D4" t="s" s="2089">
        <v>4230</v>
      </c>
      <c r="E4" s="212"/>
      <c r="F4" s="787">
        <v>100000</v>
      </c>
      <c r="G4" s="212"/>
      <c r="H4" t="s" s="2090">
        <v>4231</v>
      </c>
      <c r="I4" s="2091"/>
    </row>
    <row r="5" ht="45.5" customHeight="1">
      <c r="A5" s="362"/>
      <c r="B5" t="s" s="2088">
        <v>4232</v>
      </c>
      <c r="C5" s="204"/>
      <c r="D5" t="s" s="2089">
        <v>4233</v>
      </c>
      <c r="E5" s="212"/>
      <c r="F5" s="787">
        <v>160000</v>
      </c>
      <c r="G5" s="212"/>
      <c r="H5" t="s" s="2090">
        <v>4234</v>
      </c>
      <c r="I5" s="2091"/>
    </row>
    <row r="6" ht="36" customHeight="1">
      <c r="A6" s="362"/>
      <c r="B6" t="s" s="2088">
        <v>4235</v>
      </c>
      <c r="C6" s="204"/>
      <c r="D6" t="s" s="2089">
        <v>4236</v>
      </c>
      <c r="E6" s="212"/>
      <c r="F6" s="787">
        <v>130000</v>
      </c>
      <c r="G6" s="212"/>
      <c r="H6" t="s" s="2090">
        <v>4237</v>
      </c>
      <c r="I6" s="2091"/>
    </row>
    <row r="7" ht="48" customHeight="1">
      <c r="A7" s="362"/>
      <c r="B7" t="s" s="2088">
        <v>4238</v>
      </c>
      <c r="C7" s="204"/>
      <c r="D7" t="s" s="2089">
        <v>4239</v>
      </c>
      <c r="E7" s="212"/>
      <c r="F7" s="787">
        <v>160000</v>
      </c>
      <c r="G7" s="212"/>
      <c r="H7" t="s" s="2090">
        <v>4240</v>
      </c>
      <c r="I7" s="2091"/>
    </row>
    <row r="8" ht="25" customHeight="1">
      <c r="A8" s="362"/>
      <c r="B8" t="s" s="2088">
        <v>4241</v>
      </c>
      <c r="C8" s="204"/>
      <c r="D8" t="s" s="2092">
        <v>4242</v>
      </c>
      <c r="E8" s="212"/>
      <c r="F8" t="s" s="2093">
        <v>4127</v>
      </c>
      <c r="G8" s="212"/>
      <c r="H8" t="s" s="2094">
        <v>4127</v>
      </c>
      <c r="I8" s="2091"/>
    </row>
    <row r="9" ht="25" customHeight="1">
      <c r="A9" s="362"/>
      <c r="B9" t="s" s="2088">
        <v>4243</v>
      </c>
      <c r="C9" s="204"/>
      <c r="D9" t="s" s="2092">
        <v>4244</v>
      </c>
      <c r="E9" s="212"/>
      <c r="F9" t="s" s="2093">
        <v>4127</v>
      </c>
      <c r="G9" s="212"/>
      <c r="H9" t="s" s="2094">
        <v>4127</v>
      </c>
      <c r="I9" s="2091"/>
    </row>
    <row r="10" ht="14" customHeight="1">
      <c r="A10" s="362"/>
      <c r="B10" t="s" s="2088">
        <v>4245</v>
      </c>
      <c r="C10" s="204"/>
      <c r="D10" t="s" s="2092">
        <v>4246</v>
      </c>
      <c r="E10" s="212"/>
      <c r="F10" t="s" s="2093">
        <v>4127</v>
      </c>
      <c r="G10" s="212"/>
      <c r="H10" t="s" s="2094">
        <v>4127</v>
      </c>
      <c r="I10" s="2091"/>
    </row>
    <row r="11" ht="14" customHeight="1">
      <c r="A11" s="362"/>
      <c r="B11" t="s" s="2088">
        <v>4247</v>
      </c>
      <c r="C11" s="204"/>
      <c r="D11" t="s" s="2089">
        <v>4248</v>
      </c>
      <c r="E11" s="212"/>
      <c r="F11" t="s" s="2093">
        <v>4127</v>
      </c>
      <c r="G11" s="212"/>
      <c r="H11" t="s" s="2094">
        <v>4127</v>
      </c>
      <c r="I11" s="2091"/>
    </row>
    <row r="12" ht="14" customHeight="1">
      <c r="A12" s="362"/>
      <c r="B12" t="s" s="2088">
        <v>4249</v>
      </c>
      <c r="C12" s="204"/>
      <c r="D12" t="s" s="2089">
        <v>4250</v>
      </c>
      <c r="E12" s="212"/>
      <c r="F12" t="s" s="2093">
        <v>4127</v>
      </c>
      <c r="G12" s="212"/>
      <c r="H12" t="s" s="2094">
        <v>4127</v>
      </c>
      <c r="I12" s="2091"/>
    </row>
    <row r="13" ht="14" customHeight="1">
      <c r="A13" s="362"/>
      <c r="B13" t="s" s="2088">
        <v>4251</v>
      </c>
      <c r="C13" s="204"/>
      <c r="D13" t="s" s="2089">
        <v>4252</v>
      </c>
      <c r="E13" s="212"/>
      <c r="F13" t="s" s="2093">
        <v>4127</v>
      </c>
      <c r="G13" s="212"/>
      <c r="H13" t="s" s="2094">
        <v>4127</v>
      </c>
      <c r="I13" s="2091"/>
    </row>
    <row r="14" ht="14" customHeight="1">
      <c r="A14" s="362"/>
      <c r="B14" t="s" s="2088">
        <v>4253</v>
      </c>
      <c r="C14" s="204"/>
      <c r="D14" t="s" s="2089">
        <v>4254</v>
      </c>
      <c r="E14" s="212"/>
      <c r="F14" t="s" s="2093">
        <v>4127</v>
      </c>
      <c r="G14" s="212"/>
      <c r="H14" t="s" s="2094">
        <v>4127</v>
      </c>
      <c r="I14" s="2091"/>
    </row>
    <row r="15" ht="8.5" customHeight="1">
      <c r="A15" s="951"/>
      <c r="B15" s="2095"/>
      <c r="C15" s="2080"/>
      <c r="D15" s="2096"/>
      <c r="E15" s="2081"/>
      <c r="F15" s="2081"/>
      <c r="G15" s="2081"/>
      <c r="H15" s="2097"/>
      <c r="I15" s="95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5.xml><?xml version="1.0" encoding="utf-8"?>
<worksheet xmlns:r="http://schemas.openxmlformats.org/officeDocument/2006/relationships" xmlns="http://schemas.openxmlformats.org/spreadsheetml/2006/main">
  <dimension ref="A1:O41"/>
  <sheetViews>
    <sheetView workbookViewId="0" showGridLines="0" defaultGridColor="1"/>
  </sheetViews>
  <sheetFormatPr defaultColWidth="8.83333" defaultRowHeight="14.5" customHeight="1" outlineLevelRow="0" outlineLevelCol="0"/>
  <cols>
    <col min="1" max="1" width="5" style="2098" customWidth="1"/>
    <col min="2" max="2" width="29.5" style="2098" customWidth="1"/>
    <col min="3" max="3" width="19.3516" style="2098" customWidth="1"/>
    <col min="4" max="4" width="9.85156" style="2098" customWidth="1"/>
    <col min="5" max="5" width="8.85156" style="2098" customWidth="1"/>
    <col min="6" max="6" width="28.8516" style="2098" customWidth="1"/>
    <col min="7" max="7" width="15.1719" style="2098" customWidth="1"/>
    <col min="8" max="8" width="8" style="2098" customWidth="1"/>
    <col min="9" max="15" width="8.85156" style="2098" customWidth="1"/>
    <col min="16" max="16384" width="8.85156" style="2098" customWidth="1"/>
  </cols>
  <sheetData>
    <row r="1" ht="13.55" customHeight="1">
      <c r="A1" s="1789"/>
      <c r="B1" s="1789"/>
      <c r="C1" s="1789"/>
      <c r="D1" s="1789"/>
      <c r="E1" s="1789"/>
      <c r="F1" s="1789"/>
      <c r="G1" s="1789"/>
      <c r="H1" s="1789"/>
      <c r="I1" s="1789"/>
      <c r="J1" s="1789"/>
      <c r="K1" s="1789"/>
      <c r="L1" s="1789"/>
      <c r="M1" s="1789"/>
      <c r="N1" s="1789"/>
      <c r="O1" s="1789"/>
    </row>
    <row r="2" ht="15" customHeight="1">
      <c r="A2" s="1789"/>
      <c r="B2" t="s" s="2099">
        <v>4256</v>
      </c>
      <c r="C2" s="2100"/>
      <c r="D2" s="2100"/>
      <c r="E2" s="1789"/>
      <c r="F2" t="s" s="2099">
        <v>4257</v>
      </c>
      <c r="G2" s="2100"/>
      <c r="H2" s="2100"/>
      <c r="I2" s="1789"/>
      <c r="J2" s="1789"/>
      <c r="K2" s="1789"/>
      <c r="L2" s="1789"/>
      <c r="M2" s="1789"/>
      <c r="N2" s="1789"/>
      <c r="O2" s="1789"/>
    </row>
    <row r="3" ht="15" customHeight="1">
      <c r="A3" s="1789"/>
      <c r="B3" t="s" s="1874">
        <v>4258</v>
      </c>
      <c r="C3" t="s" s="1874">
        <v>4259</v>
      </c>
      <c r="D3" t="s" s="1874">
        <v>4260</v>
      </c>
      <c r="E3" s="2101"/>
      <c r="F3" t="s" s="1874">
        <v>4258</v>
      </c>
      <c r="G3" t="s" s="1874">
        <v>4259</v>
      </c>
      <c r="H3" t="s" s="1874">
        <v>4202</v>
      </c>
      <c r="I3" s="1789"/>
      <c r="J3" s="1789"/>
      <c r="K3" s="1789"/>
      <c r="L3" s="1789"/>
      <c r="M3" s="1789"/>
      <c r="N3" s="1789"/>
      <c r="O3" s="1789"/>
    </row>
    <row r="4" ht="13.75" customHeight="1">
      <c r="A4" s="1789"/>
      <c r="B4" t="s" s="2102">
        <v>184</v>
      </c>
      <c r="C4" s="2103">
        <v>6500000</v>
      </c>
      <c r="D4" t="s" s="2102">
        <v>4261</v>
      </c>
      <c r="E4" s="2104"/>
      <c r="F4" t="s" s="1799">
        <v>214</v>
      </c>
      <c r="G4" s="2103">
        <v>2700000</v>
      </c>
      <c r="H4" s="2105">
        <v>12</v>
      </c>
      <c r="I4" s="1789"/>
      <c r="J4" s="1789"/>
      <c r="K4" s="1789"/>
      <c r="L4" s="1789"/>
      <c r="M4" s="1789"/>
      <c r="N4" s="1789"/>
      <c r="O4" t="s" s="1799">
        <v>2193</v>
      </c>
    </row>
    <row r="5" ht="13.75" customHeight="1">
      <c r="A5" s="1789"/>
      <c r="B5" t="s" s="2102">
        <v>194</v>
      </c>
      <c r="C5" s="2103">
        <v>5000000</v>
      </c>
      <c r="D5" t="s" s="2102">
        <v>4261</v>
      </c>
      <c r="E5" s="2104"/>
      <c r="F5" t="s" s="1799">
        <v>211</v>
      </c>
      <c r="G5" s="2103">
        <v>19000000</v>
      </c>
      <c r="H5" s="2105">
        <v>20</v>
      </c>
      <c r="I5" s="1789"/>
      <c r="J5" s="1789"/>
      <c r="K5" s="1789"/>
      <c r="L5" s="1789"/>
      <c r="M5" s="1789"/>
      <c r="N5" s="1789"/>
      <c r="O5" t="s" s="1799">
        <v>2193</v>
      </c>
    </row>
    <row r="6" ht="13.75" customHeight="1">
      <c r="A6" s="1789"/>
      <c r="B6" t="s" s="2102">
        <v>188</v>
      </c>
      <c r="C6" s="2103">
        <v>1600000</v>
      </c>
      <c r="D6" t="s" s="2102">
        <v>4261</v>
      </c>
      <c r="E6" s="2104"/>
      <c r="F6" t="s" s="1799">
        <v>210</v>
      </c>
      <c r="G6" s="2103">
        <v>19000000</v>
      </c>
      <c r="H6" s="2105">
        <v>14</v>
      </c>
      <c r="I6" s="1789"/>
      <c r="J6" s="1789"/>
      <c r="K6" s="1789"/>
      <c r="L6" s="1789"/>
      <c r="M6" s="1789"/>
      <c r="N6" s="1789"/>
      <c r="O6" t="s" s="1799">
        <v>2193</v>
      </c>
    </row>
    <row r="7" ht="13.75" customHeight="1">
      <c r="A7" s="1789"/>
      <c r="B7" t="s" s="2102">
        <v>193</v>
      </c>
      <c r="C7" s="2103">
        <v>500000</v>
      </c>
      <c r="D7" t="s" s="2102">
        <v>4261</v>
      </c>
      <c r="E7" s="2104"/>
      <c r="F7" t="s" s="1799">
        <v>205</v>
      </c>
      <c r="G7" s="2103">
        <v>21100000</v>
      </c>
      <c r="H7" s="2105">
        <v>14</v>
      </c>
      <c r="I7" s="1789"/>
      <c r="J7" s="1789"/>
      <c r="K7" s="1789"/>
      <c r="L7" s="1789"/>
      <c r="M7" s="1789"/>
      <c r="N7" s="1789"/>
      <c r="O7" t="s" s="1799">
        <v>2193</v>
      </c>
    </row>
    <row r="8" ht="13.75" customHeight="1">
      <c r="A8" s="1789"/>
      <c r="B8" t="s" s="2102">
        <v>191</v>
      </c>
      <c r="C8" s="2103">
        <v>0</v>
      </c>
      <c r="D8" t="s" s="2102">
        <v>4261</v>
      </c>
      <c r="E8" s="2104"/>
      <c r="F8" t="s" s="1799">
        <v>195</v>
      </c>
      <c r="G8" s="2103">
        <v>11500000</v>
      </c>
      <c r="H8" s="2105">
        <v>12</v>
      </c>
      <c r="I8" s="1789"/>
      <c r="J8" s="1789"/>
      <c r="K8" s="1789"/>
      <c r="L8" s="1789"/>
      <c r="M8" s="1789"/>
      <c r="N8" s="1789"/>
      <c r="O8" t="s" s="1799">
        <v>2193</v>
      </c>
    </row>
    <row r="9" ht="13.75" customHeight="1">
      <c r="A9" s="1789"/>
      <c r="B9" t="s" s="2102">
        <v>189</v>
      </c>
      <c r="C9" s="2103">
        <v>17000000</v>
      </c>
      <c r="D9" t="s" s="2102">
        <v>4261</v>
      </c>
      <c r="E9" s="2104"/>
      <c r="F9" t="s" s="1799">
        <v>206</v>
      </c>
      <c r="G9" s="2103">
        <v>11500000</v>
      </c>
      <c r="H9" s="2105">
        <v>12</v>
      </c>
      <c r="I9" s="1789"/>
      <c r="J9" s="1789"/>
      <c r="K9" s="1789"/>
      <c r="L9" s="1789"/>
      <c r="M9" s="1789"/>
      <c r="N9" s="1789"/>
      <c r="O9" t="s" s="1799">
        <v>2193</v>
      </c>
    </row>
    <row r="10" ht="13.75" customHeight="1">
      <c r="A10" s="1789"/>
      <c r="B10" t="s" s="2102">
        <v>199</v>
      </c>
      <c r="C10" s="2103">
        <v>1600000</v>
      </c>
      <c r="D10" t="s" s="2102">
        <v>4261</v>
      </c>
      <c r="E10" s="2104"/>
      <c r="F10" t="s" s="1799">
        <v>209</v>
      </c>
      <c r="G10" s="2103">
        <v>13900000</v>
      </c>
      <c r="H10" s="2105">
        <v>10</v>
      </c>
      <c r="I10" s="1789"/>
      <c r="J10" s="1789"/>
      <c r="K10" s="1789"/>
      <c r="L10" s="1789"/>
      <c r="M10" s="1789"/>
      <c r="N10" s="1789"/>
      <c r="O10" t="s" s="1799">
        <v>2193</v>
      </c>
    </row>
    <row r="11" ht="13.75" customHeight="1">
      <c r="A11" s="1789"/>
      <c r="B11" t="s" s="2102">
        <v>198</v>
      </c>
      <c r="C11" s="2103">
        <v>0</v>
      </c>
      <c r="D11" t="s" s="2102">
        <v>4261</v>
      </c>
      <c r="E11" s="2104"/>
      <c r="F11" t="s" s="1799">
        <v>4262</v>
      </c>
      <c r="G11" s="2103">
        <v>19000000</v>
      </c>
      <c r="H11" s="2105">
        <v>30</v>
      </c>
      <c r="I11" s="1789"/>
      <c r="J11" s="1789"/>
      <c r="K11" s="1789"/>
      <c r="L11" s="1789"/>
      <c r="M11" s="1789"/>
      <c r="N11" s="1789"/>
      <c r="O11" t="s" s="1799">
        <v>2193</v>
      </c>
    </row>
    <row r="12" ht="13.75" customHeight="1">
      <c r="A12" s="1789"/>
      <c r="B12" t="s" s="2102">
        <v>202</v>
      </c>
      <c r="C12" s="2103">
        <v>0</v>
      </c>
      <c r="D12" t="s" s="2102">
        <v>4261</v>
      </c>
      <c r="E12" s="2104"/>
      <c r="F12" t="s" s="1799">
        <v>183</v>
      </c>
      <c r="G12" s="2103">
        <v>4000000</v>
      </c>
      <c r="H12" s="2105">
        <v>14</v>
      </c>
      <c r="I12" s="1789"/>
      <c r="J12" s="1789"/>
      <c r="K12" s="1789"/>
      <c r="L12" s="1789"/>
      <c r="M12" s="1789"/>
      <c r="N12" s="1789"/>
      <c r="O12" t="s" s="1799">
        <v>2193</v>
      </c>
    </row>
    <row r="13" ht="13.75" customHeight="1">
      <c r="A13" s="1789"/>
      <c r="B13" t="s" s="2102">
        <v>203</v>
      </c>
      <c r="C13" s="2103">
        <v>3000000</v>
      </c>
      <c r="D13" t="s" s="2102">
        <v>4261</v>
      </c>
      <c r="E13" s="2104"/>
      <c r="F13" t="s" s="1799">
        <v>203</v>
      </c>
      <c r="G13" s="2103">
        <v>1700000</v>
      </c>
      <c r="H13" s="2105">
        <v>8</v>
      </c>
      <c r="I13" t="s" s="1799">
        <v>4263</v>
      </c>
      <c r="J13" s="1789"/>
      <c r="K13" s="1789"/>
      <c r="L13" s="1789"/>
      <c r="M13" s="1789"/>
      <c r="N13" s="1789"/>
      <c r="O13" t="s" s="1799">
        <v>2193</v>
      </c>
    </row>
    <row r="14" ht="13.75" customHeight="1">
      <c r="A14" s="1789"/>
      <c r="B14" t="s" s="2102">
        <v>195</v>
      </c>
      <c r="C14" s="2103">
        <v>11500000</v>
      </c>
      <c r="D14" t="s" s="2102">
        <v>4261</v>
      </c>
      <c r="E14" s="2104"/>
      <c r="F14" t="s" s="1799">
        <v>197</v>
      </c>
      <c r="G14" s="2103">
        <v>2500000</v>
      </c>
      <c r="H14" s="2105">
        <v>14</v>
      </c>
      <c r="I14" t="s" s="1799">
        <v>4264</v>
      </c>
      <c r="J14" s="1789"/>
      <c r="K14" s="1789"/>
      <c r="L14" s="1789"/>
      <c r="M14" s="1789"/>
      <c r="N14" s="1789"/>
      <c r="O14" t="s" s="1799">
        <v>2193</v>
      </c>
    </row>
    <row r="15" ht="13.75" customHeight="1">
      <c r="A15" s="1789"/>
      <c r="B15" t="s" s="2102">
        <v>187</v>
      </c>
      <c r="C15" s="2103">
        <v>1600000</v>
      </c>
      <c r="D15" t="s" s="2102">
        <v>4261</v>
      </c>
      <c r="E15" s="2104"/>
      <c r="F15" t="s" s="1799">
        <v>202</v>
      </c>
      <c r="G15" s="2103">
        <v>2900000</v>
      </c>
      <c r="H15" s="2105">
        <v>10</v>
      </c>
      <c r="I15" t="s" s="1799">
        <v>4265</v>
      </c>
      <c r="J15" s="1789"/>
      <c r="K15" s="1789"/>
      <c r="L15" s="1789"/>
      <c r="M15" s="1789"/>
      <c r="N15" s="1789"/>
      <c r="O15" t="s" s="1799">
        <v>2193</v>
      </c>
    </row>
    <row r="16" ht="13.75" customHeight="1">
      <c r="A16" s="1789"/>
      <c r="B16" t="s" s="2102">
        <v>197</v>
      </c>
      <c r="C16" s="2103">
        <v>4000000</v>
      </c>
      <c r="D16" t="s" s="2102">
        <v>4261</v>
      </c>
      <c r="E16" s="2104"/>
      <c r="F16" t="s" s="1799">
        <v>193</v>
      </c>
      <c r="G16" s="2103">
        <v>500000</v>
      </c>
      <c r="H16" s="2105">
        <v>8</v>
      </c>
      <c r="I16" s="1789"/>
      <c r="J16" s="1789"/>
      <c r="K16" s="1789"/>
      <c r="L16" s="1789"/>
      <c r="M16" s="1789"/>
      <c r="N16" s="1789"/>
      <c r="O16" t="s" s="1799">
        <v>2193</v>
      </c>
    </row>
    <row r="17" ht="13.75" customHeight="1">
      <c r="A17" s="1789"/>
      <c r="B17" t="s" s="2102">
        <v>186</v>
      </c>
      <c r="C17" s="2103">
        <v>3000000</v>
      </c>
      <c r="D17" t="s" s="2102">
        <v>4261</v>
      </c>
      <c r="E17" s="2104"/>
      <c r="F17" t="s" s="1799">
        <v>189</v>
      </c>
      <c r="G17" s="2103">
        <v>17000000</v>
      </c>
      <c r="H17" s="2105">
        <v>20</v>
      </c>
      <c r="I17" s="1789"/>
      <c r="J17" s="1789"/>
      <c r="K17" s="1789"/>
      <c r="L17" s="1789"/>
      <c r="M17" s="1789"/>
      <c r="N17" s="1789"/>
      <c r="O17" t="s" s="1799">
        <v>2193</v>
      </c>
    </row>
    <row r="18" ht="13.75" customHeight="1">
      <c r="A18" s="1789"/>
      <c r="B18" t="s" s="2102">
        <v>964</v>
      </c>
      <c r="C18" s="2103">
        <v>0</v>
      </c>
      <c r="D18" t="s" s="2102">
        <v>4261</v>
      </c>
      <c r="E18" s="2104"/>
      <c r="F18" t="s" s="1799">
        <v>199</v>
      </c>
      <c r="G18" s="2103">
        <v>1600000</v>
      </c>
      <c r="H18" s="2105">
        <v>10</v>
      </c>
      <c r="I18" s="1789"/>
      <c r="J18" s="1789"/>
      <c r="K18" s="1789"/>
      <c r="L18" s="1789"/>
      <c r="M18" s="1789"/>
      <c r="N18" s="1789"/>
      <c r="O18" t="s" s="1799">
        <v>2193</v>
      </c>
    </row>
    <row r="19" ht="13.75" customHeight="1">
      <c r="A19" s="1789"/>
      <c r="B19" t="s" s="2102">
        <v>183</v>
      </c>
      <c r="C19" s="2103">
        <v>4000000</v>
      </c>
      <c r="D19" t="s" s="2102">
        <v>4261</v>
      </c>
      <c r="E19" s="2104"/>
      <c r="F19" t="s" s="1799">
        <v>187</v>
      </c>
      <c r="G19" s="2103">
        <v>1600000</v>
      </c>
      <c r="H19" s="2105">
        <v>13</v>
      </c>
      <c r="I19" s="1789"/>
      <c r="J19" s="1789"/>
      <c r="K19" s="1789"/>
      <c r="L19" s="1789"/>
      <c r="M19" s="1789"/>
      <c r="N19" s="1789"/>
      <c r="O19" t="s" s="1799">
        <v>2193</v>
      </c>
    </row>
    <row r="20" ht="13.75" customHeight="1">
      <c r="A20" s="1789"/>
      <c r="B20" t="s" s="2102">
        <v>4266</v>
      </c>
      <c r="C20" s="2103">
        <v>2000000</v>
      </c>
      <c r="D20" t="s" s="2102">
        <v>4261</v>
      </c>
      <c r="E20" s="2104"/>
      <c r="F20" t="s" s="1799">
        <v>185</v>
      </c>
      <c r="G20" s="2103">
        <v>1600000</v>
      </c>
      <c r="H20" s="2105">
        <v>13</v>
      </c>
      <c r="I20" s="1789"/>
      <c r="J20" s="1789"/>
      <c r="K20" s="1789"/>
      <c r="L20" s="1789"/>
      <c r="M20" s="1789"/>
      <c r="N20" s="1789"/>
      <c r="O20" t="s" s="1799">
        <v>2193</v>
      </c>
    </row>
    <row r="21" ht="13.75" customHeight="1">
      <c r="A21" s="1789"/>
      <c r="B21" t="s" s="2102">
        <v>4267</v>
      </c>
      <c r="C21" s="2103">
        <v>1600000</v>
      </c>
      <c r="D21" t="s" s="2102">
        <v>4261</v>
      </c>
      <c r="E21" s="2104"/>
      <c r="F21" t="s" s="1799">
        <v>184</v>
      </c>
      <c r="G21" s="2103">
        <v>6500000</v>
      </c>
      <c r="H21" s="2105">
        <v>15</v>
      </c>
      <c r="I21" s="1789"/>
      <c r="J21" s="1789"/>
      <c r="K21" s="1789"/>
      <c r="L21" s="1789"/>
      <c r="M21" s="1789"/>
      <c r="N21" s="1789"/>
      <c r="O21" t="s" s="1799">
        <v>2193</v>
      </c>
    </row>
    <row r="22" ht="13.75" customHeight="1">
      <c r="A22" s="1789"/>
      <c r="B22" t="s" s="2102">
        <v>4268</v>
      </c>
      <c r="C22" s="2103">
        <v>19000000</v>
      </c>
      <c r="D22" t="s" s="2102">
        <v>4261</v>
      </c>
      <c r="E22" s="2104"/>
      <c r="F22" t="s" s="1799">
        <v>192</v>
      </c>
      <c r="G22" s="2103">
        <v>300000</v>
      </c>
      <c r="H22" s="2105">
        <v>12</v>
      </c>
      <c r="I22" s="1789"/>
      <c r="J22" s="1789"/>
      <c r="K22" s="1789"/>
      <c r="L22" s="1789"/>
      <c r="M22" s="1789"/>
      <c r="N22" s="1789"/>
      <c r="O22" t="s" s="1799">
        <v>2193</v>
      </c>
    </row>
    <row r="23" ht="13.75" customHeight="1">
      <c r="A23" s="1789"/>
      <c r="B23" t="s" s="2102">
        <v>185</v>
      </c>
      <c r="C23" s="2103">
        <v>1600000</v>
      </c>
      <c r="D23" t="s" s="2102">
        <v>4261</v>
      </c>
      <c r="E23" s="2104"/>
      <c r="F23" t="s" s="1799">
        <v>212</v>
      </c>
      <c r="G23" s="2103">
        <v>18500000</v>
      </c>
      <c r="H23" s="2105">
        <v>12</v>
      </c>
      <c r="I23" s="1789"/>
      <c r="J23" s="1789"/>
      <c r="K23" s="1789"/>
      <c r="L23" s="1789"/>
      <c r="M23" s="1789"/>
      <c r="N23" s="1789"/>
      <c r="O23" s="1789"/>
    </row>
    <row r="24" ht="13.75" customHeight="1">
      <c r="A24" s="1789"/>
      <c r="B24" t="s" s="2102">
        <v>214</v>
      </c>
      <c r="C24" s="2103">
        <v>3700000</v>
      </c>
      <c r="D24" t="s" s="2102">
        <v>4261</v>
      </c>
      <c r="E24" s="2104"/>
      <c r="F24" t="s" s="1799">
        <v>201</v>
      </c>
      <c r="G24" s="2103">
        <v>25000000</v>
      </c>
      <c r="H24" s="2105">
        <v>30</v>
      </c>
      <c r="I24" s="1789"/>
      <c r="J24" s="1789"/>
      <c r="K24" s="1789"/>
      <c r="L24" s="1789"/>
      <c r="M24" s="1789"/>
      <c r="N24" s="1789"/>
      <c r="O24" s="1789"/>
    </row>
    <row r="25" ht="13.75" customHeight="1">
      <c r="A25" s="1789"/>
      <c r="B25" t="s" s="2102">
        <v>211</v>
      </c>
      <c r="C25" s="2103">
        <v>19000000</v>
      </c>
      <c r="D25" t="s" s="2102">
        <v>4261</v>
      </c>
      <c r="E25" s="2104"/>
      <c r="F25" t="s" s="1799">
        <v>200</v>
      </c>
      <c r="G25" s="2103">
        <v>18000000</v>
      </c>
      <c r="H25" s="2105">
        <v>30</v>
      </c>
      <c r="I25" s="1789"/>
      <c r="J25" s="1789"/>
      <c r="K25" s="1789"/>
      <c r="L25" s="1789"/>
      <c r="M25" s="1789"/>
      <c r="N25" s="1789"/>
      <c r="O25" s="1789"/>
    </row>
    <row r="26" ht="13.75" customHeight="1">
      <c r="A26" s="1789"/>
      <c r="B26" t="s" s="2102">
        <v>210</v>
      </c>
      <c r="C26" s="2103">
        <v>19000000</v>
      </c>
      <c r="D26" t="s" s="2102">
        <v>4261</v>
      </c>
      <c r="E26" s="2104"/>
      <c r="F26" t="s" s="1799">
        <v>213</v>
      </c>
      <c r="G26" s="2103">
        <v>28800000</v>
      </c>
      <c r="H26" s="2105">
        <v>25</v>
      </c>
      <c r="I26" s="1789"/>
      <c r="J26" s="1789"/>
      <c r="K26" s="1789"/>
      <c r="L26" s="1789"/>
      <c r="M26" s="1789"/>
      <c r="N26" s="1789"/>
      <c r="O26" s="1789"/>
    </row>
    <row r="27" ht="13.75" customHeight="1">
      <c r="A27" s="1789"/>
      <c r="B27" t="s" s="2102">
        <v>205</v>
      </c>
      <c r="C27" s="2103">
        <v>21100000</v>
      </c>
      <c r="D27" t="s" s="2102">
        <v>4261</v>
      </c>
      <c r="E27" s="2104"/>
      <c r="F27" t="s" s="1799">
        <v>208</v>
      </c>
      <c r="G27" s="2103">
        <v>29700000</v>
      </c>
      <c r="H27" s="2105">
        <v>18</v>
      </c>
      <c r="I27" s="1789"/>
      <c r="J27" s="1789"/>
      <c r="K27" s="1789"/>
      <c r="L27" s="1789"/>
      <c r="M27" s="1789"/>
      <c r="N27" s="1789"/>
      <c r="O27" s="1789"/>
    </row>
    <row r="28" ht="13.75" customHeight="1">
      <c r="A28" s="1789"/>
      <c r="B28" t="s" s="2102">
        <v>206</v>
      </c>
      <c r="C28" s="2103">
        <v>13500000</v>
      </c>
      <c r="D28" t="s" s="2102">
        <v>4261</v>
      </c>
      <c r="E28" s="2104"/>
      <c r="F28" t="s" s="1799">
        <v>191</v>
      </c>
      <c r="G28" s="2103">
        <v>0</v>
      </c>
      <c r="H28" s="2105">
        <v>8</v>
      </c>
      <c r="I28" s="1789"/>
      <c r="J28" s="1789"/>
      <c r="K28" s="1789"/>
      <c r="L28" s="1789"/>
      <c r="M28" s="1789"/>
      <c r="N28" s="1789"/>
      <c r="O28" s="1789"/>
    </row>
    <row r="29" ht="13.75" customHeight="1">
      <c r="A29" s="1789"/>
      <c r="B29" t="s" s="2102">
        <v>4269</v>
      </c>
      <c r="C29" s="2103">
        <v>11500000</v>
      </c>
      <c r="D29" t="s" s="2102">
        <v>4261</v>
      </c>
      <c r="E29" s="2104"/>
      <c r="F29" t="s" s="1799">
        <v>186</v>
      </c>
      <c r="G29" s="2103">
        <v>3000000</v>
      </c>
      <c r="H29" s="2105">
        <v>13</v>
      </c>
      <c r="I29" s="1789"/>
      <c r="J29" s="1789"/>
      <c r="K29" s="1789"/>
      <c r="L29" s="1789"/>
      <c r="M29" s="1789"/>
      <c r="N29" s="1789"/>
      <c r="O29" s="1789"/>
    </row>
    <row r="30" ht="13.75" customHeight="1">
      <c r="A30" s="1789"/>
      <c r="B30" t="s" s="2102">
        <v>212</v>
      </c>
      <c r="C30" s="2103">
        <v>18500000</v>
      </c>
      <c r="D30" t="s" s="2102">
        <v>4261</v>
      </c>
      <c r="E30" s="2104"/>
      <c r="F30" t="s" s="1799">
        <v>194</v>
      </c>
      <c r="G30" s="2103">
        <v>5000000</v>
      </c>
      <c r="H30" s="2105">
        <v>15</v>
      </c>
      <c r="I30" s="1789"/>
      <c r="J30" s="1789"/>
      <c r="K30" s="1789"/>
      <c r="L30" s="1789"/>
      <c r="M30" s="1789"/>
      <c r="N30" s="1789"/>
      <c r="O30" s="1789"/>
    </row>
    <row r="31" ht="13.75" customHeight="1">
      <c r="A31" s="1789"/>
      <c r="B31" t="s" s="2102">
        <v>213</v>
      </c>
      <c r="C31" s="2103">
        <v>28800000</v>
      </c>
      <c r="D31" t="s" s="2102">
        <v>4261</v>
      </c>
      <c r="E31" s="2104"/>
      <c r="F31" t="s" s="1799">
        <v>4270</v>
      </c>
      <c r="G31" s="2103">
        <v>1600000</v>
      </c>
      <c r="H31" s="2105">
        <v>13</v>
      </c>
      <c r="I31" s="1789"/>
      <c r="J31" s="1789"/>
      <c r="K31" s="1789"/>
      <c r="L31" s="1789"/>
      <c r="M31" s="1789"/>
      <c r="N31" s="1789"/>
      <c r="O31" s="1789"/>
    </row>
    <row r="32" ht="13.75" customHeight="1">
      <c r="A32" s="1789"/>
      <c r="B32" t="s" s="2102">
        <v>208</v>
      </c>
      <c r="C32" s="2103">
        <v>29700000</v>
      </c>
      <c r="D32" t="s" s="2102">
        <v>4261</v>
      </c>
      <c r="E32" s="2104"/>
      <c r="F32" t="s" s="1799">
        <v>188</v>
      </c>
      <c r="G32" s="2103">
        <v>1600000</v>
      </c>
      <c r="H32" s="2105">
        <v>14</v>
      </c>
      <c r="I32" s="1789"/>
      <c r="J32" s="1789"/>
      <c r="K32" s="1789"/>
      <c r="L32" s="1789"/>
      <c r="M32" s="1789"/>
      <c r="N32" s="1789"/>
      <c r="O32" s="1789"/>
    </row>
    <row r="33" ht="13.75" customHeight="1">
      <c r="A33" s="1789"/>
      <c r="B33" t="s" s="2102">
        <v>196</v>
      </c>
      <c r="C33" s="2103">
        <v>2000000</v>
      </c>
      <c r="D33" t="s" s="2102">
        <v>4261</v>
      </c>
      <c r="E33" s="2104"/>
      <c r="F33" t="s" s="1799">
        <v>196</v>
      </c>
      <c r="G33" s="2103">
        <v>2000000</v>
      </c>
      <c r="H33" s="2105">
        <v>10</v>
      </c>
      <c r="I33" s="1789"/>
      <c r="J33" s="1789"/>
      <c r="K33" s="1789"/>
      <c r="L33" s="1789"/>
      <c r="M33" s="1789"/>
      <c r="N33" s="1789"/>
      <c r="O33" s="1789"/>
    </row>
    <row r="34" ht="13.75" customHeight="1">
      <c r="A34" s="1789"/>
      <c r="B34" t="s" s="2102">
        <v>192</v>
      </c>
      <c r="C34" s="2103">
        <v>300000</v>
      </c>
      <c r="D34" t="s" s="2102">
        <v>4261</v>
      </c>
      <c r="E34" s="2104"/>
      <c r="F34" t="s" s="1799">
        <v>198</v>
      </c>
      <c r="G34" s="2103">
        <v>0</v>
      </c>
      <c r="H34" s="1789"/>
      <c r="I34" s="1789"/>
      <c r="J34" s="1789"/>
      <c r="K34" s="1789"/>
      <c r="L34" s="1789"/>
      <c r="M34" s="1789"/>
      <c r="N34" s="1789"/>
      <c r="O34" s="1789"/>
    </row>
    <row r="35" ht="13.75" customHeight="1">
      <c r="A35" s="1789"/>
      <c r="B35" t="s" s="2102">
        <v>190</v>
      </c>
      <c r="C35" s="2103">
        <v>3900000</v>
      </c>
      <c r="D35" t="s" s="2102">
        <v>4261</v>
      </c>
      <c r="E35" s="2104"/>
      <c r="F35" s="1789"/>
      <c r="G35" s="1789"/>
      <c r="H35" s="1789"/>
      <c r="I35" s="1789"/>
      <c r="J35" s="1789"/>
      <c r="K35" s="1789"/>
      <c r="L35" s="1789"/>
      <c r="M35" s="1789"/>
      <c r="N35" s="1789"/>
      <c r="O35" s="1789"/>
    </row>
    <row r="36" ht="13.75" customHeight="1">
      <c r="A36" s="1789"/>
      <c r="B36" t="s" s="2102">
        <v>207</v>
      </c>
      <c r="C36" s="2103">
        <v>2600000</v>
      </c>
      <c r="D36" t="s" s="2102">
        <v>4261</v>
      </c>
      <c r="E36" s="2104"/>
      <c r="F36" s="2104"/>
      <c r="G36" s="2103"/>
      <c r="H36" s="2104"/>
      <c r="I36" s="1789"/>
      <c r="J36" s="1789"/>
      <c r="K36" s="1789"/>
      <c r="L36" s="1789"/>
      <c r="M36" s="1789"/>
      <c r="N36" s="1789"/>
      <c r="O36" s="1789"/>
    </row>
    <row r="37" ht="13.75" customHeight="1">
      <c r="A37" s="1789"/>
      <c r="B37" t="s" s="2102">
        <v>201</v>
      </c>
      <c r="C37" s="2103">
        <v>25000000</v>
      </c>
      <c r="D37" t="s" s="2102">
        <v>4261</v>
      </c>
      <c r="E37" s="2104"/>
      <c r="F37" s="2104"/>
      <c r="G37" s="2103"/>
      <c r="H37" s="2104"/>
      <c r="I37" s="1789"/>
      <c r="J37" s="1789"/>
      <c r="K37" s="1789"/>
      <c r="L37" s="1789"/>
      <c r="M37" s="1789"/>
      <c r="N37" s="1789"/>
      <c r="O37" s="1789"/>
    </row>
    <row r="38" ht="13.75" customHeight="1">
      <c r="A38" s="1789"/>
      <c r="B38" t="s" s="2102">
        <v>200</v>
      </c>
      <c r="C38" s="2103">
        <v>18000000</v>
      </c>
      <c r="D38" t="s" s="2102">
        <v>4261</v>
      </c>
      <c r="E38" s="2104"/>
      <c r="F38" s="2104"/>
      <c r="G38" s="2103"/>
      <c r="H38" s="2104"/>
      <c r="I38" s="1789"/>
      <c r="J38" s="1789"/>
      <c r="K38" s="1789"/>
      <c r="L38" s="1789"/>
      <c r="M38" s="1789"/>
      <c r="N38" s="1789"/>
      <c r="O38" s="1789"/>
    </row>
    <row r="39" ht="13.75" customHeight="1">
      <c r="A39" s="1789"/>
      <c r="B39" t="s" s="2102">
        <v>4271</v>
      </c>
      <c r="C39" s="2103">
        <v>15000000</v>
      </c>
      <c r="D39" t="s" s="2102">
        <v>4261</v>
      </c>
      <c r="E39" s="2104"/>
      <c r="F39" s="2104"/>
      <c r="G39" s="2104"/>
      <c r="H39" s="2104"/>
      <c r="I39" s="1789"/>
      <c r="J39" s="1789"/>
      <c r="K39" s="1789"/>
      <c r="L39" s="1789"/>
      <c r="M39" s="1789"/>
      <c r="N39" s="1789"/>
      <c r="O39" s="1789"/>
    </row>
    <row r="40" ht="13.75" customHeight="1">
      <c r="A40" s="1789"/>
      <c r="B40" t="s" s="2102">
        <v>101</v>
      </c>
      <c r="C40" s="2103">
        <v>26100000</v>
      </c>
      <c r="D40" t="s" s="2102">
        <v>4261</v>
      </c>
      <c r="E40" s="2104"/>
      <c r="F40" s="2104"/>
      <c r="G40" s="2104"/>
      <c r="H40" s="2104"/>
      <c r="I40" s="1789"/>
      <c r="J40" s="1789"/>
      <c r="K40" s="1789"/>
      <c r="L40" s="1789"/>
      <c r="M40" s="1789"/>
      <c r="N40" s="1789"/>
      <c r="O40" s="1789"/>
    </row>
    <row r="41" ht="13.75" customHeight="1">
      <c r="A41" s="1789"/>
      <c r="B41" t="s" s="2102">
        <v>4272</v>
      </c>
      <c r="C41" s="2103">
        <v>11100000</v>
      </c>
      <c r="D41" t="s" s="2102">
        <v>4261</v>
      </c>
      <c r="E41" s="2104"/>
      <c r="F41" s="2104"/>
      <c r="G41" s="2104"/>
      <c r="H41" s="2104"/>
      <c r="I41" s="1789"/>
      <c r="J41" s="1789"/>
      <c r="K41" s="1789"/>
      <c r="L41" s="1789"/>
      <c r="M41" s="1789"/>
      <c r="N41" s="1789"/>
      <c r="O41" s="1789"/>
    </row>
  </sheetData>
  <mergeCells count="2">
    <mergeCell ref="B2:D2"/>
    <mergeCell ref="F2:H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